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2023-2024\Ceníky\"/>
    </mc:Choice>
  </mc:AlternateContent>
  <xr:revisionPtr revIDLastSave="0" documentId="8_{F0B9477A-3343-479F-98D2-A8C08B9A9BB1}" xr6:coauthVersionLast="47" xr6:coauthVersionMax="47" xr10:uidLastSave="{00000000-0000-0000-0000-000000000000}"/>
  <workbookProtection workbookAlgorithmName="SHA-512" workbookHashValue="PptULKM2NVXDYIH2Le+UCyjtM//dP2BN7BOwtiKKV2q5xHmZQuqf8ulPTO6pVQNUgE63zHgjR9KAObg3d7nYYg==" workbookSaltValue="UNnptOqvIUI2PQEKqMpjoA==" workbookSpinCount="100000" lockStructure="1"/>
  <bookViews>
    <workbookView xWindow="7050" yWindow="3345" windowWidth="28800" windowHeight="15435"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list'!$A$20:$AN$1206</definedName>
    <definedName name="_FilterDatabase" localSheetId="7" hidden="1">info_all!$B$1:$M$147</definedName>
    <definedName name="_FilterDatabase" localSheetId="12" hidden="1">Jazyky_ceník!$A$1:$A$16355</definedName>
    <definedName name="_FilterDatabase" localSheetId="8" hidden="1">Kat.!$A$1:$C$1593</definedName>
    <definedName name="_FilterDatabase" localSheetId="11" hidden="1">Kategorie!$M$1:$M$221</definedName>
    <definedName name="_FilterDatabase" localSheetId="13" hidden="1">Popisy!$A$5:$M$1348</definedName>
    <definedName name="_FilterDatabase" localSheetId="9" hidden="1">'Terms and Conditions'!$B$1:$B$147</definedName>
    <definedName name="_FilterDatabase" localSheetId="14" hidden="1">'Výpočet času'!$D$1:$D$1159</definedName>
    <definedName name="_FilterDB" localSheetId="8" hidden="1">Kat.!$A$1:$B$1156</definedName>
    <definedName name="_xlnm._FilterDatabase" localSheetId="1" hidden="1">'Část (1)'!$X$18:$X$1186</definedName>
    <definedName name="_xlnm._FilterDatabase" localSheetId="2" hidden="1">'Část (2)'!$X$18:$X$1186</definedName>
    <definedName name="_xlnm._FilterDatabase" localSheetId="3" hidden="1">'Část (3)'!$X$18:$X$1186</definedName>
    <definedName name="_xlnm._FilterDatabase" localSheetId="4" hidden="1">'Část (4)'!$X$18:$X$1186</definedName>
    <definedName name="_xlnm._FilterDatabase" localSheetId="5" hidden="1">'Část (5)'!$X$18:$X$1186</definedName>
    <definedName name="cbmPAL">'Výpočet času'!$AC$5</definedName>
    <definedName name="detail_kurzu?curr_eur" localSheetId="15">Act_Kurs!$A$3:$A$287</definedName>
    <definedName name="detail_kurzu?curr_eur" localSheetId="16">Act_Kurs_libry!$A$3:$A$287</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AC285" i="19" l="1"/>
  <c r="AC284" i="19"/>
  <c r="AC283" i="19"/>
  <c r="AC282" i="19" l="1"/>
  <c r="F285" i="19"/>
  <c r="G285" i="19" s="1"/>
  <c r="F284" i="19"/>
  <c r="G284" i="19" s="1"/>
  <c r="F283" i="19"/>
  <c r="G283" i="19" s="1"/>
  <c r="F282" i="19"/>
  <c r="AZ285" i="19" l="1"/>
  <c r="AY285" i="19"/>
  <c r="AX285" i="19"/>
  <c r="AR285" i="19"/>
  <c r="AT285" i="19" s="1"/>
  <c r="AZ284" i="19"/>
  <c r="AY284" i="19"/>
  <c r="AX284" i="19"/>
  <c r="AR284" i="19"/>
  <c r="AT284" i="19" s="1"/>
  <c r="AS284" i="19" s="1"/>
  <c r="AZ283" i="19"/>
  <c r="AY283" i="19"/>
  <c r="AX283" i="19"/>
  <c r="AR283" i="19"/>
  <c r="AT283" i="19" s="1"/>
  <c r="AA285" i="19"/>
  <c r="AA284" i="19"/>
  <c r="AA283" i="19"/>
  <c r="Z285" i="19"/>
  <c r="Z284" i="19"/>
  <c r="Z283" i="19"/>
  <c r="O285" i="19"/>
  <c r="N285" i="19"/>
  <c r="O284" i="19"/>
  <c r="N284" i="19"/>
  <c r="O283" i="19"/>
  <c r="N283" i="19"/>
  <c r="AS283" i="19" l="1"/>
  <c r="AS285" i="19"/>
  <c r="P283" i="19" l="1"/>
  <c r="X283" i="19"/>
  <c r="P284" i="19"/>
  <c r="X284" i="19"/>
  <c r="Y284" i="19"/>
  <c r="P285" i="19"/>
  <c r="X285" i="19"/>
  <c r="Y285" i="19"/>
  <c r="Y35" i="52"/>
  <c r="W35" i="52" s="1"/>
  <c r="Y43" i="55"/>
  <c r="W43" i="55" s="1"/>
  <c r="Y51" i="44"/>
  <c r="W51" i="44" s="1"/>
  <c r="Y105" i="44"/>
  <c r="W105" i="44" s="1"/>
  <c r="Y106" i="44"/>
  <c r="W106" i="44" s="1"/>
  <c r="Y115" i="44"/>
  <c r="W115" i="44" s="1"/>
  <c r="Y139" i="52"/>
  <c r="W139" i="52" s="1"/>
  <c r="Y151" i="53"/>
  <c r="W151" i="53" s="1"/>
  <c r="Y155" i="53"/>
  <c r="W155" i="53" s="1"/>
  <c r="Y287" i="44"/>
  <c r="W287" i="44" s="1"/>
  <c r="Y291" i="52"/>
  <c r="W291" i="52" s="1"/>
  <c r="Y303" i="44"/>
  <c r="W303" i="44" s="1"/>
  <c r="Y306" i="52"/>
  <c r="W306" i="52" s="1"/>
  <c r="Y309" i="44"/>
  <c r="W309" i="44" s="1"/>
  <c r="Y315" i="52"/>
  <c r="W315" i="52" s="1"/>
  <c r="Y339" i="55"/>
  <c r="W339" i="55" s="1"/>
  <c r="Y341" i="44"/>
  <c r="W341" i="44" s="1"/>
  <c r="Y343" i="53"/>
  <c r="W343" i="53" s="1"/>
  <c r="AA22" i="53"/>
  <c r="AA22" i="52"/>
  <c r="C20" i="52"/>
  <c r="C20" i="53"/>
  <c r="C20" i="54"/>
  <c r="AA22" i="54"/>
  <c r="C20" i="55"/>
  <c r="AA22" i="55"/>
  <c r="Y23" i="53"/>
  <c r="W23" i="53" s="1"/>
  <c r="Y27" i="53"/>
  <c r="W27" i="53" s="1"/>
  <c r="Y29" i="44"/>
  <c r="W29" i="44" s="1"/>
  <c r="Y45" i="54"/>
  <c r="W45" i="54" s="1"/>
  <c r="Y55" i="44"/>
  <c r="W55" i="44" s="1"/>
  <c r="Y59" i="52"/>
  <c r="W59" i="52" s="1"/>
  <c r="Y66" i="44"/>
  <c r="W66" i="44" s="1"/>
  <c r="Y71" i="53"/>
  <c r="W71" i="53" s="1"/>
  <c r="Y74" i="44"/>
  <c r="W74" i="44" s="1"/>
  <c r="Y82" i="44"/>
  <c r="W82" i="44" s="1"/>
  <c r="Y83" i="52"/>
  <c r="W83" i="52" s="1"/>
  <c r="Y87" i="53"/>
  <c r="W87" i="53" s="1"/>
  <c r="Y98" i="44"/>
  <c r="W98" i="44" s="1"/>
  <c r="Y119" i="44"/>
  <c r="W119" i="44" s="1"/>
  <c r="Y135" i="53"/>
  <c r="W135" i="53" s="1"/>
  <c r="Y137" i="54"/>
  <c r="W137" i="54" s="1"/>
  <c r="Y146" i="53"/>
  <c r="W146" i="53" s="1"/>
  <c r="Y147" i="44"/>
  <c r="W147" i="44" s="1"/>
  <c r="Y163" i="52"/>
  <c r="W163" i="52" s="1"/>
  <c r="Y165" i="44"/>
  <c r="W165" i="44" s="1"/>
  <c r="Y174" i="52"/>
  <c r="W174" i="52" s="1"/>
  <c r="Y179" i="44"/>
  <c r="W179" i="44" s="1"/>
  <c r="Y182" i="52"/>
  <c r="W182" i="52" s="1"/>
  <c r="Y183" i="44"/>
  <c r="W183" i="44" s="1"/>
  <c r="Y187" i="52"/>
  <c r="W187" i="52" s="1"/>
  <c r="Y190" i="44"/>
  <c r="W190" i="44" s="1"/>
  <c r="Y195" i="54"/>
  <c r="W195" i="54" s="1"/>
  <c r="Y198" i="44"/>
  <c r="W198" i="44" s="1"/>
  <c r="Y199" i="53"/>
  <c r="W199" i="53" s="1"/>
  <c r="Y205" i="44"/>
  <c r="W205" i="44" s="1"/>
  <c r="Y211" i="53"/>
  <c r="W211" i="53" s="1"/>
  <c r="Y215" i="53"/>
  <c r="W215" i="53" s="1"/>
  <c r="Y221" i="54"/>
  <c r="W221" i="54" s="1"/>
  <c r="Y222" i="44"/>
  <c r="W222" i="44" s="1"/>
  <c r="Y230" i="44"/>
  <c r="W230" i="44" s="1"/>
  <c r="Y234" i="54"/>
  <c r="W234" i="54" s="1"/>
  <c r="Y242" i="55"/>
  <c r="W242" i="55" s="1"/>
  <c r="Y243" i="44"/>
  <c r="W243" i="44" s="1"/>
  <c r="Y247" i="44"/>
  <c r="W247" i="44" s="1"/>
  <c r="Y249" i="44"/>
  <c r="W249" i="44" s="1"/>
  <c r="Y253" i="52"/>
  <c r="W253" i="52" s="1"/>
  <c r="Y255" i="54"/>
  <c r="W255" i="54" s="1"/>
  <c r="Y263" i="53"/>
  <c r="W263" i="53" s="1"/>
  <c r="Y265" i="52"/>
  <c r="W265" i="52" s="1"/>
  <c r="Y267" i="52"/>
  <c r="W267" i="52" s="1"/>
  <c r="Y275" i="44"/>
  <c r="W275" i="44" s="1"/>
  <c r="Y279" i="53"/>
  <c r="W279" i="53" s="1"/>
  <c r="Y281" i="54"/>
  <c r="W281" i="54" s="1"/>
  <c r="Y283" i="53"/>
  <c r="W283" i="53" s="1"/>
  <c r="Y297" i="44"/>
  <c r="W297" i="44" s="1"/>
  <c r="Y298" i="52"/>
  <c r="W298" i="52" s="1"/>
  <c r="Y313" i="54"/>
  <c r="W313" i="54" s="1"/>
  <c r="Y325" i="44"/>
  <c r="W325" i="44" s="1"/>
  <c r="Y327" i="53"/>
  <c r="W327" i="53" s="1"/>
  <c r="Y329" i="44"/>
  <c r="W329" i="44" s="1"/>
  <c r="Y330" i="52"/>
  <c r="W330" i="52" s="1"/>
  <c r="Y345" i="54"/>
  <c r="W345" i="54" s="1"/>
  <c r="Y346" i="52"/>
  <c r="W346" i="52" s="1"/>
  <c r="Y351" i="44"/>
  <c r="W351" i="44" s="1"/>
  <c r="Y353" i="44"/>
  <c r="W353" i="44" s="1"/>
  <c r="Y354" i="44"/>
  <c r="W354" i="44" s="1"/>
  <c r="Y355" i="44"/>
  <c r="W355" i="44" s="1"/>
  <c r="Y362" i="54"/>
  <c r="W362" i="54" s="1"/>
  <c r="Y367" i="44"/>
  <c r="W367" i="44" s="1"/>
  <c r="Y369" i="44"/>
  <c r="W369" i="44" s="1"/>
  <c r="Y370" i="52"/>
  <c r="W370" i="52" s="1"/>
  <c r="Y377" i="54"/>
  <c r="W377" i="54" s="1"/>
  <c r="Y385" i="44"/>
  <c r="W385" i="44" s="1"/>
  <c r="Y391" i="53"/>
  <c r="W391" i="53" s="1"/>
  <c r="Y393" i="52"/>
  <c r="W393" i="52" s="1"/>
  <c r="Y394" i="52"/>
  <c r="W394" i="52" s="1"/>
  <c r="Y395" i="52"/>
  <c r="W395" i="52" s="1"/>
  <c r="Y397" i="44"/>
  <c r="W397" i="44" s="1"/>
  <c r="Y402" i="52"/>
  <c r="W402" i="52" s="1"/>
  <c r="Y403" i="54"/>
  <c r="W403" i="54" s="1"/>
  <c r="Y407" i="53"/>
  <c r="W407" i="53" s="1"/>
  <c r="Y409" i="54"/>
  <c r="W409" i="54" s="1"/>
  <c r="Y410" i="44"/>
  <c r="W410" i="44" s="1"/>
  <c r="Y411" i="53"/>
  <c r="W411" i="53" s="1"/>
  <c r="Y413" i="44"/>
  <c r="W413" i="44" s="1"/>
  <c r="Y415" i="44"/>
  <c r="W415" i="44" s="1"/>
  <c r="Y419" i="44"/>
  <c r="W419" i="44" s="1"/>
  <c r="Y425" i="44"/>
  <c r="W425" i="44" s="1"/>
  <c r="Y426" i="44"/>
  <c r="W426" i="44" s="1"/>
  <c r="Y428" i="53"/>
  <c r="W428" i="53" s="1"/>
  <c r="Y429" i="54"/>
  <c r="W429" i="54" s="1"/>
  <c r="Y431" i="44"/>
  <c r="W431" i="44" s="1"/>
  <c r="Y434" i="44"/>
  <c r="W434" i="44" s="1"/>
  <c r="Y441" i="44"/>
  <c r="W441" i="44" s="1"/>
  <c r="Y442" i="44"/>
  <c r="W442" i="44" s="1"/>
  <c r="Y443" i="52"/>
  <c r="W443" i="52" s="1"/>
  <c r="Y445" i="44"/>
  <c r="W445" i="44" s="1"/>
  <c r="Y450" i="44"/>
  <c r="W450" i="44" s="1"/>
  <c r="Y453" i="44"/>
  <c r="W453" i="44" s="1"/>
  <c r="Y455" i="53"/>
  <c r="W455" i="53" s="1"/>
  <c r="Y458" i="44"/>
  <c r="W458" i="44" s="1"/>
  <c r="Y461" i="44"/>
  <c r="W461" i="44" s="1"/>
  <c r="Y466" i="44"/>
  <c r="W466" i="44" s="1"/>
  <c r="Y467" i="44"/>
  <c r="W467" i="44" s="1"/>
  <c r="Y471" i="53"/>
  <c r="W471" i="53" s="1"/>
  <c r="Y473" i="44"/>
  <c r="W473" i="44" s="1"/>
  <c r="Y474" i="44"/>
  <c r="W474" i="44" s="1"/>
  <c r="Y477" i="54"/>
  <c r="W477" i="54" s="1"/>
  <c r="Y478" i="44"/>
  <c r="W478" i="44" s="1"/>
  <c r="Y479" i="44"/>
  <c r="W479" i="44" s="1"/>
  <c r="Y482" i="44"/>
  <c r="W482" i="44" s="1"/>
  <c r="Y483" i="44"/>
  <c r="W483" i="44" s="1"/>
  <c r="Y485" i="44"/>
  <c r="W485" i="44" s="1"/>
  <c r="Y486" i="44"/>
  <c r="W486" i="44" s="1"/>
  <c r="Y487" i="52"/>
  <c r="W487" i="52" s="1"/>
  <c r="Y493" i="44"/>
  <c r="W493" i="44" s="1"/>
  <c r="Y495" i="53"/>
  <c r="W495" i="53" s="1"/>
  <c r="Y497" i="54"/>
  <c r="W497" i="54" s="1"/>
  <c r="Y501" i="44"/>
  <c r="W501" i="44" s="1"/>
  <c r="Y502" i="44"/>
  <c r="W502" i="44" s="1"/>
  <c r="Y506" i="54"/>
  <c r="W506" i="54" s="1"/>
  <c r="Y509" i="44"/>
  <c r="W509" i="44" s="1"/>
  <c r="Y510" i="53"/>
  <c r="W510" i="53" s="1"/>
  <c r="Y513" i="44"/>
  <c r="W513" i="44" s="1"/>
  <c r="Y517" i="54"/>
  <c r="W517" i="54" s="1"/>
  <c r="Y518" i="44"/>
  <c r="W518" i="44" s="1"/>
  <c r="Y519" i="52"/>
  <c r="W519" i="52" s="1"/>
  <c r="Y521" i="52"/>
  <c r="W521" i="52" s="1"/>
  <c r="Y523" i="52"/>
  <c r="W523" i="52" s="1"/>
  <c r="Y526" i="44"/>
  <c r="W526" i="44" s="1"/>
  <c r="Y529" i="54"/>
  <c r="W529" i="54" s="1"/>
  <c r="Y530" i="44"/>
  <c r="W530" i="44" s="1"/>
  <c r="Y531" i="44"/>
  <c r="W531" i="44" s="1"/>
  <c r="Y533" i="44"/>
  <c r="W533" i="44" s="1"/>
  <c r="Y534" i="44"/>
  <c r="W534" i="44" s="1"/>
  <c r="Y535" i="53"/>
  <c r="W535" i="53" s="1"/>
  <c r="Y537" i="44"/>
  <c r="W537" i="44" s="1"/>
  <c r="Y538" i="53"/>
  <c r="W538" i="53" s="1"/>
  <c r="Y541" i="44"/>
  <c r="W541" i="44" s="1"/>
  <c r="Y542" i="44"/>
  <c r="W542" i="44" s="1"/>
  <c r="Y543" i="44"/>
  <c r="W543" i="44" s="1"/>
  <c r="Y545" i="54"/>
  <c r="W545" i="54" s="1"/>
  <c r="Y547" i="52"/>
  <c r="W547" i="52" s="1"/>
  <c r="Y549" i="44"/>
  <c r="W549" i="44" s="1"/>
  <c r="Y550" i="44"/>
  <c r="W550" i="44" s="1"/>
  <c r="Y551" i="52"/>
  <c r="W551" i="52" s="1"/>
  <c r="Y554" i="44"/>
  <c r="W554" i="44" s="1"/>
  <c r="Y557" i="44"/>
  <c r="W557" i="44" s="1"/>
  <c r="Y558" i="44"/>
  <c r="W558" i="44" s="1"/>
  <c r="Y559" i="55"/>
  <c r="W559" i="55" s="1"/>
  <c r="Y561" i="54"/>
  <c r="W561" i="54" s="1"/>
  <c r="Y566" i="44"/>
  <c r="W566" i="44" s="1"/>
  <c r="Y570" i="44"/>
  <c r="W570" i="44" s="1"/>
  <c r="Y573" i="44"/>
  <c r="W573" i="44" s="1"/>
  <c r="Y574" i="44"/>
  <c r="W574" i="44" s="1"/>
  <c r="Y575" i="52"/>
  <c r="W575" i="52" s="1"/>
  <c r="Y577" i="54"/>
  <c r="W577" i="54" s="1"/>
  <c r="Y579" i="52"/>
  <c r="W579" i="52" s="1"/>
  <c r="Y582" i="44"/>
  <c r="W582" i="44" s="1"/>
  <c r="Y583" i="52"/>
  <c r="W583" i="52" s="1"/>
  <c r="Y585" i="44"/>
  <c r="W585" i="44" s="1"/>
  <c r="Y586" i="52"/>
  <c r="W586" i="52" s="1"/>
  <c r="Y589" i="54"/>
  <c r="W589" i="54" s="1"/>
  <c r="Y590" i="44"/>
  <c r="W590" i="44" s="1"/>
  <c r="Y591" i="55"/>
  <c r="W591" i="55" s="1"/>
  <c r="Y594" i="44"/>
  <c r="W594" i="44" s="1"/>
  <c r="Y595" i="44"/>
  <c r="W595" i="44" s="1"/>
  <c r="Y598" i="44"/>
  <c r="W598" i="44" s="1"/>
  <c r="Y599" i="44"/>
  <c r="W599" i="44" s="1"/>
  <c r="Y601" i="44"/>
  <c r="W601" i="44" s="1"/>
  <c r="Y602" i="55"/>
  <c r="W602" i="55" s="1"/>
  <c r="Y605" i="54"/>
  <c r="W605" i="54" s="1"/>
  <c r="Y607" i="44"/>
  <c r="W607" i="44" s="1"/>
  <c r="Y610" i="44"/>
  <c r="W610" i="44" s="1"/>
  <c r="Y611" i="52"/>
  <c r="W611" i="52" s="1"/>
  <c r="Y613" i="44"/>
  <c r="W613" i="44" s="1"/>
  <c r="Y615" i="52"/>
  <c r="W615" i="52" s="1"/>
  <c r="Y618" i="53"/>
  <c r="W618" i="53" s="1"/>
  <c r="Y621" i="54"/>
  <c r="W621" i="54" s="1"/>
  <c r="Y623" i="55"/>
  <c r="W623" i="55" s="1"/>
  <c r="Y626" i="44"/>
  <c r="W626" i="44" s="1"/>
  <c r="Y627" i="44"/>
  <c r="W627" i="44" s="1"/>
  <c r="Y629" i="44"/>
  <c r="W629" i="44" s="1"/>
  <c r="Y634" i="55"/>
  <c r="W634" i="55" s="1"/>
  <c r="Y637" i="54"/>
  <c r="W637" i="54" s="1"/>
  <c r="Y639" i="44"/>
  <c r="W639" i="44" s="1"/>
  <c r="Y641" i="44"/>
  <c r="W641" i="44" s="1"/>
  <c r="Y642" i="44"/>
  <c r="W642" i="44" s="1"/>
  <c r="Y643" i="54"/>
  <c r="W643" i="54" s="1"/>
  <c r="Y645" i="44"/>
  <c r="W645" i="44" s="1"/>
  <c r="Y647" i="52"/>
  <c r="W647" i="52" s="1"/>
  <c r="Y649" i="54"/>
  <c r="W649" i="54" s="1"/>
  <c r="Y653" i="44"/>
  <c r="W653" i="44" s="1"/>
  <c r="Y654" i="44"/>
  <c r="W654" i="44" s="1"/>
  <c r="Y655" i="55"/>
  <c r="W655" i="55" s="1"/>
  <c r="Y657" i="44"/>
  <c r="W657" i="44" s="1"/>
  <c r="Y659" i="44"/>
  <c r="W659" i="44" s="1"/>
  <c r="Y662" i="53"/>
  <c r="W662" i="53" s="1"/>
  <c r="Y663" i="44"/>
  <c r="W663" i="44" s="1"/>
  <c r="Y665" i="54"/>
  <c r="W665" i="54" s="1"/>
  <c r="Y666" i="54"/>
  <c r="W666" i="54" s="1"/>
  <c r="Y669" i="44"/>
  <c r="W669" i="44" s="1"/>
  <c r="Y670" i="44"/>
  <c r="W670" i="44" s="1"/>
  <c r="Y671" i="52"/>
  <c r="W671" i="52" s="1"/>
  <c r="Y673" i="44"/>
  <c r="W673" i="44" s="1"/>
  <c r="Y675" i="52"/>
  <c r="W675" i="52" s="1"/>
  <c r="Y678" i="44"/>
  <c r="W678" i="44" s="1"/>
  <c r="Y679" i="52"/>
  <c r="W679" i="52" s="1"/>
  <c r="Y681" i="54"/>
  <c r="W681" i="54" s="1"/>
  <c r="Y684" i="53"/>
  <c r="W684" i="53" s="1"/>
  <c r="Y686" i="44"/>
  <c r="W686" i="44" s="1"/>
  <c r="Y687" i="55"/>
  <c r="W687" i="55" s="1"/>
  <c r="Y689" i="44"/>
  <c r="W689" i="44" s="1"/>
  <c r="Y691" i="44"/>
  <c r="W691" i="44" s="1"/>
  <c r="Y694" i="44"/>
  <c r="W694" i="44" s="1"/>
  <c r="Y697" i="54"/>
  <c r="W697" i="54" s="1"/>
  <c r="Y701" i="44"/>
  <c r="W701" i="44" s="1"/>
  <c r="Y703" i="52"/>
  <c r="W703" i="52" s="1"/>
  <c r="Y705" i="44"/>
  <c r="W705" i="44" s="1"/>
  <c r="Y707" i="52"/>
  <c r="W707" i="52" s="1"/>
  <c r="Y709" i="54"/>
  <c r="W709" i="54" s="1"/>
  <c r="Y710" i="53"/>
  <c r="W710" i="53" s="1"/>
  <c r="Y711" i="52"/>
  <c r="W711" i="52" s="1"/>
  <c r="Y713" i="44"/>
  <c r="W713" i="44" s="1"/>
  <c r="Y717" i="44"/>
  <c r="W717" i="44" s="1"/>
  <c r="Y718" i="52"/>
  <c r="W718" i="52" s="1"/>
  <c r="Y719" i="55"/>
  <c r="W719" i="55" s="1"/>
  <c r="Y721" i="44"/>
  <c r="W721" i="44" s="1"/>
  <c r="Y723" i="44"/>
  <c r="W723" i="44" s="1"/>
  <c r="Y725" i="54"/>
  <c r="W725" i="54" s="1"/>
  <c r="Y726" i="53"/>
  <c r="W726" i="53" s="1"/>
  <c r="Y727" i="44"/>
  <c r="W727" i="44" s="1"/>
  <c r="Y729" i="44"/>
  <c r="W729" i="44" s="1"/>
  <c r="Y733" i="44"/>
  <c r="W733" i="44" s="1"/>
  <c r="Y734" i="44"/>
  <c r="W734" i="44" s="1"/>
  <c r="Y735" i="44"/>
  <c r="W735" i="44" s="1"/>
  <c r="Y738" i="44"/>
  <c r="W738" i="44" s="1"/>
  <c r="Y739" i="52"/>
  <c r="W739" i="52" s="1"/>
  <c r="Y741" i="54"/>
  <c r="W741" i="54" s="1"/>
  <c r="Y742" i="53"/>
  <c r="W742" i="53" s="1"/>
  <c r="Y743" i="52"/>
  <c r="W743" i="52" s="1"/>
  <c r="Y745" i="44"/>
  <c r="W745" i="44" s="1"/>
  <c r="Y746" i="44"/>
  <c r="W746" i="44" s="1"/>
  <c r="Y750" i="52"/>
  <c r="W750" i="52" s="1"/>
  <c r="Y751" i="55"/>
  <c r="W751" i="55" s="1"/>
  <c r="Y754" i="44"/>
  <c r="W754" i="44" s="1"/>
  <c r="Y755" i="44"/>
  <c r="W755" i="44" s="1"/>
  <c r="Y757" i="54"/>
  <c r="W757" i="54" s="1"/>
  <c r="Y758" i="52"/>
  <c r="W758" i="52" s="1"/>
  <c r="Y761" i="44"/>
  <c r="W761" i="44" s="1"/>
  <c r="Y767" i="44"/>
  <c r="W767" i="44" s="1"/>
  <c r="Y770" i="44"/>
  <c r="W770" i="44" s="1"/>
  <c r="Y771" i="52"/>
  <c r="W771" i="52" s="1"/>
  <c r="Y773" i="44"/>
  <c r="W773" i="44" s="1"/>
  <c r="Y775" i="44"/>
  <c r="W775" i="44" s="1"/>
  <c r="Y778" i="44"/>
  <c r="W778" i="44" s="1"/>
  <c r="Y779" i="53"/>
  <c r="W779" i="53" s="1"/>
  <c r="Y781" i="44"/>
  <c r="W781" i="44" s="1"/>
  <c r="Y783" i="52"/>
  <c r="W783" i="52" s="1"/>
  <c r="Y786" i="44"/>
  <c r="W786" i="44" s="1"/>
  <c r="Y787" i="44"/>
  <c r="W787" i="44" s="1"/>
  <c r="Y789" i="44"/>
  <c r="W789" i="44" s="1"/>
  <c r="Y790" i="44"/>
  <c r="W790" i="44" s="1"/>
  <c r="Y791" i="52"/>
  <c r="W791" i="52" s="1"/>
  <c r="Y794" i="44"/>
  <c r="W794" i="44" s="1"/>
  <c r="Y797" i="44"/>
  <c r="W797" i="44" s="1"/>
  <c r="Y799" i="52"/>
  <c r="W799" i="52" s="1"/>
  <c r="Y800" i="44"/>
  <c r="W800" i="44" s="1"/>
  <c r="Y801" i="52"/>
  <c r="W801" i="52" s="1"/>
  <c r="Y802" i="44"/>
  <c r="W802" i="44" s="1"/>
  <c r="Y803" i="52"/>
  <c r="W803" i="52" s="1"/>
  <c r="Y804" i="44"/>
  <c r="W804" i="44" s="1"/>
  <c r="Y805" i="44"/>
  <c r="W805" i="44" s="1"/>
  <c r="Y807" i="44"/>
  <c r="W807" i="44" s="1"/>
  <c r="Y808" i="44"/>
  <c r="W808" i="44" s="1"/>
  <c r="Y810" i="44"/>
  <c r="W810" i="44" s="1"/>
  <c r="Y811" i="53"/>
  <c r="W811" i="53" s="1"/>
  <c r="Y812" i="44"/>
  <c r="W812" i="44" s="1"/>
  <c r="Y814" i="44"/>
  <c r="W814" i="44" s="1"/>
  <c r="Y815" i="52"/>
  <c r="W815" i="52" s="1"/>
  <c r="Y816" i="44"/>
  <c r="W816" i="44" s="1"/>
  <c r="Y817" i="52"/>
  <c r="W817" i="52" s="1"/>
  <c r="Y818" i="44"/>
  <c r="W818" i="44" s="1"/>
  <c r="Y819" i="44"/>
  <c r="W819" i="44" s="1"/>
  <c r="Y820" i="44"/>
  <c r="W820" i="44" s="1"/>
  <c r="Y821" i="44"/>
  <c r="W821" i="44" s="1"/>
  <c r="Y823" i="52"/>
  <c r="W823" i="52" s="1"/>
  <c r="Y824" i="44"/>
  <c r="W824" i="44" s="1"/>
  <c r="Y826" i="44"/>
  <c r="W826" i="44" s="1"/>
  <c r="Y827" i="54"/>
  <c r="W827" i="54" s="1"/>
  <c r="Y828" i="44"/>
  <c r="W828" i="44" s="1"/>
  <c r="Y831" i="44"/>
  <c r="W831" i="44" s="1"/>
  <c r="Y832" i="44"/>
  <c r="W832" i="44" s="1"/>
  <c r="Y833" i="44"/>
  <c r="W833" i="44" s="1"/>
  <c r="Y834" i="44"/>
  <c r="W834" i="44" s="1"/>
  <c r="Y835" i="52"/>
  <c r="W835" i="52" s="1"/>
  <c r="Y836" i="44"/>
  <c r="W836" i="44" s="1"/>
  <c r="Y837" i="44"/>
  <c r="W837" i="44" s="1"/>
  <c r="Y839" i="44"/>
  <c r="W839" i="44" s="1"/>
  <c r="Y840" i="44"/>
  <c r="W840" i="44" s="1"/>
  <c r="Y842" i="52"/>
  <c r="W842" i="52" s="1"/>
  <c r="Y844" i="44"/>
  <c r="W844" i="44" s="1"/>
  <c r="Y847" i="52"/>
  <c r="W847" i="52" s="1"/>
  <c r="Y848" i="44"/>
  <c r="W848" i="44" s="1"/>
  <c r="Y849" i="44"/>
  <c r="W849" i="44" s="1"/>
  <c r="Y850" i="52"/>
  <c r="W850" i="52" s="1"/>
  <c r="Y851" i="44"/>
  <c r="W851" i="44" s="1"/>
  <c r="Y852" i="44"/>
  <c r="W852" i="44" s="1"/>
  <c r="Y853" i="54"/>
  <c r="W853" i="54" s="1"/>
  <c r="Y855" i="52"/>
  <c r="W855" i="52" s="1"/>
  <c r="Y856" i="44"/>
  <c r="W856" i="44" s="1"/>
  <c r="Y859" i="53"/>
  <c r="W859" i="53" s="1"/>
  <c r="Y860" i="44"/>
  <c r="W860" i="44" s="1"/>
  <c r="Y861" i="44"/>
  <c r="W861" i="44" s="1"/>
  <c r="Y862" i="44"/>
  <c r="W862" i="44" s="1"/>
  <c r="Y863" i="44"/>
  <c r="W863" i="44" s="1"/>
  <c r="Y864" i="44"/>
  <c r="W864" i="44" s="1"/>
  <c r="Y865" i="44"/>
  <c r="W865" i="44" s="1"/>
  <c r="Y867" i="52"/>
  <c r="W867" i="52" s="1"/>
  <c r="Y868" i="44"/>
  <c r="W868" i="44" s="1"/>
  <c r="Y870" i="44"/>
  <c r="W870" i="44" s="1"/>
  <c r="Y871" i="53"/>
  <c r="W871" i="53" s="1"/>
  <c r="Y872" i="44"/>
  <c r="W872" i="44" s="1"/>
  <c r="Y874" i="52"/>
  <c r="W874" i="52" s="1"/>
  <c r="Y876" i="44"/>
  <c r="W876" i="44" s="1"/>
  <c r="Y877" i="44"/>
  <c r="W877" i="44" s="1"/>
  <c r="Y878" i="44"/>
  <c r="W878" i="44" s="1"/>
  <c r="Y879" i="52"/>
  <c r="W879" i="52" s="1"/>
  <c r="Y880" i="44"/>
  <c r="W880" i="44" s="1"/>
  <c r="Y882" i="44"/>
  <c r="W882" i="44" s="1"/>
  <c r="Y883" i="53"/>
  <c r="W883" i="53" s="1"/>
  <c r="Y884" i="44"/>
  <c r="W884" i="44" s="1"/>
  <c r="Y886" i="44"/>
  <c r="W886" i="44" s="1"/>
  <c r="Y888" i="44"/>
  <c r="W888" i="44" s="1"/>
  <c r="Y889" i="44"/>
  <c r="W889" i="44" s="1"/>
  <c r="Y890" i="53"/>
  <c r="W890" i="53" s="1"/>
  <c r="Y892" i="44"/>
  <c r="W892" i="44" s="1"/>
  <c r="Y893" i="44"/>
  <c r="W893" i="44" s="1"/>
  <c r="Y894" i="44"/>
  <c r="W894" i="44" s="1"/>
  <c r="Y895" i="52"/>
  <c r="W895" i="52" s="1"/>
  <c r="Y896" i="44"/>
  <c r="W896" i="44" s="1"/>
  <c r="Y899" i="52"/>
  <c r="W899" i="52" s="1"/>
  <c r="Y900" i="44"/>
  <c r="W900" i="44" s="1"/>
  <c r="Y901" i="44"/>
  <c r="W901" i="44" s="1"/>
  <c r="Y902" i="44"/>
  <c r="W902" i="44" s="1"/>
  <c r="Y903" i="44"/>
  <c r="W903" i="44" s="1"/>
  <c r="Y904" i="44"/>
  <c r="W904" i="44" s="1"/>
  <c r="Y905" i="52"/>
  <c r="W905" i="52" s="1"/>
  <c r="Y906" i="44"/>
  <c r="W906" i="44" s="1"/>
  <c r="Y908" i="44"/>
  <c r="W908" i="44" s="1"/>
  <c r="Y912" i="44"/>
  <c r="W912" i="44" s="1"/>
  <c r="Y913" i="44"/>
  <c r="W913" i="44" s="1"/>
  <c r="Y914" i="44"/>
  <c r="W914" i="44" s="1"/>
  <c r="Y915" i="44"/>
  <c r="W915" i="44" s="1"/>
  <c r="Y916" i="44"/>
  <c r="W916" i="44" s="1"/>
  <c r="Y917" i="44"/>
  <c r="W917" i="44" s="1"/>
  <c r="Y919" i="44"/>
  <c r="W919" i="44" s="1"/>
  <c r="Y920" i="44"/>
  <c r="W920" i="44" s="1"/>
  <c r="Y921" i="53"/>
  <c r="W921" i="53" s="1"/>
  <c r="Y924" i="44"/>
  <c r="W924" i="44" s="1"/>
  <c r="Y927" i="52"/>
  <c r="W927" i="52" s="1"/>
  <c r="Y928" i="44"/>
  <c r="W928" i="44" s="1"/>
  <c r="Y930" i="44"/>
  <c r="W930" i="44" s="1"/>
  <c r="Y931" i="52"/>
  <c r="W931" i="52" s="1"/>
  <c r="Y932" i="44"/>
  <c r="W932" i="44" s="1"/>
  <c r="Y933" i="44"/>
  <c r="W933" i="44" s="1"/>
  <c r="Y935" i="53"/>
  <c r="W935" i="53" s="1"/>
  <c r="Y936" i="44"/>
  <c r="W936" i="44" s="1"/>
  <c r="Y937" i="53"/>
  <c r="W937" i="53" s="1"/>
  <c r="Y938" i="44"/>
  <c r="W938" i="44" s="1"/>
  <c r="Y940" i="44"/>
  <c r="W940" i="44" s="1"/>
  <c r="Y943" i="44"/>
  <c r="W943" i="44" s="1"/>
  <c r="Y944" i="44"/>
  <c r="W944" i="44" s="1"/>
  <c r="Y946" i="53"/>
  <c r="W946" i="53" s="1"/>
  <c r="Y947" i="54"/>
  <c r="W947" i="54" s="1"/>
  <c r="Y948" i="44"/>
  <c r="W948" i="44" s="1"/>
  <c r="Y952" i="44"/>
  <c r="W952" i="44" s="1"/>
  <c r="Y953" i="52"/>
  <c r="W953" i="52" s="1"/>
  <c r="Y954" i="53"/>
  <c r="W954" i="53" s="1"/>
  <c r="Y956" i="44"/>
  <c r="W956" i="44" s="1"/>
  <c r="Y959" i="53"/>
  <c r="W959" i="53" s="1"/>
  <c r="Y960" i="44"/>
  <c r="W960" i="44" s="1"/>
  <c r="Y963" i="55"/>
  <c r="W963" i="55" s="1"/>
  <c r="Y964" i="44"/>
  <c r="W964" i="44" s="1"/>
  <c r="Y965" i="53"/>
  <c r="W965" i="53" s="1"/>
  <c r="Y967" i="44"/>
  <c r="W967" i="44" s="1"/>
  <c r="Y968" i="44"/>
  <c r="W968" i="44" s="1"/>
  <c r="Y969" i="44"/>
  <c r="W969" i="44" s="1"/>
  <c r="Y972" i="44"/>
  <c r="W972" i="44" s="1"/>
  <c r="Y974" i="52"/>
  <c r="W974" i="52" s="1"/>
  <c r="Y975" i="52"/>
  <c r="W975" i="52" s="1"/>
  <c r="Y976" i="44"/>
  <c r="W976" i="44" s="1"/>
  <c r="Y978" i="44"/>
  <c r="W978" i="44" s="1"/>
  <c r="Y979" i="44"/>
  <c r="W979" i="44" s="1"/>
  <c r="Y980" i="44"/>
  <c r="W980" i="44" s="1"/>
  <c r="Y981" i="53"/>
  <c r="W981" i="53" s="1"/>
  <c r="Y983" i="44"/>
  <c r="W983" i="44" s="1"/>
  <c r="Y984" i="44"/>
  <c r="W984" i="44" s="1"/>
  <c r="Y986" i="53"/>
  <c r="W986" i="53" s="1"/>
  <c r="Y988" i="44"/>
  <c r="W988" i="44" s="1"/>
  <c r="Y991" i="44"/>
  <c r="W991" i="44" s="1"/>
  <c r="Y992" i="44"/>
  <c r="W992" i="44" s="1"/>
  <c r="Y993" i="44"/>
  <c r="W993" i="44" s="1"/>
  <c r="Y994" i="44"/>
  <c r="W994" i="44" s="1"/>
  <c r="Y995" i="52"/>
  <c r="W995" i="52" s="1"/>
  <c r="Y996" i="44"/>
  <c r="W996" i="44" s="1"/>
  <c r="Y997" i="53"/>
  <c r="W997" i="53" s="1"/>
  <c r="Y998" i="44"/>
  <c r="W998" i="44" s="1"/>
  <c r="Y1000" i="44"/>
  <c r="W1000" i="44" s="1"/>
  <c r="Y1004" i="44"/>
  <c r="W1004" i="44" s="1"/>
  <c r="Y1006" i="52"/>
  <c r="W1006" i="52" s="1"/>
  <c r="Y1007" i="44"/>
  <c r="W1007" i="44" s="1"/>
  <c r="Y1008" i="44"/>
  <c r="W1008" i="44" s="1"/>
  <c r="Y1009" i="44"/>
  <c r="W1009" i="44" s="1"/>
  <c r="Y1010" i="53"/>
  <c r="W1010" i="53" s="1"/>
  <c r="Y1011" i="53"/>
  <c r="W1011" i="53" s="1"/>
  <c r="Y1012" i="44"/>
  <c r="W1012" i="44" s="1"/>
  <c r="Y1013" i="53"/>
  <c r="W1013" i="53" s="1"/>
  <c r="Y1014" i="52"/>
  <c r="W1014" i="52" s="1"/>
  <c r="Y1016" i="44"/>
  <c r="W1016" i="44" s="1"/>
  <c r="Y1018" i="53"/>
  <c r="W1018" i="53" s="1"/>
  <c r="Y1020" i="44"/>
  <c r="W1020" i="44" s="1"/>
  <c r="Y1021" i="44"/>
  <c r="W1021" i="44" s="1"/>
  <c r="Y1023" i="52"/>
  <c r="W1023" i="52" s="1"/>
  <c r="Y1024" i="44"/>
  <c r="W1024" i="44" s="1"/>
  <c r="Y1025" i="44"/>
  <c r="W1025" i="44" s="1"/>
  <c r="Y1027" i="54"/>
  <c r="W1027" i="54" s="1"/>
  <c r="Y1028" i="44"/>
  <c r="W1028" i="44" s="1"/>
  <c r="Y1030" i="44"/>
  <c r="W1030" i="44" s="1"/>
  <c r="Y1031" i="44"/>
  <c r="W1031" i="44" s="1"/>
  <c r="Y1032" i="44"/>
  <c r="W1032" i="44" s="1"/>
  <c r="Y1033" i="44"/>
  <c r="W1033" i="44" s="1"/>
  <c r="Y1036" i="44"/>
  <c r="W1036" i="44" s="1"/>
  <c r="Y1037" i="44"/>
  <c r="W1037" i="44" s="1"/>
  <c r="Y1038" i="44"/>
  <c r="W1038" i="44" s="1"/>
  <c r="Y1039" i="52"/>
  <c r="W1039" i="52" s="1"/>
  <c r="Y1040" i="44"/>
  <c r="W1040" i="44" s="1"/>
  <c r="Y1041" i="53"/>
  <c r="W1041" i="53" s="1"/>
  <c r="Y1042" i="44"/>
  <c r="W1042" i="44" s="1"/>
  <c r="Y1043" i="53"/>
  <c r="W1043" i="53" s="1"/>
  <c r="Y1044" i="44"/>
  <c r="W1044" i="44" s="1"/>
  <c r="Y1045" i="44"/>
  <c r="W1045" i="44" s="1"/>
  <c r="Y1046" i="44"/>
  <c r="W1046" i="44" s="1"/>
  <c r="Y1047" i="44"/>
  <c r="W1047" i="44" s="1"/>
  <c r="Y1048" i="44"/>
  <c r="W1048" i="44" s="1"/>
  <c r="Y1049" i="44"/>
  <c r="W1049" i="44" s="1"/>
  <c r="Y1050" i="53"/>
  <c r="W1050" i="53" s="1"/>
  <c r="Y1052" i="44"/>
  <c r="W1052" i="44" s="1"/>
  <c r="Y1054" i="44"/>
  <c r="W1054" i="44" s="1"/>
  <c r="Y1055" i="54"/>
  <c r="W1055" i="54" s="1"/>
  <c r="Y1056" i="44"/>
  <c r="W1056" i="44" s="1"/>
  <c r="Y1057" i="52"/>
  <c r="W1057" i="52" s="1"/>
  <c r="Y1058" i="54"/>
  <c r="W1058" i="54" s="1"/>
  <c r="Y1059" i="53"/>
  <c r="W1059" i="53" s="1"/>
  <c r="Y1060" i="44"/>
  <c r="W1060" i="44" s="1"/>
  <c r="Y1062" i="44"/>
  <c r="W1062" i="44" s="1"/>
  <c r="Y1063" i="44"/>
  <c r="W1063" i="44" s="1"/>
  <c r="Y1064" i="44"/>
  <c r="W1064" i="44" s="1"/>
  <c r="Y1065" i="44"/>
  <c r="W1065" i="44" s="1"/>
  <c r="Y1066" i="44"/>
  <c r="W1066" i="44" s="1"/>
  <c r="Y1068" i="44"/>
  <c r="W1068" i="44" s="1"/>
  <c r="Y1070" i="44"/>
  <c r="W1070" i="44" s="1"/>
  <c r="Y1071" i="52"/>
  <c r="W1071" i="52" s="1"/>
  <c r="Y1072" i="44"/>
  <c r="W1072" i="44" s="1"/>
  <c r="Y1073" i="52"/>
  <c r="W1073" i="52" s="1"/>
  <c r="Y1075" i="53"/>
  <c r="W1075" i="53" s="1"/>
  <c r="Y1076" i="44"/>
  <c r="W1076" i="44" s="1"/>
  <c r="Y1077" i="44"/>
  <c r="W1077" i="44" s="1"/>
  <c r="Y1078" i="44"/>
  <c r="W1078" i="44" s="1"/>
  <c r="Y1080" i="44"/>
  <c r="W1080" i="44" s="1"/>
  <c r="Y1081" i="44"/>
  <c r="W1081" i="44" s="1"/>
  <c r="Y1083" i="44"/>
  <c r="W1083" i="44" s="1"/>
  <c r="Y1084" i="44"/>
  <c r="W1084" i="44" s="1"/>
  <c r="Y1087" i="52"/>
  <c r="W1087" i="52" s="1"/>
  <c r="Y1088" i="44"/>
  <c r="W1088" i="44" s="1"/>
  <c r="Y1089" i="44"/>
  <c r="W1089" i="44" s="1"/>
  <c r="Y1090" i="44"/>
  <c r="W1090" i="44" s="1"/>
  <c r="Y1091" i="53"/>
  <c r="W1091" i="53" s="1"/>
  <c r="Y1092" i="44"/>
  <c r="W1092" i="44" s="1"/>
  <c r="Y1093" i="44"/>
  <c r="W1093" i="44" s="1"/>
  <c r="Y1095" i="53"/>
  <c r="W1095" i="53" s="1"/>
  <c r="Y1096" i="44"/>
  <c r="W1096" i="44" s="1"/>
  <c r="Y1098" i="44"/>
  <c r="W1098" i="44" s="1"/>
  <c r="Y1099" i="44"/>
  <c r="W1099" i="44" s="1"/>
  <c r="Y1100" i="44"/>
  <c r="W1100" i="44" s="1"/>
  <c r="Y1101" i="44"/>
  <c r="W1101" i="44" s="1"/>
  <c r="Y1103" i="44"/>
  <c r="W1103" i="44" s="1"/>
  <c r="Y1104" i="44"/>
  <c r="W1104" i="44" s="1"/>
  <c r="Y1105" i="44"/>
  <c r="W1105" i="44" s="1"/>
  <c r="Y1107" i="54"/>
  <c r="W1107" i="54" s="1"/>
  <c r="Y1108" i="44"/>
  <c r="W1108" i="44" s="1"/>
  <c r="Y1109" i="44"/>
  <c r="W1109" i="44" s="1"/>
  <c r="Y1110" i="53"/>
  <c r="W1110" i="53" s="1"/>
  <c r="Y1111" i="53"/>
  <c r="W1111" i="53" s="1"/>
  <c r="Y1112" i="44"/>
  <c r="W1112" i="44" s="1"/>
  <c r="Y1114" i="44"/>
  <c r="W1114" i="44" s="1"/>
  <c r="Y1115" i="44"/>
  <c r="W1115" i="44" s="1"/>
  <c r="Y1116" i="44"/>
  <c r="W1116" i="44" s="1"/>
  <c r="Y1117" i="44"/>
  <c r="W1117" i="44" s="1"/>
  <c r="Y1119" i="53"/>
  <c r="W1119" i="53" s="1"/>
  <c r="Y1120" i="44"/>
  <c r="W1120" i="44" s="1"/>
  <c r="Y1121" i="44"/>
  <c r="W1121" i="44" s="1"/>
  <c r="Y1122" i="44"/>
  <c r="W1122" i="44" s="1"/>
  <c r="Y1123" i="53"/>
  <c r="W1123" i="53" s="1"/>
  <c r="Y1124" i="44"/>
  <c r="W1124" i="44" s="1"/>
  <c r="Y1128" i="44"/>
  <c r="W1128" i="44" s="1"/>
  <c r="Y1130" i="52"/>
  <c r="W1130" i="52" s="1"/>
  <c r="Y1131" i="44"/>
  <c r="W1131" i="44" s="1"/>
  <c r="Y1132" i="44"/>
  <c r="W1132" i="44" s="1"/>
  <c r="Y1133" i="44"/>
  <c r="W1133" i="44" s="1"/>
  <c r="Y1134" i="53"/>
  <c r="W1134" i="53" s="1"/>
  <c r="Y1135" i="44"/>
  <c r="W1135" i="44" s="1"/>
  <c r="Y1136" i="44"/>
  <c r="W1136" i="44" s="1"/>
  <c r="Y1137" i="44"/>
  <c r="W1137" i="44" s="1"/>
  <c r="Y1138" i="52"/>
  <c r="W1138" i="52" s="1"/>
  <c r="Y1139" i="53"/>
  <c r="W1139" i="53" s="1"/>
  <c r="Y1140" i="44"/>
  <c r="W1140" i="44" s="1"/>
  <c r="Y1142" i="53"/>
  <c r="W1142" i="53" s="1"/>
  <c r="Y1144" i="44"/>
  <c r="W1144" i="44" s="1"/>
  <c r="Y1145" i="44"/>
  <c r="W1145" i="44" s="1"/>
  <c r="Y1146" i="44"/>
  <c r="W1146" i="44" s="1"/>
  <c r="Y1147" i="44"/>
  <c r="W1147" i="44" s="1"/>
  <c r="Y1148" i="44"/>
  <c r="W1148" i="44" s="1"/>
  <c r="Y1149" i="44"/>
  <c r="W1149" i="44" s="1"/>
  <c r="Y1150" i="53"/>
  <c r="W1150" i="53" s="1"/>
  <c r="Y1151" i="52"/>
  <c r="W1151" i="52" s="1"/>
  <c r="Y1152" i="44"/>
  <c r="W1152" i="44" s="1"/>
  <c r="Y1155" i="52"/>
  <c r="W1155" i="52" s="1"/>
  <c r="Y1156" i="44"/>
  <c r="W1156" i="44" s="1"/>
  <c r="Y1158" i="44"/>
  <c r="W1158" i="44" s="1"/>
  <c r="Y1159" i="53"/>
  <c r="W1159" i="53" s="1"/>
  <c r="Y1160" i="44"/>
  <c r="W1160" i="44" s="1"/>
  <c r="Y1161" i="44"/>
  <c r="W1161" i="44" s="1"/>
  <c r="Y1163" i="44"/>
  <c r="W1163" i="44" s="1"/>
  <c r="Y1164" i="44"/>
  <c r="W1164" i="44" s="1"/>
  <c r="Y1165" i="44"/>
  <c r="W1165" i="44" s="1"/>
  <c r="Y1166" i="44"/>
  <c r="W1166" i="44" s="1"/>
  <c r="Y1167" i="44"/>
  <c r="W1167" i="44" s="1"/>
  <c r="Y1168" i="44"/>
  <c r="W1168" i="44" s="1"/>
  <c r="Y1171" i="53"/>
  <c r="W1171" i="53" s="1"/>
  <c r="Y1172" i="44"/>
  <c r="W1172" i="44" s="1"/>
  <c r="Y1173" i="44"/>
  <c r="W1173" i="44" s="1"/>
  <c r="Y1175" i="53"/>
  <c r="W1175" i="53" s="1"/>
  <c r="Y1176" i="44"/>
  <c r="W1176" i="44" s="1"/>
  <c r="Y1179" i="44"/>
  <c r="W1179" i="44" s="1"/>
  <c r="Y1180" i="44"/>
  <c r="W1180" i="44" s="1"/>
  <c r="Y1182" i="44"/>
  <c r="W1182" i="44" s="1"/>
  <c r="Y1183" i="55"/>
  <c r="W1183" i="55" s="1"/>
  <c r="Y1184" i="44"/>
  <c r="W1184" i="44" s="1"/>
  <c r="Y22" i="44"/>
  <c r="X22" i="44" s="1"/>
  <c r="AS3" i="19"/>
  <c r="AQ22" i="56"/>
  <c r="J3" i="56"/>
  <c r="K3" i="56" s="1"/>
  <c r="L3" i="56" s="1"/>
  <c r="Y26" i="55"/>
  <c r="W26" i="55" s="1"/>
  <c r="Y27" i="55"/>
  <c r="W27" i="55" s="1"/>
  <c r="AJ284" i="19" l="1"/>
  <c r="AP284" i="19"/>
  <c r="AJ285" i="19"/>
  <c r="AP285" i="19"/>
  <c r="AL285" i="19"/>
  <c r="AK285" i="19"/>
  <c r="AI285" i="19"/>
  <c r="AM285" i="19"/>
  <c r="AL284" i="19"/>
  <c r="AK284" i="19"/>
  <c r="AI284" i="19"/>
  <c r="AM284" i="19"/>
  <c r="Y345" i="52"/>
  <c r="W345" i="52" s="1"/>
  <c r="Y589" i="44"/>
  <c r="W589" i="44" s="1"/>
  <c r="Y905" i="44"/>
  <c r="W905" i="44" s="1"/>
  <c r="Y649" i="52"/>
  <c r="W649" i="52" s="1"/>
  <c r="Y313" i="44"/>
  <c r="W313" i="44" s="1"/>
  <c r="Y517" i="52"/>
  <c r="W517" i="52" s="1"/>
  <c r="Y605" i="52"/>
  <c r="W605" i="52" s="1"/>
  <c r="Y393" i="54"/>
  <c r="W393" i="54" s="1"/>
  <c r="Y1013" i="52"/>
  <c r="W1013" i="52" s="1"/>
  <c r="Y921" i="44"/>
  <c r="W921" i="44" s="1"/>
  <c r="Y853" i="44"/>
  <c r="W853" i="44" s="1"/>
  <c r="Y647" i="44"/>
  <c r="W647" i="44" s="1"/>
  <c r="Y739" i="44"/>
  <c r="W739" i="44" s="1"/>
  <c r="Y767" i="54"/>
  <c r="W767" i="54" s="1"/>
  <c r="Y1045" i="55"/>
  <c r="W1045" i="55" s="1"/>
  <c r="Y343" i="44"/>
  <c r="W343" i="44" s="1"/>
  <c r="Y455" i="52"/>
  <c r="W455" i="52" s="1"/>
  <c r="Y391" i="44"/>
  <c r="W391" i="44" s="1"/>
  <c r="Y647" i="53"/>
  <c r="W647" i="53" s="1"/>
  <c r="Y611" i="44"/>
  <c r="W611" i="44" s="1"/>
  <c r="Y519" i="44"/>
  <c r="W519" i="44" s="1"/>
  <c r="Y519" i="53"/>
  <c r="W519" i="53" s="1"/>
  <c r="Y51" i="55"/>
  <c r="W51" i="55" s="1"/>
  <c r="Y953" i="44"/>
  <c r="W953" i="44" s="1"/>
  <c r="Y429" i="44"/>
  <c r="W429" i="44" s="1"/>
  <c r="Y757" i="52"/>
  <c r="W757" i="52" s="1"/>
  <c r="Y429" i="52"/>
  <c r="W429" i="52" s="1"/>
  <c r="Y937" i="44"/>
  <c r="W937" i="44" s="1"/>
  <c r="Y517" i="44"/>
  <c r="W517" i="44" s="1"/>
  <c r="Y861" i="52"/>
  <c r="W861" i="52" s="1"/>
  <c r="Y561" i="52"/>
  <c r="W561" i="52" s="1"/>
  <c r="Y855" i="44"/>
  <c r="W855" i="44" s="1"/>
  <c r="Y1117" i="52"/>
  <c r="W1117" i="52" s="1"/>
  <c r="Y953" i="53"/>
  <c r="W953" i="53" s="1"/>
  <c r="Y995" i="44"/>
  <c r="W995" i="44" s="1"/>
  <c r="Y963" i="52"/>
  <c r="W963" i="52" s="1"/>
  <c r="Y339" i="53"/>
  <c r="W339" i="53" s="1"/>
  <c r="Y867" i="44"/>
  <c r="W867" i="44" s="1"/>
  <c r="Y471" i="44"/>
  <c r="W471" i="44" s="1"/>
  <c r="Y643" i="52"/>
  <c r="W643" i="52" s="1"/>
  <c r="Y419" i="52"/>
  <c r="W419" i="52" s="1"/>
  <c r="Y199" i="52"/>
  <c r="W199" i="52" s="1"/>
  <c r="Y83" i="53"/>
  <c r="W83" i="53" s="1"/>
  <c r="Y1027" i="52"/>
  <c r="W1027" i="52" s="1"/>
  <c r="Y1091" i="52"/>
  <c r="W1091" i="52" s="1"/>
  <c r="Y1107" i="53"/>
  <c r="W1107" i="53" s="1"/>
  <c r="Y1161" i="52"/>
  <c r="W1161" i="52" s="1"/>
  <c r="Y1071" i="53"/>
  <c r="W1071" i="53" s="1"/>
  <c r="Y1185" i="54"/>
  <c r="W1185" i="54" s="1"/>
  <c r="Y1185" i="55"/>
  <c r="W1185" i="55" s="1"/>
  <c r="Y1185" i="53"/>
  <c r="W1185" i="53" s="1"/>
  <c r="Y1185" i="52"/>
  <c r="W1185" i="52" s="1"/>
  <c r="Y1177" i="54"/>
  <c r="W1177" i="54" s="1"/>
  <c r="Y1177" i="55"/>
  <c r="W1177" i="55" s="1"/>
  <c r="Y1177" i="53"/>
  <c r="W1177" i="53" s="1"/>
  <c r="Y1169" i="54"/>
  <c r="W1169" i="54" s="1"/>
  <c r="Y1169" i="55"/>
  <c r="W1169" i="55" s="1"/>
  <c r="Y1169" i="53"/>
  <c r="W1169" i="53" s="1"/>
  <c r="Y1169" i="52"/>
  <c r="W1169" i="52" s="1"/>
  <c r="Y1157" i="54"/>
  <c r="W1157" i="54" s="1"/>
  <c r="Y1157" i="55"/>
  <c r="W1157" i="55" s="1"/>
  <c r="Y1157" i="53"/>
  <c r="W1157" i="53" s="1"/>
  <c r="Y1157" i="52"/>
  <c r="W1157" i="52" s="1"/>
  <c r="Y1141" i="54"/>
  <c r="W1141" i="54" s="1"/>
  <c r="Y1141" i="53"/>
  <c r="W1141" i="53" s="1"/>
  <c r="Y1141" i="52"/>
  <c r="W1141" i="52" s="1"/>
  <c r="Y1141" i="55"/>
  <c r="W1141" i="55" s="1"/>
  <c r="Y1125" i="54"/>
  <c r="W1125" i="54" s="1"/>
  <c r="Y1125" i="55"/>
  <c r="W1125" i="55" s="1"/>
  <c r="Y1125" i="53"/>
  <c r="W1125" i="53" s="1"/>
  <c r="Y1125" i="52"/>
  <c r="W1125" i="52" s="1"/>
  <c r="Y1113" i="54"/>
  <c r="W1113" i="54" s="1"/>
  <c r="Y1113" i="55"/>
  <c r="W1113" i="55" s="1"/>
  <c r="Y1113" i="53"/>
  <c r="W1113" i="53" s="1"/>
  <c r="Y1113" i="52"/>
  <c r="W1113" i="52" s="1"/>
  <c r="Y1097" i="54"/>
  <c r="W1097" i="54" s="1"/>
  <c r="Y1097" i="55"/>
  <c r="W1097" i="55" s="1"/>
  <c r="Y1097" i="53"/>
  <c r="W1097" i="53" s="1"/>
  <c r="Y1097" i="52"/>
  <c r="W1097" i="52" s="1"/>
  <c r="Y1085" i="54"/>
  <c r="W1085" i="54" s="1"/>
  <c r="Y1085" i="55"/>
  <c r="W1085" i="55" s="1"/>
  <c r="Y1085" i="53"/>
  <c r="W1085" i="53" s="1"/>
  <c r="Y1085" i="52"/>
  <c r="W1085" i="52" s="1"/>
  <c r="Y1073" i="54"/>
  <c r="W1073" i="54" s="1"/>
  <c r="Y1073" i="55"/>
  <c r="W1073" i="55" s="1"/>
  <c r="Y1073" i="53"/>
  <c r="W1073" i="53" s="1"/>
  <c r="Y1061" i="54"/>
  <c r="W1061" i="54" s="1"/>
  <c r="Y1061" i="55"/>
  <c r="W1061" i="55" s="1"/>
  <c r="Y1061" i="53"/>
  <c r="W1061" i="53" s="1"/>
  <c r="Y1061" i="52"/>
  <c r="W1061" i="52" s="1"/>
  <c r="Y1005" i="53"/>
  <c r="W1005" i="53" s="1"/>
  <c r="Y1005" i="52"/>
  <c r="W1005" i="52" s="1"/>
  <c r="Y989" i="53"/>
  <c r="W989" i="53" s="1"/>
  <c r="Y989" i="52"/>
  <c r="W989" i="52" s="1"/>
  <c r="Y949" i="53"/>
  <c r="W949" i="53" s="1"/>
  <c r="Y949" i="52"/>
  <c r="W949" i="52" s="1"/>
  <c r="Y909" i="55"/>
  <c r="W909" i="55" s="1"/>
  <c r="Y909" i="53"/>
  <c r="W909" i="53" s="1"/>
  <c r="Y909" i="54"/>
  <c r="W909" i="54" s="1"/>
  <c r="Y909" i="52"/>
  <c r="W909" i="52" s="1"/>
  <c r="Y897" i="55"/>
  <c r="W897" i="55" s="1"/>
  <c r="Y897" i="54"/>
  <c r="W897" i="54" s="1"/>
  <c r="Y897" i="53"/>
  <c r="W897" i="53" s="1"/>
  <c r="Y897" i="52"/>
  <c r="W897" i="52" s="1"/>
  <c r="Y885" i="55"/>
  <c r="W885" i="55" s="1"/>
  <c r="Y885" i="54"/>
  <c r="W885" i="54" s="1"/>
  <c r="Y885" i="53"/>
  <c r="W885" i="53" s="1"/>
  <c r="Y885" i="52"/>
  <c r="W885" i="52" s="1"/>
  <c r="Y873" i="55"/>
  <c r="W873" i="55" s="1"/>
  <c r="Y873" i="53"/>
  <c r="W873" i="53" s="1"/>
  <c r="Y873" i="54"/>
  <c r="W873" i="54" s="1"/>
  <c r="Y873" i="52"/>
  <c r="W873" i="52" s="1"/>
  <c r="Y853" i="55"/>
  <c r="W853" i="55" s="1"/>
  <c r="Y853" i="52"/>
  <c r="W853" i="52" s="1"/>
  <c r="Y853" i="53"/>
  <c r="W853" i="53" s="1"/>
  <c r="Y845" i="55"/>
  <c r="W845" i="55" s="1"/>
  <c r="Y845" i="54"/>
  <c r="W845" i="54" s="1"/>
  <c r="Y845" i="53"/>
  <c r="W845" i="53" s="1"/>
  <c r="Y829" i="55"/>
  <c r="W829" i="55" s="1"/>
  <c r="Y829" i="53"/>
  <c r="W829" i="53" s="1"/>
  <c r="Y829" i="54"/>
  <c r="W829" i="54" s="1"/>
  <c r="Y829" i="52"/>
  <c r="W829" i="52" s="1"/>
  <c r="Y817" i="55"/>
  <c r="W817" i="55" s="1"/>
  <c r="Y817" i="54"/>
  <c r="W817" i="54" s="1"/>
  <c r="Y817" i="53"/>
  <c r="W817" i="53" s="1"/>
  <c r="Y805" i="55"/>
  <c r="W805" i="55" s="1"/>
  <c r="Y805" i="54"/>
  <c r="W805" i="54" s="1"/>
  <c r="Y805" i="53"/>
  <c r="W805" i="53" s="1"/>
  <c r="Y805" i="52"/>
  <c r="W805" i="52" s="1"/>
  <c r="Y793" i="55"/>
  <c r="W793" i="55" s="1"/>
  <c r="Y793" i="54"/>
  <c r="W793" i="54" s="1"/>
  <c r="Y793" i="53"/>
  <c r="W793" i="53" s="1"/>
  <c r="Y793" i="52"/>
  <c r="W793" i="52" s="1"/>
  <c r="Y785" i="55"/>
  <c r="W785" i="55" s="1"/>
  <c r="Y785" i="54"/>
  <c r="W785" i="54" s="1"/>
  <c r="Y785" i="53"/>
  <c r="W785" i="53" s="1"/>
  <c r="Y777" i="55"/>
  <c r="W777" i="55" s="1"/>
  <c r="Y777" i="54"/>
  <c r="W777" i="54" s="1"/>
  <c r="Y777" i="53"/>
  <c r="W777" i="53" s="1"/>
  <c r="Y777" i="52"/>
  <c r="W777" i="52" s="1"/>
  <c r="Y769" i="54"/>
  <c r="W769" i="54" s="1"/>
  <c r="Y769" i="52"/>
  <c r="W769" i="52" s="1"/>
  <c r="Y765" i="54"/>
  <c r="W765" i="54" s="1"/>
  <c r="Y765" i="52"/>
  <c r="W765" i="52" s="1"/>
  <c r="Y761" i="54"/>
  <c r="W761" i="54" s="1"/>
  <c r="Y761" i="52"/>
  <c r="W761" i="52" s="1"/>
  <c r="Y753" i="54"/>
  <c r="W753" i="54" s="1"/>
  <c r="Y753" i="52"/>
  <c r="W753" i="52" s="1"/>
  <c r="Y745" i="52"/>
  <c r="W745" i="52" s="1"/>
  <c r="Y745" i="54"/>
  <c r="W745" i="54" s="1"/>
  <c r="Y737" i="54"/>
  <c r="W737" i="54" s="1"/>
  <c r="Y737" i="52"/>
  <c r="W737" i="52" s="1"/>
  <c r="Y733" i="54"/>
  <c r="W733" i="54" s="1"/>
  <c r="Y733" i="52"/>
  <c r="W733" i="52" s="1"/>
  <c r="Y721" i="54"/>
  <c r="W721" i="54" s="1"/>
  <c r="Y721" i="52"/>
  <c r="W721" i="52" s="1"/>
  <c r="Y693" i="54"/>
  <c r="W693" i="54" s="1"/>
  <c r="Y693" i="52"/>
  <c r="W693" i="52" s="1"/>
  <c r="Y685" i="54"/>
  <c r="W685" i="54" s="1"/>
  <c r="Y685" i="52"/>
  <c r="W685" i="52" s="1"/>
  <c r="Y673" i="54"/>
  <c r="W673" i="54" s="1"/>
  <c r="Y673" i="52"/>
  <c r="W673" i="52" s="1"/>
  <c r="Y633" i="54"/>
  <c r="W633" i="54" s="1"/>
  <c r="Y633" i="52"/>
  <c r="W633" i="52" s="1"/>
  <c r="Y625" i="54"/>
  <c r="W625" i="54" s="1"/>
  <c r="Y625" i="52"/>
  <c r="W625" i="52" s="1"/>
  <c r="Y617" i="54"/>
  <c r="W617" i="54" s="1"/>
  <c r="Y617" i="52"/>
  <c r="W617" i="52" s="1"/>
  <c r="Y609" i="54"/>
  <c r="W609" i="54" s="1"/>
  <c r="Y609" i="52"/>
  <c r="W609" i="52" s="1"/>
  <c r="Y597" i="54"/>
  <c r="W597" i="54" s="1"/>
  <c r="Y597" i="52"/>
  <c r="W597" i="52" s="1"/>
  <c r="Y569" i="54"/>
  <c r="W569" i="54" s="1"/>
  <c r="Y569" i="52"/>
  <c r="W569" i="52" s="1"/>
  <c r="Y565" i="54"/>
  <c r="W565" i="54" s="1"/>
  <c r="Y565" i="52"/>
  <c r="W565" i="52" s="1"/>
  <c r="Y553" i="54"/>
  <c r="W553" i="54" s="1"/>
  <c r="Y553" i="52"/>
  <c r="W553" i="52" s="1"/>
  <c r="Y525" i="54"/>
  <c r="W525" i="54" s="1"/>
  <c r="Y525" i="52"/>
  <c r="W525" i="52" s="1"/>
  <c r="Y489" i="52"/>
  <c r="W489" i="52" s="1"/>
  <c r="Y489" i="54"/>
  <c r="W489" i="54" s="1"/>
  <c r="Y481" i="54"/>
  <c r="W481" i="54" s="1"/>
  <c r="Y481" i="52"/>
  <c r="W481" i="52" s="1"/>
  <c r="Y469" i="54"/>
  <c r="W469" i="54" s="1"/>
  <c r="Y469" i="52"/>
  <c r="W469" i="52" s="1"/>
  <c r="Y457" i="52"/>
  <c r="W457" i="52" s="1"/>
  <c r="Y457" i="54"/>
  <c r="W457" i="54" s="1"/>
  <c r="Y449" i="52"/>
  <c r="W449" i="52" s="1"/>
  <c r="Y449" i="54"/>
  <c r="W449" i="54" s="1"/>
  <c r="Y437" i="54"/>
  <c r="W437" i="54" s="1"/>
  <c r="Y437" i="52"/>
  <c r="W437" i="52" s="1"/>
  <c r="Y401" i="54"/>
  <c r="W401" i="54" s="1"/>
  <c r="Y401" i="52"/>
  <c r="W401" i="52" s="1"/>
  <c r="Y397" i="54"/>
  <c r="W397" i="54" s="1"/>
  <c r="Y397" i="52"/>
  <c r="W397" i="52" s="1"/>
  <c r="Y389" i="54"/>
  <c r="W389" i="54" s="1"/>
  <c r="Y389" i="52"/>
  <c r="W389" i="52" s="1"/>
  <c r="Y381" i="54"/>
  <c r="W381" i="54" s="1"/>
  <c r="Y381" i="52"/>
  <c r="W381" i="52" s="1"/>
  <c r="Y373" i="54"/>
  <c r="W373" i="54" s="1"/>
  <c r="Y373" i="52"/>
  <c r="W373" i="52" s="1"/>
  <c r="Y365" i="54"/>
  <c r="W365" i="54" s="1"/>
  <c r="Y365" i="52"/>
  <c r="W365" i="52" s="1"/>
  <c r="Y357" i="54"/>
  <c r="W357" i="54" s="1"/>
  <c r="Y357" i="52"/>
  <c r="W357" i="52" s="1"/>
  <c r="Y349" i="54"/>
  <c r="W349" i="54" s="1"/>
  <c r="Y349" i="52"/>
  <c r="W349" i="52" s="1"/>
  <c r="Y337" i="54"/>
  <c r="W337" i="54" s="1"/>
  <c r="Y337" i="52"/>
  <c r="W337" i="52" s="1"/>
  <c r="Y329" i="54"/>
  <c r="W329" i="54" s="1"/>
  <c r="Y329" i="52"/>
  <c r="W329" i="52" s="1"/>
  <c r="Y321" i="54"/>
  <c r="W321" i="54" s="1"/>
  <c r="Y321" i="52"/>
  <c r="W321" i="52" s="1"/>
  <c r="Y317" i="54"/>
  <c r="W317" i="54" s="1"/>
  <c r="Y317" i="52"/>
  <c r="W317" i="52" s="1"/>
  <c r="Y305" i="54"/>
  <c r="W305" i="54" s="1"/>
  <c r="Y305" i="52"/>
  <c r="W305" i="52" s="1"/>
  <c r="Y297" i="54"/>
  <c r="W297" i="54" s="1"/>
  <c r="Y297" i="52"/>
  <c r="W297" i="52" s="1"/>
  <c r="Y289" i="54"/>
  <c r="W289" i="54" s="1"/>
  <c r="Y289" i="52"/>
  <c r="W289" i="52" s="1"/>
  <c r="Y285" i="54"/>
  <c r="W285" i="54" s="1"/>
  <c r="Y285" i="52"/>
  <c r="W285" i="52" s="1"/>
  <c r="Y285" i="44"/>
  <c r="W285" i="44" s="1"/>
  <c r="Y277" i="54"/>
  <c r="W277" i="54" s="1"/>
  <c r="Y277" i="52"/>
  <c r="W277" i="52" s="1"/>
  <c r="Y277" i="44"/>
  <c r="W277" i="44" s="1"/>
  <c r="Y273" i="54"/>
  <c r="W273" i="54" s="1"/>
  <c r="Y273" i="44"/>
  <c r="W273" i="44" s="1"/>
  <c r="Y273" i="52"/>
  <c r="W273" i="52" s="1"/>
  <c r="Y261" i="54"/>
  <c r="W261" i="54" s="1"/>
  <c r="Y261" i="52"/>
  <c r="W261" i="52" s="1"/>
  <c r="Y261" i="44"/>
  <c r="W261" i="44" s="1"/>
  <c r="Y253" i="54"/>
  <c r="W253" i="54" s="1"/>
  <c r="Y253" i="44"/>
  <c r="W253" i="44" s="1"/>
  <c r="Y245" i="54"/>
  <c r="W245" i="54" s="1"/>
  <c r="Y245" i="44"/>
  <c r="W245" i="44" s="1"/>
  <c r="Y245" i="52"/>
  <c r="W245" i="52" s="1"/>
  <c r="Y237" i="54"/>
  <c r="W237" i="54" s="1"/>
  <c r="Y237" i="52"/>
  <c r="W237" i="52" s="1"/>
  <c r="Y229" i="54"/>
  <c r="W229" i="54" s="1"/>
  <c r="Y229" i="52"/>
  <c r="W229" i="52" s="1"/>
  <c r="Y229" i="44"/>
  <c r="W229" i="44" s="1"/>
  <c r="Y217" i="52"/>
  <c r="W217" i="52" s="1"/>
  <c r="Y217" i="54"/>
  <c r="W217" i="54" s="1"/>
  <c r="Y217" i="44"/>
  <c r="W217" i="44" s="1"/>
  <c r="Y205" i="54"/>
  <c r="W205" i="54" s="1"/>
  <c r="Y205" i="52"/>
  <c r="W205" i="52" s="1"/>
  <c r="Y193" i="54"/>
  <c r="W193" i="54" s="1"/>
  <c r="Y193" i="44"/>
  <c r="W193" i="44" s="1"/>
  <c r="Y185" i="54"/>
  <c r="W185" i="54" s="1"/>
  <c r="Y185" i="44"/>
  <c r="W185" i="44" s="1"/>
  <c r="Y185" i="52"/>
  <c r="W185" i="52" s="1"/>
  <c r="Y173" i="54"/>
  <c r="W173" i="54" s="1"/>
  <c r="Y173" i="52"/>
  <c r="W173" i="52" s="1"/>
  <c r="Y173" i="44"/>
  <c r="W173" i="44" s="1"/>
  <c r="Y161" i="52"/>
  <c r="W161" i="52" s="1"/>
  <c r="Y161" i="54"/>
  <c r="W161" i="54" s="1"/>
  <c r="Y161" i="44"/>
  <c r="W161" i="44" s="1"/>
  <c r="Y149" i="54"/>
  <c r="W149" i="54" s="1"/>
  <c r="Y149" i="52"/>
  <c r="W149" i="52" s="1"/>
  <c r="Y133" i="54"/>
  <c r="W133" i="54" s="1"/>
  <c r="Y133" i="52"/>
  <c r="W133" i="52" s="1"/>
  <c r="Y121" i="54"/>
  <c r="W121" i="54" s="1"/>
  <c r="Y121" i="52"/>
  <c r="W121" i="52" s="1"/>
  <c r="Y121" i="44"/>
  <c r="W121" i="44" s="1"/>
  <c r="Y109" i="54"/>
  <c r="W109" i="54" s="1"/>
  <c r="Y109" i="44"/>
  <c r="W109" i="44" s="1"/>
  <c r="Y101" i="54"/>
  <c r="W101" i="54" s="1"/>
  <c r="Y101" i="52"/>
  <c r="W101" i="52" s="1"/>
  <c r="Y101" i="44"/>
  <c r="W101" i="44" s="1"/>
  <c r="Y89" i="54"/>
  <c r="W89" i="54" s="1"/>
  <c r="Y89" i="52"/>
  <c r="W89" i="52" s="1"/>
  <c r="Y81" i="54"/>
  <c r="W81" i="54" s="1"/>
  <c r="Y81" i="52"/>
  <c r="W81" i="52" s="1"/>
  <c r="Y81" i="44"/>
  <c r="W81" i="44" s="1"/>
  <c r="Y73" i="52"/>
  <c r="W73" i="52" s="1"/>
  <c r="Y73" i="54"/>
  <c r="W73" i="54" s="1"/>
  <c r="Y65" i="52"/>
  <c r="W65" i="52" s="1"/>
  <c r="Y65" i="54"/>
  <c r="W65" i="54" s="1"/>
  <c r="Y65" i="44"/>
  <c r="W65" i="44" s="1"/>
  <c r="Y57" i="54"/>
  <c r="W57" i="54" s="1"/>
  <c r="Y57" i="52"/>
  <c r="W57" i="52" s="1"/>
  <c r="Y49" i="54"/>
  <c r="W49" i="54" s="1"/>
  <c r="Y49" i="52"/>
  <c r="W49" i="52" s="1"/>
  <c r="Y49" i="44"/>
  <c r="W49" i="44" s="1"/>
  <c r="Y41" i="52"/>
  <c r="W41" i="52" s="1"/>
  <c r="Y41" i="54"/>
  <c r="W41" i="54" s="1"/>
  <c r="Y41" i="44"/>
  <c r="W41" i="44" s="1"/>
  <c r="Y33" i="52"/>
  <c r="W33" i="52" s="1"/>
  <c r="Y33" i="54"/>
  <c r="W33" i="54" s="1"/>
  <c r="Y33" i="44"/>
  <c r="W33" i="44" s="1"/>
  <c r="Y1177" i="44"/>
  <c r="W1177" i="44" s="1"/>
  <c r="Y1061" i="44"/>
  <c r="W1061" i="44" s="1"/>
  <c r="Y1005" i="44"/>
  <c r="W1005" i="44" s="1"/>
  <c r="Y981" i="44"/>
  <c r="W981" i="44" s="1"/>
  <c r="Y965" i="44"/>
  <c r="W965" i="44" s="1"/>
  <c r="Y949" i="44"/>
  <c r="W949" i="44" s="1"/>
  <c r="Y873" i="44"/>
  <c r="W873" i="44" s="1"/>
  <c r="Y817" i="44"/>
  <c r="W817" i="44" s="1"/>
  <c r="Y801" i="44"/>
  <c r="W801" i="44" s="1"/>
  <c r="Y785" i="44"/>
  <c r="W785" i="44" s="1"/>
  <c r="Y757" i="44"/>
  <c r="W757" i="44" s="1"/>
  <c r="Y741" i="44"/>
  <c r="W741" i="44" s="1"/>
  <c r="Y685" i="44"/>
  <c r="W685" i="44" s="1"/>
  <c r="Y625" i="44"/>
  <c r="W625" i="44" s="1"/>
  <c r="Y569" i="44"/>
  <c r="W569" i="44" s="1"/>
  <c r="Y553" i="44"/>
  <c r="W553" i="44" s="1"/>
  <c r="Y525" i="44"/>
  <c r="W525" i="44" s="1"/>
  <c r="Y497" i="44"/>
  <c r="W497" i="44" s="1"/>
  <c r="Y457" i="44"/>
  <c r="W457" i="44" s="1"/>
  <c r="Y409" i="44"/>
  <c r="W409" i="44" s="1"/>
  <c r="Y393" i="44"/>
  <c r="W393" i="44" s="1"/>
  <c r="Y381" i="44"/>
  <c r="W381" i="44" s="1"/>
  <c r="Y365" i="44"/>
  <c r="W365" i="44" s="1"/>
  <c r="Y289" i="44"/>
  <c r="W289" i="44" s="1"/>
  <c r="Y149" i="44"/>
  <c r="W149" i="44" s="1"/>
  <c r="Y89" i="44"/>
  <c r="W89" i="44" s="1"/>
  <c r="Y45" i="44"/>
  <c r="W45" i="44" s="1"/>
  <c r="Y1101" i="52"/>
  <c r="W1101" i="52" s="1"/>
  <c r="Y997" i="52"/>
  <c r="W997" i="52" s="1"/>
  <c r="Y845" i="52"/>
  <c r="W845" i="52" s="1"/>
  <c r="Y741" i="52"/>
  <c r="W741" i="52" s="1"/>
  <c r="Y697" i="52"/>
  <c r="W697" i="52" s="1"/>
  <c r="Y589" i="52"/>
  <c r="W589" i="52" s="1"/>
  <c r="Y545" i="52"/>
  <c r="W545" i="52" s="1"/>
  <c r="Y497" i="52"/>
  <c r="W497" i="52" s="1"/>
  <c r="Y313" i="52"/>
  <c r="W313" i="52" s="1"/>
  <c r="Y221" i="52"/>
  <c r="W221" i="52" s="1"/>
  <c r="Y109" i="52"/>
  <c r="W109" i="52" s="1"/>
  <c r="Y1101" i="53"/>
  <c r="W1101" i="53" s="1"/>
  <c r="Y265" i="54"/>
  <c r="W265" i="54" s="1"/>
  <c r="Y1161" i="54"/>
  <c r="W1161" i="54" s="1"/>
  <c r="Y1161" i="55"/>
  <c r="W1161" i="55" s="1"/>
  <c r="Y1161" i="53"/>
  <c r="W1161" i="53" s="1"/>
  <c r="Y1149" i="54"/>
  <c r="W1149" i="54" s="1"/>
  <c r="Y1149" i="55"/>
  <c r="W1149" i="55" s="1"/>
  <c r="Y1149" i="53"/>
  <c r="W1149" i="53" s="1"/>
  <c r="Y1137" i="54"/>
  <c r="W1137" i="54" s="1"/>
  <c r="Y1137" i="55"/>
  <c r="W1137" i="55" s="1"/>
  <c r="Y1137" i="53"/>
  <c r="W1137" i="53" s="1"/>
  <c r="Y1137" i="52"/>
  <c r="W1137" i="52" s="1"/>
  <c r="Y1129" i="54"/>
  <c r="W1129" i="54" s="1"/>
  <c r="Y1129" i="55"/>
  <c r="W1129" i="55" s="1"/>
  <c r="Y1129" i="53"/>
  <c r="W1129" i="53" s="1"/>
  <c r="Y1129" i="52"/>
  <c r="W1129" i="52" s="1"/>
  <c r="Y1117" i="54"/>
  <c r="W1117" i="54" s="1"/>
  <c r="Y1117" i="55"/>
  <c r="W1117" i="55" s="1"/>
  <c r="Y1117" i="53"/>
  <c r="W1117" i="53" s="1"/>
  <c r="Y1105" i="54"/>
  <c r="W1105" i="54" s="1"/>
  <c r="Y1105" i="55"/>
  <c r="W1105" i="55" s="1"/>
  <c r="Y1105" i="53"/>
  <c r="W1105" i="53" s="1"/>
  <c r="Y1105" i="52"/>
  <c r="W1105" i="52" s="1"/>
  <c r="Y1093" i="54"/>
  <c r="W1093" i="54" s="1"/>
  <c r="Y1093" i="55"/>
  <c r="W1093" i="55" s="1"/>
  <c r="Y1093" i="53"/>
  <c r="W1093" i="53" s="1"/>
  <c r="Y1093" i="52"/>
  <c r="W1093" i="52" s="1"/>
  <c r="Y1081" i="54"/>
  <c r="W1081" i="54" s="1"/>
  <c r="Y1081" i="55"/>
  <c r="W1081" i="55" s="1"/>
  <c r="Y1081" i="53"/>
  <c r="W1081" i="53" s="1"/>
  <c r="Y1081" i="52"/>
  <c r="W1081" i="52" s="1"/>
  <c r="Y1069" i="54"/>
  <c r="W1069" i="54" s="1"/>
  <c r="Y1069" i="53"/>
  <c r="W1069" i="53" s="1"/>
  <c r="Y1069" i="55"/>
  <c r="W1069" i="55" s="1"/>
  <c r="Y1069" i="52"/>
  <c r="W1069" i="52" s="1"/>
  <c r="Y1057" i="54"/>
  <c r="W1057" i="54" s="1"/>
  <c r="Y1057" i="55"/>
  <c r="W1057" i="55" s="1"/>
  <c r="Y1057" i="53"/>
  <c r="W1057" i="53" s="1"/>
  <c r="Y1049" i="54"/>
  <c r="W1049" i="54" s="1"/>
  <c r="Y1049" i="55"/>
  <c r="W1049" i="55" s="1"/>
  <c r="Y1049" i="53"/>
  <c r="W1049" i="53" s="1"/>
  <c r="Y1049" i="52"/>
  <c r="W1049" i="52" s="1"/>
  <c r="Y1037" i="53"/>
  <c r="W1037" i="53" s="1"/>
  <c r="Y1037" i="52"/>
  <c r="W1037" i="52" s="1"/>
  <c r="Y1029" i="53"/>
  <c r="W1029" i="53" s="1"/>
  <c r="Y1029" i="52"/>
  <c r="W1029" i="52" s="1"/>
  <c r="Y1021" i="53"/>
  <c r="W1021" i="53" s="1"/>
  <c r="Y1021" i="52"/>
  <c r="W1021" i="52" s="1"/>
  <c r="Y1017" i="52"/>
  <c r="W1017" i="52" s="1"/>
  <c r="Y1017" i="53"/>
  <c r="W1017" i="53" s="1"/>
  <c r="Y1009" i="53"/>
  <c r="W1009" i="53" s="1"/>
  <c r="Y1009" i="52"/>
  <c r="W1009" i="52" s="1"/>
  <c r="Y1001" i="53"/>
  <c r="W1001" i="53" s="1"/>
  <c r="Y1001" i="52"/>
  <c r="W1001" i="52" s="1"/>
  <c r="Y993" i="53"/>
  <c r="W993" i="53" s="1"/>
  <c r="Y993" i="52"/>
  <c r="W993" i="52" s="1"/>
  <c r="Y985" i="53"/>
  <c r="W985" i="53" s="1"/>
  <c r="Y985" i="52"/>
  <c r="W985" i="52" s="1"/>
  <c r="Y977" i="53"/>
  <c r="W977" i="53" s="1"/>
  <c r="Y977" i="52"/>
  <c r="W977" i="52" s="1"/>
  <c r="Y969" i="53"/>
  <c r="W969" i="53" s="1"/>
  <c r="Y969" i="52"/>
  <c r="W969" i="52" s="1"/>
  <c r="Y961" i="53"/>
  <c r="W961" i="53" s="1"/>
  <c r="Y961" i="52"/>
  <c r="W961" i="52" s="1"/>
  <c r="Y945" i="53"/>
  <c r="W945" i="53" s="1"/>
  <c r="Y945" i="52"/>
  <c r="W945" i="52" s="1"/>
  <c r="Y941" i="53"/>
  <c r="W941" i="53" s="1"/>
  <c r="Y941" i="52"/>
  <c r="W941" i="52" s="1"/>
  <c r="Y929" i="53"/>
  <c r="W929" i="53" s="1"/>
  <c r="Y929" i="52"/>
  <c r="W929" i="52" s="1"/>
  <c r="Y917" i="53"/>
  <c r="W917" i="53" s="1"/>
  <c r="Y917" i="52"/>
  <c r="W917" i="52" s="1"/>
  <c r="Y905" i="55"/>
  <c r="W905" i="55" s="1"/>
  <c r="Y905" i="54"/>
  <c r="W905" i="54" s="1"/>
  <c r="Y905" i="53"/>
  <c r="W905" i="53" s="1"/>
  <c r="Y893" i="55"/>
  <c r="W893" i="55" s="1"/>
  <c r="Y893" i="53"/>
  <c r="W893" i="53" s="1"/>
  <c r="Y893" i="54"/>
  <c r="W893" i="54" s="1"/>
  <c r="Y881" i="55"/>
  <c r="W881" i="55" s="1"/>
  <c r="Y881" i="54"/>
  <c r="W881" i="54" s="1"/>
  <c r="Y881" i="53"/>
  <c r="W881" i="53" s="1"/>
  <c r="Y881" i="52"/>
  <c r="W881" i="52" s="1"/>
  <c r="Y869" i="55"/>
  <c r="W869" i="55" s="1"/>
  <c r="Y869" i="54"/>
  <c r="W869" i="54" s="1"/>
  <c r="Y869" i="53"/>
  <c r="W869" i="53" s="1"/>
  <c r="Y869" i="52"/>
  <c r="W869" i="52" s="1"/>
  <c r="Y857" i="55"/>
  <c r="W857" i="55" s="1"/>
  <c r="Y857" i="54"/>
  <c r="W857" i="54" s="1"/>
  <c r="Y857" i="53"/>
  <c r="W857" i="53" s="1"/>
  <c r="Y857" i="52"/>
  <c r="W857" i="52" s="1"/>
  <c r="Y841" i="55"/>
  <c r="W841" i="55" s="1"/>
  <c r="Y841" i="54"/>
  <c r="W841" i="54" s="1"/>
  <c r="Y841" i="53"/>
  <c r="W841" i="53" s="1"/>
  <c r="Y841" i="52"/>
  <c r="W841" i="52" s="1"/>
  <c r="Y825" i="55"/>
  <c r="W825" i="55" s="1"/>
  <c r="Y825" i="54"/>
  <c r="W825" i="54" s="1"/>
  <c r="Y825" i="53"/>
  <c r="W825" i="53" s="1"/>
  <c r="Y825" i="52"/>
  <c r="W825" i="52" s="1"/>
  <c r="Y813" i="55"/>
  <c r="W813" i="55" s="1"/>
  <c r="Y813" i="54"/>
  <c r="W813" i="54" s="1"/>
  <c r="Y813" i="53"/>
  <c r="W813" i="53" s="1"/>
  <c r="Y813" i="52"/>
  <c r="W813" i="52" s="1"/>
  <c r="Y801" i="55"/>
  <c r="W801" i="55" s="1"/>
  <c r="Y801" i="54"/>
  <c r="W801" i="54" s="1"/>
  <c r="Y801" i="53"/>
  <c r="W801" i="53" s="1"/>
  <c r="Y789" i="55"/>
  <c r="W789" i="55" s="1"/>
  <c r="Y789" i="54"/>
  <c r="W789" i="54" s="1"/>
  <c r="Y789" i="52"/>
  <c r="W789" i="52" s="1"/>
  <c r="Y773" i="55"/>
  <c r="W773" i="55" s="1"/>
  <c r="Y773" i="54"/>
  <c r="W773" i="54" s="1"/>
  <c r="Y773" i="53"/>
  <c r="W773" i="53" s="1"/>
  <c r="Y773" i="52"/>
  <c r="W773" i="52" s="1"/>
  <c r="Y729" i="54"/>
  <c r="W729" i="54" s="1"/>
  <c r="Y729" i="52"/>
  <c r="W729" i="52" s="1"/>
  <c r="Y701" i="54"/>
  <c r="W701" i="54" s="1"/>
  <c r="Y701" i="52"/>
  <c r="W701" i="52" s="1"/>
  <c r="Y689" i="54"/>
  <c r="W689" i="54" s="1"/>
  <c r="Y689" i="52"/>
  <c r="W689" i="52" s="1"/>
  <c r="Y657" i="54"/>
  <c r="W657" i="54" s="1"/>
  <c r="Y657" i="52"/>
  <c r="W657" i="52" s="1"/>
  <c r="Y645" i="54"/>
  <c r="W645" i="54" s="1"/>
  <c r="Y645" i="52"/>
  <c r="W645" i="52" s="1"/>
  <c r="Y613" i="54"/>
  <c r="W613" i="54" s="1"/>
  <c r="Y613" i="52"/>
  <c r="W613" i="52" s="1"/>
  <c r="Y581" i="54"/>
  <c r="W581" i="54" s="1"/>
  <c r="Y581" i="52"/>
  <c r="W581" i="52" s="1"/>
  <c r="Y573" i="54"/>
  <c r="W573" i="54" s="1"/>
  <c r="Y573" i="52"/>
  <c r="W573" i="52" s="1"/>
  <c r="Y537" i="54"/>
  <c r="W537" i="54" s="1"/>
  <c r="Y537" i="52"/>
  <c r="W537" i="52" s="1"/>
  <c r="Y513" i="54"/>
  <c r="W513" i="54" s="1"/>
  <c r="Y513" i="52"/>
  <c r="W513" i="52" s="1"/>
  <c r="Y461" i="54"/>
  <c r="W461" i="54" s="1"/>
  <c r="Y461" i="52"/>
  <c r="W461" i="52" s="1"/>
  <c r="Y421" i="54"/>
  <c r="W421" i="54" s="1"/>
  <c r="Y421" i="52"/>
  <c r="W421" i="52" s="1"/>
  <c r="Y417" i="54"/>
  <c r="W417" i="54" s="1"/>
  <c r="Y417" i="52"/>
  <c r="W417" i="52" s="1"/>
  <c r="Y405" i="54"/>
  <c r="W405" i="54" s="1"/>
  <c r="Y405" i="52"/>
  <c r="W405" i="52" s="1"/>
  <c r="Y369" i="54"/>
  <c r="W369" i="54" s="1"/>
  <c r="Y369" i="52"/>
  <c r="W369" i="52" s="1"/>
  <c r="Y361" i="52"/>
  <c r="W361" i="52" s="1"/>
  <c r="Y361" i="54"/>
  <c r="W361" i="54" s="1"/>
  <c r="Y353" i="54"/>
  <c r="W353" i="54" s="1"/>
  <c r="Y353" i="52"/>
  <c r="W353" i="52" s="1"/>
  <c r="Y341" i="54"/>
  <c r="W341" i="54" s="1"/>
  <c r="Y341" i="52"/>
  <c r="W341" i="52" s="1"/>
  <c r="Y333" i="54"/>
  <c r="W333" i="54" s="1"/>
  <c r="Y333" i="52"/>
  <c r="W333" i="52" s="1"/>
  <c r="Y325" i="54"/>
  <c r="W325" i="54" s="1"/>
  <c r="Y325" i="52"/>
  <c r="W325" i="52" s="1"/>
  <c r="Y309" i="54"/>
  <c r="W309" i="54" s="1"/>
  <c r="Y309" i="52"/>
  <c r="W309" i="52" s="1"/>
  <c r="Y269" i="54"/>
  <c r="W269" i="54" s="1"/>
  <c r="Y269" i="52"/>
  <c r="W269" i="52" s="1"/>
  <c r="Y269" i="44"/>
  <c r="W269" i="44" s="1"/>
  <c r="Y213" i="54"/>
  <c r="W213" i="54" s="1"/>
  <c r="Y213" i="44"/>
  <c r="W213" i="44" s="1"/>
  <c r="Y213" i="52"/>
  <c r="W213" i="52" s="1"/>
  <c r="Y197" i="54"/>
  <c r="W197" i="54" s="1"/>
  <c r="Y197" i="52"/>
  <c r="W197" i="52" s="1"/>
  <c r="Y197" i="44"/>
  <c r="W197" i="44" s="1"/>
  <c r="Y181" i="54"/>
  <c r="W181" i="54" s="1"/>
  <c r="Y181" i="52"/>
  <c r="W181" i="52" s="1"/>
  <c r="Y165" i="54"/>
  <c r="W165" i="54" s="1"/>
  <c r="Y165" i="52"/>
  <c r="W165" i="52" s="1"/>
  <c r="Y153" i="54"/>
  <c r="W153" i="54" s="1"/>
  <c r="Y153" i="52"/>
  <c r="W153" i="52" s="1"/>
  <c r="Y153" i="44"/>
  <c r="W153" i="44" s="1"/>
  <c r="Y141" i="54"/>
  <c r="W141" i="54" s="1"/>
  <c r="Y141" i="52"/>
  <c r="W141" i="52" s="1"/>
  <c r="Y141" i="44"/>
  <c r="W141" i="44" s="1"/>
  <c r="Y129" i="52"/>
  <c r="W129" i="52" s="1"/>
  <c r="Y129" i="54"/>
  <c r="W129" i="54" s="1"/>
  <c r="Y129" i="44"/>
  <c r="W129" i="44" s="1"/>
  <c r="Y117" i="54"/>
  <c r="W117" i="54" s="1"/>
  <c r="Y117" i="52"/>
  <c r="W117" i="52" s="1"/>
  <c r="Y117" i="44"/>
  <c r="W117" i="44" s="1"/>
  <c r="Y105" i="52"/>
  <c r="W105" i="52" s="1"/>
  <c r="Y105" i="54"/>
  <c r="W105" i="54" s="1"/>
  <c r="Y93" i="54"/>
  <c r="W93" i="54" s="1"/>
  <c r="Y93" i="44"/>
  <c r="W93" i="44" s="1"/>
  <c r="Y93" i="52"/>
  <c r="W93" i="52" s="1"/>
  <c r="Y77" i="54"/>
  <c r="W77" i="54" s="1"/>
  <c r="Y77" i="44"/>
  <c r="W77" i="44" s="1"/>
  <c r="Y77" i="52"/>
  <c r="W77" i="52" s="1"/>
  <c r="Y69" i="54"/>
  <c r="W69" i="54" s="1"/>
  <c r="Y69" i="52"/>
  <c r="W69" i="52" s="1"/>
  <c r="Y69" i="44"/>
  <c r="W69" i="44" s="1"/>
  <c r="Y61" i="54"/>
  <c r="W61" i="54" s="1"/>
  <c r="Y61" i="52"/>
  <c r="W61" i="52" s="1"/>
  <c r="Y61" i="44"/>
  <c r="W61" i="44" s="1"/>
  <c r="Y53" i="54"/>
  <c r="W53" i="54" s="1"/>
  <c r="Y53" i="52"/>
  <c r="W53" i="52" s="1"/>
  <c r="Y53" i="44"/>
  <c r="W53" i="44" s="1"/>
  <c r="Y25" i="54"/>
  <c r="W25" i="54" s="1"/>
  <c r="Y25" i="52"/>
  <c r="W25" i="52" s="1"/>
  <c r="Y25" i="44"/>
  <c r="W25" i="44" s="1"/>
  <c r="Y1185" i="44"/>
  <c r="W1185" i="44" s="1"/>
  <c r="Y1157" i="44"/>
  <c r="W1157" i="44" s="1"/>
  <c r="Y1129" i="44"/>
  <c r="W1129" i="44" s="1"/>
  <c r="Y1085" i="44"/>
  <c r="W1085" i="44" s="1"/>
  <c r="Y1073" i="44"/>
  <c r="W1073" i="44" s="1"/>
  <c r="Y1057" i="44"/>
  <c r="W1057" i="44" s="1"/>
  <c r="Y1041" i="44"/>
  <c r="W1041" i="44" s="1"/>
  <c r="Y1017" i="44"/>
  <c r="W1017" i="44" s="1"/>
  <c r="Y1001" i="44"/>
  <c r="W1001" i="44" s="1"/>
  <c r="Y989" i="44"/>
  <c r="W989" i="44" s="1"/>
  <c r="Y977" i="44"/>
  <c r="W977" i="44" s="1"/>
  <c r="Y961" i="44"/>
  <c r="W961" i="44" s="1"/>
  <c r="Y945" i="44"/>
  <c r="W945" i="44" s="1"/>
  <c r="Y929" i="44"/>
  <c r="W929" i="44" s="1"/>
  <c r="Y885" i="44"/>
  <c r="W885" i="44" s="1"/>
  <c r="Y869" i="44"/>
  <c r="W869" i="44" s="1"/>
  <c r="Y857" i="44"/>
  <c r="W857" i="44" s="1"/>
  <c r="Y845" i="44"/>
  <c r="W845" i="44" s="1"/>
  <c r="Y829" i="44"/>
  <c r="W829" i="44" s="1"/>
  <c r="Y813" i="44"/>
  <c r="W813" i="44" s="1"/>
  <c r="Y769" i="44"/>
  <c r="W769" i="44" s="1"/>
  <c r="Y753" i="44"/>
  <c r="W753" i="44" s="1"/>
  <c r="Y697" i="44"/>
  <c r="W697" i="44" s="1"/>
  <c r="Y681" i="44"/>
  <c r="W681" i="44" s="1"/>
  <c r="Y665" i="44"/>
  <c r="W665" i="44" s="1"/>
  <c r="Y649" i="44"/>
  <c r="W649" i="44" s="1"/>
  <c r="Y637" i="44"/>
  <c r="W637" i="44" s="1"/>
  <c r="Y621" i="44"/>
  <c r="W621" i="44" s="1"/>
  <c r="Y609" i="44"/>
  <c r="W609" i="44" s="1"/>
  <c r="Y597" i="44"/>
  <c r="W597" i="44" s="1"/>
  <c r="Y581" i="44"/>
  <c r="W581" i="44" s="1"/>
  <c r="Y565" i="44"/>
  <c r="W565" i="44" s="1"/>
  <c r="Y521" i="44"/>
  <c r="W521" i="44" s="1"/>
  <c r="Y481" i="44"/>
  <c r="W481" i="44" s="1"/>
  <c r="Y469" i="44"/>
  <c r="W469" i="44" s="1"/>
  <c r="Y437" i="44"/>
  <c r="W437" i="44" s="1"/>
  <c r="Y421" i="44"/>
  <c r="W421" i="44" s="1"/>
  <c r="Y405" i="44"/>
  <c r="W405" i="44" s="1"/>
  <c r="Y377" i="44"/>
  <c r="W377" i="44" s="1"/>
  <c r="Y361" i="44"/>
  <c r="W361" i="44" s="1"/>
  <c r="Y349" i="44"/>
  <c r="W349" i="44" s="1"/>
  <c r="Y337" i="44"/>
  <c r="W337" i="44" s="1"/>
  <c r="Y321" i="44"/>
  <c r="W321" i="44" s="1"/>
  <c r="Y305" i="44"/>
  <c r="W305" i="44" s="1"/>
  <c r="Y281" i="44"/>
  <c r="W281" i="44" s="1"/>
  <c r="Y237" i="44"/>
  <c r="W237" i="44" s="1"/>
  <c r="Y133" i="44"/>
  <c r="W133" i="44" s="1"/>
  <c r="Y73" i="44"/>
  <c r="W73" i="44" s="1"/>
  <c r="Y1149" i="52"/>
  <c r="W1149" i="52" s="1"/>
  <c r="Y1041" i="52"/>
  <c r="W1041" i="52" s="1"/>
  <c r="Y981" i="52"/>
  <c r="W981" i="52" s="1"/>
  <c r="Y937" i="52"/>
  <c r="W937" i="52" s="1"/>
  <c r="Y893" i="52"/>
  <c r="W893" i="52" s="1"/>
  <c r="Y785" i="52"/>
  <c r="W785" i="52" s="1"/>
  <c r="Y725" i="52"/>
  <c r="W725" i="52" s="1"/>
  <c r="Y681" i="52"/>
  <c r="W681" i="52" s="1"/>
  <c r="Y637" i="52"/>
  <c r="W637" i="52" s="1"/>
  <c r="Y529" i="52"/>
  <c r="W529" i="52" s="1"/>
  <c r="Y477" i="52"/>
  <c r="W477" i="52" s="1"/>
  <c r="Y409" i="52"/>
  <c r="W409" i="52" s="1"/>
  <c r="Y281" i="52"/>
  <c r="W281" i="52" s="1"/>
  <c r="Y45" i="52"/>
  <c r="W45" i="52" s="1"/>
  <c r="Y789" i="53"/>
  <c r="W789" i="53" s="1"/>
  <c r="Y1181" i="54"/>
  <c r="W1181" i="54" s="1"/>
  <c r="Y1181" i="55"/>
  <c r="W1181" i="55" s="1"/>
  <c r="Y1181" i="53"/>
  <c r="W1181" i="53" s="1"/>
  <c r="Y1181" i="52"/>
  <c r="W1181" i="52" s="1"/>
  <c r="Y1173" i="54"/>
  <c r="W1173" i="54" s="1"/>
  <c r="Y1173" i="53"/>
  <c r="W1173" i="53" s="1"/>
  <c r="Y1173" i="52"/>
  <c r="W1173" i="52" s="1"/>
  <c r="Y1165" i="54"/>
  <c r="W1165" i="54" s="1"/>
  <c r="Y1165" i="53"/>
  <c r="W1165" i="53" s="1"/>
  <c r="Y1165" i="55"/>
  <c r="W1165" i="55" s="1"/>
  <c r="Y1165" i="52"/>
  <c r="W1165" i="52" s="1"/>
  <c r="Y1153" i="54"/>
  <c r="W1153" i="54" s="1"/>
  <c r="Y1153" i="55"/>
  <c r="W1153" i="55" s="1"/>
  <c r="Y1153" i="53"/>
  <c r="W1153" i="53" s="1"/>
  <c r="Y1153" i="52"/>
  <c r="W1153" i="52" s="1"/>
  <c r="Y1145" i="54"/>
  <c r="W1145" i="54" s="1"/>
  <c r="Y1145" i="55"/>
  <c r="W1145" i="55" s="1"/>
  <c r="Y1145" i="52"/>
  <c r="W1145" i="52" s="1"/>
  <c r="Y1133" i="54"/>
  <c r="W1133" i="54" s="1"/>
  <c r="Y1133" i="53"/>
  <c r="W1133" i="53" s="1"/>
  <c r="Y1133" i="55"/>
  <c r="W1133" i="55" s="1"/>
  <c r="Y1121" i="54"/>
  <c r="W1121" i="54" s="1"/>
  <c r="Y1121" i="55"/>
  <c r="W1121" i="55" s="1"/>
  <c r="Y1121" i="53"/>
  <c r="W1121" i="53" s="1"/>
  <c r="Y1121" i="52"/>
  <c r="W1121" i="52" s="1"/>
  <c r="Y1109" i="54"/>
  <c r="W1109" i="54" s="1"/>
  <c r="Y1109" i="53"/>
  <c r="W1109" i="53" s="1"/>
  <c r="Y1109" i="55"/>
  <c r="W1109" i="55" s="1"/>
  <c r="Y1109" i="52"/>
  <c r="W1109" i="52" s="1"/>
  <c r="Y1101" i="54"/>
  <c r="W1101" i="54" s="1"/>
  <c r="Y1101" i="55"/>
  <c r="W1101" i="55" s="1"/>
  <c r="Y1089" i="54"/>
  <c r="W1089" i="54" s="1"/>
  <c r="Y1089" i="55"/>
  <c r="W1089" i="55" s="1"/>
  <c r="Y1089" i="53"/>
  <c r="W1089" i="53" s="1"/>
  <c r="Y1077" i="54"/>
  <c r="W1077" i="54" s="1"/>
  <c r="Y1077" i="55"/>
  <c r="W1077" i="55" s="1"/>
  <c r="Y1077" i="52"/>
  <c r="W1077" i="52" s="1"/>
  <c r="Y1077" i="53"/>
  <c r="W1077" i="53" s="1"/>
  <c r="Y1065" i="54"/>
  <c r="W1065" i="54" s="1"/>
  <c r="Y1065" i="55"/>
  <c r="W1065" i="55" s="1"/>
  <c r="Y1065" i="53"/>
  <c r="W1065" i="53" s="1"/>
  <c r="Y1065" i="52"/>
  <c r="W1065" i="52" s="1"/>
  <c r="Y1053" i="54"/>
  <c r="W1053" i="54" s="1"/>
  <c r="Y1053" i="53"/>
  <c r="W1053" i="53" s="1"/>
  <c r="Y1053" i="55"/>
  <c r="W1053" i="55" s="1"/>
  <c r="Y1053" i="52"/>
  <c r="W1053" i="52" s="1"/>
  <c r="Y1045" i="54"/>
  <c r="W1045" i="54" s="1"/>
  <c r="Y1045" i="53"/>
  <c r="W1045" i="53" s="1"/>
  <c r="Y1045" i="52"/>
  <c r="W1045" i="52" s="1"/>
  <c r="Y1033" i="53"/>
  <c r="W1033" i="53" s="1"/>
  <c r="Y1033" i="52"/>
  <c r="W1033" i="52" s="1"/>
  <c r="Y1025" i="53"/>
  <c r="W1025" i="53" s="1"/>
  <c r="Y1025" i="52"/>
  <c r="W1025" i="52" s="1"/>
  <c r="Y973" i="53"/>
  <c r="W973" i="53" s="1"/>
  <c r="Y973" i="52"/>
  <c r="W973" i="52" s="1"/>
  <c r="Y957" i="53"/>
  <c r="W957" i="53" s="1"/>
  <c r="Y957" i="52"/>
  <c r="W957" i="52" s="1"/>
  <c r="Y933" i="53"/>
  <c r="W933" i="53" s="1"/>
  <c r="Y933" i="52"/>
  <c r="W933" i="52" s="1"/>
  <c r="Y925" i="53"/>
  <c r="W925" i="53" s="1"/>
  <c r="Y925" i="52"/>
  <c r="W925" i="52" s="1"/>
  <c r="Y913" i="55"/>
  <c r="W913" i="55" s="1"/>
  <c r="Y913" i="53"/>
  <c r="W913" i="53" s="1"/>
  <c r="Y913" i="52"/>
  <c r="W913" i="52" s="1"/>
  <c r="Y901" i="55"/>
  <c r="W901" i="55" s="1"/>
  <c r="Y901" i="54"/>
  <c r="W901" i="54" s="1"/>
  <c r="Y901" i="53"/>
  <c r="W901" i="53" s="1"/>
  <c r="Y901" i="52"/>
  <c r="W901" i="52" s="1"/>
  <c r="Y889" i="55"/>
  <c r="W889" i="55" s="1"/>
  <c r="Y889" i="54"/>
  <c r="W889" i="54" s="1"/>
  <c r="Y889" i="53"/>
  <c r="W889" i="53" s="1"/>
  <c r="Y889" i="52"/>
  <c r="W889" i="52" s="1"/>
  <c r="Y877" i="55"/>
  <c r="W877" i="55" s="1"/>
  <c r="Y877" i="53"/>
  <c r="W877" i="53" s="1"/>
  <c r="Y877" i="54"/>
  <c r="W877" i="54" s="1"/>
  <c r="Y865" i="55"/>
  <c r="W865" i="55" s="1"/>
  <c r="Y865" i="54"/>
  <c r="W865" i="54" s="1"/>
  <c r="Y865" i="53"/>
  <c r="W865" i="53" s="1"/>
  <c r="Y865" i="52"/>
  <c r="W865" i="52" s="1"/>
  <c r="Y861" i="55"/>
  <c r="W861" i="55" s="1"/>
  <c r="Y861" i="54"/>
  <c r="W861" i="54" s="1"/>
  <c r="Y861" i="53"/>
  <c r="W861" i="53" s="1"/>
  <c r="Y849" i="55"/>
  <c r="W849" i="55" s="1"/>
  <c r="Y849" i="54"/>
  <c r="W849" i="54" s="1"/>
  <c r="Y849" i="53"/>
  <c r="W849" i="53" s="1"/>
  <c r="Y849" i="52"/>
  <c r="W849" i="52" s="1"/>
  <c r="Y837" i="55"/>
  <c r="W837" i="55" s="1"/>
  <c r="Y837" i="54"/>
  <c r="W837" i="54" s="1"/>
  <c r="Y837" i="53"/>
  <c r="W837" i="53" s="1"/>
  <c r="Y837" i="52"/>
  <c r="W837" i="52" s="1"/>
  <c r="Y833" i="55"/>
  <c r="W833" i="55" s="1"/>
  <c r="Y833" i="54"/>
  <c r="W833" i="54" s="1"/>
  <c r="Y833" i="53"/>
  <c r="W833" i="53" s="1"/>
  <c r="Y821" i="55"/>
  <c r="W821" i="55" s="1"/>
  <c r="Y821" i="54"/>
  <c r="W821" i="54" s="1"/>
  <c r="Y821" i="53"/>
  <c r="W821" i="53" s="1"/>
  <c r="Y821" i="52"/>
  <c r="W821" i="52" s="1"/>
  <c r="Y809" i="55"/>
  <c r="W809" i="55" s="1"/>
  <c r="Y809" i="53"/>
  <c r="W809" i="53" s="1"/>
  <c r="Y809" i="54"/>
  <c r="W809" i="54" s="1"/>
  <c r="Y809" i="52"/>
  <c r="W809" i="52" s="1"/>
  <c r="Y797" i="55"/>
  <c r="W797" i="55" s="1"/>
  <c r="Y797" i="54"/>
  <c r="W797" i="54" s="1"/>
  <c r="Y797" i="53"/>
  <c r="W797" i="53" s="1"/>
  <c r="Y797" i="52"/>
  <c r="W797" i="52" s="1"/>
  <c r="Y781" i="55"/>
  <c r="W781" i="55" s="1"/>
  <c r="Y781" i="54"/>
  <c r="W781" i="54" s="1"/>
  <c r="Y781" i="53"/>
  <c r="W781" i="53" s="1"/>
  <c r="Y781" i="52"/>
  <c r="W781" i="52" s="1"/>
  <c r="Y749" i="54"/>
  <c r="W749" i="54" s="1"/>
  <c r="Y749" i="52"/>
  <c r="W749" i="52" s="1"/>
  <c r="Y717" i="54"/>
  <c r="W717" i="54" s="1"/>
  <c r="Y717" i="52"/>
  <c r="W717" i="52" s="1"/>
  <c r="Y713" i="52"/>
  <c r="W713" i="52" s="1"/>
  <c r="Y713" i="54"/>
  <c r="W713" i="54" s="1"/>
  <c r="Y705" i="54"/>
  <c r="W705" i="54" s="1"/>
  <c r="Y705" i="52"/>
  <c r="W705" i="52" s="1"/>
  <c r="Y677" i="54"/>
  <c r="W677" i="54" s="1"/>
  <c r="Y677" i="52"/>
  <c r="W677" i="52" s="1"/>
  <c r="Y669" i="54"/>
  <c r="W669" i="54" s="1"/>
  <c r="Y669" i="52"/>
  <c r="W669" i="52" s="1"/>
  <c r="Y661" i="54"/>
  <c r="W661" i="54" s="1"/>
  <c r="Y661" i="52"/>
  <c r="W661" i="52" s="1"/>
  <c r="Y653" i="54"/>
  <c r="W653" i="54" s="1"/>
  <c r="Y653" i="52"/>
  <c r="W653" i="52" s="1"/>
  <c r="Y641" i="54"/>
  <c r="W641" i="54" s="1"/>
  <c r="Y641" i="52"/>
  <c r="W641" i="52" s="1"/>
  <c r="Y629" i="54"/>
  <c r="W629" i="54" s="1"/>
  <c r="Y629" i="52"/>
  <c r="W629" i="52" s="1"/>
  <c r="Y601" i="54"/>
  <c r="W601" i="54" s="1"/>
  <c r="Y601" i="52"/>
  <c r="W601" i="52" s="1"/>
  <c r="Y593" i="54"/>
  <c r="W593" i="54" s="1"/>
  <c r="Y593" i="52"/>
  <c r="W593" i="52" s="1"/>
  <c r="Y585" i="54"/>
  <c r="W585" i="54" s="1"/>
  <c r="Y585" i="52"/>
  <c r="W585" i="52" s="1"/>
  <c r="Y557" i="54"/>
  <c r="W557" i="54" s="1"/>
  <c r="Y557" i="52"/>
  <c r="W557" i="52" s="1"/>
  <c r="Y549" i="54"/>
  <c r="W549" i="54" s="1"/>
  <c r="Y549" i="52"/>
  <c r="W549" i="52" s="1"/>
  <c r="Y541" i="54"/>
  <c r="W541" i="54" s="1"/>
  <c r="Y541" i="52"/>
  <c r="W541" i="52" s="1"/>
  <c r="Y533" i="54"/>
  <c r="W533" i="54" s="1"/>
  <c r="Y533" i="52"/>
  <c r="W533" i="52" s="1"/>
  <c r="Y509" i="54"/>
  <c r="W509" i="54" s="1"/>
  <c r="Y509" i="52"/>
  <c r="W509" i="52" s="1"/>
  <c r="Y505" i="54"/>
  <c r="W505" i="54" s="1"/>
  <c r="Y505" i="52"/>
  <c r="W505" i="52" s="1"/>
  <c r="Y501" i="54"/>
  <c r="W501" i="54" s="1"/>
  <c r="Y501" i="52"/>
  <c r="W501" i="52" s="1"/>
  <c r="Y493" i="54"/>
  <c r="W493" i="54" s="1"/>
  <c r="Y493" i="52"/>
  <c r="W493" i="52" s="1"/>
  <c r="Y485" i="54"/>
  <c r="W485" i="54" s="1"/>
  <c r="Y485" i="52"/>
  <c r="W485" i="52" s="1"/>
  <c r="Y473" i="54"/>
  <c r="W473" i="54" s="1"/>
  <c r="Y473" i="52"/>
  <c r="W473" i="52" s="1"/>
  <c r="Y465" i="54"/>
  <c r="W465" i="54" s="1"/>
  <c r="Y465" i="52"/>
  <c r="W465" i="52" s="1"/>
  <c r="Y453" i="54"/>
  <c r="W453" i="54" s="1"/>
  <c r="Y453" i="52"/>
  <c r="W453" i="52" s="1"/>
  <c r="Y445" i="54"/>
  <c r="W445" i="54" s="1"/>
  <c r="Y445" i="52"/>
  <c r="W445" i="52" s="1"/>
  <c r="Y441" i="54"/>
  <c r="W441" i="54" s="1"/>
  <c r="Y441" i="52"/>
  <c r="W441" i="52" s="1"/>
  <c r="Y433" i="54"/>
  <c r="W433" i="54" s="1"/>
  <c r="Y433" i="52"/>
  <c r="W433" i="52" s="1"/>
  <c r="Y425" i="52"/>
  <c r="W425" i="52" s="1"/>
  <c r="Y425" i="54"/>
  <c r="W425" i="54" s="1"/>
  <c r="Y413" i="54"/>
  <c r="W413" i="54" s="1"/>
  <c r="Y413" i="52"/>
  <c r="W413" i="52" s="1"/>
  <c r="Y385" i="54"/>
  <c r="W385" i="54" s="1"/>
  <c r="Y385" i="52"/>
  <c r="W385" i="52" s="1"/>
  <c r="Y301" i="54"/>
  <c r="W301" i="54" s="1"/>
  <c r="Y301" i="52"/>
  <c r="W301" i="52" s="1"/>
  <c r="Y293" i="54"/>
  <c r="W293" i="54" s="1"/>
  <c r="Y293" i="52"/>
  <c r="W293" i="52" s="1"/>
  <c r="Y293" i="44"/>
  <c r="W293" i="44" s="1"/>
  <c r="Y257" i="54"/>
  <c r="W257" i="54" s="1"/>
  <c r="Y257" i="52"/>
  <c r="W257" i="52" s="1"/>
  <c r="Y257" i="44"/>
  <c r="W257" i="44" s="1"/>
  <c r="Y249" i="52"/>
  <c r="W249" i="52" s="1"/>
  <c r="Y249" i="54"/>
  <c r="W249" i="54" s="1"/>
  <c r="Y241" i="54"/>
  <c r="W241" i="54" s="1"/>
  <c r="Y241" i="52"/>
  <c r="W241" i="52" s="1"/>
  <c r="Y241" i="44"/>
  <c r="W241" i="44" s="1"/>
  <c r="Y233" i="52"/>
  <c r="W233" i="52" s="1"/>
  <c r="Y233" i="54"/>
  <c r="W233" i="54" s="1"/>
  <c r="Y233" i="44"/>
  <c r="W233" i="44" s="1"/>
  <c r="Y225" i="54"/>
  <c r="W225" i="54" s="1"/>
  <c r="Y225" i="52"/>
  <c r="W225" i="52" s="1"/>
  <c r="Y225" i="44"/>
  <c r="W225" i="44" s="1"/>
  <c r="Y209" i="54"/>
  <c r="W209" i="54" s="1"/>
  <c r="Y209" i="52"/>
  <c r="W209" i="52" s="1"/>
  <c r="Y209" i="44"/>
  <c r="W209" i="44" s="1"/>
  <c r="Y201" i="52"/>
  <c r="W201" i="52" s="1"/>
  <c r="Y201" i="54"/>
  <c r="W201" i="54" s="1"/>
  <c r="Y201" i="44"/>
  <c r="W201" i="44" s="1"/>
  <c r="Y189" i="54"/>
  <c r="W189" i="54" s="1"/>
  <c r="Y189" i="52"/>
  <c r="W189" i="52" s="1"/>
  <c r="Y189" i="44"/>
  <c r="W189" i="44" s="1"/>
  <c r="Y177" i="54"/>
  <c r="W177" i="54" s="1"/>
  <c r="Y177" i="52"/>
  <c r="W177" i="52" s="1"/>
  <c r="Y177" i="44"/>
  <c r="W177" i="44" s="1"/>
  <c r="Y169" i="54"/>
  <c r="W169" i="54" s="1"/>
  <c r="Y169" i="52"/>
  <c r="W169" i="52" s="1"/>
  <c r="Y169" i="44"/>
  <c r="W169" i="44" s="1"/>
  <c r="Y157" i="54"/>
  <c r="W157" i="54" s="1"/>
  <c r="Y157" i="44"/>
  <c r="W157" i="44" s="1"/>
  <c r="Y157" i="52"/>
  <c r="W157" i="52" s="1"/>
  <c r="Y145" i="54"/>
  <c r="W145" i="54" s="1"/>
  <c r="Y145" i="52"/>
  <c r="W145" i="52" s="1"/>
  <c r="Y145" i="44"/>
  <c r="W145" i="44" s="1"/>
  <c r="Y137" i="52"/>
  <c r="W137" i="52" s="1"/>
  <c r="Y137" i="44"/>
  <c r="W137" i="44" s="1"/>
  <c r="Y125" i="54"/>
  <c r="W125" i="54" s="1"/>
  <c r="Y125" i="52"/>
  <c r="W125" i="52" s="1"/>
  <c r="Y125" i="44"/>
  <c r="W125" i="44" s="1"/>
  <c r="Y113" i="54"/>
  <c r="W113" i="54" s="1"/>
  <c r="Y113" i="52"/>
  <c r="W113" i="52" s="1"/>
  <c r="Y113" i="44"/>
  <c r="W113" i="44" s="1"/>
  <c r="Y97" i="52"/>
  <c r="W97" i="52" s="1"/>
  <c r="Y97" i="54"/>
  <c r="W97" i="54" s="1"/>
  <c r="Y97" i="44"/>
  <c r="W97" i="44" s="1"/>
  <c r="Y85" i="54"/>
  <c r="W85" i="54" s="1"/>
  <c r="Y85" i="52"/>
  <c r="W85" i="52" s="1"/>
  <c r="Y85" i="44"/>
  <c r="W85" i="44" s="1"/>
  <c r="Y37" i="54"/>
  <c r="W37" i="54" s="1"/>
  <c r="Y37" i="52"/>
  <c r="W37" i="52" s="1"/>
  <c r="Y37" i="44"/>
  <c r="W37" i="44" s="1"/>
  <c r="Y29" i="54"/>
  <c r="W29" i="54" s="1"/>
  <c r="Y29" i="52"/>
  <c r="W29" i="52" s="1"/>
  <c r="Y1181" i="44"/>
  <c r="W1181" i="44" s="1"/>
  <c r="Y1169" i="44"/>
  <c r="W1169" i="44" s="1"/>
  <c r="Y1153" i="44"/>
  <c r="W1153" i="44" s="1"/>
  <c r="Y1141" i="44"/>
  <c r="W1141" i="44" s="1"/>
  <c r="Y1125" i="44"/>
  <c r="W1125" i="44" s="1"/>
  <c r="Y1113" i="44"/>
  <c r="W1113" i="44" s="1"/>
  <c r="Y1097" i="44"/>
  <c r="W1097" i="44" s="1"/>
  <c r="Y1069" i="44"/>
  <c r="W1069" i="44" s="1"/>
  <c r="Y1053" i="44"/>
  <c r="W1053" i="44" s="1"/>
  <c r="Y1029" i="44"/>
  <c r="W1029" i="44" s="1"/>
  <c r="Y1013" i="44"/>
  <c r="W1013" i="44" s="1"/>
  <c r="Y997" i="44"/>
  <c r="W997" i="44" s="1"/>
  <c r="Y985" i="44"/>
  <c r="W985" i="44" s="1"/>
  <c r="Y973" i="44"/>
  <c r="W973" i="44" s="1"/>
  <c r="Y957" i="44"/>
  <c r="W957" i="44" s="1"/>
  <c r="Y941" i="44"/>
  <c r="W941" i="44" s="1"/>
  <c r="Y925" i="44"/>
  <c r="W925" i="44" s="1"/>
  <c r="Y909" i="44"/>
  <c r="W909" i="44" s="1"/>
  <c r="Y897" i="44"/>
  <c r="W897" i="44" s="1"/>
  <c r="Y881" i="44"/>
  <c r="W881" i="44" s="1"/>
  <c r="Y841" i="44"/>
  <c r="W841" i="44" s="1"/>
  <c r="Y825" i="44"/>
  <c r="W825" i="44" s="1"/>
  <c r="Y809" i="44"/>
  <c r="W809" i="44" s="1"/>
  <c r="Y793" i="44"/>
  <c r="W793" i="44" s="1"/>
  <c r="Y777" i="44"/>
  <c r="W777" i="44" s="1"/>
  <c r="Y765" i="44"/>
  <c r="W765" i="44" s="1"/>
  <c r="Y749" i="44"/>
  <c r="W749" i="44" s="1"/>
  <c r="Y737" i="44"/>
  <c r="W737" i="44" s="1"/>
  <c r="Y725" i="44"/>
  <c r="W725" i="44" s="1"/>
  <c r="Y709" i="44"/>
  <c r="W709" i="44" s="1"/>
  <c r="Y693" i="44"/>
  <c r="W693" i="44" s="1"/>
  <c r="Y677" i="44"/>
  <c r="W677" i="44" s="1"/>
  <c r="Y661" i="44"/>
  <c r="W661" i="44" s="1"/>
  <c r="Y633" i="44"/>
  <c r="W633" i="44" s="1"/>
  <c r="Y617" i="44"/>
  <c r="W617" i="44" s="1"/>
  <c r="Y605" i="44"/>
  <c r="W605" i="44" s="1"/>
  <c r="Y593" i="44"/>
  <c r="W593" i="44" s="1"/>
  <c r="Y577" i="44"/>
  <c r="W577" i="44" s="1"/>
  <c r="Y561" i="44"/>
  <c r="W561" i="44" s="1"/>
  <c r="Y545" i="44"/>
  <c r="W545" i="44" s="1"/>
  <c r="Y529" i="44"/>
  <c r="W529" i="44" s="1"/>
  <c r="Y505" i="44"/>
  <c r="W505" i="44" s="1"/>
  <c r="Y489" i="44"/>
  <c r="W489" i="44" s="1"/>
  <c r="Y477" i="44"/>
  <c r="W477" i="44" s="1"/>
  <c r="Y465" i="44"/>
  <c r="W465" i="44" s="1"/>
  <c r="Y449" i="44"/>
  <c r="W449" i="44" s="1"/>
  <c r="Y433" i="44"/>
  <c r="W433" i="44" s="1"/>
  <c r="Y417" i="44"/>
  <c r="W417" i="44" s="1"/>
  <c r="Y401" i="44"/>
  <c r="W401" i="44" s="1"/>
  <c r="Y389" i="44"/>
  <c r="W389" i="44" s="1"/>
  <c r="Y373" i="44"/>
  <c r="W373" i="44" s="1"/>
  <c r="Y357" i="44"/>
  <c r="W357" i="44" s="1"/>
  <c r="Y345" i="44"/>
  <c r="W345" i="44" s="1"/>
  <c r="Y333" i="44"/>
  <c r="W333" i="44" s="1"/>
  <c r="Y317" i="44"/>
  <c r="W317" i="44" s="1"/>
  <c r="Y301" i="44"/>
  <c r="W301" i="44" s="1"/>
  <c r="Y265" i="44"/>
  <c r="W265" i="44" s="1"/>
  <c r="Y221" i="44"/>
  <c r="W221" i="44" s="1"/>
  <c r="Y181" i="44"/>
  <c r="W181" i="44" s="1"/>
  <c r="Y57" i="44"/>
  <c r="W57" i="44" s="1"/>
  <c r="Y1177" i="52"/>
  <c r="W1177" i="52" s="1"/>
  <c r="Y1133" i="52"/>
  <c r="W1133" i="52" s="1"/>
  <c r="Y1089" i="52"/>
  <c r="W1089" i="52" s="1"/>
  <c r="Y965" i="52"/>
  <c r="W965" i="52" s="1"/>
  <c r="Y921" i="52"/>
  <c r="W921" i="52" s="1"/>
  <c r="Y877" i="52"/>
  <c r="W877" i="52" s="1"/>
  <c r="Y833" i="52"/>
  <c r="W833" i="52" s="1"/>
  <c r="Y709" i="52"/>
  <c r="W709" i="52" s="1"/>
  <c r="Y665" i="52"/>
  <c r="W665" i="52" s="1"/>
  <c r="Y621" i="52"/>
  <c r="W621" i="52" s="1"/>
  <c r="Y577" i="52"/>
  <c r="W577" i="52" s="1"/>
  <c r="Y377" i="52"/>
  <c r="W377" i="52" s="1"/>
  <c r="Y193" i="52"/>
  <c r="W193" i="52" s="1"/>
  <c r="Y1145" i="53"/>
  <c r="W1145" i="53" s="1"/>
  <c r="Y521" i="54"/>
  <c r="W521" i="54" s="1"/>
  <c r="Y1173" i="55"/>
  <c r="W1173" i="55" s="1"/>
  <c r="Y1130" i="44"/>
  <c r="W1130" i="44" s="1"/>
  <c r="Y842" i="44"/>
  <c r="W842" i="44" s="1"/>
  <c r="Y1098" i="52"/>
  <c r="W1098" i="52" s="1"/>
  <c r="Y362" i="52"/>
  <c r="W362" i="52" s="1"/>
  <c r="Y554" i="53"/>
  <c r="W554" i="53" s="1"/>
  <c r="Y518" i="52"/>
  <c r="W518" i="52" s="1"/>
  <c r="Y850" i="44"/>
  <c r="W850" i="44" s="1"/>
  <c r="Y618" i="44"/>
  <c r="W618" i="44" s="1"/>
  <c r="Y486" i="52"/>
  <c r="W486" i="52" s="1"/>
  <c r="Y1042" i="53"/>
  <c r="W1042" i="53" s="1"/>
  <c r="Y914" i="53"/>
  <c r="W914" i="53" s="1"/>
  <c r="Y678" i="53"/>
  <c r="W678" i="53" s="1"/>
  <c r="Y754" i="55"/>
  <c r="W754" i="55" s="1"/>
  <c r="Y1138" i="44"/>
  <c r="W1138" i="44" s="1"/>
  <c r="Y986" i="44"/>
  <c r="W986" i="44" s="1"/>
  <c r="Y1166" i="53"/>
  <c r="W1166" i="53" s="1"/>
  <c r="Y882" i="53"/>
  <c r="W882" i="53" s="1"/>
  <c r="Y538" i="54"/>
  <c r="W538" i="54" s="1"/>
  <c r="Y634" i="44"/>
  <c r="W634" i="44" s="1"/>
  <c r="Y618" i="52"/>
  <c r="W618" i="52" s="1"/>
  <c r="Y978" i="53"/>
  <c r="W978" i="53" s="1"/>
  <c r="Y1174" i="55"/>
  <c r="W1174" i="55" s="1"/>
  <c r="Y1174" i="54"/>
  <c r="W1174" i="54" s="1"/>
  <c r="Y1174" i="52"/>
  <c r="W1174" i="52" s="1"/>
  <c r="Y1162" i="55"/>
  <c r="W1162" i="55" s="1"/>
  <c r="Y1162" i="54"/>
  <c r="W1162" i="54" s="1"/>
  <c r="Y1162" i="52"/>
  <c r="W1162" i="52" s="1"/>
  <c r="Y1162" i="53"/>
  <c r="W1162" i="53" s="1"/>
  <c r="Y1146" i="55"/>
  <c r="W1146" i="55" s="1"/>
  <c r="Y1146" i="54"/>
  <c r="W1146" i="54" s="1"/>
  <c r="Y1146" i="53"/>
  <c r="W1146" i="53" s="1"/>
  <c r="Y1134" i="55"/>
  <c r="W1134" i="55" s="1"/>
  <c r="Y1134" i="54"/>
  <c r="W1134" i="54" s="1"/>
  <c r="Y1134" i="52"/>
  <c r="W1134" i="52" s="1"/>
  <c r="Y1118" i="55"/>
  <c r="W1118" i="55" s="1"/>
  <c r="Y1118" i="54"/>
  <c r="W1118" i="54" s="1"/>
  <c r="Y1118" i="52"/>
  <c r="W1118" i="52" s="1"/>
  <c r="Y1106" i="55"/>
  <c r="W1106" i="55" s="1"/>
  <c r="Y1106" i="53"/>
  <c r="W1106" i="53" s="1"/>
  <c r="Y1106" i="54"/>
  <c r="W1106" i="54" s="1"/>
  <c r="Y1094" i="55"/>
  <c r="W1094" i="55" s="1"/>
  <c r="Y1094" i="54"/>
  <c r="W1094" i="54" s="1"/>
  <c r="Y1094" i="52"/>
  <c r="W1094" i="52" s="1"/>
  <c r="Y1094" i="53"/>
  <c r="W1094" i="53" s="1"/>
  <c r="Y1082" i="55"/>
  <c r="W1082" i="55" s="1"/>
  <c r="Y1082" i="54"/>
  <c r="W1082" i="54" s="1"/>
  <c r="Y1082" i="53"/>
  <c r="W1082" i="53" s="1"/>
  <c r="Y1082" i="52"/>
  <c r="W1082" i="52" s="1"/>
  <c r="Y1070" i="55"/>
  <c r="W1070" i="55" s="1"/>
  <c r="Y1070" i="54"/>
  <c r="W1070" i="54" s="1"/>
  <c r="Y1070" i="52"/>
  <c r="W1070" i="52" s="1"/>
  <c r="Y1070" i="53"/>
  <c r="W1070" i="53" s="1"/>
  <c r="Y1058" i="55"/>
  <c r="W1058" i="55" s="1"/>
  <c r="Y1058" i="52"/>
  <c r="W1058" i="52" s="1"/>
  <c r="Y1046" i="55"/>
  <c r="W1046" i="55" s="1"/>
  <c r="Y1046" i="54"/>
  <c r="W1046" i="54" s="1"/>
  <c r="Y1046" i="52"/>
  <c r="W1046" i="52" s="1"/>
  <c r="Y1046" i="53"/>
  <c r="W1046" i="53" s="1"/>
  <c r="Y1034" i="55"/>
  <c r="W1034" i="55" s="1"/>
  <c r="Y1034" i="54"/>
  <c r="W1034" i="54" s="1"/>
  <c r="Y1034" i="52"/>
  <c r="W1034" i="52" s="1"/>
  <c r="Y1022" i="55"/>
  <c r="W1022" i="55" s="1"/>
  <c r="Y1022" i="54"/>
  <c r="W1022" i="54" s="1"/>
  <c r="Y1022" i="53"/>
  <c r="W1022" i="53" s="1"/>
  <c r="Y1006" i="55"/>
  <c r="W1006" i="55" s="1"/>
  <c r="Y1006" i="54"/>
  <c r="W1006" i="54" s="1"/>
  <c r="Y1006" i="53"/>
  <c r="W1006" i="53" s="1"/>
  <c r="Y994" i="55"/>
  <c r="W994" i="55" s="1"/>
  <c r="Y994" i="52"/>
  <c r="W994" i="52" s="1"/>
  <c r="Y982" i="55"/>
  <c r="W982" i="55" s="1"/>
  <c r="Y982" i="54"/>
  <c r="W982" i="54" s="1"/>
  <c r="Y982" i="53"/>
  <c r="W982" i="53" s="1"/>
  <c r="Y970" i="55"/>
  <c r="W970" i="55" s="1"/>
  <c r="Y970" i="54"/>
  <c r="W970" i="54" s="1"/>
  <c r="Y970" i="52"/>
  <c r="W970" i="52" s="1"/>
  <c r="Y962" i="55"/>
  <c r="W962" i="55" s="1"/>
  <c r="Y962" i="52"/>
  <c r="W962" i="52" s="1"/>
  <c r="Y962" i="54"/>
  <c r="W962" i="54" s="1"/>
  <c r="Y946" i="55"/>
  <c r="W946" i="55" s="1"/>
  <c r="Y946" i="54"/>
  <c r="W946" i="54" s="1"/>
  <c r="Y946" i="52"/>
  <c r="W946" i="52" s="1"/>
  <c r="Y934" i="55"/>
  <c r="W934" i="55" s="1"/>
  <c r="Y934" i="54"/>
  <c r="W934" i="54" s="1"/>
  <c r="Y934" i="53"/>
  <c r="W934" i="53" s="1"/>
  <c r="Y934" i="52"/>
  <c r="W934" i="52" s="1"/>
  <c r="Y922" i="55"/>
  <c r="W922" i="55" s="1"/>
  <c r="Y922" i="54"/>
  <c r="W922" i="54" s="1"/>
  <c r="Y922" i="52"/>
  <c r="W922" i="52" s="1"/>
  <c r="Y910" i="55"/>
  <c r="W910" i="55" s="1"/>
  <c r="Y910" i="54"/>
  <c r="W910" i="54" s="1"/>
  <c r="Y910" i="53"/>
  <c r="W910" i="53" s="1"/>
  <c r="Y910" i="52"/>
  <c r="W910" i="52" s="1"/>
  <c r="Y898" i="55"/>
  <c r="W898" i="55" s="1"/>
  <c r="Y898" i="54"/>
  <c r="W898" i="54" s="1"/>
  <c r="Y886" i="55"/>
  <c r="W886" i="55" s="1"/>
  <c r="Y886" i="54"/>
  <c r="W886" i="54" s="1"/>
  <c r="Y886" i="53"/>
  <c r="W886" i="53" s="1"/>
  <c r="Y886" i="52"/>
  <c r="W886" i="52" s="1"/>
  <c r="Y878" i="55"/>
  <c r="W878" i="55" s="1"/>
  <c r="Y878" i="54"/>
  <c r="W878" i="54" s="1"/>
  <c r="Y878" i="53"/>
  <c r="W878" i="53" s="1"/>
  <c r="Y878" i="52"/>
  <c r="W878" i="52" s="1"/>
  <c r="Y866" i="55"/>
  <c r="W866" i="55" s="1"/>
  <c r="Y866" i="54"/>
  <c r="W866" i="54" s="1"/>
  <c r="Y866" i="53"/>
  <c r="W866" i="53" s="1"/>
  <c r="Y854" i="55"/>
  <c r="W854" i="55" s="1"/>
  <c r="Y854" i="54"/>
  <c r="W854" i="54" s="1"/>
  <c r="Y854" i="53"/>
  <c r="W854" i="53" s="1"/>
  <c r="Y854" i="52"/>
  <c r="W854" i="52" s="1"/>
  <c r="Y842" i="55"/>
  <c r="W842" i="55" s="1"/>
  <c r="Y842" i="54"/>
  <c r="W842" i="54" s="1"/>
  <c r="Y842" i="53"/>
  <c r="W842" i="53" s="1"/>
  <c r="Y830" i="55"/>
  <c r="W830" i="55" s="1"/>
  <c r="Y830" i="54"/>
  <c r="W830" i="54" s="1"/>
  <c r="Y830" i="53"/>
  <c r="W830" i="53" s="1"/>
  <c r="Y830" i="52"/>
  <c r="W830" i="52" s="1"/>
  <c r="Y818" i="54"/>
  <c r="W818" i="54" s="1"/>
  <c r="Y818" i="55"/>
  <c r="W818" i="55" s="1"/>
  <c r="Y818" i="53"/>
  <c r="W818" i="53" s="1"/>
  <c r="Y818" i="52"/>
  <c r="W818" i="52" s="1"/>
  <c r="Y810" i="55"/>
  <c r="W810" i="55" s="1"/>
  <c r="Y810" i="54"/>
  <c r="W810" i="54" s="1"/>
  <c r="Y810" i="53"/>
  <c r="W810" i="53" s="1"/>
  <c r="Y810" i="52"/>
  <c r="W810" i="52" s="1"/>
  <c r="Y798" i="55"/>
  <c r="W798" i="55" s="1"/>
  <c r="Y798" i="54"/>
  <c r="W798" i="54" s="1"/>
  <c r="Y798" i="53"/>
  <c r="W798" i="53" s="1"/>
  <c r="Y798" i="52"/>
  <c r="W798" i="52" s="1"/>
  <c r="Y786" i="55"/>
  <c r="W786" i="55" s="1"/>
  <c r="Y786" i="54"/>
  <c r="W786" i="54" s="1"/>
  <c r="Y786" i="53"/>
  <c r="W786" i="53" s="1"/>
  <c r="Y786" i="52"/>
  <c r="W786" i="52" s="1"/>
  <c r="Y774" i="55"/>
  <c r="W774" i="55" s="1"/>
  <c r="Y774" i="54"/>
  <c r="W774" i="54" s="1"/>
  <c r="Y774" i="53"/>
  <c r="W774" i="53" s="1"/>
  <c r="Y774" i="52"/>
  <c r="W774" i="52" s="1"/>
  <c r="Y762" i="55"/>
  <c r="W762" i="55" s="1"/>
  <c r="Y762" i="53"/>
  <c r="W762" i="53" s="1"/>
  <c r="Y762" i="52"/>
  <c r="W762" i="52" s="1"/>
  <c r="Y750" i="55"/>
  <c r="W750" i="55" s="1"/>
  <c r="Y750" i="54"/>
  <c r="W750" i="54" s="1"/>
  <c r="Y750" i="53"/>
  <c r="W750" i="53" s="1"/>
  <c r="Y734" i="55"/>
  <c r="W734" i="55" s="1"/>
  <c r="Y734" i="54"/>
  <c r="W734" i="54" s="1"/>
  <c r="Y734" i="53"/>
  <c r="W734" i="53" s="1"/>
  <c r="Y718" i="55"/>
  <c r="W718" i="55" s="1"/>
  <c r="Y718" i="54"/>
  <c r="W718" i="54" s="1"/>
  <c r="Y718" i="53"/>
  <c r="W718" i="53" s="1"/>
  <c r="Y702" i="55"/>
  <c r="W702" i="55" s="1"/>
  <c r="Y702" i="54"/>
  <c r="W702" i="54" s="1"/>
  <c r="Y702" i="53"/>
  <c r="W702" i="53" s="1"/>
  <c r="Y702" i="52"/>
  <c r="W702" i="52" s="1"/>
  <c r="Y682" i="55"/>
  <c r="W682" i="55" s="1"/>
  <c r="Y682" i="53"/>
  <c r="W682" i="53" s="1"/>
  <c r="Y682" i="52"/>
  <c r="W682" i="52" s="1"/>
  <c r="Y682" i="54"/>
  <c r="W682" i="54" s="1"/>
  <c r="Y626" i="54"/>
  <c r="W626" i="54" s="1"/>
  <c r="Y626" i="53"/>
  <c r="W626" i="53" s="1"/>
  <c r="Y626" i="55"/>
  <c r="W626" i="55" s="1"/>
  <c r="Y618" i="55"/>
  <c r="W618" i="55" s="1"/>
  <c r="Y618" i="54"/>
  <c r="W618" i="54" s="1"/>
  <c r="Y614" i="55"/>
  <c r="W614" i="55" s="1"/>
  <c r="Y614" i="54"/>
  <c r="W614" i="54" s="1"/>
  <c r="Y614" i="52"/>
  <c r="W614" i="52" s="1"/>
  <c r="Y614" i="53"/>
  <c r="W614" i="53" s="1"/>
  <c r="Y606" i="55"/>
  <c r="W606" i="55" s="1"/>
  <c r="Y606" i="54"/>
  <c r="W606" i="54" s="1"/>
  <c r="Y606" i="53"/>
  <c r="W606" i="53" s="1"/>
  <c r="Y606" i="52"/>
  <c r="W606" i="52" s="1"/>
  <c r="Y590" i="55"/>
  <c r="W590" i="55" s="1"/>
  <c r="Y590" i="54"/>
  <c r="W590" i="54" s="1"/>
  <c r="Y590" i="53"/>
  <c r="W590" i="53" s="1"/>
  <c r="Y590" i="52"/>
  <c r="W590" i="52" s="1"/>
  <c r="Y574" i="55"/>
  <c r="W574" i="55" s="1"/>
  <c r="Y574" i="54"/>
  <c r="W574" i="54" s="1"/>
  <c r="Y574" i="53"/>
  <c r="W574" i="53" s="1"/>
  <c r="Y574" i="52"/>
  <c r="W574" i="52" s="1"/>
  <c r="Y562" i="55"/>
  <c r="W562" i="55" s="1"/>
  <c r="Y562" i="54"/>
  <c r="W562" i="54" s="1"/>
  <c r="Y562" i="53"/>
  <c r="W562" i="53" s="1"/>
  <c r="Y562" i="52"/>
  <c r="W562" i="52" s="1"/>
  <c r="Y546" i="55"/>
  <c r="W546" i="55" s="1"/>
  <c r="Y546" i="53"/>
  <c r="W546" i="53" s="1"/>
  <c r="Y546" i="54"/>
  <c r="W546" i="54" s="1"/>
  <c r="Y546" i="52"/>
  <c r="W546" i="52" s="1"/>
  <c r="Y534" i="55"/>
  <c r="W534" i="55" s="1"/>
  <c r="Y534" i="54"/>
  <c r="W534" i="54" s="1"/>
  <c r="Y534" i="52"/>
  <c r="W534" i="52" s="1"/>
  <c r="Y534" i="53"/>
  <c r="W534" i="53" s="1"/>
  <c r="Y522" i="55"/>
  <c r="W522" i="55" s="1"/>
  <c r="Y522" i="54"/>
  <c r="W522" i="54" s="1"/>
  <c r="Y522" i="52"/>
  <c r="W522" i="52" s="1"/>
  <c r="Y510" i="55"/>
  <c r="W510" i="55" s="1"/>
  <c r="Y510" i="54"/>
  <c r="W510" i="54" s="1"/>
  <c r="Y494" i="55"/>
  <c r="W494" i="55" s="1"/>
  <c r="Y494" i="54"/>
  <c r="W494" i="54" s="1"/>
  <c r="Y482" i="55"/>
  <c r="W482" i="55" s="1"/>
  <c r="Y482" i="52"/>
  <c r="W482" i="52" s="1"/>
  <c r="Y482" i="54"/>
  <c r="W482" i="54" s="1"/>
  <c r="Y482" i="53"/>
  <c r="W482" i="53" s="1"/>
  <c r="Y470" i="55"/>
  <c r="W470" i="55" s="1"/>
  <c r="Y470" i="54"/>
  <c r="W470" i="54" s="1"/>
  <c r="Y470" i="53"/>
  <c r="W470" i="53" s="1"/>
  <c r="Y462" i="55"/>
  <c r="W462" i="55" s="1"/>
  <c r="Y462" i="54"/>
  <c r="W462" i="54" s="1"/>
  <c r="Y462" i="53"/>
  <c r="W462" i="53" s="1"/>
  <c r="Y454" i="55"/>
  <c r="W454" i="55" s="1"/>
  <c r="Y454" i="54"/>
  <c r="W454" i="54" s="1"/>
  <c r="Y454" i="53"/>
  <c r="W454" i="53" s="1"/>
  <c r="Y454" i="52"/>
  <c r="W454" i="52" s="1"/>
  <c r="Y446" i="55"/>
  <c r="W446" i="55" s="1"/>
  <c r="Y446" i="54"/>
  <c r="W446" i="54" s="1"/>
  <c r="Y446" i="52"/>
  <c r="W446" i="52" s="1"/>
  <c r="Y438" i="55"/>
  <c r="W438" i="55" s="1"/>
  <c r="Y438" i="54"/>
  <c r="W438" i="54" s="1"/>
  <c r="Y438" i="53"/>
  <c r="W438" i="53" s="1"/>
  <c r="Y438" i="52"/>
  <c r="W438" i="52" s="1"/>
  <c r="Y430" i="55"/>
  <c r="W430" i="55" s="1"/>
  <c r="Y430" i="54"/>
  <c r="W430" i="54" s="1"/>
  <c r="Y430" i="53"/>
  <c r="W430" i="53" s="1"/>
  <c r="Y430" i="52"/>
  <c r="W430" i="52" s="1"/>
  <c r="Y418" i="55"/>
  <c r="W418" i="55" s="1"/>
  <c r="Y418" i="54"/>
  <c r="W418" i="54" s="1"/>
  <c r="Y418" i="53"/>
  <c r="W418" i="53" s="1"/>
  <c r="Y398" i="55"/>
  <c r="W398" i="55" s="1"/>
  <c r="Y398" i="54"/>
  <c r="W398" i="54" s="1"/>
  <c r="Y398" i="53"/>
  <c r="W398" i="53" s="1"/>
  <c r="Y398" i="52"/>
  <c r="W398" i="52" s="1"/>
  <c r="Y386" i="55"/>
  <c r="W386" i="55" s="1"/>
  <c r="Y386" i="54"/>
  <c r="W386" i="54" s="1"/>
  <c r="Y386" i="53"/>
  <c r="W386" i="53" s="1"/>
  <c r="Y386" i="44"/>
  <c r="W386" i="44" s="1"/>
  <c r="Y374" i="55"/>
  <c r="W374" i="55" s="1"/>
  <c r="Y374" i="54"/>
  <c r="W374" i="54" s="1"/>
  <c r="Y374" i="53"/>
  <c r="W374" i="53" s="1"/>
  <c r="Y374" i="52"/>
  <c r="W374" i="52" s="1"/>
  <c r="Y374" i="44"/>
  <c r="W374" i="44" s="1"/>
  <c r="Y362" i="55"/>
  <c r="W362" i="55" s="1"/>
  <c r="Y362" i="53"/>
  <c r="W362" i="53" s="1"/>
  <c r="Y362" i="44"/>
  <c r="W362" i="44" s="1"/>
  <c r="Y354" i="55"/>
  <c r="W354" i="55" s="1"/>
  <c r="Y354" i="54"/>
  <c r="W354" i="54" s="1"/>
  <c r="Y354" i="53"/>
  <c r="W354" i="53" s="1"/>
  <c r="Y338" i="55"/>
  <c r="W338" i="55" s="1"/>
  <c r="Y338" i="54"/>
  <c r="W338" i="54" s="1"/>
  <c r="Y338" i="44"/>
  <c r="W338" i="44" s="1"/>
  <c r="Y326" i="55"/>
  <c r="W326" i="55" s="1"/>
  <c r="Y326" i="54"/>
  <c r="W326" i="54" s="1"/>
  <c r="Y326" i="53"/>
  <c r="W326" i="53" s="1"/>
  <c r="Y326" i="44"/>
  <c r="W326" i="44" s="1"/>
  <c r="Y326" i="52"/>
  <c r="W326" i="52" s="1"/>
  <c r="Y314" i="55"/>
  <c r="W314" i="55" s="1"/>
  <c r="Y314" i="54"/>
  <c r="W314" i="54" s="1"/>
  <c r="Y314" i="53"/>
  <c r="W314" i="53" s="1"/>
  <c r="Y314" i="44"/>
  <c r="W314" i="44" s="1"/>
  <c r="Y302" i="55"/>
  <c r="W302" i="55" s="1"/>
  <c r="Y302" i="54"/>
  <c r="W302" i="54" s="1"/>
  <c r="Y302" i="53"/>
  <c r="W302" i="53" s="1"/>
  <c r="Y302" i="44"/>
  <c r="W302" i="44" s="1"/>
  <c r="Y302" i="52"/>
  <c r="W302" i="52" s="1"/>
  <c r="Y290" i="55"/>
  <c r="W290" i="55" s="1"/>
  <c r="Y290" i="54"/>
  <c r="W290" i="54" s="1"/>
  <c r="Y290" i="53"/>
  <c r="W290" i="53" s="1"/>
  <c r="Y290" i="44"/>
  <c r="W290" i="44" s="1"/>
  <c r="Y274" i="55"/>
  <c r="W274" i="55" s="1"/>
  <c r="Y274" i="54"/>
  <c r="W274" i="54" s="1"/>
  <c r="Y274" i="44"/>
  <c r="W274" i="44" s="1"/>
  <c r="Y262" i="55"/>
  <c r="W262" i="55" s="1"/>
  <c r="Y262" i="54"/>
  <c r="W262" i="54" s="1"/>
  <c r="Y262" i="53"/>
  <c r="W262" i="53" s="1"/>
  <c r="Y262" i="52"/>
  <c r="W262" i="52" s="1"/>
  <c r="Y262" i="44"/>
  <c r="W262" i="44" s="1"/>
  <c r="Y250" i="55"/>
  <c r="W250" i="55" s="1"/>
  <c r="Y250" i="54"/>
  <c r="W250" i="54" s="1"/>
  <c r="Y250" i="53"/>
  <c r="W250" i="53" s="1"/>
  <c r="Y250" i="52"/>
  <c r="W250" i="52" s="1"/>
  <c r="Y250" i="44"/>
  <c r="W250" i="44" s="1"/>
  <c r="Y238" i="55"/>
  <c r="W238" i="55" s="1"/>
  <c r="Y238" i="54"/>
  <c r="W238" i="54" s="1"/>
  <c r="Y238" i="53"/>
  <c r="W238" i="53" s="1"/>
  <c r="Y238" i="52"/>
  <c r="W238" i="52" s="1"/>
  <c r="Y226" i="55"/>
  <c r="W226" i="55" s="1"/>
  <c r="Y226" i="54"/>
  <c r="W226" i="54" s="1"/>
  <c r="Y226" i="53"/>
  <c r="W226" i="53" s="1"/>
  <c r="Y226" i="44"/>
  <c r="W226" i="44" s="1"/>
  <c r="Y226" i="52"/>
  <c r="W226" i="52" s="1"/>
  <c r="Y214" i="55"/>
  <c r="W214" i="55" s="1"/>
  <c r="Y214" i="54"/>
  <c r="W214" i="54" s="1"/>
  <c r="Y214" i="53"/>
  <c r="W214" i="53" s="1"/>
  <c r="Y214" i="52"/>
  <c r="W214" i="52" s="1"/>
  <c r="Y202" i="55"/>
  <c r="W202" i="55" s="1"/>
  <c r="Y202" i="53"/>
  <c r="W202" i="53" s="1"/>
  <c r="Y202" i="44"/>
  <c r="W202" i="44" s="1"/>
  <c r="Y202" i="54"/>
  <c r="W202" i="54" s="1"/>
  <c r="Y202" i="52"/>
  <c r="W202" i="52" s="1"/>
  <c r="Y190" i="55"/>
  <c r="W190" i="55" s="1"/>
  <c r="Y190" i="54"/>
  <c r="W190" i="54" s="1"/>
  <c r="Y190" i="53"/>
  <c r="W190" i="53" s="1"/>
  <c r="Y178" i="55"/>
  <c r="W178" i="55" s="1"/>
  <c r="Y178" i="54"/>
  <c r="W178" i="54" s="1"/>
  <c r="Y178" i="44"/>
  <c r="W178" i="44" s="1"/>
  <c r="Y178" i="53"/>
  <c r="W178" i="53" s="1"/>
  <c r="Y178" i="52"/>
  <c r="W178" i="52" s="1"/>
  <c r="Y166" i="55"/>
  <c r="W166" i="55" s="1"/>
  <c r="Y166" i="54"/>
  <c r="W166" i="54" s="1"/>
  <c r="Y166" i="53"/>
  <c r="W166" i="53" s="1"/>
  <c r="Y166" i="44"/>
  <c r="W166" i="44" s="1"/>
  <c r="Y154" i="55"/>
  <c r="W154" i="55" s="1"/>
  <c r="Y154" i="54"/>
  <c r="W154" i="54" s="1"/>
  <c r="Y154" i="53"/>
  <c r="W154" i="53" s="1"/>
  <c r="Y154" i="52"/>
  <c r="W154" i="52" s="1"/>
  <c r="Y154" i="44"/>
  <c r="W154" i="44" s="1"/>
  <c r="Y114" i="54"/>
  <c r="W114" i="54" s="1"/>
  <c r="Y114" i="52"/>
  <c r="W114" i="52" s="1"/>
  <c r="Y114" i="53"/>
  <c r="W114" i="53" s="1"/>
  <c r="Y114" i="55"/>
  <c r="W114" i="55" s="1"/>
  <c r="Y1174" i="44"/>
  <c r="W1174" i="44" s="1"/>
  <c r="Y1150" i="44"/>
  <c r="W1150" i="44" s="1"/>
  <c r="Y1106" i="44"/>
  <c r="W1106" i="44" s="1"/>
  <c r="Y1022" i="44"/>
  <c r="W1022" i="44" s="1"/>
  <c r="Y1014" i="44"/>
  <c r="W1014" i="44" s="1"/>
  <c r="Y1006" i="44"/>
  <c r="W1006" i="44" s="1"/>
  <c r="Y970" i="44"/>
  <c r="W970" i="44" s="1"/>
  <c r="Y962" i="44"/>
  <c r="W962" i="44" s="1"/>
  <c r="Y954" i="44"/>
  <c r="W954" i="44" s="1"/>
  <c r="Y946" i="44"/>
  <c r="W946" i="44" s="1"/>
  <c r="Y922" i="44"/>
  <c r="W922" i="44" s="1"/>
  <c r="Y762" i="44"/>
  <c r="W762" i="44" s="1"/>
  <c r="Y726" i="44"/>
  <c r="W726" i="44" s="1"/>
  <c r="Y718" i="44"/>
  <c r="W718" i="44" s="1"/>
  <c r="Y710" i="44"/>
  <c r="W710" i="44" s="1"/>
  <c r="Y702" i="44"/>
  <c r="W702" i="44" s="1"/>
  <c r="Y662" i="44"/>
  <c r="W662" i="44" s="1"/>
  <c r="Y602" i="44"/>
  <c r="W602" i="44" s="1"/>
  <c r="Y510" i="44"/>
  <c r="W510" i="44" s="1"/>
  <c r="Y494" i="44"/>
  <c r="W494" i="44" s="1"/>
  <c r="Y418" i="44"/>
  <c r="W418" i="44" s="1"/>
  <c r="Y1106" i="52"/>
  <c r="W1106" i="52" s="1"/>
  <c r="Y982" i="52"/>
  <c r="W982" i="52" s="1"/>
  <c r="Y882" i="52"/>
  <c r="W882" i="52" s="1"/>
  <c r="Y726" i="52"/>
  <c r="W726" i="52" s="1"/>
  <c r="Y626" i="52"/>
  <c r="W626" i="52" s="1"/>
  <c r="Y594" i="52"/>
  <c r="W594" i="52" s="1"/>
  <c r="Y494" i="52"/>
  <c r="W494" i="52" s="1"/>
  <c r="Y462" i="52"/>
  <c r="W462" i="52" s="1"/>
  <c r="Y338" i="52"/>
  <c r="W338" i="52" s="1"/>
  <c r="Y274" i="52"/>
  <c r="W274" i="52" s="1"/>
  <c r="Y1174" i="53"/>
  <c r="W1174" i="53" s="1"/>
  <c r="Y922" i="53"/>
  <c r="W922" i="53" s="1"/>
  <c r="Y602" i="53"/>
  <c r="W602" i="53" s="1"/>
  <c r="Y494" i="53"/>
  <c r="W494" i="53" s="1"/>
  <c r="Y338" i="53"/>
  <c r="W338" i="53" s="1"/>
  <c r="Y994" i="54"/>
  <c r="W994" i="54" s="1"/>
  <c r="Y762" i="54"/>
  <c r="W762" i="54" s="1"/>
  <c r="Y634" i="54"/>
  <c r="W634" i="54" s="1"/>
  <c r="Y1178" i="55"/>
  <c r="W1178" i="55" s="1"/>
  <c r="Y1178" i="54"/>
  <c r="W1178" i="54" s="1"/>
  <c r="Y1178" i="52"/>
  <c r="W1178" i="52" s="1"/>
  <c r="Y1178" i="53"/>
  <c r="W1178" i="53" s="1"/>
  <c r="Y1166" i="55"/>
  <c r="W1166" i="55" s="1"/>
  <c r="Y1166" i="54"/>
  <c r="W1166" i="54" s="1"/>
  <c r="Y1166" i="52"/>
  <c r="W1166" i="52" s="1"/>
  <c r="Y1154" i="55"/>
  <c r="W1154" i="55" s="1"/>
  <c r="Y1154" i="54"/>
  <c r="W1154" i="54" s="1"/>
  <c r="Y1154" i="53"/>
  <c r="W1154" i="53" s="1"/>
  <c r="Y1142" i="55"/>
  <c r="W1142" i="55" s="1"/>
  <c r="Y1142" i="54"/>
  <c r="W1142" i="54" s="1"/>
  <c r="Y1142" i="52"/>
  <c r="W1142" i="52" s="1"/>
  <c r="Y1126" i="55"/>
  <c r="W1126" i="55" s="1"/>
  <c r="Y1126" i="54"/>
  <c r="W1126" i="54" s="1"/>
  <c r="Y1126" i="52"/>
  <c r="W1126" i="52" s="1"/>
  <c r="Y1114" i="55"/>
  <c r="W1114" i="55" s="1"/>
  <c r="Y1114" i="54"/>
  <c r="W1114" i="54" s="1"/>
  <c r="Y1114" i="53"/>
  <c r="W1114" i="53" s="1"/>
  <c r="Y1098" i="55"/>
  <c r="W1098" i="55" s="1"/>
  <c r="Y1098" i="54"/>
  <c r="W1098" i="54" s="1"/>
  <c r="Y1098" i="53"/>
  <c r="W1098" i="53" s="1"/>
  <c r="Y1086" i="55"/>
  <c r="W1086" i="55" s="1"/>
  <c r="Y1086" i="54"/>
  <c r="W1086" i="54" s="1"/>
  <c r="Y1086" i="52"/>
  <c r="W1086" i="52" s="1"/>
  <c r="Y1086" i="53"/>
  <c r="W1086" i="53" s="1"/>
  <c r="Y1074" i="55"/>
  <c r="W1074" i="55" s="1"/>
  <c r="Y1074" i="54"/>
  <c r="W1074" i="54" s="1"/>
  <c r="Y1074" i="53"/>
  <c r="W1074" i="53" s="1"/>
  <c r="Y1074" i="52"/>
  <c r="W1074" i="52" s="1"/>
  <c r="Y1062" i="55"/>
  <c r="W1062" i="55" s="1"/>
  <c r="Y1062" i="54"/>
  <c r="W1062" i="54" s="1"/>
  <c r="Y1062" i="52"/>
  <c r="W1062" i="52" s="1"/>
  <c r="Y1062" i="53"/>
  <c r="W1062" i="53" s="1"/>
  <c r="Y1050" i="55"/>
  <c r="W1050" i="55" s="1"/>
  <c r="Y1050" i="54"/>
  <c r="W1050" i="54" s="1"/>
  <c r="Y1050" i="52"/>
  <c r="W1050" i="52" s="1"/>
  <c r="Y1038" i="55"/>
  <c r="W1038" i="55" s="1"/>
  <c r="Y1038" i="54"/>
  <c r="W1038" i="54" s="1"/>
  <c r="Y1038" i="52"/>
  <c r="W1038" i="52" s="1"/>
  <c r="Y1038" i="53"/>
  <c r="W1038" i="53" s="1"/>
  <c r="Y1026" i="55"/>
  <c r="W1026" i="55" s="1"/>
  <c r="Y1026" i="54"/>
  <c r="W1026" i="54" s="1"/>
  <c r="Y1026" i="52"/>
  <c r="W1026" i="52" s="1"/>
  <c r="Y1014" i="55"/>
  <c r="W1014" i="55" s="1"/>
  <c r="Y1014" i="54"/>
  <c r="W1014" i="54" s="1"/>
  <c r="Y1014" i="53"/>
  <c r="W1014" i="53" s="1"/>
  <c r="Y1002" i="55"/>
  <c r="W1002" i="55" s="1"/>
  <c r="Y1002" i="54"/>
  <c r="W1002" i="54" s="1"/>
  <c r="Y1002" i="52"/>
  <c r="W1002" i="52" s="1"/>
  <c r="Y990" i="55"/>
  <c r="W990" i="55" s="1"/>
  <c r="Y990" i="54"/>
  <c r="W990" i="54" s="1"/>
  <c r="Y990" i="53"/>
  <c r="W990" i="53" s="1"/>
  <c r="Y978" i="55"/>
  <c r="W978" i="55" s="1"/>
  <c r="Y978" i="52"/>
  <c r="W978" i="52" s="1"/>
  <c r="Y978" i="54"/>
  <c r="W978" i="54" s="1"/>
  <c r="Y966" i="55"/>
  <c r="W966" i="55" s="1"/>
  <c r="Y966" i="54"/>
  <c r="W966" i="54" s="1"/>
  <c r="Y966" i="53"/>
  <c r="W966" i="53" s="1"/>
  <c r="Y954" i="55"/>
  <c r="W954" i="55" s="1"/>
  <c r="Y954" i="54"/>
  <c r="W954" i="54" s="1"/>
  <c r="Y954" i="52"/>
  <c r="W954" i="52" s="1"/>
  <c r="Y942" i="55"/>
  <c r="W942" i="55" s="1"/>
  <c r="Y942" i="54"/>
  <c r="W942" i="54" s="1"/>
  <c r="Y942" i="53"/>
  <c r="W942" i="53" s="1"/>
  <c r="Y942" i="52"/>
  <c r="W942" i="52" s="1"/>
  <c r="Y930" i="55"/>
  <c r="W930" i="55" s="1"/>
  <c r="Y930" i="52"/>
  <c r="W930" i="52" s="1"/>
  <c r="Y918" i="55"/>
  <c r="W918" i="55" s="1"/>
  <c r="Y918" i="54"/>
  <c r="W918" i="54" s="1"/>
  <c r="Y918" i="53"/>
  <c r="W918" i="53" s="1"/>
  <c r="Y918" i="52"/>
  <c r="W918" i="52" s="1"/>
  <c r="Y902" i="55"/>
  <c r="W902" i="55" s="1"/>
  <c r="Y902" i="54"/>
  <c r="W902" i="54" s="1"/>
  <c r="Y902" i="53"/>
  <c r="W902" i="53" s="1"/>
  <c r="Y902" i="52"/>
  <c r="W902" i="52" s="1"/>
  <c r="Y890" i="55"/>
  <c r="W890" i="55" s="1"/>
  <c r="Y890" i="54"/>
  <c r="W890" i="54" s="1"/>
  <c r="Y874" i="55"/>
  <c r="W874" i="55" s="1"/>
  <c r="Y874" i="54"/>
  <c r="W874" i="54" s="1"/>
  <c r="Y858" i="55"/>
  <c r="W858" i="55" s="1"/>
  <c r="Y858" i="54"/>
  <c r="W858" i="54" s="1"/>
  <c r="Y858" i="53"/>
  <c r="W858" i="53" s="1"/>
  <c r="Y846" i="55"/>
  <c r="W846" i="55" s="1"/>
  <c r="Y846" i="54"/>
  <c r="W846" i="54" s="1"/>
  <c r="Y846" i="53"/>
  <c r="W846" i="53" s="1"/>
  <c r="Y846" i="52"/>
  <c r="W846" i="52" s="1"/>
  <c r="Y838" i="55"/>
  <c r="W838" i="55" s="1"/>
  <c r="Y838" i="54"/>
  <c r="W838" i="54" s="1"/>
  <c r="Y838" i="53"/>
  <c r="W838" i="53" s="1"/>
  <c r="Y838" i="52"/>
  <c r="W838" i="52" s="1"/>
  <c r="Y822" i="55"/>
  <c r="W822" i="55" s="1"/>
  <c r="Y822" i="54"/>
  <c r="W822" i="54" s="1"/>
  <c r="Y822" i="53"/>
  <c r="W822" i="53" s="1"/>
  <c r="Y822" i="52"/>
  <c r="W822" i="52" s="1"/>
  <c r="Y806" i="55"/>
  <c r="W806" i="55" s="1"/>
  <c r="Y806" i="54"/>
  <c r="W806" i="54" s="1"/>
  <c r="Y806" i="53"/>
  <c r="W806" i="53" s="1"/>
  <c r="Y806" i="52"/>
  <c r="W806" i="52" s="1"/>
  <c r="Y794" i="55"/>
  <c r="W794" i="55" s="1"/>
  <c r="Y794" i="54"/>
  <c r="W794" i="54" s="1"/>
  <c r="Y794" i="53"/>
  <c r="W794" i="53" s="1"/>
  <c r="Y794" i="52"/>
  <c r="W794" i="52" s="1"/>
  <c r="Y782" i="55"/>
  <c r="W782" i="55" s="1"/>
  <c r="Y782" i="54"/>
  <c r="W782" i="54" s="1"/>
  <c r="Y782" i="53"/>
  <c r="W782" i="53" s="1"/>
  <c r="Y782" i="52"/>
  <c r="W782" i="52" s="1"/>
  <c r="Y766" i="55"/>
  <c r="W766" i="55" s="1"/>
  <c r="Y766" i="54"/>
  <c r="W766" i="54" s="1"/>
  <c r="Y766" i="53"/>
  <c r="W766" i="53" s="1"/>
  <c r="Y754" i="54"/>
  <c r="W754" i="54" s="1"/>
  <c r="Y754" i="52"/>
  <c r="W754" i="52" s="1"/>
  <c r="Y754" i="53"/>
  <c r="W754" i="53" s="1"/>
  <c r="Y742" i="55"/>
  <c r="W742" i="55" s="1"/>
  <c r="Y742" i="54"/>
  <c r="W742" i="54" s="1"/>
  <c r="Y730" i="55"/>
  <c r="W730" i="55" s="1"/>
  <c r="Y730" i="53"/>
  <c r="W730" i="53" s="1"/>
  <c r="Y730" i="52"/>
  <c r="W730" i="52" s="1"/>
  <c r="Y722" i="55"/>
  <c r="W722" i="55" s="1"/>
  <c r="Y722" i="54"/>
  <c r="W722" i="54" s="1"/>
  <c r="Y722" i="52"/>
  <c r="W722" i="52" s="1"/>
  <c r="Y722" i="53"/>
  <c r="W722" i="53" s="1"/>
  <c r="Y706" i="55"/>
  <c r="W706" i="55" s="1"/>
  <c r="Y706" i="52"/>
  <c r="W706" i="52" s="1"/>
  <c r="Y706" i="54"/>
  <c r="W706" i="54" s="1"/>
  <c r="Y706" i="53"/>
  <c r="W706" i="53" s="1"/>
  <c r="Y694" i="55"/>
  <c r="W694" i="55" s="1"/>
  <c r="Y694" i="54"/>
  <c r="W694" i="54" s="1"/>
  <c r="Y694" i="52"/>
  <c r="W694" i="52" s="1"/>
  <c r="Y686" i="55"/>
  <c r="W686" i="55" s="1"/>
  <c r="Y686" i="54"/>
  <c r="W686" i="54" s="1"/>
  <c r="Y686" i="53"/>
  <c r="W686" i="53" s="1"/>
  <c r="Y686" i="52"/>
  <c r="W686" i="52" s="1"/>
  <c r="Y674" i="55"/>
  <c r="W674" i="55" s="1"/>
  <c r="Y674" i="52"/>
  <c r="W674" i="52" s="1"/>
  <c r="Y674" i="54"/>
  <c r="W674" i="54" s="1"/>
  <c r="Y674" i="53"/>
  <c r="W674" i="53" s="1"/>
  <c r="Y666" i="55"/>
  <c r="W666" i="55" s="1"/>
  <c r="Y666" i="53"/>
  <c r="W666" i="53" s="1"/>
  <c r="Y666" i="52"/>
  <c r="W666" i="52" s="1"/>
  <c r="Y658" i="55"/>
  <c r="W658" i="55" s="1"/>
  <c r="Y658" i="54"/>
  <c r="W658" i="54" s="1"/>
  <c r="Y658" i="52"/>
  <c r="W658" i="52" s="1"/>
  <c r="Y658" i="53"/>
  <c r="W658" i="53" s="1"/>
  <c r="Y650" i="55"/>
  <c r="W650" i="55" s="1"/>
  <c r="Y650" i="53"/>
  <c r="W650" i="53" s="1"/>
  <c r="Y650" i="52"/>
  <c r="W650" i="52" s="1"/>
  <c r="Y650" i="54"/>
  <c r="W650" i="54" s="1"/>
  <c r="Y646" i="55"/>
  <c r="W646" i="55" s="1"/>
  <c r="Y646" i="54"/>
  <c r="W646" i="54" s="1"/>
  <c r="Y646" i="53"/>
  <c r="W646" i="53" s="1"/>
  <c r="Y646" i="52"/>
  <c r="W646" i="52" s="1"/>
  <c r="Y638" i="55"/>
  <c r="W638" i="55" s="1"/>
  <c r="Y638" i="54"/>
  <c r="W638" i="54" s="1"/>
  <c r="Y638" i="53"/>
  <c r="W638" i="53" s="1"/>
  <c r="Y638" i="52"/>
  <c r="W638" i="52" s="1"/>
  <c r="Y630" i="55"/>
  <c r="W630" i="55" s="1"/>
  <c r="Y630" i="54"/>
  <c r="W630" i="54" s="1"/>
  <c r="Y630" i="52"/>
  <c r="W630" i="52" s="1"/>
  <c r="Y630" i="53"/>
  <c r="W630" i="53" s="1"/>
  <c r="Y622" i="55"/>
  <c r="W622" i="55" s="1"/>
  <c r="Y622" i="54"/>
  <c r="W622" i="54" s="1"/>
  <c r="Y622" i="53"/>
  <c r="W622" i="53" s="1"/>
  <c r="Y622" i="52"/>
  <c r="W622" i="52" s="1"/>
  <c r="Y610" i="55"/>
  <c r="W610" i="55" s="1"/>
  <c r="Y610" i="53"/>
  <c r="W610" i="53" s="1"/>
  <c r="Y610" i="54"/>
  <c r="W610" i="54" s="1"/>
  <c r="Y598" i="55"/>
  <c r="W598" i="55" s="1"/>
  <c r="Y598" i="54"/>
  <c r="W598" i="54" s="1"/>
  <c r="Y598" i="52"/>
  <c r="W598" i="52" s="1"/>
  <c r="Y598" i="53"/>
  <c r="W598" i="53" s="1"/>
  <c r="Y586" i="55"/>
  <c r="W586" i="55" s="1"/>
  <c r="Y586" i="54"/>
  <c r="W586" i="54" s="1"/>
  <c r="Y578" i="55"/>
  <c r="W578" i="55" s="1"/>
  <c r="Y578" i="53"/>
  <c r="W578" i="53" s="1"/>
  <c r="Y578" i="54"/>
  <c r="W578" i="54" s="1"/>
  <c r="Y578" i="52"/>
  <c r="W578" i="52" s="1"/>
  <c r="Y566" i="55"/>
  <c r="W566" i="55" s="1"/>
  <c r="Y566" i="54"/>
  <c r="W566" i="54" s="1"/>
  <c r="Y566" i="52"/>
  <c r="W566" i="52" s="1"/>
  <c r="Y566" i="53"/>
  <c r="W566" i="53" s="1"/>
  <c r="Y550" i="55"/>
  <c r="W550" i="55" s="1"/>
  <c r="Y550" i="54"/>
  <c r="W550" i="54" s="1"/>
  <c r="Y550" i="52"/>
  <c r="W550" i="52" s="1"/>
  <c r="Y550" i="53"/>
  <c r="W550" i="53" s="1"/>
  <c r="Y538" i="55"/>
  <c r="W538" i="55" s="1"/>
  <c r="Y538" i="52"/>
  <c r="W538" i="52" s="1"/>
  <c r="Y526" i="55"/>
  <c r="W526" i="55" s="1"/>
  <c r="Y526" i="54"/>
  <c r="W526" i="54" s="1"/>
  <c r="Y526" i="53"/>
  <c r="W526" i="53" s="1"/>
  <c r="Y526" i="52"/>
  <c r="W526" i="52" s="1"/>
  <c r="Y514" i="55"/>
  <c r="W514" i="55" s="1"/>
  <c r="Y514" i="53"/>
  <c r="W514" i="53" s="1"/>
  <c r="Y514" i="52"/>
  <c r="W514" i="52" s="1"/>
  <c r="Y514" i="54"/>
  <c r="W514" i="54" s="1"/>
  <c r="Y502" i="55"/>
  <c r="W502" i="55" s="1"/>
  <c r="Y502" i="54"/>
  <c r="W502" i="54" s="1"/>
  <c r="Y502" i="53"/>
  <c r="W502" i="53" s="1"/>
  <c r="Y490" i="55"/>
  <c r="W490" i="55" s="1"/>
  <c r="Y490" i="53"/>
  <c r="W490" i="53" s="1"/>
  <c r="Y490" i="54"/>
  <c r="W490" i="54" s="1"/>
  <c r="Y490" i="52"/>
  <c r="W490" i="52" s="1"/>
  <c r="Y474" i="55"/>
  <c r="W474" i="55" s="1"/>
  <c r="Y474" i="53"/>
  <c r="W474" i="53" s="1"/>
  <c r="Y474" i="52"/>
  <c r="W474" i="52" s="1"/>
  <c r="Y422" i="55"/>
  <c r="W422" i="55" s="1"/>
  <c r="Y422" i="54"/>
  <c r="W422" i="54" s="1"/>
  <c r="Y422" i="53"/>
  <c r="W422" i="53" s="1"/>
  <c r="Y422" i="52"/>
  <c r="W422" i="52" s="1"/>
  <c r="Y410" i="55"/>
  <c r="W410" i="55" s="1"/>
  <c r="Y410" i="54"/>
  <c r="W410" i="54" s="1"/>
  <c r="Y410" i="53"/>
  <c r="W410" i="53" s="1"/>
  <c r="Y402" i="55"/>
  <c r="W402" i="55" s="1"/>
  <c r="Y402" i="53"/>
  <c r="W402" i="53" s="1"/>
  <c r="Y402" i="54"/>
  <c r="W402" i="54" s="1"/>
  <c r="Y402" i="44"/>
  <c r="W402" i="44" s="1"/>
  <c r="Y390" i="55"/>
  <c r="W390" i="55" s="1"/>
  <c r="Y390" i="54"/>
  <c r="W390" i="54" s="1"/>
  <c r="Y390" i="53"/>
  <c r="W390" i="53" s="1"/>
  <c r="Y390" i="52"/>
  <c r="W390" i="52" s="1"/>
  <c r="Y390" i="44"/>
  <c r="W390" i="44" s="1"/>
  <c r="Y378" i="55"/>
  <c r="W378" i="55" s="1"/>
  <c r="Y378" i="54"/>
  <c r="W378" i="54" s="1"/>
  <c r="Y378" i="53"/>
  <c r="W378" i="53" s="1"/>
  <c r="Y378" i="44"/>
  <c r="W378" i="44" s="1"/>
  <c r="Y366" i="55"/>
  <c r="W366" i="55" s="1"/>
  <c r="Y366" i="54"/>
  <c r="W366" i="54" s="1"/>
  <c r="Y366" i="52"/>
  <c r="W366" i="52" s="1"/>
  <c r="Y366" i="53"/>
  <c r="W366" i="53" s="1"/>
  <c r="Y366" i="44"/>
  <c r="W366" i="44" s="1"/>
  <c r="Y350" i="55"/>
  <c r="W350" i="55" s="1"/>
  <c r="Y350" i="54"/>
  <c r="W350" i="54" s="1"/>
  <c r="Y350" i="53"/>
  <c r="W350" i="53" s="1"/>
  <c r="Y350" i="52"/>
  <c r="W350" i="52" s="1"/>
  <c r="Y350" i="44"/>
  <c r="W350" i="44" s="1"/>
  <c r="Y342" i="55"/>
  <c r="W342" i="55" s="1"/>
  <c r="Y342" i="54"/>
  <c r="W342" i="54" s="1"/>
  <c r="Y342" i="53"/>
  <c r="W342" i="53" s="1"/>
  <c r="Y342" i="44"/>
  <c r="W342" i="44" s="1"/>
  <c r="Y342" i="52"/>
  <c r="W342" i="52" s="1"/>
  <c r="Y330" i="55"/>
  <c r="W330" i="55" s="1"/>
  <c r="Y330" i="53"/>
  <c r="W330" i="53" s="1"/>
  <c r="Y330" i="54"/>
  <c r="W330" i="54" s="1"/>
  <c r="Y330" i="44"/>
  <c r="W330" i="44" s="1"/>
  <c r="Y318" i="55"/>
  <c r="W318" i="55" s="1"/>
  <c r="Y318" i="54"/>
  <c r="W318" i="54" s="1"/>
  <c r="Y318" i="53"/>
  <c r="W318" i="53" s="1"/>
  <c r="Y318" i="44"/>
  <c r="W318" i="44" s="1"/>
  <c r="Y318" i="52"/>
  <c r="W318" i="52" s="1"/>
  <c r="Y306" i="55"/>
  <c r="W306" i="55" s="1"/>
  <c r="Y306" i="54"/>
  <c r="W306" i="54" s="1"/>
  <c r="Y306" i="53"/>
  <c r="W306" i="53" s="1"/>
  <c r="Y306" i="44"/>
  <c r="W306" i="44" s="1"/>
  <c r="Y294" i="55"/>
  <c r="W294" i="55" s="1"/>
  <c r="Y294" i="54"/>
  <c r="W294" i="54" s="1"/>
  <c r="Y294" i="53"/>
  <c r="W294" i="53" s="1"/>
  <c r="Y294" i="44"/>
  <c r="W294" i="44" s="1"/>
  <c r="Y294" i="52"/>
  <c r="W294" i="52" s="1"/>
  <c r="Y282" i="55"/>
  <c r="W282" i="55" s="1"/>
  <c r="Y282" i="54"/>
  <c r="W282" i="54" s="1"/>
  <c r="Y282" i="53"/>
  <c r="W282" i="53" s="1"/>
  <c r="Y282" i="44"/>
  <c r="W282" i="44" s="1"/>
  <c r="Y270" i="55"/>
  <c r="W270" i="55" s="1"/>
  <c r="Y270" i="54"/>
  <c r="W270" i="54" s="1"/>
  <c r="Y270" i="53"/>
  <c r="W270" i="53" s="1"/>
  <c r="Y270" i="44"/>
  <c r="W270" i="44" s="1"/>
  <c r="Y270" i="52"/>
  <c r="W270" i="52" s="1"/>
  <c r="Y258" i="55"/>
  <c r="W258" i="55" s="1"/>
  <c r="Y258" i="54"/>
  <c r="W258" i="54" s="1"/>
  <c r="Y258" i="53"/>
  <c r="W258" i="53" s="1"/>
  <c r="Y258" i="52"/>
  <c r="W258" i="52" s="1"/>
  <c r="Y258" i="44"/>
  <c r="W258" i="44" s="1"/>
  <c r="Y242" i="54"/>
  <c r="W242" i="54" s="1"/>
  <c r="Y242" i="53"/>
  <c r="W242" i="53" s="1"/>
  <c r="Y242" i="44"/>
  <c r="W242" i="44" s="1"/>
  <c r="Y242" i="52"/>
  <c r="W242" i="52" s="1"/>
  <c r="Y230" i="55"/>
  <c r="W230" i="55" s="1"/>
  <c r="Y230" i="54"/>
  <c r="W230" i="54" s="1"/>
  <c r="Y230" i="53"/>
  <c r="W230" i="53" s="1"/>
  <c r="Y230" i="52"/>
  <c r="W230" i="52" s="1"/>
  <c r="Y218" i="55"/>
  <c r="W218" i="55" s="1"/>
  <c r="Y218" i="54"/>
  <c r="W218" i="54" s="1"/>
  <c r="Y218" i="53"/>
  <c r="W218" i="53" s="1"/>
  <c r="Y218" i="44"/>
  <c r="W218" i="44" s="1"/>
  <c r="Y218" i="52"/>
  <c r="W218" i="52" s="1"/>
  <c r="Y206" i="55"/>
  <c r="W206" i="55" s="1"/>
  <c r="Y206" i="54"/>
  <c r="W206" i="54" s="1"/>
  <c r="Y206" i="53"/>
  <c r="W206" i="53" s="1"/>
  <c r="Y206" i="52"/>
  <c r="W206" i="52" s="1"/>
  <c r="Y194" i="55"/>
  <c r="W194" i="55" s="1"/>
  <c r="Y194" i="54"/>
  <c r="W194" i="54" s="1"/>
  <c r="Y194" i="52"/>
  <c r="W194" i="52" s="1"/>
  <c r="Y194" i="44"/>
  <c r="W194" i="44" s="1"/>
  <c r="Y194" i="53"/>
  <c r="W194" i="53" s="1"/>
  <c r="Y182" i="55"/>
  <c r="W182" i="55" s="1"/>
  <c r="Y182" i="54"/>
  <c r="W182" i="54" s="1"/>
  <c r="Y182" i="53"/>
  <c r="W182" i="53" s="1"/>
  <c r="Y182" i="44"/>
  <c r="W182" i="44" s="1"/>
  <c r="Y170" i="55"/>
  <c r="W170" i="55" s="1"/>
  <c r="Y170" i="53"/>
  <c r="W170" i="53" s="1"/>
  <c r="Y170" i="44"/>
  <c r="W170" i="44" s="1"/>
  <c r="Y170" i="54"/>
  <c r="W170" i="54" s="1"/>
  <c r="Y170" i="52"/>
  <c r="W170" i="52" s="1"/>
  <c r="Y158" i="55"/>
  <c r="W158" i="55" s="1"/>
  <c r="Y158" i="54"/>
  <c r="W158" i="54" s="1"/>
  <c r="Y158" i="53"/>
  <c r="W158" i="53" s="1"/>
  <c r="Y158" i="52"/>
  <c r="W158" i="52" s="1"/>
  <c r="Y158" i="44"/>
  <c r="W158" i="44" s="1"/>
  <c r="Y146" i="55"/>
  <c r="W146" i="55" s="1"/>
  <c r="Y146" i="54"/>
  <c r="W146" i="54" s="1"/>
  <c r="Y146" i="52"/>
  <c r="W146" i="52" s="1"/>
  <c r="Y146" i="44"/>
  <c r="W146" i="44" s="1"/>
  <c r="Y138" i="55"/>
  <c r="W138" i="55" s="1"/>
  <c r="Y138" i="53"/>
  <c r="W138" i="53" s="1"/>
  <c r="Y138" i="54"/>
  <c r="W138" i="54" s="1"/>
  <c r="Y138" i="52"/>
  <c r="W138" i="52" s="1"/>
  <c r="Y138" i="44"/>
  <c r="W138" i="44" s="1"/>
  <c r="Y130" i="55"/>
  <c r="W130" i="55" s="1"/>
  <c r="Y130" i="54"/>
  <c r="W130" i="54" s="1"/>
  <c r="Y130" i="52"/>
  <c r="W130" i="52" s="1"/>
  <c r="Y130" i="44"/>
  <c r="W130" i="44" s="1"/>
  <c r="Y130" i="53"/>
  <c r="W130" i="53" s="1"/>
  <c r="Y118" i="55"/>
  <c r="W118" i="55" s="1"/>
  <c r="Y118" i="54"/>
  <c r="W118" i="54" s="1"/>
  <c r="Y118" i="53"/>
  <c r="W118" i="53" s="1"/>
  <c r="Y118" i="44"/>
  <c r="W118" i="44" s="1"/>
  <c r="Y118" i="52"/>
  <c r="W118" i="52" s="1"/>
  <c r="Y106" i="55"/>
  <c r="W106" i="55" s="1"/>
  <c r="Y106" i="53"/>
  <c r="W106" i="53" s="1"/>
  <c r="Y106" i="52"/>
  <c r="W106" i="52" s="1"/>
  <c r="Y98" i="55"/>
  <c r="W98" i="55" s="1"/>
  <c r="Y98" i="54"/>
  <c r="W98" i="54" s="1"/>
  <c r="Y98" i="53"/>
  <c r="W98" i="53" s="1"/>
  <c r="Y98" i="52"/>
  <c r="W98" i="52" s="1"/>
  <c r="Y94" i="55"/>
  <c r="W94" i="55" s="1"/>
  <c r="Y94" i="54"/>
  <c r="W94" i="54" s="1"/>
  <c r="Y94" i="53"/>
  <c r="W94" i="53" s="1"/>
  <c r="Y94" i="44"/>
  <c r="W94" i="44" s="1"/>
  <c r="Y94" i="52"/>
  <c r="W94" i="52" s="1"/>
  <c r="Y86" i="55"/>
  <c r="W86" i="55" s="1"/>
  <c r="Y86" i="54"/>
  <c r="W86" i="54" s="1"/>
  <c r="Y86" i="53"/>
  <c r="W86" i="53" s="1"/>
  <c r="Y86" i="44"/>
  <c r="W86" i="44" s="1"/>
  <c r="Y86" i="52"/>
  <c r="W86" i="52" s="1"/>
  <c r="Y78" i="55"/>
  <c r="W78" i="55" s="1"/>
  <c r="Y78" i="54"/>
  <c r="W78" i="54" s="1"/>
  <c r="Y78" i="53"/>
  <c r="W78" i="53" s="1"/>
  <c r="Y78" i="44"/>
  <c r="W78" i="44" s="1"/>
  <c r="Y78" i="52"/>
  <c r="W78" i="52" s="1"/>
  <c r="Y74" i="55"/>
  <c r="W74" i="55" s="1"/>
  <c r="Y74" i="53"/>
  <c r="W74" i="53" s="1"/>
  <c r="Y74" i="52"/>
  <c r="W74" i="52" s="1"/>
  <c r="Y74" i="54"/>
  <c r="W74" i="54" s="1"/>
  <c r="Y70" i="55"/>
  <c r="W70" i="55" s="1"/>
  <c r="Y70" i="54"/>
  <c r="W70" i="54" s="1"/>
  <c r="Y70" i="44"/>
  <c r="W70" i="44" s="1"/>
  <c r="Y70" i="53"/>
  <c r="W70" i="53" s="1"/>
  <c r="Y70" i="52"/>
  <c r="W70" i="52" s="1"/>
  <c r="Y66" i="55"/>
  <c r="W66" i="55" s="1"/>
  <c r="Y66" i="54"/>
  <c r="W66" i="54" s="1"/>
  <c r="Y66" i="53"/>
  <c r="W66" i="53" s="1"/>
  <c r="Y66" i="52"/>
  <c r="W66" i="52" s="1"/>
  <c r="Y62" i="55"/>
  <c r="W62" i="55" s="1"/>
  <c r="Y62" i="54"/>
  <c r="W62" i="54" s="1"/>
  <c r="Y62" i="53"/>
  <c r="W62" i="53" s="1"/>
  <c r="Y62" i="44"/>
  <c r="W62" i="44" s="1"/>
  <c r="Y62" i="52"/>
  <c r="W62" i="52" s="1"/>
  <c r="Y58" i="55"/>
  <c r="W58" i="55" s="1"/>
  <c r="Y58" i="53"/>
  <c r="W58" i="53" s="1"/>
  <c r="Y58" i="54"/>
  <c r="W58" i="54" s="1"/>
  <c r="Y58" i="52"/>
  <c r="W58" i="52" s="1"/>
  <c r="Y54" i="55"/>
  <c r="W54" i="55" s="1"/>
  <c r="Y54" i="54"/>
  <c r="W54" i="54" s="1"/>
  <c r="Y54" i="44"/>
  <c r="W54" i="44" s="1"/>
  <c r="Y54" i="53"/>
  <c r="W54" i="53" s="1"/>
  <c r="Y54" i="52"/>
  <c r="W54" i="52" s="1"/>
  <c r="Y50" i="55"/>
  <c r="W50" i="55" s="1"/>
  <c r="Y50" i="54"/>
  <c r="W50" i="54" s="1"/>
  <c r="Y50" i="53"/>
  <c r="W50" i="53" s="1"/>
  <c r="Y50" i="52"/>
  <c r="W50" i="52" s="1"/>
  <c r="Y50" i="44"/>
  <c r="W50" i="44" s="1"/>
  <c r="Y46" i="55"/>
  <c r="W46" i="55" s="1"/>
  <c r="Y46" i="54"/>
  <c r="W46" i="54" s="1"/>
  <c r="Y46" i="53"/>
  <c r="W46" i="53" s="1"/>
  <c r="Y46" i="44"/>
  <c r="W46" i="44" s="1"/>
  <c r="Y46" i="52"/>
  <c r="W46" i="52" s="1"/>
  <c r="Y42" i="54"/>
  <c r="W42" i="54" s="1"/>
  <c r="Y42" i="55"/>
  <c r="W42" i="55" s="1"/>
  <c r="Y42" i="53"/>
  <c r="W42" i="53" s="1"/>
  <c r="Y42" i="52"/>
  <c r="W42" i="52" s="1"/>
  <c r="Y42" i="44"/>
  <c r="W42" i="44" s="1"/>
  <c r="Y38" i="55"/>
  <c r="W38" i="55" s="1"/>
  <c r="Y38" i="54"/>
  <c r="W38" i="54" s="1"/>
  <c r="Y38" i="53"/>
  <c r="W38" i="53" s="1"/>
  <c r="Y38" i="44"/>
  <c r="W38" i="44" s="1"/>
  <c r="Y38" i="52"/>
  <c r="W38" i="52" s="1"/>
  <c r="Y34" i="54"/>
  <c r="W34" i="54" s="1"/>
  <c r="Y34" i="55"/>
  <c r="W34" i="55" s="1"/>
  <c r="Y34" i="53"/>
  <c r="W34" i="53" s="1"/>
  <c r="Y34" i="52"/>
  <c r="W34" i="52" s="1"/>
  <c r="Y34" i="44"/>
  <c r="W34" i="44" s="1"/>
  <c r="Y30" i="55"/>
  <c r="W30" i="55" s="1"/>
  <c r="Y30" i="53"/>
  <c r="W30" i="53" s="1"/>
  <c r="Y30" i="44"/>
  <c r="W30" i="44" s="1"/>
  <c r="Y30" i="54"/>
  <c r="W30" i="54" s="1"/>
  <c r="Y30" i="52"/>
  <c r="W30" i="52" s="1"/>
  <c r="Y22" i="55"/>
  <c r="Y22" i="52"/>
  <c r="Y22" i="53"/>
  <c r="Y1142" i="44"/>
  <c r="W1142" i="44" s="1"/>
  <c r="Y1134" i="44"/>
  <c r="W1134" i="44" s="1"/>
  <c r="Y1126" i="44"/>
  <c r="W1126" i="44" s="1"/>
  <c r="Y1118" i="44"/>
  <c r="W1118" i="44" s="1"/>
  <c r="Y1082" i="44"/>
  <c r="W1082" i="44" s="1"/>
  <c r="Y1074" i="44"/>
  <c r="W1074" i="44" s="1"/>
  <c r="Y1058" i="44"/>
  <c r="W1058" i="44" s="1"/>
  <c r="Y1050" i="44"/>
  <c r="W1050" i="44" s="1"/>
  <c r="Y1034" i="44"/>
  <c r="W1034" i="44" s="1"/>
  <c r="Y990" i="44"/>
  <c r="W990" i="44" s="1"/>
  <c r="Y898" i="44"/>
  <c r="W898" i="44" s="1"/>
  <c r="Y890" i="44"/>
  <c r="W890" i="44" s="1"/>
  <c r="Y874" i="44"/>
  <c r="W874" i="44" s="1"/>
  <c r="Y854" i="44"/>
  <c r="W854" i="44" s="1"/>
  <c r="Y846" i="44"/>
  <c r="W846" i="44" s="1"/>
  <c r="Y838" i="44"/>
  <c r="W838" i="44" s="1"/>
  <c r="Y830" i="44"/>
  <c r="W830" i="44" s="1"/>
  <c r="Y822" i="44"/>
  <c r="W822" i="44" s="1"/>
  <c r="Y806" i="44"/>
  <c r="W806" i="44" s="1"/>
  <c r="Y798" i="44"/>
  <c r="W798" i="44" s="1"/>
  <c r="Y782" i="44"/>
  <c r="W782" i="44" s="1"/>
  <c r="Y730" i="44"/>
  <c r="W730" i="44" s="1"/>
  <c r="Y646" i="44"/>
  <c r="W646" i="44" s="1"/>
  <c r="Y638" i="44"/>
  <c r="W638" i="44" s="1"/>
  <c r="Y630" i="44"/>
  <c r="W630" i="44" s="1"/>
  <c r="Y622" i="44"/>
  <c r="W622" i="44" s="1"/>
  <c r="Y614" i="44"/>
  <c r="W614" i="44" s="1"/>
  <c r="Y586" i="44"/>
  <c r="W586" i="44" s="1"/>
  <c r="Y578" i="44"/>
  <c r="W578" i="44" s="1"/>
  <c r="Y562" i="44"/>
  <c r="W562" i="44" s="1"/>
  <c r="Y546" i="44"/>
  <c r="W546" i="44" s="1"/>
  <c r="Y538" i="44"/>
  <c r="W538" i="44" s="1"/>
  <c r="Y522" i="44"/>
  <c r="W522" i="44" s="1"/>
  <c r="Y398" i="44"/>
  <c r="W398" i="44" s="1"/>
  <c r="Y238" i="44"/>
  <c r="W238" i="44" s="1"/>
  <c r="Y206" i="44"/>
  <c r="W206" i="44" s="1"/>
  <c r="Y114" i="44"/>
  <c r="W114" i="44" s="1"/>
  <c r="Y1146" i="52"/>
  <c r="W1146" i="52" s="1"/>
  <c r="Y1114" i="52"/>
  <c r="W1114" i="52" s="1"/>
  <c r="Y1022" i="52"/>
  <c r="W1022" i="52" s="1"/>
  <c r="Y990" i="52"/>
  <c r="W990" i="52" s="1"/>
  <c r="Y890" i="52"/>
  <c r="W890" i="52" s="1"/>
  <c r="Y858" i="52"/>
  <c r="W858" i="52" s="1"/>
  <c r="Y766" i="52"/>
  <c r="W766" i="52" s="1"/>
  <c r="Y734" i="52"/>
  <c r="W734" i="52" s="1"/>
  <c r="Y634" i="52"/>
  <c r="W634" i="52" s="1"/>
  <c r="Y602" i="52"/>
  <c r="W602" i="52" s="1"/>
  <c r="Y502" i="52"/>
  <c r="W502" i="52" s="1"/>
  <c r="Y470" i="52"/>
  <c r="W470" i="52" s="1"/>
  <c r="Y410" i="52"/>
  <c r="W410" i="52" s="1"/>
  <c r="Y378" i="52"/>
  <c r="W378" i="52" s="1"/>
  <c r="Y314" i="52"/>
  <c r="W314" i="52" s="1"/>
  <c r="Y282" i="52"/>
  <c r="W282" i="52" s="1"/>
  <c r="Y190" i="52"/>
  <c r="W190" i="52" s="1"/>
  <c r="Y1118" i="53"/>
  <c r="W1118" i="53" s="1"/>
  <c r="Y1058" i="53"/>
  <c r="W1058" i="53" s="1"/>
  <c r="Y1026" i="53"/>
  <c r="W1026" i="53" s="1"/>
  <c r="Y994" i="53"/>
  <c r="W994" i="53" s="1"/>
  <c r="Y962" i="53"/>
  <c r="W962" i="53" s="1"/>
  <c r="Y930" i="53"/>
  <c r="W930" i="53" s="1"/>
  <c r="Y898" i="53"/>
  <c r="W898" i="53" s="1"/>
  <c r="Y586" i="53"/>
  <c r="W586" i="53" s="1"/>
  <c r="Y522" i="53"/>
  <c r="W522" i="53" s="1"/>
  <c r="Y446" i="53"/>
  <c r="W446" i="53" s="1"/>
  <c r="Y274" i="53"/>
  <c r="W274" i="53" s="1"/>
  <c r="Y22" i="54"/>
  <c r="Y930" i="54"/>
  <c r="W930" i="54" s="1"/>
  <c r="Y730" i="54"/>
  <c r="W730" i="54" s="1"/>
  <c r="Y602" i="54"/>
  <c r="W602" i="54" s="1"/>
  <c r="Y474" i="54"/>
  <c r="W474" i="54" s="1"/>
  <c r="Y106" i="54"/>
  <c r="W106" i="54" s="1"/>
  <c r="Y1182" i="55"/>
  <c r="W1182" i="55" s="1"/>
  <c r="Y1182" i="54"/>
  <c r="W1182" i="54" s="1"/>
  <c r="Y1182" i="53"/>
  <c r="W1182" i="53" s="1"/>
  <c r="Y1182" i="52"/>
  <c r="W1182" i="52" s="1"/>
  <c r="Y1170" i="55"/>
  <c r="W1170" i="55" s="1"/>
  <c r="Y1170" i="52"/>
  <c r="W1170" i="52" s="1"/>
  <c r="Y1170" i="53"/>
  <c r="W1170" i="53" s="1"/>
  <c r="Y1170" i="54"/>
  <c r="W1170" i="54" s="1"/>
  <c r="Y1158" i="55"/>
  <c r="W1158" i="55" s="1"/>
  <c r="Y1158" i="54"/>
  <c r="W1158" i="54" s="1"/>
  <c r="Y1158" i="52"/>
  <c r="W1158" i="52" s="1"/>
  <c r="Y1150" i="55"/>
  <c r="W1150" i="55" s="1"/>
  <c r="Y1150" i="54"/>
  <c r="W1150" i="54" s="1"/>
  <c r="Y1150" i="52"/>
  <c r="W1150" i="52" s="1"/>
  <c r="Y1138" i="55"/>
  <c r="W1138" i="55" s="1"/>
  <c r="Y1138" i="54"/>
  <c r="W1138" i="54" s="1"/>
  <c r="Y1138" i="53"/>
  <c r="W1138" i="53" s="1"/>
  <c r="Y1130" i="54"/>
  <c r="W1130" i="54" s="1"/>
  <c r="Y1130" i="55"/>
  <c r="W1130" i="55" s="1"/>
  <c r="Y1130" i="53"/>
  <c r="W1130" i="53" s="1"/>
  <c r="Y1122" i="55"/>
  <c r="W1122" i="55" s="1"/>
  <c r="Y1122" i="53"/>
  <c r="W1122" i="53" s="1"/>
  <c r="Y1110" i="55"/>
  <c r="W1110" i="55" s="1"/>
  <c r="Y1110" i="54"/>
  <c r="W1110" i="54" s="1"/>
  <c r="Y1110" i="52"/>
  <c r="W1110" i="52" s="1"/>
  <c r="Y1102" i="55"/>
  <c r="W1102" i="55" s="1"/>
  <c r="Y1102" i="54"/>
  <c r="W1102" i="54" s="1"/>
  <c r="Y1102" i="52"/>
  <c r="W1102" i="52" s="1"/>
  <c r="Y1102" i="53"/>
  <c r="W1102" i="53" s="1"/>
  <c r="Y1090" i="55"/>
  <c r="W1090" i="55" s="1"/>
  <c r="Y1090" i="53"/>
  <c r="W1090" i="53" s="1"/>
  <c r="Y1090" i="54"/>
  <c r="W1090" i="54" s="1"/>
  <c r="Y1090" i="52"/>
  <c r="W1090" i="52" s="1"/>
  <c r="Y1078" i="55"/>
  <c r="W1078" i="55" s="1"/>
  <c r="Y1078" i="54"/>
  <c r="W1078" i="54" s="1"/>
  <c r="Y1078" i="52"/>
  <c r="W1078" i="52" s="1"/>
  <c r="Y1078" i="53"/>
  <c r="W1078" i="53" s="1"/>
  <c r="Y1066" i="54"/>
  <c r="W1066" i="54" s="1"/>
  <c r="Y1066" i="55"/>
  <c r="W1066" i="55" s="1"/>
  <c r="Y1066" i="52"/>
  <c r="W1066" i="52" s="1"/>
  <c r="Y1054" i="55"/>
  <c r="W1054" i="55" s="1"/>
  <c r="Y1054" i="54"/>
  <c r="W1054" i="54" s="1"/>
  <c r="Y1054" i="52"/>
  <c r="W1054" i="52" s="1"/>
  <c r="Y1054" i="53"/>
  <c r="W1054" i="53" s="1"/>
  <c r="Y1042" i="55"/>
  <c r="W1042" i="55" s="1"/>
  <c r="Y1042" i="54"/>
  <c r="W1042" i="54" s="1"/>
  <c r="Y1042" i="52"/>
  <c r="W1042" i="52" s="1"/>
  <c r="Y1030" i="55"/>
  <c r="W1030" i="55" s="1"/>
  <c r="Y1030" i="54"/>
  <c r="W1030" i="54" s="1"/>
  <c r="Y1030" i="52"/>
  <c r="W1030" i="52" s="1"/>
  <c r="Y1030" i="53"/>
  <c r="W1030" i="53" s="1"/>
  <c r="Y1018" i="55"/>
  <c r="W1018" i="55" s="1"/>
  <c r="Y1018" i="54"/>
  <c r="W1018" i="54" s="1"/>
  <c r="Y1018" i="52"/>
  <c r="W1018" i="52" s="1"/>
  <c r="Y1010" i="54"/>
  <c r="W1010" i="54" s="1"/>
  <c r="Y1010" i="55"/>
  <c r="W1010" i="55" s="1"/>
  <c r="Y1010" i="52"/>
  <c r="W1010" i="52" s="1"/>
  <c r="Y998" i="55"/>
  <c r="W998" i="55" s="1"/>
  <c r="Y998" i="54"/>
  <c r="W998" i="54" s="1"/>
  <c r="Y998" i="53"/>
  <c r="W998" i="53" s="1"/>
  <c r="Y986" i="55"/>
  <c r="W986" i="55" s="1"/>
  <c r="Y986" i="54"/>
  <c r="W986" i="54" s="1"/>
  <c r="Y986" i="52"/>
  <c r="W986" i="52" s="1"/>
  <c r="Y974" i="55"/>
  <c r="W974" i="55" s="1"/>
  <c r="Y974" i="54"/>
  <c r="W974" i="54" s="1"/>
  <c r="Y974" i="53"/>
  <c r="W974" i="53" s="1"/>
  <c r="Y958" i="55"/>
  <c r="W958" i="55" s="1"/>
  <c r="Y958" i="54"/>
  <c r="W958" i="54" s="1"/>
  <c r="Y958" i="53"/>
  <c r="W958" i="53" s="1"/>
  <c r="Y958" i="52"/>
  <c r="W958" i="52" s="1"/>
  <c r="Y950" i="55"/>
  <c r="W950" i="55" s="1"/>
  <c r="Y950" i="54"/>
  <c r="W950" i="54" s="1"/>
  <c r="Y950" i="53"/>
  <c r="W950" i="53" s="1"/>
  <c r="Y950" i="52"/>
  <c r="W950" i="52" s="1"/>
  <c r="Y938" i="55"/>
  <c r="W938" i="55" s="1"/>
  <c r="Y938" i="54"/>
  <c r="W938" i="54" s="1"/>
  <c r="Y938" i="52"/>
  <c r="W938" i="52" s="1"/>
  <c r="Y926" i="55"/>
  <c r="W926" i="55" s="1"/>
  <c r="Y926" i="54"/>
  <c r="W926" i="54" s="1"/>
  <c r="Y926" i="53"/>
  <c r="W926" i="53" s="1"/>
  <c r="Y926" i="52"/>
  <c r="W926" i="52" s="1"/>
  <c r="Y914" i="55"/>
  <c r="W914" i="55" s="1"/>
  <c r="Y914" i="52"/>
  <c r="W914" i="52" s="1"/>
  <c r="Y914" i="54"/>
  <c r="W914" i="54" s="1"/>
  <c r="Y906" i="55"/>
  <c r="W906" i="55" s="1"/>
  <c r="Y906" i="54"/>
  <c r="W906" i="54" s="1"/>
  <c r="Y906" i="52"/>
  <c r="W906" i="52" s="1"/>
  <c r="Y894" i="55"/>
  <c r="W894" i="55" s="1"/>
  <c r="Y894" i="54"/>
  <c r="W894" i="54" s="1"/>
  <c r="Y894" i="53"/>
  <c r="W894" i="53" s="1"/>
  <c r="Y894" i="52"/>
  <c r="W894" i="52" s="1"/>
  <c r="Y882" i="54"/>
  <c r="W882" i="54" s="1"/>
  <c r="Y882" i="55"/>
  <c r="W882" i="55" s="1"/>
  <c r="Y870" i="55"/>
  <c r="W870" i="55" s="1"/>
  <c r="Y870" i="54"/>
  <c r="W870" i="54" s="1"/>
  <c r="Y870" i="53"/>
  <c r="W870" i="53" s="1"/>
  <c r="Y870" i="52"/>
  <c r="W870" i="52" s="1"/>
  <c r="Y862" i="55"/>
  <c r="W862" i="55" s="1"/>
  <c r="Y862" i="54"/>
  <c r="W862" i="54" s="1"/>
  <c r="Y862" i="53"/>
  <c r="W862" i="53" s="1"/>
  <c r="Y862" i="52"/>
  <c r="W862" i="52" s="1"/>
  <c r="Y850" i="54"/>
  <c r="W850" i="54" s="1"/>
  <c r="Y850" i="55"/>
  <c r="W850" i="55" s="1"/>
  <c r="Y850" i="53"/>
  <c r="W850" i="53" s="1"/>
  <c r="Y834" i="55"/>
  <c r="W834" i="55" s="1"/>
  <c r="Y834" i="54"/>
  <c r="W834" i="54" s="1"/>
  <c r="Y834" i="53"/>
  <c r="W834" i="53" s="1"/>
  <c r="Y834" i="52"/>
  <c r="W834" i="52" s="1"/>
  <c r="Y826" i="55"/>
  <c r="W826" i="55" s="1"/>
  <c r="Y826" i="54"/>
  <c r="W826" i="54" s="1"/>
  <c r="Y826" i="53"/>
  <c r="W826" i="53" s="1"/>
  <c r="Y826" i="52"/>
  <c r="W826" i="52" s="1"/>
  <c r="Y814" i="55"/>
  <c r="W814" i="55" s="1"/>
  <c r="Y814" i="54"/>
  <c r="W814" i="54" s="1"/>
  <c r="Y814" i="53"/>
  <c r="W814" i="53" s="1"/>
  <c r="Y814" i="52"/>
  <c r="W814" i="52" s="1"/>
  <c r="Y802" i="55"/>
  <c r="W802" i="55" s="1"/>
  <c r="Y802" i="54"/>
  <c r="W802" i="54" s="1"/>
  <c r="Y802" i="53"/>
  <c r="W802" i="53" s="1"/>
  <c r="Y802" i="52"/>
  <c r="W802" i="52" s="1"/>
  <c r="Y790" i="55"/>
  <c r="W790" i="55" s="1"/>
  <c r="Y790" i="54"/>
  <c r="W790" i="54" s="1"/>
  <c r="Y790" i="53"/>
  <c r="W790" i="53" s="1"/>
  <c r="Y790" i="52"/>
  <c r="W790" i="52" s="1"/>
  <c r="Y778" i="55"/>
  <c r="W778" i="55" s="1"/>
  <c r="Y778" i="54"/>
  <c r="W778" i="54" s="1"/>
  <c r="Y778" i="53"/>
  <c r="W778" i="53" s="1"/>
  <c r="Y778" i="52"/>
  <c r="W778" i="52" s="1"/>
  <c r="Y770" i="55"/>
  <c r="W770" i="55" s="1"/>
  <c r="Y770" i="54"/>
  <c r="W770" i="54" s="1"/>
  <c r="Y770" i="52"/>
  <c r="W770" i="52" s="1"/>
  <c r="Y770" i="53"/>
  <c r="W770" i="53" s="1"/>
  <c r="Y758" i="55"/>
  <c r="W758" i="55" s="1"/>
  <c r="Y758" i="54"/>
  <c r="W758" i="54" s="1"/>
  <c r="Y746" i="55"/>
  <c r="W746" i="55" s="1"/>
  <c r="Y746" i="53"/>
  <c r="W746" i="53" s="1"/>
  <c r="Y746" i="54"/>
  <c r="W746" i="54" s="1"/>
  <c r="Y746" i="52"/>
  <c r="W746" i="52" s="1"/>
  <c r="Y738" i="55"/>
  <c r="W738" i="55" s="1"/>
  <c r="Y738" i="52"/>
  <c r="W738" i="52" s="1"/>
  <c r="Y738" i="54"/>
  <c r="W738" i="54" s="1"/>
  <c r="Y738" i="53"/>
  <c r="W738" i="53" s="1"/>
  <c r="Y726" i="55"/>
  <c r="W726" i="55" s="1"/>
  <c r="Y726" i="54"/>
  <c r="W726" i="54" s="1"/>
  <c r="Y714" i="55"/>
  <c r="W714" i="55" s="1"/>
  <c r="Y714" i="53"/>
  <c r="W714" i="53" s="1"/>
  <c r="Y714" i="54"/>
  <c r="W714" i="54" s="1"/>
  <c r="Y714" i="52"/>
  <c r="W714" i="52" s="1"/>
  <c r="Y710" i="55"/>
  <c r="W710" i="55" s="1"/>
  <c r="Y710" i="54"/>
  <c r="W710" i="54" s="1"/>
  <c r="Y698" i="55"/>
  <c r="W698" i="55" s="1"/>
  <c r="Y698" i="53"/>
  <c r="W698" i="53" s="1"/>
  <c r="Y698" i="52"/>
  <c r="W698" i="52" s="1"/>
  <c r="Y690" i="55"/>
  <c r="W690" i="55" s="1"/>
  <c r="Y690" i="54"/>
  <c r="W690" i="54" s="1"/>
  <c r="Y690" i="52"/>
  <c r="W690" i="52" s="1"/>
  <c r="Y690" i="53"/>
  <c r="W690" i="53" s="1"/>
  <c r="Y678" i="55"/>
  <c r="W678" i="55" s="1"/>
  <c r="Y678" i="54"/>
  <c r="W678" i="54" s="1"/>
  <c r="Y678" i="52"/>
  <c r="W678" i="52" s="1"/>
  <c r="Y670" i="55"/>
  <c r="W670" i="55" s="1"/>
  <c r="Y670" i="54"/>
  <c r="W670" i="54" s="1"/>
  <c r="Y670" i="53"/>
  <c r="W670" i="53" s="1"/>
  <c r="Y670" i="52"/>
  <c r="W670" i="52" s="1"/>
  <c r="Y662" i="55"/>
  <c r="W662" i="55" s="1"/>
  <c r="Y662" i="54"/>
  <c r="W662" i="54" s="1"/>
  <c r="Y662" i="52"/>
  <c r="W662" i="52" s="1"/>
  <c r="Y654" i="55"/>
  <c r="W654" i="55" s="1"/>
  <c r="Y654" i="54"/>
  <c r="W654" i="54" s="1"/>
  <c r="Y654" i="53"/>
  <c r="W654" i="53" s="1"/>
  <c r="Y654" i="52"/>
  <c r="W654" i="52" s="1"/>
  <c r="Y642" i="55"/>
  <c r="W642" i="55" s="1"/>
  <c r="Y642" i="53"/>
  <c r="W642" i="53" s="1"/>
  <c r="Y642" i="54"/>
  <c r="W642" i="54" s="1"/>
  <c r="Y594" i="55"/>
  <c r="W594" i="55" s="1"/>
  <c r="Y594" i="54"/>
  <c r="W594" i="54" s="1"/>
  <c r="Y594" i="53"/>
  <c r="W594" i="53" s="1"/>
  <c r="Y582" i="55"/>
  <c r="W582" i="55" s="1"/>
  <c r="Y582" i="54"/>
  <c r="W582" i="54" s="1"/>
  <c r="Y582" i="52"/>
  <c r="W582" i="52" s="1"/>
  <c r="Y582" i="53"/>
  <c r="W582" i="53" s="1"/>
  <c r="Y570" i="55"/>
  <c r="W570" i="55" s="1"/>
  <c r="Y570" i="52"/>
  <c r="W570" i="52" s="1"/>
  <c r="Y558" i="55"/>
  <c r="W558" i="55" s="1"/>
  <c r="Y558" i="54"/>
  <c r="W558" i="54" s="1"/>
  <c r="Y558" i="53"/>
  <c r="W558" i="53" s="1"/>
  <c r="Y558" i="52"/>
  <c r="W558" i="52" s="1"/>
  <c r="Y554" i="55"/>
  <c r="W554" i="55" s="1"/>
  <c r="Y554" i="54"/>
  <c r="W554" i="54" s="1"/>
  <c r="Y554" i="52"/>
  <c r="W554" i="52" s="1"/>
  <c r="Y542" i="55"/>
  <c r="W542" i="55" s="1"/>
  <c r="Y542" i="54"/>
  <c r="W542" i="54" s="1"/>
  <c r="Y542" i="53"/>
  <c r="W542" i="53" s="1"/>
  <c r="Y542" i="52"/>
  <c r="W542" i="52" s="1"/>
  <c r="Y530" i="55"/>
  <c r="W530" i="55" s="1"/>
  <c r="Y530" i="54"/>
  <c r="W530" i="54" s="1"/>
  <c r="Y530" i="53"/>
  <c r="W530" i="53" s="1"/>
  <c r="Y530" i="52"/>
  <c r="W530" i="52" s="1"/>
  <c r="Y518" i="55"/>
  <c r="W518" i="55" s="1"/>
  <c r="Y518" i="54"/>
  <c r="W518" i="54" s="1"/>
  <c r="Y518" i="53"/>
  <c r="W518" i="53" s="1"/>
  <c r="Y506" i="55"/>
  <c r="W506" i="55" s="1"/>
  <c r="Y506" i="52"/>
  <c r="W506" i="52" s="1"/>
  <c r="Y506" i="53"/>
  <c r="W506" i="53" s="1"/>
  <c r="Y498" i="54"/>
  <c r="W498" i="54" s="1"/>
  <c r="Y498" i="53"/>
  <c r="W498" i="53" s="1"/>
  <c r="Y498" i="55"/>
  <c r="W498" i="55" s="1"/>
  <c r="Y498" i="52"/>
  <c r="W498" i="52" s="1"/>
  <c r="Y486" i="55"/>
  <c r="W486" i="55" s="1"/>
  <c r="Y486" i="54"/>
  <c r="W486" i="54" s="1"/>
  <c r="Y486" i="53"/>
  <c r="W486" i="53" s="1"/>
  <c r="Y478" i="55"/>
  <c r="W478" i="55" s="1"/>
  <c r="Y478" i="54"/>
  <c r="W478" i="54" s="1"/>
  <c r="Y478" i="53"/>
  <c r="W478" i="53" s="1"/>
  <c r="Y466" i="53"/>
  <c r="W466" i="53" s="1"/>
  <c r="Y466" i="55"/>
  <c r="W466" i="55" s="1"/>
  <c r="Y466" i="54"/>
  <c r="W466" i="54" s="1"/>
  <c r="Y466" i="52"/>
  <c r="W466" i="52" s="1"/>
  <c r="Y458" i="55"/>
  <c r="W458" i="55" s="1"/>
  <c r="Y458" i="53"/>
  <c r="W458" i="53" s="1"/>
  <c r="Y458" i="54"/>
  <c r="W458" i="54" s="1"/>
  <c r="Y458" i="52"/>
  <c r="W458" i="52" s="1"/>
  <c r="Y450" i="55"/>
  <c r="W450" i="55" s="1"/>
  <c r="Y450" i="53"/>
  <c r="W450" i="53" s="1"/>
  <c r="Y450" i="52"/>
  <c r="W450" i="52" s="1"/>
  <c r="Y450" i="54"/>
  <c r="W450" i="54" s="1"/>
  <c r="Y442" i="55"/>
  <c r="W442" i="55" s="1"/>
  <c r="Y442" i="53"/>
  <c r="W442" i="53" s="1"/>
  <c r="Y442" i="52"/>
  <c r="W442" i="52" s="1"/>
  <c r="Y434" i="53"/>
  <c r="W434" i="53" s="1"/>
  <c r="Y434" i="55"/>
  <c r="W434" i="55" s="1"/>
  <c r="Y434" i="54"/>
  <c r="W434" i="54" s="1"/>
  <c r="Y434" i="52"/>
  <c r="W434" i="52" s="1"/>
  <c r="Y426" i="55"/>
  <c r="W426" i="55" s="1"/>
  <c r="Y426" i="53"/>
  <c r="W426" i="53" s="1"/>
  <c r="Y426" i="52"/>
  <c r="W426" i="52" s="1"/>
  <c r="Y426" i="54"/>
  <c r="W426" i="54" s="1"/>
  <c r="Y414" i="55"/>
  <c r="W414" i="55" s="1"/>
  <c r="Y414" i="54"/>
  <c r="W414" i="54" s="1"/>
  <c r="Y414" i="53"/>
  <c r="W414" i="53" s="1"/>
  <c r="Y414" i="52"/>
  <c r="W414" i="52" s="1"/>
  <c r="Y406" i="55"/>
  <c r="W406" i="55" s="1"/>
  <c r="Y406" i="54"/>
  <c r="W406" i="54" s="1"/>
  <c r="Y406" i="53"/>
  <c r="W406" i="53" s="1"/>
  <c r="Y406" i="52"/>
  <c r="W406" i="52" s="1"/>
  <c r="Y394" i="55"/>
  <c r="W394" i="55" s="1"/>
  <c r="Y394" i="53"/>
  <c r="W394" i="53" s="1"/>
  <c r="Y394" i="54"/>
  <c r="W394" i="54" s="1"/>
  <c r="Y394" i="44"/>
  <c r="W394" i="44" s="1"/>
  <c r="Y382" i="55"/>
  <c r="W382" i="55" s="1"/>
  <c r="Y382" i="54"/>
  <c r="W382" i="54" s="1"/>
  <c r="Y382" i="52"/>
  <c r="W382" i="52" s="1"/>
  <c r="Y382" i="44"/>
  <c r="W382" i="44" s="1"/>
  <c r="Y370" i="53"/>
  <c r="W370" i="53" s="1"/>
  <c r="Y370" i="54"/>
  <c r="W370" i="54" s="1"/>
  <c r="Y370" i="55"/>
  <c r="W370" i="55" s="1"/>
  <c r="Y370" i="44"/>
  <c r="W370" i="44" s="1"/>
  <c r="Y358" i="55"/>
  <c r="W358" i="55" s="1"/>
  <c r="Y358" i="54"/>
  <c r="W358" i="54" s="1"/>
  <c r="Y358" i="53"/>
  <c r="W358" i="53" s="1"/>
  <c r="Y358" i="52"/>
  <c r="W358" i="52" s="1"/>
  <c r="Y358" i="44"/>
  <c r="W358" i="44" s="1"/>
  <c r="Y346" i="55"/>
  <c r="W346" i="55" s="1"/>
  <c r="Y346" i="54"/>
  <c r="W346" i="54" s="1"/>
  <c r="Y346" i="53"/>
  <c r="W346" i="53" s="1"/>
  <c r="Y334" i="55"/>
  <c r="W334" i="55" s="1"/>
  <c r="Y334" i="54"/>
  <c r="W334" i="54" s="1"/>
  <c r="Y334" i="53"/>
  <c r="W334" i="53" s="1"/>
  <c r="Y334" i="44"/>
  <c r="W334" i="44" s="1"/>
  <c r="Y334" i="52"/>
  <c r="W334" i="52" s="1"/>
  <c r="Y322" i="55"/>
  <c r="W322" i="55" s="1"/>
  <c r="Y322" i="54"/>
  <c r="W322" i="54" s="1"/>
  <c r="Y322" i="53"/>
  <c r="W322" i="53" s="1"/>
  <c r="Y322" i="44"/>
  <c r="W322" i="44" s="1"/>
  <c r="Y310" i="55"/>
  <c r="W310" i="55" s="1"/>
  <c r="Y310" i="54"/>
  <c r="W310" i="54" s="1"/>
  <c r="Y310" i="53"/>
  <c r="W310" i="53" s="1"/>
  <c r="Y310" i="44"/>
  <c r="W310" i="44" s="1"/>
  <c r="Y310" i="52"/>
  <c r="W310" i="52" s="1"/>
  <c r="Y298" i="55"/>
  <c r="W298" i="55" s="1"/>
  <c r="Y298" i="53"/>
  <c r="W298" i="53" s="1"/>
  <c r="Y298" i="54"/>
  <c r="W298" i="54" s="1"/>
  <c r="Y298" i="44"/>
  <c r="W298" i="44" s="1"/>
  <c r="Y286" i="55"/>
  <c r="W286" i="55" s="1"/>
  <c r="Y286" i="54"/>
  <c r="W286" i="54" s="1"/>
  <c r="Y286" i="53"/>
  <c r="W286" i="53" s="1"/>
  <c r="Y286" i="44"/>
  <c r="W286" i="44" s="1"/>
  <c r="Y286" i="52"/>
  <c r="W286" i="52" s="1"/>
  <c r="Y278" i="55"/>
  <c r="W278" i="55" s="1"/>
  <c r="Y278" i="54"/>
  <c r="W278" i="54" s="1"/>
  <c r="Y278" i="53"/>
  <c r="W278" i="53" s="1"/>
  <c r="Y278" i="44"/>
  <c r="W278" i="44" s="1"/>
  <c r="Y278" i="52"/>
  <c r="W278" i="52" s="1"/>
  <c r="Y266" i="55"/>
  <c r="W266" i="55" s="1"/>
  <c r="Y266" i="53"/>
  <c r="W266" i="53" s="1"/>
  <c r="Y266" i="54"/>
  <c r="W266" i="54" s="1"/>
  <c r="Y266" i="52"/>
  <c r="W266" i="52" s="1"/>
  <c r="Y266" i="44"/>
  <c r="W266" i="44" s="1"/>
  <c r="Y254" i="55"/>
  <c r="W254" i="55" s="1"/>
  <c r="Y254" i="54"/>
  <c r="W254" i="54" s="1"/>
  <c r="Y254" i="53"/>
  <c r="W254" i="53" s="1"/>
  <c r="Y254" i="52"/>
  <c r="W254" i="52" s="1"/>
  <c r="Y254" i="44"/>
  <c r="W254" i="44" s="1"/>
  <c r="Y246" i="55"/>
  <c r="W246" i="55" s="1"/>
  <c r="Y246" i="54"/>
  <c r="W246" i="54" s="1"/>
  <c r="Y246" i="53"/>
  <c r="W246" i="53" s="1"/>
  <c r="Y246" i="52"/>
  <c r="W246" i="52" s="1"/>
  <c r="Y234" i="55"/>
  <c r="W234" i="55" s="1"/>
  <c r="Y234" i="53"/>
  <c r="W234" i="53" s="1"/>
  <c r="Y234" i="44"/>
  <c r="W234" i="44" s="1"/>
  <c r="Y234" i="52"/>
  <c r="W234" i="52" s="1"/>
  <c r="Y222" i="55"/>
  <c r="W222" i="55" s="1"/>
  <c r="Y222" i="54"/>
  <c r="W222" i="54" s="1"/>
  <c r="Y222" i="53"/>
  <c r="W222" i="53" s="1"/>
  <c r="Y222" i="52"/>
  <c r="W222" i="52" s="1"/>
  <c r="Y210" i="55"/>
  <c r="W210" i="55" s="1"/>
  <c r="Y210" i="54"/>
  <c r="W210" i="54" s="1"/>
  <c r="Y210" i="44"/>
  <c r="W210" i="44" s="1"/>
  <c r="Y210" i="52"/>
  <c r="W210" i="52" s="1"/>
  <c r="Y198" i="55"/>
  <c r="W198" i="55" s="1"/>
  <c r="Y198" i="54"/>
  <c r="W198" i="54" s="1"/>
  <c r="Y198" i="53"/>
  <c r="W198" i="53" s="1"/>
  <c r="Y186" i="55"/>
  <c r="W186" i="55" s="1"/>
  <c r="Y186" i="54"/>
  <c r="W186" i="54" s="1"/>
  <c r="Y186" i="53"/>
  <c r="W186" i="53" s="1"/>
  <c r="Y186" i="52"/>
  <c r="W186" i="52" s="1"/>
  <c r="Y186" i="44"/>
  <c r="W186" i="44" s="1"/>
  <c r="Y174" i="55"/>
  <c r="W174" i="55" s="1"/>
  <c r="Y174" i="54"/>
  <c r="W174" i="54" s="1"/>
  <c r="Y174" i="53"/>
  <c r="W174" i="53" s="1"/>
  <c r="Y174" i="44"/>
  <c r="W174" i="44" s="1"/>
  <c r="Y162" i="55"/>
  <c r="W162" i="55" s="1"/>
  <c r="Y162" i="54"/>
  <c r="W162" i="54" s="1"/>
  <c r="Y162" i="53"/>
  <c r="W162" i="53" s="1"/>
  <c r="Y162" i="52"/>
  <c r="W162" i="52" s="1"/>
  <c r="Y162" i="44"/>
  <c r="W162" i="44" s="1"/>
  <c r="Y150" i="55"/>
  <c r="W150" i="55" s="1"/>
  <c r="Y150" i="54"/>
  <c r="W150" i="54" s="1"/>
  <c r="Y150" i="53"/>
  <c r="W150" i="53" s="1"/>
  <c r="Y150" i="52"/>
  <c r="W150" i="52" s="1"/>
  <c r="Y150" i="44"/>
  <c r="W150" i="44" s="1"/>
  <c r="Y142" i="55"/>
  <c r="W142" i="55" s="1"/>
  <c r="Y142" i="54"/>
  <c r="W142" i="54" s="1"/>
  <c r="Y142" i="53"/>
  <c r="W142" i="53" s="1"/>
  <c r="Y142" i="52"/>
  <c r="W142" i="52" s="1"/>
  <c r="Y142" i="44"/>
  <c r="W142" i="44" s="1"/>
  <c r="Y134" i="55"/>
  <c r="W134" i="55" s="1"/>
  <c r="Y134" i="54"/>
  <c r="W134" i="54" s="1"/>
  <c r="Y134" i="53"/>
  <c r="W134" i="53" s="1"/>
  <c r="Y134" i="52"/>
  <c r="W134" i="52" s="1"/>
  <c r="Y134" i="44"/>
  <c r="W134" i="44" s="1"/>
  <c r="Y126" i="55"/>
  <c r="W126" i="55" s="1"/>
  <c r="Y126" i="54"/>
  <c r="W126" i="54" s="1"/>
  <c r="Y126" i="53"/>
  <c r="W126" i="53" s="1"/>
  <c r="Y126" i="52"/>
  <c r="W126" i="52" s="1"/>
  <c r="Y126" i="44"/>
  <c r="W126" i="44" s="1"/>
  <c r="Y122" i="55"/>
  <c r="W122" i="55" s="1"/>
  <c r="Y122" i="54"/>
  <c r="W122" i="54" s="1"/>
  <c r="Y122" i="53"/>
  <c r="W122" i="53" s="1"/>
  <c r="Y122" i="52"/>
  <c r="W122" i="52" s="1"/>
  <c r="Y122" i="44"/>
  <c r="W122" i="44" s="1"/>
  <c r="Y110" i="55"/>
  <c r="W110" i="55" s="1"/>
  <c r="Y110" i="54"/>
  <c r="W110" i="54" s="1"/>
  <c r="Y110" i="53"/>
  <c r="W110" i="53" s="1"/>
  <c r="Y110" i="44"/>
  <c r="W110" i="44" s="1"/>
  <c r="Y110" i="52"/>
  <c r="W110" i="52" s="1"/>
  <c r="Y102" i="55"/>
  <c r="W102" i="55" s="1"/>
  <c r="Y102" i="54"/>
  <c r="W102" i="54" s="1"/>
  <c r="Y102" i="53"/>
  <c r="W102" i="53" s="1"/>
  <c r="Y102" i="44"/>
  <c r="W102" i="44" s="1"/>
  <c r="Y102" i="52"/>
  <c r="W102" i="52" s="1"/>
  <c r="Y90" i="55"/>
  <c r="W90" i="55" s="1"/>
  <c r="Y90" i="54"/>
  <c r="W90" i="54" s="1"/>
  <c r="Y90" i="53"/>
  <c r="W90" i="53" s="1"/>
  <c r="Y90" i="52"/>
  <c r="W90" i="52" s="1"/>
  <c r="Y82" i="55"/>
  <c r="W82" i="55" s="1"/>
  <c r="Y82" i="54"/>
  <c r="W82" i="54" s="1"/>
  <c r="Y82" i="53"/>
  <c r="W82" i="53" s="1"/>
  <c r="Y82" i="52"/>
  <c r="W82" i="52" s="1"/>
  <c r="Y26" i="54"/>
  <c r="W26" i="54" s="1"/>
  <c r="Y26" i="53"/>
  <c r="W26" i="53" s="1"/>
  <c r="Y26" i="52"/>
  <c r="W26" i="52" s="1"/>
  <c r="Y26" i="44"/>
  <c r="W26" i="44" s="1"/>
  <c r="Y1178" i="44"/>
  <c r="W1178" i="44" s="1"/>
  <c r="Y1170" i="44"/>
  <c r="W1170" i="44" s="1"/>
  <c r="Y1162" i="44"/>
  <c r="W1162" i="44" s="1"/>
  <c r="Y1154" i="44"/>
  <c r="W1154" i="44" s="1"/>
  <c r="Y1110" i="44"/>
  <c r="W1110" i="44" s="1"/>
  <c r="Y1102" i="44"/>
  <c r="W1102" i="44" s="1"/>
  <c r="Y1094" i="44"/>
  <c r="W1094" i="44" s="1"/>
  <c r="Y1086" i="44"/>
  <c r="W1086" i="44" s="1"/>
  <c r="Y1026" i="44"/>
  <c r="W1026" i="44" s="1"/>
  <c r="Y1018" i="44"/>
  <c r="W1018" i="44" s="1"/>
  <c r="Y1010" i="44"/>
  <c r="W1010" i="44" s="1"/>
  <c r="Y1002" i="44"/>
  <c r="W1002" i="44" s="1"/>
  <c r="Y982" i="44"/>
  <c r="W982" i="44" s="1"/>
  <c r="Y974" i="44"/>
  <c r="W974" i="44" s="1"/>
  <c r="Y966" i="44"/>
  <c r="W966" i="44" s="1"/>
  <c r="Y958" i="44"/>
  <c r="W958" i="44" s="1"/>
  <c r="Y950" i="44"/>
  <c r="W950" i="44" s="1"/>
  <c r="Y942" i="44"/>
  <c r="W942" i="44" s="1"/>
  <c r="Y934" i="44"/>
  <c r="W934" i="44" s="1"/>
  <c r="Y926" i="44"/>
  <c r="W926" i="44" s="1"/>
  <c r="Y918" i="44"/>
  <c r="W918" i="44" s="1"/>
  <c r="Y910" i="44"/>
  <c r="W910" i="44" s="1"/>
  <c r="Y866" i="44"/>
  <c r="W866" i="44" s="1"/>
  <c r="Y858" i="44"/>
  <c r="W858" i="44" s="1"/>
  <c r="Y774" i="44"/>
  <c r="W774" i="44" s="1"/>
  <c r="Y766" i="44"/>
  <c r="W766" i="44" s="1"/>
  <c r="Y758" i="44"/>
  <c r="W758" i="44" s="1"/>
  <c r="Y750" i="44"/>
  <c r="W750" i="44" s="1"/>
  <c r="Y742" i="44"/>
  <c r="W742" i="44" s="1"/>
  <c r="Y722" i="44"/>
  <c r="W722" i="44" s="1"/>
  <c r="Y714" i="44"/>
  <c r="W714" i="44" s="1"/>
  <c r="Y706" i="44"/>
  <c r="W706" i="44" s="1"/>
  <c r="Y698" i="44"/>
  <c r="W698" i="44" s="1"/>
  <c r="Y690" i="44"/>
  <c r="W690" i="44" s="1"/>
  <c r="Y682" i="44"/>
  <c r="W682" i="44" s="1"/>
  <c r="Y674" i="44"/>
  <c r="W674" i="44" s="1"/>
  <c r="Y666" i="44"/>
  <c r="W666" i="44" s="1"/>
  <c r="Y658" i="44"/>
  <c r="W658" i="44" s="1"/>
  <c r="Y650" i="44"/>
  <c r="W650" i="44" s="1"/>
  <c r="Y606" i="44"/>
  <c r="W606" i="44" s="1"/>
  <c r="Y514" i="44"/>
  <c r="W514" i="44" s="1"/>
  <c r="Y506" i="44"/>
  <c r="W506" i="44" s="1"/>
  <c r="Y498" i="44"/>
  <c r="W498" i="44" s="1"/>
  <c r="Y490" i="44"/>
  <c r="W490" i="44" s="1"/>
  <c r="Y470" i="44"/>
  <c r="W470" i="44" s="1"/>
  <c r="Y462" i="44"/>
  <c r="W462" i="44" s="1"/>
  <c r="Y454" i="44"/>
  <c r="W454" i="44" s="1"/>
  <c r="Y446" i="44"/>
  <c r="W446" i="44" s="1"/>
  <c r="Y438" i="44"/>
  <c r="W438" i="44" s="1"/>
  <c r="Y430" i="44"/>
  <c r="W430" i="44" s="1"/>
  <c r="Y422" i="44"/>
  <c r="W422" i="44" s="1"/>
  <c r="Y414" i="44"/>
  <c r="W414" i="44" s="1"/>
  <c r="Y406" i="44"/>
  <c r="W406" i="44" s="1"/>
  <c r="Y346" i="44"/>
  <c r="W346" i="44" s="1"/>
  <c r="Y246" i="44"/>
  <c r="W246" i="44" s="1"/>
  <c r="Y214" i="44"/>
  <c r="W214" i="44" s="1"/>
  <c r="Y90" i="44"/>
  <c r="W90" i="44" s="1"/>
  <c r="Y58" i="44"/>
  <c r="W58" i="44" s="1"/>
  <c r="Y1154" i="52"/>
  <c r="W1154" i="52" s="1"/>
  <c r="Y1122" i="52"/>
  <c r="W1122" i="52" s="1"/>
  <c r="Y998" i="52"/>
  <c r="W998" i="52" s="1"/>
  <c r="Y966" i="52"/>
  <c r="W966" i="52" s="1"/>
  <c r="Y898" i="52"/>
  <c r="W898" i="52" s="1"/>
  <c r="Y866" i="52"/>
  <c r="W866" i="52" s="1"/>
  <c r="Y742" i="52"/>
  <c r="W742" i="52" s="1"/>
  <c r="Y710" i="52"/>
  <c r="W710" i="52" s="1"/>
  <c r="Y642" i="52"/>
  <c r="W642" i="52" s="1"/>
  <c r="Y610" i="52"/>
  <c r="W610" i="52" s="1"/>
  <c r="Y510" i="52"/>
  <c r="W510" i="52" s="1"/>
  <c r="Y478" i="52"/>
  <c r="W478" i="52" s="1"/>
  <c r="Y418" i="52"/>
  <c r="W418" i="52" s="1"/>
  <c r="Y386" i="52"/>
  <c r="W386" i="52" s="1"/>
  <c r="Y354" i="52"/>
  <c r="W354" i="52" s="1"/>
  <c r="Y322" i="52"/>
  <c r="W322" i="52" s="1"/>
  <c r="Y290" i="52"/>
  <c r="W290" i="52" s="1"/>
  <c r="Y198" i="52"/>
  <c r="W198" i="52" s="1"/>
  <c r="Y166" i="52"/>
  <c r="W166" i="52" s="1"/>
  <c r="Y1158" i="53"/>
  <c r="W1158" i="53" s="1"/>
  <c r="Y1126" i="53"/>
  <c r="W1126" i="53" s="1"/>
  <c r="Y1066" i="53"/>
  <c r="W1066" i="53" s="1"/>
  <c r="Y1034" i="53"/>
  <c r="W1034" i="53" s="1"/>
  <c r="Y1002" i="53"/>
  <c r="W1002" i="53" s="1"/>
  <c r="Y970" i="53"/>
  <c r="W970" i="53" s="1"/>
  <c r="Y938" i="53"/>
  <c r="W938" i="53" s="1"/>
  <c r="Y906" i="53"/>
  <c r="W906" i="53" s="1"/>
  <c r="Y874" i="53"/>
  <c r="W874" i="53" s="1"/>
  <c r="Y758" i="53"/>
  <c r="W758" i="53" s="1"/>
  <c r="Y694" i="53"/>
  <c r="W694" i="53" s="1"/>
  <c r="Y634" i="53"/>
  <c r="W634" i="53" s="1"/>
  <c r="Y570" i="53"/>
  <c r="W570" i="53" s="1"/>
  <c r="Y382" i="53"/>
  <c r="W382" i="53" s="1"/>
  <c r="Y210" i="53"/>
  <c r="W210" i="53" s="1"/>
  <c r="Y1122" i="54"/>
  <c r="W1122" i="54" s="1"/>
  <c r="Y698" i="54"/>
  <c r="W698" i="54" s="1"/>
  <c r="Y570" i="54"/>
  <c r="W570" i="54" s="1"/>
  <c r="Y442" i="54"/>
  <c r="W442" i="54" s="1"/>
  <c r="Y1183" i="44"/>
  <c r="W1183" i="44" s="1"/>
  <c r="Y1151" i="44"/>
  <c r="W1151" i="44" s="1"/>
  <c r="Y1119" i="44"/>
  <c r="W1119" i="44" s="1"/>
  <c r="Y1087" i="44"/>
  <c r="W1087" i="44" s="1"/>
  <c r="Y1055" i="44"/>
  <c r="W1055" i="44" s="1"/>
  <c r="Y1043" i="44"/>
  <c r="W1043" i="44" s="1"/>
  <c r="Y927" i="44"/>
  <c r="W927" i="44" s="1"/>
  <c r="Y879" i="44"/>
  <c r="W879" i="44" s="1"/>
  <c r="Y799" i="44"/>
  <c r="W799" i="44" s="1"/>
  <c r="Y751" i="44"/>
  <c r="W751" i="44" s="1"/>
  <c r="Y671" i="44"/>
  <c r="W671" i="44" s="1"/>
  <c r="Y623" i="44"/>
  <c r="W623" i="44" s="1"/>
  <c r="Y495" i="44"/>
  <c r="W495" i="44" s="1"/>
  <c r="Y403" i="44"/>
  <c r="W403" i="44" s="1"/>
  <c r="Y211" i="44"/>
  <c r="W211" i="44" s="1"/>
  <c r="Y83" i="44"/>
  <c r="W83" i="44" s="1"/>
  <c r="Y1183" i="52"/>
  <c r="W1183" i="52" s="1"/>
  <c r="Y1119" i="52"/>
  <c r="W1119" i="52" s="1"/>
  <c r="Y1055" i="52"/>
  <c r="W1055" i="52" s="1"/>
  <c r="Y991" i="52"/>
  <c r="W991" i="52" s="1"/>
  <c r="Y863" i="52"/>
  <c r="W863" i="52" s="1"/>
  <c r="Y735" i="52"/>
  <c r="W735" i="52" s="1"/>
  <c r="Y607" i="52"/>
  <c r="W607" i="52" s="1"/>
  <c r="Y535" i="52"/>
  <c r="W535" i="52" s="1"/>
  <c r="Y467" i="52"/>
  <c r="W467" i="52" s="1"/>
  <c r="Y279" i="52"/>
  <c r="W279" i="52" s="1"/>
  <c r="Y211" i="52"/>
  <c r="W211" i="52" s="1"/>
  <c r="Y23" i="52"/>
  <c r="W23" i="52" s="1"/>
  <c r="Y687" i="53"/>
  <c r="W687" i="53" s="1"/>
  <c r="Y559" i="53"/>
  <c r="W559" i="53" s="1"/>
  <c r="Y967" i="54"/>
  <c r="W967" i="54" s="1"/>
  <c r="Y1059" i="44"/>
  <c r="W1059" i="44" s="1"/>
  <c r="Y931" i="44"/>
  <c r="W931" i="44" s="1"/>
  <c r="Y803" i="44"/>
  <c r="W803" i="44" s="1"/>
  <c r="Y791" i="44"/>
  <c r="W791" i="44" s="1"/>
  <c r="Y711" i="44"/>
  <c r="W711" i="44" s="1"/>
  <c r="Y675" i="44"/>
  <c r="W675" i="44" s="1"/>
  <c r="Y583" i="44"/>
  <c r="W583" i="44" s="1"/>
  <c r="Y547" i="44"/>
  <c r="W547" i="44" s="1"/>
  <c r="Y535" i="44"/>
  <c r="W535" i="44" s="1"/>
  <c r="Y455" i="44"/>
  <c r="W455" i="44" s="1"/>
  <c r="Y407" i="44"/>
  <c r="W407" i="44" s="1"/>
  <c r="Y327" i="44"/>
  <c r="W327" i="44" s="1"/>
  <c r="Y291" i="44"/>
  <c r="W291" i="44" s="1"/>
  <c r="Y279" i="44"/>
  <c r="W279" i="44" s="1"/>
  <c r="Y215" i="44"/>
  <c r="W215" i="44" s="1"/>
  <c r="Y151" i="44"/>
  <c r="W151" i="44" s="1"/>
  <c r="Y87" i="44"/>
  <c r="W87" i="44" s="1"/>
  <c r="Y23" i="44"/>
  <c r="W23" i="44" s="1"/>
  <c r="Y1123" i="52"/>
  <c r="W1123" i="52" s="1"/>
  <c r="Y1059" i="52"/>
  <c r="W1059" i="52" s="1"/>
  <c r="Y327" i="52"/>
  <c r="W327" i="52" s="1"/>
  <c r="Y71" i="52"/>
  <c r="W71" i="52" s="1"/>
  <c r="Y1039" i="53"/>
  <c r="W1039" i="53" s="1"/>
  <c r="Y947" i="53"/>
  <c r="W947" i="53" s="1"/>
  <c r="Y895" i="53"/>
  <c r="W895" i="53" s="1"/>
  <c r="Y823" i="53"/>
  <c r="W823" i="53" s="1"/>
  <c r="Y711" i="53"/>
  <c r="W711" i="53" s="1"/>
  <c r="Y583" i="53"/>
  <c r="W583" i="53" s="1"/>
  <c r="Y1071" i="44"/>
  <c r="W1071" i="44" s="1"/>
  <c r="Y815" i="44"/>
  <c r="W815" i="44" s="1"/>
  <c r="Y687" i="44"/>
  <c r="W687" i="44" s="1"/>
  <c r="Y559" i="44"/>
  <c r="W559" i="44" s="1"/>
  <c r="Y339" i="44"/>
  <c r="W339" i="44" s="1"/>
  <c r="Y959" i="52"/>
  <c r="W959" i="52" s="1"/>
  <c r="Y831" i="52"/>
  <c r="W831" i="52" s="1"/>
  <c r="Y767" i="52"/>
  <c r="W767" i="52" s="1"/>
  <c r="Y639" i="52"/>
  <c r="W639" i="52" s="1"/>
  <c r="Y407" i="52"/>
  <c r="W407" i="52" s="1"/>
  <c r="Y339" i="52"/>
  <c r="W339" i="52" s="1"/>
  <c r="Y151" i="52"/>
  <c r="W151" i="52" s="1"/>
  <c r="Y751" i="53"/>
  <c r="W751" i="53" s="1"/>
  <c r="Y623" i="53"/>
  <c r="W623" i="53" s="1"/>
  <c r="Y1175" i="55"/>
  <c r="W1175" i="55" s="1"/>
  <c r="Y1175" i="54"/>
  <c r="W1175" i="54" s="1"/>
  <c r="Y1175" i="52"/>
  <c r="W1175" i="52" s="1"/>
  <c r="Y1167" i="55"/>
  <c r="W1167" i="55" s="1"/>
  <c r="Y1167" i="53"/>
  <c r="W1167" i="53" s="1"/>
  <c r="Y1163" i="53"/>
  <c r="W1163" i="53" s="1"/>
  <c r="Y1163" i="52"/>
  <c r="W1163" i="52" s="1"/>
  <c r="Y1155" i="54"/>
  <c r="W1155" i="54" s="1"/>
  <c r="Y1155" i="53"/>
  <c r="W1155" i="53" s="1"/>
  <c r="Y1151" i="55"/>
  <c r="W1151" i="55" s="1"/>
  <c r="Y1151" i="54"/>
  <c r="W1151" i="54" s="1"/>
  <c r="Y1151" i="53"/>
  <c r="W1151" i="53" s="1"/>
  <c r="Y1147" i="53"/>
  <c r="W1147" i="53" s="1"/>
  <c r="Y1147" i="52"/>
  <c r="W1147" i="52" s="1"/>
  <c r="Y1143" i="55"/>
  <c r="W1143" i="55" s="1"/>
  <c r="Y1143" i="54"/>
  <c r="W1143" i="54" s="1"/>
  <c r="Y1143" i="53"/>
  <c r="W1143" i="53" s="1"/>
  <c r="Y1143" i="52"/>
  <c r="W1143" i="52" s="1"/>
  <c r="Y1135" i="55"/>
  <c r="W1135" i="55" s="1"/>
  <c r="Y1135" i="54"/>
  <c r="W1135" i="54" s="1"/>
  <c r="Y1103" i="55"/>
  <c r="W1103" i="55" s="1"/>
  <c r="Y1103" i="54"/>
  <c r="W1103" i="54" s="1"/>
  <c r="Y1103" i="53"/>
  <c r="W1103" i="53" s="1"/>
  <c r="Y1099" i="53"/>
  <c r="W1099" i="53" s="1"/>
  <c r="Y1099" i="52"/>
  <c r="W1099" i="52" s="1"/>
  <c r="Y1095" i="55"/>
  <c r="W1095" i="55" s="1"/>
  <c r="Y1095" i="52"/>
  <c r="W1095" i="52" s="1"/>
  <c r="Y1087" i="55"/>
  <c r="W1087" i="55" s="1"/>
  <c r="Y1087" i="54"/>
  <c r="W1087" i="54" s="1"/>
  <c r="Y1087" i="53"/>
  <c r="W1087" i="53" s="1"/>
  <c r="Y1083" i="53"/>
  <c r="W1083" i="53" s="1"/>
  <c r="Y1083" i="52"/>
  <c r="W1083" i="52" s="1"/>
  <c r="Y1079" i="55"/>
  <c r="W1079" i="55" s="1"/>
  <c r="Y1079" i="54"/>
  <c r="W1079" i="54" s="1"/>
  <c r="Y1079" i="53"/>
  <c r="W1079" i="53" s="1"/>
  <c r="Y1079" i="52"/>
  <c r="W1079" i="52" s="1"/>
  <c r="Y1067" i="52"/>
  <c r="W1067" i="52" s="1"/>
  <c r="Y1067" i="44"/>
  <c r="W1067" i="44" s="1"/>
  <c r="Y1023" i="55"/>
  <c r="W1023" i="55" s="1"/>
  <c r="Y1023" i="54"/>
  <c r="W1023" i="54" s="1"/>
  <c r="Y1023" i="53"/>
  <c r="W1023" i="53" s="1"/>
  <c r="Y1019" i="52"/>
  <c r="W1019" i="52" s="1"/>
  <c r="Y1019" i="44"/>
  <c r="W1019" i="44" s="1"/>
  <c r="Y1015" i="55"/>
  <c r="W1015" i="55" s="1"/>
  <c r="Y1015" i="54"/>
  <c r="W1015" i="54" s="1"/>
  <c r="Y1015" i="52"/>
  <c r="W1015" i="52" s="1"/>
  <c r="Y1007" i="55"/>
  <c r="W1007" i="55" s="1"/>
  <c r="Y1007" i="54"/>
  <c r="W1007" i="54" s="1"/>
  <c r="Y1007" i="53"/>
  <c r="W1007" i="53" s="1"/>
  <c r="Y999" i="55"/>
  <c r="W999" i="55" s="1"/>
  <c r="Y999" i="54"/>
  <c r="W999" i="54" s="1"/>
  <c r="Y999" i="53"/>
  <c r="W999" i="53" s="1"/>
  <c r="Y999" i="52"/>
  <c r="W999" i="52" s="1"/>
  <c r="Y991" i="55"/>
  <c r="W991" i="55" s="1"/>
  <c r="Y991" i="53"/>
  <c r="W991" i="53" s="1"/>
  <c r="Y991" i="54"/>
  <c r="W991" i="54" s="1"/>
  <c r="Y979" i="55"/>
  <c r="W979" i="55" s="1"/>
  <c r="Y979" i="53"/>
  <c r="W979" i="53" s="1"/>
  <c r="Y959" i="55"/>
  <c r="W959" i="55" s="1"/>
  <c r="Y959" i="54"/>
  <c r="W959" i="54" s="1"/>
  <c r="Y955" i="55"/>
  <c r="W955" i="55" s="1"/>
  <c r="Y955" i="52"/>
  <c r="W955" i="52" s="1"/>
  <c r="Y955" i="44"/>
  <c r="W955" i="44" s="1"/>
  <c r="Y951" i="55"/>
  <c r="W951" i="55" s="1"/>
  <c r="Y951" i="54"/>
  <c r="W951" i="54" s="1"/>
  <c r="Y951" i="52"/>
  <c r="W951" i="52" s="1"/>
  <c r="Y943" i="55"/>
  <c r="W943" i="55" s="1"/>
  <c r="Y943" i="54"/>
  <c r="W943" i="54" s="1"/>
  <c r="Y943" i="53"/>
  <c r="W943" i="53" s="1"/>
  <c r="Y935" i="55"/>
  <c r="W935" i="55" s="1"/>
  <c r="Y935" i="54"/>
  <c r="W935" i="54" s="1"/>
  <c r="Y935" i="52"/>
  <c r="W935" i="52" s="1"/>
  <c r="Y927" i="55"/>
  <c r="W927" i="55" s="1"/>
  <c r="Y927" i="53"/>
  <c r="W927" i="53" s="1"/>
  <c r="Y919" i="55"/>
  <c r="W919" i="55" s="1"/>
  <c r="Y919" i="54"/>
  <c r="W919" i="54" s="1"/>
  <c r="Y919" i="53"/>
  <c r="W919" i="53" s="1"/>
  <c r="Y919" i="52"/>
  <c r="W919" i="52" s="1"/>
  <c r="Y911" i="55"/>
  <c r="W911" i="55" s="1"/>
  <c r="Y911" i="54"/>
  <c r="W911" i="54" s="1"/>
  <c r="Y911" i="53"/>
  <c r="W911" i="53" s="1"/>
  <c r="Y903" i="55"/>
  <c r="W903" i="55" s="1"/>
  <c r="Y903" i="53"/>
  <c r="W903" i="53" s="1"/>
  <c r="Y903" i="52"/>
  <c r="W903" i="52" s="1"/>
  <c r="Y895" i="55"/>
  <c r="W895" i="55" s="1"/>
  <c r="Y895" i="54"/>
  <c r="W895" i="54" s="1"/>
  <c r="Y883" i="55"/>
  <c r="W883" i="55" s="1"/>
  <c r="Y883" i="54"/>
  <c r="W883" i="54" s="1"/>
  <c r="Y871" i="55"/>
  <c r="W871" i="55" s="1"/>
  <c r="Y871" i="52"/>
  <c r="W871" i="52" s="1"/>
  <c r="Y843" i="55"/>
  <c r="W843" i="55" s="1"/>
  <c r="Y843" i="52"/>
  <c r="W843" i="52" s="1"/>
  <c r="Y843" i="44"/>
  <c r="W843" i="44" s="1"/>
  <c r="Y811" i="55"/>
  <c r="W811" i="55" s="1"/>
  <c r="Y811" i="54"/>
  <c r="W811" i="54" s="1"/>
  <c r="Y811" i="52"/>
  <c r="W811" i="52" s="1"/>
  <c r="Y811" i="44"/>
  <c r="W811" i="44" s="1"/>
  <c r="Y775" i="53"/>
  <c r="W775" i="53" s="1"/>
  <c r="Y775" i="52"/>
  <c r="W775" i="52" s="1"/>
  <c r="Y739" i="55"/>
  <c r="W739" i="55" s="1"/>
  <c r="Y739" i="54"/>
  <c r="W739" i="54" s="1"/>
  <c r="Y739" i="53"/>
  <c r="W739" i="53" s="1"/>
  <c r="Y735" i="55"/>
  <c r="W735" i="55" s="1"/>
  <c r="Y735" i="54"/>
  <c r="W735" i="54" s="1"/>
  <c r="Y735" i="53"/>
  <c r="W735" i="53" s="1"/>
  <c r="Y731" i="54"/>
  <c r="W731" i="54" s="1"/>
  <c r="Y731" i="53"/>
  <c r="W731" i="53" s="1"/>
  <c r="Y731" i="52"/>
  <c r="W731" i="52" s="1"/>
  <c r="Y731" i="44"/>
  <c r="W731" i="44" s="1"/>
  <c r="Y727" i="53"/>
  <c r="W727" i="53" s="1"/>
  <c r="Y727" i="52"/>
  <c r="W727" i="52" s="1"/>
  <c r="Y723" i="55"/>
  <c r="W723" i="55" s="1"/>
  <c r="Y723" i="53"/>
  <c r="W723" i="53" s="1"/>
  <c r="Y703" i="55"/>
  <c r="W703" i="55" s="1"/>
  <c r="Y703" i="54"/>
  <c r="W703" i="54" s="1"/>
  <c r="Y703" i="53"/>
  <c r="W703" i="53" s="1"/>
  <c r="Y695" i="53"/>
  <c r="W695" i="53" s="1"/>
  <c r="Y695" i="52"/>
  <c r="W695" i="52" s="1"/>
  <c r="Y683" i="53"/>
  <c r="W683" i="53" s="1"/>
  <c r="Y683" i="52"/>
  <c r="W683" i="52" s="1"/>
  <c r="Y683" i="44"/>
  <c r="W683" i="44" s="1"/>
  <c r="Y675" i="55"/>
  <c r="W675" i="55" s="1"/>
  <c r="Y675" i="54"/>
  <c r="W675" i="54" s="1"/>
  <c r="Y675" i="53"/>
  <c r="W675" i="53" s="1"/>
  <c r="Y663" i="53"/>
  <c r="W663" i="53" s="1"/>
  <c r="Y663" i="52"/>
  <c r="W663" i="52" s="1"/>
  <c r="Y651" i="53"/>
  <c r="W651" i="53" s="1"/>
  <c r="Y651" i="52"/>
  <c r="W651" i="52" s="1"/>
  <c r="Y651" i="44"/>
  <c r="W651" i="44" s="1"/>
  <c r="Y643" i="55"/>
  <c r="W643" i="55" s="1"/>
  <c r="Y643" i="53"/>
  <c r="W643" i="53" s="1"/>
  <c r="Y635" i="54"/>
  <c r="W635" i="54" s="1"/>
  <c r="Y635" i="53"/>
  <c r="W635" i="53" s="1"/>
  <c r="Y635" i="52"/>
  <c r="W635" i="52" s="1"/>
  <c r="Y635" i="44"/>
  <c r="W635" i="44" s="1"/>
  <c r="Y611" i="55"/>
  <c r="W611" i="55" s="1"/>
  <c r="Y611" i="54"/>
  <c r="W611" i="54" s="1"/>
  <c r="Y611" i="53"/>
  <c r="W611" i="53" s="1"/>
  <c r="Y607" i="55"/>
  <c r="W607" i="55" s="1"/>
  <c r="Y607" i="54"/>
  <c r="W607" i="54" s="1"/>
  <c r="Y607" i="53"/>
  <c r="W607" i="53" s="1"/>
  <c r="Y603" i="53"/>
  <c r="W603" i="53" s="1"/>
  <c r="Y603" i="52"/>
  <c r="W603" i="52" s="1"/>
  <c r="Y603" i="44"/>
  <c r="W603" i="44" s="1"/>
  <c r="Y599" i="53"/>
  <c r="W599" i="53" s="1"/>
  <c r="Y599" i="52"/>
  <c r="W599" i="52" s="1"/>
  <c r="Y595" i="55"/>
  <c r="W595" i="55" s="1"/>
  <c r="Y595" i="53"/>
  <c r="W595" i="53" s="1"/>
  <c r="Y587" i="54"/>
  <c r="W587" i="54" s="1"/>
  <c r="Y587" i="53"/>
  <c r="W587" i="53" s="1"/>
  <c r="Y587" i="52"/>
  <c r="W587" i="52" s="1"/>
  <c r="Y587" i="44"/>
  <c r="W587" i="44" s="1"/>
  <c r="Y579" i="55"/>
  <c r="W579" i="55" s="1"/>
  <c r="Y579" i="54"/>
  <c r="W579" i="54" s="1"/>
  <c r="Y579" i="53"/>
  <c r="W579" i="53" s="1"/>
  <c r="Y575" i="55"/>
  <c r="W575" i="55" s="1"/>
  <c r="Y575" i="54"/>
  <c r="W575" i="54" s="1"/>
  <c r="Y575" i="53"/>
  <c r="W575" i="53" s="1"/>
  <c r="Y571" i="53"/>
  <c r="W571" i="53" s="1"/>
  <c r="Y571" i="52"/>
  <c r="W571" i="52" s="1"/>
  <c r="Y571" i="44"/>
  <c r="W571" i="44" s="1"/>
  <c r="Y567" i="53"/>
  <c r="W567" i="53" s="1"/>
  <c r="Y567" i="52"/>
  <c r="W567" i="52" s="1"/>
  <c r="Y563" i="54"/>
  <c r="W563" i="54" s="1"/>
  <c r="Y563" i="53"/>
  <c r="W563" i="53" s="1"/>
  <c r="Y555" i="54"/>
  <c r="W555" i="54" s="1"/>
  <c r="Y555" i="53"/>
  <c r="W555" i="53" s="1"/>
  <c r="Y555" i="52"/>
  <c r="W555" i="52" s="1"/>
  <c r="Y555" i="44"/>
  <c r="W555" i="44" s="1"/>
  <c r="Y547" i="55"/>
  <c r="W547" i="55" s="1"/>
  <c r="Y547" i="54"/>
  <c r="W547" i="54" s="1"/>
  <c r="Y547" i="53"/>
  <c r="W547" i="53" s="1"/>
  <c r="Y543" i="55"/>
  <c r="W543" i="55" s="1"/>
  <c r="Y543" i="54"/>
  <c r="W543" i="54" s="1"/>
  <c r="Y543" i="52"/>
  <c r="W543" i="52" s="1"/>
  <c r="Y543" i="53"/>
  <c r="W543" i="53" s="1"/>
  <c r="Y539" i="54"/>
  <c r="W539" i="54" s="1"/>
  <c r="Y539" i="53"/>
  <c r="W539" i="53" s="1"/>
  <c r="Y539" i="52"/>
  <c r="W539" i="52" s="1"/>
  <c r="Y539" i="44"/>
  <c r="W539" i="44" s="1"/>
  <c r="Y531" i="54"/>
  <c r="W531" i="54" s="1"/>
  <c r="Y531" i="55"/>
  <c r="W531" i="55" s="1"/>
  <c r="Y531" i="53"/>
  <c r="W531" i="53" s="1"/>
  <c r="Y527" i="55"/>
  <c r="W527" i="55" s="1"/>
  <c r="Y527" i="52"/>
  <c r="W527" i="52" s="1"/>
  <c r="Y523" i="53"/>
  <c r="W523" i="53" s="1"/>
  <c r="Y523" i="44"/>
  <c r="W523" i="44" s="1"/>
  <c r="Y515" i="55"/>
  <c r="W515" i="55" s="1"/>
  <c r="Y515" i="53"/>
  <c r="W515" i="53" s="1"/>
  <c r="Y515" i="52"/>
  <c r="W515" i="52" s="1"/>
  <c r="Y515" i="54"/>
  <c r="W515" i="54" s="1"/>
  <c r="Y511" i="55"/>
  <c r="W511" i="55" s="1"/>
  <c r="Y511" i="52"/>
  <c r="W511" i="52" s="1"/>
  <c r="Y511" i="53"/>
  <c r="W511" i="53" s="1"/>
  <c r="Y507" i="54"/>
  <c r="W507" i="54" s="1"/>
  <c r="Y507" i="53"/>
  <c r="W507" i="53" s="1"/>
  <c r="Y507" i="44"/>
  <c r="W507" i="44" s="1"/>
  <c r="Y503" i="52"/>
  <c r="W503" i="52" s="1"/>
  <c r="Y503" i="53"/>
  <c r="W503" i="53" s="1"/>
  <c r="Y499" i="55"/>
  <c r="W499" i="55" s="1"/>
  <c r="Y499" i="53"/>
  <c r="W499" i="53" s="1"/>
  <c r="Y499" i="52"/>
  <c r="W499" i="52" s="1"/>
  <c r="Y495" i="55"/>
  <c r="W495" i="55" s="1"/>
  <c r="Y495" i="52"/>
  <c r="W495" i="52" s="1"/>
  <c r="Y491" i="53"/>
  <c r="W491" i="53" s="1"/>
  <c r="Y491" i="52"/>
  <c r="W491" i="52" s="1"/>
  <c r="Y491" i="44"/>
  <c r="W491" i="44" s="1"/>
  <c r="Y483" i="55"/>
  <c r="W483" i="55" s="1"/>
  <c r="Y483" i="54"/>
  <c r="W483" i="54" s="1"/>
  <c r="Y483" i="53"/>
  <c r="W483" i="53" s="1"/>
  <c r="Y479" i="55"/>
  <c r="W479" i="55" s="1"/>
  <c r="Y479" i="54"/>
  <c r="W479" i="54" s="1"/>
  <c r="Y479" i="52"/>
  <c r="W479" i="52" s="1"/>
  <c r="Y479" i="53"/>
  <c r="W479" i="53" s="1"/>
  <c r="Y475" i="53"/>
  <c r="W475" i="53" s="1"/>
  <c r="Y475" i="52"/>
  <c r="W475" i="52" s="1"/>
  <c r="Y475" i="44"/>
  <c r="W475" i="44" s="1"/>
  <c r="Y467" i="55"/>
  <c r="W467" i="55" s="1"/>
  <c r="Y467" i="53"/>
  <c r="W467" i="53" s="1"/>
  <c r="Y463" i="55"/>
  <c r="W463" i="55" s="1"/>
  <c r="Y463" i="52"/>
  <c r="W463" i="52" s="1"/>
  <c r="Y459" i="54"/>
  <c r="W459" i="54" s="1"/>
  <c r="Y459" i="53"/>
  <c r="W459" i="53" s="1"/>
  <c r="Y459" i="55"/>
  <c r="W459" i="55" s="1"/>
  <c r="Y459" i="44"/>
  <c r="W459" i="44" s="1"/>
  <c r="Y451" i="55"/>
  <c r="W451" i="55" s="1"/>
  <c r="Y451" i="54"/>
  <c r="W451" i="54" s="1"/>
  <c r="Y451" i="53"/>
  <c r="W451" i="53" s="1"/>
  <c r="Y451" i="52"/>
  <c r="W451" i="52" s="1"/>
  <c r="Y447" i="55"/>
  <c r="W447" i="55" s="1"/>
  <c r="Y447" i="53"/>
  <c r="W447" i="53" s="1"/>
  <c r="Y447" i="54"/>
  <c r="W447" i="54" s="1"/>
  <c r="Y447" i="52"/>
  <c r="W447" i="52" s="1"/>
  <c r="Y443" i="53"/>
  <c r="W443" i="53" s="1"/>
  <c r="Y443" i="44"/>
  <c r="W443" i="44" s="1"/>
  <c r="Y439" i="53"/>
  <c r="W439" i="53" s="1"/>
  <c r="Y439" i="52"/>
  <c r="W439" i="52" s="1"/>
  <c r="Y435" i="55"/>
  <c r="W435" i="55" s="1"/>
  <c r="Y435" i="53"/>
  <c r="W435" i="53" s="1"/>
  <c r="Y435" i="52"/>
  <c r="W435" i="52" s="1"/>
  <c r="Y431" i="55"/>
  <c r="W431" i="55" s="1"/>
  <c r="Y431" i="53"/>
  <c r="W431" i="53" s="1"/>
  <c r="Y431" i="52"/>
  <c r="W431" i="52" s="1"/>
  <c r="Y427" i="54"/>
  <c r="W427" i="54" s="1"/>
  <c r="Y427" i="53"/>
  <c r="W427" i="53" s="1"/>
  <c r="Y427" i="52"/>
  <c r="W427" i="52" s="1"/>
  <c r="Y427" i="44"/>
  <c r="W427" i="44" s="1"/>
  <c r="Y423" i="53"/>
  <c r="W423" i="53" s="1"/>
  <c r="Y423" i="52"/>
  <c r="W423" i="52" s="1"/>
  <c r="Y419" i="55"/>
  <c r="W419" i="55" s="1"/>
  <c r="Y419" i="54"/>
  <c r="W419" i="54" s="1"/>
  <c r="Y419" i="53"/>
  <c r="W419" i="53" s="1"/>
  <c r="Y415" i="55"/>
  <c r="W415" i="55" s="1"/>
  <c r="Y415" i="53"/>
  <c r="W415" i="53" s="1"/>
  <c r="Y415" i="54"/>
  <c r="W415" i="54" s="1"/>
  <c r="Y415" i="52"/>
  <c r="W415" i="52" s="1"/>
  <c r="Y411" i="54"/>
  <c r="W411" i="54" s="1"/>
  <c r="Y411" i="52"/>
  <c r="W411" i="52" s="1"/>
  <c r="Y411" i="44"/>
  <c r="W411" i="44" s="1"/>
  <c r="Y399" i="55"/>
  <c r="W399" i="55" s="1"/>
  <c r="Y399" i="53"/>
  <c r="W399" i="53" s="1"/>
  <c r="Y399" i="52"/>
  <c r="W399" i="52" s="1"/>
  <c r="Y395" i="53"/>
  <c r="W395" i="53" s="1"/>
  <c r="Y395" i="44"/>
  <c r="W395" i="44" s="1"/>
  <c r="Y387" i="55"/>
  <c r="W387" i="55" s="1"/>
  <c r="Y387" i="53"/>
  <c r="W387" i="53" s="1"/>
  <c r="Y387" i="52"/>
  <c r="W387" i="52" s="1"/>
  <c r="Y383" i="55"/>
  <c r="W383" i="55" s="1"/>
  <c r="Y383" i="53"/>
  <c r="W383" i="53" s="1"/>
  <c r="Y383" i="52"/>
  <c r="W383" i="52" s="1"/>
  <c r="Y383" i="54"/>
  <c r="W383" i="54" s="1"/>
  <c r="Y379" i="54"/>
  <c r="W379" i="54" s="1"/>
  <c r="Y379" i="55"/>
  <c r="W379" i="55" s="1"/>
  <c r="Y379" i="53"/>
  <c r="W379" i="53" s="1"/>
  <c r="Y379" i="44"/>
  <c r="W379" i="44" s="1"/>
  <c r="Y375" i="53"/>
  <c r="W375" i="53" s="1"/>
  <c r="Y375" i="52"/>
  <c r="W375" i="52" s="1"/>
  <c r="Y371" i="55"/>
  <c r="W371" i="55" s="1"/>
  <c r="Y371" i="53"/>
  <c r="W371" i="53" s="1"/>
  <c r="Y371" i="52"/>
  <c r="W371" i="52" s="1"/>
  <c r="Y367" i="55"/>
  <c r="W367" i="55" s="1"/>
  <c r="Y367" i="53"/>
  <c r="W367" i="53" s="1"/>
  <c r="Y367" i="52"/>
  <c r="W367" i="52" s="1"/>
  <c r="Y363" i="53"/>
  <c r="W363" i="53" s="1"/>
  <c r="Y363" i="52"/>
  <c r="W363" i="52" s="1"/>
  <c r="Y363" i="44"/>
  <c r="W363" i="44" s="1"/>
  <c r="Y359" i="53"/>
  <c r="W359" i="53" s="1"/>
  <c r="Y359" i="52"/>
  <c r="W359" i="52" s="1"/>
  <c r="Y355" i="55"/>
  <c r="W355" i="55" s="1"/>
  <c r="Y355" i="54"/>
  <c r="W355" i="54" s="1"/>
  <c r="Y355" i="53"/>
  <c r="W355" i="53" s="1"/>
  <c r="Y351" i="55"/>
  <c r="W351" i="55" s="1"/>
  <c r="Y351" i="53"/>
  <c r="W351" i="53" s="1"/>
  <c r="Y351" i="54"/>
  <c r="W351" i="54" s="1"/>
  <c r="Y351" i="52"/>
  <c r="W351" i="52" s="1"/>
  <c r="Y347" i="52"/>
  <c r="W347" i="52" s="1"/>
  <c r="Y347" i="44"/>
  <c r="W347" i="44" s="1"/>
  <c r="Y335" i="55"/>
  <c r="W335" i="55" s="1"/>
  <c r="Y335" i="53"/>
  <c r="W335" i="53" s="1"/>
  <c r="Y335" i="52"/>
  <c r="W335" i="52" s="1"/>
  <c r="Y331" i="54"/>
  <c r="W331" i="54" s="1"/>
  <c r="Y331" i="53"/>
  <c r="W331" i="53" s="1"/>
  <c r="Y331" i="44"/>
  <c r="W331" i="44" s="1"/>
  <c r="Y323" i="55"/>
  <c r="W323" i="55" s="1"/>
  <c r="Y323" i="54"/>
  <c r="W323" i="54" s="1"/>
  <c r="Y323" i="53"/>
  <c r="W323" i="53" s="1"/>
  <c r="Y323" i="52"/>
  <c r="W323" i="52" s="1"/>
  <c r="Y319" i="55"/>
  <c r="W319" i="55" s="1"/>
  <c r="Y319" i="53"/>
  <c r="W319" i="53" s="1"/>
  <c r="Y319" i="54"/>
  <c r="W319" i="54" s="1"/>
  <c r="Y319" i="52"/>
  <c r="W319" i="52" s="1"/>
  <c r="Y315" i="53"/>
  <c r="W315" i="53" s="1"/>
  <c r="Y315" i="44"/>
  <c r="W315" i="44" s="1"/>
  <c r="Y311" i="53"/>
  <c r="W311" i="53" s="1"/>
  <c r="Y311" i="52"/>
  <c r="W311" i="52" s="1"/>
  <c r="Y307" i="54"/>
  <c r="W307" i="54" s="1"/>
  <c r="Y307" i="55"/>
  <c r="W307" i="55" s="1"/>
  <c r="Y307" i="53"/>
  <c r="W307" i="53" s="1"/>
  <c r="Y307" i="52"/>
  <c r="W307" i="52" s="1"/>
  <c r="Y303" i="55"/>
  <c r="W303" i="55" s="1"/>
  <c r="Y303" i="53"/>
  <c r="W303" i="53" s="1"/>
  <c r="Y303" i="52"/>
  <c r="W303" i="52" s="1"/>
  <c r="Y299" i="54"/>
  <c r="W299" i="54" s="1"/>
  <c r="Y299" i="55"/>
  <c r="W299" i="55" s="1"/>
  <c r="Y299" i="53"/>
  <c r="W299" i="53" s="1"/>
  <c r="Y299" i="52"/>
  <c r="W299" i="52" s="1"/>
  <c r="Y299" i="44"/>
  <c r="W299" i="44" s="1"/>
  <c r="Y295" i="53"/>
  <c r="W295" i="53" s="1"/>
  <c r="Y295" i="52"/>
  <c r="W295" i="52" s="1"/>
  <c r="Y291" i="55"/>
  <c r="W291" i="55" s="1"/>
  <c r="Y291" i="54"/>
  <c r="W291" i="54" s="1"/>
  <c r="Y291" i="53"/>
  <c r="W291" i="53" s="1"/>
  <c r="Y287" i="55"/>
  <c r="W287" i="55" s="1"/>
  <c r="Y287" i="53"/>
  <c r="W287" i="53" s="1"/>
  <c r="Y287" i="54"/>
  <c r="W287" i="54" s="1"/>
  <c r="Y287" i="52"/>
  <c r="W287" i="52" s="1"/>
  <c r="Y283" i="54"/>
  <c r="W283" i="54" s="1"/>
  <c r="Y283" i="55"/>
  <c r="W283" i="55" s="1"/>
  <c r="Y283" i="52"/>
  <c r="W283" i="52" s="1"/>
  <c r="Y283" i="44"/>
  <c r="W283" i="44" s="1"/>
  <c r="Y275" i="54"/>
  <c r="W275" i="54" s="1"/>
  <c r="Y275" i="55"/>
  <c r="W275" i="55" s="1"/>
  <c r="Y271" i="55"/>
  <c r="W271" i="55" s="1"/>
  <c r="Y271" i="53"/>
  <c r="W271" i="53" s="1"/>
  <c r="Y271" i="52"/>
  <c r="W271" i="52" s="1"/>
  <c r="Y271" i="44"/>
  <c r="W271" i="44" s="1"/>
  <c r="Y267" i="53"/>
  <c r="W267" i="53" s="1"/>
  <c r="Y267" i="44"/>
  <c r="W267" i="44" s="1"/>
  <c r="Y259" i="55"/>
  <c r="W259" i="55" s="1"/>
  <c r="Y259" i="53"/>
  <c r="W259" i="53" s="1"/>
  <c r="Y259" i="52"/>
  <c r="W259" i="52" s="1"/>
  <c r="Y259" i="54"/>
  <c r="W259" i="54" s="1"/>
  <c r="Y255" i="55"/>
  <c r="W255" i="55" s="1"/>
  <c r="Y255" i="53"/>
  <c r="W255" i="53" s="1"/>
  <c r="Y255" i="52"/>
  <c r="W255" i="52" s="1"/>
  <c r="Y255" i="44"/>
  <c r="W255" i="44" s="1"/>
  <c r="Y251" i="54"/>
  <c r="W251" i="54" s="1"/>
  <c r="Y251" i="53"/>
  <c r="W251" i="53" s="1"/>
  <c r="Y251" i="44"/>
  <c r="W251" i="44" s="1"/>
  <c r="Y247" i="53"/>
  <c r="W247" i="53" s="1"/>
  <c r="Y247" i="52"/>
  <c r="W247" i="52" s="1"/>
  <c r="Y243" i="55"/>
  <c r="W243" i="55" s="1"/>
  <c r="Y243" i="54"/>
  <c r="W243" i="54" s="1"/>
  <c r="Y243" i="53"/>
  <c r="W243" i="53" s="1"/>
  <c r="Y243" i="52"/>
  <c r="W243" i="52" s="1"/>
  <c r="Y239" i="55"/>
  <c r="W239" i="55" s="1"/>
  <c r="Y239" i="53"/>
  <c r="W239" i="53" s="1"/>
  <c r="Y239" i="54"/>
  <c r="W239" i="54" s="1"/>
  <c r="Y239" i="52"/>
  <c r="W239" i="52" s="1"/>
  <c r="Y239" i="44"/>
  <c r="W239" i="44" s="1"/>
  <c r="Y235" i="53"/>
  <c r="W235" i="53" s="1"/>
  <c r="Y235" i="52"/>
  <c r="W235" i="52" s="1"/>
  <c r="Y235" i="44"/>
  <c r="W235" i="44" s="1"/>
  <c r="Y231" i="53"/>
  <c r="W231" i="53" s="1"/>
  <c r="Y231" i="52"/>
  <c r="W231" i="52" s="1"/>
  <c r="Y227" i="55"/>
  <c r="W227" i="55" s="1"/>
  <c r="Y227" i="54"/>
  <c r="W227" i="54" s="1"/>
  <c r="Y227" i="53"/>
  <c r="W227" i="53" s="1"/>
  <c r="Y223" i="55"/>
  <c r="W223" i="55" s="1"/>
  <c r="Y223" i="53"/>
  <c r="W223" i="53" s="1"/>
  <c r="Y223" i="54"/>
  <c r="W223" i="54" s="1"/>
  <c r="Y223" i="52"/>
  <c r="W223" i="52" s="1"/>
  <c r="Y223" i="44"/>
  <c r="W223" i="44" s="1"/>
  <c r="Y219" i="52"/>
  <c r="W219" i="52" s="1"/>
  <c r="Y219" i="44"/>
  <c r="W219" i="44" s="1"/>
  <c r="Y211" i="55"/>
  <c r="W211" i="55" s="1"/>
  <c r="Y211" i="54"/>
  <c r="W211" i="54" s="1"/>
  <c r="Y203" i="54"/>
  <c r="W203" i="54" s="1"/>
  <c r="Y203" i="55"/>
  <c r="W203" i="55" s="1"/>
  <c r="Y203" i="53"/>
  <c r="W203" i="53" s="1"/>
  <c r="Y203" i="44"/>
  <c r="W203" i="44" s="1"/>
  <c r="Y195" i="55"/>
  <c r="W195" i="55" s="1"/>
  <c r="Y195" i="53"/>
  <c r="W195" i="53" s="1"/>
  <c r="Y195" i="52"/>
  <c r="W195" i="52" s="1"/>
  <c r="Y191" i="55"/>
  <c r="W191" i="55" s="1"/>
  <c r="Y191" i="53"/>
  <c r="W191" i="53" s="1"/>
  <c r="Y191" i="52"/>
  <c r="W191" i="52" s="1"/>
  <c r="Y191" i="54"/>
  <c r="W191" i="54" s="1"/>
  <c r="Y191" i="44"/>
  <c r="W191" i="44" s="1"/>
  <c r="Y187" i="53"/>
  <c r="W187" i="53" s="1"/>
  <c r="Y187" i="44"/>
  <c r="W187" i="44" s="1"/>
  <c r="Y183" i="53"/>
  <c r="W183" i="53" s="1"/>
  <c r="Y183" i="52"/>
  <c r="W183" i="52" s="1"/>
  <c r="Y179" i="55"/>
  <c r="W179" i="55" s="1"/>
  <c r="Y179" i="54"/>
  <c r="W179" i="54" s="1"/>
  <c r="Y179" i="53"/>
  <c r="W179" i="53" s="1"/>
  <c r="Y179" i="52"/>
  <c r="W179" i="52" s="1"/>
  <c r="Y175" i="55"/>
  <c r="W175" i="55" s="1"/>
  <c r="Y175" i="53"/>
  <c r="W175" i="53" s="1"/>
  <c r="Y175" i="54"/>
  <c r="W175" i="54" s="1"/>
  <c r="Y175" i="52"/>
  <c r="W175" i="52" s="1"/>
  <c r="Y175" i="44"/>
  <c r="W175" i="44" s="1"/>
  <c r="Y171" i="54"/>
  <c r="W171" i="54" s="1"/>
  <c r="Y171" i="55"/>
  <c r="W171" i="55" s="1"/>
  <c r="Y171" i="53"/>
  <c r="W171" i="53" s="1"/>
  <c r="Y171" i="52"/>
  <c r="W171" i="52" s="1"/>
  <c r="Y171" i="44"/>
  <c r="W171" i="44" s="1"/>
  <c r="Y167" i="53"/>
  <c r="W167" i="53" s="1"/>
  <c r="Y167" i="52"/>
  <c r="W167" i="52" s="1"/>
  <c r="Y163" i="55"/>
  <c r="W163" i="55" s="1"/>
  <c r="Y163" i="54"/>
  <c r="W163" i="54" s="1"/>
  <c r="Y163" i="53"/>
  <c r="W163" i="53" s="1"/>
  <c r="Y159" i="55"/>
  <c r="W159" i="55" s="1"/>
  <c r="Y159" i="53"/>
  <c r="W159" i="53" s="1"/>
  <c r="Y159" i="54"/>
  <c r="W159" i="54" s="1"/>
  <c r="Y159" i="52"/>
  <c r="W159" i="52" s="1"/>
  <c r="Y159" i="44"/>
  <c r="W159" i="44" s="1"/>
  <c r="Y155" i="54"/>
  <c r="W155" i="54" s="1"/>
  <c r="Y155" i="52"/>
  <c r="W155" i="52" s="1"/>
  <c r="Y155" i="44"/>
  <c r="W155" i="44" s="1"/>
  <c r="Y147" i="54"/>
  <c r="W147" i="54" s="1"/>
  <c r="Y147" i="55"/>
  <c r="W147" i="55" s="1"/>
  <c r="Y143" i="55"/>
  <c r="W143" i="55" s="1"/>
  <c r="Y143" i="53"/>
  <c r="W143" i="53" s="1"/>
  <c r="Y143" i="54"/>
  <c r="W143" i="54" s="1"/>
  <c r="Y143" i="52"/>
  <c r="W143" i="52" s="1"/>
  <c r="Y143" i="44"/>
  <c r="W143" i="44" s="1"/>
  <c r="Y139" i="53"/>
  <c r="W139" i="53" s="1"/>
  <c r="Y139" i="44"/>
  <c r="W139" i="44" s="1"/>
  <c r="Y131" i="55"/>
  <c r="W131" i="55" s="1"/>
  <c r="Y131" i="53"/>
  <c r="W131" i="53" s="1"/>
  <c r="Y131" i="52"/>
  <c r="W131" i="52" s="1"/>
  <c r="Y131" i="54"/>
  <c r="W131" i="54" s="1"/>
  <c r="Y127" i="55"/>
  <c r="W127" i="55" s="1"/>
  <c r="Y127" i="53"/>
  <c r="W127" i="53" s="1"/>
  <c r="Y127" i="52"/>
  <c r="W127" i="52" s="1"/>
  <c r="Y127" i="44"/>
  <c r="W127" i="44" s="1"/>
  <c r="Y123" i="54"/>
  <c r="W123" i="54" s="1"/>
  <c r="Y123" i="55"/>
  <c r="W123" i="55" s="1"/>
  <c r="Y123" i="53"/>
  <c r="W123" i="53" s="1"/>
  <c r="Y123" i="44"/>
  <c r="W123" i="44" s="1"/>
  <c r="Y119" i="53"/>
  <c r="W119" i="53" s="1"/>
  <c r="Y119" i="52"/>
  <c r="W119" i="52" s="1"/>
  <c r="Y115" i="55"/>
  <c r="W115" i="55" s="1"/>
  <c r="Y115" i="54"/>
  <c r="W115" i="54" s="1"/>
  <c r="Y115" i="53"/>
  <c r="W115" i="53" s="1"/>
  <c r="Y115" i="52"/>
  <c r="W115" i="52" s="1"/>
  <c r="Y111" i="55"/>
  <c r="W111" i="55" s="1"/>
  <c r="Y111" i="53"/>
  <c r="W111" i="53" s="1"/>
  <c r="Y111" i="54"/>
  <c r="W111" i="54" s="1"/>
  <c r="Y111" i="52"/>
  <c r="W111" i="52" s="1"/>
  <c r="Y111" i="44"/>
  <c r="W111" i="44" s="1"/>
  <c r="Y107" i="53"/>
  <c r="W107" i="53" s="1"/>
  <c r="Y107" i="52"/>
  <c r="W107" i="52" s="1"/>
  <c r="Y107" i="44"/>
  <c r="W107" i="44" s="1"/>
  <c r="Y103" i="53"/>
  <c r="W103" i="53" s="1"/>
  <c r="Y103" i="52"/>
  <c r="W103" i="52" s="1"/>
  <c r="Y99" i="55"/>
  <c r="W99" i="55" s="1"/>
  <c r="Y99" i="54"/>
  <c r="W99" i="54" s="1"/>
  <c r="Y99" i="53"/>
  <c r="W99" i="53" s="1"/>
  <c r="Y95" i="55"/>
  <c r="W95" i="55" s="1"/>
  <c r="Y95" i="53"/>
  <c r="W95" i="53" s="1"/>
  <c r="Y95" i="54"/>
  <c r="W95" i="54" s="1"/>
  <c r="Y95" i="52"/>
  <c r="W95" i="52" s="1"/>
  <c r="Y95" i="44"/>
  <c r="W95" i="44" s="1"/>
  <c r="Y91" i="52"/>
  <c r="W91" i="52" s="1"/>
  <c r="Y91" i="44"/>
  <c r="W91" i="44" s="1"/>
  <c r="Y83" i="55"/>
  <c r="W83" i="55" s="1"/>
  <c r="Y83" i="54"/>
  <c r="W83" i="54" s="1"/>
  <c r="Y79" i="55"/>
  <c r="W79" i="55" s="1"/>
  <c r="Y79" i="53"/>
  <c r="W79" i="53" s="1"/>
  <c r="Y79" i="54"/>
  <c r="W79" i="54" s="1"/>
  <c r="Y79" i="52"/>
  <c r="W79" i="52" s="1"/>
  <c r="Y79" i="44"/>
  <c r="W79" i="44" s="1"/>
  <c r="Y75" i="54"/>
  <c r="W75" i="54" s="1"/>
  <c r="Y75" i="55"/>
  <c r="W75" i="55" s="1"/>
  <c r="Y75" i="53"/>
  <c r="W75" i="53" s="1"/>
  <c r="Y75" i="44"/>
  <c r="W75" i="44" s="1"/>
  <c r="Y67" i="55"/>
  <c r="W67" i="55" s="1"/>
  <c r="Y67" i="53"/>
  <c r="W67" i="53" s="1"/>
  <c r="Y67" i="52"/>
  <c r="W67" i="52" s="1"/>
  <c r="Y63" i="55"/>
  <c r="W63" i="55" s="1"/>
  <c r="Y63" i="53"/>
  <c r="W63" i="53" s="1"/>
  <c r="Y63" i="52"/>
  <c r="W63" i="52" s="1"/>
  <c r="Y63" i="54"/>
  <c r="W63" i="54" s="1"/>
  <c r="Y63" i="44"/>
  <c r="W63" i="44" s="1"/>
  <c r="Y59" i="53"/>
  <c r="W59" i="53" s="1"/>
  <c r="Y59" i="44"/>
  <c r="W59" i="44" s="1"/>
  <c r="Y55" i="53"/>
  <c r="W55" i="53" s="1"/>
  <c r="Y55" i="52"/>
  <c r="W55" i="52" s="1"/>
  <c r="Y51" i="54"/>
  <c r="W51" i="54" s="1"/>
  <c r="Y51" i="53"/>
  <c r="W51" i="53" s="1"/>
  <c r="Y51" i="52"/>
  <c r="W51" i="52" s="1"/>
  <c r="Y47" i="55"/>
  <c r="W47" i="55" s="1"/>
  <c r="Y47" i="53"/>
  <c r="W47" i="53" s="1"/>
  <c r="Y47" i="54"/>
  <c r="W47" i="54" s="1"/>
  <c r="Y47" i="52"/>
  <c r="W47" i="52" s="1"/>
  <c r="Y47" i="44"/>
  <c r="W47" i="44" s="1"/>
  <c r="Y43" i="54"/>
  <c r="W43" i="54" s="1"/>
  <c r="Y43" i="53"/>
  <c r="W43" i="53" s="1"/>
  <c r="Y43" i="52"/>
  <c r="W43" i="52" s="1"/>
  <c r="Y43" i="44"/>
  <c r="W43" i="44" s="1"/>
  <c r="Y39" i="53"/>
  <c r="W39" i="53" s="1"/>
  <c r="Y39" i="52"/>
  <c r="W39" i="52" s="1"/>
  <c r="Y35" i="55"/>
  <c r="W35" i="55" s="1"/>
  <c r="Y35" i="54"/>
  <c r="W35" i="54" s="1"/>
  <c r="Y35" i="53"/>
  <c r="W35" i="53" s="1"/>
  <c r="Y31" i="55"/>
  <c r="W31" i="55" s="1"/>
  <c r="Y31" i="53"/>
  <c r="W31" i="53" s="1"/>
  <c r="Y31" i="54"/>
  <c r="W31" i="54" s="1"/>
  <c r="Y31" i="52"/>
  <c r="W31" i="52" s="1"/>
  <c r="Y31" i="44"/>
  <c r="W31" i="44" s="1"/>
  <c r="Y27" i="54"/>
  <c r="W27" i="54" s="1"/>
  <c r="Y27" i="52"/>
  <c r="W27" i="52" s="1"/>
  <c r="Y27" i="44"/>
  <c r="W27" i="44" s="1"/>
  <c r="Y1171" i="44"/>
  <c r="W1171" i="44" s="1"/>
  <c r="Y1155" i="44"/>
  <c r="W1155" i="44" s="1"/>
  <c r="Y1139" i="44"/>
  <c r="W1139" i="44" s="1"/>
  <c r="Y1123" i="44"/>
  <c r="W1123" i="44" s="1"/>
  <c r="Y1107" i="44"/>
  <c r="W1107" i="44" s="1"/>
  <c r="Y1091" i="44"/>
  <c r="W1091" i="44" s="1"/>
  <c r="Y1075" i="44"/>
  <c r="W1075" i="44" s="1"/>
  <c r="Y1023" i="44"/>
  <c r="W1023" i="44" s="1"/>
  <c r="Y1011" i="44"/>
  <c r="W1011" i="44" s="1"/>
  <c r="Y999" i="44"/>
  <c r="W999" i="44" s="1"/>
  <c r="Y959" i="44"/>
  <c r="W959" i="44" s="1"/>
  <c r="Y947" i="44"/>
  <c r="W947" i="44" s="1"/>
  <c r="Y935" i="44"/>
  <c r="W935" i="44" s="1"/>
  <c r="Y895" i="44"/>
  <c r="W895" i="44" s="1"/>
  <c r="Y883" i="44"/>
  <c r="W883" i="44" s="1"/>
  <c r="Y871" i="44"/>
  <c r="W871" i="44" s="1"/>
  <c r="Y743" i="44"/>
  <c r="W743" i="44" s="1"/>
  <c r="Y703" i="44"/>
  <c r="W703" i="44" s="1"/>
  <c r="Y679" i="44"/>
  <c r="W679" i="44" s="1"/>
  <c r="Y615" i="44"/>
  <c r="W615" i="44" s="1"/>
  <c r="Y575" i="44"/>
  <c r="W575" i="44" s="1"/>
  <c r="Y563" i="44"/>
  <c r="W563" i="44" s="1"/>
  <c r="Y551" i="44"/>
  <c r="W551" i="44" s="1"/>
  <c r="Y511" i="44"/>
  <c r="W511" i="44" s="1"/>
  <c r="Y499" i="44"/>
  <c r="W499" i="44" s="1"/>
  <c r="Y487" i="44"/>
  <c r="W487" i="44" s="1"/>
  <c r="Y447" i="44"/>
  <c r="W447" i="44" s="1"/>
  <c r="Y435" i="44"/>
  <c r="W435" i="44" s="1"/>
  <c r="Y423" i="44"/>
  <c r="W423" i="44" s="1"/>
  <c r="Y383" i="44"/>
  <c r="W383" i="44" s="1"/>
  <c r="Y371" i="44"/>
  <c r="W371" i="44" s="1"/>
  <c r="Y359" i="44"/>
  <c r="W359" i="44" s="1"/>
  <c r="Y319" i="44"/>
  <c r="W319" i="44" s="1"/>
  <c r="Y307" i="44"/>
  <c r="W307" i="44" s="1"/>
  <c r="Y295" i="44"/>
  <c r="W295" i="44" s="1"/>
  <c r="Y259" i="44"/>
  <c r="W259" i="44" s="1"/>
  <c r="Y227" i="44"/>
  <c r="W227" i="44" s="1"/>
  <c r="Y195" i="44"/>
  <c r="W195" i="44" s="1"/>
  <c r="Y163" i="44"/>
  <c r="W163" i="44" s="1"/>
  <c r="Y131" i="44"/>
  <c r="W131" i="44" s="1"/>
  <c r="Y99" i="44"/>
  <c r="W99" i="44" s="1"/>
  <c r="Y67" i="44"/>
  <c r="W67" i="44" s="1"/>
  <c r="Y35" i="44"/>
  <c r="W35" i="44" s="1"/>
  <c r="Y1167" i="52"/>
  <c r="W1167" i="52" s="1"/>
  <c r="Y1135" i="52"/>
  <c r="W1135" i="52" s="1"/>
  <c r="Y1103" i="52"/>
  <c r="W1103" i="52" s="1"/>
  <c r="Y1007" i="52"/>
  <c r="W1007" i="52" s="1"/>
  <c r="Y943" i="52"/>
  <c r="W943" i="52" s="1"/>
  <c r="Y911" i="52"/>
  <c r="W911" i="52" s="1"/>
  <c r="Y751" i="52"/>
  <c r="W751" i="52" s="1"/>
  <c r="Y719" i="52"/>
  <c r="W719" i="52" s="1"/>
  <c r="Y687" i="52"/>
  <c r="W687" i="52" s="1"/>
  <c r="Y655" i="52"/>
  <c r="W655" i="52" s="1"/>
  <c r="Y623" i="52"/>
  <c r="W623" i="52" s="1"/>
  <c r="Y591" i="52"/>
  <c r="W591" i="52" s="1"/>
  <c r="Y559" i="52"/>
  <c r="W559" i="52" s="1"/>
  <c r="Y507" i="52"/>
  <c r="W507" i="52" s="1"/>
  <c r="Y471" i="52"/>
  <c r="W471" i="52" s="1"/>
  <c r="Y459" i="52"/>
  <c r="W459" i="52" s="1"/>
  <c r="Y379" i="52"/>
  <c r="W379" i="52" s="1"/>
  <c r="Y343" i="52"/>
  <c r="W343" i="52" s="1"/>
  <c r="Y331" i="52"/>
  <c r="W331" i="52" s="1"/>
  <c r="Y251" i="52"/>
  <c r="W251" i="52" s="1"/>
  <c r="Y215" i="52"/>
  <c r="W215" i="52" s="1"/>
  <c r="Y203" i="52"/>
  <c r="W203" i="52" s="1"/>
  <c r="Y123" i="52"/>
  <c r="W123" i="52" s="1"/>
  <c r="Y87" i="52"/>
  <c r="W87" i="52" s="1"/>
  <c r="Y75" i="52"/>
  <c r="W75" i="52" s="1"/>
  <c r="Y1015" i="53"/>
  <c r="W1015" i="53" s="1"/>
  <c r="Y963" i="53"/>
  <c r="W963" i="53" s="1"/>
  <c r="Y951" i="53"/>
  <c r="W951" i="53" s="1"/>
  <c r="Y843" i="53"/>
  <c r="W843" i="53" s="1"/>
  <c r="Y719" i="53"/>
  <c r="W719" i="53" s="1"/>
  <c r="Y655" i="53"/>
  <c r="W655" i="53" s="1"/>
  <c r="Y591" i="53"/>
  <c r="W591" i="53" s="1"/>
  <c r="Y527" i="53"/>
  <c r="W527" i="53" s="1"/>
  <c r="Y463" i="53"/>
  <c r="W463" i="53" s="1"/>
  <c r="Y347" i="53"/>
  <c r="W347" i="53" s="1"/>
  <c r="Y219" i="53"/>
  <c r="W219" i="53" s="1"/>
  <c r="Y91" i="53"/>
  <c r="W91" i="53" s="1"/>
  <c r="Y1095" i="54"/>
  <c r="W1095" i="54" s="1"/>
  <c r="Y387" i="54"/>
  <c r="W387" i="54" s="1"/>
  <c r="Y67" i="54"/>
  <c r="W67" i="54" s="1"/>
  <c r="Y1179" i="53"/>
  <c r="W1179" i="53" s="1"/>
  <c r="Y1179" i="52"/>
  <c r="W1179" i="52" s="1"/>
  <c r="Y1159" i="55"/>
  <c r="W1159" i="55" s="1"/>
  <c r="Y1159" i="54"/>
  <c r="W1159" i="54" s="1"/>
  <c r="Y1159" i="52"/>
  <c r="W1159" i="52" s="1"/>
  <c r="Y1131" i="53"/>
  <c r="W1131" i="53" s="1"/>
  <c r="Y1131" i="52"/>
  <c r="W1131" i="52" s="1"/>
  <c r="Y1127" i="55"/>
  <c r="W1127" i="55" s="1"/>
  <c r="Y1127" i="54"/>
  <c r="W1127" i="54" s="1"/>
  <c r="Y1127" i="53"/>
  <c r="W1127" i="53" s="1"/>
  <c r="Y1127" i="52"/>
  <c r="W1127" i="52" s="1"/>
  <c r="Y1119" i="55"/>
  <c r="W1119" i="55" s="1"/>
  <c r="Y1119" i="54"/>
  <c r="W1119" i="54" s="1"/>
  <c r="Y1115" i="54"/>
  <c r="W1115" i="54" s="1"/>
  <c r="Y1115" i="53"/>
  <c r="W1115" i="53" s="1"/>
  <c r="Y1115" i="52"/>
  <c r="W1115" i="52" s="1"/>
  <c r="Y1111" i="55"/>
  <c r="W1111" i="55" s="1"/>
  <c r="Y1111" i="54"/>
  <c r="W1111" i="54" s="1"/>
  <c r="Y1111" i="52"/>
  <c r="W1111" i="52" s="1"/>
  <c r="Y1071" i="55"/>
  <c r="W1071" i="55" s="1"/>
  <c r="Y1071" i="54"/>
  <c r="W1071" i="54" s="1"/>
  <c r="Y1063" i="55"/>
  <c r="W1063" i="55" s="1"/>
  <c r="Y1063" i="54"/>
  <c r="W1063" i="54" s="1"/>
  <c r="Y1063" i="53"/>
  <c r="W1063" i="53" s="1"/>
  <c r="Y1063" i="52"/>
  <c r="W1063" i="52" s="1"/>
  <c r="Y1055" i="55"/>
  <c r="W1055" i="55" s="1"/>
  <c r="Y1055" i="53"/>
  <c r="W1055" i="53" s="1"/>
  <c r="Y1051" i="52"/>
  <c r="W1051" i="52" s="1"/>
  <c r="Y1051" i="44"/>
  <c r="W1051" i="44" s="1"/>
  <c r="Y1047" i="55"/>
  <c r="W1047" i="55" s="1"/>
  <c r="Y1047" i="54"/>
  <c r="W1047" i="54" s="1"/>
  <c r="Y1047" i="52"/>
  <c r="W1047" i="52" s="1"/>
  <c r="Y1039" i="55"/>
  <c r="W1039" i="55" s="1"/>
  <c r="Y1039" i="54"/>
  <c r="W1039" i="54" s="1"/>
  <c r="Y1035" i="52"/>
  <c r="W1035" i="52" s="1"/>
  <c r="Y1035" i="44"/>
  <c r="W1035" i="44" s="1"/>
  <c r="Y1031" i="55"/>
  <c r="W1031" i="55" s="1"/>
  <c r="Y1031" i="53"/>
  <c r="W1031" i="53" s="1"/>
  <c r="Y1031" i="54"/>
  <c r="W1031" i="54" s="1"/>
  <c r="Y1031" i="52"/>
  <c r="W1031" i="52" s="1"/>
  <c r="Y1003" i="52"/>
  <c r="W1003" i="52" s="1"/>
  <c r="Y1003" i="44"/>
  <c r="W1003" i="44" s="1"/>
  <c r="Y995" i="54"/>
  <c r="W995" i="54" s="1"/>
  <c r="Y995" i="53"/>
  <c r="W995" i="53" s="1"/>
  <c r="Y987" i="52"/>
  <c r="W987" i="52" s="1"/>
  <c r="Y987" i="44"/>
  <c r="W987" i="44" s="1"/>
  <c r="Y983" i="55"/>
  <c r="W983" i="55" s="1"/>
  <c r="Y983" i="54"/>
  <c r="W983" i="54" s="1"/>
  <c r="Y983" i="52"/>
  <c r="W983" i="52" s="1"/>
  <c r="Y975" i="55"/>
  <c r="W975" i="55" s="1"/>
  <c r="Y975" i="54"/>
  <c r="W975" i="54" s="1"/>
  <c r="Y975" i="53"/>
  <c r="W975" i="53" s="1"/>
  <c r="Y971" i="55"/>
  <c r="W971" i="55" s="1"/>
  <c r="Y971" i="52"/>
  <c r="W971" i="52" s="1"/>
  <c r="Y971" i="44"/>
  <c r="W971" i="44" s="1"/>
  <c r="Y967" i="55"/>
  <c r="W967" i="55" s="1"/>
  <c r="Y967" i="53"/>
  <c r="W967" i="53" s="1"/>
  <c r="Y967" i="52"/>
  <c r="W967" i="52" s="1"/>
  <c r="Y939" i="55"/>
  <c r="W939" i="55" s="1"/>
  <c r="Y939" i="52"/>
  <c r="W939" i="52" s="1"/>
  <c r="Y939" i="44"/>
  <c r="W939" i="44" s="1"/>
  <c r="Y931" i="55"/>
  <c r="W931" i="55" s="1"/>
  <c r="Y931" i="53"/>
  <c r="W931" i="53" s="1"/>
  <c r="Y923" i="54"/>
  <c r="W923" i="54" s="1"/>
  <c r="Y923" i="52"/>
  <c r="W923" i="52" s="1"/>
  <c r="Y923" i="44"/>
  <c r="W923" i="44" s="1"/>
  <c r="Y915" i="55"/>
  <c r="W915" i="55" s="1"/>
  <c r="Y915" i="53"/>
  <c r="W915" i="53" s="1"/>
  <c r="Y907" i="55"/>
  <c r="W907" i="55" s="1"/>
  <c r="Y907" i="52"/>
  <c r="W907" i="52" s="1"/>
  <c r="Y907" i="44"/>
  <c r="W907" i="44" s="1"/>
  <c r="Y899" i="55"/>
  <c r="W899" i="55" s="1"/>
  <c r="Y899" i="54"/>
  <c r="W899" i="54" s="1"/>
  <c r="Y899" i="53"/>
  <c r="W899" i="53" s="1"/>
  <c r="Y891" i="54"/>
  <c r="W891" i="54" s="1"/>
  <c r="Y891" i="52"/>
  <c r="W891" i="52" s="1"/>
  <c r="Y891" i="44"/>
  <c r="W891" i="44" s="1"/>
  <c r="Y887" i="55"/>
  <c r="W887" i="55" s="1"/>
  <c r="Y887" i="53"/>
  <c r="W887" i="53" s="1"/>
  <c r="Y887" i="52"/>
  <c r="W887" i="52" s="1"/>
  <c r="Y879" i="55"/>
  <c r="W879" i="55" s="1"/>
  <c r="Y879" i="54"/>
  <c r="W879" i="54" s="1"/>
  <c r="Y875" i="55"/>
  <c r="W875" i="55" s="1"/>
  <c r="Y875" i="52"/>
  <c r="W875" i="52" s="1"/>
  <c r="Y875" i="44"/>
  <c r="W875" i="44" s="1"/>
  <c r="Y867" i="55"/>
  <c r="W867" i="55" s="1"/>
  <c r="Y867" i="54"/>
  <c r="W867" i="54" s="1"/>
  <c r="Y863" i="55"/>
  <c r="W863" i="55" s="1"/>
  <c r="Y863" i="53"/>
  <c r="W863" i="53" s="1"/>
  <c r="Y863" i="54"/>
  <c r="W863" i="54" s="1"/>
  <c r="Y859" i="54"/>
  <c r="W859" i="54" s="1"/>
  <c r="Y859" i="52"/>
  <c r="W859" i="52" s="1"/>
  <c r="Y859" i="44"/>
  <c r="W859" i="44" s="1"/>
  <c r="Y851" i="55"/>
  <c r="W851" i="55" s="1"/>
  <c r="Y851" i="54"/>
  <c r="W851" i="54" s="1"/>
  <c r="Y851" i="53"/>
  <c r="W851" i="53" s="1"/>
  <c r="Y847" i="55"/>
  <c r="W847" i="55" s="1"/>
  <c r="Y847" i="53"/>
  <c r="W847" i="53" s="1"/>
  <c r="Y839" i="53"/>
  <c r="W839" i="53" s="1"/>
  <c r="Y839" i="52"/>
  <c r="W839" i="52" s="1"/>
  <c r="Y835" i="55"/>
  <c r="W835" i="55" s="1"/>
  <c r="Y835" i="53"/>
  <c r="W835" i="53" s="1"/>
  <c r="Y831" i="55"/>
  <c r="W831" i="55" s="1"/>
  <c r="Y831" i="53"/>
  <c r="W831" i="53" s="1"/>
  <c r="Y827" i="55"/>
  <c r="W827" i="55" s="1"/>
  <c r="Y827" i="52"/>
  <c r="W827" i="52" s="1"/>
  <c r="Y827" i="53"/>
  <c r="W827" i="53" s="1"/>
  <c r="Y827" i="44"/>
  <c r="W827" i="44" s="1"/>
  <c r="Y819" i="54"/>
  <c r="W819" i="54" s="1"/>
  <c r="Y819" i="53"/>
  <c r="W819" i="53" s="1"/>
  <c r="Y815" i="55"/>
  <c r="W815" i="55" s="1"/>
  <c r="Y815" i="54"/>
  <c r="W815" i="54" s="1"/>
  <c r="Y815" i="53"/>
  <c r="W815" i="53" s="1"/>
  <c r="Y807" i="53"/>
  <c r="W807" i="53" s="1"/>
  <c r="Y807" i="52"/>
  <c r="W807" i="52" s="1"/>
  <c r="Y803" i="55"/>
  <c r="W803" i="55" s="1"/>
  <c r="Y803" i="54"/>
  <c r="W803" i="54" s="1"/>
  <c r="Y803" i="53"/>
  <c r="W803" i="53" s="1"/>
  <c r="Y799" i="55"/>
  <c r="W799" i="55" s="1"/>
  <c r="Y799" i="54"/>
  <c r="W799" i="54" s="1"/>
  <c r="Y799" i="53"/>
  <c r="W799" i="53" s="1"/>
  <c r="Y795" i="54"/>
  <c r="W795" i="54" s="1"/>
  <c r="Y795" i="52"/>
  <c r="W795" i="52" s="1"/>
  <c r="Y795" i="53"/>
  <c r="W795" i="53" s="1"/>
  <c r="Y795" i="44"/>
  <c r="W795" i="44" s="1"/>
  <c r="Y787" i="55"/>
  <c r="W787" i="55" s="1"/>
  <c r="Y787" i="53"/>
  <c r="W787" i="53" s="1"/>
  <c r="Y783" i="55"/>
  <c r="W783" i="55" s="1"/>
  <c r="Y783" i="53"/>
  <c r="W783" i="53" s="1"/>
  <c r="Y779" i="52"/>
  <c r="W779" i="52" s="1"/>
  <c r="Y779" i="44"/>
  <c r="W779" i="44" s="1"/>
  <c r="Y771" i="55"/>
  <c r="W771" i="55" s="1"/>
  <c r="Y771" i="53"/>
  <c r="W771" i="53" s="1"/>
  <c r="Y771" i="54"/>
  <c r="W771" i="54" s="1"/>
  <c r="Y767" i="55"/>
  <c r="W767" i="55" s="1"/>
  <c r="Y767" i="53"/>
  <c r="W767" i="53" s="1"/>
  <c r="Y763" i="54"/>
  <c r="W763" i="54" s="1"/>
  <c r="Y763" i="53"/>
  <c r="W763" i="53" s="1"/>
  <c r="Y763" i="52"/>
  <c r="W763" i="52" s="1"/>
  <c r="Y763" i="44"/>
  <c r="W763" i="44" s="1"/>
  <c r="Y759" i="53"/>
  <c r="W759" i="53" s="1"/>
  <c r="Y759" i="52"/>
  <c r="W759" i="52" s="1"/>
  <c r="Y755" i="54"/>
  <c r="W755" i="54" s="1"/>
  <c r="Y755" i="53"/>
  <c r="W755" i="53" s="1"/>
  <c r="Y747" i="53"/>
  <c r="W747" i="53" s="1"/>
  <c r="Y747" i="52"/>
  <c r="W747" i="52" s="1"/>
  <c r="Y747" i="44"/>
  <c r="W747" i="44" s="1"/>
  <c r="Y715" i="53"/>
  <c r="W715" i="53" s="1"/>
  <c r="Y715" i="52"/>
  <c r="W715" i="52" s="1"/>
  <c r="Y715" i="44"/>
  <c r="W715" i="44" s="1"/>
  <c r="Y707" i="55"/>
  <c r="W707" i="55" s="1"/>
  <c r="Y707" i="54"/>
  <c r="W707" i="54" s="1"/>
  <c r="Y707" i="53"/>
  <c r="W707" i="53" s="1"/>
  <c r="Y699" i="54"/>
  <c r="W699" i="54" s="1"/>
  <c r="Y699" i="53"/>
  <c r="W699" i="53" s="1"/>
  <c r="Y699" i="52"/>
  <c r="W699" i="52" s="1"/>
  <c r="Y699" i="44"/>
  <c r="W699" i="44" s="1"/>
  <c r="Y691" i="54"/>
  <c r="W691" i="54" s="1"/>
  <c r="Y691" i="53"/>
  <c r="W691" i="53" s="1"/>
  <c r="Y671" i="55"/>
  <c r="W671" i="55" s="1"/>
  <c r="Y671" i="54"/>
  <c r="W671" i="54" s="1"/>
  <c r="Y671" i="53"/>
  <c r="W671" i="53" s="1"/>
  <c r="Y667" i="53"/>
  <c r="W667" i="53" s="1"/>
  <c r="Y667" i="52"/>
  <c r="W667" i="52" s="1"/>
  <c r="Y667" i="44"/>
  <c r="W667" i="44" s="1"/>
  <c r="Y659" i="55"/>
  <c r="W659" i="55" s="1"/>
  <c r="Y659" i="53"/>
  <c r="W659" i="53" s="1"/>
  <c r="Y639" i="55"/>
  <c r="W639" i="55" s="1"/>
  <c r="Y639" i="54"/>
  <c r="W639" i="54" s="1"/>
  <c r="Y639" i="53"/>
  <c r="W639" i="53" s="1"/>
  <c r="Y631" i="53"/>
  <c r="W631" i="53" s="1"/>
  <c r="Y631" i="52"/>
  <c r="W631" i="52" s="1"/>
  <c r="Y627" i="55"/>
  <c r="W627" i="55" s="1"/>
  <c r="Y627" i="53"/>
  <c r="W627" i="53" s="1"/>
  <c r="Y619" i="53"/>
  <c r="W619" i="53" s="1"/>
  <c r="Y619" i="52"/>
  <c r="W619" i="52" s="1"/>
  <c r="Y619" i="44"/>
  <c r="W619" i="44" s="1"/>
  <c r="Y207" i="55"/>
  <c r="W207" i="55" s="1"/>
  <c r="Y207" i="53"/>
  <c r="W207" i="53" s="1"/>
  <c r="Y207" i="54"/>
  <c r="W207" i="54" s="1"/>
  <c r="Y207" i="52"/>
  <c r="W207" i="52" s="1"/>
  <c r="Y207" i="44"/>
  <c r="W207" i="44" s="1"/>
  <c r="Y1175" i="44"/>
  <c r="W1175" i="44" s="1"/>
  <c r="Y1159" i="44"/>
  <c r="W1159" i="44" s="1"/>
  <c r="Y1143" i="44"/>
  <c r="W1143" i="44" s="1"/>
  <c r="Y1127" i="44"/>
  <c r="W1127" i="44" s="1"/>
  <c r="Y1111" i="44"/>
  <c r="W1111" i="44" s="1"/>
  <c r="Y1095" i="44"/>
  <c r="W1095" i="44" s="1"/>
  <c r="Y1079" i="44"/>
  <c r="W1079" i="44" s="1"/>
  <c r="Y1039" i="44"/>
  <c r="W1039" i="44" s="1"/>
  <c r="Y1027" i="44"/>
  <c r="W1027" i="44" s="1"/>
  <c r="Y1015" i="44"/>
  <c r="W1015" i="44" s="1"/>
  <c r="Y975" i="44"/>
  <c r="W975" i="44" s="1"/>
  <c r="Y963" i="44"/>
  <c r="W963" i="44" s="1"/>
  <c r="Y951" i="44"/>
  <c r="W951" i="44" s="1"/>
  <c r="Y911" i="44"/>
  <c r="W911" i="44" s="1"/>
  <c r="Y899" i="44"/>
  <c r="W899" i="44" s="1"/>
  <c r="Y887" i="44"/>
  <c r="W887" i="44" s="1"/>
  <c r="Y847" i="44"/>
  <c r="W847" i="44" s="1"/>
  <c r="Y835" i="44"/>
  <c r="W835" i="44" s="1"/>
  <c r="Y823" i="44"/>
  <c r="W823" i="44" s="1"/>
  <c r="Y783" i="44"/>
  <c r="W783" i="44" s="1"/>
  <c r="Y771" i="44"/>
  <c r="W771" i="44" s="1"/>
  <c r="Y759" i="44"/>
  <c r="W759" i="44" s="1"/>
  <c r="Y719" i="44"/>
  <c r="W719" i="44" s="1"/>
  <c r="Y707" i="44"/>
  <c r="W707" i="44" s="1"/>
  <c r="Y695" i="44"/>
  <c r="W695" i="44" s="1"/>
  <c r="Y655" i="44"/>
  <c r="W655" i="44" s="1"/>
  <c r="Y643" i="44"/>
  <c r="W643" i="44" s="1"/>
  <c r="Y631" i="44"/>
  <c r="W631" i="44" s="1"/>
  <c r="Y591" i="44"/>
  <c r="W591" i="44" s="1"/>
  <c r="Y579" i="44"/>
  <c r="W579" i="44" s="1"/>
  <c r="Y567" i="44"/>
  <c r="W567" i="44" s="1"/>
  <c r="Y527" i="44"/>
  <c r="W527" i="44" s="1"/>
  <c r="Y515" i="44"/>
  <c r="W515" i="44" s="1"/>
  <c r="Y503" i="44"/>
  <c r="W503" i="44" s="1"/>
  <c r="Y463" i="44"/>
  <c r="W463" i="44" s="1"/>
  <c r="Y451" i="44"/>
  <c r="W451" i="44" s="1"/>
  <c r="Y439" i="44"/>
  <c r="W439" i="44" s="1"/>
  <c r="Y399" i="44"/>
  <c r="W399" i="44" s="1"/>
  <c r="Y387" i="44"/>
  <c r="W387" i="44" s="1"/>
  <c r="Y375" i="44"/>
  <c r="W375" i="44" s="1"/>
  <c r="Y335" i="44"/>
  <c r="W335" i="44" s="1"/>
  <c r="Y323" i="44"/>
  <c r="W323" i="44" s="1"/>
  <c r="Y311" i="44"/>
  <c r="W311" i="44" s="1"/>
  <c r="Y263" i="44"/>
  <c r="W263" i="44" s="1"/>
  <c r="Y231" i="44"/>
  <c r="W231" i="44" s="1"/>
  <c r="Y199" i="44"/>
  <c r="W199" i="44" s="1"/>
  <c r="Y167" i="44"/>
  <c r="W167" i="44" s="1"/>
  <c r="Y135" i="44"/>
  <c r="W135" i="44" s="1"/>
  <c r="Y103" i="44"/>
  <c r="W103" i="44" s="1"/>
  <c r="Y71" i="44"/>
  <c r="W71" i="44" s="1"/>
  <c r="Y39" i="44"/>
  <c r="W39" i="44" s="1"/>
  <c r="Y1171" i="52"/>
  <c r="W1171" i="52" s="1"/>
  <c r="Y1139" i="52"/>
  <c r="W1139" i="52" s="1"/>
  <c r="Y1107" i="52"/>
  <c r="W1107" i="52" s="1"/>
  <c r="Y1075" i="52"/>
  <c r="W1075" i="52" s="1"/>
  <c r="Y1043" i="52"/>
  <c r="W1043" i="52" s="1"/>
  <c r="Y1011" i="52"/>
  <c r="W1011" i="52" s="1"/>
  <c r="Y979" i="52"/>
  <c r="W979" i="52" s="1"/>
  <c r="Y947" i="52"/>
  <c r="W947" i="52" s="1"/>
  <c r="Y915" i="52"/>
  <c r="W915" i="52" s="1"/>
  <c r="Y883" i="52"/>
  <c r="W883" i="52" s="1"/>
  <c r="Y851" i="52"/>
  <c r="W851" i="52" s="1"/>
  <c r="Y819" i="52"/>
  <c r="W819" i="52" s="1"/>
  <c r="Y787" i="52"/>
  <c r="W787" i="52" s="1"/>
  <c r="Y755" i="52"/>
  <c r="W755" i="52" s="1"/>
  <c r="Y723" i="52"/>
  <c r="W723" i="52" s="1"/>
  <c r="Y691" i="52"/>
  <c r="W691" i="52" s="1"/>
  <c r="Y659" i="52"/>
  <c r="W659" i="52" s="1"/>
  <c r="Y627" i="52"/>
  <c r="W627" i="52" s="1"/>
  <c r="Y595" i="52"/>
  <c r="W595" i="52" s="1"/>
  <c r="Y563" i="52"/>
  <c r="W563" i="52" s="1"/>
  <c r="Y531" i="52"/>
  <c r="W531" i="52" s="1"/>
  <c r="Y483" i="52"/>
  <c r="W483" i="52" s="1"/>
  <c r="Y403" i="52"/>
  <c r="W403" i="52" s="1"/>
  <c r="Y391" i="52"/>
  <c r="W391" i="52" s="1"/>
  <c r="Y355" i="52"/>
  <c r="W355" i="52" s="1"/>
  <c r="Y275" i="52"/>
  <c r="W275" i="52" s="1"/>
  <c r="Y263" i="52"/>
  <c r="W263" i="52" s="1"/>
  <c r="Y227" i="52"/>
  <c r="W227" i="52" s="1"/>
  <c r="Y147" i="52"/>
  <c r="W147" i="52" s="1"/>
  <c r="Y135" i="52"/>
  <c r="W135" i="52" s="1"/>
  <c r="Y99" i="52"/>
  <c r="W99" i="52" s="1"/>
  <c r="Y1183" i="53"/>
  <c r="W1183" i="53" s="1"/>
  <c r="Y1135" i="53"/>
  <c r="W1135" i="53" s="1"/>
  <c r="Y1047" i="53"/>
  <c r="W1047" i="53" s="1"/>
  <c r="Y1027" i="53"/>
  <c r="W1027" i="53" s="1"/>
  <c r="Y983" i="53"/>
  <c r="W983" i="53" s="1"/>
  <c r="Y879" i="53"/>
  <c r="W879" i="53" s="1"/>
  <c r="Y867" i="53"/>
  <c r="W867" i="53" s="1"/>
  <c r="Y855" i="53"/>
  <c r="W855" i="53" s="1"/>
  <c r="Y791" i="53"/>
  <c r="W791" i="53" s="1"/>
  <c r="Y743" i="53"/>
  <c r="W743" i="53" s="1"/>
  <c r="Y679" i="53"/>
  <c r="W679" i="53" s="1"/>
  <c r="Y615" i="53"/>
  <c r="W615" i="53" s="1"/>
  <c r="Y551" i="53"/>
  <c r="W551" i="53" s="1"/>
  <c r="Y487" i="53"/>
  <c r="W487" i="53" s="1"/>
  <c r="Y403" i="53"/>
  <c r="W403" i="53" s="1"/>
  <c r="Y275" i="53"/>
  <c r="W275" i="53" s="1"/>
  <c r="Y147" i="53"/>
  <c r="W147" i="53" s="1"/>
  <c r="Y1183" i="54"/>
  <c r="W1183" i="54" s="1"/>
  <c r="Y927" i="54"/>
  <c r="W927" i="54" s="1"/>
  <c r="Y511" i="54"/>
  <c r="W511" i="54" s="1"/>
  <c r="Y127" i="54"/>
  <c r="W127" i="54" s="1"/>
  <c r="Y859" i="55"/>
  <c r="W859" i="55" s="1"/>
  <c r="Y731" i="55"/>
  <c r="W731" i="55" s="1"/>
  <c r="Y819" i="55"/>
  <c r="W819" i="55" s="1"/>
  <c r="Y635" i="55"/>
  <c r="W635" i="55" s="1"/>
  <c r="Y691" i="55"/>
  <c r="W691" i="55" s="1"/>
  <c r="Y555" i="55"/>
  <c r="W555" i="55" s="1"/>
  <c r="Y947" i="55"/>
  <c r="W947" i="55" s="1"/>
  <c r="Y1107" i="55"/>
  <c r="W1107" i="55" s="1"/>
  <c r="Y755" i="55"/>
  <c r="W755" i="55" s="1"/>
  <c r="Y563" i="55"/>
  <c r="W563" i="55" s="1"/>
  <c r="Y539" i="55"/>
  <c r="W539" i="55" s="1"/>
  <c r="Y1027" i="55"/>
  <c r="W1027" i="55" s="1"/>
  <c r="Y923" i="55"/>
  <c r="W923" i="55" s="1"/>
  <c r="Y795" i="55"/>
  <c r="W795" i="55" s="1"/>
  <c r="Y1115" i="55"/>
  <c r="W1115" i="55" s="1"/>
  <c r="Y1179" i="55"/>
  <c r="W1179" i="55" s="1"/>
  <c r="Y1179" i="54"/>
  <c r="W1179" i="54" s="1"/>
  <c r="Y1171" i="55"/>
  <c r="W1171" i="55" s="1"/>
  <c r="Y1171" i="54"/>
  <c r="W1171" i="54" s="1"/>
  <c r="Y1163" i="55"/>
  <c r="W1163" i="55" s="1"/>
  <c r="Y1163" i="54"/>
  <c r="W1163" i="54" s="1"/>
  <c r="Y1147" i="55"/>
  <c r="W1147" i="55" s="1"/>
  <c r="Y1147" i="54"/>
  <c r="W1147" i="54" s="1"/>
  <c r="Y1139" i="55"/>
  <c r="W1139" i="55" s="1"/>
  <c r="Y1139" i="54"/>
  <c r="W1139" i="54" s="1"/>
  <c r="Y1131" i="55"/>
  <c r="W1131" i="55" s="1"/>
  <c r="Y1131" i="54"/>
  <c r="W1131" i="54" s="1"/>
  <c r="Y1123" i="55"/>
  <c r="W1123" i="55" s="1"/>
  <c r="Y1123" i="54"/>
  <c r="W1123" i="54" s="1"/>
  <c r="Y1099" i="55"/>
  <c r="W1099" i="55" s="1"/>
  <c r="Y1099" i="54"/>
  <c r="W1099" i="54" s="1"/>
  <c r="Y1091" i="55"/>
  <c r="W1091" i="55" s="1"/>
  <c r="Y1091" i="54"/>
  <c r="W1091" i="54" s="1"/>
  <c r="Y1083" i="55"/>
  <c r="W1083" i="55" s="1"/>
  <c r="Y1083" i="54"/>
  <c r="W1083" i="54" s="1"/>
  <c r="Y1075" i="55"/>
  <c r="W1075" i="55" s="1"/>
  <c r="Y1075" i="54"/>
  <c r="W1075" i="54" s="1"/>
  <c r="Y1067" i="54"/>
  <c r="W1067" i="54" s="1"/>
  <c r="Y1067" i="53"/>
  <c r="W1067" i="53" s="1"/>
  <c r="Y1067" i="55"/>
  <c r="W1067" i="55" s="1"/>
  <c r="Y1059" i="55"/>
  <c r="W1059" i="55" s="1"/>
  <c r="Y1059" i="54"/>
  <c r="W1059" i="54" s="1"/>
  <c r="Y1051" i="55"/>
  <c r="W1051" i="55" s="1"/>
  <c r="Y1051" i="54"/>
  <c r="W1051" i="54" s="1"/>
  <c r="Y1051" i="53"/>
  <c r="W1051" i="53" s="1"/>
  <c r="Y1043" i="55"/>
  <c r="W1043" i="55" s="1"/>
  <c r="Y1043" i="54"/>
  <c r="W1043" i="54" s="1"/>
  <c r="Y1035" i="55"/>
  <c r="W1035" i="55" s="1"/>
  <c r="Y1035" i="54"/>
  <c r="W1035" i="54" s="1"/>
  <c r="Y1035" i="53"/>
  <c r="W1035" i="53" s="1"/>
  <c r="Y1019" i="54"/>
  <c r="W1019" i="54" s="1"/>
  <c r="Y1019" i="53"/>
  <c r="W1019" i="53" s="1"/>
  <c r="Y1019" i="55"/>
  <c r="W1019" i="55" s="1"/>
  <c r="Y1011" i="55"/>
  <c r="W1011" i="55" s="1"/>
  <c r="Y1011" i="54"/>
  <c r="W1011" i="54" s="1"/>
  <c r="Y1003" i="55"/>
  <c r="W1003" i="55" s="1"/>
  <c r="Y1003" i="54"/>
  <c r="W1003" i="54" s="1"/>
  <c r="Y1003" i="53"/>
  <c r="W1003" i="53" s="1"/>
  <c r="Y987" i="54"/>
  <c r="W987" i="54" s="1"/>
  <c r="Y987" i="53"/>
  <c r="W987" i="53" s="1"/>
  <c r="Y987" i="55"/>
  <c r="W987" i="55" s="1"/>
  <c r="Y1155" i="55"/>
  <c r="W1155" i="55" s="1"/>
  <c r="Y1167" i="54"/>
  <c r="W1167" i="54" s="1"/>
  <c r="Y995" i="55"/>
  <c r="W995" i="55" s="1"/>
  <c r="Y855" i="55"/>
  <c r="W855" i="55" s="1"/>
  <c r="Y855" i="54"/>
  <c r="W855" i="54" s="1"/>
  <c r="Y839" i="55"/>
  <c r="W839" i="55" s="1"/>
  <c r="Y839" i="54"/>
  <c r="W839" i="54" s="1"/>
  <c r="Y823" i="55"/>
  <c r="W823" i="55" s="1"/>
  <c r="Y823" i="54"/>
  <c r="W823" i="54" s="1"/>
  <c r="Y807" i="55"/>
  <c r="W807" i="55" s="1"/>
  <c r="Y807" i="54"/>
  <c r="W807" i="54" s="1"/>
  <c r="Y791" i="55"/>
  <c r="W791" i="55" s="1"/>
  <c r="Y791" i="54"/>
  <c r="W791" i="54" s="1"/>
  <c r="Y779" i="55"/>
  <c r="W779" i="55" s="1"/>
  <c r="Y779" i="54"/>
  <c r="W779" i="54" s="1"/>
  <c r="Y775" i="55"/>
  <c r="W775" i="55" s="1"/>
  <c r="Y775" i="54"/>
  <c r="W775" i="54" s="1"/>
  <c r="Y759" i="55"/>
  <c r="W759" i="55" s="1"/>
  <c r="Y759" i="54"/>
  <c r="W759" i="54" s="1"/>
  <c r="Y747" i="55"/>
  <c r="W747" i="55" s="1"/>
  <c r="Y747" i="54"/>
  <c r="W747" i="54" s="1"/>
  <c r="Y743" i="55"/>
  <c r="W743" i="55" s="1"/>
  <c r="Y743" i="54"/>
  <c r="W743" i="54" s="1"/>
  <c r="Y727" i="55"/>
  <c r="W727" i="55" s="1"/>
  <c r="Y727" i="54"/>
  <c r="W727" i="54" s="1"/>
  <c r="Y715" i="55"/>
  <c r="W715" i="55" s="1"/>
  <c r="Y715" i="54"/>
  <c r="W715" i="54" s="1"/>
  <c r="Y711" i="55"/>
  <c r="W711" i="55" s="1"/>
  <c r="Y711" i="54"/>
  <c r="W711" i="54" s="1"/>
  <c r="Y695" i="55"/>
  <c r="W695" i="55" s="1"/>
  <c r="Y695" i="54"/>
  <c r="W695" i="54" s="1"/>
  <c r="Y683" i="55"/>
  <c r="W683" i="55" s="1"/>
  <c r="Y683" i="54"/>
  <c r="W683" i="54" s="1"/>
  <c r="Y679" i="55"/>
  <c r="W679" i="55" s="1"/>
  <c r="Y679" i="54"/>
  <c r="W679" i="54" s="1"/>
  <c r="Y667" i="55"/>
  <c r="W667" i="55" s="1"/>
  <c r="Y667" i="54"/>
  <c r="W667" i="54" s="1"/>
  <c r="Y663" i="55"/>
  <c r="W663" i="55" s="1"/>
  <c r="Y663" i="54"/>
  <c r="W663" i="54" s="1"/>
  <c r="Y651" i="55"/>
  <c r="W651" i="55" s="1"/>
  <c r="Y651" i="54"/>
  <c r="W651" i="54" s="1"/>
  <c r="Y647" i="55"/>
  <c r="W647" i="55" s="1"/>
  <c r="Y647" i="54"/>
  <c r="W647" i="54" s="1"/>
  <c r="Y631" i="55"/>
  <c r="W631" i="55" s="1"/>
  <c r="Y631" i="54"/>
  <c r="W631" i="54" s="1"/>
  <c r="Y619" i="55"/>
  <c r="W619" i="55" s="1"/>
  <c r="Y619" i="54"/>
  <c r="W619" i="54" s="1"/>
  <c r="Y615" i="55"/>
  <c r="W615" i="55" s="1"/>
  <c r="Y615" i="54"/>
  <c r="W615" i="54" s="1"/>
  <c r="Y603" i="55"/>
  <c r="W603" i="55" s="1"/>
  <c r="Y603" i="54"/>
  <c r="W603" i="54" s="1"/>
  <c r="Y599" i="55"/>
  <c r="W599" i="55" s="1"/>
  <c r="Y599" i="54"/>
  <c r="W599" i="54" s="1"/>
  <c r="Y583" i="55"/>
  <c r="W583" i="55" s="1"/>
  <c r="Y583" i="54"/>
  <c r="W583" i="54" s="1"/>
  <c r="Y571" i="54"/>
  <c r="W571" i="54" s="1"/>
  <c r="Y571" i="55"/>
  <c r="W571" i="55" s="1"/>
  <c r="Y567" i="55"/>
  <c r="W567" i="55" s="1"/>
  <c r="Y567" i="54"/>
  <c r="W567" i="54" s="1"/>
  <c r="Y551" i="55"/>
  <c r="W551" i="55" s="1"/>
  <c r="Y551" i="54"/>
  <c r="W551" i="54" s="1"/>
  <c r="Y535" i="55"/>
  <c r="W535" i="55" s="1"/>
  <c r="Y535" i="54"/>
  <c r="W535" i="54" s="1"/>
  <c r="Y523" i="55"/>
  <c r="W523" i="55" s="1"/>
  <c r="Y523" i="54"/>
  <c r="W523" i="54" s="1"/>
  <c r="Y519" i="55"/>
  <c r="W519" i="55" s="1"/>
  <c r="Y519" i="54"/>
  <c r="W519" i="54" s="1"/>
  <c r="Y503" i="55"/>
  <c r="W503" i="55" s="1"/>
  <c r="Y503" i="54"/>
  <c r="W503" i="54" s="1"/>
  <c r="Y491" i="54"/>
  <c r="W491" i="54" s="1"/>
  <c r="Y491" i="55"/>
  <c r="W491" i="55" s="1"/>
  <c r="Y487" i="55"/>
  <c r="W487" i="55" s="1"/>
  <c r="Y487" i="54"/>
  <c r="W487" i="54" s="1"/>
  <c r="Y475" i="55"/>
  <c r="W475" i="55" s="1"/>
  <c r="Y475" i="54"/>
  <c r="W475" i="54" s="1"/>
  <c r="Y471" i="55"/>
  <c r="W471" i="55" s="1"/>
  <c r="Y471" i="54"/>
  <c r="W471" i="54" s="1"/>
  <c r="Y455" i="55"/>
  <c r="W455" i="55" s="1"/>
  <c r="Y455" i="54"/>
  <c r="W455" i="54" s="1"/>
  <c r="Y443" i="54"/>
  <c r="W443" i="54" s="1"/>
  <c r="Y443" i="55"/>
  <c r="W443" i="55" s="1"/>
  <c r="Y439" i="55"/>
  <c r="W439" i="55" s="1"/>
  <c r="Y439" i="54"/>
  <c r="W439" i="54" s="1"/>
  <c r="Y423" i="55"/>
  <c r="W423" i="55" s="1"/>
  <c r="Y423" i="54"/>
  <c r="W423" i="54" s="1"/>
  <c r="Y407" i="55"/>
  <c r="W407" i="55" s="1"/>
  <c r="Y407" i="54"/>
  <c r="W407" i="54" s="1"/>
  <c r="Y395" i="55"/>
  <c r="W395" i="55" s="1"/>
  <c r="Y395" i="54"/>
  <c r="W395" i="54" s="1"/>
  <c r="Y391" i="55"/>
  <c r="W391" i="55" s="1"/>
  <c r="Y391" i="54"/>
  <c r="W391" i="54" s="1"/>
  <c r="Y375" i="55"/>
  <c r="W375" i="55" s="1"/>
  <c r="Y375" i="54"/>
  <c r="W375" i="54" s="1"/>
  <c r="Y363" i="54"/>
  <c r="W363" i="54" s="1"/>
  <c r="Y363" i="55"/>
  <c r="W363" i="55" s="1"/>
  <c r="Y359" i="55"/>
  <c r="W359" i="55" s="1"/>
  <c r="Y359" i="54"/>
  <c r="W359" i="54" s="1"/>
  <c r="Y347" i="55"/>
  <c r="W347" i="55" s="1"/>
  <c r="Y347" i="54"/>
  <c r="W347" i="54" s="1"/>
  <c r="Y343" i="55"/>
  <c r="W343" i="55" s="1"/>
  <c r="Y343" i="54"/>
  <c r="W343" i="54" s="1"/>
  <c r="Y327" i="55"/>
  <c r="W327" i="55" s="1"/>
  <c r="Y327" i="54"/>
  <c r="W327" i="54" s="1"/>
  <c r="Y315" i="54"/>
  <c r="W315" i="54" s="1"/>
  <c r="Y315" i="55"/>
  <c r="W315" i="55" s="1"/>
  <c r="Y311" i="55"/>
  <c r="W311" i="55" s="1"/>
  <c r="Y311" i="54"/>
  <c r="W311" i="54" s="1"/>
  <c r="Y295" i="55"/>
  <c r="W295" i="55" s="1"/>
  <c r="Y295" i="54"/>
  <c r="W295" i="54" s="1"/>
  <c r="Y279" i="55"/>
  <c r="W279" i="55" s="1"/>
  <c r="Y279" i="54"/>
  <c r="W279" i="54" s="1"/>
  <c r="Y267" i="55"/>
  <c r="W267" i="55" s="1"/>
  <c r="Y267" i="54"/>
  <c r="W267" i="54" s="1"/>
  <c r="Y263" i="55"/>
  <c r="W263" i="55" s="1"/>
  <c r="Y263" i="54"/>
  <c r="W263" i="54" s="1"/>
  <c r="Y247" i="55"/>
  <c r="W247" i="55" s="1"/>
  <c r="Y247" i="54"/>
  <c r="W247" i="54" s="1"/>
  <c r="Y235" i="54"/>
  <c r="W235" i="54" s="1"/>
  <c r="Y235" i="55"/>
  <c r="W235" i="55" s="1"/>
  <c r="Y231" i="55"/>
  <c r="W231" i="55" s="1"/>
  <c r="Y231" i="54"/>
  <c r="W231" i="54" s="1"/>
  <c r="Y219" i="55"/>
  <c r="W219" i="55" s="1"/>
  <c r="Y219" i="54"/>
  <c r="W219" i="54" s="1"/>
  <c r="Y215" i="55"/>
  <c r="W215" i="55" s="1"/>
  <c r="Y215" i="54"/>
  <c r="W215" i="54" s="1"/>
  <c r="Y199" i="55"/>
  <c r="W199" i="55" s="1"/>
  <c r="Y199" i="54"/>
  <c r="W199" i="54" s="1"/>
  <c r="Y187" i="54"/>
  <c r="W187" i="54" s="1"/>
  <c r="Y187" i="55"/>
  <c r="W187" i="55" s="1"/>
  <c r="Y183" i="55"/>
  <c r="W183" i="55" s="1"/>
  <c r="Y183" i="54"/>
  <c r="W183" i="54" s="1"/>
  <c r="Y167" i="55"/>
  <c r="W167" i="55" s="1"/>
  <c r="Y167" i="54"/>
  <c r="W167" i="54" s="1"/>
  <c r="Y151" i="55"/>
  <c r="W151" i="55" s="1"/>
  <c r="Y151" i="54"/>
  <c r="W151" i="54" s="1"/>
  <c r="Y139" i="55"/>
  <c r="W139" i="55" s="1"/>
  <c r="Y139" i="54"/>
  <c r="W139" i="54" s="1"/>
  <c r="Y135" i="55"/>
  <c r="W135" i="55" s="1"/>
  <c r="Y135" i="54"/>
  <c r="W135" i="54" s="1"/>
  <c r="Y119" i="55"/>
  <c r="W119" i="55" s="1"/>
  <c r="Y119" i="54"/>
  <c r="W119" i="54" s="1"/>
  <c r="Y107" i="54"/>
  <c r="W107" i="54" s="1"/>
  <c r="Y107" i="55"/>
  <c r="W107" i="55" s="1"/>
  <c r="Y103" i="55"/>
  <c r="W103" i="55" s="1"/>
  <c r="Y103" i="54"/>
  <c r="W103" i="54" s="1"/>
  <c r="Y91" i="55"/>
  <c r="W91" i="55" s="1"/>
  <c r="Y91" i="54"/>
  <c r="W91" i="54" s="1"/>
  <c r="Y87" i="55"/>
  <c r="W87" i="55" s="1"/>
  <c r="Y87" i="54"/>
  <c r="W87" i="54" s="1"/>
  <c r="Y71" i="55"/>
  <c r="W71" i="55" s="1"/>
  <c r="Y71" i="54"/>
  <c r="W71" i="54" s="1"/>
  <c r="Y59" i="54"/>
  <c r="W59" i="54" s="1"/>
  <c r="Y59" i="55"/>
  <c r="W59" i="55" s="1"/>
  <c r="Y55" i="55"/>
  <c r="W55" i="55" s="1"/>
  <c r="Y55" i="54"/>
  <c r="W55" i="54" s="1"/>
  <c r="Y39" i="55"/>
  <c r="W39" i="55" s="1"/>
  <c r="Y39" i="54"/>
  <c r="W39" i="54" s="1"/>
  <c r="Y23" i="55"/>
  <c r="W23" i="55" s="1"/>
  <c r="Y23" i="54"/>
  <c r="W23" i="54" s="1"/>
  <c r="Y971" i="53"/>
  <c r="W971" i="53" s="1"/>
  <c r="Y955" i="53"/>
  <c r="W955" i="53" s="1"/>
  <c r="Y939" i="53"/>
  <c r="W939" i="53" s="1"/>
  <c r="Y923" i="53"/>
  <c r="W923" i="53" s="1"/>
  <c r="Y907" i="53"/>
  <c r="W907" i="53" s="1"/>
  <c r="Y891" i="53"/>
  <c r="W891" i="53" s="1"/>
  <c r="Y875" i="53"/>
  <c r="W875" i="53" s="1"/>
  <c r="Y979" i="54"/>
  <c r="W979" i="54" s="1"/>
  <c r="Y971" i="54"/>
  <c r="W971" i="54" s="1"/>
  <c r="Y963" i="54"/>
  <c r="W963" i="54" s="1"/>
  <c r="Y955" i="54"/>
  <c r="W955" i="54" s="1"/>
  <c r="Y939" i="54"/>
  <c r="W939" i="54" s="1"/>
  <c r="Y931" i="54"/>
  <c r="W931" i="54" s="1"/>
  <c r="Y915" i="54"/>
  <c r="W915" i="54" s="1"/>
  <c r="Y903" i="54"/>
  <c r="W903" i="54" s="1"/>
  <c r="Y887" i="54"/>
  <c r="W887" i="54" s="1"/>
  <c r="Y871" i="54"/>
  <c r="W871" i="54" s="1"/>
  <c r="Y843" i="54"/>
  <c r="W843" i="54" s="1"/>
  <c r="Y831" i="54"/>
  <c r="W831" i="54" s="1"/>
  <c r="Y783" i="54"/>
  <c r="W783" i="54" s="1"/>
  <c r="Y751" i="54"/>
  <c r="W751" i="54" s="1"/>
  <c r="Y719" i="54"/>
  <c r="W719" i="54" s="1"/>
  <c r="Y687" i="54"/>
  <c r="W687" i="54" s="1"/>
  <c r="Y655" i="54"/>
  <c r="W655" i="54" s="1"/>
  <c r="Y623" i="54"/>
  <c r="W623" i="54" s="1"/>
  <c r="Y591" i="54"/>
  <c r="W591" i="54" s="1"/>
  <c r="Y559" i="54"/>
  <c r="W559" i="54" s="1"/>
  <c r="Y527" i="54"/>
  <c r="W527" i="54" s="1"/>
  <c r="Y495" i="54"/>
  <c r="W495" i="54" s="1"/>
  <c r="Y463" i="54"/>
  <c r="W463" i="54" s="1"/>
  <c r="Y431" i="54"/>
  <c r="W431" i="54" s="1"/>
  <c r="Y399" i="54"/>
  <c r="W399" i="54" s="1"/>
  <c r="Y367" i="54"/>
  <c r="W367" i="54" s="1"/>
  <c r="Y335" i="54"/>
  <c r="W335" i="54" s="1"/>
  <c r="Y303" i="54"/>
  <c r="W303" i="54" s="1"/>
  <c r="Y271" i="54"/>
  <c r="W271" i="54" s="1"/>
  <c r="Y891" i="55"/>
  <c r="W891" i="55" s="1"/>
  <c r="Y763" i="55"/>
  <c r="W763" i="55" s="1"/>
  <c r="Y699" i="55"/>
  <c r="W699" i="55" s="1"/>
  <c r="Y587" i="55"/>
  <c r="W587" i="55" s="1"/>
  <c r="Y427" i="55"/>
  <c r="W427" i="55" s="1"/>
  <c r="Y403" i="55"/>
  <c r="W403" i="55" s="1"/>
  <c r="Y331" i="55"/>
  <c r="W331" i="55" s="1"/>
  <c r="Y907" i="54"/>
  <c r="W907" i="54" s="1"/>
  <c r="Y875" i="54"/>
  <c r="W875" i="54" s="1"/>
  <c r="Y847" i="54"/>
  <c r="W847" i="54" s="1"/>
  <c r="Y835" i="54"/>
  <c r="W835" i="54" s="1"/>
  <c r="Y787" i="54"/>
  <c r="W787" i="54" s="1"/>
  <c r="Y723" i="54"/>
  <c r="W723" i="54" s="1"/>
  <c r="Y659" i="54"/>
  <c r="W659" i="54" s="1"/>
  <c r="Y627" i="54"/>
  <c r="W627" i="54" s="1"/>
  <c r="Y595" i="54"/>
  <c r="W595" i="54" s="1"/>
  <c r="Y499" i="54"/>
  <c r="W499" i="54" s="1"/>
  <c r="Y467" i="54"/>
  <c r="W467" i="54" s="1"/>
  <c r="Y435" i="54"/>
  <c r="W435" i="54" s="1"/>
  <c r="Y371" i="54"/>
  <c r="W371" i="54" s="1"/>
  <c r="Y339" i="54"/>
  <c r="W339" i="54" s="1"/>
  <c r="Y507" i="55"/>
  <c r="W507" i="55" s="1"/>
  <c r="Y411" i="55"/>
  <c r="W411" i="55" s="1"/>
  <c r="Y251" i="55"/>
  <c r="W251" i="55" s="1"/>
  <c r="Y155" i="55"/>
  <c r="W155" i="55" s="1"/>
  <c r="Y1180" i="54"/>
  <c r="W1180" i="54" s="1"/>
  <c r="Y1180" i="53"/>
  <c r="W1180" i="53" s="1"/>
  <c r="Y1180" i="52"/>
  <c r="W1180" i="52" s="1"/>
  <c r="Y1168" i="53"/>
  <c r="W1168" i="53" s="1"/>
  <c r="Y1168" i="52"/>
  <c r="W1168" i="52" s="1"/>
  <c r="Y1168" i="54"/>
  <c r="W1168" i="54" s="1"/>
  <c r="Y1156" i="54"/>
  <c r="W1156" i="54" s="1"/>
  <c r="Y1156" i="53"/>
  <c r="W1156" i="53" s="1"/>
  <c r="Y1156" i="52"/>
  <c r="W1156" i="52" s="1"/>
  <c r="Y1140" i="53"/>
  <c r="W1140" i="53" s="1"/>
  <c r="Y1140" i="54"/>
  <c r="W1140" i="54" s="1"/>
  <c r="Y1140" i="52"/>
  <c r="W1140" i="52" s="1"/>
  <c r="Y1124" i="54"/>
  <c r="W1124" i="54" s="1"/>
  <c r="Y1124" i="53"/>
  <c r="W1124" i="53" s="1"/>
  <c r="Y1124" i="52"/>
  <c r="W1124" i="52" s="1"/>
  <c r="Y1112" i="54"/>
  <c r="W1112" i="54" s="1"/>
  <c r="Y1112" i="53"/>
  <c r="W1112" i="53" s="1"/>
  <c r="Y1112" i="52"/>
  <c r="W1112" i="52" s="1"/>
  <c r="Y1100" i="54"/>
  <c r="W1100" i="54" s="1"/>
  <c r="Y1100" i="53"/>
  <c r="W1100" i="53" s="1"/>
  <c r="Y1100" i="52"/>
  <c r="W1100" i="52" s="1"/>
  <c r="Y1084" i="54"/>
  <c r="W1084" i="54" s="1"/>
  <c r="Y1084" i="53"/>
  <c r="W1084" i="53" s="1"/>
  <c r="Y1084" i="52"/>
  <c r="W1084" i="52" s="1"/>
  <c r="Y1072" i="53"/>
  <c r="W1072" i="53" s="1"/>
  <c r="Y1072" i="54"/>
  <c r="W1072" i="54" s="1"/>
  <c r="Y1072" i="52"/>
  <c r="W1072" i="52" s="1"/>
  <c r="Y1060" i="54"/>
  <c r="W1060" i="54" s="1"/>
  <c r="Y1060" i="53"/>
  <c r="W1060" i="53" s="1"/>
  <c r="Y1060" i="52"/>
  <c r="W1060" i="52" s="1"/>
  <c r="Y1048" i="54"/>
  <c r="W1048" i="54" s="1"/>
  <c r="Y1048" i="53"/>
  <c r="W1048" i="53" s="1"/>
  <c r="Y1048" i="52"/>
  <c r="W1048" i="52" s="1"/>
  <c r="Y1036" i="54"/>
  <c r="W1036" i="54" s="1"/>
  <c r="Y1036" i="55"/>
  <c r="W1036" i="55" s="1"/>
  <c r="Y1036" i="53"/>
  <c r="W1036" i="53" s="1"/>
  <c r="Y1036" i="52"/>
  <c r="W1036" i="52" s="1"/>
  <c r="Y1024" i="55"/>
  <c r="W1024" i="55" s="1"/>
  <c r="Y1024" i="54"/>
  <c r="W1024" i="54" s="1"/>
  <c r="Y1024" i="53"/>
  <c r="W1024" i="53" s="1"/>
  <c r="Y1024" i="52"/>
  <c r="W1024" i="52" s="1"/>
  <c r="Y1016" i="54"/>
  <c r="W1016" i="54" s="1"/>
  <c r="Y1016" i="55"/>
  <c r="W1016" i="55" s="1"/>
  <c r="Y1016" i="53"/>
  <c r="W1016" i="53" s="1"/>
  <c r="Y1016" i="52"/>
  <c r="W1016" i="52" s="1"/>
  <c r="Y1004" i="54"/>
  <c r="W1004" i="54" s="1"/>
  <c r="Y1004" i="55"/>
  <c r="W1004" i="55" s="1"/>
  <c r="Y1004" i="53"/>
  <c r="W1004" i="53" s="1"/>
  <c r="Y1004" i="52"/>
  <c r="W1004" i="52" s="1"/>
  <c r="Y992" i="55"/>
  <c r="W992" i="55" s="1"/>
  <c r="Y992" i="54"/>
  <c r="W992" i="54" s="1"/>
  <c r="Y992" i="53"/>
  <c r="W992" i="53" s="1"/>
  <c r="Y992" i="52"/>
  <c r="W992" i="52" s="1"/>
  <c r="Y980" i="53"/>
  <c r="W980" i="53" s="1"/>
  <c r="Y980" i="54"/>
  <c r="W980" i="54" s="1"/>
  <c r="Y980" i="55"/>
  <c r="W980" i="55" s="1"/>
  <c r="Y980" i="52"/>
  <c r="W980" i="52" s="1"/>
  <c r="Y968" i="54"/>
  <c r="W968" i="54" s="1"/>
  <c r="Y968" i="55"/>
  <c r="W968" i="55" s="1"/>
  <c r="Y968" i="53"/>
  <c r="W968" i="53" s="1"/>
  <c r="Y968" i="52"/>
  <c r="W968" i="52" s="1"/>
  <c r="Y956" i="54"/>
  <c r="W956" i="54" s="1"/>
  <c r="Y956" i="55"/>
  <c r="W956" i="55" s="1"/>
  <c r="Y956" i="53"/>
  <c r="W956" i="53" s="1"/>
  <c r="Y956" i="52"/>
  <c r="W956" i="52" s="1"/>
  <c r="Y940" i="54"/>
  <c r="W940" i="54" s="1"/>
  <c r="Y940" i="55"/>
  <c r="W940" i="55" s="1"/>
  <c r="Y940" i="53"/>
  <c r="W940" i="53" s="1"/>
  <c r="Y940" i="52"/>
  <c r="W940" i="52" s="1"/>
  <c r="Y928" i="55"/>
  <c r="W928" i="55" s="1"/>
  <c r="Y928" i="54"/>
  <c r="W928" i="54" s="1"/>
  <c r="Y928" i="53"/>
  <c r="W928" i="53" s="1"/>
  <c r="Y928" i="52"/>
  <c r="W928" i="52" s="1"/>
  <c r="Y916" i="53"/>
  <c r="W916" i="53" s="1"/>
  <c r="Y916" i="54"/>
  <c r="W916" i="54" s="1"/>
  <c r="Y916" i="55"/>
  <c r="W916" i="55" s="1"/>
  <c r="Y916" i="52"/>
  <c r="W916" i="52" s="1"/>
  <c r="Y904" i="55"/>
  <c r="W904" i="55" s="1"/>
  <c r="Y904" i="53"/>
  <c r="W904" i="53" s="1"/>
  <c r="Y904" i="52"/>
  <c r="W904" i="52" s="1"/>
  <c r="Y896" i="55"/>
  <c r="W896" i="55" s="1"/>
  <c r="Y896" i="53"/>
  <c r="W896" i="53" s="1"/>
  <c r="Y896" i="52"/>
  <c r="W896" i="52" s="1"/>
  <c r="Y884" i="55"/>
  <c r="W884" i="55" s="1"/>
  <c r="Y884" i="53"/>
  <c r="W884" i="53" s="1"/>
  <c r="Y884" i="52"/>
  <c r="W884" i="52" s="1"/>
  <c r="Y872" i="55"/>
  <c r="W872" i="55" s="1"/>
  <c r="Y872" i="53"/>
  <c r="W872" i="53" s="1"/>
  <c r="Y872" i="52"/>
  <c r="W872" i="52" s="1"/>
  <c r="Y860" i="55"/>
  <c r="W860" i="55" s="1"/>
  <c r="Y860" i="53"/>
  <c r="W860" i="53" s="1"/>
  <c r="Y860" i="52"/>
  <c r="W860" i="52" s="1"/>
  <c r="Y852" i="53"/>
  <c r="W852" i="53" s="1"/>
  <c r="Y852" i="55"/>
  <c r="W852" i="55" s="1"/>
  <c r="Y852" i="52"/>
  <c r="W852" i="52" s="1"/>
  <c r="Y840" i="55"/>
  <c r="W840" i="55" s="1"/>
  <c r="Y840" i="53"/>
  <c r="W840" i="53" s="1"/>
  <c r="Y840" i="52"/>
  <c r="W840" i="52" s="1"/>
  <c r="Y832" i="55"/>
  <c r="W832" i="55" s="1"/>
  <c r="Y832" i="53"/>
  <c r="W832" i="53" s="1"/>
  <c r="Y832" i="52"/>
  <c r="W832" i="52" s="1"/>
  <c r="Y824" i="55"/>
  <c r="W824" i="55" s="1"/>
  <c r="Y824" i="53"/>
  <c r="W824" i="53" s="1"/>
  <c r="Y824" i="52"/>
  <c r="W824" i="52" s="1"/>
  <c r="Y816" i="55"/>
  <c r="W816" i="55" s="1"/>
  <c r="Y816" i="53"/>
  <c r="W816" i="53" s="1"/>
  <c r="Y816" i="52"/>
  <c r="W816" i="52" s="1"/>
  <c r="Y808" i="55"/>
  <c r="W808" i="55" s="1"/>
  <c r="Y808" i="53"/>
  <c r="W808" i="53" s="1"/>
  <c r="Y808" i="52"/>
  <c r="W808" i="52" s="1"/>
  <c r="Y800" i="55"/>
  <c r="W800" i="55" s="1"/>
  <c r="Y800" i="53"/>
  <c r="W800" i="53" s="1"/>
  <c r="Y800" i="52"/>
  <c r="W800" i="52" s="1"/>
  <c r="Y796" i="55"/>
  <c r="W796" i="55" s="1"/>
  <c r="Y796" i="53"/>
  <c r="W796" i="53" s="1"/>
  <c r="Y796" i="52"/>
  <c r="W796" i="52" s="1"/>
  <c r="Y796" i="44"/>
  <c r="W796" i="44" s="1"/>
  <c r="Y784" i="55"/>
  <c r="W784" i="55" s="1"/>
  <c r="Y784" i="53"/>
  <c r="W784" i="53" s="1"/>
  <c r="Y784" i="52"/>
  <c r="W784" i="52" s="1"/>
  <c r="Y784" i="44"/>
  <c r="W784" i="44" s="1"/>
  <c r="Y776" i="55"/>
  <c r="W776" i="55" s="1"/>
  <c r="Y776" i="53"/>
  <c r="W776" i="53" s="1"/>
  <c r="Y776" i="52"/>
  <c r="W776" i="52" s="1"/>
  <c r="Y776" i="44"/>
  <c r="W776" i="44" s="1"/>
  <c r="Y768" i="55"/>
  <c r="W768" i="55" s="1"/>
  <c r="Y768" i="53"/>
  <c r="W768" i="53" s="1"/>
  <c r="Y768" i="52"/>
  <c r="W768" i="52" s="1"/>
  <c r="Y768" i="44"/>
  <c r="W768" i="44" s="1"/>
  <c r="Y760" i="55"/>
  <c r="W760" i="55" s="1"/>
  <c r="Y760" i="53"/>
  <c r="W760" i="53" s="1"/>
  <c r="Y760" i="52"/>
  <c r="W760" i="52" s="1"/>
  <c r="Y760" i="44"/>
  <c r="W760" i="44" s="1"/>
  <c r="Y752" i="55"/>
  <c r="W752" i="55" s="1"/>
  <c r="Y752" i="53"/>
  <c r="W752" i="53" s="1"/>
  <c r="Y752" i="52"/>
  <c r="W752" i="52" s="1"/>
  <c r="Y752" i="44"/>
  <c r="W752" i="44" s="1"/>
  <c r="Y744" i="55"/>
  <c r="W744" i="55" s="1"/>
  <c r="Y744" i="53"/>
  <c r="W744" i="53" s="1"/>
  <c r="Y744" i="52"/>
  <c r="W744" i="52" s="1"/>
  <c r="Y744" i="44"/>
  <c r="W744" i="44" s="1"/>
  <c r="Y736" i="55"/>
  <c r="W736" i="55" s="1"/>
  <c r="Y736" i="53"/>
  <c r="W736" i="53" s="1"/>
  <c r="Y736" i="52"/>
  <c r="W736" i="52" s="1"/>
  <c r="Y736" i="44"/>
  <c r="W736" i="44" s="1"/>
  <c r="Y728" i="55"/>
  <c r="W728" i="55" s="1"/>
  <c r="Y728" i="53"/>
  <c r="W728" i="53" s="1"/>
  <c r="Y728" i="52"/>
  <c r="W728" i="52" s="1"/>
  <c r="Y728" i="44"/>
  <c r="W728" i="44" s="1"/>
  <c r="Y720" i="55"/>
  <c r="W720" i="55" s="1"/>
  <c r="Y720" i="53"/>
  <c r="W720" i="53" s="1"/>
  <c r="Y720" i="52"/>
  <c r="W720" i="52" s="1"/>
  <c r="Y720" i="44"/>
  <c r="W720" i="44" s="1"/>
  <c r="Y712" i="55"/>
  <c r="W712" i="55" s="1"/>
  <c r="Y712" i="53"/>
  <c r="W712" i="53" s="1"/>
  <c r="Y712" i="52"/>
  <c r="W712" i="52" s="1"/>
  <c r="Y712" i="44"/>
  <c r="W712" i="44" s="1"/>
  <c r="Y704" i="55"/>
  <c r="W704" i="55" s="1"/>
  <c r="Y704" i="53"/>
  <c r="W704" i="53" s="1"/>
  <c r="Y704" i="52"/>
  <c r="W704" i="52" s="1"/>
  <c r="Y704" i="44"/>
  <c r="W704" i="44" s="1"/>
  <c r="Y696" i="55"/>
  <c r="W696" i="55" s="1"/>
  <c r="Y696" i="53"/>
  <c r="W696" i="53" s="1"/>
  <c r="Y696" i="52"/>
  <c r="W696" i="52" s="1"/>
  <c r="Y696" i="44"/>
  <c r="W696" i="44" s="1"/>
  <c r="Y688" i="55"/>
  <c r="W688" i="55" s="1"/>
  <c r="Y688" i="53"/>
  <c r="W688" i="53" s="1"/>
  <c r="Y688" i="52"/>
  <c r="W688" i="52" s="1"/>
  <c r="Y688" i="44"/>
  <c r="W688" i="44" s="1"/>
  <c r="Y680" i="55"/>
  <c r="W680" i="55" s="1"/>
  <c r="Y680" i="53"/>
  <c r="W680" i="53" s="1"/>
  <c r="Y680" i="52"/>
  <c r="W680" i="52" s="1"/>
  <c r="Y680" i="44"/>
  <c r="W680" i="44" s="1"/>
  <c r="Y672" i="55"/>
  <c r="W672" i="55" s="1"/>
  <c r="Y672" i="53"/>
  <c r="W672" i="53" s="1"/>
  <c r="Y672" i="52"/>
  <c r="W672" i="52" s="1"/>
  <c r="Y672" i="44"/>
  <c r="W672" i="44" s="1"/>
  <c r="Y664" i="55"/>
  <c r="W664" i="55" s="1"/>
  <c r="Y664" i="53"/>
  <c r="W664" i="53" s="1"/>
  <c r="Y664" i="52"/>
  <c r="W664" i="52" s="1"/>
  <c r="Y664" i="44"/>
  <c r="W664" i="44" s="1"/>
  <c r="Y656" i="55"/>
  <c r="W656" i="55" s="1"/>
  <c r="Y656" i="53"/>
  <c r="W656" i="53" s="1"/>
  <c r="Y656" i="52"/>
  <c r="W656" i="52" s="1"/>
  <c r="Y656" i="44"/>
  <c r="W656" i="44" s="1"/>
  <c r="Y648" i="55"/>
  <c r="W648" i="55" s="1"/>
  <c r="Y648" i="53"/>
  <c r="W648" i="53" s="1"/>
  <c r="Y648" i="52"/>
  <c r="W648" i="52" s="1"/>
  <c r="Y648" i="44"/>
  <c r="W648" i="44" s="1"/>
  <c r="Y640" i="55"/>
  <c r="W640" i="55" s="1"/>
  <c r="Y640" i="53"/>
  <c r="W640" i="53" s="1"/>
  <c r="Y640" i="52"/>
  <c r="W640" i="52" s="1"/>
  <c r="Y640" i="44"/>
  <c r="W640" i="44" s="1"/>
  <c r="Y632" i="55"/>
  <c r="W632" i="55" s="1"/>
  <c r="Y632" i="53"/>
  <c r="W632" i="53" s="1"/>
  <c r="Y632" i="52"/>
  <c r="W632" i="52" s="1"/>
  <c r="Y632" i="44"/>
  <c r="W632" i="44" s="1"/>
  <c r="Y624" i="55"/>
  <c r="W624" i="55" s="1"/>
  <c r="Y624" i="53"/>
  <c r="W624" i="53" s="1"/>
  <c r="Y624" i="52"/>
  <c r="W624" i="52" s="1"/>
  <c r="Y624" i="44"/>
  <c r="W624" i="44" s="1"/>
  <c r="Y616" i="55"/>
  <c r="W616" i="55" s="1"/>
  <c r="Y616" i="53"/>
  <c r="W616" i="53" s="1"/>
  <c r="Y616" i="52"/>
  <c r="W616" i="52" s="1"/>
  <c r="Y616" i="44"/>
  <c r="W616" i="44" s="1"/>
  <c r="Y608" i="55"/>
  <c r="W608" i="55" s="1"/>
  <c r="Y608" i="53"/>
  <c r="W608" i="53" s="1"/>
  <c r="Y608" i="52"/>
  <c r="W608" i="52" s="1"/>
  <c r="Y608" i="44"/>
  <c r="W608" i="44" s="1"/>
  <c r="Y600" i="55"/>
  <c r="W600" i="55" s="1"/>
  <c r="Y600" i="53"/>
  <c r="W600" i="53" s="1"/>
  <c r="Y600" i="52"/>
  <c r="W600" i="52" s="1"/>
  <c r="Y600" i="44"/>
  <c r="W600" i="44" s="1"/>
  <c r="Y592" i="55"/>
  <c r="W592" i="55" s="1"/>
  <c r="Y592" i="53"/>
  <c r="W592" i="53" s="1"/>
  <c r="Y592" i="52"/>
  <c r="W592" i="52" s="1"/>
  <c r="Y592" i="44"/>
  <c r="W592" i="44" s="1"/>
  <c r="Y584" i="55"/>
  <c r="W584" i="55" s="1"/>
  <c r="Y584" i="53"/>
  <c r="W584" i="53" s="1"/>
  <c r="Y584" i="52"/>
  <c r="W584" i="52" s="1"/>
  <c r="Y584" i="44"/>
  <c r="W584" i="44" s="1"/>
  <c r="Y576" i="55"/>
  <c r="W576" i="55" s="1"/>
  <c r="Y576" i="53"/>
  <c r="W576" i="53" s="1"/>
  <c r="Y576" i="52"/>
  <c r="W576" i="52" s="1"/>
  <c r="Y576" i="44"/>
  <c r="W576" i="44" s="1"/>
  <c r="Y568" i="55"/>
  <c r="W568" i="55" s="1"/>
  <c r="Y568" i="53"/>
  <c r="W568" i="53" s="1"/>
  <c r="Y568" i="52"/>
  <c r="W568" i="52" s="1"/>
  <c r="Y568" i="44"/>
  <c r="W568" i="44" s="1"/>
  <c r="Y560" i="55"/>
  <c r="W560" i="55" s="1"/>
  <c r="Y560" i="53"/>
  <c r="W560" i="53" s="1"/>
  <c r="Y560" i="52"/>
  <c r="W560" i="52" s="1"/>
  <c r="Y560" i="44"/>
  <c r="W560" i="44" s="1"/>
  <c r="Y552" i="55"/>
  <c r="W552" i="55" s="1"/>
  <c r="Y552" i="53"/>
  <c r="W552" i="53" s="1"/>
  <c r="Y552" i="52"/>
  <c r="W552" i="52" s="1"/>
  <c r="Y552" i="44"/>
  <c r="W552" i="44" s="1"/>
  <c r="Y544" i="55"/>
  <c r="W544" i="55" s="1"/>
  <c r="Y544" i="53"/>
  <c r="W544" i="53" s="1"/>
  <c r="Y544" i="52"/>
  <c r="W544" i="52" s="1"/>
  <c r="Y544" i="44"/>
  <c r="W544" i="44" s="1"/>
  <c r="Y536" i="55"/>
  <c r="W536" i="55" s="1"/>
  <c r="Y536" i="53"/>
  <c r="W536" i="53" s="1"/>
  <c r="Y536" i="52"/>
  <c r="W536" i="52" s="1"/>
  <c r="Y536" i="44"/>
  <c r="W536" i="44" s="1"/>
  <c r="Y528" i="55"/>
  <c r="W528" i="55" s="1"/>
  <c r="Y528" i="53"/>
  <c r="W528" i="53" s="1"/>
  <c r="Y528" i="52"/>
  <c r="W528" i="52" s="1"/>
  <c r="Y528" i="44"/>
  <c r="W528" i="44" s="1"/>
  <c r="Y520" i="55"/>
  <c r="W520" i="55" s="1"/>
  <c r="Y520" i="53"/>
  <c r="W520" i="53" s="1"/>
  <c r="Y520" i="52"/>
  <c r="W520" i="52" s="1"/>
  <c r="Y520" i="44"/>
  <c r="W520" i="44" s="1"/>
  <c r="Y512" i="55"/>
  <c r="W512" i="55" s="1"/>
  <c r="Y512" i="53"/>
  <c r="W512" i="53" s="1"/>
  <c r="Y512" i="52"/>
  <c r="W512" i="52" s="1"/>
  <c r="Y512" i="44"/>
  <c r="W512" i="44" s="1"/>
  <c r="Y504" i="55"/>
  <c r="W504" i="55" s="1"/>
  <c r="Y504" i="53"/>
  <c r="W504" i="53" s="1"/>
  <c r="Y504" i="52"/>
  <c r="W504" i="52" s="1"/>
  <c r="Y504" i="44"/>
  <c r="W504" i="44" s="1"/>
  <c r="Y496" i="55"/>
  <c r="W496" i="55" s="1"/>
  <c r="Y496" i="53"/>
  <c r="W496" i="53" s="1"/>
  <c r="Y496" i="52"/>
  <c r="W496" i="52" s="1"/>
  <c r="Y496" i="44"/>
  <c r="W496" i="44" s="1"/>
  <c r="Y488" i="55"/>
  <c r="W488" i="55" s="1"/>
  <c r="Y488" i="53"/>
  <c r="W488" i="53" s="1"/>
  <c r="Y488" i="52"/>
  <c r="W488" i="52" s="1"/>
  <c r="Y488" i="44"/>
  <c r="W488" i="44" s="1"/>
  <c r="Y480" i="55"/>
  <c r="W480" i="55" s="1"/>
  <c r="Y480" i="53"/>
  <c r="W480" i="53" s="1"/>
  <c r="Y480" i="52"/>
  <c r="W480" i="52" s="1"/>
  <c r="Y480" i="44"/>
  <c r="W480" i="44" s="1"/>
  <c r="Y472" i="55"/>
  <c r="W472" i="55" s="1"/>
  <c r="Y472" i="53"/>
  <c r="W472" i="53" s="1"/>
  <c r="Y472" i="52"/>
  <c r="W472" i="52" s="1"/>
  <c r="Y472" i="44"/>
  <c r="W472" i="44" s="1"/>
  <c r="Y464" i="55"/>
  <c r="W464" i="55" s="1"/>
  <c r="Y464" i="53"/>
  <c r="W464" i="53" s="1"/>
  <c r="Y464" i="52"/>
  <c r="W464" i="52" s="1"/>
  <c r="Y464" i="44"/>
  <c r="W464" i="44" s="1"/>
  <c r="Y456" i="55"/>
  <c r="W456" i="55" s="1"/>
  <c r="Y456" i="53"/>
  <c r="W456" i="53" s="1"/>
  <c r="Y456" i="52"/>
  <c r="W456" i="52" s="1"/>
  <c r="Y456" i="44"/>
  <c r="W456" i="44" s="1"/>
  <c r="Y448" i="55"/>
  <c r="W448" i="55" s="1"/>
  <c r="Y448" i="53"/>
  <c r="W448" i="53" s="1"/>
  <c r="Y448" i="52"/>
  <c r="W448" i="52" s="1"/>
  <c r="Y448" i="44"/>
  <c r="W448" i="44" s="1"/>
  <c r="Y440" i="55"/>
  <c r="W440" i="55" s="1"/>
  <c r="Y440" i="53"/>
  <c r="W440" i="53" s="1"/>
  <c r="Y440" i="52"/>
  <c r="W440" i="52" s="1"/>
  <c r="Y440" i="44"/>
  <c r="W440" i="44" s="1"/>
  <c r="Y432" i="55"/>
  <c r="W432" i="55" s="1"/>
  <c r="Y432" i="53"/>
  <c r="W432" i="53" s="1"/>
  <c r="Y432" i="52"/>
  <c r="W432" i="52" s="1"/>
  <c r="Y432" i="44"/>
  <c r="W432" i="44" s="1"/>
  <c r="Y424" i="55"/>
  <c r="W424" i="55" s="1"/>
  <c r="Y424" i="53"/>
  <c r="W424" i="53" s="1"/>
  <c r="Y424" i="52"/>
  <c r="W424" i="52" s="1"/>
  <c r="Y424" i="44"/>
  <c r="W424" i="44" s="1"/>
  <c r="Y416" i="55"/>
  <c r="W416" i="55" s="1"/>
  <c r="Y416" i="53"/>
  <c r="W416" i="53" s="1"/>
  <c r="Y416" i="52"/>
  <c r="W416" i="52" s="1"/>
  <c r="Y416" i="44"/>
  <c r="W416" i="44" s="1"/>
  <c r="Y408" i="55"/>
  <c r="W408" i="55" s="1"/>
  <c r="Y408" i="53"/>
  <c r="W408" i="53" s="1"/>
  <c r="Y408" i="52"/>
  <c r="W408" i="52" s="1"/>
  <c r="Y408" i="44"/>
  <c r="W408" i="44" s="1"/>
  <c r="Y404" i="53"/>
  <c r="W404" i="53" s="1"/>
  <c r="Y404" i="52"/>
  <c r="W404" i="52" s="1"/>
  <c r="Y404" i="55"/>
  <c r="W404" i="55" s="1"/>
  <c r="Y404" i="44"/>
  <c r="W404" i="44" s="1"/>
  <c r="Y396" i="55"/>
  <c r="W396" i="55" s="1"/>
  <c r="Y396" i="52"/>
  <c r="W396" i="52" s="1"/>
  <c r="Y396" i="53"/>
  <c r="W396" i="53" s="1"/>
  <c r="Y396" i="44"/>
  <c r="W396" i="44" s="1"/>
  <c r="Y388" i="53"/>
  <c r="W388" i="53" s="1"/>
  <c r="Y388" i="55"/>
  <c r="W388" i="55" s="1"/>
  <c r="Y388" i="52"/>
  <c r="W388" i="52" s="1"/>
  <c r="Y388" i="44"/>
  <c r="W388" i="44" s="1"/>
  <c r="Y380" i="55"/>
  <c r="W380" i="55" s="1"/>
  <c r="Y380" i="53"/>
  <c r="W380" i="53" s="1"/>
  <c r="Y380" i="52"/>
  <c r="W380" i="52" s="1"/>
  <c r="Y380" i="44"/>
  <c r="W380" i="44" s="1"/>
  <c r="Y372" i="55"/>
  <c r="W372" i="55" s="1"/>
  <c r="Y372" i="53"/>
  <c r="W372" i="53" s="1"/>
  <c r="Y372" i="52"/>
  <c r="W372" i="52" s="1"/>
  <c r="Y372" i="44"/>
  <c r="W372" i="44" s="1"/>
  <c r="Y364" i="55"/>
  <c r="W364" i="55" s="1"/>
  <c r="Y364" i="52"/>
  <c r="W364" i="52" s="1"/>
  <c r="Y364" i="44"/>
  <c r="W364" i="44" s="1"/>
  <c r="Y364" i="53"/>
  <c r="W364" i="53" s="1"/>
  <c r="Y356" i="55"/>
  <c r="W356" i="55" s="1"/>
  <c r="Y356" i="53"/>
  <c r="W356" i="53" s="1"/>
  <c r="Y356" i="52"/>
  <c r="W356" i="52" s="1"/>
  <c r="Y356" i="44"/>
  <c r="W356" i="44" s="1"/>
  <c r="Y348" i="55"/>
  <c r="W348" i="55" s="1"/>
  <c r="Y348" i="52"/>
  <c r="W348" i="52" s="1"/>
  <c r="Y348" i="53"/>
  <c r="W348" i="53" s="1"/>
  <c r="Y348" i="44"/>
  <c r="W348" i="44" s="1"/>
  <c r="Y340" i="53"/>
  <c r="W340" i="53" s="1"/>
  <c r="Y340" i="55"/>
  <c r="W340" i="55" s="1"/>
  <c r="Y340" i="52"/>
  <c r="W340" i="52" s="1"/>
  <c r="Y340" i="44"/>
  <c r="W340" i="44" s="1"/>
  <c r="Y332" i="55"/>
  <c r="W332" i="55" s="1"/>
  <c r="Y332" i="52"/>
  <c r="W332" i="52" s="1"/>
  <c r="Y332" i="53"/>
  <c r="W332" i="53" s="1"/>
  <c r="Y332" i="44"/>
  <c r="W332" i="44" s="1"/>
  <c r="Y328" i="55"/>
  <c r="W328" i="55" s="1"/>
  <c r="Y328" i="53"/>
  <c r="W328" i="53" s="1"/>
  <c r="Y328" i="52"/>
  <c r="W328" i="52" s="1"/>
  <c r="Y328" i="44"/>
  <c r="W328" i="44" s="1"/>
  <c r="Y320" i="55"/>
  <c r="W320" i="55" s="1"/>
  <c r="Y320" i="53"/>
  <c r="W320" i="53" s="1"/>
  <c r="Y320" i="52"/>
  <c r="W320" i="52" s="1"/>
  <c r="Y320" i="44"/>
  <c r="W320" i="44" s="1"/>
  <c r="Y312" i="55"/>
  <c r="W312" i="55" s="1"/>
  <c r="Y312" i="53"/>
  <c r="W312" i="53" s="1"/>
  <c r="Y312" i="52"/>
  <c r="W312" i="52" s="1"/>
  <c r="Y312" i="44"/>
  <c r="W312" i="44" s="1"/>
  <c r="Y304" i="55"/>
  <c r="W304" i="55" s="1"/>
  <c r="Y304" i="53"/>
  <c r="W304" i="53" s="1"/>
  <c r="Y304" i="52"/>
  <c r="W304" i="52" s="1"/>
  <c r="Y304" i="44"/>
  <c r="W304" i="44" s="1"/>
  <c r="Y296" i="55"/>
  <c r="W296" i="55" s="1"/>
  <c r="Y296" i="53"/>
  <c r="W296" i="53" s="1"/>
  <c r="Y296" i="52"/>
  <c r="W296" i="52" s="1"/>
  <c r="Y296" i="44"/>
  <c r="W296" i="44" s="1"/>
  <c r="Y288" i="55"/>
  <c r="W288" i="55" s="1"/>
  <c r="Y288" i="53"/>
  <c r="W288" i="53" s="1"/>
  <c r="Y288" i="52"/>
  <c r="W288" i="52" s="1"/>
  <c r="Y288" i="44"/>
  <c r="W288" i="44" s="1"/>
  <c r="Y280" i="55"/>
  <c r="W280" i="55" s="1"/>
  <c r="Y280" i="53"/>
  <c r="W280" i="53" s="1"/>
  <c r="Y280" i="52"/>
  <c r="W280" i="52" s="1"/>
  <c r="Y280" i="44"/>
  <c r="W280" i="44" s="1"/>
  <c r="Y268" i="55"/>
  <c r="W268" i="55" s="1"/>
  <c r="Y268" i="52"/>
  <c r="W268" i="52" s="1"/>
  <c r="Y268" i="53"/>
  <c r="W268" i="53" s="1"/>
  <c r="Y268" i="44"/>
  <c r="W268" i="44" s="1"/>
  <c r="Y260" i="53"/>
  <c r="W260" i="53" s="1"/>
  <c r="Y260" i="55"/>
  <c r="W260" i="55" s="1"/>
  <c r="Y260" i="52"/>
  <c r="W260" i="52" s="1"/>
  <c r="Y260" i="44"/>
  <c r="W260" i="44" s="1"/>
  <c r="Y252" i="55"/>
  <c r="W252" i="55" s="1"/>
  <c r="Y252" i="53"/>
  <c r="W252" i="53" s="1"/>
  <c r="Y252" i="52"/>
  <c r="W252" i="52" s="1"/>
  <c r="Y252" i="44"/>
  <c r="W252" i="44" s="1"/>
  <c r="Y244" i="55"/>
  <c r="W244" i="55" s="1"/>
  <c r="Y244" i="53"/>
  <c r="W244" i="53" s="1"/>
  <c r="Y244" i="52"/>
  <c r="W244" i="52" s="1"/>
  <c r="Y244" i="44"/>
  <c r="W244" i="44" s="1"/>
  <c r="Y236" i="55"/>
  <c r="W236" i="55" s="1"/>
  <c r="Y236" i="52"/>
  <c r="W236" i="52" s="1"/>
  <c r="Y236" i="53"/>
  <c r="W236" i="53" s="1"/>
  <c r="Y236" i="44"/>
  <c r="W236" i="44" s="1"/>
  <c r="Y232" i="55"/>
  <c r="W232" i="55" s="1"/>
  <c r="Y232" i="53"/>
  <c r="W232" i="53" s="1"/>
  <c r="Y232" i="52"/>
  <c r="W232" i="52" s="1"/>
  <c r="Y232" i="44"/>
  <c r="W232" i="44" s="1"/>
  <c r="Y224" i="55"/>
  <c r="W224" i="55" s="1"/>
  <c r="Y224" i="53"/>
  <c r="W224" i="53" s="1"/>
  <c r="Y224" i="52"/>
  <c r="W224" i="52" s="1"/>
  <c r="Y224" i="44"/>
  <c r="W224" i="44" s="1"/>
  <c r="Y216" i="55"/>
  <c r="W216" i="55" s="1"/>
  <c r="Y216" i="53"/>
  <c r="W216" i="53" s="1"/>
  <c r="Y216" i="52"/>
  <c r="W216" i="52" s="1"/>
  <c r="Y216" i="44"/>
  <c r="W216" i="44" s="1"/>
  <c r="Y208" i="55"/>
  <c r="W208" i="55" s="1"/>
  <c r="Y208" i="53"/>
  <c r="W208" i="53" s="1"/>
  <c r="Y208" i="52"/>
  <c r="W208" i="52" s="1"/>
  <c r="Y208" i="44"/>
  <c r="W208" i="44" s="1"/>
  <c r="Y200" i="55"/>
  <c r="W200" i="55" s="1"/>
  <c r="Y200" i="53"/>
  <c r="W200" i="53" s="1"/>
  <c r="Y200" i="52"/>
  <c r="W200" i="52" s="1"/>
  <c r="Y200" i="44"/>
  <c r="W200" i="44" s="1"/>
  <c r="Y192" i="55"/>
  <c r="W192" i="55" s="1"/>
  <c r="Y192" i="53"/>
  <c r="W192" i="53" s="1"/>
  <c r="Y192" i="52"/>
  <c r="W192" i="52" s="1"/>
  <c r="Y192" i="44"/>
  <c r="W192" i="44" s="1"/>
  <c r="Y184" i="55"/>
  <c r="W184" i="55" s="1"/>
  <c r="Y184" i="53"/>
  <c r="W184" i="53" s="1"/>
  <c r="Y184" i="52"/>
  <c r="W184" i="52" s="1"/>
  <c r="Y184" i="44"/>
  <c r="W184" i="44" s="1"/>
  <c r="Y176" i="55"/>
  <c r="W176" i="55" s="1"/>
  <c r="Y176" i="53"/>
  <c r="W176" i="53" s="1"/>
  <c r="Y176" i="52"/>
  <c r="W176" i="52" s="1"/>
  <c r="Y176" i="44"/>
  <c r="W176" i="44" s="1"/>
  <c r="Y168" i="55"/>
  <c r="W168" i="55" s="1"/>
  <c r="Y168" i="53"/>
  <c r="W168" i="53" s="1"/>
  <c r="Y168" i="52"/>
  <c r="W168" i="52" s="1"/>
  <c r="Y168" i="44"/>
  <c r="W168" i="44" s="1"/>
  <c r="Y160" i="55"/>
  <c r="W160" i="55" s="1"/>
  <c r="Y160" i="53"/>
  <c r="W160" i="53" s="1"/>
  <c r="Y160" i="52"/>
  <c r="W160" i="52" s="1"/>
  <c r="Y160" i="44"/>
  <c r="W160" i="44" s="1"/>
  <c r="Y152" i="55"/>
  <c r="W152" i="55" s="1"/>
  <c r="Y152" i="53"/>
  <c r="W152" i="53" s="1"/>
  <c r="Y152" i="52"/>
  <c r="W152" i="52" s="1"/>
  <c r="Y152" i="44"/>
  <c r="W152" i="44" s="1"/>
  <c r="Y144" i="55"/>
  <c r="W144" i="55" s="1"/>
  <c r="Y144" i="53"/>
  <c r="W144" i="53" s="1"/>
  <c r="Y144" i="52"/>
  <c r="W144" i="52" s="1"/>
  <c r="Y144" i="44"/>
  <c r="W144" i="44" s="1"/>
  <c r="Y136" i="55"/>
  <c r="W136" i="55" s="1"/>
  <c r="Y136" i="53"/>
  <c r="W136" i="53" s="1"/>
  <c r="Y136" i="52"/>
  <c r="W136" i="52" s="1"/>
  <c r="Y136" i="44"/>
  <c r="W136" i="44" s="1"/>
  <c r="Y128" i="55"/>
  <c r="W128" i="55" s="1"/>
  <c r="Y128" i="53"/>
  <c r="W128" i="53" s="1"/>
  <c r="Y128" i="52"/>
  <c r="W128" i="52" s="1"/>
  <c r="Y128" i="44"/>
  <c r="W128" i="44" s="1"/>
  <c r="Y120" i="55"/>
  <c r="W120" i="55" s="1"/>
  <c r="Y120" i="53"/>
  <c r="W120" i="53" s="1"/>
  <c r="Y120" i="52"/>
  <c r="W120" i="52" s="1"/>
  <c r="Y120" i="44"/>
  <c r="W120" i="44" s="1"/>
  <c r="Y112" i="55"/>
  <c r="W112" i="55" s="1"/>
  <c r="Y112" i="53"/>
  <c r="W112" i="53" s="1"/>
  <c r="Y112" i="52"/>
  <c r="W112" i="52" s="1"/>
  <c r="Y112" i="44"/>
  <c r="W112" i="44" s="1"/>
  <c r="Y104" i="55"/>
  <c r="W104" i="55" s="1"/>
  <c r="Y104" i="53"/>
  <c r="W104" i="53" s="1"/>
  <c r="Y104" i="52"/>
  <c r="W104" i="52" s="1"/>
  <c r="Y104" i="44"/>
  <c r="W104" i="44" s="1"/>
  <c r="Y96" i="55"/>
  <c r="W96" i="55" s="1"/>
  <c r="Y96" i="53"/>
  <c r="W96" i="53" s="1"/>
  <c r="Y96" i="52"/>
  <c r="W96" i="52" s="1"/>
  <c r="Y96" i="44"/>
  <c r="W96" i="44" s="1"/>
  <c r="Y88" i="55"/>
  <c r="W88" i="55" s="1"/>
  <c r="Y88" i="53"/>
  <c r="W88" i="53" s="1"/>
  <c r="Y88" i="52"/>
  <c r="W88" i="52" s="1"/>
  <c r="Y88" i="44"/>
  <c r="W88" i="44" s="1"/>
  <c r="Y80" i="55"/>
  <c r="W80" i="55" s="1"/>
  <c r="Y80" i="53"/>
  <c r="W80" i="53" s="1"/>
  <c r="Y80" i="52"/>
  <c r="W80" i="52" s="1"/>
  <c r="Y80" i="44"/>
  <c r="W80" i="44" s="1"/>
  <c r="Y72" i="55"/>
  <c r="W72" i="55" s="1"/>
  <c r="Y72" i="53"/>
  <c r="W72" i="53" s="1"/>
  <c r="Y72" i="52"/>
  <c r="W72" i="52" s="1"/>
  <c r="Y72" i="44"/>
  <c r="W72" i="44" s="1"/>
  <c r="Y64" i="55"/>
  <c r="W64" i="55" s="1"/>
  <c r="Y64" i="53"/>
  <c r="W64" i="53" s="1"/>
  <c r="Y64" i="52"/>
  <c r="W64" i="52" s="1"/>
  <c r="Y64" i="44"/>
  <c r="W64" i="44" s="1"/>
  <c r="Y48" i="55"/>
  <c r="W48" i="55" s="1"/>
  <c r="Y48" i="53"/>
  <c r="W48" i="53" s="1"/>
  <c r="Y48" i="52"/>
  <c r="W48" i="52" s="1"/>
  <c r="Y48" i="44"/>
  <c r="W48" i="44" s="1"/>
  <c r="Y28" i="55"/>
  <c r="W28" i="55" s="1"/>
  <c r="Y28" i="53"/>
  <c r="W28" i="53" s="1"/>
  <c r="Y28" i="52"/>
  <c r="W28" i="52" s="1"/>
  <c r="Y28" i="44"/>
  <c r="W28" i="44" s="1"/>
  <c r="Y1176" i="54"/>
  <c r="W1176" i="54" s="1"/>
  <c r="Y1176" i="53"/>
  <c r="W1176" i="53" s="1"/>
  <c r="Y1176" i="52"/>
  <c r="W1176" i="52" s="1"/>
  <c r="Y1164" i="54"/>
  <c r="W1164" i="54" s="1"/>
  <c r="Y1164" i="53"/>
  <c r="W1164" i="53" s="1"/>
  <c r="Y1164" i="52"/>
  <c r="W1164" i="52" s="1"/>
  <c r="Y1148" i="54"/>
  <c r="W1148" i="54" s="1"/>
  <c r="Y1148" i="53"/>
  <c r="W1148" i="53" s="1"/>
  <c r="Y1148" i="52"/>
  <c r="W1148" i="52" s="1"/>
  <c r="Y1136" i="53"/>
  <c r="W1136" i="53" s="1"/>
  <c r="Y1136" i="54"/>
  <c r="W1136" i="54" s="1"/>
  <c r="Y1136" i="52"/>
  <c r="W1136" i="52" s="1"/>
  <c r="Y1128" i="54"/>
  <c r="W1128" i="54" s="1"/>
  <c r="Y1128" i="53"/>
  <c r="W1128" i="53" s="1"/>
  <c r="Y1128" i="52"/>
  <c r="W1128" i="52" s="1"/>
  <c r="Y1116" i="54"/>
  <c r="W1116" i="54" s="1"/>
  <c r="Y1116" i="53"/>
  <c r="W1116" i="53" s="1"/>
  <c r="Y1116" i="52"/>
  <c r="W1116" i="52" s="1"/>
  <c r="Y1104" i="53"/>
  <c r="W1104" i="53" s="1"/>
  <c r="Y1104" i="54"/>
  <c r="W1104" i="54" s="1"/>
  <c r="Y1104" i="52"/>
  <c r="W1104" i="52" s="1"/>
  <c r="Y1092" i="54"/>
  <c r="W1092" i="54" s="1"/>
  <c r="Y1092" i="53"/>
  <c r="W1092" i="53" s="1"/>
  <c r="Y1092" i="52"/>
  <c r="W1092" i="52" s="1"/>
  <c r="Y1080" i="54"/>
  <c r="W1080" i="54" s="1"/>
  <c r="Y1080" i="53"/>
  <c r="W1080" i="53" s="1"/>
  <c r="Y1080" i="52"/>
  <c r="W1080" i="52" s="1"/>
  <c r="Y1068" i="54"/>
  <c r="W1068" i="54" s="1"/>
  <c r="Y1068" i="53"/>
  <c r="W1068" i="53" s="1"/>
  <c r="Y1068" i="52"/>
  <c r="W1068" i="52" s="1"/>
  <c r="Y1052" i="54"/>
  <c r="W1052" i="54" s="1"/>
  <c r="Y1052" i="53"/>
  <c r="W1052" i="53" s="1"/>
  <c r="Y1052" i="52"/>
  <c r="W1052" i="52" s="1"/>
  <c r="Y1040" i="55"/>
  <c r="W1040" i="55" s="1"/>
  <c r="Y1040" i="53"/>
  <c r="W1040" i="53" s="1"/>
  <c r="Y1040" i="54"/>
  <c r="W1040" i="54" s="1"/>
  <c r="Y1040" i="52"/>
  <c r="W1040" i="52" s="1"/>
  <c r="Y1028" i="54"/>
  <c r="W1028" i="54" s="1"/>
  <c r="Y1028" i="53"/>
  <c r="W1028" i="53" s="1"/>
  <c r="Y1028" i="55"/>
  <c r="W1028" i="55" s="1"/>
  <c r="Y1028" i="52"/>
  <c r="W1028" i="52" s="1"/>
  <c r="Y1012" i="55"/>
  <c r="W1012" i="55" s="1"/>
  <c r="Y1012" i="53"/>
  <c r="W1012" i="53" s="1"/>
  <c r="Y1012" i="54"/>
  <c r="W1012" i="54" s="1"/>
  <c r="Y1012" i="52"/>
  <c r="W1012" i="52" s="1"/>
  <c r="Y1000" i="54"/>
  <c r="W1000" i="54" s="1"/>
  <c r="Y1000" i="55"/>
  <c r="W1000" i="55" s="1"/>
  <c r="Y1000" i="53"/>
  <c r="W1000" i="53" s="1"/>
  <c r="Y1000" i="52"/>
  <c r="W1000" i="52" s="1"/>
  <c r="Y988" i="54"/>
  <c r="W988" i="54" s="1"/>
  <c r="Y988" i="55"/>
  <c r="W988" i="55" s="1"/>
  <c r="Y988" i="53"/>
  <c r="W988" i="53" s="1"/>
  <c r="Y988" i="52"/>
  <c r="W988" i="52" s="1"/>
  <c r="Y976" i="55"/>
  <c r="W976" i="55" s="1"/>
  <c r="Y976" i="53"/>
  <c r="W976" i="53" s="1"/>
  <c r="Y976" i="54"/>
  <c r="W976" i="54" s="1"/>
  <c r="Y976" i="52"/>
  <c r="W976" i="52" s="1"/>
  <c r="Y960" i="55"/>
  <c r="W960" i="55" s="1"/>
  <c r="Y960" i="54"/>
  <c r="W960" i="54" s="1"/>
  <c r="Y960" i="53"/>
  <c r="W960" i="53" s="1"/>
  <c r="Y960" i="52"/>
  <c r="W960" i="52" s="1"/>
  <c r="Y948" i="55"/>
  <c r="W948" i="55" s="1"/>
  <c r="Y948" i="53"/>
  <c r="W948" i="53" s="1"/>
  <c r="Y948" i="54"/>
  <c r="W948" i="54" s="1"/>
  <c r="Y948" i="52"/>
  <c r="W948" i="52" s="1"/>
  <c r="Y936" i="54"/>
  <c r="W936" i="54" s="1"/>
  <c r="Y936" i="55"/>
  <c r="W936" i="55" s="1"/>
  <c r="Y936" i="53"/>
  <c r="W936" i="53" s="1"/>
  <c r="Y936" i="52"/>
  <c r="W936" i="52" s="1"/>
  <c r="Y924" i="54"/>
  <c r="W924" i="54" s="1"/>
  <c r="Y924" i="55"/>
  <c r="W924" i="55" s="1"/>
  <c r="Y924" i="53"/>
  <c r="W924" i="53" s="1"/>
  <c r="Y924" i="52"/>
  <c r="W924" i="52" s="1"/>
  <c r="Y908" i="55"/>
  <c r="W908" i="55" s="1"/>
  <c r="Y908" i="53"/>
  <c r="W908" i="53" s="1"/>
  <c r="Y908" i="52"/>
  <c r="W908" i="52" s="1"/>
  <c r="Y892" i="55"/>
  <c r="W892" i="55" s="1"/>
  <c r="Y892" i="53"/>
  <c r="W892" i="53" s="1"/>
  <c r="Y892" i="52"/>
  <c r="W892" i="52" s="1"/>
  <c r="Y880" i="55"/>
  <c r="W880" i="55" s="1"/>
  <c r="Y880" i="53"/>
  <c r="W880" i="53" s="1"/>
  <c r="Y880" i="52"/>
  <c r="W880" i="52" s="1"/>
  <c r="Y868" i="55"/>
  <c r="W868" i="55" s="1"/>
  <c r="Y868" i="53"/>
  <c r="W868" i="53" s="1"/>
  <c r="Y868" i="52"/>
  <c r="W868" i="52" s="1"/>
  <c r="Y856" i="55"/>
  <c r="W856" i="55" s="1"/>
  <c r="Y856" i="53"/>
  <c r="W856" i="53" s="1"/>
  <c r="Y856" i="52"/>
  <c r="W856" i="52" s="1"/>
  <c r="Y844" i="55"/>
  <c r="W844" i="55" s="1"/>
  <c r="Y844" i="53"/>
  <c r="W844" i="53" s="1"/>
  <c r="Y844" i="52"/>
  <c r="W844" i="52" s="1"/>
  <c r="Y836" i="53"/>
  <c r="W836" i="53" s="1"/>
  <c r="Y836" i="55"/>
  <c r="W836" i="55" s="1"/>
  <c r="Y836" i="52"/>
  <c r="W836" i="52" s="1"/>
  <c r="Y828" i="55"/>
  <c r="W828" i="55" s="1"/>
  <c r="Y828" i="53"/>
  <c r="W828" i="53" s="1"/>
  <c r="Y828" i="52"/>
  <c r="W828" i="52" s="1"/>
  <c r="Y820" i="55"/>
  <c r="W820" i="55" s="1"/>
  <c r="Y820" i="53"/>
  <c r="W820" i="53" s="1"/>
  <c r="Y820" i="52"/>
  <c r="W820" i="52" s="1"/>
  <c r="Y812" i="55"/>
  <c r="W812" i="55" s="1"/>
  <c r="Y812" i="53"/>
  <c r="W812" i="53" s="1"/>
  <c r="Y812" i="52"/>
  <c r="W812" i="52" s="1"/>
  <c r="Y804" i="55"/>
  <c r="W804" i="55" s="1"/>
  <c r="Y804" i="53"/>
  <c r="W804" i="53" s="1"/>
  <c r="Y804" i="52"/>
  <c r="W804" i="52" s="1"/>
  <c r="Y792" i="55"/>
  <c r="W792" i="55" s="1"/>
  <c r="Y792" i="53"/>
  <c r="W792" i="53" s="1"/>
  <c r="Y792" i="52"/>
  <c r="W792" i="52" s="1"/>
  <c r="Y792" i="44"/>
  <c r="W792" i="44" s="1"/>
  <c r="Y780" i="55"/>
  <c r="W780" i="55" s="1"/>
  <c r="Y780" i="53"/>
  <c r="W780" i="53" s="1"/>
  <c r="Y780" i="52"/>
  <c r="W780" i="52" s="1"/>
  <c r="Y780" i="44"/>
  <c r="W780" i="44" s="1"/>
  <c r="Y772" i="53"/>
  <c r="W772" i="53" s="1"/>
  <c r="Y772" i="55"/>
  <c r="W772" i="55" s="1"/>
  <c r="Y772" i="52"/>
  <c r="W772" i="52" s="1"/>
  <c r="Y772" i="44"/>
  <c r="W772" i="44" s="1"/>
  <c r="Y764" i="55"/>
  <c r="W764" i="55" s="1"/>
  <c r="Y764" i="53"/>
  <c r="W764" i="53" s="1"/>
  <c r="Y764" i="52"/>
  <c r="W764" i="52" s="1"/>
  <c r="Y764" i="44"/>
  <c r="W764" i="44" s="1"/>
  <c r="Y756" i="55"/>
  <c r="W756" i="55" s="1"/>
  <c r="Y756" i="53"/>
  <c r="W756" i="53" s="1"/>
  <c r="Y756" i="52"/>
  <c r="W756" i="52" s="1"/>
  <c r="Y756" i="44"/>
  <c r="W756" i="44" s="1"/>
  <c r="Y748" i="55"/>
  <c r="W748" i="55" s="1"/>
  <c r="Y748" i="53"/>
  <c r="W748" i="53" s="1"/>
  <c r="Y748" i="52"/>
  <c r="W748" i="52" s="1"/>
  <c r="Y748" i="44"/>
  <c r="W748" i="44" s="1"/>
  <c r="Y740" i="55"/>
  <c r="W740" i="55" s="1"/>
  <c r="Y740" i="53"/>
  <c r="W740" i="53" s="1"/>
  <c r="Y740" i="52"/>
  <c r="W740" i="52" s="1"/>
  <c r="Y740" i="44"/>
  <c r="W740" i="44" s="1"/>
  <c r="Y732" i="55"/>
  <c r="W732" i="55" s="1"/>
  <c r="Y732" i="53"/>
  <c r="W732" i="53" s="1"/>
  <c r="Y732" i="52"/>
  <c r="W732" i="52" s="1"/>
  <c r="Y732" i="44"/>
  <c r="W732" i="44" s="1"/>
  <c r="Y724" i="53"/>
  <c r="W724" i="53" s="1"/>
  <c r="Y724" i="55"/>
  <c r="W724" i="55" s="1"/>
  <c r="Y724" i="52"/>
  <c r="W724" i="52" s="1"/>
  <c r="Y724" i="44"/>
  <c r="W724" i="44" s="1"/>
  <c r="Y716" i="55"/>
  <c r="W716" i="55" s="1"/>
  <c r="Y716" i="53"/>
  <c r="W716" i="53" s="1"/>
  <c r="Y716" i="52"/>
  <c r="W716" i="52" s="1"/>
  <c r="Y716" i="44"/>
  <c r="W716" i="44" s="1"/>
  <c r="Y708" i="53"/>
  <c r="W708" i="53" s="1"/>
  <c r="Y708" i="55"/>
  <c r="W708" i="55" s="1"/>
  <c r="Y708" i="52"/>
  <c r="W708" i="52" s="1"/>
  <c r="Y708" i="44"/>
  <c r="W708" i="44" s="1"/>
  <c r="Y700" i="55"/>
  <c r="W700" i="55" s="1"/>
  <c r="Y700" i="53"/>
  <c r="W700" i="53" s="1"/>
  <c r="Y700" i="52"/>
  <c r="W700" i="52" s="1"/>
  <c r="Y700" i="44"/>
  <c r="W700" i="44" s="1"/>
  <c r="Y692" i="55"/>
  <c r="W692" i="55" s="1"/>
  <c r="Y692" i="53"/>
  <c r="W692" i="53" s="1"/>
  <c r="Y692" i="52"/>
  <c r="W692" i="52" s="1"/>
  <c r="Y692" i="44"/>
  <c r="W692" i="44" s="1"/>
  <c r="Y684" i="55"/>
  <c r="W684" i="55" s="1"/>
  <c r="Y684" i="52"/>
  <c r="W684" i="52" s="1"/>
  <c r="Y684" i="44"/>
  <c r="W684" i="44" s="1"/>
  <c r="Y676" i="55"/>
  <c r="W676" i="55" s="1"/>
  <c r="Y676" i="53"/>
  <c r="W676" i="53" s="1"/>
  <c r="Y676" i="52"/>
  <c r="W676" i="52" s="1"/>
  <c r="Y676" i="44"/>
  <c r="W676" i="44" s="1"/>
  <c r="Y668" i="55"/>
  <c r="W668" i="55" s="1"/>
  <c r="Y668" i="53"/>
  <c r="W668" i="53" s="1"/>
  <c r="Y668" i="52"/>
  <c r="W668" i="52" s="1"/>
  <c r="Y668" i="44"/>
  <c r="W668" i="44" s="1"/>
  <c r="Y660" i="53"/>
  <c r="W660" i="53" s="1"/>
  <c r="Y660" i="55"/>
  <c r="W660" i="55" s="1"/>
  <c r="Y660" i="52"/>
  <c r="W660" i="52" s="1"/>
  <c r="Y660" i="44"/>
  <c r="W660" i="44" s="1"/>
  <c r="Y652" i="55"/>
  <c r="W652" i="55" s="1"/>
  <c r="Y652" i="53"/>
  <c r="W652" i="53" s="1"/>
  <c r="Y652" i="52"/>
  <c r="W652" i="52" s="1"/>
  <c r="Y652" i="44"/>
  <c r="W652" i="44" s="1"/>
  <c r="Y644" i="53"/>
  <c r="W644" i="53" s="1"/>
  <c r="Y644" i="55"/>
  <c r="W644" i="55" s="1"/>
  <c r="Y644" i="52"/>
  <c r="W644" i="52" s="1"/>
  <c r="Y644" i="44"/>
  <c r="W644" i="44" s="1"/>
  <c r="Y636" i="55"/>
  <c r="W636" i="55" s="1"/>
  <c r="Y636" i="53"/>
  <c r="W636" i="53" s="1"/>
  <c r="Y636" i="52"/>
  <c r="W636" i="52" s="1"/>
  <c r="Y636" i="44"/>
  <c r="W636" i="44" s="1"/>
  <c r="Y628" i="55"/>
  <c r="W628" i="55" s="1"/>
  <c r="Y628" i="53"/>
  <c r="W628" i="53" s="1"/>
  <c r="Y628" i="52"/>
  <c r="W628" i="52" s="1"/>
  <c r="Y628" i="44"/>
  <c r="W628" i="44" s="1"/>
  <c r="Y620" i="55"/>
  <c r="W620" i="55" s="1"/>
  <c r="Y620" i="52"/>
  <c r="W620" i="52" s="1"/>
  <c r="Y620" i="44"/>
  <c r="W620" i="44" s="1"/>
  <c r="Y620" i="53"/>
  <c r="W620" i="53" s="1"/>
  <c r="Y612" i="55"/>
  <c r="W612" i="55" s="1"/>
  <c r="Y612" i="53"/>
  <c r="W612" i="53" s="1"/>
  <c r="Y612" i="52"/>
  <c r="W612" i="52" s="1"/>
  <c r="Y612" i="44"/>
  <c r="W612" i="44" s="1"/>
  <c r="Y604" i="55"/>
  <c r="W604" i="55" s="1"/>
  <c r="Y604" i="52"/>
  <c r="W604" i="52" s="1"/>
  <c r="Y604" i="53"/>
  <c r="W604" i="53" s="1"/>
  <c r="Y604" i="44"/>
  <c r="W604" i="44" s="1"/>
  <c r="Y596" i="53"/>
  <c r="W596" i="53" s="1"/>
  <c r="Y596" i="55"/>
  <c r="W596" i="55" s="1"/>
  <c r="Y596" i="52"/>
  <c r="W596" i="52" s="1"/>
  <c r="Y596" i="44"/>
  <c r="W596" i="44" s="1"/>
  <c r="Y588" i="55"/>
  <c r="W588" i="55" s="1"/>
  <c r="Y588" i="52"/>
  <c r="W588" i="52" s="1"/>
  <c r="Y588" i="53"/>
  <c r="W588" i="53" s="1"/>
  <c r="Y588" i="44"/>
  <c r="W588" i="44" s="1"/>
  <c r="Y580" i="53"/>
  <c r="W580" i="53" s="1"/>
  <c r="Y580" i="55"/>
  <c r="W580" i="55" s="1"/>
  <c r="Y580" i="52"/>
  <c r="W580" i="52" s="1"/>
  <c r="Y580" i="44"/>
  <c r="W580" i="44" s="1"/>
  <c r="Y572" i="55"/>
  <c r="W572" i="55" s="1"/>
  <c r="Y572" i="53"/>
  <c r="W572" i="53" s="1"/>
  <c r="Y572" i="52"/>
  <c r="W572" i="52" s="1"/>
  <c r="Y572" i="44"/>
  <c r="W572" i="44" s="1"/>
  <c r="Y564" i="55"/>
  <c r="W564" i="55" s="1"/>
  <c r="Y564" i="53"/>
  <c r="W564" i="53" s="1"/>
  <c r="Y564" i="52"/>
  <c r="W564" i="52" s="1"/>
  <c r="Y564" i="44"/>
  <c r="W564" i="44" s="1"/>
  <c r="Y556" i="55"/>
  <c r="W556" i="55" s="1"/>
  <c r="Y556" i="52"/>
  <c r="W556" i="52" s="1"/>
  <c r="Y556" i="44"/>
  <c r="W556" i="44" s="1"/>
  <c r="Y556" i="53"/>
  <c r="W556" i="53" s="1"/>
  <c r="Y548" i="55"/>
  <c r="W548" i="55" s="1"/>
  <c r="Y548" i="53"/>
  <c r="W548" i="53" s="1"/>
  <c r="Y548" i="52"/>
  <c r="W548" i="52" s="1"/>
  <c r="Y548" i="44"/>
  <c r="W548" i="44" s="1"/>
  <c r="Y540" i="55"/>
  <c r="W540" i="55" s="1"/>
  <c r="Y540" i="52"/>
  <c r="W540" i="52" s="1"/>
  <c r="Y540" i="53"/>
  <c r="W540" i="53" s="1"/>
  <c r="Y540" i="44"/>
  <c r="W540" i="44" s="1"/>
  <c r="Y532" i="53"/>
  <c r="W532" i="53" s="1"/>
  <c r="Y532" i="52"/>
  <c r="W532" i="52" s="1"/>
  <c r="Y532" i="44"/>
  <c r="W532" i="44" s="1"/>
  <c r="Y532" i="55"/>
  <c r="W532" i="55" s="1"/>
  <c r="Y524" i="55"/>
  <c r="W524" i="55" s="1"/>
  <c r="Y524" i="52"/>
  <c r="W524" i="52" s="1"/>
  <c r="Y524" i="53"/>
  <c r="W524" i="53" s="1"/>
  <c r="Y524" i="44"/>
  <c r="W524" i="44" s="1"/>
  <c r="Y516" i="53"/>
  <c r="W516" i="53" s="1"/>
  <c r="Y516" i="55"/>
  <c r="W516" i="55" s="1"/>
  <c r="Y516" i="52"/>
  <c r="W516" i="52" s="1"/>
  <c r="Y516" i="44"/>
  <c r="W516" i="44" s="1"/>
  <c r="Y508" i="55"/>
  <c r="W508" i="55" s="1"/>
  <c r="Y508" i="53"/>
  <c r="W508" i="53" s="1"/>
  <c r="Y508" i="52"/>
  <c r="W508" i="52" s="1"/>
  <c r="Y508" i="44"/>
  <c r="W508" i="44" s="1"/>
  <c r="Y500" i="55"/>
  <c r="W500" i="55" s="1"/>
  <c r="Y500" i="53"/>
  <c r="W500" i="53" s="1"/>
  <c r="Y500" i="52"/>
  <c r="W500" i="52" s="1"/>
  <c r="Y500" i="44"/>
  <c r="W500" i="44" s="1"/>
  <c r="Y492" i="55"/>
  <c r="W492" i="55" s="1"/>
  <c r="Y492" i="52"/>
  <c r="W492" i="52" s="1"/>
  <c r="Y492" i="53"/>
  <c r="W492" i="53" s="1"/>
  <c r="Y492" i="44"/>
  <c r="W492" i="44" s="1"/>
  <c r="Y484" i="55"/>
  <c r="W484" i="55" s="1"/>
  <c r="Y484" i="53"/>
  <c r="W484" i="53" s="1"/>
  <c r="Y484" i="52"/>
  <c r="W484" i="52" s="1"/>
  <c r="Y484" i="44"/>
  <c r="W484" i="44" s="1"/>
  <c r="Y476" i="55"/>
  <c r="W476" i="55" s="1"/>
  <c r="Y476" i="52"/>
  <c r="W476" i="52" s="1"/>
  <c r="Y476" i="53"/>
  <c r="W476" i="53" s="1"/>
  <c r="Y476" i="44"/>
  <c r="W476" i="44" s="1"/>
  <c r="Y468" i="53"/>
  <c r="W468" i="53" s="1"/>
  <c r="Y468" i="52"/>
  <c r="W468" i="52" s="1"/>
  <c r="Y468" i="55"/>
  <c r="W468" i="55" s="1"/>
  <c r="Y468" i="44"/>
  <c r="W468" i="44" s="1"/>
  <c r="Y460" i="55"/>
  <c r="W460" i="55" s="1"/>
  <c r="Y460" i="52"/>
  <c r="W460" i="52" s="1"/>
  <c r="Y460" i="53"/>
  <c r="W460" i="53" s="1"/>
  <c r="Y460" i="44"/>
  <c r="W460" i="44" s="1"/>
  <c r="Y452" i="53"/>
  <c r="W452" i="53" s="1"/>
  <c r="Y452" i="55"/>
  <c r="W452" i="55" s="1"/>
  <c r="Y452" i="52"/>
  <c r="W452" i="52" s="1"/>
  <c r="Y452" i="44"/>
  <c r="W452" i="44" s="1"/>
  <c r="Y444" i="55"/>
  <c r="W444" i="55" s="1"/>
  <c r="Y444" i="53"/>
  <c r="W444" i="53" s="1"/>
  <c r="Y444" i="52"/>
  <c r="W444" i="52" s="1"/>
  <c r="Y444" i="44"/>
  <c r="W444" i="44" s="1"/>
  <c r="Y436" i="55"/>
  <c r="W436" i="55" s="1"/>
  <c r="Y436" i="53"/>
  <c r="W436" i="53" s="1"/>
  <c r="Y436" i="52"/>
  <c r="W436" i="52" s="1"/>
  <c r="Y436" i="44"/>
  <c r="W436" i="44" s="1"/>
  <c r="Y428" i="55"/>
  <c r="W428" i="55" s="1"/>
  <c r="Y428" i="52"/>
  <c r="W428" i="52" s="1"/>
  <c r="Y428" i="44"/>
  <c r="W428" i="44" s="1"/>
  <c r="Y420" i="55"/>
  <c r="W420" i="55" s="1"/>
  <c r="Y420" i="53"/>
  <c r="W420" i="53" s="1"/>
  <c r="Y420" i="52"/>
  <c r="W420" i="52" s="1"/>
  <c r="Y420" i="44"/>
  <c r="W420" i="44" s="1"/>
  <c r="Y412" i="55"/>
  <c r="W412" i="55" s="1"/>
  <c r="Y412" i="52"/>
  <c r="W412" i="52" s="1"/>
  <c r="Y412" i="53"/>
  <c r="W412" i="53" s="1"/>
  <c r="Y412" i="44"/>
  <c r="W412" i="44" s="1"/>
  <c r="Y400" i="55"/>
  <c r="W400" i="55" s="1"/>
  <c r="Y400" i="53"/>
  <c r="W400" i="53" s="1"/>
  <c r="Y400" i="52"/>
  <c r="W400" i="52" s="1"/>
  <c r="Y400" i="44"/>
  <c r="W400" i="44" s="1"/>
  <c r="Y392" i="55"/>
  <c r="W392" i="55" s="1"/>
  <c r="Y392" i="53"/>
  <c r="W392" i="53" s="1"/>
  <c r="Y392" i="52"/>
  <c r="W392" i="52" s="1"/>
  <c r="Y392" i="44"/>
  <c r="W392" i="44" s="1"/>
  <c r="Y384" i="55"/>
  <c r="W384" i="55" s="1"/>
  <c r="Y384" i="53"/>
  <c r="W384" i="53" s="1"/>
  <c r="Y384" i="52"/>
  <c r="W384" i="52" s="1"/>
  <c r="Y384" i="44"/>
  <c r="W384" i="44" s="1"/>
  <c r="Y376" i="55"/>
  <c r="W376" i="55" s="1"/>
  <c r="Y376" i="53"/>
  <c r="W376" i="53" s="1"/>
  <c r="Y376" i="52"/>
  <c r="W376" i="52" s="1"/>
  <c r="Y376" i="44"/>
  <c r="W376" i="44" s="1"/>
  <c r="Y368" i="55"/>
  <c r="W368" i="55" s="1"/>
  <c r="Y368" i="53"/>
  <c r="W368" i="53" s="1"/>
  <c r="Y368" i="52"/>
  <c r="W368" i="52" s="1"/>
  <c r="Y368" i="44"/>
  <c r="W368" i="44" s="1"/>
  <c r="Y360" i="55"/>
  <c r="W360" i="55" s="1"/>
  <c r="Y360" i="53"/>
  <c r="W360" i="53" s="1"/>
  <c r="Y360" i="52"/>
  <c r="W360" i="52" s="1"/>
  <c r="Y360" i="44"/>
  <c r="W360" i="44" s="1"/>
  <c r="Y352" i="55"/>
  <c r="W352" i="55" s="1"/>
  <c r="Y352" i="53"/>
  <c r="W352" i="53" s="1"/>
  <c r="Y352" i="52"/>
  <c r="W352" i="52" s="1"/>
  <c r="Y352" i="44"/>
  <c r="W352" i="44" s="1"/>
  <c r="Y344" i="55"/>
  <c r="W344" i="55" s="1"/>
  <c r="Y344" i="53"/>
  <c r="W344" i="53" s="1"/>
  <c r="Y344" i="52"/>
  <c r="W344" i="52" s="1"/>
  <c r="Y344" i="44"/>
  <c r="W344" i="44" s="1"/>
  <c r="Y336" i="55"/>
  <c r="W336" i="55" s="1"/>
  <c r="Y336" i="53"/>
  <c r="W336" i="53" s="1"/>
  <c r="Y336" i="52"/>
  <c r="W336" i="52" s="1"/>
  <c r="Y336" i="44"/>
  <c r="W336" i="44" s="1"/>
  <c r="Y324" i="53"/>
  <c r="W324" i="53" s="1"/>
  <c r="Y324" i="55"/>
  <c r="W324" i="55" s="1"/>
  <c r="Y324" i="52"/>
  <c r="W324" i="52" s="1"/>
  <c r="Y324" i="44"/>
  <c r="W324" i="44" s="1"/>
  <c r="Y316" i="55"/>
  <c r="W316" i="55" s="1"/>
  <c r="Y316" i="53"/>
  <c r="W316" i="53" s="1"/>
  <c r="Y316" i="52"/>
  <c r="W316" i="52" s="1"/>
  <c r="Y316" i="44"/>
  <c r="W316" i="44" s="1"/>
  <c r="Y308" i="55"/>
  <c r="W308" i="55" s="1"/>
  <c r="Y308" i="53"/>
  <c r="W308" i="53" s="1"/>
  <c r="Y308" i="52"/>
  <c r="W308" i="52" s="1"/>
  <c r="Y308" i="44"/>
  <c r="W308" i="44" s="1"/>
  <c r="Y300" i="55"/>
  <c r="W300" i="55" s="1"/>
  <c r="Y300" i="52"/>
  <c r="W300" i="52" s="1"/>
  <c r="Y300" i="44"/>
  <c r="W300" i="44" s="1"/>
  <c r="Y300" i="53"/>
  <c r="W300" i="53" s="1"/>
  <c r="Y292" i="55"/>
  <c r="W292" i="55" s="1"/>
  <c r="Y292" i="53"/>
  <c r="W292" i="53" s="1"/>
  <c r="Y292" i="52"/>
  <c r="W292" i="52" s="1"/>
  <c r="Y292" i="44"/>
  <c r="W292" i="44" s="1"/>
  <c r="Y284" i="55"/>
  <c r="W284" i="55" s="1"/>
  <c r="Y284" i="52"/>
  <c r="W284" i="52" s="1"/>
  <c r="Y284" i="53"/>
  <c r="W284" i="53" s="1"/>
  <c r="Y284" i="44"/>
  <c r="W284" i="44" s="1"/>
  <c r="Y276" i="53"/>
  <c r="W276" i="53" s="1"/>
  <c r="Y276" i="52"/>
  <c r="W276" i="52" s="1"/>
  <c r="Y276" i="55"/>
  <c r="W276" i="55" s="1"/>
  <c r="Y276" i="44"/>
  <c r="W276" i="44" s="1"/>
  <c r="Y272" i="55"/>
  <c r="W272" i="55" s="1"/>
  <c r="Y272" i="53"/>
  <c r="W272" i="53" s="1"/>
  <c r="Y272" i="52"/>
  <c r="W272" i="52" s="1"/>
  <c r="Y272" i="44"/>
  <c r="W272" i="44" s="1"/>
  <c r="Y264" i="55"/>
  <c r="W264" i="55" s="1"/>
  <c r="Y264" i="53"/>
  <c r="W264" i="53" s="1"/>
  <c r="Y264" i="52"/>
  <c r="W264" i="52" s="1"/>
  <c r="Y264" i="44"/>
  <c r="W264" i="44" s="1"/>
  <c r="Y256" i="55"/>
  <c r="W256" i="55" s="1"/>
  <c r="Y256" i="53"/>
  <c r="W256" i="53" s="1"/>
  <c r="Y256" i="52"/>
  <c r="W256" i="52" s="1"/>
  <c r="Y256" i="44"/>
  <c r="W256" i="44" s="1"/>
  <c r="Y248" i="55"/>
  <c r="W248" i="55" s="1"/>
  <c r="Y248" i="53"/>
  <c r="W248" i="53" s="1"/>
  <c r="Y248" i="52"/>
  <c r="W248" i="52" s="1"/>
  <c r="Y248" i="44"/>
  <c r="W248" i="44" s="1"/>
  <c r="Y240" i="55"/>
  <c r="W240" i="55" s="1"/>
  <c r="Y240" i="53"/>
  <c r="W240" i="53" s="1"/>
  <c r="Y240" i="52"/>
  <c r="W240" i="52" s="1"/>
  <c r="Y240" i="44"/>
  <c r="W240" i="44" s="1"/>
  <c r="Y228" i="55"/>
  <c r="W228" i="55" s="1"/>
  <c r="Y228" i="53"/>
  <c r="W228" i="53" s="1"/>
  <c r="Y228" i="52"/>
  <c r="W228" i="52" s="1"/>
  <c r="Y228" i="44"/>
  <c r="W228" i="44" s="1"/>
  <c r="Y220" i="55"/>
  <c r="W220" i="55" s="1"/>
  <c r="Y220" i="52"/>
  <c r="W220" i="52" s="1"/>
  <c r="Y220" i="53"/>
  <c r="W220" i="53" s="1"/>
  <c r="Y220" i="44"/>
  <c r="W220" i="44" s="1"/>
  <c r="Y212" i="53"/>
  <c r="W212" i="53" s="1"/>
  <c r="Y212" i="52"/>
  <c r="W212" i="52" s="1"/>
  <c r="Y212" i="55"/>
  <c r="W212" i="55" s="1"/>
  <c r="Y212" i="44"/>
  <c r="W212" i="44" s="1"/>
  <c r="Y204" i="55"/>
  <c r="W204" i="55" s="1"/>
  <c r="Y204" i="52"/>
  <c r="W204" i="52" s="1"/>
  <c r="Y204" i="53"/>
  <c r="W204" i="53" s="1"/>
  <c r="Y204" i="44"/>
  <c r="W204" i="44" s="1"/>
  <c r="Y196" i="53"/>
  <c r="W196" i="53" s="1"/>
  <c r="Y196" i="55"/>
  <c r="W196" i="55" s="1"/>
  <c r="Y196" i="52"/>
  <c r="W196" i="52" s="1"/>
  <c r="Y196" i="44"/>
  <c r="W196" i="44" s="1"/>
  <c r="Y188" i="55"/>
  <c r="W188" i="55" s="1"/>
  <c r="Y188" i="53"/>
  <c r="W188" i="53" s="1"/>
  <c r="Y188" i="52"/>
  <c r="W188" i="52" s="1"/>
  <c r="Y188" i="44"/>
  <c r="W188" i="44" s="1"/>
  <c r="Y180" i="55"/>
  <c r="W180" i="55" s="1"/>
  <c r="Y180" i="53"/>
  <c r="W180" i="53" s="1"/>
  <c r="Y180" i="52"/>
  <c r="W180" i="52" s="1"/>
  <c r="Y180" i="44"/>
  <c r="W180" i="44" s="1"/>
  <c r="Y172" i="55"/>
  <c r="W172" i="55" s="1"/>
  <c r="Y172" i="52"/>
  <c r="W172" i="52" s="1"/>
  <c r="Y172" i="44"/>
  <c r="W172" i="44" s="1"/>
  <c r="Y164" i="55"/>
  <c r="W164" i="55" s="1"/>
  <c r="Y164" i="53"/>
  <c r="W164" i="53" s="1"/>
  <c r="Y164" i="52"/>
  <c r="W164" i="52" s="1"/>
  <c r="Y164" i="44"/>
  <c r="W164" i="44" s="1"/>
  <c r="Y156" i="55"/>
  <c r="W156" i="55" s="1"/>
  <c r="Y156" i="52"/>
  <c r="W156" i="52" s="1"/>
  <c r="Y156" i="53"/>
  <c r="W156" i="53" s="1"/>
  <c r="Y156" i="44"/>
  <c r="W156" i="44" s="1"/>
  <c r="Y148" i="53"/>
  <c r="W148" i="53" s="1"/>
  <c r="Y148" i="52"/>
  <c r="W148" i="52" s="1"/>
  <c r="Y148" i="55"/>
  <c r="W148" i="55" s="1"/>
  <c r="Y148" i="44"/>
  <c r="W148" i="44" s="1"/>
  <c r="Y140" i="55"/>
  <c r="W140" i="55" s="1"/>
  <c r="Y140" i="52"/>
  <c r="W140" i="52" s="1"/>
  <c r="Y140" i="53"/>
  <c r="W140" i="53" s="1"/>
  <c r="Y140" i="44"/>
  <c r="W140" i="44" s="1"/>
  <c r="Y132" i="53"/>
  <c r="W132" i="53" s="1"/>
  <c r="Y132" i="55"/>
  <c r="W132" i="55" s="1"/>
  <c r="Y132" i="52"/>
  <c r="W132" i="52" s="1"/>
  <c r="Y132" i="44"/>
  <c r="W132" i="44" s="1"/>
  <c r="Y124" i="55"/>
  <c r="W124" i="55" s="1"/>
  <c r="Y124" i="53"/>
  <c r="W124" i="53" s="1"/>
  <c r="Y124" i="52"/>
  <c r="W124" i="52" s="1"/>
  <c r="Y124" i="44"/>
  <c r="W124" i="44" s="1"/>
  <c r="Y116" i="55"/>
  <c r="W116" i="55" s="1"/>
  <c r="Y116" i="53"/>
  <c r="W116" i="53" s="1"/>
  <c r="Y116" i="52"/>
  <c r="W116" i="52" s="1"/>
  <c r="Y116" i="44"/>
  <c r="W116" i="44" s="1"/>
  <c r="Y108" i="55"/>
  <c r="W108" i="55" s="1"/>
  <c r="Y108" i="52"/>
  <c r="W108" i="52" s="1"/>
  <c r="Y108" i="44"/>
  <c r="W108" i="44" s="1"/>
  <c r="Y108" i="53"/>
  <c r="W108" i="53" s="1"/>
  <c r="Y100" i="55"/>
  <c r="W100" i="55" s="1"/>
  <c r="Y100" i="53"/>
  <c r="W100" i="53" s="1"/>
  <c r="Y100" i="52"/>
  <c r="W100" i="52" s="1"/>
  <c r="Y100" i="44"/>
  <c r="W100" i="44" s="1"/>
  <c r="Y92" i="55"/>
  <c r="W92" i="55" s="1"/>
  <c r="Y92" i="52"/>
  <c r="W92" i="52" s="1"/>
  <c r="Y92" i="53"/>
  <c r="W92" i="53" s="1"/>
  <c r="Y92" i="44"/>
  <c r="W92" i="44" s="1"/>
  <c r="Y84" i="53"/>
  <c r="W84" i="53" s="1"/>
  <c r="Y84" i="55"/>
  <c r="W84" i="55" s="1"/>
  <c r="Y84" i="52"/>
  <c r="W84" i="52" s="1"/>
  <c r="Y84" i="44"/>
  <c r="W84" i="44" s="1"/>
  <c r="Y76" i="55"/>
  <c r="W76" i="55" s="1"/>
  <c r="Y76" i="53"/>
  <c r="W76" i="53" s="1"/>
  <c r="Y76" i="52"/>
  <c r="W76" i="52" s="1"/>
  <c r="Y76" i="44"/>
  <c r="W76" i="44" s="1"/>
  <c r="Y68" i="55"/>
  <c r="W68" i="55" s="1"/>
  <c r="Y68" i="52"/>
  <c r="W68" i="52" s="1"/>
  <c r="Y68" i="53"/>
  <c r="W68" i="53" s="1"/>
  <c r="Y68" i="44"/>
  <c r="W68" i="44" s="1"/>
  <c r="Y60" i="55"/>
  <c r="W60" i="55" s="1"/>
  <c r="Y60" i="53"/>
  <c r="W60" i="53" s="1"/>
  <c r="Y60" i="52"/>
  <c r="W60" i="52" s="1"/>
  <c r="Y60" i="44"/>
  <c r="W60" i="44" s="1"/>
  <c r="Y56" i="55"/>
  <c r="W56" i="55" s="1"/>
  <c r="Y56" i="53"/>
  <c r="W56" i="53" s="1"/>
  <c r="Y56" i="52"/>
  <c r="W56" i="52" s="1"/>
  <c r="Y56" i="44"/>
  <c r="W56" i="44" s="1"/>
  <c r="Y52" i="55"/>
  <c r="W52" i="55" s="1"/>
  <c r="Y52" i="53"/>
  <c r="W52" i="53" s="1"/>
  <c r="Y52" i="52"/>
  <c r="W52" i="52" s="1"/>
  <c r="Y52" i="44"/>
  <c r="W52" i="44" s="1"/>
  <c r="Y44" i="55"/>
  <c r="W44" i="55" s="1"/>
  <c r="Y44" i="53"/>
  <c r="W44" i="53" s="1"/>
  <c r="Y44" i="52"/>
  <c r="W44" i="52" s="1"/>
  <c r="Y44" i="44"/>
  <c r="W44" i="44" s="1"/>
  <c r="Y40" i="55"/>
  <c r="W40" i="55" s="1"/>
  <c r="Y40" i="53"/>
  <c r="W40" i="53" s="1"/>
  <c r="Y40" i="52"/>
  <c r="W40" i="52" s="1"/>
  <c r="Y40" i="44"/>
  <c r="W40" i="44" s="1"/>
  <c r="Y36" i="55"/>
  <c r="W36" i="55" s="1"/>
  <c r="Y36" i="53"/>
  <c r="W36" i="53" s="1"/>
  <c r="Y36" i="52"/>
  <c r="W36" i="52" s="1"/>
  <c r="Y36" i="44"/>
  <c r="W36" i="44" s="1"/>
  <c r="Y24" i="55"/>
  <c r="W24" i="55" s="1"/>
  <c r="Y24" i="53"/>
  <c r="W24" i="53" s="1"/>
  <c r="Y24" i="52"/>
  <c r="W24" i="52" s="1"/>
  <c r="Y24" i="44"/>
  <c r="W24" i="44" s="1"/>
  <c r="Y172" i="53"/>
  <c r="W172" i="53" s="1"/>
  <c r="Y1184" i="54"/>
  <c r="W1184" i="54" s="1"/>
  <c r="Y1184" i="53"/>
  <c r="W1184" i="53" s="1"/>
  <c r="Y1184" i="52"/>
  <c r="W1184" i="52" s="1"/>
  <c r="Y1172" i="53"/>
  <c r="W1172" i="53" s="1"/>
  <c r="Y1172" i="54"/>
  <c r="W1172" i="54" s="1"/>
  <c r="Y1172" i="52"/>
  <c r="W1172" i="52" s="1"/>
  <c r="Y1160" i="54"/>
  <c r="W1160" i="54" s="1"/>
  <c r="Y1160" i="53"/>
  <c r="W1160" i="53" s="1"/>
  <c r="Y1160" i="52"/>
  <c r="W1160" i="52" s="1"/>
  <c r="Y1152" i="54"/>
  <c r="W1152" i="54" s="1"/>
  <c r="Y1152" i="53"/>
  <c r="W1152" i="53" s="1"/>
  <c r="Y1152" i="52"/>
  <c r="W1152" i="52" s="1"/>
  <c r="Y1144" i="54"/>
  <c r="W1144" i="54" s="1"/>
  <c r="Y1144" i="53"/>
  <c r="W1144" i="53" s="1"/>
  <c r="Y1144" i="52"/>
  <c r="W1144" i="52" s="1"/>
  <c r="Y1132" i="54"/>
  <c r="W1132" i="54" s="1"/>
  <c r="Y1132" i="53"/>
  <c r="W1132" i="53" s="1"/>
  <c r="Y1132" i="52"/>
  <c r="W1132" i="52" s="1"/>
  <c r="Y1120" i="54"/>
  <c r="W1120" i="54" s="1"/>
  <c r="Y1120" i="53"/>
  <c r="W1120" i="53" s="1"/>
  <c r="Y1120" i="52"/>
  <c r="W1120" i="52" s="1"/>
  <c r="Y1108" i="53"/>
  <c r="W1108" i="53" s="1"/>
  <c r="Y1108" i="54"/>
  <c r="W1108" i="54" s="1"/>
  <c r="Y1108" i="52"/>
  <c r="W1108" i="52" s="1"/>
  <c r="Y1096" i="54"/>
  <c r="W1096" i="54" s="1"/>
  <c r="Y1096" i="53"/>
  <c r="W1096" i="53" s="1"/>
  <c r="Y1096" i="52"/>
  <c r="W1096" i="52" s="1"/>
  <c r="Y1088" i="54"/>
  <c r="W1088" i="54" s="1"/>
  <c r="Y1088" i="53"/>
  <c r="W1088" i="53" s="1"/>
  <c r="Y1088" i="52"/>
  <c r="W1088" i="52" s="1"/>
  <c r="Y1076" i="53"/>
  <c r="W1076" i="53" s="1"/>
  <c r="Y1076" i="54"/>
  <c r="W1076" i="54" s="1"/>
  <c r="Y1076" i="52"/>
  <c r="W1076" i="52" s="1"/>
  <c r="Y1064" i="54"/>
  <c r="W1064" i="54" s="1"/>
  <c r="Y1064" i="53"/>
  <c r="W1064" i="53" s="1"/>
  <c r="Y1064" i="52"/>
  <c r="W1064" i="52" s="1"/>
  <c r="Y1056" i="54"/>
  <c r="W1056" i="54" s="1"/>
  <c r="Y1056" i="53"/>
  <c r="W1056" i="53" s="1"/>
  <c r="Y1056" i="52"/>
  <c r="W1056" i="52" s="1"/>
  <c r="Y1044" i="53"/>
  <c r="W1044" i="53" s="1"/>
  <c r="Y1044" i="54"/>
  <c r="W1044" i="54" s="1"/>
  <c r="Y1044" i="52"/>
  <c r="W1044" i="52" s="1"/>
  <c r="Y1032" i="54"/>
  <c r="W1032" i="54" s="1"/>
  <c r="Y1032" i="55"/>
  <c r="W1032" i="55" s="1"/>
  <c r="Y1032" i="53"/>
  <c r="W1032" i="53" s="1"/>
  <c r="Y1032" i="52"/>
  <c r="W1032" i="52" s="1"/>
  <c r="Y1020" i="54"/>
  <c r="W1020" i="54" s="1"/>
  <c r="Y1020" i="55"/>
  <c r="W1020" i="55" s="1"/>
  <c r="Y1020" i="53"/>
  <c r="W1020" i="53" s="1"/>
  <c r="Y1020" i="52"/>
  <c r="W1020" i="52" s="1"/>
  <c r="Y1008" i="55"/>
  <c r="W1008" i="55" s="1"/>
  <c r="Y1008" i="53"/>
  <c r="W1008" i="53" s="1"/>
  <c r="Y1008" i="54"/>
  <c r="W1008" i="54" s="1"/>
  <c r="Y1008" i="52"/>
  <c r="W1008" i="52" s="1"/>
  <c r="Y996" i="55"/>
  <c r="W996" i="55" s="1"/>
  <c r="Y996" i="54"/>
  <c r="W996" i="54" s="1"/>
  <c r="Y996" i="53"/>
  <c r="W996" i="53" s="1"/>
  <c r="Y996" i="52"/>
  <c r="W996" i="52" s="1"/>
  <c r="Y984" i="54"/>
  <c r="W984" i="54" s="1"/>
  <c r="Y984" i="55"/>
  <c r="W984" i="55" s="1"/>
  <c r="Y984" i="53"/>
  <c r="W984" i="53" s="1"/>
  <c r="Y984" i="52"/>
  <c r="W984" i="52" s="1"/>
  <c r="Y972" i="54"/>
  <c r="W972" i="54" s="1"/>
  <c r="Y972" i="55"/>
  <c r="W972" i="55" s="1"/>
  <c r="Y972" i="53"/>
  <c r="W972" i="53" s="1"/>
  <c r="Y972" i="52"/>
  <c r="W972" i="52" s="1"/>
  <c r="Y964" i="54"/>
  <c r="W964" i="54" s="1"/>
  <c r="Y964" i="53"/>
  <c r="W964" i="53" s="1"/>
  <c r="Y964" i="55"/>
  <c r="W964" i="55" s="1"/>
  <c r="Y964" i="52"/>
  <c r="W964" i="52" s="1"/>
  <c r="Y952" i="54"/>
  <c r="W952" i="54" s="1"/>
  <c r="Y952" i="55"/>
  <c r="W952" i="55" s="1"/>
  <c r="Y952" i="53"/>
  <c r="W952" i="53" s="1"/>
  <c r="Y952" i="52"/>
  <c r="W952" i="52" s="1"/>
  <c r="Y944" i="55"/>
  <c r="W944" i="55" s="1"/>
  <c r="Y944" i="53"/>
  <c r="W944" i="53" s="1"/>
  <c r="Y944" i="54"/>
  <c r="W944" i="54" s="1"/>
  <c r="Y944" i="52"/>
  <c r="W944" i="52" s="1"/>
  <c r="Y932" i="55"/>
  <c r="W932" i="55" s="1"/>
  <c r="Y932" i="54"/>
  <c r="W932" i="54" s="1"/>
  <c r="Y932" i="53"/>
  <c r="W932" i="53" s="1"/>
  <c r="Y932" i="52"/>
  <c r="W932" i="52" s="1"/>
  <c r="Y920" i="54"/>
  <c r="W920" i="54" s="1"/>
  <c r="Y920" i="55"/>
  <c r="W920" i="55" s="1"/>
  <c r="Y920" i="53"/>
  <c r="W920" i="53" s="1"/>
  <c r="Y920" i="52"/>
  <c r="W920" i="52" s="1"/>
  <c r="Y912" i="55"/>
  <c r="W912" i="55" s="1"/>
  <c r="Y912" i="53"/>
  <c r="W912" i="53" s="1"/>
  <c r="Y912" i="52"/>
  <c r="W912" i="52" s="1"/>
  <c r="Y900" i="53"/>
  <c r="W900" i="53" s="1"/>
  <c r="Y900" i="55"/>
  <c r="W900" i="55" s="1"/>
  <c r="Y900" i="52"/>
  <c r="W900" i="52" s="1"/>
  <c r="Y888" i="55"/>
  <c r="W888" i="55" s="1"/>
  <c r="Y888" i="53"/>
  <c r="W888" i="53" s="1"/>
  <c r="Y888" i="52"/>
  <c r="W888" i="52" s="1"/>
  <c r="Y876" i="55"/>
  <c r="W876" i="55" s="1"/>
  <c r="Y876" i="53"/>
  <c r="W876" i="53" s="1"/>
  <c r="Y876" i="52"/>
  <c r="W876" i="52" s="1"/>
  <c r="Y864" i="55"/>
  <c r="W864" i="55" s="1"/>
  <c r="Y864" i="53"/>
  <c r="W864" i="53" s="1"/>
  <c r="Y864" i="52"/>
  <c r="W864" i="52" s="1"/>
  <c r="Y848" i="55"/>
  <c r="W848" i="55" s="1"/>
  <c r="Y848" i="53"/>
  <c r="W848" i="53" s="1"/>
  <c r="Y848" i="52"/>
  <c r="W848" i="52" s="1"/>
  <c r="Y788" i="53"/>
  <c r="W788" i="53" s="1"/>
  <c r="Y788" i="52"/>
  <c r="W788" i="52" s="1"/>
  <c r="Y788" i="44"/>
  <c r="W788" i="44" s="1"/>
  <c r="Y788" i="55"/>
  <c r="W788" i="55" s="1"/>
  <c r="Y32" i="55"/>
  <c r="W32" i="55" s="1"/>
  <c r="Y32" i="53"/>
  <c r="W32" i="53" s="1"/>
  <c r="Y32" i="52"/>
  <c r="W32" i="52" s="1"/>
  <c r="Y32" i="44"/>
  <c r="W32" i="44" s="1"/>
  <c r="Y912" i="54"/>
  <c r="W912" i="54" s="1"/>
  <c r="Y908" i="54"/>
  <c r="W908" i="54" s="1"/>
  <c r="Y904" i="54"/>
  <c r="W904" i="54" s="1"/>
  <c r="Y900" i="54"/>
  <c r="W900" i="54" s="1"/>
  <c r="Y896" i="54"/>
  <c r="W896" i="54" s="1"/>
  <c r="Y892" i="54"/>
  <c r="W892" i="54" s="1"/>
  <c r="Y888" i="54"/>
  <c r="W888" i="54" s="1"/>
  <c r="Y884" i="54"/>
  <c r="W884" i="54" s="1"/>
  <c r="Y880" i="54"/>
  <c r="W880" i="54" s="1"/>
  <c r="Y876" i="54"/>
  <c r="W876" i="54" s="1"/>
  <c r="Y872" i="54"/>
  <c r="W872" i="54" s="1"/>
  <c r="Y868" i="54"/>
  <c r="W868" i="54" s="1"/>
  <c r="Y864" i="54"/>
  <c r="W864" i="54" s="1"/>
  <c r="Y860" i="54"/>
  <c r="W860" i="54" s="1"/>
  <c r="Y856" i="54"/>
  <c r="W856" i="54" s="1"/>
  <c r="Y852" i="54"/>
  <c r="W852" i="54" s="1"/>
  <c r="Y848" i="54"/>
  <c r="W848" i="54" s="1"/>
  <c r="Y844" i="54"/>
  <c r="W844" i="54" s="1"/>
  <c r="Y840" i="54"/>
  <c r="W840" i="54" s="1"/>
  <c r="Y836" i="54"/>
  <c r="W836" i="54" s="1"/>
  <c r="Y832" i="54"/>
  <c r="W832" i="54" s="1"/>
  <c r="Y828" i="54"/>
  <c r="W828" i="54" s="1"/>
  <c r="Y824" i="54"/>
  <c r="W824" i="54" s="1"/>
  <c r="Y820" i="54"/>
  <c r="W820" i="54" s="1"/>
  <c r="Y816" i="54"/>
  <c r="W816" i="54" s="1"/>
  <c r="Y812" i="54"/>
  <c r="W812" i="54" s="1"/>
  <c r="Y808" i="54"/>
  <c r="W808" i="54" s="1"/>
  <c r="Y804" i="54"/>
  <c r="W804" i="54" s="1"/>
  <c r="Y800" i="54"/>
  <c r="W800" i="54" s="1"/>
  <c r="Y796" i="54"/>
  <c r="W796" i="54" s="1"/>
  <c r="Y792" i="54"/>
  <c r="W792" i="54" s="1"/>
  <c r="Y788" i="54"/>
  <c r="W788" i="54" s="1"/>
  <c r="Y784" i="54"/>
  <c r="W784" i="54" s="1"/>
  <c r="Y780" i="54"/>
  <c r="W780" i="54" s="1"/>
  <c r="Y776" i="54"/>
  <c r="W776" i="54" s="1"/>
  <c r="Y772" i="54"/>
  <c r="W772" i="54" s="1"/>
  <c r="Y768" i="54"/>
  <c r="W768" i="54" s="1"/>
  <c r="Y764" i="54"/>
  <c r="W764" i="54" s="1"/>
  <c r="Y760" i="54"/>
  <c r="W760" i="54" s="1"/>
  <c r="Y756" i="54"/>
  <c r="W756" i="54" s="1"/>
  <c r="Y752" i="54"/>
  <c r="W752" i="54" s="1"/>
  <c r="Y748" i="54"/>
  <c r="W748" i="54" s="1"/>
  <c r="Y744" i="54"/>
  <c r="W744" i="54" s="1"/>
  <c r="Y740" i="54"/>
  <c r="W740" i="54" s="1"/>
  <c r="Y736" i="54"/>
  <c r="W736" i="54" s="1"/>
  <c r="Y732" i="54"/>
  <c r="W732" i="54" s="1"/>
  <c r="Y728" i="54"/>
  <c r="W728" i="54" s="1"/>
  <c r="Y724" i="54"/>
  <c r="W724" i="54" s="1"/>
  <c r="Y720" i="54"/>
  <c r="W720" i="54" s="1"/>
  <c r="Y716" i="54"/>
  <c r="W716" i="54" s="1"/>
  <c r="Y712" i="54"/>
  <c r="W712" i="54" s="1"/>
  <c r="Y708" i="54"/>
  <c r="W708" i="54" s="1"/>
  <c r="Y704" i="54"/>
  <c r="W704" i="54" s="1"/>
  <c r="Y700" i="54"/>
  <c r="W700" i="54" s="1"/>
  <c r="Y696" i="54"/>
  <c r="W696" i="54" s="1"/>
  <c r="Y692" i="54"/>
  <c r="W692" i="54" s="1"/>
  <c r="Y688" i="54"/>
  <c r="W688" i="54" s="1"/>
  <c r="Y684" i="54"/>
  <c r="W684" i="54" s="1"/>
  <c r="Y680" i="54"/>
  <c r="W680" i="54" s="1"/>
  <c r="Y676" i="54"/>
  <c r="W676" i="54" s="1"/>
  <c r="Y672" i="54"/>
  <c r="W672" i="54" s="1"/>
  <c r="Y668" i="54"/>
  <c r="W668" i="54" s="1"/>
  <c r="Y664" i="54"/>
  <c r="W664" i="54" s="1"/>
  <c r="Y660" i="54"/>
  <c r="W660" i="54" s="1"/>
  <c r="Y656" i="54"/>
  <c r="W656" i="54" s="1"/>
  <c r="Y652" i="54"/>
  <c r="W652" i="54" s="1"/>
  <c r="Y648" i="54"/>
  <c r="W648" i="54" s="1"/>
  <c r="Y644" i="54"/>
  <c r="W644" i="54" s="1"/>
  <c r="Y640" i="54"/>
  <c r="W640" i="54" s="1"/>
  <c r="Y636" i="54"/>
  <c r="W636" i="54" s="1"/>
  <c r="Y632" i="54"/>
  <c r="W632" i="54" s="1"/>
  <c r="Y628" i="54"/>
  <c r="W628" i="54" s="1"/>
  <c r="Y624" i="54"/>
  <c r="W624" i="54" s="1"/>
  <c r="Y620" i="54"/>
  <c r="W620" i="54" s="1"/>
  <c r="Y616" i="54"/>
  <c r="W616" i="54" s="1"/>
  <c r="Y612" i="54"/>
  <c r="W612" i="54" s="1"/>
  <c r="Y608" i="54"/>
  <c r="W608" i="54" s="1"/>
  <c r="Y604" i="54"/>
  <c r="W604" i="54" s="1"/>
  <c r="Y600" i="54"/>
  <c r="W600" i="54" s="1"/>
  <c r="Y596" i="54"/>
  <c r="W596" i="54" s="1"/>
  <c r="Y592" i="54"/>
  <c r="W592" i="54" s="1"/>
  <c r="Y588" i="54"/>
  <c r="W588" i="54" s="1"/>
  <c r="Y584" i="54"/>
  <c r="W584" i="54" s="1"/>
  <c r="Y580" i="54"/>
  <c r="W580" i="54" s="1"/>
  <c r="Y576" i="54"/>
  <c r="W576" i="54" s="1"/>
  <c r="Y572" i="54"/>
  <c r="W572" i="54" s="1"/>
  <c r="Y568" i="54"/>
  <c r="W568" i="54" s="1"/>
  <c r="Y564" i="54"/>
  <c r="W564" i="54" s="1"/>
  <c r="Y560" i="54"/>
  <c r="W560" i="54" s="1"/>
  <c r="Y556" i="54"/>
  <c r="W556" i="54" s="1"/>
  <c r="Y552" i="54"/>
  <c r="W552" i="54" s="1"/>
  <c r="Y548" i="54"/>
  <c r="W548" i="54" s="1"/>
  <c r="Y544" i="54"/>
  <c r="W544" i="54" s="1"/>
  <c r="Y540" i="54"/>
  <c r="W540" i="54" s="1"/>
  <c r="Y536" i="54"/>
  <c r="W536" i="54" s="1"/>
  <c r="Y532" i="54"/>
  <c r="W532" i="54" s="1"/>
  <c r="Y528" i="54"/>
  <c r="W528" i="54" s="1"/>
  <c r="Y524" i="54"/>
  <c r="W524" i="54" s="1"/>
  <c r="Y520" i="54"/>
  <c r="W520" i="54" s="1"/>
  <c r="Y516" i="54"/>
  <c r="W516" i="54" s="1"/>
  <c r="Y512" i="54"/>
  <c r="W512" i="54" s="1"/>
  <c r="Y508" i="54"/>
  <c r="W508" i="54" s="1"/>
  <c r="Y504" i="54"/>
  <c r="W504" i="54" s="1"/>
  <c r="Y500" i="54"/>
  <c r="W500" i="54" s="1"/>
  <c r="Y496" i="54"/>
  <c r="W496" i="54" s="1"/>
  <c r="Y492" i="54"/>
  <c r="W492" i="54" s="1"/>
  <c r="Y488" i="54"/>
  <c r="W488" i="54" s="1"/>
  <c r="Y484" i="54"/>
  <c r="W484" i="54" s="1"/>
  <c r="Y480" i="54"/>
  <c r="W480" i="54" s="1"/>
  <c r="Y476" i="54"/>
  <c r="W476" i="54" s="1"/>
  <c r="Y472" i="54"/>
  <c r="W472" i="54" s="1"/>
  <c r="Y468" i="54"/>
  <c r="W468" i="54" s="1"/>
  <c r="Y464" i="54"/>
  <c r="W464" i="54" s="1"/>
  <c r="Y460" i="54"/>
  <c r="W460" i="54" s="1"/>
  <c r="Y456" i="54"/>
  <c r="W456" i="54" s="1"/>
  <c r="Y452" i="54"/>
  <c r="W452" i="54" s="1"/>
  <c r="Y448" i="54"/>
  <c r="W448" i="54" s="1"/>
  <c r="Y444" i="54"/>
  <c r="W444" i="54" s="1"/>
  <c r="Y440" i="54"/>
  <c r="W440" i="54" s="1"/>
  <c r="Y436" i="54"/>
  <c r="W436" i="54" s="1"/>
  <c r="Y432" i="54"/>
  <c r="W432" i="54" s="1"/>
  <c r="Y428" i="54"/>
  <c r="W428" i="54" s="1"/>
  <c r="Y424" i="54"/>
  <c r="W424" i="54" s="1"/>
  <c r="Y420" i="54"/>
  <c r="W420" i="54" s="1"/>
  <c r="Y416" i="54"/>
  <c r="W416" i="54" s="1"/>
  <c r="Y412" i="54"/>
  <c r="W412" i="54" s="1"/>
  <c r="Y408" i="54"/>
  <c r="W408" i="54" s="1"/>
  <c r="Y404" i="54"/>
  <c r="W404" i="54" s="1"/>
  <c r="Y400" i="54"/>
  <c r="W400" i="54" s="1"/>
  <c r="Y396" i="54"/>
  <c r="W396" i="54" s="1"/>
  <c r="Y392" i="54"/>
  <c r="W392" i="54" s="1"/>
  <c r="Y388" i="54"/>
  <c r="W388" i="54" s="1"/>
  <c r="Y384" i="54"/>
  <c r="W384" i="54" s="1"/>
  <c r="Y380" i="54"/>
  <c r="W380" i="54" s="1"/>
  <c r="Y376" i="54"/>
  <c r="W376" i="54" s="1"/>
  <c r="Y372" i="54"/>
  <c r="W372" i="54" s="1"/>
  <c r="Y368" i="54"/>
  <c r="W368" i="54" s="1"/>
  <c r="Y364" i="54"/>
  <c r="W364" i="54" s="1"/>
  <c r="Y360" i="54"/>
  <c r="W360" i="54" s="1"/>
  <c r="Y356" i="54"/>
  <c r="W356" i="54" s="1"/>
  <c r="Y352" i="54"/>
  <c r="W352" i="54" s="1"/>
  <c r="Y348" i="54"/>
  <c r="W348" i="54" s="1"/>
  <c r="Y344" i="54"/>
  <c r="W344" i="54" s="1"/>
  <c r="Y340" i="54"/>
  <c r="W340" i="54" s="1"/>
  <c r="Y336" i="54"/>
  <c r="W336" i="54" s="1"/>
  <c r="Y332" i="54"/>
  <c r="W332" i="54" s="1"/>
  <c r="Y328" i="54"/>
  <c r="W328" i="54" s="1"/>
  <c r="Y324" i="54"/>
  <c r="W324" i="54" s="1"/>
  <c r="Y320" i="54"/>
  <c r="W320" i="54" s="1"/>
  <c r="Y316" i="54"/>
  <c r="W316" i="54" s="1"/>
  <c r="Y312" i="54"/>
  <c r="W312" i="54" s="1"/>
  <c r="Y308" i="54"/>
  <c r="W308" i="54" s="1"/>
  <c r="Y304" i="54"/>
  <c r="W304" i="54" s="1"/>
  <c r="Y300" i="54"/>
  <c r="W300" i="54" s="1"/>
  <c r="Y296" i="54"/>
  <c r="W296" i="54" s="1"/>
  <c r="Y292" i="54"/>
  <c r="W292" i="54" s="1"/>
  <c r="Y288" i="54"/>
  <c r="W288" i="54" s="1"/>
  <c r="Y284" i="54"/>
  <c r="W284" i="54" s="1"/>
  <c r="Y280" i="54"/>
  <c r="W280" i="54" s="1"/>
  <c r="Y276" i="54"/>
  <c r="W276" i="54" s="1"/>
  <c r="Y272" i="54"/>
  <c r="W272" i="54" s="1"/>
  <c r="Y268" i="54"/>
  <c r="W268" i="54" s="1"/>
  <c r="Y264" i="54"/>
  <c r="W264" i="54" s="1"/>
  <c r="Y260" i="54"/>
  <c r="W260" i="54" s="1"/>
  <c r="Y256" i="54"/>
  <c r="W256" i="54" s="1"/>
  <c r="Y252" i="54"/>
  <c r="W252" i="54" s="1"/>
  <c r="Y248" i="54"/>
  <c r="W248" i="54" s="1"/>
  <c r="Y244" i="54"/>
  <c r="W244" i="54" s="1"/>
  <c r="Y240" i="54"/>
  <c r="W240" i="54" s="1"/>
  <c r="Y236" i="54"/>
  <c r="W236" i="54" s="1"/>
  <c r="Y232" i="54"/>
  <c r="W232" i="54" s="1"/>
  <c r="Y228" i="54"/>
  <c r="W228" i="54" s="1"/>
  <c r="Y224" i="54"/>
  <c r="W224" i="54" s="1"/>
  <c r="Y220" i="54"/>
  <c r="W220" i="54" s="1"/>
  <c r="Y216" i="54"/>
  <c r="W216" i="54" s="1"/>
  <c r="Y212" i="54"/>
  <c r="W212" i="54" s="1"/>
  <c r="Y208" i="54"/>
  <c r="W208" i="54" s="1"/>
  <c r="Y204" i="54"/>
  <c r="W204" i="54" s="1"/>
  <c r="Y200" i="54"/>
  <c r="W200" i="54" s="1"/>
  <c r="Y196" i="54"/>
  <c r="W196" i="54" s="1"/>
  <c r="Y192" i="54"/>
  <c r="W192" i="54" s="1"/>
  <c r="Y188" i="54"/>
  <c r="W188" i="54" s="1"/>
  <c r="Y184" i="54"/>
  <c r="W184" i="54" s="1"/>
  <c r="Y180" i="54"/>
  <c r="W180" i="54" s="1"/>
  <c r="Y176" i="54"/>
  <c r="W176" i="54" s="1"/>
  <c r="Y172" i="54"/>
  <c r="W172" i="54" s="1"/>
  <c r="Y168" i="54"/>
  <c r="W168" i="54" s="1"/>
  <c r="Y164" i="54"/>
  <c r="W164" i="54" s="1"/>
  <c r="Y160" i="54"/>
  <c r="W160" i="54" s="1"/>
  <c r="Y156" i="54"/>
  <c r="W156" i="54" s="1"/>
  <c r="Y152" i="54"/>
  <c r="W152" i="54" s="1"/>
  <c r="Y148" i="54"/>
  <c r="W148" i="54" s="1"/>
  <c r="Y144" i="54"/>
  <c r="W144" i="54" s="1"/>
  <c r="Y140" i="54"/>
  <c r="W140" i="54" s="1"/>
  <c r="Y136" i="54"/>
  <c r="W136" i="54" s="1"/>
  <c r="Y132" i="54"/>
  <c r="W132" i="54" s="1"/>
  <c r="Y128" i="54"/>
  <c r="W128" i="54" s="1"/>
  <c r="Y124" i="54"/>
  <c r="W124" i="54" s="1"/>
  <c r="Y120" i="54"/>
  <c r="W120" i="54" s="1"/>
  <c r="Y116" i="54"/>
  <c r="W116" i="54" s="1"/>
  <c r="Y112" i="54"/>
  <c r="W112" i="54" s="1"/>
  <c r="Y108" i="54"/>
  <c r="W108" i="54" s="1"/>
  <c r="Y104" i="54"/>
  <c r="W104" i="54" s="1"/>
  <c r="Y100" i="54"/>
  <c r="W100" i="54" s="1"/>
  <c r="Y96" i="54"/>
  <c r="W96" i="54" s="1"/>
  <c r="Y92" i="54"/>
  <c r="W92" i="54" s="1"/>
  <c r="Y88" i="54"/>
  <c r="W88" i="54" s="1"/>
  <c r="Y84" i="54"/>
  <c r="W84" i="54" s="1"/>
  <c r="Y80" i="54"/>
  <c r="W80" i="54" s="1"/>
  <c r="Y76" i="54"/>
  <c r="W76" i="54" s="1"/>
  <c r="Y72" i="54"/>
  <c r="W72" i="54" s="1"/>
  <c r="Y68" i="54"/>
  <c r="W68" i="54" s="1"/>
  <c r="Y64" i="54"/>
  <c r="W64" i="54" s="1"/>
  <c r="Y60" i="54"/>
  <c r="W60" i="54" s="1"/>
  <c r="Y56" i="54"/>
  <c r="W56" i="54" s="1"/>
  <c r="Y52" i="54"/>
  <c r="W52" i="54" s="1"/>
  <c r="Y48" i="54"/>
  <c r="W48" i="54" s="1"/>
  <c r="Y44" i="54"/>
  <c r="W44" i="54" s="1"/>
  <c r="Y40" i="54"/>
  <c r="W40" i="54" s="1"/>
  <c r="Y36" i="54"/>
  <c r="W36" i="54" s="1"/>
  <c r="Y32" i="54"/>
  <c r="W32" i="54" s="1"/>
  <c r="Y28" i="54"/>
  <c r="W28" i="54" s="1"/>
  <c r="Y24" i="54"/>
  <c r="W24" i="54" s="1"/>
  <c r="Y1184" i="55"/>
  <c r="W1184" i="55" s="1"/>
  <c r="Y1180" i="55"/>
  <c r="W1180" i="55" s="1"/>
  <c r="Y1176" i="55"/>
  <c r="W1176" i="55" s="1"/>
  <c r="Y1172" i="55"/>
  <c r="W1172" i="55" s="1"/>
  <c r="Y1168" i="55"/>
  <c r="W1168" i="55" s="1"/>
  <c r="Y1164" i="55"/>
  <c r="W1164" i="55" s="1"/>
  <c r="Y1160" i="55"/>
  <c r="W1160" i="55" s="1"/>
  <c r="Y1156" i="55"/>
  <c r="W1156" i="55" s="1"/>
  <c r="Y1152" i="55"/>
  <c r="W1152" i="55" s="1"/>
  <c r="Y1148" i="55"/>
  <c r="W1148" i="55" s="1"/>
  <c r="Y1144" i="55"/>
  <c r="W1144" i="55" s="1"/>
  <c r="Y1140" i="55"/>
  <c r="W1140" i="55" s="1"/>
  <c r="Y1136" i="55"/>
  <c r="W1136" i="55" s="1"/>
  <c r="Y1132" i="55"/>
  <c r="W1132" i="55" s="1"/>
  <c r="Y1128" i="55"/>
  <c r="W1128" i="55" s="1"/>
  <c r="Y1124" i="55"/>
  <c r="W1124" i="55" s="1"/>
  <c r="Y1120" i="55"/>
  <c r="W1120" i="55" s="1"/>
  <c r="Y1116" i="55"/>
  <c r="W1116" i="55" s="1"/>
  <c r="Y1112" i="55"/>
  <c r="W1112" i="55" s="1"/>
  <c r="Y1108" i="55"/>
  <c r="W1108" i="55" s="1"/>
  <c r="Y1104" i="55"/>
  <c r="W1104" i="55" s="1"/>
  <c r="Y1100" i="55"/>
  <c r="W1100" i="55" s="1"/>
  <c r="Y1096" i="55"/>
  <c r="W1096" i="55" s="1"/>
  <c r="Y1092" i="55"/>
  <c r="W1092" i="55" s="1"/>
  <c r="Y1088" i="55"/>
  <c r="W1088" i="55" s="1"/>
  <c r="Y1084" i="55"/>
  <c r="W1084" i="55" s="1"/>
  <c r="Y1080" i="55"/>
  <c r="W1080" i="55" s="1"/>
  <c r="Y1076" i="55"/>
  <c r="W1076" i="55" s="1"/>
  <c r="Y1072" i="55"/>
  <c r="W1072" i="55" s="1"/>
  <c r="Y1068" i="55"/>
  <c r="W1068" i="55" s="1"/>
  <c r="Y1064" i="55"/>
  <c r="W1064" i="55" s="1"/>
  <c r="Y1060" i="55"/>
  <c r="W1060" i="55" s="1"/>
  <c r="Y1056" i="55"/>
  <c r="W1056" i="55" s="1"/>
  <c r="Y1052" i="55"/>
  <c r="W1052" i="55" s="1"/>
  <c r="Y1048" i="55"/>
  <c r="W1048" i="55" s="1"/>
  <c r="Y1044" i="55"/>
  <c r="W1044" i="55" s="1"/>
  <c r="Y1041" i="55"/>
  <c r="W1041" i="55" s="1"/>
  <c r="Y1041" i="54"/>
  <c r="W1041" i="54" s="1"/>
  <c r="Y1029" i="55"/>
  <c r="W1029" i="55" s="1"/>
  <c r="Y1029" i="54"/>
  <c r="W1029" i="54" s="1"/>
  <c r="Y1017" i="55"/>
  <c r="W1017" i="55" s="1"/>
  <c r="Y1017" i="54"/>
  <c r="W1017" i="54" s="1"/>
  <c r="Y1001" i="55"/>
  <c r="W1001" i="55" s="1"/>
  <c r="Y1001" i="54"/>
  <c r="W1001" i="54" s="1"/>
  <c r="Y989" i="55"/>
  <c r="W989" i="55" s="1"/>
  <c r="Y989" i="54"/>
  <c r="W989" i="54" s="1"/>
  <c r="Y977" i="55"/>
  <c r="W977" i="55" s="1"/>
  <c r="Y977" i="54"/>
  <c r="W977" i="54" s="1"/>
  <c r="Y965" i="55"/>
  <c r="W965" i="55" s="1"/>
  <c r="Y965" i="54"/>
  <c r="W965" i="54" s="1"/>
  <c r="Y953" i="55"/>
  <c r="W953" i="55" s="1"/>
  <c r="Y953" i="54"/>
  <c r="W953" i="54" s="1"/>
  <c r="Y937" i="55"/>
  <c r="W937" i="55" s="1"/>
  <c r="Y937" i="54"/>
  <c r="W937" i="54" s="1"/>
  <c r="Y769" i="55"/>
  <c r="W769" i="55" s="1"/>
  <c r="Y769" i="53"/>
  <c r="W769" i="53" s="1"/>
  <c r="Y757" i="55"/>
  <c r="W757" i="55" s="1"/>
  <c r="Y757" i="53"/>
  <c r="W757" i="53" s="1"/>
  <c r="Y745" i="55"/>
  <c r="W745" i="55" s="1"/>
  <c r="Y745" i="53"/>
  <c r="W745" i="53" s="1"/>
  <c r="Y737" i="55"/>
  <c r="W737" i="55" s="1"/>
  <c r="Y737" i="53"/>
  <c r="W737" i="53" s="1"/>
  <c r="Y725" i="55"/>
  <c r="W725" i="55" s="1"/>
  <c r="Y725" i="53"/>
  <c r="W725" i="53" s="1"/>
  <c r="Y717" i="55"/>
  <c r="W717" i="55" s="1"/>
  <c r="Y717" i="53"/>
  <c r="W717" i="53" s="1"/>
  <c r="Y709" i="55"/>
  <c r="W709" i="55" s="1"/>
  <c r="Y709" i="53"/>
  <c r="W709" i="53" s="1"/>
  <c r="Y701" i="55"/>
  <c r="W701" i="55" s="1"/>
  <c r="Y701" i="53"/>
  <c r="W701" i="53" s="1"/>
  <c r="Y693" i="55"/>
  <c r="W693" i="55" s="1"/>
  <c r="Y693" i="53"/>
  <c r="W693" i="53" s="1"/>
  <c r="Y681" i="55"/>
  <c r="W681" i="55" s="1"/>
  <c r="Y681" i="53"/>
  <c r="W681" i="53" s="1"/>
  <c r="Y669" i="55"/>
  <c r="W669" i="55" s="1"/>
  <c r="Y669" i="53"/>
  <c r="W669" i="53" s="1"/>
  <c r="Y657" i="55"/>
  <c r="W657" i="55" s="1"/>
  <c r="Y657" i="53"/>
  <c r="W657" i="53" s="1"/>
  <c r="Y645" i="55"/>
  <c r="W645" i="55" s="1"/>
  <c r="Y645" i="53"/>
  <c r="W645" i="53" s="1"/>
  <c r="Y633" i="55"/>
  <c r="W633" i="55" s="1"/>
  <c r="Y633" i="53"/>
  <c r="W633" i="53" s="1"/>
  <c r="Y625" i="55"/>
  <c r="W625" i="55" s="1"/>
  <c r="Y625" i="53"/>
  <c r="W625" i="53" s="1"/>
  <c r="Y613" i="55"/>
  <c r="W613" i="55" s="1"/>
  <c r="Y613" i="53"/>
  <c r="W613" i="53" s="1"/>
  <c r="Y601" i="55"/>
  <c r="W601" i="55" s="1"/>
  <c r="Y601" i="53"/>
  <c r="W601" i="53" s="1"/>
  <c r="Y589" i="55"/>
  <c r="W589" i="55" s="1"/>
  <c r="Y589" i="53"/>
  <c r="W589" i="53" s="1"/>
  <c r="Y581" i="55"/>
  <c r="W581" i="55" s="1"/>
  <c r="Y581" i="53"/>
  <c r="W581" i="53" s="1"/>
  <c r="Y569" i="55"/>
  <c r="W569" i="55" s="1"/>
  <c r="Y569" i="53"/>
  <c r="W569" i="53" s="1"/>
  <c r="Y557" i="55"/>
  <c r="W557" i="55" s="1"/>
  <c r="Y557" i="53"/>
  <c r="W557" i="53" s="1"/>
  <c r="Y541" i="55"/>
  <c r="W541" i="55" s="1"/>
  <c r="Y541" i="53"/>
  <c r="W541" i="53" s="1"/>
  <c r="Y529" i="55"/>
  <c r="W529" i="55" s="1"/>
  <c r="Y529" i="53"/>
  <c r="W529" i="53" s="1"/>
  <c r="Y517" i="55"/>
  <c r="W517" i="55" s="1"/>
  <c r="Y517" i="53"/>
  <c r="W517" i="53" s="1"/>
  <c r="Y509" i="55"/>
  <c r="W509" i="55" s="1"/>
  <c r="Y509" i="53"/>
  <c r="W509" i="53" s="1"/>
  <c r="Y497" i="55"/>
  <c r="W497" i="55" s="1"/>
  <c r="Y497" i="53"/>
  <c r="W497" i="53" s="1"/>
  <c r="Y481" i="55"/>
  <c r="W481" i="55" s="1"/>
  <c r="Y481" i="53"/>
  <c r="W481" i="53" s="1"/>
  <c r="Y469" i="55"/>
  <c r="W469" i="55" s="1"/>
  <c r="Y469" i="53"/>
  <c r="W469" i="53" s="1"/>
  <c r="Y457" i="55"/>
  <c r="W457" i="55" s="1"/>
  <c r="Y457" i="53"/>
  <c r="W457" i="53" s="1"/>
  <c r="Y445" i="55"/>
  <c r="W445" i="55" s="1"/>
  <c r="Y445" i="53"/>
  <c r="W445" i="53" s="1"/>
  <c r="Y433" i="55"/>
  <c r="W433" i="55" s="1"/>
  <c r="Y433" i="53"/>
  <c r="W433" i="53" s="1"/>
  <c r="Y421" i="55"/>
  <c r="W421" i="55" s="1"/>
  <c r="Y421" i="53"/>
  <c r="W421" i="53" s="1"/>
  <c r="Y409" i="55"/>
  <c r="W409" i="55" s="1"/>
  <c r="Y409" i="53"/>
  <c r="W409" i="53" s="1"/>
  <c r="Y393" i="55"/>
  <c r="W393" i="55" s="1"/>
  <c r="Y393" i="53"/>
  <c r="W393" i="53" s="1"/>
  <c r="Y381" i="55"/>
  <c r="W381" i="55" s="1"/>
  <c r="Y381" i="53"/>
  <c r="W381" i="53" s="1"/>
  <c r="Y373" i="55"/>
  <c r="W373" i="55" s="1"/>
  <c r="Y373" i="53"/>
  <c r="W373" i="53" s="1"/>
  <c r="Y361" i="55"/>
  <c r="W361" i="55" s="1"/>
  <c r="Y361" i="53"/>
  <c r="W361" i="53" s="1"/>
  <c r="Y349" i="55"/>
  <c r="W349" i="55" s="1"/>
  <c r="Y349" i="53"/>
  <c r="W349" i="53" s="1"/>
  <c r="Y337" i="55"/>
  <c r="W337" i="55" s="1"/>
  <c r="Y337" i="53"/>
  <c r="W337" i="53" s="1"/>
  <c r="Y333" i="55"/>
  <c r="W333" i="55" s="1"/>
  <c r="Y333" i="53"/>
  <c r="W333" i="53" s="1"/>
  <c r="Y321" i="55"/>
  <c r="W321" i="55" s="1"/>
  <c r="Y321" i="53"/>
  <c r="W321" i="53" s="1"/>
  <c r="Y309" i="55"/>
  <c r="W309" i="55" s="1"/>
  <c r="Y309" i="53"/>
  <c r="W309" i="53" s="1"/>
  <c r="Y297" i="55"/>
  <c r="W297" i="55" s="1"/>
  <c r="Y297" i="53"/>
  <c r="W297" i="53" s="1"/>
  <c r="Y281" i="55"/>
  <c r="W281" i="55" s="1"/>
  <c r="Y281" i="53"/>
  <c r="W281" i="53" s="1"/>
  <c r="Y269" i="55"/>
  <c r="W269" i="55" s="1"/>
  <c r="Y269" i="53"/>
  <c r="W269" i="53" s="1"/>
  <c r="Y257" i="55"/>
  <c r="W257" i="55" s="1"/>
  <c r="Y257" i="53"/>
  <c r="W257" i="53" s="1"/>
  <c r="Y249" i="55"/>
  <c r="W249" i="55" s="1"/>
  <c r="Y249" i="53"/>
  <c r="W249" i="53" s="1"/>
  <c r="Y237" i="55"/>
  <c r="W237" i="55" s="1"/>
  <c r="Y237" i="53"/>
  <c r="W237" i="53" s="1"/>
  <c r="Y225" i="55"/>
  <c r="W225" i="55" s="1"/>
  <c r="Y225" i="53"/>
  <c r="W225" i="53" s="1"/>
  <c r="Y213" i="55"/>
  <c r="W213" i="55" s="1"/>
  <c r="Y213" i="53"/>
  <c r="W213" i="53" s="1"/>
  <c r="Y201" i="55"/>
  <c r="W201" i="55" s="1"/>
  <c r="Y201" i="53"/>
  <c r="W201" i="53" s="1"/>
  <c r="Y189" i="55"/>
  <c r="W189" i="55" s="1"/>
  <c r="Y189" i="53"/>
  <c r="W189" i="53" s="1"/>
  <c r="Y177" i="55"/>
  <c r="W177" i="55" s="1"/>
  <c r="Y177" i="53"/>
  <c r="W177" i="53" s="1"/>
  <c r="Y165" i="55"/>
  <c r="W165" i="55" s="1"/>
  <c r="Y165" i="53"/>
  <c r="W165" i="53" s="1"/>
  <c r="Y157" i="55"/>
  <c r="W157" i="55" s="1"/>
  <c r="Y157" i="53"/>
  <c r="W157" i="53" s="1"/>
  <c r="Y145" i="55"/>
  <c r="W145" i="55" s="1"/>
  <c r="Y145" i="53"/>
  <c r="W145" i="53" s="1"/>
  <c r="Y133" i="55"/>
  <c r="W133" i="55" s="1"/>
  <c r="Y133" i="53"/>
  <c r="W133" i="53" s="1"/>
  <c r="Y125" i="55"/>
  <c r="W125" i="55" s="1"/>
  <c r="Y125" i="53"/>
  <c r="W125" i="53" s="1"/>
  <c r="Y113" i="55"/>
  <c r="W113" i="55" s="1"/>
  <c r="Y113" i="53"/>
  <c r="W113" i="53" s="1"/>
  <c r="Y105" i="55"/>
  <c r="W105" i="55" s="1"/>
  <c r="Y105" i="53"/>
  <c r="W105" i="53" s="1"/>
  <c r="Y93" i="55"/>
  <c r="W93" i="55" s="1"/>
  <c r="Y93" i="53"/>
  <c r="W93" i="53" s="1"/>
  <c r="Y81" i="55"/>
  <c r="W81" i="55" s="1"/>
  <c r="Y81" i="53"/>
  <c r="W81" i="53" s="1"/>
  <c r="Y69" i="55"/>
  <c r="W69" i="55" s="1"/>
  <c r="Y69" i="53"/>
  <c r="W69" i="53" s="1"/>
  <c r="Y57" i="55"/>
  <c r="W57" i="55" s="1"/>
  <c r="Y57" i="53"/>
  <c r="W57" i="53" s="1"/>
  <c r="Y45" i="55"/>
  <c r="W45" i="55" s="1"/>
  <c r="Y45" i="53"/>
  <c r="W45" i="53" s="1"/>
  <c r="Y33" i="55"/>
  <c r="W33" i="55" s="1"/>
  <c r="Y33" i="53"/>
  <c r="W33" i="53" s="1"/>
  <c r="Y1033" i="55"/>
  <c r="W1033" i="55" s="1"/>
  <c r="Y1033" i="54"/>
  <c r="W1033" i="54" s="1"/>
  <c r="Y1021" i="55"/>
  <c r="W1021" i="55" s="1"/>
  <c r="Y1021" i="54"/>
  <c r="W1021" i="54" s="1"/>
  <c r="Y1009" i="55"/>
  <c r="W1009" i="55" s="1"/>
  <c r="Y1009" i="54"/>
  <c r="W1009" i="54" s="1"/>
  <c r="Y997" i="55"/>
  <c r="W997" i="55" s="1"/>
  <c r="Y997" i="54"/>
  <c r="W997" i="54" s="1"/>
  <c r="Y985" i="55"/>
  <c r="W985" i="55" s="1"/>
  <c r="Y985" i="54"/>
  <c r="W985" i="54" s="1"/>
  <c r="Y973" i="55"/>
  <c r="W973" i="55" s="1"/>
  <c r="Y973" i="54"/>
  <c r="W973" i="54" s="1"/>
  <c r="Y957" i="55"/>
  <c r="W957" i="55" s="1"/>
  <c r="Y957" i="54"/>
  <c r="W957" i="54" s="1"/>
  <c r="Y945" i="55"/>
  <c r="W945" i="55" s="1"/>
  <c r="Y945" i="54"/>
  <c r="W945" i="54" s="1"/>
  <c r="Y929" i="55"/>
  <c r="W929" i="55" s="1"/>
  <c r="Y929" i="54"/>
  <c r="W929" i="54" s="1"/>
  <c r="Y765" i="55"/>
  <c r="W765" i="55" s="1"/>
  <c r="Y765" i="53"/>
  <c r="W765" i="53" s="1"/>
  <c r="Y749" i="55"/>
  <c r="W749" i="55" s="1"/>
  <c r="Y749" i="53"/>
  <c r="W749" i="53" s="1"/>
  <c r="Y733" i="55"/>
  <c r="W733" i="55" s="1"/>
  <c r="Y733" i="53"/>
  <c r="W733" i="53" s="1"/>
  <c r="Y685" i="55"/>
  <c r="W685" i="55" s="1"/>
  <c r="Y685" i="53"/>
  <c r="W685" i="53" s="1"/>
  <c r="Y673" i="55"/>
  <c r="W673" i="55" s="1"/>
  <c r="Y673" i="53"/>
  <c r="W673" i="53" s="1"/>
  <c r="Y661" i="55"/>
  <c r="W661" i="55" s="1"/>
  <c r="Y661" i="53"/>
  <c r="W661" i="53" s="1"/>
  <c r="Y649" i="55"/>
  <c r="W649" i="55" s="1"/>
  <c r="Y649" i="53"/>
  <c r="W649" i="53" s="1"/>
  <c r="Y637" i="55"/>
  <c r="W637" i="55" s="1"/>
  <c r="Y637" i="53"/>
  <c r="W637" i="53" s="1"/>
  <c r="Y621" i="55"/>
  <c r="W621" i="55" s="1"/>
  <c r="Y621" i="53"/>
  <c r="W621" i="53" s="1"/>
  <c r="Y605" i="55"/>
  <c r="W605" i="55" s="1"/>
  <c r="Y605" i="53"/>
  <c r="W605" i="53" s="1"/>
  <c r="Y593" i="55"/>
  <c r="W593" i="55" s="1"/>
  <c r="Y593" i="53"/>
  <c r="W593" i="53" s="1"/>
  <c r="Y577" i="55"/>
  <c r="W577" i="55" s="1"/>
  <c r="Y577" i="53"/>
  <c r="W577" i="53" s="1"/>
  <c r="Y565" i="55"/>
  <c r="W565" i="55" s="1"/>
  <c r="Y565" i="53"/>
  <c r="W565" i="53" s="1"/>
  <c r="Y549" i="55"/>
  <c r="W549" i="55" s="1"/>
  <c r="Y549" i="53"/>
  <c r="W549" i="53" s="1"/>
  <c r="Y537" i="55"/>
  <c r="W537" i="55" s="1"/>
  <c r="Y537" i="53"/>
  <c r="W537" i="53" s="1"/>
  <c r="Y521" i="55"/>
  <c r="W521" i="55" s="1"/>
  <c r="Y521" i="53"/>
  <c r="W521" i="53" s="1"/>
  <c r="Y505" i="55"/>
  <c r="W505" i="55" s="1"/>
  <c r="Y505" i="53"/>
  <c r="W505" i="53" s="1"/>
  <c r="Y493" i="55"/>
  <c r="W493" i="55" s="1"/>
  <c r="Y493" i="53"/>
  <c r="W493" i="53" s="1"/>
  <c r="Y477" i="55"/>
  <c r="W477" i="55" s="1"/>
  <c r="Y477" i="53"/>
  <c r="W477" i="53" s="1"/>
  <c r="Y465" i="55"/>
  <c r="W465" i="55" s="1"/>
  <c r="Y465" i="53"/>
  <c r="W465" i="53" s="1"/>
  <c r="Y449" i="55"/>
  <c r="W449" i="55" s="1"/>
  <c r="Y449" i="53"/>
  <c r="W449" i="53" s="1"/>
  <c r="Y437" i="55"/>
  <c r="W437" i="55" s="1"/>
  <c r="Y437" i="53"/>
  <c r="W437" i="53" s="1"/>
  <c r="Y425" i="55"/>
  <c r="W425" i="55" s="1"/>
  <c r="Y425" i="53"/>
  <c r="W425" i="53" s="1"/>
  <c r="Y413" i="55"/>
  <c r="W413" i="55" s="1"/>
  <c r="Y413" i="53"/>
  <c r="W413" i="53" s="1"/>
  <c r="Y401" i="55"/>
  <c r="W401" i="55" s="1"/>
  <c r="Y401" i="53"/>
  <c r="W401" i="53" s="1"/>
  <c r="Y385" i="55"/>
  <c r="W385" i="55" s="1"/>
  <c r="Y385" i="53"/>
  <c r="W385" i="53" s="1"/>
  <c r="Y369" i="55"/>
  <c r="W369" i="55" s="1"/>
  <c r="Y369" i="53"/>
  <c r="W369" i="53" s="1"/>
  <c r="Y357" i="55"/>
  <c r="W357" i="55" s="1"/>
  <c r="Y357" i="53"/>
  <c r="W357" i="53" s="1"/>
  <c r="Y341" i="55"/>
  <c r="W341" i="55" s="1"/>
  <c r="Y341" i="53"/>
  <c r="W341" i="53" s="1"/>
  <c r="Y325" i="55"/>
  <c r="W325" i="55" s="1"/>
  <c r="Y325" i="53"/>
  <c r="W325" i="53" s="1"/>
  <c r="Y313" i="55"/>
  <c r="W313" i="55" s="1"/>
  <c r="Y313" i="53"/>
  <c r="W313" i="53" s="1"/>
  <c r="Y301" i="55"/>
  <c r="W301" i="55" s="1"/>
  <c r="Y301" i="53"/>
  <c r="W301" i="53" s="1"/>
  <c r="Y289" i="55"/>
  <c r="W289" i="55" s="1"/>
  <c r="Y289" i="53"/>
  <c r="W289" i="53" s="1"/>
  <c r="Y277" i="55"/>
  <c r="W277" i="55" s="1"/>
  <c r="Y277" i="53"/>
  <c r="W277" i="53" s="1"/>
  <c r="Y261" i="55"/>
  <c r="W261" i="55" s="1"/>
  <c r="Y261" i="53"/>
  <c r="W261" i="53" s="1"/>
  <c r="Y245" i="55"/>
  <c r="W245" i="55" s="1"/>
  <c r="Y245" i="53"/>
  <c r="W245" i="53" s="1"/>
  <c r="Y233" i="55"/>
  <c r="W233" i="55" s="1"/>
  <c r="Y233" i="53"/>
  <c r="W233" i="53" s="1"/>
  <c r="Y221" i="55"/>
  <c r="W221" i="55" s="1"/>
  <c r="Y221" i="53"/>
  <c r="W221" i="53" s="1"/>
  <c r="Y209" i="55"/>
  <c r="W209" i="55" s="1"/>
  <c r="Y209" i="53"/>
  <c r="W209" i="53" s="1"/>
  <c r="Y197" i="55"/>
  <c r="W197" i="55" s="1"/>
  <c r="Y197" i="53"/>
  <c r="W197" i="53" s="1"/>
  <c r="Y185" i="55"/>
  <c r="W185" i="55" s="1"/>
  <c r="Y185" i="53"/>
  <c r="W185" i="53" s="1"/>
  <c r="Y169" i="55"/>
  <c r="W169" i="55" s="1"/>
  <c r="Y169" i="53"/>
  <c r="W169" i="53" s="1"/>
  <c r="Y153" i="55"/>
  <c r="W153" i="55" s="1"/>
  <c r="Y153" i="53"/>
  <c r="W153" i="53" s="1"/>
  <c r="Y141" i="55"/>
  <c r="W141" i="55" s="1"/>
  <c r="Y141" i="53"/>
  <c r="W141" i="53" s="1"/>
  <c r="Y129" i="55"/>
  <c r="W129" i="55" s="1"/>
  <c r="Y129" i="53"/>
  <c r="W129" i="53" s="1"/>
  <c r="Y117" i="55"/>
  <c r="W117" i="55" s="1"/>
  <c r="Y117" i="53"/>
  <c r="W117" i="53" s="1"/>
  <c r="Y97" i="55"/>
  <c r="W97" i="55" s="1"/>
  <c r="Y97" i="53"/>
  <c r="W97" i="53" s="1"/>
  <c r="Y85" i="55"/>
  <c r="W85" i="55" s="1"/>
  <c r="Y85" i="53"/>
  <c r="W85" i="53" s="1"/>
  <c r="Y73" i="55"/>
  <c r="W73" i="55" s="1"/>
  <c r="Y73" i="53"/>
  <c r="W73" i="53" s="1"/>
  <c r="Y61" i="55"/>
  <c r="W61" i="55" s="1"/>
  <c r="Y61" i="53"/>
  <c r="W61" i="53" s="1"/>
  <c r="Y53" i="55"/>
  <c r="W53" i="55" s="1"/>
  <c r="Y53" i="53"/>
  <c r="W53" i="53" s="1"/>
  <c r="Y37" i="55"/>
  <c r="W37" i="55" s="1"/>
  <c r="Y37" i="53"/>
  <c r="W37" i="53" s="1"/>
  <c r="Y29" i="55"/>
  <c r="W29" i="55" s="1"/>
  <c r="Y29" i="53"/>
  <c r="W29" i="53" s="1"/>
  <c r="Y1037" i="55"/>
  <c r="W1037" i="55" s="1"/>
  <c r="Y1037" i="54"/>
  <c r="W1037" i="54" s="1"/>
  <c r="Y1025" i="55"/>
  <c r="W1025" i="55" s="1"/>
  <c r="Y1025" i="54"/>
  <c r="W1025" i="54" s="1"/>
  <c r="Y1013" i="55"/>
  <c r="W1013" i="55" s="1"/>
  <c r="Y1013" i="54"/>
  <c r="W1013" i="54" s="1"/>
  <c r="Y1005" i="55"/>
  <c r="W1005" i="55" s="1"/>
  <c r="Y1005" i="54"/>
  <c r="W1005" i="54" s="1"/>
  <c r="Y993" i="55"/>
  <c r="W993" i="55" s="1"/>
  <c r="Y993" i="54"/>
  <c r="W993" i="54" s="1"/>
  <c r="Y981" i="55"/>
  <c r="W981" i="55" s="1"/>
  <c r="Y981" i="54"/>
  <c r="W981" i="54" s="1"/>
  <c r="Y969" i="55"/>
  <c r="W969" i="55" s="1"/>
  <c r="Y969" i="54"/>
  <c r="W969" i="54" s="1"/>
  <c r="Y961" i="55"/>
  <c r="W961" i="55" s="1"/>
  <c r="Y961" i="54"/>
  <c r="W961" i="54" s="1"/>
  <c r="Y949" i="55"/>
  <c r="W949" i="55" s="1"/>
  <c r="Y949" i="54"/>
  <c r="W949" i="54" s="1"/>
  <c r="Y941" i="55"/>
  <c r="W941" i="55" s="1"/>
  <c r="Y941" i="54"/>
  <c r="W941" i="54" s="1"/>
  <c r="Y933" i="55"/>
  <c r="W933" i="55" s="1"/>
  <c r="Y933" i="54"/>
  <c r="W933" i="54" s="1"/>
  <c r="Y925" i="55"/>
  <c r="W925" i="55" s="1"/>
  <c r="Y925" i="54"/>
  <c r="W925" i="54" s="1"/>
  <c r="Y921" i="55"/>
  <c r="W921" i="55" s="1"/>
  <c r="Y921" i="54"/>
  <c r="W921" i="54" s="1"/>
  <c r="Y917" i="55"/>
  <c r="W917" i="55" s="1"/>
  <c r="Y917" i="54"/>
  <c r="W917" i="54" s="1"/>
  <c r="Y761" i="55"/>
  <c r="W761" i="55" s="1"/>
  <c r="Y761" i="53"/>
  <c r="W761" i="53" s="1"/>
  <c r="Y753" i="55"/>
  <c r="W753" i="55" s="1"/>
  <c r="Y753" i="53"/>
  <c r="W753" i="53" s="1"/>
  <c r="Y741" i="55"/>
  <c r="W741" i="55" s="1"/>
  <c r="Y741" i="53"/>
  <c r="W741" i="53" s="1"/>
  <c r="Y729" i="55"/>
  <c r="W729" i="55" s="1"/>
  <c r="Y729" i="53"/>
  <c r="W729" i="53" s="1"/>
  <c r="Y721" i="55"/>
  <c r="W721" i="55" s="1"/>
  <c r="Y721" i="53"/>
  <c r="W721" i="53" s="1"/>
  <c r="Y713" i="55"/>
  <c r="W713" i="55" s="1"/>
  <c r="Y713" i="53"/>
  <c r="W713" i="53" s="1"/>
  <c r="Y705" i="55"/>
  <c r="W705" i="55" s="1"/>
  <c r="Y705" i="53"/>
  <c r="W705" i="53" s="1"/>
  <c r="Y697" i="55"/>
  <c r="W697" i="55" s="1"/>
  <c r="Y697" i="53"/>
  <c r="W697" i="53" s="1"/>
  <c r="Y689" i="55"/>
  <c r="W689" i="55" s="1"/>
  <c r="Y689" i="53"/>
  <c r="W689" i="53" s="1"/>
  <c r="Y677" i="55"/>
  <c r="W677" i="55" s="1"/>
  <c r="Y677" i="53"/>
  <c r="W677" i="53" s="1"/>
  <c r="Y665" i="55"/>
  <c r="W665" i="55" s="1"/>
  <c r="Y665" i="53"/>
  <c r="W665" i="53" s="1"/>
  <c r="Y653" i="55"/>
  <c r="W653" i="55" s="1"/>
  <c r="Y653" i="53"/>
  <c r="W653" i="53" s="1"/>
  <c r="Y641" i="55"/>
  <c r="W641" i="55" s="1"/>
  <c r="Y641" i="53"/>
  <c r="W641" i="53" s="1"/>
  <c r="Y629" i="55"/>
  <c r="W629" i="55" s="1"/>
  <c r="Y629" i="53"/>
  <c r="W629" i="53" s="1"/>
  <c r="Y617" i="55"/>
  <c r="W617" i="55" s="1"/>
  <c r="Y617" i="53"/>
  <c r="W617" i="53" s="1"/>
  <c r="Y609" i="55"/>
  <c r="W609" i="55" s="1"/>
  <c r="Y609" i="53"/>
  <c r="W609" i="53" s="1"/>
  <c r="Y597" i="55"/>
  <c r="W597" i="55" s="1"/>
  <c r="Y597" i="53"/>
  <c r="W597" i="53" s="1"/>
  <c r="Y585" i="55"/>
  <c r="W585" i="55" s="1"/>
  <c r="Y585" i="53"/>
  <c r="W585" i="53" s="1"/>
  <c r="Y573" i="55"/>
  <c r="W573" i="55" s="1"/>
  <c r="Y573" i="53"/>
  <c r="W573" i="53" s="1"/>
  <c r="Y561" i="55"/>
  <c r="W561" i="55" s="1"/>
  <c r="Y561" i="53"/>
  <c r="W561" i="53" s="1"/>
  <c r="Y553" i="55"/>
  <c r="W553" i="55" s="1"/>
  <c r="Y553" i="53"/>
  <c r="W553" i="53" s="1"/>
  <c r="Y545" i="55"/>
  <c r="W545" i="55" s="1"/>
  <c r="Y545" i="53"/>
  <c r="W545" i="53" s="1"/>
  <c r="Y533" i="55"/>
  <c r="W533" i="55" s="1"/>
  <c r="Y533" i="53"/>
  <c r="W533" i="53" s="1"/>
  <c r="Y525" i="55"/>
  <c r="W525" i="55" s="1"/>
  <c r="Y525" i="53"/>
  <c r="W525" i="53" s="1"/>
  <c r="Y513" i="55"/>
  <c r="W513" i="55" s="1"/>
  <c r="Y513" i="53"/>
  <c r="W513" i="53" s="1"/>
  <c r="Y501" i="55"/>
  <c r="W501" i="55" s="1"/>
  <c r="Y501" i="53"/>
  <c r="W501" i="53" s="1"/>
  <c r="Y489" i="55"/>
  <c r="W489" i="55" s="1"/>
  <c r="Y489" i="53"/>
  <c r="W489" i="53" s="1"/>
  <c r="Y485" i="55"/>
  <c r="W485" i="55" s="1"/>
  <c r="Y485" i="53"/>
  <c r="W485" i="53" s="1"/>
  <c r="Y473" i="55"/>
  <c r="W473" i="55" s="1"/>
  <c r="Y473" i="53"/>
  <c r="W473" i="53" s="1"/>
  <c r="Y461" i="55"/>
  <c r="W461" i="55" s="1"/>
  <c r="Y461" i="53"/>
  <c r="W461" i="53" s="1"/>
  <c r="Y453" i="55"/>
  <c r="W453" i="55" s="1"/>
  <c r="Y453" i="53"/>
  <c r="W453" i="53" s="1"/>
  <c r="Y441" i="55"/>
  <c r="W441" i="55" s="1"/>
  <c r="Y441" i="53"/>
  <c r="W441" i="53" s="1"/>
  <c r="Y429" i="55"/>
  <c r="W429" i="55" s="1"/>
  <c r="Y429" i="53"/>
  <c r="W429" i="53" s="1"/>
  <c r="Y417" i="55"/>
  <c r="W417" i="55" s="1"/>
  <c r="Y417" i="53"/>
  <c r="W417" i="53" s="1"/>
  <c r="Y405" i="55"/>
  <c r="W405" i="55" s="1"/>
  <c r="Y405" i="53"/>
  <c r="W405" i="53" s="1"/>
  <c r="Y397" i="55"/>
  <c r="W397" i="55" s="1"/>
  <c r="Y397" i="53"/>
  <c r="W397" i="53" s="1"/>
  <c r="Y389" i="55"/>
  <c r="W389" i="55" s="1"/>
  <c r="Y389" i="53"/>
  <c r="W389" i="53" s="1"/>
  <c r="Y377" i="55"/>
  <c r="W377" i="55" s="1"/>
  <c r="Y377" i="53"/>
  <c r="W377" i="53" s="1"/>
  <c r="Y365" i="55"/>
  <c r="W365" i="55" s="1"/>
  <c r="Y365" i="53"/>
  <c r="W365" i="53" s="1"/>
  <c r="Y353" i="55"/>
  <c r="W353" i="55" s="1"/>
  <c r="Y353" i="53"/>
  <c r="W353" i="53" s="1"/>
  <c r="Y345" i="55"/>
  <c r="W345" i="55" s="1"/>
  <c r="Y345" i="53"/>
  <c r="W345" i="53" s="1"/>
  <c r="Y329" i="55"/>
  <c r="W329" i="55" s="1"/>
  <c r="Y329" i="53"/>
  <c r="W329" i="53" s="1"/>
  <c r="Y317" i="55"/>
  <c r="W317" i="55" s="1"/>
  <c r="Y317" i="53"/>
  <c r="W317" i="53" s="1"/>
  <c r="Y305" i="55"/>
  <c r="W305" i="55" s="1"/>
  <c r="Y305" i="53"/>
  <c r="W305" i="53" s="1"/>
  <c r="Y293" i="55"/>
  <c r="W293" i="55" s="1"/>
  <c r="Y293" i="53"/>
  <c r="W293" i="53" s="1"/>
  <c r="Y285" i="55"/>
  <c r="W285" i="55" s="1"/>
  <c r="Y285" i="53"/>
  <c r="W285" i="53" s="1"/>
  <c r="Y273" i="55"/>
  <c r="W273" i="55" s="1"/>
  <c r="Y273" i="53"/>
  <c r="W273" i="53" s="1"/>
  <c r="Y265" i="55"/>
  <c r="W265" i="55" s="1"/>
  <c r="Y265" i="53"/>
  <c r="W265" i="53" s="1"/>
  <c r="Y253" i="55"/>
  <c r="W253" i="55" s="1"/>
  <c r="Y253" i="53"/>
  <c r="W253" i="53" s="1"/>
  <c r="Y241" i="55"/>
  <c r="W241" i="55" s="1"/>
  <c r="Y241" i="53"/>
  <c r="W241" i="53" s="1"/>
  <c r="Y229" i="55"/>
  <c r="W229" i="55" s="1"/>
  <c r="Y229" i="53"/>
  <c r="W229" i="53" s="1"/>
  <c r="Y217" i="55"/>
  <c r="W217" i="55" s="1"/>
  <c r="Y217" i="53"/>
  <c r="W217" i="53" s="1"/>
  <c r="Y205" i="55"/>
  <c r="W205" i="55" s="1"/>
  <c r="Y205" i="53"/>
  <c r="W205" i="53" s="1"/>
  <c r="Y193" i="55"/>
  <c r="W193" i="55" s="1"/>
  <c r="Y193" i="53"/>
  <c r="W193" i="53" s="1"/>
  <c r="Y181" i="55"/>
  <c r="W181" i="55" s="1"/>
  <c r="Y181" i="53"/>
  <c r="W181" i="53" s="1"/>
  <c r="Y173" i="55"/>
  <c r="W173" i="55" s="1"/>
  <c r="Y173" i="53"/>
  <c r="W173" i="53" s="1"/>
  <c r="Y161" i="55"/>
  <c r="W161" i="55" s="1"/>
  <c r="Y161" i="53"/>
  <c r="W161" i="53" s="1"/>
  <c r="Y149" i="55"/>
  <c r="W149" i="55" s="1"/>
  <c r="Y149" i="53"/>
  <c r="W149" i="53" s="1"/>
  <c r="Y137" i="55"/>
  <c r="W137" i="55" s="1"/>
  <c r="Y137" i="53"/>
  <c r="W137" i="53" s="1"/>
  <c r="Y121" i="55"/>
  <c r="W121" i="55" s="1"/>
  <c r="Y121" i="53"/>
  <c r="W121" i="53" s="1"/>
  <c r="Y109" i="55"/>
  <c r="W109" i="55" s="1"/>
  <c r="Y109" i="53"/>
  <c r="W109" i="53" s="1"/>
  <c r="Y101" i="55"/>
  <c r="W101" i="55" s="1"/>
  <c r="Y101" i="53"/>
  <c r="W101" i="53" s="1"/>
  <c r="Y89" i="55"/>
  <c r="W89" i="55" s="1"/>
  <c r="Y89" i="53"/>
  <c r="W89" i="53" s="1"/>
  <c r="Y77" i="55"/>
  <c r="W77" i="55" s="1"/>
  <c r="Y77" i="53"/>
  <c r="W77" i="53" s="1"/>
  <c r="Y65" i="55"/>
  <c r="W65" i="55" s="1"/>
  <c r="Y65" i="53"/>
  <c r="W65" i="53" s="1"/>
  <c r="Y49" i="55"/>
  <c r="W49" i="55" s="1"/>
  <c r="Y49" i="53"/>
  <c r="W49" i="53" s="1"/>
  <c r="Y41" i="55"/>
  <c r="W41" i="55" s="1"/>
  <c r="Y41" i="53"/>
  <c r="W41" i="53" s="1"/>
  <c r="Y25" i="55"/>
  <c r="W25" i="55" s="1"/>
  <c r="Y25" i="53"/>
  <c r="W25" i="53" s="1"/>
  <c r="Y913" i="54"/>
  <c r="W913" i="54" s="1"/>
  <c r="W22" i="44"/>
  <c r="J4" i="56"/>
  <c r="K4" i="56" s="1"/>
  <c r="L4" i="56" s="1"/>
  <c r="F475" i="19"/>
  <c r="F474" i="19"/>
  <c r="F473" i="19"/>
  <c r="F472" i="19"/>
  <c r="AA942" i="19"/>
  <c r="AA1188" i="19"/>
  <c r="AA1187" i="19"/>
  <c r="AA1186" i="19"/>
  <c r="AA1185" i="19"/>
  <c r="AA1184" i="19"/>
  <c r="AA1183" i="19"/>
  <c r="AA1182"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1" i="19"/>
  <c r="AA1120" i="19"/>
  <c r="AA1119" i="19"/>
  <c r="AA1118" i="19"/>
  <c r="AA1117" i="19"/>
  <c r="AA1116" i="19"/>
  <c r="AA1115" i="19"/>
  <c r="AA1114" i="19"/>
  <c r="AA1113" i="19"/>
  <c r="AA1112" i="19"/>
  <c r="AA1111" i="19"/>
  <c r="AA1110" i="19"/>
  <c r="AA1109" i="19"/>
  <c r="AA1108" i="19"/>
  <c r="AA1107" i="19"/>
  <c r="AA1106" i="19"/>
  <c r="AA1105" i="19"/>
  <c r="AA1104" i="19"/>
  <c r="AA1103" i="19"/>
  <c r="AA1102" i="19"/>
  <c r="AA1101" i="19"/>
  <c r="AA1100" i="19"/>
  <c r="AA1099" i="19"/>
  <c r="AA1098" i="19"/>
  <c r="AA1097" i="19"/>
  <c r="AA1096" i="19"/>
  <c r="AA1095" i="19"/>
  <c r="AA1094" i="19"/>
  <c r="AA1093" i="19"/>
  <c r="AA1092" i="19"/>
  <c r="AA1091" i="19"/>
  <c r="AA1090" i="19"/>
  <c r="AA1089" i="19"/>
  <c r="AA1088" i="19"/>
  <c r="AA1087" i="19"/>
  <c r="AA1086" i="19"/>
  <c r="AA1085" i="19"/>
  <c r="AA1084" i="19"/>
  <c r="AA1083" i="19"/>
  <c r="AA1082" i="19"/>
  <c r="AA1081" i="19"/>
  <c r="AA1080" i="19"/>
  <c r="AA1079" i="19"/>
  <c r="AA1078" i="19"/>
  <c r="AA1077" i="19"/>
  <c r="AA1076" i="19"/>
  <c r="AA1075" i="19"/>
  <c r="AA1074" i="19"/>
  <c r="AA1073" i="19"/>
  <c r="AA1072" i="19"/>
  <c r="AA1071" i="19"/>
  <c r="AA1070" i="19"/>
  <c r="AA1069" i="19"/>
  <c r="AA1068" i="19"/>
  <c r="AA1067" i="19"/>
  <c r="AA1066" i="19"/>
  <c r="AA1065" i="19"/>
  <c r="AA1064" i="19"/>
  <c r="AA1063" i="19"/>
  <c r="AA1062" i="19"/>
  <c r="AA1061" i="19"/>
  <c r="AA1060" i="19"/>
  <c r="AA1059" i="19"/>
  <c r="AA1058" i="19"/>
  <c r="AA1057" i="19"/>
  <c r="AA1056" i="19"/>
  <c r="AA1055" i="19"/>
  <c r="AA1054" i="19"/>
  <c r="AA1053" i="19"/>
  <c r="AA1052" i="19"/>
  <c r="AA1051" i="19"/>
  <c r="AA1050" i="19"/>
  <c r="AA1049" i="19"/>
  <c r="AA1048" i="19"/>
  <c r="AA1047" i="19"/>
  <c r="AA1046" i="19"/>
  <c r="AA1045" i="19"/>
  <c r="AA1044" i="19"/>
  <c r="AA1043" i="19"/>
  <c r="AA1042" i="19"/>
  <c r="AA1041" i="19"/>
  <c r="AA1040" i="19"/>
  <c r="AA1039" i="19"/>
  <c r="AA1038" i="19"/>
  <c r="AA1037" i="19"/>
  <c r="AA1036" i="19"/>
  <c r="AA1035" i="19"/>
  <c r="AA1034" i="19"/>
  <c r="AA1033" i="19"/>
  <c r="AA1032" i="19"/>
  <c r="AA1031" i="19"/>
  <c r="AA1030" i="19"/>
  <c r="AA1029" i="19"/>
  <c r="AA1028" i="19"/>
  <c r="AA1027" i="19"/>
  <c r="AA1026" i="19"/>
  <c r="AA1025" i="19"/>
  <c r="AA1024" i="19"/>
  <c r="AA1023" i="19"/>
  <c r="AA1022" i="19"/>
  <c r="AA1021" i="19"/>
  <c r="AA1020" i="19"/>
  <c r="AA1019" i="19"/>
  <c r="AA1018" i="19"/>
  <c r="AA1017" i="19"/>
  <c r="AA1016" i="19"/>
  <c r="AA1015" i="19"/>
  <c r="AA1014" i="19"/>
  <c r="AA1013" i="19"/>
  <c r="AA1012" i="19"/>
  <c r="AA1011" i="19"/>
  <c r="AA1010" i="19"/>
  <c r="AA1009" i="19"/>
  <c r="AA1008" i="19"/>
  <c r="AA1007" i="19"/>
  <c r="AA1006" i="19"/>
  <c r="AA1005" i="19"/>
  <c r="AA1004" i="19"/>
  <c r="AA1003" i="19"/>
  <c r="AA1002" i="19"/>
  <c r="AA1001" i="19"/>
  <c r="AA1000" i="19"/>
  <c r="AA999" i="19"/>
  <c r="AA998" i="19"/>
  <c r="AA997" i="19"/>
  <c r="AA996" i="19"/>
  <c r="AA995" i="19"/>
  <c r="AA994" i="19"/>
  <c r="AA993" i="19"/>
  <c r="AA992" i="19"/>
  <c r="AA991" i="19"/>
  <c r="AA990" i="19"/>
  <c r="AA989" i="19"/>
  <c r="AA988" i="19"/>
  <c r="AA987" i="19"/>
  <c r="AA986" i="19"/>
  <c r="AA985" i="19"/>
  <c r="AA984" i="19"/>
  <c r="AA983" i="19"/>
  <c r="AA982" i="19"/>
  <c r="AA981" i="19"/>
  <c r="AA980" i="19"/>
  <c r="AA979" i="19"/>
  <c r="AA978" i="19"/>
  <c r="AA977" i="19"/>
  <c r="AA976" i="19"/>
  <c r="AA975" i="19"/>
  <c r="AA974" i="19"/>
  <c r="AA973" i="19"/>
  <c r="AA972" i="19"/>
  <c r="AA971" i="19"/>
  <c r="AA970" i="19"/>
  <c r="AA969" i="19"/>
  <c r="AA968" i="19"/>
  <c r="AA967" i="19"/>
  <c r="AA966" i="19"/>
  <c r="AA965" i="19"/>
  <c r="AA964" i="19"/>
  <c r="AA963" i="19"/>
  <c r="AA962" i="19"/>
  <c r="AA961" i="19"/>
  <c r="AA960" i="19"/>
  <c r="AA959" i="19"/>
  <c r="AA958" i="19"/>
  <c r="AA957" i="19"/>
  <c r="AA956" i="19"/>
  <c r="AA955" i="19"/>
  <c r="AA954" i="19"/>
  <c r="AA953" i="19"/>
  <c r="AA952" i="19"/>
  <c r="AA951" i="19"/>
  <c r="AA950" i="19"/>
  <c r="AA949" i="19"/>
  <c r="AA948" i="19"/>
  <c r="AA947" i="19"/>
  <c r="AA946" i="19"/>
  <c r="AA945" i="19"/>
  <c r="AA944" i="19"/>
  <c r="AA943" i="19"/>
  <c r="AA941" i="19"/>
  <c r="AA940" i="19"/>
  <c r="AA939" i="19"/>
  <c r="AA938" i="19"/>
  <c r="AA937" i="19"/>
  <c r="AA936" i="19"/>
  <c r="AA935" i="19"/>
  <c r="AA934" i="19"/>
  <c r="AA933" i="19"/>
  <c r="AA932" i="19"/>
  <c r="AA931" i="19"/>
  <c r="AA930" i="19"/>
  <c r="AA929" i="19"/>
  <c r="AA928" i="19"/>
  <c r="AA927" i="19"/>
  <c r="AA926" i="19"/>
  <c r="AA925" i="19"/>
  <c r="AA924" i="19"/>
  <c r="AA923" i="19"/>
  <c r="AA922" i="19"/>
  <c r="AA921" i="19"/>
  <c r="AA920" i="19"/>
  <c r="AA919" i="19"/>
  <c r="AA918" i="19"/>
  <c r="AA917" i="19"/>
  <c r="AA916" i="19"/>
  <c r="AA915" i="19"/>
  <c r="AA914" i="19"/>
  <c r="AA913" i="19"/>
  <c r="AA912" i="19"/>
  <c r="AA911" i="19"/>
  <c r="AA910" i="19"/>
  <c r="AA909" i="19"/>
  <c r="AA908" i="19"/>
  <c r="AA907" i="19"/>
  <c r="AA906" i="19"/>
  <c r="AA905" i="19"/>
  <c r="AA904" i="19"/>
  <c r="AA903" i="19"/>
  <c r="AA902" i="19"/>
  <c r="AA901" i="19"/>
  <c r="AA900" i="19"/>
  <c r="AA899" i="19"/>
  <c r="AA898" i="19"/>
  <c r="AA897" i="19"/>
  <c r="AA896" i="19"/>
  <c r="AA895" i="19"/>
  <c r="AA894" i="19"/>
  <c r="AA893" i="19"/>
  <c r="AA892" i="19"/>
  <c r="AA891" i="19"/>
  <c r="AA890" i="19"/>
  <c r="AA889" i="19"/>
  <c r="AA888" i="19"/>
  <c r="AA887" i="19"/>
  <c r="AA886" i="19"/>
  <c r="AA885" i="19"/>
  <c r="AA884" i="19"/>
  <c r="AA883" i="19"/>
  <c r="AA882" i="19"/>
  <c r="AA881" i="19"/>
  <c r="AA880" i="19"/>
  <c r="AA879" i="19"/>
  <c r="AA878" i="19"/>
  <c r="AA877" i="19"/>
  <c r="AA876" i="19"/>
  <c r="AA875" i="19"/>
  <c r="AA874" i="19"/>
  <c r="AA873" i="19"/>
  <c r="AA872" i="19"/>
  <c r="AA871" i="19"/>
  <c r="AA870" i="19"/>
  <c r="AA869" i="19"/>
  <c r="AA868" i="19"/>
  <c r="AA867" i="19"/>
  <c r="AA866" i="19"/>
  <c r="AA865" i="19"/>
  <c r="AA864" i="19"/>
  <c r="AA863" i="19"/>
  <c r="AA862" i="19"/>
  <c r="AA861" i="19"/>
  <c r="AA860" i="19"/>
  <c r="AA859" i="19"/>
  <c r="AA858" i="19"/>
  <c r="AA857" i="19"/>
  <c r="AA856" i="19"/>
  <c r="AA855" i="19"/>
  <c r="AA854" i="19"/>
  <c r="AA853" i="19"/>
  <c r="AA852" i="19"/>
  <c r="AA851" i="19"/>
  <c r="AA850" i="19"/>
  <c r="AA849" i="19"/>
  <c r="AA848" i="19"/>
  <c r="AA847" i="19"/>
  <c r="AA846" i="19"/>
  <c r="AA845" i="19"/>
  <c r="AA844" i="19"/>
  <c r="AA843" i="19"/>
  <c r="AA842" i="19"/>
  <c r="AA841" i="19"/>
  <c r="AA840" i="19"/>
  <c r="AA839" i="19"/>
  <c r="AA838" i="19"/>
  <c r="AA837" i="19"/>
  <c r="AA836" i="19"/>
  <c r="AA835" i="19"/>
  <c r="AA834" i="19"/>
  <c r="AA833" i="19"/>
  <c r="AA832" i="19"/>
  <c r="AA831" i="19"/>
  <c r="AA830" i="19"/>
  <c r="AA829" i="19"/>
  <c r="AA828" i="19"/>
  <c r="AA827" i="19"/>
  <c r="AA826" i="19"/>
  <c r="AA825" i="19"/>
  <c r="AA824" i="19"/>
  <c r="AA823" i="19"/>
  <c r="AA822" i="19"/>
  <c r="AA821" i="19"/>
  <c r="AA820" i="19"/>
  <c r="AA819" i="19"/>
  <c r="AA818" i="19"/>
  <c r="AA817" i="19"/>
  <c r="AA816" i="19"/>
  <c r="AA815" i="19"/>
  <c r="AA814" i="19"/>
  <c r="AA813" i="19"/>
  <c r="AA812" i="19"/>
  <c r="AA811" i="19"/>
  <c r="AA810" i="19"/>
  <c r="AA809" i="19"/>
  <c r="AA808" i="19"/>
  <c r="AA807" i="19"/>
  <c r="AA806" i="19"/>
  <c r="AA805" i="19"/>
  <c r="AA804" i="19"/>
  <c r="AA803" i="19"/>
  <c r="AA802" i="19"/>
  <c r="AA801" i="19"/>
  <c r="AA800" i="19"/>
  <c r="AA799" i="19"/>
  <c r="AA798" i="19"/>
  <c r="AA797" i="19"/>
  <c r="AA796" i="19"/>
  <c r="AA795" i="19"/>
  <c r="AA794" i="19"/>
  <c r="AA793" i="19"/>
  <c r="AA792" i="19"/>
  <c r="AA791" i="19"/>
  <c r="AA790" i="19"/>
  <c r="AA789" i="19"/>
  <c r="AA788" i="19"/>
  <c r="AA787" i="19"/>
  <c r="AA786" i="19"/>
  <c r="AA785" i="19"/>
  <c r="AA784" i="19"/>
  <c r="AA783" i="19"/>
  <c r="AA782" i="19"/>
  <c r="AA781" i="19"/>
  <c r="AA780" i="19"/>
  <c r="AA779" i="19"/>
  <c r="AA778" i="19"/>
  <c r="AA777" i="19"/>
  <c r="AA776" i="19"/>
  <c r="AA775" i="19"/>
  <c r="AA774" i="19"/>
  <c r="AA773" i="19"/>
  <c r="AA772" i="19"/>
  <c r="AA771" i="19"/>
  <c r="AA770" i="19"/>
  <c r="AA769" i="19"/>
  <c r="AA768" i="19"/>
  <c r="AA767" i="19"/>
  <c r="AA766" i="19"/>
  <c r="AA765" i="19"/>
  <c r="AA764" i="19"/>
  <c r="AA763" i="19"/>
  <c r="AA762" i="19"/>
  <c r="AA761" i="19"/>
  <c r="AA760" i="19"/>
  <c r="AA759" i="19"/>
  <c r="AA758" i="19"/>
  <c r="AA757" i="19"/>
  <c r="AA756" i="19"/>
  <c r="AA755" i="19"/>
  <c r="AA754" i="19"/>
  <c r="AA753" i="19"/>
  <c r="AA752" i="19"/>
  <c r="AA751" i="19"/>
  <c r="AA750" i="19"/>
  <c r="AA749" i="19"/>
  <c r="AA748" i="19"/>
  <c r="AA747" i="19"/>
  <c r="AA746" i="19"/>
  <c r="AA745" i="19"/>
  <c r="AA744" i="19"/>
  <c r="AA743" i="19"/>
  <c r="AA742" i="19"/>
  <c r="AA741" i="19"/>
  <c r="AA740" i="19"/>
  <c r="AA739" i="19"/>
  <c r="AA738" i="19"/>
  <c r="AA737" i="19"/>
  <c r="AA736" i="19"/>
  <c r="AA735" i="19"/>
  <c r="AA734" i="19"/>
  <c r="AA733" i="19"/>
  <c r="AA732" i="19"/>
  <c r="AA731" i="19"/>
  <c r="AA730" i="19"/>
  <c r="AA729" i="19"/>
  <c r="AA728" i="19"/>
  <c r="AA727" i="19"/>
  <c r="AA726" i="19"/>
  <c r="AA725" i="19"/>
  <c r="AA724" i="19"/>
  <c r="AA723" i="19"/>
  <c r="AA722" i="19"/>
  <c r="AA721" i="19"/>
  <c r="AA720" i="19"/>
  <c r="AA719" i="19"/>
  <c r="AA718" i="19"/>
  <c r="AA717" i="19"/>
  <c r="AA716" i="19"/>
  <c r="AA715" i="19"/>
  <c r="AA714" i="19"/>
  <c r="AA713" i="19"/>
  <c r="AA712" i="19"/>
  <c r="AA711" i="19"/>
  <c r="AA710" i="19"/>
  <c r="AA709" i="19"/>
  <c r="AA708" i="19"/>
  <c r="AA707" i="19"/>
  <c r="AA706" i="19"/>
  <c r="AA705" i="19"/>
  <c r="AA704" i="19"/>
  <c r="AA703" i="19"/>
  <c r="AA702" i="19"/>
  <c r="AA701" i="19"/>
  <c r="AA700" i="19"/>
  <c r="AA699" i="19"/>
  <c r="AA698" i="19"/>
  <c r="AA697" i="19"/>
  <c r="AA696" i="19"/>
  <c r="AA695" i="19"/>
  <c r="AA694" i="19"/>
  <c r="AA693" i="19"/>
  <c r="AA692" i="19"/>
  <c r="AA691" i="19"/>
  <c r="AA690" i="19"/>
  <c r="AA689" i="19"/>
  <c r="AA688" i="19"/>
  <c r="AA687" i="19"/>
  <c r="AA686" i="19"/>
  <c r="AA685" i="19"/>
  <c r="AA684" i="19"/>
  <c r="AA683" i="19"/>
  <c r="AA682" i="19"/>
  <c r="AA681" i="19"/>
  <c r="AA680" i="19"/>
  <c r="AA679" i="19"/>
  <c r="AA678" i="19"/>
  <c r="AA677" i="19"/>
  <c r="AA676" i="19"/>
  <c r="AA675" i="19"/>
  <c r="AA674" i="19"/>
  <c r="AA673" i="19"/>
  <c r="AA672" i="19"/>
  <c r="AA671" i="19"/>
  <c r="AA670" i="19"/>
  <c r="AA669" i="19"/>
  <c r="AA668" i="19"/>
  <c r="AA667" i="19"/>
  <c r="AA666" i="19"/>
  <c r="AA665" i="19"/>
  <c r="AA664" i="19"/>
  <c r="AA663" i="19"/>
  <c r="AA662" i="19"/>
  <c r="AA661" i="19"/>
  <c r="AA660" i="19"/>
  <c r="AA659" i="19"/>
  <c r="AA658" i="19"/>
  <c r="AA657" i="19"/>
  <c r="AA656" i="19"/>
  <c r="AA655" i="19"/>
  <c r="AA654" i="19"/>
  <c r="AA653" i="19"/>
  <c r="AA652" i="19"/>
  <c r="AA651" i="19"/>
  <c r="AA650" i="19"/>
  <c r="AA649" i="19"/>
  <c r="AA648" i="19"/>
  <c r="AA647" i="19"/>
  <c r="AA646" i="19"/>
  <c r="AA645" i="19"/>
  <c r="AA644" i="19"/>
  <c r="AA643" i="19"/>
  <c r="AA642" i="19"/>
  <c r="AA641" i="19"/>
  <c r="AA640" i="19"/>
  <c r="AA639" i="19"/>
  <c r="AA638" i="19"/>
  <c r="AA637" i="19"/>
  <c r="AA636" i="19"/>
  <c r="AA635" i="19"/>
  <c r="AA634" i="19"/>
  <c r="AA633" i="19"/>
  <c r="AA632" i="19"/>
  <c r="AA631" i="19"/>
  <c r="AA630" i="19"/>
  <c r="AA629" i="19"/>
  <c r="AA628" i="19"/>
  <c r="AA627" i="19"/>
  <c r="AA626" i="19"/>
  <c r="AA625" i="19"/>
  <c r="AA624" i="19"/>
  <c r="AA623" i="19"/>
  <c r="AA622" i="19"/>
  <c r="AA621" i="19"/>
  <c r="AA620" i="19"/>
  <c r="AA619" i="19"/>
  <c r="AA618" i="19"/>
  <c r="AA617" i="19"/>
  <c r="AA616" i="19"/>
  <c r="AA615" i="19"/>
  <c r="AA614" i="19"/>
  <c r="AA613" i="19"/>
  <c r="AA612" i="19"/>
  <c r="AA611" i="19"/>
  <c r="AA610" i="19"/>
  <c r="AA609" i="19"/>
  <c r="AA608" i="19"/>
  <c r="AA607" i="19"/>
  <c r="AA606" i="19"/>
  <c r="AA605" i="19"/>
  <c r="AA604" i="19"/>
  <c r="AA603" i="19"/>
  <c r="AA602" i="19"/>
  <c r="AA601" i="19"/>
  <c r="AA600" i="19"/>
  <c r="AA599" i="19"/>
  <c r="AA598" i="19"/>
  <c r="AA597" i="19"/>
  <c r="AA596" i="19"/>
  <c r="AA595" i="19"/>
  <c r="AA594" i="19"/>
  <c r="AA593" i="19"/>
  <c r="AA592" i="19"/>
  <c r="AA591" i="19"/>
  <c r="AA590" i="19"/>
  <c r="AA589" i="19"/>
  <c r="AA588" i="19"/>
  <c r="AA587" i="19"/>
  <c r="AA586" i="19"/>
  <c r="AA585" i="19"/>
  <c r="AA584" i="19"/>
  <c r="AA583" i="19"/>
  <c r="AA582" i="19"/>
  <c r="AA581" i="19"/>
  <c r="AA580" i="19"/>
  <c r="AA579" i="19"/>
  <c r="AA578" i="19"/>
  <c r="AA577" i="19"/>
  <c r="AA576" i="19"/>
  <c r="AA575" i="19"/>
  <c r="AA574" i="19"/>
  <c r="AA573" i="19"/>
  <c r="AA572" i="19"/>
  <c r="AA571" i="19"/>
  <c r="AA570" i="19"/>
  <c r="AA569" i="19"/>
  <c r="AA568" i="19"/>
  <c r="AA567" i="19"/>
  <c r="AA566" i="19"/>
  <c r="AA565" i="19"/>
  <c r="AA564" i="19"/>
  <c r="AA563" i="19"/>
  <c r="AA562" i="19"/>
  <c r="AA561" i="19"/>
  <c r="AA560" i="19"/>
  <c r="AA559" i="19"/>
  <c r="AA558" i="19"/>
  <c r="AA557" i="19"/>
  <c r="AA556" i="19"/>
  <c r="AA555" i="19"/>
  <c r="AA554" i="19"/>
  <c r="AA553" i="19"/>
  <c r="AA552" i="19"/>
  <c r="AA551" i="19"/>
  <c r="AA550" i="19"/>
  <c r="AA549" i="19"/>
  <c r="AA548" i="19"/>
  <c r="AA547" i="19"/>
  <c r="AA546" i="19"/>
  <c r="AA545" i="19"/>
  <c r="AA544" i="19"/>
  <c r="AA543" i="19"/>
  <c r="AA542" i="19"/>
  <c r="AA541" i="19"/>
  <c r="AA540" i="19"/>
  <c r="AA539" i="19"/>
  <c r="AA538" i="19"/>
  <c r="AA537" i="19"/>
  <c r="AA536" i="19"/>
  <c r="AA535" i="19"/>
  <c r="AA534" i="19"/>
  <c r="AA533" i="19"/>
  <c r="AA532" i="19"/>
  <c r="AA531" i="19"/>
  <c r="AA530" i="19"/>
  <c r="AA529" i="19"/>
  <c r="AA528" i="19"/>
  <c r="AA527" i="19"/>
  <c r="AA526" i="19"/>
  <c r="AA525" i="19"/>
  <c r="AA524" i="19"/>
  <c r="AA523" i="19"/>
  <c r="AA522" i="19"/>
  <c r="AA521" i="19"/>
  <c r="AA520" i="19"/>
  <c r="AA519" i="19"/>
  <c r="AA518" i="19"/>
  <c r="AA517" i="19"/>
  <c r="AA516" i="19"/>
  <c r="AA515" i="19"/>
  <c r="AA514" i="19"/>
  <c r="AA513" i="19"/>
  <c r="AA512" i="19"/>
  <c r="AA511" i="19"/>
  <c r="AA510" i="19"/>
  <c r="AA509" i="19"/>
  <c r="AA508" i="19"/>
  <c r="AA507" i="19"/>
  <c r="AA506" i="19"/>
  <c r="AA505" i="19"/>
  <c r="AA504" i="19"/>
  <c r="AA503" i="19"/>
  <c r="AA502" i="19"/>
  <c r="AA501" i="19"/>
  <c r="AA500" i="19"/>
  <c r="AA499" i="19"/>
  <c r="AA498" i="19"/>
  <c r="AA497" i="19"/>
  <c r="AA496" i="19"/>
  <c r="AA495" i="19"/>
  <c r="AA494" i="19"/>
  <c r="AA493" i="19"/>
  <c r="AA492" i="19"/>
  <c r="AA491" i="19"/>
  <c r="AA490" i="19"/>
  <c r="AA489" i="19"/>
  <c r="AA488" i="19"/>
  <c r="AA487" i="19"/>
  <c r="AA486" i="19"/>
  <c r="AA485" i="19"/>
  <c r="AA484" i="19"/>
  <c r="AA483" i="19"/>
  <c r="AA482" i="19"/>
  <c r="AA481" i="19"/>
  <c r="AA480" i="19"/>
  <c r="AA479" i="19"/>
  <c r="AA478" i="19"/>
  <c r="AA477" i="19"/>
  <c r="AA476" i="19"/>
  <c r="AA475" i="19"/>
  <c r="AA474" i="19"/>
  <c r="AA473" i="19"/>
  <c r="AA472" i="19"/>
  <c r="AA471" i="19"/>
  <c r="AA470" i="19"/>
  <c r="AA469" i="19"/>
  <c r="AA468" i="19"/>
  <c r="AA467" i="19"/>
  <c r="AA466" i="19"/>
  <c r="AA465" i="19"/>
  <c r="AA464" i="19"/>
  <c r="AA463" i="19"/>
  <c r="AA462" i="19"/>
  <c r="AA461" i="19"/>
  <c r="AA460" i="19"/>
  <c r="AA459" i="19"/>
  <c r="AA458" i="19"/>
  <c r="AA457" i="19"/>
  <c r="AA456" i="19"/>
  <c r="AA455" i="19"/>
  <c r="AA454" i="19"/>
  <c r="AA453" i="19"/>
  <c r="AA452" i="19"/>
  <c r="AA451" i="19"/>
  <c r="AA450" i="19"/>
  <c r="AA449" i="19"/>
  <c r="AA448" i="19"/>
  <c r="AA447" i="19"/>
  <c r="AA446" i="19"/>
  <c r="AA445" i="19"/>
  <c r="AA444" i="19"/>
  <c r="AA443" i="19"/>
  <c r="AA442" i="19"/>
  <c r="AA441" i="19"/>
  <c r="AA440" i="19"/>
  <c r="AA439" i="19"/>
  <c r="AA438" i="19"/>
  <c r="AA437" i="19"/>
  <c r="AA436" i="19"/>
  <c r="AA435" i="19"/>
  <c r="AA434" i="19"/>
  <c r="AA433" i="19"/>
  <c r="AA432" i="19"/>
  <c r="AA431" i="19"/>
  <c r="AA430" i="19"/>
  <c r="AA429" i="19"/>
  <c r="AA428" i="19"/>
  <c r="AA427" i="19"/>
  <c r="AA426" i="19"/>
  <c r="AA425" i="19"/>
  <c r="AA424" i="19"/>
  <c r="AA423" i="19"/>
  <c r="AA422" i="19"/>
  <c r="AA421" i="19"/>
  <c r="AA420" i="19"/>
  <c r="AA419" i="19"/>
  <c r="AA418" i="19"/>
  <c r="AA417" i="19"/>
  <c r="AA416" i="19"/>
  <c r="AA415" i="19"/>
  <c r="AA414" i="19"/>
  <c r="AA413" i="19"/>
  <c r="AA412" i="19"/>
  <c r="AA411" i="19"/>
  <c r="AA410" i="19"/>
  <c r="AA409" i="19"/>
  <c r="AA408" i="19"/>
  <c r="AA407" i="19"/>
  <c r="AA406" i="19"/>
  <c r="AA405" i="19"/>
  <c r="AA404" i="19"/>
  <c r="AA403" i="19"/>
  <c r="AA402" i="19"/>
  <c r="AA401" i="19"/>
  <c r="AA400" i="19"/>
  <c r="AA399" i="19"/>
  <c r="AA398" i="19"/>
  <c r="AA397" i="19"/>
  <c r="AA396" i="19"/>
  <c r="AA395" i="19"/>
  <c r="AA394" i="19"/>
  <c r="AA393" i="19"/>
  <c r="AA392" i="19"/>
  <c r="AA391" i="19"/>
  <c r="AA390" i="19"/>
  <c r="AA389" i="19"/>
  <c r="AA388" i="19"/>
  <c r="AA387" i="19"/>
  <c r="AA386" i="19"/>
  <c r="AA385" i="19"/>
  <c r="AA384" i="19"/>
  <c r="AA383" i="19"/>
  <c r="AA382" i="19"/>
  <c r="AA381" i="19"/>
  <c r="AA380" i="19"/>
  <c r="AA379" i="19"/>
  <c r="AA378" i="19"/>
  <c r="AA377" i="19"/>
  <c r="AA376" i="19"/>
  <c r="AA375" i="19"/>
  <c r="AA374" i="19"/>
  <c r="AA373" i="19"/>
  <c r="AA372" i="19"/>
  <c r="AA371" i="19"/>
  <c r="AA370" i="19"/>
  <c r="AA369" i="19"/>
  <c r="AA368" i="19"/>
  <c r="AA367" i="19"/>
  <c r="AA366" i="19"/>
  <c r="AA365" i="19"/>
  <c r="AA364" i="19"/>
  <c r="AA363" i="19"/>
  <c r="AA362" i="19"/>
  <c r="AA361" i="19"/>
  <c r="AA360" i="19"/>
  <c r="AA359" i="19"/>
  <c r="AA358" i="19"/>
  <c r="AA357" i="19"/>
  <c r="AA356" i="19"/>
  <c r="AA355" i="19"/>
  <c r="AA354" i="19"/>
  <c r="AA353" i="19"/>
  <c r="AA352" i="19"/>
  <c r="AA351" i="19"/>
  <c r="AA350" i="19"/>
  <c r="AA349" i="19"/>
  <c r="AA348" i="19"/>
  <c r="AA347" i="19"/>
  <c r="AA346" i="19"/>
  <c r="AA345" i="19"/>
  <c r="AA344" i="19"/>
  <c r="AA343" i="19"/>
  <c r="AA342" i="19"/>
  <c r="AA341" i="19"/>
  <c r="AA340" i="19"/>
  <c r="AA339" i="19"/>
  <c r="AA338" i="19"/>
  <c r="AA337" i="19"/>
  <c r="AA336" i="19"/>
  <c r="AA335" i="19"/>
  <c r="AA334" i="19"/>
  <c r="AA333" i="19"/>
  <c r="AA332" i="19"/>
  <c r="AA331" i="19"/>
  <c r="AA330" i="19"/>
  <c r="AA329" i="19"/>
  <c r="AA328" i="19"/>
  <c r="AA327" i="19"/>
  <c r="AA326" i="19"/>
  <c r="AA325" i="19"/>
  <c r="AA324" i="19"/>
  <c r="AA323" i="19"/>
  <c r="AA322" i="19"/>
  <c r="AA321" i="19"/>
  <c r="AA320" i="19"/>
  <c r="AA319" i="19"/>
  <c r="AA318" i="19"/>
  <c r="AA317" i="19"/>
  <c r="AA316" i="19"/>
  <c r="AA315" i="19"/>
  <c r="AA314" i="19"/>
  <c r="AA313" i="19"/>
  <c r="AA312" i="19"/>
  <c r="AA311" i="19"/>
  <c r="AA310"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2" i="19"/>
  <c r="AA281" i="19"/>
  <c r="AA280" i="19"/>
  <c r="AA279" i="19"/>
  <c r="AA278" i="19"/>
  <c r="AA277" i="19"/>
  <c r="AA276" i="19"/>
  <c r="AA275" i="19"/>
  <c r="AA274" i="19"/>
  <c r="AA273" i="19"/>
  <c r="AA272" i="19"/>
  <c r="AA271" i="19"/>
  <c r="AA270" i="19"/>
  <c r="AA269" i="19"/>
  <c r="AA268" i="19"/>
  <c r="AA267" i="19"/>
  <c r="AA266" i="19"/>
  <c r="AA265" i="19"/>
  <c r="AA264" i="19"/>
  <c r="AA263" i="19"/>
  <c r="AA262" i="19"/>
  <c r="AA261" i="19"/>
  <c r="AA260" i="19"/>
  <c r="AA259" i="19"/>
  <c r="AA258" i="19"/>
  <c r="AA257" i="19"/>
  <c r="AA256" i="19"/>
  <c r="AA255" i="19"/>
  <c r="AA254" i="19"/>
  <c r="AA253" i="19"/>
  <c r="AA252" i="19"/>
  <c r="AA251" i="19"/>
  <c r="AA250" i="19"/>
  <c r="AA249" i="19"/>
  <c r="AA248" i="19"/>
  <c r="AA247" i="19"/>
  <c r="AA246" i="19"/>
  <c r="AA245" i="19"/>
  <c r="AA244" i="19"/>
  <c r="AA243" i="19"/>
  <c r="AA242" i="19"/>
  <c r="AA241" i="19"/>
  <c r="AA240" i="19"/>
  <c r="AA239" i="19"/>
  <c r="AA238" i="19"/>
  <c r="AA237" i="19"/>
  <c r="AA236" i="19"/>
  <c r="AA235" i="19"/>
  <c r="AA234" i="19"/>
  <c r="AA233" i="19"/>
  <c r="AA232" i="19"/>
  <c r="AA231" i="19"/>
  <c r="AA230" i="19"/>
  <c r="AA229" i="19"/>
  <c r="AA228" i="19"/>
  <c r="AA227" i="19"/>
  <c r="AA226" i="19"/>
  <c r="AA225" i="19"/>
  <c r="AA224" i="19"/>
  <c r="AA223" i="19"/>
  <c r="AA222" i="19"/>
  <c r="AA221" i="19"/>
  <c r="AA220" i="19"/>
  <c r="AA219" i="19"/>
  <c r="AA218" i="19"/>
  <c r="AA217" i="19"/>
  <c r="AA216" i="19"/>
  <c r="AA215" i="19"/>
  <c r="AA214" i="19"/>
  <c r="AA213" i="19"/>
  <c r="AA212" i="19"/>
  <c r="AA211" i="19"/>
  <c r="AA210" i="19"/>
  <c r="AA209" i="19"/>
  <c r="AA208" i="19"/>
  <c r="AA207" i="19"/>
  <c r="AA206" i="19"/>
  <c r="AA205" i="19"/>
  <c r="AA204" i="19"/>
  <c r="AA203" i="19"/>
  <c r="AA202" i="19"/>
  <c r="AA201" i="19"/>
  <c r="AA200" i="19"/>
  <c r="AA199" i="19"/>
  <c r="AA198" i="19"/>
  <c r="AA197" i="19"/>
  <c r="AA196" i="19"/>
  <c r="AA195" i="19"/>
  <c r="AA194" i="19"/>
  <c r="AA193" i="19"/>
  <c r="AA192" i="19"/>
  <c r="AA191" i="19"/>
  <c r="AA190" i="19"/>
  <c r="AA189" i="19"/>
  <c r="AA188" i="19"/>
  <c r="AA187" i="19"/>
  <c r="AA186" i="19"/>
  <c r="AA185" i="19"/>
  <c r="AA184" i="19"/>
  <c r="AA183" i="19"/>
  <c r="AA182" i="19"/>
  <c r="AA181" i="19"/>
  <c r="AA180" i="19"/>
  <c r="AA179" i="19"/>
  <c r="AA178" i="19"/>
  <c r="AA177" i="19"/>
  <c r="AA176" i="19"/>
  <c r="AA175" i="19"/>
  <c r="AA174" i="19"/>
  <c r="AA173" i="19"/>
  <c r="AA172" i="19"/>
  <c r="AA171" i="19"/>
  <c r="AA170" i="19"/>
  <c r="AA169" i="19"/>
  <c r="AA168" i="19"/>
  <c r="AA167" i="19"/>
  <c r="AA166" i="19"/>
  <c r="AA165" i="19"/>
  <c r="AA164" i="19"/>
  <c r="AA163" i="19"/>
  <c r="AA162" i="19"/>
  <c r="AA161" i="19"/>
  <c r="AA160" i="19"/>
  <c r="AA159" i="19"/>
  <c r="AA158" i="19"/>
  <c r="AA157" i="19"/>
  <c r="AA156" i="19"/>
  <c r="AA155" i="19"/>
  <c r="AA154" i="19"/>
  <c r="AA153" i="19"/>
  <c r="AA152" i="19"/>
  <c r="AA151" i="19"/>
  <c r="AA150" i="19"/>
  <c r="AA149" i="19"/>
  <c r="AA148" i="19"/>
  <c r="AA147" i="19"/>
  <c r="AA146" i="19"/>
  <c r="AA145" i="19"/>
  <c r="AA144" i="19"/>
  <c r="AA143" i="19"/>
  <c r="AA142" i="19"/>
  <c r="AA141" i="19"/>
  <c r="AA140" i="19"/>
  <c r="AA139" i="19"/>
  <c r="AA138" i="19"/>
  <c r="AA137" i="19"/>
  <c r="AA136" i="19"/>
  <c r="AA135" i="19"/>
  <c r="AA134" i="19"/>
  <c r="AA133" i="19"/>
  <c r="AA132" i="19"/>
  <c r="AA131" i="19"/>
  <c r="AA130" i="19"/>
  <c r="AA129" i="19"/>
  <c r="AA128" i="19"/>
  <c r="AA127" i="19"/>
  <c r="AA126" i="19"/>
  <c r="AA125" i="19"/>
  <c r="AA124" i="19"/>
  <c r="AA123" i="19"/>
  <c r="AA122" i="19"/>
  <c r="AA121" i="19"/>
  <c r="AA120" i="19"/>
  <c r="AA119" i="19"/>
  <c r="AA118" i="19"/>
  <c r="AA117" i="19"/>
  <c r="AA116" i="19"/>
  <c r="AA115" i="19"/>
  <c r="AA114" i="19"/>
  <c r="AA113" i="19"/>
  <c r="AA112" i="19"/>
  <c r="AA111" i="19"/>
  <c r="AA110" i="19"/>
  <c r="AA109" i="19"/>
  <c r="AA108" i="19"/>
  <c r="AA107" i="19"/>
  <c r="AA106" i="19"/>
  <c r="AA105" i="19"/>
  <c r="AA104" i="19"/>
  <c r="AA103" i="19"/>
  <c r="AA102" i="19"/>
  <c r="AA101" i="19"/>
  <c r="AA100" i="19"/>
  <c r="AA99" i="19"/>
  <c r="AA98" i="19"/>
  <c r="AA97" i="19"/>
  <c r="AA96" i="19"/>
  <c r="AA95" i="19"/>
  <c r="AA94" i="19"/>
  <c r="AA93" i="19"/>
  <c r="AA92" i="19"/>
  <c r="AA91" i="19"/>
  <c r="AA90"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P255" i="19"/>
  <c r="AR255" i="19"/>
  <c r="AT255" i="19" s="1"/>
  <c r="AS255" i="19" s="1"/>
  <c r="AX255" i="19"/>
  <c r="AY255" i="19"/>
  <c r="AZ255" i="19"/>
  <c r="AN284" i="19" l="1"/>
  <c r="AN285" i="19"/>
  <c r="W20" i="44"/>
  <c r="AE1212" i="19" s="1"/>
  <c r="AE1213" i="19" s="1"/>
  <c r="W22" i="52"/>
  <c r="A1156" i="52" s="1"/>
  <c r="W22" i="53"/>
  <c r="A836" i="53" s="1"/>
  <c r="W22" i="54"/>
  <c r="W22" i="55"/>
  <c r="A962" i="55" s="1"/>
  <c r="J5" i="56"/>
  <c r="J6" i="56" s="1"/>
  <c r="A629" i="44"/>
  <c r="A888" i="44"/>
  <c r="A1010" i="44"/>
  <c r="A1075" i="44"/>
  <c r="A1139" i="44"/>
  <c r="A127" i="44"/>
  <c r="A715" i="44"/>
  <c r="A931" i="44"/>
  <c r="A1027" i="44"/>
  <c r="A1091" i="44"/>
  <c r="A1155" i="44"/>
  <c r="A459" i="44"/>
  <c r="A797" i="44"/>
  <c r="A965" i="44"/>
  <c r="A1043" i="44"/>
  <c r="A1107" i="44"/>
  <c r="A544" i="44"/>
  <c r="A845" i="44"/>
  <c r="A989" i="44"/>
  <c r="A1059" i="44"/>
  <c r="A1123" i="44"/>
  <c r="A339" i="44"/>
  <c r="A22" i="44"/>
  <c r="A1151" i="44"/>
  <c r="A1135" i="44"/>
  <c r="A1119" i="44"/>
  <c r="A1103" i="44"/>
  <c r="A1087" i="44"/>
  <c r="A1071" i="44"/>
  <c r="A1055" i="44"/>
  <c r="A1039" i="44"/>
  <c r="A1023" i="44"/>
  <c r="A1005" i="44"/>
  <c r="A983" i="44"/>
  <c r="A957" i="44"/>
  <c r="A920" i="44"/>
  <c r="A877" i="44"/>
  <c r="A835" i="44"/>
  <c r="A779" i="44"/>
  <c r="A693" i="44"/>
  <c r="A608" i="44"/>
  <c r="A523" i="44"/>
  <c r="A437" i="44"/>
  <c r="A25" i="44"/>
  <c r="A23" i="44"/>
  <c r="A1147" i="44"/>
  <c r="A1131" i="44"/>
  <c r="A1115" i="44"/>
  <c r="A1099" i="44"/>
  <c r="A1083" i="44"/>
  <c r="A1067" i="44"/>
  <c r="A1051" i="44"/>
  <c r="A1035" i="44"/>
  <c r="A1019" i="44"/>
  <c r="A999" i="44"/>
  <c r="A978" i="44"/>
  <c r="A949" i="44"/>
  <c r="A909" i="44"/>
  <c r="A867" i="44"/>
  <c r="A824" i="44"/>
  <c r="A757" i="44"/>
  <c r="A672" i="44"/>
  <c r="A587" i="44"/>
  <c r="A501" i="44"/>
  <c r="A415" i="44"/>
  <c r="A24" i="44"/>
  <c r="A1159" i="44"/>
  <c r="A1143" i="44"/>
  <c r="A1127" i="44"/>
  <c r="A1111" i="44"/>
  <c r="A1095" i="44"/>
  <c r="A1079" i="44"/>
  <c r="A1063" i="44"/>
  <c r="A1047" i="44"/>
  <c r="A1031" i="44"/>
  <c r="A1015" i="44"/>
  <c r="A994" i="44"/>
  <c r="A973" i="44"/>
  <c r="A941" i="44"/>
  <c r="A899" i="44"/>
  <c r="A856" i="44"/>
  <c r="A811" i="44"/>
  <c r="A736" i="44"/>
  <c r="A651" i="44"/>
  <c r="A565" i="44"/>
  <c r="A480" i="44"/>
  <c r="A1167" i="44"/>
  <c r="A1183" i="44"/>
  <c r="A1171" i="44"/>
  <c r="A1175" i="44"/>
  <c r="A1163" i="44"/>
  <c r="A1179"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82" i="44"/>
  <c r="A1178" i="44"/>
  <c r="A1174" i="44"/>
  <c r="A1170" i="44"/>
  <c r="A1166" i="44"/>
  <c r="A1162" i="44"/>
  <c r="A1158" i="44"/>
  <c r="A1154" i="44"/>
  <c r="A1150" i="44"/>
  <c r="A1146" i="44"/>
  <c r="A1142" i="44"/>
  <c r="A1138" i="44"/>
  <c r="A1134" i="44"/>
  <c r="A1130" i="44"/>
  <c r="A1126" i="44"/>
  <c r="A1122"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85" i="44"/>
  <c r="A1181" i="44"/>
  <c r="A1177" i="44"/>
  <c r="A1173" i="44"/>
  <c r="A1169" i="44"/>
  <c r="A1165" i="44"/>
  <c r="A1161" i="44"/>
  <c r="A1157" i="44"/>
  <c r="A1153" i="44"/>
  <c r="A1149" i="44"/>
  <c r="A1145" i="44"/>
  <c r="A1141" i="44"/>
  <c r="A1137" i="44"/>
  <c r="A1133" i="44"/>
  <c r="A1129" i="44"/>
  <c r="A1125"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84" i="44"/>
  <c r="A1180" i="44"/>
  <c r="A1176" i="44"/>
  <c r="A1172" i="44"/>
  <c r="A1168" i="44"/>
  <c r="A1164" i="44"/>
  <c r="A1160" i="44"/>
  <c r="A1156" i="44"/>
  <c r="A1152" i="44"/>
  <c r="A1148" i="44"/>
  <c r="A1144" i="44"/>
  <c r="A1140" i="44"/>
  <c r="A1136" i="44"/>
  <c r="A1132" i="44"/>
  <c r="A1128" i="44"/>
  <c r="A1124"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F1015" i="19"/>
  <c r="F1014" i="19"/>
  <c r="F1013" i="19"/>
  <c r="F1010" i="19"/>
  <c r="F1009" i="19"/>
  <c r="F1008" i="19"/>
  <c r="F1000" i="19"/>
  <c r="F999" i="19"/>
  <c r="F997" i="19"/>
  <c r="F996" i="19"/>
  <c r="F995" i="19"/>
  <c r="F992" i="19"/>
  <c r="F959" i="19"/>
  <c r="F958" i="19"/>
  <c r="F956" i="19"/>
  <c r="F955" i="19"/>
  <c r="F954" i="19"/>
  <c r="F952" i="19"/>
  <c r="F951" i="19"/>
  <c r="F950" i="19"/>
  <c r="F826" i="19"/>
  <c r="F366" i="19"/>
  <c r="F365" i="19"/>
  <c r="F194" i="19"/>
  <c r="F144" i="19"/>
  <c r="F143" i="19"/>
  <c r="F142" i="19"/>
  <c r="F141" i="19"/>
  <c r="F140" i="19"/>
  <c r="F139" i="19"/>
  <c r="F138" i="19"/>
  <c r="AR942" i="19"/>
  <c r="AT942" i="19" s="1"/>
  <c r="AS942" i="19" s="1"/>
  <c r="AX942" i="19"/>
  <c r="AY942" i="19"/>
  <c r="AZ942" i="19"/>
  <c r="Z942" i="19"/>
  <c r="F942" i="19"/>
  <c r="N942" i="19"/>
  <c r="O942" i="19"/>
  <c r="P942" i="19"/>
  <c r="X942" i="19"/>
  <c r="AC942"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6" i="19"/>
  <c r="F1124" i="19"/>
  <c r="F1123" i="19"/>
  <c r="F1121" i="19"/>
  <c r="F1119" i="19"/>
  <c r="F1117" i="19"/>
  <c r="F1115" i="19"/>
  <c r="F1113" i="19"/>
  <c r="F1111" i="19"/>
  <c r="F1109" i="19"/>
  <c r="F1107" i="19"/>
  <c r="F1105" i="19"/>
  <c r="F1104" i="19"/>
  <c r="F1102" i="19"/>
  <c r="F1100" i="19"/>
  <c r="F1098" i="19"/>
  <c r="F1096" i="19"/>
  <c r="F1095" i="19"/>
  <c r="F1093" i="19"/>
  <c r="F1091" i="19"/>
  <c r="F1090" i="19"/>
  <c r="F1088" i="19"/>
  <c r="F1086" i="19"/>
  <c r="F1084" i="19"/>
  <c r="F1082" i="19"/>
  <c r="F1080" i="19"/>
  <c r="F1079" i="19"/>
  <c r="F1077" i="19"/>
  <c r="F1075" i="19"/>
  <c r="F1072" i="19"/>
  <c r="F1071" i="19"/>
  <c r="F1070" i="19"/>
  <c r="F1069" i="19"/>
  <c r="F1068" i="19"/>
  <c r="F1066" i="19"/>
  <c r="F1065" i="19"/>
  <c r="F1064" i="19"/>
  <c r="F1063" i="19"/>
  <c r="F1061" i="19"/>
  <c r="F1060" i="19"/>
  <c r="F1059" i="19"/>
  <c r="F1058" i="19"/>
  <c r="F1057" i="19"/>
  <c r="F1055" i="19"/>
  <c r="F1054" i="19"/>
  <c r="F1053" i="19"/>
  <c r="F1052" i="19"/>
  <c r="F1050" i="19"/>
  <c r="F1048" i="19"/>
  <c r="F1047" i="19"/>
  <c r="F1046" i="19"/>
  <c r="F1045" i="19"/>
  <c r="F1043" i="19"/>
  <c r="F1042" i="19"/>
  <c r="F1041" i="19"/>
  <c r="F1040" i="19"/>
  <c r="F1039" i="19"/>
  <c r="F1038" i="19"/>
  <c r="F1037" i="19"/>
  <c r="F1036" i="19"/>
  <c r="F1035" i="19"/>
  <c r="F1034" i="19"/>
  <c r="F1033" i="19"/>
  <c r="F1032" i="19"/>
  <c r="F1031" i="19"/>
  <c r="F1030" i="19"/>
  <c r="F1029" i="19"/>
  <c r="F1028" i="19"/>
  <c r="F1026" i="19"/>
  <c r="F1024" i="19"/>
  <c r="F1023" i="19"/>
  <c r="F1022" i="19"/>
  <c r="F1021" i="19"/>
  <c r="F1020" i="19"/>
  <c r="F1018" i="19"/>
  <c r="F1016" i="19"/>
  <c r="F1012" i="19"/>
  <c r="F1006" i="19"/>
  <c r="F1005" i="19"/>
  <c r="F1004" i="19"/>
  <c r="F1003" i="19"/>
  <c r="F1002" i="19"/>
  <c r="F1001" i="19"/>
  <c r="F998" i="19"/>
  <c r="F994" i="19"/>
  <c r="F993" i="19"/>
  <c r="F991" i="19"/>
  <c r="F990" i="19"/>
  <c r="F989" i="19"/>
  <c r="F987" i="19"/>
  <c r="F986" i="19"/>
  <c r="F985" i="19"/>
  <c r="F984" i="19"/>
  <c r="F983" i="19"/>
  <c r="F982" i="19"/>
  <c r="F981" i="19"/>
  <c r="F980" i="19"/>
  <c r="F979" i="19"/>
  <c r="F978" i="19"/>
  <c r="F977" i="19"/>
  <c r="F976" i="19"/>
  <c r="F975" i="19"/>
  <c r="F973" i="19"/>
  <c r="F971" i="19"/>
  <c r="F970" i="19"/>
  <c r="F968" i="19"/>
  <c r="F967" i="19"/>
  <c r="F966" i="19"/>
  <c r="F965" i="19"/>
  <c r="F964" i="19"/>
  <c r="F963" i="19"/>
  <c r="F962" i="19"/>
  <c r="F961" i="19"/>
  <c r="F948" i="19"/>
  <c r="F947" i="19"/>
  <c r="F945" i="19"/>
  <c r="F944" i="19"/>
  <c r="F943" i="19"/>
  <c r="F941" i="19"/>
  <c r="F940" i="19"/>
  <c r="F939" i="19"/>
  <c r="F938" i="19"/>
  <c r="F936" i="19"/>
  <c r="F935" i="19"/>
  <c r="F934" i="19"/>
  <c r="F933" i="19"/>
  <c r="F932" i="19"/>
  <c r="F931" i="19"/>
  <c r="F930" i="19"/>
  <c r="F929" i="19"/>
  <c r="F927" i="19"/>
  <c r="F925" i="19"/>
  <c r="F924" i="19"/>
  <c r="F922" i="19"/>
  <c r="F920" i="19"/>
  <c r="F919" i="19"/>
  <c r="F917" i="19"/>
  <c r="F916" i="19"/>
  <c r="F914" i="19"/>
  <c r="F912" i="19"/>
  <c r="F910" i="19"/>
  <c r="F908" i="19"/>
  <c r="F905" i="19"/>
  <c r="F904" i="19"/>
  <c r="F903" i="19"/>
  <c r="F902" i="19"/>
  <c r="F901" i="19"/>
  <c r="F900" i="19"/>
  <c r="F898" i="19"/>
  <c r="F897" i="19"/>
  <c r="F896" i="19"/>
  <c r="F895" i="19"/>
  <c r="F894" i="19"/>
  <c r="F893" i="19"/>
  <c r="F891" i="19"/>
  <c r="F890" i="19"/>
  <c r="F889" i="19"/>
  <c r="F888" i="19"/>
  <c r="F887" i="19"/>
  <c r="F886" i="19"/>
  <c r="F885" i="19"/>
  <c r="F883" i="19"/>
  <c r="F882" i="19"/>
  <c r="F881" i="19"/>
  <c r="F880" i="19"/>
  <c r="F879" i="19"/>
  <c r="F878" i="19"/>
  <c r="F877" i="19"/>
  <c r="F875" i="19"/>
  <c r="F874" i="19"/>
  <c r="F873" i="19"/>
  <c r="F872" i="19"/>
  <c r="F871" i="19"/>
  <c r="F870" i="19"/>
  <c r="F869" i="19"/>
  <c r="F868" i="19"/>
  <c r="F867" i="19"/>
  <c r="F866" i="19"/>
  <c r="F865" i="19"/>
  <c r="F863" i="19"/>
  <c r="F862" i="19"/>
  <c r="F861" i="19"/>
  <c r="F860" i="19"/>
  <c r="F859" i="19"/>
  <c r="F858" i="19"/>
  <c r="F857" i="19"/>
  <c r="F856" i="19"/>
  <c r="F855" i="19"/>
  <c r="F854" i="19"/>
  <c r="F853" i="19"/>
  <c r="F851" i="19"/>
  <c r="F850" i="19"/>
  <c r="F848" i="19"/>
  <c r="F847" i="19"/>
  <c r="F845" i="19"/>
  <c r="F844" i="19"/>
  <c r="F842" i="19"/>
  <c r="F841" i="19"/>
  <c r="F839" i="19"/>
  <c r="F838" i="19"/>
  <c r="F836" i="19"/>
  <c r="F834" i="19"/>
  <c r="F833" i="19"/>
  <c r="F831" i="19"/>
  <c r="F829" i="19"/>
  <c r="F828" i="19"/>
  <c r="F824" i="19"/>
  <c r="F822" i="19"/>
  <c r="F820" i="19"/>
  <c r="F817" i="19"/>
  <c r="F815" i="19"/>
  <c r="F813" i="19"/>
  <c r="F811" i="19"/>
  <c r="F809" i="19"/>
  <c r="F808" i="19"/>
  <c r="F807" i="19"/>
  <c r="F806" i="19"/>
  <c r="F804" i="19"/>
  <c r="F803" i="19"/>
  <c r="F802" i="19"/>
  <c r="F801" i="19"/>
  <c r="F799" i="19"/>
  <c r="F797" i="19"/>
  <c r="F796" i="19"/>
  <c r="F794" i="19"/>
  <c r="F793" i="19"/>
  <c r="F791" i="19"/>
  <c r="F789" i="19"/>
  <c r="F788" i="19"/>
  <c r="F787" i="19"/>
  <c r="F785" i="19"/>
  <c r="F784" i="19"/>
  <c r="F782" i="19"/>
  <c r="F781" i="19"/>
  <c r="F780" i="19"/>
  <c r="F779" i="19"/>
  <c r="F778" i="19"/>
  <c r="F777" i="19"/>
  <c r="F776" i="19"/>
  <c r="F775" i="19"/>
  <c r="F774" i="19"/>
  <c r="F773" i="19"/>
  <c r="F772" i="19"/>
  <c r="F771" i="19"/>
  <c r="F770" i="19"/>
  <c r="F769" i="19"/>
  <c r="F767" i="19"/>
  <c r="F766" i="19"/>
  <c r="F765" i="19"/>
  <c r="F764" i="19"/>
  <c r="F763" i="19"/>
  <c r="F762" i="19"/>
  <c r="F761" i="19"/>
  <c r="F760" i="19"/>
  <c r="F759" i="19"/>
  <c r="F758" i="19"/>
  <c r="F757" i="19"/>
  <c r="F756" i="19"/>
  <c r="F755" i="19"/>
  <c r="F754" i="19"/>
  <c r="F753" i="19"/>
  <c r="F752" i="19"/>
  <c r="F751" i="19"/>
  <c r="F750" i="19"/>
  <c r="F748" i="19"/>
  <c r="F747" i="19"/>
  <c r="F746" i="19"/>
  <c r="F745" i="19"/>
  <c r="F744" i="19"/>
  <c r="F743" i="19"/>
  <c r="F742" i="19"/>
  <c r="F741" i="19"/>
  <c r="F740" i="19"/>
  <c r="F739" i="19"/>
  <c r="F737" i="19"/>
  <c r="F736" i="19"/>
  <c r="F735" i="19"/>
  <c r="F734" i="19"/>
  <c r="F733" i="19"/>
  <c r="F732" i="19"/>
  <c r="F731" i="19"/>
  <c r="F730" i="19"/>
  <c r="F729" i="19"/>
  <c r="F728" i="19"/>
  <c r="F727" i="19"/>
  <c r="F725" i="19"/>
  <c r="F724" i="19"/>
  <c r="F722" i="19"/>
  <c r="F720" i="19"/>
  <c r="F719" i="19"/>
  <c r="F717" i="19"/>
  <c r="F716" i="19"/>
  <c r="F715" i="19"/>
  <c r="F714" i="19"/>
  <c r="F712" i="19"/>
  <c r="F711" i="19"/>
  <c r="F710" i="19"/>
  <c r="F709" i="19"/>
  <c r="F708" i="19"/>
  <c r="F707" i="19"/>
  <c r="F705" i="19"/>
  <c r="F704" i="19"/>
  <c r="F703" i="19"/>
  <c r="F702" i="19"/>
  <c r="F700" i="19"/>
  <c r="F699" i="19"/>
  <c r="F698" i="19"/>
  <c r="F697" i="19"/>
  <c r="F696" i="19"/>
  <c r="F695" i="19"/>
  <c r="F694" i="19"/>
  <c r="F693" i="19"/>
  <c r="F692" i="19"/>
  <c r="F691" i="19"/>
  <c r="F690" i="19"/>
  <c r="F688" i="19"/>
  <c r="F686" i="19"/>
  <c r="F685" i="19"/>
  <c r="F684" i="19"/>
  <c r="F683" i="19"/>
  <c r="F681" i="19"/>
  <c r="F680" i="19"/>
  <c r="F679" i="19"/>
  <c r="F677" i="19"/>
  <c r="F675" i="19"/>
  <c r="F674" i="19"/>
  <c r="F673" i="19"/>
  <c r="F672" i="19"/>
  <c r="F671" i="19"/>
  <c r="F670" i="19"/>
  <c r="F668" i="19"/>
  <c r="F667" i="19"/>
  <c r="F666" i="19"/>
  <c r="F665" i="19"/>
  <c r="F664" i="19"/>
  <c r="F662" i="19"/>
  <c r="F661" i="19"/>
  <c r="F660" i="19"/>
  <c r="F659" i="19"/>
  <c r="F658" i="19"/>
  <c r="F657" i="19"/>
  <c r="F655" i="19"/>
  <c r="F653" i="19"/>
  <c r="F652" i="19"/>
  <c r="F651" i="19"/>
  <c r="F650" i="19"/>
  <c r="F649" i="19"/>
  <c r="F648" i="19"/>
  <c r="F647" i="19"/>
  <c r="F645" i="19"/>
  <c r="F644" i="19"/>
  <c r="F643" i="19"/>
  <c r="F642" i="19"/>
  <c r="F641" i="19"/>
  <c r="F640" i="19"/>
  <c r="F638" i="19"/>
  <c r="F637" i="19"/>
  <c r="F636" i="19"/>
  <c r="F635" i="19"/>
  <c r="F634" i="19"/>
  <c r="F633" i="19"/>
  <c r="F632" i="19"/>
  <c r="F630" i="19"/>
  <c r="F629" i="19"/>
  <c r="F628" i="19"/>
  <c r="F626" i="19"/>
  <c r="F625" i="19"/>
  <c r="F624" i="19"/>
  <c r="F622" i="19"/>
  <c r="F621" i="19"/>
  <c r="F620" i="19"/>
  <c r="F619" i="19"/>
  <c r="F618" i="19"/>
  <c r="F617" i="19"/>
  <c r="F615" i="19"/>
  <c r="F614" i="19"/>
  <c r="F613" i="19"/>
  <c r="F612" i="19"/>
  <c r="F611" i="19"/>
  <c r="F610" i="19"/>
  <c r="F609" i="19"/>
  <c r="F607" i="19"/>
  <c r="F606" i="19"/>
  <c r="F605" i="19"/>
  <c r="F604" i="19"/>
  <c r="F603" i="19"/>
  <c r="F601" i="19"/>
  <c r="F600" i="19"/>
  <c r="F598" i="19"/>
  <c r="F597" i="19"/>
  <c r="F596" i="19"/>
  <c r="F595" i="19"/>
  <c r="F593" i="19"/>
  <c r="F591" i="19"/>
  <c r="F590" i="19"/>
  <c r="F589" i="19"/>
  <c r="F587" i="19"/>
  <c r="F586" i="19"/>
  <c r="F585" i="19"/>
  <c r="F583" i="19"/>
  <c r="F582" i="19"/>
  <c r="F581" i="19"/>
  <c r="F579" i="19"/>
  <c r="F578" i="19"/>
  <c r="F577" i="19"/>
  <c r="F575" i="19"/>
  <c r="F573" i="19"/>
  <c r="F572" i="19"/>
  <c r="F571" i="19"/>
  <c r="F569" i="19"/>
  <c r="F567" i="19"/>
  <c r="F566" i="19"/>
  <c r="F565" i="19"/>
  <c r="F564" i="19"/>
  <c r="F563" i="19"/>
  <c r="F561" i="19"/>
  <c r="F560" i="19"/>
  <c r="F559" i="19"/>
  <c r="F557" i="19"/>
  <c r="F556" i="19"/>
  <c r="F555" i="19"/>
  <c r="F554" i="19"/>
  <c r="F552" i="19"/>
  <c r="F551" i="19"/>
  <c r="F550" i="19"/>
  <c r="F549" i="19"/>
  <c r="F548" i="19"/>
  <c r="F547" i="19"/>
  <c r="F546" i="19"/>
  <c r="F544" i="19"/>
  <c r="F543" i="19"/>
  <c r="F542" i="19"/>
  <c r="F541" i="19"/>
  <c r="F540" i="19"/>
  <c r="F539" i="19"/>
  <c r="F538" i="19"/>
  <c r="F537" i="19"/>
  <c r="F535" i="19"/>
  <c r="F534" i="19"/>
  <c r="F533" i="19"/>
  <c r="F532" i="19"/>
  <c r="F531" i="19"/>
  <c r="F530" i="19"/>
  <c r="F529" i="19"/>
  <c r="F528" i="19"/>
  <c r="F526" i="19"/>
  <c r="F525" i="19"/>
  <c r="F524" i="19"/>
  <c r="F523" i="19"/>
  <c r="F522" i="19"/>
  <c r="F521" i="19"/>
  <c r="F520" i="19"/>
  <c r="F519" i="19"/>
  <c r="F518" i="19"/>
  <c r="F516" i="19"/>
  <c r="F515" i="19"/>
  <c r="F514" i="19"/>
  <c r="F513" i="19"/>
  <c r="F512" i="19"/>
  <c r="F511" i="19"/>
  <c r="F510" i="19"/>
  <c r="F509" i="19"/>
  <c r="F508" i="19"/>
  <c r="F507" i="19"/>
  <c r="F505" i="19"/>
  <c r="F504" i="19"/>
  <c r="F503" i="19"/>
  <c r="F502" i="19"/>
  <c r="F501" i="19"/>
  <c r="F500" i="19"/>
  <c r="F499" i="19"/>
  <c r="F498" i="19"/>
  <c r="F497" i="19"/>
  <c r="F496" i="19"/>
  <c r="F494" i="19"/>
  <c r="F493" i="19"/>
  <c r="F492" i="19"/>
  <c r="F490" i="19"/>
  <c r="F489" i="19"/>
  <c r="F488" i="19"/>
  <c r="F487" i="19"/>
  <c r="F485" i="19"/>
  <c r="F484" i="19"/>
  <c r="F482" i="19"/>
  <c r="F481" i="19"/>
  <c r="F480" i="19"/>
  <c r="F478" i="19"/>
  <c r="F477" i="19"/>
  <c r="F470" i="19"/>
  <c r="F469" i="19"/>
  <c r="F468" i="19"/>
  <c r="F467" i="19"/>
  <c r="F465" i="19"/>
  <c r="F464" i="19"/>
  <c r="F463" i="19"/>
  <c r="F461" i="19"/>
  <c r="F460" i="19"/>
  <c r="F458" i="19"/>
  <c r="F457" i="19"/>
  <c r="F456" i="19"/>
  <c r="F454" i="19"/>
  <c r="F453" i="19"/>
  <c r="F451" i="19"/>
  <c r="F450" i="19"/>
  <c r="F449" i="19"/>
  <c r="F448" i="19"/>
  <c r="F446" i="19"/>
  <c r="F444" i="19"/>
  <c r="F443" i="19"/>
  <c r="F442" i="19"/>
  <c r="F441" i="19"/>
  <c r="F439" i="19"/>
  <c r="F438" i="19"/>
  <c r="F437" i="19"/>
  <c r="F435" i="19"/>
  <c r="F434" i="19"/>
  <c r="F433" i="19"/>
  <c r="F432" i="19"/>
  <c r="F431" i="19"/>
  <c r="F430" i="19"/>
  <c r="F428" i="19"/>
  <c r="F427" i="19"/>
  <c r="F426" i="19"/>
  <c r="F424" i="19"/>
  <c r="F423" i="19"/>
  <c r="F422" i="19"/>
  <c r="F421" i="19"/>
  <c r="F420" i="19"/>
  <c r="F419" i="19"/>
  <c r="F418" i="19"/>
  <c r="F417" i="19"/>
  <c r="F416" i="19"/>
  <c r="F415" i="19"/>
  <c r="F413" i="19"/>
  <c r="F412" i="19"/>
  <c r="F410" i="19"/>
  <c r="F409" i="19"/>
  <c r="F408" i="19"/>
  <c r="F407" i="19"/>
  <c r="F405" i="19"/>
  <c r="F404" i="19"/>
  <c r="F403" i="19"/>
  <c r="F402" i="19"/>
  <c r="F401" i="19"/>
  <c r="F400" i="19"/>
  <c r="F399" i="19"/>
  <c r="F398" i="19"/>
  <c r="F396" i="19"/>
  <c r="F395" i="19"/>
  <c r="F393" i="19"/>
  <c r="F391" i="19"/>
  <c r="F389" i="19"/>
  <c r="F387" i="19"/>
  <c r="F385" i="19"/>
  <c r="F384" i="19"/>
  <c r="F383" i="19"/>
  <c r="F382" i="19"/>
  <c r="F380" i="19"/>
  <c r="F379" i="19"/>
  <c r="F377" i="19"/>
  <c r="F376" i="19"/>
  <c r="F375" i="19"/>
  <c r="F374" i="19"/>
  <c r="F373" i="19"/>
  <c r="F372" i="19"/>
  <c r="F371" i="19"/>
  <c r="F370" i="19"/>
  <c r="F369" i="19"/>
  <c r="F368" i="19"/>
  <c r="F367" i="19"/>
  <c r="F364"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5" i="19"/>
  <c r="F334" i="19"/>
  <c r="F333" i="19"/>
  <c r="F332" i="19"/>
  <c r="F331" i="19"/>
  <c r="F329" i="19"/>
  <c r="F328" i="19"/>
  <c r="F327" i="19"/>
  <c r="F326" i="19"/>
  <c r="F325" i="19"/>
  <c r="F324" i="19"/>
  <c r="F323" i="19"/>
  <c r="F322" i="19"/>
  <c r="F321" i="19"/>
  <c r="F320" i="19"/>
  <c r="F319" i="19"/>
  <c r="F318" i="19"/>
  <c r="F317" i="19"/>
  <c r="F315" i="19"/>
  <c r="F314" i="19"/>
  <c r="F313" i="19"/>
  <c r="F312" i="19"/>
  <c r="F311" i="19"/>
  <c r="F310" i="19"/>
  <c r="F309" i="19"/>
  <c r="F308" i="19"/>
  <c r="F307" i="19"/>
  <c r="F306" i="19"/>
  <c r="F305" i="19"/>
  <c r="F304" i="19"/>
  <c r="F303" i="19"/>
  <c r="F302" i="19"/>
  <c r="F301" i="19"/>
  <c r="F300" i="19"/>
  <c r="F298" i="19"/>
  <c r="F297" i="19"/>
  <c r="F296" i="19"/>
  <c r="F295" i="19"/>
  <c r="F294" i="19"/>
  <c r="F293" i="19"/>
  <c r="F292" i="19"/>
  <c r="F291" i="19"/>
  <c r="F290" i="19"/>
  <c r="F289" i="19"/>
  <c r="F288" i="19"/>
  <c r="F287" i="19"/>
  <c r="F280" i="19"/>
  <c r="F279" i="19"/>
  <c r="F278" i="19"/>
  <c r="F277" i="19"/>
  <c r="F276" i="19"/>
  <c r="F275" i="19"/>
  <c r="F274" i="19"/>
  <c r="F273" i="19"/>
  <c r="F272" i="19"/>
  <c r="F271" i="19"/>
  <c r="F270" i="19"/>
  <c r="F269" i="19"/>
  <c r="F268" i="19"/>
  <c r="F267" i="19"/>
  <c r="F266" i="19"/>
  <c r="F265" i="19"/>
  <c r="F263" i="19"/>
  <c r="F262" i="19"/>
  <c r="F261" i="19"/>
  <c r="F260" i="19"/>
  <c r="F259" i="19"/>
  <c r="F258" i="19"/>
  <c r="F257" i="19"/>
  <c r="F256" i="19"/>
  <c r="F254" i="19"/>
  <c r="F253" i="19"/>
  <c r="F252" i="19"/>
  <c r="F251" i="19"/>
  <c r="F249" i="19"/>
  <c r="F248" i="19"/>
  <c r="F247" i="19"/>
  <c r="F246" i="19"/>
  <c r="F245" i="19"/>
  <c r="F244" i="19"/>
  <c r="F242" i="19"/>
  <c r="F240" i="19"/>
  <c r="F238" i="19"/>
  <c r="F236" i="19"/>
  <c r="F235" i="19"/>
  <c r="F234" i="19"/>
  <c r="F233" i="19"/>
  <c r="F231" i="19"/>
  <c r="F230" i="19"/>
  <c r="F229" i="19"/>
  <c r="F227" i="19"/>
  <c r="F225" i="19"/>
  <c r="F224" i="19"/>
  <c r="F223" i="19"/>
  <c r="F221" i="19"/>
  <c r="F220" i="19"/>
  <c r="F219" i="19"/>
  <c r="F218" i="19"/>
  <c r="F217" i="19"/>
  <c r="F216" i="19"/>
  <c r="F214" i="19"/>
  <c r="F213" i="19"/>
  <c r="F212" i="19"/>
  <c r="F211" i="19"/>
  <c r="F210" i="19"/>
  <c r="F209" i="19"/>
  <c r="F208" i="19"/>
  <c r="F206" i="19"/>
  <c r="F205" i="19"/>
  <c r="F203" i="19"/>
  <c r="F202" i="19"/>
  <c r="F201" i="19"/>
  <c r="F200" i="19"/>
  <c r="F198" i="19"/>
  <c r="F197" i="19"/>
  <c r="F196" i="19"/>
  <c r="F195" i="19"/>
  <c r="F192" i="19"/>
  <c r="F191" i="19"/>
  <c r="F190" i="19"/>
  <c r="F189" i="19"/>
  <c r="F188" i="19"/>
  <c r="F187" i="19"/>
  <c r="F186" i="19"/>
  <c r="F185" i="19"/>
  <c r="F184" i="19"/>
  <c r="F183" i="19"/>
  <c r="F182" i="19"/>
  <c r="F181" i="19"/>
  <c r="F179" i="19"/>
  <c r="F178" i="19"/>
  <c r="F177" i="19"/>
  <c r="F176" i="19"/>
  <c r="F175" i="19"/>
  <c r="F174" i="19"/>
  <c r="F173" i="19"/>
  <c r="F172" i="19"/>
  <c r="F171" i="19"/>
  <c r="F170" i="19"/>
  <c r="F169" i="19"/>
  <c r="F167" i="19"/>
  <c r="F166" i="19"/>
  <c r="F164" i="19"/>
  <c r="F163" i="19"/>
  <c r="F162" i="19"/>
  <c r="F161" i="19"/>
  <c r="F160" i="19"/>
  <c r="F159" i="19"/>
  <c r="F157" i="19"/>
  <c r="F156" i="19"/>
  <c r="F155" i="19"/>
  <c r="F154" i="19"/>
  <c r="F153" i="19"/>
  <c r="F152" i="19"/>
  <c r="F151" i="19"/>
  <c r="F150" i="19"/>
  <c r="F149" i="19"/>
  <c r="F148" i="19"/>
  <c r="F146" i="19"/>
  <c r="F145" i="19"/>
  <c r="F136" i="19"/>
  <c r="F135" i="19"/>
  <c r="F134" i="19"/>
  <c r="F133" i="19"/>
  <c r="F132" i="19"/>
  <c r="F131" i="19"/>
  <c r="F130" i="19"/>
  <c r="F129" i="19"/>
  <c r="F127" i="19"/>
  <c r="F126" i="19"/>
  <c r="F125" i="19"/>
  <c r="F124" i="19"/>
  <c r="F123" i="19"/>
  <c r="F122" i="19"/>
  <c r="F121" i="19"/>
  <c r="F120" i="19"/>
  <c r="F119" i="19"/>
  <c r="F117" i="19"/>
  <c r="F116" i="19"/>
  <c r="F115" i="19"/>
  <c r="F114" i="19"/>
  <c r="F113" i="19"/>
  <c r="F112" i="19"/>
  <c r="F111" i="19"/>
  <c r="F110" i="19"/>
  <c r="F109" i="19"/>
  <c r="F108" i="19"/>
  <c r="F107" i="19"/>
  <c r="F106" i="19"/>
  <c r="F105" i="19"/>
  <c r="F104" i="19"/>
  <c r="F103" i="19"/>
  <c r="F102" i="19"/>
  <c r="F101" i="19"/>
  <c r="F100" i="19"/>
  <c r="F99" i="19"/>
  <c r="F98" i="19"/>
  <c r="F97" i="19"/>
  <c r="F95" i="19"/>
  <c r="F94" i="19"/>
  <c r="F93" i="19"/>
  <c r="F92" i="19"/>
  <c r="F91" i="19"/>
  <c r="F90" i="19"/>
  <c r="F89" i="19"/>
  <c r="F87" i="19"/>
  <c r="F86" i="19"/>
  <c r="F85" i="19"/>
  <c r="F84" i="19"/>
  <c r="F83" i="19"/>
  <c r="F82" i="19"/>
  <c r="F81" i="19"/>
  <c r="F80" i="19"/>
  <c r="F79" i="19"/>
  <c r="F77" i="19"/>
  <c r="F76" i="19"/>
  <c r="F75" i="19"/>
  <c r="F73" i="19"/>
  <c r="F72" i="19"/>
  <c r="F71" i="19"/>
  <c r="F70" i="19"/>
  <c r="F68" i="19"/>
  <c r="F67" i="19"/>
  <c r="F66" i="19"/>
  <c r="F65" i="19"/>
  <c r="F64" i="19"/>
  <c r="F63" i="19"/>
  <c r="F62" i="19"/>
  <c r="F61" i="19"/>
  <c r="F60" i="19"/>
  <c r="F59" i="19"/>
  <c r="F58" i="19"/>
  <c r="F57"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A880" i="52" l="1"/>
  <c r="W19" i="44"/>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W20" i="53"/>
  <c r="W21" i="53" s="1"/>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W20" i="52"/>
  <c r="W21" i="52" s="1"/>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82" i="52"/>
  <c r="A1178" i="52"/>
  <c r="A1174" i="52"/>
  <c r="A1170" i="52"/>
  <c r="A1166" i="52"/>
  <c r="A1162" i="52"/>
  <c r="A1158" i="52"/>
  <c r="A1154" i="52"/>
  <c r="A1150" i="52"/>
  <c r="A1146" i="52"/>
  <c r="A1142" i="52"/>
  <c r="A1138" i="52"/>
  <c r="A1134"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85" i="52"/>
  <c r="A1181" i="52"/>
  <c r="A1177" i="52"/>
  <c r="A1173" i="52"/>
  <c r="A1169" i="52"/>
  <c r="A1165" i="52"/>
  <c r="A1161" i="52"/>
  <c r="A1157" i="52"/>
  <c r="A1153" i="52"/>
  <c r="A1149" i="52"/>
  <c r="A1145" i="52"/>
  <c r="A1141" i="52"/>
  <c r="A1137"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84" i="52"/>
  <c r="A1176" i="52"/>
  <c r="A1168" i="52"/>
  <c r="A1160" i="52"/>
  <c r="A1152" i="52"/>
  <c r="A1144" i="52"/>
  <c r="A1136"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83" i="52"/>
  <c r="A1175" i="52"/>
  <c r="A1167" i="52"/>
  <c r="A1159" i="52"/>
  <c r="A1151" i="52"/>
  <c r="A1143" i="52"/>
  <c r="A1135"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80" i="52"/>
  <c r="A1164" i="52"/>
  <c r="A1148"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79" i="52"/>
  <c r="A1163" i="52"/>
  <c r="A1147"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71" i="52"/>
  <c r="A1155" i="52"/>
  <c r="A1139"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72"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1140"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1157"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82" i="53"/>
  <c r="A1178" i="53"/>
  <c r="A1174" i="53"/>
  <c r="A1170" i="53"/>
  <c r="A1166" i="53"/>
  <c r="A1162" i="53"/>
  <c r="A1158" i="53"/>
  <c r="A1154" i="53"/>
  <c r="A1150" i="53"/>
  <c r="A1146" i="53"/>
  <c r="A1142" i="53"/>
  <c r="A1138" i="53"/>
  <c r="A1134"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84" i="53"/>
  <c r="A1180" i="53"/>
  <c r="A1176" i="53"/>
  <c r="A1172" i="53"/>
  <c r="A1168" i="53"/>
  <c r="A1164" i="53"/>
  <c r="A1160" i="53"/>
  <c r="A1156" i="53"/>
  <c r="A1152" i="53"/>
  <c r="A1148" i="53"/>
  <c r="A1144" i="53"/>
  <c r="A1140" i="53"/>
  <c r="A1136"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79" i="53"/>
  <c r="A1171" i="53"/>
  <c r="A1163" i="53"/>
  <c r="A1155" i="53"/>
  <c r="A1147" i="53"/>
  <c r="A113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85" i="53"/>
  <c r="A1177" i="53"/>
  <c r="A1169" i="53"/>
  <c r="A1161" i="53"/>
  <c r="A1153" i="53"/>
  <c r="A1145" i="53"/>
  <c r="A1137"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83" i="53"/>
  <c r="A1167" i="53"/>
  <c r="A1151" i="53"/>
  <c r="A1135"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81" i="53"/>
  <c r="A1165" i="53"/>
  <c r="A114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75" i="53"/>
  <c r="A1159" i="53"/>
  <c r="A114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141"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73"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184" i="55"/>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83" i="55"/>
  <c r="A1178" i="55"/>
  <c r="A1172" i="55"/>
  <c r="A1167" i="55"/>
  <c r="A1162" i="55"/>
  <c r="A1156" i="55"/>
  <c r="A1151" i="55"/>
  <c r="A1146" i="55"/>
  <c r="A1140" i="55"/>
  <c r="A1135" i="55"/>
  <c r="A1130" i="55"/>
  <c r="A1124" i="55"/>
  <c r="A1119"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82" i="55"/>
  <c r="A1176" i="55"/>
  <c r="A1171" i="55"/>
  <c r="A1166" i="55"/>
  <c r="A1160" i="55"/>
  <c r="A1155" i="55"/>
  <c r="A1150" i="55"/>
  <c r="A1144" i="55"/>
  <c r="A1139" i="55"/>
  <c r="A1134" i="55"/>
  <c r="A1128" i="55"/>
  <c r="A112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80" i="55"/>
  <c r="A1170" i="55"/>
  <c r="A1159" i="55"/>
  <c r="A1148" i="55"/>
  <c r="A1138" i="55"/>
  <c r="A1127"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79" i="55"/>
  <c r="A1168" i="55"/>
  <c r="A1158" i="55"/>
  <c r="A1147" i="55"/>
  <c r="A1136" i="55"/>
  <c r="A1126"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75" i="55"/>
  <c r="A1164" i="55"/>
  <c r="A1154" i="55"/>
  <c r="A1143" i="55"/>
  <c r="A1132" i="55"/>
  <c r="A112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174" i="55"/>
  <c r="A1131"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163" i="55"/>
  <c r="A1120"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52"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W20" i="55"/>
  <c r="W21" i="55" s="1"/>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42" i="55"/>
  <c r="A1185" i="55"/>
  <c r="A1181" i="55"/>
  <c r="A1177" i="55"/>
  <c r="A1173" i="55"/>
  <c r="A1169" i="55"/>
  <c r="A1165" i="55"/>
  <c r="A1161" i="55"/>
  <c r="A1157" i="55"/>
  <c r="A1153" i="55"/>
  <c r="A1149" i="55"/>
  <c r="A1145" i="55"/>
  <c r="A1141" i="55"/>
  <c r="A1137" i="55"/>
  <c r="A1133" i="55"/>
  <c r="A1129" i="55"/>
  <c r="A1125" i="55"/>
  <c r="A1121"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85" i="54"/>
  <c r="A1181" i="54"/>
  <c r="A1177" i="54"/>
  <c r="A1173" i="54"/>
  <c r="A1169" i="54"/>
  <c r="A1165" i="54"/>
  <c r="A1161" i="54"/>
  <c r="A1157" i="54"/>
  <c r="A1153" i="54"/>
  <c r="A1149" i="54"/>
  <c r="A1145" i="54"/>
  <c r="A1141" i="54"/>
  <c r="A1137" i="54"/>
  <c r="A1133" i="54"/>
  <c r="A1129" i="54"/>
  <c r="A1125" i="54"/>
  <c r="A1121" i="54"/>
  <c r="A1117" i="54"/>
  <c r="A1113" i="54"/>
  <c r="A1109" i="54"/>
  <c r="A1105" i="54"/>
  <c r="A1182" i="54"/>
  <c r="A1178" i="54"/>
  <c r="A1174" i="54"/>
  <c r="A1170" i="54"/>
  <c r="A1183" i="54"/>
  <c r="A1162" i="54"/>
  <c r="A1154" i="54"/>
  <c r="A1146" i="54"/>
  <c r="A1138" i="54"/>
  <c r="A1130" i="54"/>
  <c r="A1122" i="54"/>
  <c r="A1114" i="54"/>
  <c r="A1106" i="54"/>
  <c r="A1100" i="54"/>
  <c r="A1096" i="54"/>
  <c r="A1092" i="54"/>
  <c r="A1088" i="54"/>
  <c r="A1084" i="54"/>
  <c r="A1080" i="54"/>
  <c r="A1076" i="54"/>
  <c r="A1072" i="54"/>
  <c r="A1068" i="54"/>
  <c r="A1064" i="54"/>
  <c r="A1060" i="54"/>
  <c r="A1184" i="54"/>
  <c r="A1176" i="54"/>
  <c r="A1172" i="54"/>
  <c r="A1168" i="54"/>
  <c r="A1163" i="54"/>
  <c r="A1160" i="54"/>
  <c r="A1155" i="54"/>
  <c r="A1152" i="54"/>
  <c r="A1147" i="54"/>
  <c r="A1144" i="54"/>
  <c r="A1139" i="54"/>
  <c r="A1136"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79" i="54"/>
  <c r="A1166" i="54"/>
  <c r="A1164" i="54"/>
  <c r="A1151" i="54"/>
  <c r="A1134" i="54"/>
  <c r="A1132" i="54"/>
  <c r="A1119" i="54"/>
  <c r="A1102" i="54"/>
  <c r="A1098" i="54"/>
  <c r="A1094" i="54"/>
  <c r="A1090" i="54"/>
  <c r="A1086" i="54"/>
  <c r="A1082" i="54"/>
  <c r="A1078" i="54"/>
  <c r="A1074" i="54"/>
  <c r="A1070" i="54"/>
  <c r="A1066" i="54"/>
  <c r="A1062" i="54"/>
  <c r="A1058" i="54"/>
  <c r="A1180" i="54"/>
  <c r="A1167" i="54"/>
  <c r="A1159" i="54"/>
  <c r="A1142" i="54"/>
  <c r="A1140" i="54"/>
  <c r="A1127" i="54"/>
  <c r="A1110" i="54"/>
  <c r="A1108" i="54"/>
  <c r="A959" i="54"/>
  <c r="A955" i="54"/>
  <c r="A951" i="54"/>
  <c r="A947" i="54"/>
  <c r="A943" i="54"/>
  <c r="A939" i="54"/>
  <c r="A935" i="54"/>
  <c r="A931" i="54"/>
  <c r="A927" i="54"/>
  <c r="A1171" i="54"/>
  <c r="A1150" i="54"/>
  <c r="A1148" i="54"/>
  <c r="A1135" i="54"/>
  <c r="A1118" i="54"/>
  <c r="A1143"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158" i="54"/>
  <c r="A1156"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75"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W20" i="54"/>
  <c r="W21" i="54" s="1"/>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Z254" i="19"/>
  <c r="Z253" i="19"/>
  <c r="Z252" i="19"/>
  <c r="AC21" i="19"/>
  <c r="AC22" i="19"/>
  <c r="AC23" i="19"/>
  <c r="B23" i="19" s="1"/>
  <c r="AC25" i="19"/>
  <c r="B25" i="19" s="1"/>
  <c r="AC26" i="19"/>
  <c r="AC27" i="19"/>
  <c r="AC28" i="19"/>
  <c r="B28" i="19" s="1"/>
  <c r="AC29" i="19"/>
  <c r="AC30" i="19"/>
  <c r="B30" i="19" s="1"/>
  <c r="AC31" i="19"/>
  <c r="AC32" i="19"/>
  <c r="AC33" i="19"/>
  <c r="AC34" i="19"/>
  <c r="B34" i="19" s="1"/>
  <c r="AC35" i="19"/>
  <c r="B35" i="19" s="1"/>
  <c r="AC36" i="19"/>
  <c r="B36" i="19" s="1"/>
  <c r="AC37" i="19"/>
  <c r="B37" i="19" s="1"/>
  <c r="AC38" i="19"/>
  <c r="B38" i="19" s="1"/>
  <c r="AC39" i="19"/>
  <c r="AC40" i="19"/>
  <c r="B40" i="19" s="1"/>
  <c r="AC41" i="19"/>
  <c r="B41" i="19" s="1"/>
  <c r="AC42" i="19"/>
  <c r="B42" i="19" s="1"/>
  <c r="AC45" i="19"/>
  <c r="B45" i="19" s="1"/>
  <c r="AC46" i="19"/>
  <c r="AC47" i="19"/>
  <c r="B47" i="19" s="1"/>
  <c r="AC48" i="19"/>
  <c r="B48" i="19" s="1"/>
  <c r="AC49" i="19"/>
  <c r="B49" i="19" s="1"/>
  <c r="AC50" i="19"/>
  <c r="B50" i="19" s="1"/>
  <c r="AC51" i="19"/>
  <c r="B51" i="19" s="1"/>
  <c r="AC53" i="19"/>
  <c r="B53" i="19" s="1"/>
  <c r="AC54" i="19"/>
  <c r="B54" i="19" s="1"/>
  <c r="AC55" i="19"/>
  <c r="B55" i="19" s="1"/>
  <c r="AC56" i="19"/>
  <c r="AC57" i="19"/>
  <c r="B57" i="19" s="1"/>
  <c r="AC58" i="19"/>
  <c r="B58" i="19" s="1"/>
  <c r="AC59" i="19"/>
  <c r="AC60" i="19"/>
  <c r="AC62" i="19"/>
  <c r="B62" i="19" s="1"/>
  <c r="AC63" i="19"/>
  <c r="B63" i="19" s="1"/>
  <c r="AC64" i="19"/>
  <c r="B64" i="19" s="1"/>
  <c r="AC65" i="19"/>
  <c r="AC67" i="19"/>
  <c r="B67" i="19" s="1"/>
  <c r="AC68" i="19"/>
  <c r="B68" i="19" s="1"/>
  <c r="AC69" i="19"/>
  <c r="AC70" i="19"/>
  <c r="B70" i="19" s="1"/>
  <c r="AC72" i="19"/>
  <c r="B72" i="19" s="1"/>
  <c r="AC73" i="19"/>
  <c r="B73" i="19" s="1"/>
  <c r="AC74" i="19"/>
  <c r="AC75" i="19"/>
  <c r="B75" i="19" s="1"/>
  <c r="AC76" i="19"/>
  <c r="B76" i="19" s="1"/>
  <c r="AC77" i="19"/>
  <c r="B77" i="19" s="1"/>
  <c r="AC78" i="19"/>
  <c r="AC79" i="19"/>
  <c r="B79" i="19" s="1"/>
  <c r="AC80" i="19"/>
  <c r="B80" i="19" s="1"/>
  <c r="AC81" i="19"/>
  <c r="B81" i="19" s="1"/>
  <c r="AC83" i="19"/>
  <c r="B83" i="19" s="1"/>
  <c r="AC84" i="19"/>
  <c r="B84" i="19" s="1"/>
  <c r="AC85" i="19"/>
  <c r="B85" i="19" s="1"/>
  <c r="AC86" i="19"/>
  <c r="B86" i="19" s="1"/>
  <c r="AC87" i="19"/>
  <c r="B87" i="19" s="1"/>
  <c r="AC88" i="19"/>
  <c r="AC89" i="19"/>
  <c r="B89" i="19" s="1"/>
  <c r="AC90" i="19"/>
  <c r="B90" i="19" s="1"/>
  <c r="AC91" i="19"/>
  <c r="B91" i="19" s="1"/>
  <c r="AC92" i="19"/>
  <c r="B92" i="19" s="1"/>
  <c r="AC93" i="19"/>
  <c r="B93" i="19" s="1"/>
  <c r="AC94" i="19"/>
  <c r="B94" i="19" s="1"/>
  <c r="AC95" i="19"/>
  <c r="B95" i="19" s="1"/>
  <c r="AC96" i="19"/>
  <c r="AC97" i="19"/>
  <c r="AC98" i="19"/>
  <c r="AC100" i="19"/>
  <c r="B100" i="19" s="1"/>
  <c r="AC102" i="19"/>
  <c r="B102" i="19" s="1"/>
  <c r="AC103" i="19"/>
  <c r="B103" i="19" s="1"/>
  <c r="AC105" i="19"/>
  <c r="B105" i="19" s="1"/>
  <c r="AC106" i="19"/>
  <c r="AC108" i="19"/>
  <c r="AC109" i="19"/>
  <c r="B109" i="19" s="1"/>
  <c r="AC110" i="19"/>
  <c r="B110" i="19" s="1"/>
  <c r="AC111" i="19"/>
  <c r="B111" i="19" s="1"/>
  <c r="AC112" i="19"/>
  <c r="B112" i="19" s="1"/>
  <c r="AC113" i="19"/>
  <c r="B113" i="19" s="1"/>
  <c r="AC115" i="19"/>
  <c r="B115" i="19" s="1"/>
  <c r="AC116" i="19"/>
  <c r="B116" i="19" s="1"/>
  <c r="AC117" i="19"/>
  <c r="B117" i="19" s="1"/>
  <c r="AC118" i="19"/>
  <c r="AC126" i="19"/>
  <c r="B126" i="19" s="1"/>
  <c r="AC128" i="19"/>
  <c r="AC129" i="19"/>
  <c r="B129" i="19" s="1"/>
  <c r="AC130" i="19"/>
  <c r="B130" i="19" s="1"/>
  <c r="AC131" i="19"/>
  <c r="B131" i="19" s="1"/>
  <c r="AC132" i="19"/>
  <c r="B132" i="19" s="1"/>
  <c r="AC133" i="19"/>
  <c r="B133" i="19" s="1"/>
  <c r="AC134" i="19"/>
  <c r="B134" i="19" s="1"/>
  <c r="AC135" i="19"/>
  <c r="B135" i="19" s="1"/>
  <c r="AC136" i="19"/>
  <c r="B136" i="19" s="1"/>
  <c r="AC137" i="19"/>
  <c r="AC139" i="19"/>
  <c r="B139" i="19" s="1"/>
  <c r="AC141" i="19"/>
  <c r="B141" i="19" s="1"/>
  <c r="AC142" i="19"/>
  <c r="B142" i="19" s="1"/>
  <c r="AC143" i="19"/>
  <c r="B143" i="19" s="1"/>
  <c r="AC144" i="19"/>
  <c r="B144" i="19" s="1"/>
  <c r="AC145" i="19"/>
  <c r="B145" i="19" s="1"/>
  <c r="AC146" i="19"/>
  <c r="B146" i="19" s="1"/>
  <c r="AC147" i="19"/>
  <c r="AC148" i="19"/>
  <c r="B148" i="19" s="1"/>
  <c r="AC149" i="19"/>
  <c r="B149" i="19" s="1"/>
  <c r="AC151" i="19"/>
  <c r="B151" i="19" s="1"/>
  <c r="AC152" i="19"/>
  <c r="B152" i="19" s="1"/>
  <c r="AC153" i="19"/>
  <c r="B153" i="19" s="1"/>
  <c r="AC154" i="19"/>
  <c r="B154" i="19" s="1"/>
  <c r="AC155" i="19"/>
  <c r="B155" i="19" s="1"/>
  <c r="AC156" i="19"/>
  <c r="B156" i="19" s="1"/>
  <c r="AC158" i="19"/>
  <c r="AC159" i="19"/>
  <c r="B159" i="19" s="1"/>
  <c r="AC160" i="19"/>
  <c r="B160" i="19" s="1"/>
  <c r="AC161" i="19"/>
  <c r="B161" i="19" s="1"/>
  <c r="AC163" i="19"/>
  <c r="B163" i="19" s="1"/>
  <c r="AC164" i="19"/>
  <c r="B164" i="19" s="1"/>
  <c r="AC165" i="19"/>
  <c r="AC166" i="19"/>
  <c r="AC167" i="19"/>
  <c r="AC168" i="19"/>
  <c r="AC169" i="19"/>
  <c r="B169" i="19" s="1"/>
  <c r="AC170" i="19"/>
  <c r="B170" i="19" s="1"/>
  <c r="AC171" i="19"/>
  <c r="B171" i="19" s="1"/>
  <c r="AC172" i="19"/>
  <c r="B172" i="19" s="1"/>
  <c r="AC173" i="19"/>
  <c r="B173" i="19" s="1"/>
  <c r="AC174" i="19"/>
  <c r="B174" i="19" s="1"/>
  <c r="AC175" i="19"/>
  <c r="B175" i="19" s="1"/>
  <c r="AC177" i="19"/>
  <c r="AC178" i="19"/>
  <c r="B178" i="19" s="1"/>
  <c r="AC179" i="19"/>
  <c r="B179" i="19" s="1"/>
  <c r="AC180" i="19"/>
  <c r="AC181" i="19"/>
  <c r="B181" i="19" s="1"/>
  <c r="AC182" i="19"/>
  <c r="B182" i="19" s="1"/>
  <c r="AC183" i="19"/>
  <c r="B183" i="19" s="1"/>
  <c r="AC184" i="19"/>
  <c r="B184" i="19" s="1"/>
  <c r="AC185" i="19"/>
  <c r="AC187" i="19"/>
  <c r="B187" i="19" s="1"/>
  <c r="AC188" i="19"/>
  <c r="B188" i="19" s="1"/>
  <c r="AC189" i="19"/>
  <c r="B189" i="19" s="1"/>
  <c r="AC190" i="19"/>
  <c r="B190" i="19" s="1"/>
  <c r="AC191" i="19"/>
  <c r="B191" i="19" s="1"/>
  <c r="AC192" i="19"/>
  <c r="AC193" i="19"/>
  <c r="AC194" i="19"/>
  <c r="B194" i="19" s="1"/>
  <c r="AC196" i="19"/>
  <c r="B196" i="19" s="1"/>
  <c r="AC197" i="19"/>
  <c r="AC198" i="19"/>
  <c r="B198" i="19" s="1"/>
  <c r="AC199" i="19"/>
  <c r="AC201" i="19"/>
  <c r="B201" i="19" s="1"/>
  <c r="AC202" i="19"/>
  <c r="B202" i="19" s="1"/>
  <c r="AC203" i="19"/>
  <c r="B203" i="19" s="1"/>
  <c r="AC204" i="19"/>
  <c r="AC205" i="19"/>
  <c r="AC206" i="19"/>
  <c r="AC207" i="19"/>
  <c r="AC208" i="19"/>
  <c r="AC209" i="19"/>
  <c r="B209" i="19" s="1"/>
  <c r="AC210" i="19"/>
  <c r="AC211" i="19"/>
  <c r="AC212" i="19"/>
  <c r="B212" i="19" s="1"/>
  <c r="AC213" i="19"/>
  <c r="B213" i="19" s="1"/>
  <c r="AC215" i="19"/>
  <c r="AC216" i="19"/>
  <c r="B216" i="19" s="1"/>
  <c r="AC217" i="19"/>
  <c r="AC218" i="19"/>
  <c r="B218" i="19" s="1"/>
  <c r="AC219" i="19"/>
  <c r="B219" i="19" s="1"/>
  <c r="AC220" i="19"/>
  <c r="B220" i="19" s="1"/>
  <c r="AC221" i="19"/>
  <c r="B221" i="19" s="1"/>
  <c r="AC222" i="19"/>
  <c r="AC223" i="19"/>
  <c r="B223" i="19" s="1"/>
  <c r="AC224" i="19"/>
  <c r="B224" i="19" s="1"/>
  <c r="AC225" i="19"/>
  <c r="B225" i="19" s="1"/>
  <c r="AC226" i="19"/>
  <c r="AC227" i="19"/>
  <c r="AC228" i="19"/>
  <c r="AC229" i="19"/>
  <c r="AC231" i="19"/>
  <c r="AC232" i="19"/>
  <c r="AC234" i="19"/>
  <c r="AC235" i="19"/>
  <c r="AC236" i="19"/>
  <c r="AC237" i="19"/>
  <c r="AC238" i="19"/>
  <c r="AC239" i="19"/>
  <c r="AC240" i="19"/>
  <c r="AC241" i="19"/>
  <c r="AC243" i="19"/>
  <c r="AC244" i="19"/>
  <c r="AC246" i="19"/>
  <c r="AC247" i="19"/>
  <c r="B247" i="19" s="1"/>
  <c r="AC248" i="19"/>
  <c r="B248" i="19" s="1"/>
  <c r="AC249" i="19"/>
  <c r="B249" i="19" s="1"/>
  <c r="AC250" i="19"/>
  <c r="AC252" i="19"/>
  <c r="AC253" i="19"/>
  <c r="AC254" i="19"/>
  <c r="AC256" i="19"/>
  <c r="AC257" i="19"/>
  <c r="B257" i="19" s="1"/>
  <c r="AC258" i="19"/>
  <c r="AC260" i="19"/>
  <c r="AC262" i="19"/>
  <c r="B262" i="19" s="1"/>
  <c r="AC263" i="19"/>
  <c r="AC265" i="19"/>
  <c r="AC266" i="19"/>
  <c r="AC268" i="19"/>
  <c r="B268" i="19" s="1"/>
  <c r="AC269" i="19"/>
  <c r="B269" i="19" s="1"/>
  <c r="AC270" i="19"/>
  <c r="B270" i="19" s="1"/>
  <c r="AC271" i="19"/>
  <c r="B271" i="19" s="1"/>
  <c r="AC273" i="19"/>
  <c r="B273" i="19" s="1"/>
  <c r="AC275" i="19"/>
  <c r="B275" i="19" s="1"/>
  <c r="AC276" i="19"/>
  <c r="B276" i="19" s="1"/>
  <c r="AC277" i="19"/>
  <c r="B277" i="19" s="1"/>
  <c r="AC279" i="19"/>
  <c r="B279" i="19" s="1"/>
  <c r="AC280" i="19"/>
  <c r="B280" i="19" s="1"/>
  <c r="AC287" i="19"/>
  <c r="AC289" i="19"/>
  <c r="B289" i="19" s="1"/>
  <c r="AC290" i="19"/>
  <c r="B290" i="19" s="1"/>
  <c r="AC291" i="19"/>
  <c r="B291" i="19" s="1"/>
  <c r="AC293" i="19"/>
  <c r="B293" i="19" s="1"/>
  <c r="AC294" i="19"/>
  <c r="B294" i="19" s="1"/>
  <c r="AC295" i="19"/>
  <c r="B295" i="19" s="1"/>
  <c r="AC296" i="19"/>
  <c r="AC299" i="19"/>
  <c r="AC302" i="19"/>
  <c r="B302" i="19" s="1"/>
  <c r="AC303" i="19"/>
  <c r="B303" i="19" s="1"/>
  <c r="AC305" i="19"/>
  <c r="B305" i="19" s="1"/>
  <c r="AC306" i="19"/>
  <c r="AC308" i="19"/>
  <c r="AC310" i="19"/>
  <c r="AC311" i="19"/>
  <c r="B311" i="19" s="1"/>
  <c r="AC312" i="19"/>
  <c r="B312" i="19" s="1"/>
  <c r="AC313" i="19"/>
  <c r="B313" i="19" s="1"/>
  <c r="AC315" i="19"/>
  <c r="AC316" i="19"/>
  <c r="AC318" i="19"/>
  <c r="B318" i="19" s="1"/>
  <c r="AC319" i="19"/>
  <c r="B319" i="19" s="1"/>
  <c r="AC320" i="19"/>
  <c r="AC321" i="19"/>
  <c r="AC322" i="19"/>
  <c r="AC323" i="19"/>
  <c r="B323" i="19" s="1"/>
  <c r="AC324" i="19"/>
  <c r="B324" i="19" s="1"/>
  <c r="AC325" i="19"/>
  <c r="AC326" i="19"/>
  <c r="B326" i="19" s="1"/>
  <c r="AC328" i="19"/>
  <c r="AC330" i="19"/>
  <c r="AC331" i="19"/>
  <c r="B331" i="19" s="1"/>
  <c r="AC332" i="19"/>
  <c r="B332" i="19" s="1"/>
  <c r="AC333" i="19"/>
  <c r="B333" i="19" s="1"/>
  <c r="AC335" i="19"/>
  <c r="B335" i="19" s="1"/>
  <c r="AC336" i="19"/>
  <c r="AC337" i="19"/>
  <c r="B337" i="19" s="1"/>
  <c r="AC338" i="19"/>
  <c r="B338" i="19" s="1"/>
  <c r="AC339" i="19"/>
  <c r="B339" i="19" s="1"/>
  <c r="AC340" i="19"/>
  <c r="B340" i="19" s="1"/>
  <c r="AC342" i="19"/>
  <c r="B342" i="19" s="1"/>
  <c r="AC343" i="19"/>
  <c r="B343" i="19" s="1"/>
  <c r="AC345" i="19"/>
  <c r="B345" i="19" s="1"/>
  <c r="AC346" i="19"/>
  <c r="B346" i="19" s="1"/>
  <c r="AC347" i="19"/>
  <c r="B347" i="19" s="1"/>
  <c r="AC348" i="19"/>
  <c r="B348" i="19" s="1"/>
  <c r="AC358" i="19"/>
  <c r="AC361" i="19"/>
  <c r="B361" i="19" s="1"/>
  <c r="AC362" i="19"/>
  <c r="B362" i="19" s="1"/>
  <c r="AC363" i="19"/>
  <c r="AC364" i="19"/>
  <c r="B364" i="19" s="1"/>
  <c r="AC365" i="19"/>
  <c r="B365" i="19" s="1"/>
  <c r="AC366" i="19"/>
  <c r="B366" i="19" s="1"/>
  <c r="AC367" i="19"/>
  <c r="B367" i="19" s="1"/>
  <c r="AC368" i="19"/>
  <c r="AC369" i="19"/>
  <c r="B369" i="19" s="1"/>
  <c r="AC370" i="19"/>
  <c r="B370" i="19" s="1"/>
  <c r="AC372" i="19"/>
  <c r="B372" i="19" s="1"/>
  <c r="AC374" i="19"/>
  <c r="B374" i="19" s="1"/>
  <c r="AC376" i="19"/>
  <c r="B376" i="19" s="1"/>
  <c r="AC378" i="19"/>
  <c r="AC379" i="19"/>
  <c r="B379" i="19" s="1"/>
  <c r="AC380" i="19"/>
  <c r="B380" i="19" s="1"/>
  <c r="AC381" i="19"/>
  <c r="AC382" i="19"/>
  <c r="B382" i="19" s="1"/>
  <c r="AC385" i="19"/>
  <c r="AC386" i="19"/>
  <c r="AC388" i="19"/>
  <c r="AC389" i="19"/>
  <c r="AC390" i="19"/>
  <c r="AC391" i="19"/>
  <c r="B391" i="19" s="1"/>
  <c r="AC392" i="19"/>
  <c r="AC394" i="19"/>
  <c r="AC396" i="19"/>
  <c r="AC397" i="19"/>
  <c r="AC399" i="19"/>
  <c r="AC401" i="19"/>
  <c r="B401" i="19" s="1"/>
  <c r="AC402" i="19"/>
  <c r="AC403" i="19"/>
  <c r="B403" i="19" s="1"/>
  <c r="AC405" i="19"/>
  <c r="AC406" i="19"/>
  <c r="AC407" i="19"/>
  <c r="B407" i="19" s="1"/>
  <c r="AC408" i="19"/>
  <c r="B408" i="19" s="1"/>
  <c r="AC409" i="19"/>
  <c r="B409" i="19" s="1"/>
  <c r="AC410" i="19"/>
  <c r="B410" i="19" s="1"/>
  <c r="AC411" i="19"/>
  <c r="AC412" i="19"/>
  <c r="B412" i="19" s="1"/>
  <c r="AC414" i="19"/>
  <c r="AC415" i="19"/>
  <c r="AC416" i="19"/>
  <c r="B416" i="19" s="1"/>
  <c r="AC417" i="19"/>
  <c r="B417" i="19" s="1"/>
  <c r="AC419" i="19"/>
  <c r="B419" i="19" s="1"/>
  <c r="AC420" i="19"/>
  <c r="B420" i="19" s="1"/>
  <c r="AC422" i="19"/>
  <c r="B422" i="19" s="1"/>
  <c r="AC425" i="19"/>
  <c r="AC428" i="19"/>
  <c r="B428" i="19" s="1"/>
  <c r="AC429" i="19"/>
  <c r="AC430" i="19"/>
  <c r="B430" i="19" s="1"/>
  <c r="AC431" i="19"/>
  <c r="B431" i="19" s="1"/>
  <c r="AC432" i="19"/>
  <c r="AC433" i="19"/>
  <c r="B433" i="19" s="1"/>
  <c r="AC434" i="19"/>
  <c r="B434" i="19" s="1"/>
  <c r="AC436" i="19"/>
  <c r="AC437" i="19"/>
  <c r="AC438" i="19"/>
  <c r="AC439" i="19"/>
  <c r="AC440" i="19"/>
  <c r="AC441" i="19"/>
  <c r="AC443" i="19"/>
  <c r="AC444" i="19"/>
  <c r="AC445" i="19"/>
  <c r="AC447" i="19"/>
  <c r="AC448" i="19"/>
  <c r="B448" i="19" s="1"/>
  <c r="AC449" i="19"/>
  <c r="AC450" i="19"/>
  <c r="B450" i="19" s="1"/>
  <c r="AC451" i="19"/>
  <c r="AC452" i="19"/>
  <c r="AC453" i="19"/>
  <c r="B453" i="19" s="1"/>
  <c r="AC455" i="19"/>
  <c r="AC456" i="19"/>
  <c r="B456" i="19" s="1"/>
  <c r="AC458" i="19"/>
  <c r="AC459" i="19"/>
  <c r="AC460" i="19"/>
  <c r="B460" i="19" s="1"/>
  <c r="AC461" i="19"/>
  <c r="B461" i="19" s="1"/>
  <c r="AC462" i="19"/>
  <c r="AC464" i="19"/>
  <c r="AC466" i="19"/>
  <c r="AC467" i="19"/>
  <c r="AC468" i="19"/>
  <c r="B468" i="19" s="1"/>
  <c r="AC471" i="19"/>
  <c r="AC472" i="19"/>
  <c r="B472" i="19" s="1"/>
  <c r="AC473" i="19"/>
  <c r="B473" i="19" s="1"/>
  <c r="AC474" i="19"/>
  <c r="B474" i="19" s="1"/>
  <c r="AC475" i="19"/>
  <c r="B475" i="19" s="1"/>
  <c r="AC476" i="19"/>
  <c r="AC477" i="19"/>
  <c r="B477" i="19" s="1"/>
  <c r="AC478" i="19"/>
  <c r="B478" i="19" s="1"/>
  <c r="AC479" i="19"/>
  <c r="AC480" i="19"/>
  <c r="AC481" i="19"/>
  <c r="B481" i="19" s="1"/>
  <c r="AC482" i="19"/>
  <c r="B482" i="19" s="1"/>
  <c r="AC483" i="19"/>
  <c r="AC484" i="19"/>
  <c r="B484" i="19" s="1"/>
  <c r="AC486" i="19"/>
  <c r="AC489" i="19"/>
  <c r="AC490" i="19"/>
  <c r="B490" i="19" s="1"/>
  <c r="AC491" i="19"/>
  <c r="AC492" i="19"/>
  <c r="B492" i="19" s="1"/>
  <c r="AC493" i="19"/>
  <c r="B493" i="19" s="1"/>
  <c r="AC494" i="19"/>
  <c r="B494" i="19" s="1"/>
  <c r="AC495" i="19"/>
  <c r="AC496" i="19"/>
  <c r="AC497" i="19"/>
  <c r="AC498" i="19"/>
  <c r="AC499" i="19"/>
  <c r="B499" i="19" s="1"/>
  <c r="AC501" i="19"/>
  <c r="AC502" i="19"/>
  <c r="B502" i="19" s="1"/>
  <c r="AC503" i="19"/>
  <c r="B503" i="19" s="1"/>
  <c r="AC504" i="19"/>
  <c r="B504" i="19" s="1"/>
  <c r="AC505" i="19"/>
  <c r="AC506" i="19"/>
  <c r="AC507" i="19"/>
  <c r="AC508" i="19"/>
  <c r="AC509" i="19"/>
  <c r="AC510" i="19"/>
  <c r="B510" i="19" s="1"/>
  <c r="AC512" i="19"/>
  <c r="AC513" i="19"/>
  <c r="B513" i="19" s="1"/>
  <c r="AC514" i="19"/>
  <c r="B514" i="19" s="1"/>
  <c r="AC515" i="19"/>
  <c r="B515" i="19" s="1"/>
  <c r="AC516" i="19"/>
  <c r="AC517" i="19"/>
  <c r="AC518" i="19"/>
  <c r="AC519" i="19"/>
  <c r="B519" i="19" s="1"/>
  <c r="AC520" i="19"/>
  <c r="B520" i="19" s="1"/>
  <c r="AC521" i="19"/>
  <c r="AC522" i="19"/>
  <c r="AC523" i="19"/>
  <c r="B523" i="19" s="1"/>
  <c r="AC524" i="19"/>
  <c r="B524" i="19" s="1"/>
  <c r="AC525" i="19"/>
  <c r="B525" i="19" s="1"/>
  <c r="AC527" i="19"/>
  <c r="AC528" i="19"/>
  <c r="B528" i="19" s="1"/>
  <c r="AC529" i="19"/>
  <c r="B529" i="19" s="1"/>
  <c r="AC530" i="19"/>
  <c r="AC531" i="19"/>
  <c r="AC532" i="19"/>
  <c r="B532" i="19" s="1"/>
  <c r="AC533" i="19"/>
  <c r="B533" i="19" s="1"/>
  <c r="AC534" i="19"/>
  <c r="B534" i="19" s="1"/>
  <c r="AC536" i="19"/>
  <c r="AC537" i="19"/>
  <c r="B537" i="19" s="1"/>
  <c r="AC538" i="19"/>
  <c r="B538" i="19" s="1"/>
  <c r="AC541" i="19"/>
  <c r="AC544" i="19"/>
  <c r="AC545" i="19"/>
  <c r="AC546" i="19"/>
  <c r="B546" i="19" s="1"/>
  <c r="AC547" i="19"/>
  <c r="B547" i="19" s="1"/>
  <c r="AC550" i="19"/>
  <c r="AC553" i="19"/>
  <c r="AC554" i="19"/>
  <c r="B554" i="19" s="1"/>
  <c r="AC555" i="19"/>
  <c r="B555" i="19" s="1"/>
  <c r="AC556" i="19"/>
  <c r="B556" i="19" s="1"/>
  <c r="AC558" i="19"/>
  <c r="AC559" i="19"/>
  <c r="B559" i="19" s="1"/>
  <c r="AC560" i="19"/>
  <c r="B560" i="19" s="1"/>
  <c r="AC561" i="19"/>
  <c r="B561" i="19" s="1"/>
  <c r="AC562" i="19"/>
  <c r="AC563" i="19"/>
  <c r="B563" i="19" s="1"/>
  <c r="AC564" i="19"/>
  <c r="B564" i="19" s="1"/>
  <c r="AC566" i="19"/>
  <c r="AC567" i="19"/>
  <c r="B567" i="19" s="1"/>
  <c r="AC568" i="19"/>
  <c r="AC570" i="19"/>
  <c r="AC571" i="19"/>
  <c r="B571" i="19" s="1"/>
  <c r="AC572" i="19"/>
  <c r="B572" i="19" s="1"/>
  <c r="AC573" i="19"/>
  <c r="B573" i="19" s="1"/>
  <c r="AC574" i="19"/>
  <c r="AC575" i="19"/>
  <c r="B575" i="19" s="1"/>
  <c r="AC576" i="19"/>
  <c r="AC577" i="19"/>
  <c r="B577" i="19" s="1"/>
  <c r="AC578" i="19"/>
  <c r="B578" i="19" s="1"/>
  <c r="AC579" i="19"/>
  <c r="B579" i="19" s="1"/>
  <c r="AC580" i="19"/>
  <c r="AC582" i="19"/>
  <c r="B582" i="19" s="1"/>
  <c r="AC584" i="19"/>
  <c r="AC585" i="19"/>
  <c r="B585" i="19" s="1"/>
  <c r="AC586" i="19"/>
  <c r="B586" i="19" s="1"/>
  <c r="AC587" i="19"/>
  <c r="B587" i="19" s="1"/>
  <c r="AC588" i="19"/>
  <c r="AC589" i="19"/>
  <c r="B589" i="19" s="1"/>
  <c r="AC591" i="19"/>
  <c r="B591" i="19" s="1"/>
  <c r="AC592" i="19"/>
  <c r="AC594" i="19"/>
  <c r="AC596" i="19"/>
  <c r="B596" i="19" s="1"/>
  <c r="AC597" i="19"/>
  <c r="B597" i="19" s="1"/>
  <c r="AC598" i="19"/>
  <c r="B598" i="19" s="1"/>
  <c r="AC599" i="19"/>
  <c r="AC600" i="19"/>
  <c r="B600" i="19" s="1"/>
  <c r="AC602" i="19"/>
  <c r="AC604" i="19"/>
  <c r="AC605" i="19"/>
  <c r="AC606" i="19"/>
  <c r="AC607" i="19"/>
  <c r="B607" i="19" s="1"/>
  <c r="AC608" i="19"/>
  <c r="AC609" i="19"/>
  <c r="B609" i="19" s="1"/>
  <c r="AC610" i="19"/>
  <c r="AC612" i="19"/>
  <c r="B612" i="19" s="1"/>
  <c r="AC613" i="19"/>
  <c r="AC614" i="19"/>
  <c r="B614" i="19" s="1"/>
  <c r="AC615" i="19"/>
  <c r="B615" i="19" s="1"/>
  <c r="AC616" i="19"/>
  <c r="AC617" i="19"/>
  <c r="B617" i="19" s="1"/>
  <c r="AC618" i="19"/>
  <c r="AC620" i="19"/>
  <c r="AC621" i="19"/>
  <c r="B621" i="19" s="1"/>
  <c r="AC622" i="19"/>
  <c r="B622" i="19" s="1"/>
  <c r="AC623" i="19"/>
  <c r="AC624" i="19"/>
  <c r="AC626" i="19"/>
  <c r="AC627" i="19"/>
  <c r="AC628" i="19"/>
  <c r="AC630" i="19"/>
  <c r="AC631" i="19"/>
  <c r="AC632" i="19"/>
  <c r="B632" i="19" s="1"/>
  <c r="AC633" i="19"/>
  <c r="B633" i="19" s="1"/>
  <c r="AC634" i="19"/>
  <c r="AC635" i="19"/>
  <c r="B635" i="19" s="1"/>
  <c r="AC637" i="19"/>
  <c r="AC639" i="19"/>
  <c r="AC640" i="19"/>
  <c r="B640" i="19" s="1"/>
  <c r="AC641" i="19"/>
  <c r="B641" i="19" s="1"/>
  <c r="AC642" i="19"/>
  <c r="AC644" i="19"/>
  <c r="AC646" i="19"/>
  <c r="AC647" i="19"/>
  <c r="B647" i="19" s="1"/>
  <c r="AC648" i="19"/>
  <c r="AC650" i="19"/>
  <c r="AC654" i="19"/>
  <c r="AC656" i="19"/>
  <c r="AC657" i="19"/>
  <c r="B657" i="19" s="1"/>
  <c r="AC659" i="19"/>
  <c r="AC660" i="19"/>
  <c r="AC661" i="19"/>
  <c r="B661" i="19" s="1"/>
  <c r="AC662" i="19"/>
  <c r="AC663" i="19"/>
  <c r="AC665" i="19"/>
  <c r="B665" i="19" s="1"/>
  <c r="AC666" i="19"/>
  <c r="AC667" i="19"/>
  <c r="AC669" i="19"/>
  <c r="AC670" i="19"/>
  <c r="B670" i="19" s="1"/>
  <c r="AC671" i="19"/>
  <c r="B671" i="19" s="1"/>
  <c r="AC672" i="19"/>
  <c r="AC673" i="19"/>
  <c r="AC674" i="19"/>
  <c r="AC675" i="19"/>
  <c r="AC676" i="19"/>
  <c r="AC678" i="19"/>
  <c r="AC681" i="19"/>
  <c r="AC682" i="19"/>
  <c r="AC685" i="19"/>
  <c r="AC686" i="19"/>
  <c r="AC687" i="19"/>
  <c r="AC688" i="19"/>
  <c r="AC689" i="19"/>
  <c r="AC690" i="19"/>
  <c r="B690" i="19" s="1"/>
  <c r="AC691" i="19"/>
  <c r="B691" i="19" s="1"/>
  <c r="AC695" i="19"/>
  <c r="AC696" i="19"/>
  <c r="AC697" i="19"/>
  <c r="AC698" i="19"/>
  <c r="B698" i="19" s="1"/>
  <c r="AC699" i="19"/>
  <c r="B699" i="19" s="1"/>
  <c r="AC700" i="19"/>
  <c r="AC701" i="19"/>
  <c r="AC704" i="19"/>
  <c r="AC705" i="19"/>
  <c r="B705" i="19" s="1"/>
  <c r="AC706" i="19"/>
  <c r="AC708" i="19"/>
  <c r="B708" i="19" s="1"/>
  <c r="AC709" i="19"/>
  <c r="B709" i="19" s="1"/>
  <c r="AC710" i="19"/>
  <c r="B710" i="19" s="1"/>
  <c r="AC712" i="19"/>
  <c r="B712" i="19" s="1"/>
  <c r="AC713" i="19"/>
  <c r="AC714" i="19"/>
  <c r="AC715" i="19"/>
  <c r="AC716" i="19"/>
  <c r="AC717" i="19"/>
  <c r="AC718" i="19"/>
  <c r="AC720" i="19"/>
  <c r="AC721" i="19"/>
  <c r="AC722" i="19"/>
  <c r="B722" i="19" s="1"/>
  <c r="AC723" i="19"/>
  <c r="AC724" i="19"/>
  <c r="B724" i="19" s="1"/>
  <c r="AC725" i="19"/>
  <c r="B725" i="19" s="1"/>
  <c r="AC726" i="19"/>
  <c r="AC728" i="19"/>
  <c r="B728" i="19" s="1"/>
  <c r="AC729" i="19"/>
  <c r="AC730" i="19"/>
  <c r="B730" i="19" s="1"/>
  <c r="AC732" i="19"/>
  <c r="B732" i="19" s="1"/>
  <c r="AC733" i="19"/>
  <c r="AC735" i="19"/>
  <c r="B735" i="19" s="1"/>
  <c r="AC736" i="19"/>
  <c r="B736" i="19" s="1"/>
  <c r="AC737" i="19"/>
  <c r="B737" i="19" s="1"/>
  <c r="AC738" i="19"/>
  <c r="AC740" i="19"/>
  <c r="B740" i="19" s="1"/>
  <c r="AC741" i="19"/>
  <c r="AC742" i="19"/>
  <c r="B742" i="19" s="1"/>
  <c r="AC744" i="19"/>
  <c r="B744" i="19" s="1"/>
  <c r="AC745" i="19"/>
  <c r="AC746" i="19"/>
  <c r="B746" i="19" s="1"/>
  <c r="AC747" i="19"/>
  <c r="B747" i="19" s="1"/>
  <c r="AC748" i="19"/>
  <c r="B748" i="19" s="1"/>
  <c r="AC749" i="19"/>
  <c r="AC750" i="19"/>
  <c r="AC751" i="19"/>
  <c r="B751" i="19" s="1"/>
  <c r="AC752" i="19"/>
  <c r="B752" i="19" s="1"/>
  <c r="AC753" i="19"/>
  <c r="AC754" i="19"/>
  <c r="B754" i="19" s="1"/>
  <c r="AC757" i="19"/>
  <c r="B757" i="19" s="1"/>
  <c r="AC758" i="19"/>
  <c r="AC759" i="19"/>
  <c r="B759" i="19" s="1"/>
  <c r="AC761" i="19"/>
  <c r="B761" i="19" s="1"/>
  <c r="AC762" i="19"/>
  <c r="B762" i="19" s="1"/>
  <c r="AC763" i="19"/>
  <c r="AC765" i="19"/>
  <c r="AC766" i="19"/>
  <c r="B766" i="19" s="1"/>
  <c r="AC767" i="19"/>
  <c r="B767" i="19" s="1"/>
  <c r="AC768" i="19"/>
  <c r="AC769" i="19"/>
  <c r="AC770" i="19"/>
  <c r="B770" i="19" s="1"/>
  <c r="AC771" i="19"/>
  <c r="AC774" i="19"/>
  <c r="B774" i="19" s="1"/>
  <c r="AC775" i="19"/>
  <c r="AC776" i="19"/>
  <c r="B776" i="19" s="1"/>
  <c r="AC778" i="19"/>
  <c r="B778" i="19" s="1"/>
  <c r="AC779" i="19"/>
  <c r="AC781" i="19"/>
  <c r="B781" i="19" s="1"/>
  <c r="AC782" i="19"/>
  <c r="B782" i="19" s="1"/>
  <c r="AC783" i="19"/>
  <c r="AC784" i="19"/>
  <c r="AC786" i="19"/>
  <c r="AC787" i="19"/>
  <c r="B787" i="19" s="1"/>
  <c r="AC790" i="19"/>
  <c r="AC791" i="19"/>
  <c r="AC792" i="19"/>
  <c r="AC794" i="19"/>
  <c r="AC795" i="19"/>
  <c r="AC798" i="19"/>
  <c r="AC799" i="19"/>
  <c r="AC800" i="19"/>
  <c r="AC801" i="19"/>
  <c r="AC803" i="19"/>
  <c r="AC804" i="19"/>
  <c r="AC805" i="19"/>
  <c r="AC806" i="19"/>
  <c r="AC808" i="19"/>
  <c r="AC809" i="19"/>
  <c r="AC810" i="19"/>
  <c r="AC812" i="19"/>
  <c r="AC813" i="19"/>
  <c r="AC814" i="19"/>
  <c r="AC815" i="19"/>
  <c r="B815" i="19" s="1"/>
  <c r="Y815" i="19" s="1"/>
  <c r="AC816" i="19"/>
  <c r="AC817" i="19"/>
  <c r="AC818" i="19"/>
  <c r="AC819" i="19"/>
  <c r="AC820" i="19"/>
  <c r="B820" i="19" s="1"/>
  <c r="AC821" i="19"/>
  <c r="AC822" i="19"/>
  <c r="B822" i="19" s="1"/>
  <c r="AC823" i="19"/>
  <c r="AC824" i="19"/>
  <c r="B824" i="19" s="1"/>
  <c r="AC825" i="19"/>
  <c r="AC826" i="19"/>
  <c r="B826" i="19" s="1"/>
  <c r="AC827" i="19"/>
  <c r="AC829" i="19"/>
  <c r="AC830" i="19"/>
  <c r="AC831" i="19"/>
  <c r="B831" i="19" s="1"/>
  <c r="AC832" i="19"/>
  <c r="AC833" i="19"/>
  <c r="B833" i="19" s="1"/>
  <c r="AC835" i="19"/>
  <c r="AC836" i="19"/>
  <c r="B836" i="19" s="1"/>
  <c r="AC837" i="19"/>
  <c r="AC838" i="19"/>
  <c r="B838" i="19" s="1"/>
  <c r="AC840" i="19"/>
  <c r="AC842" i="19"/>
  <c r="AC843" i="19"/>
  <c r="AC844" i="19"/>
  <c r="B844" i="19" s="1"/>
  <c r="AC845" i="19"/>
  <c r="B845" i="19" s="1"/>
  <c r="AC846" i="19"/>
  <c r="AC847" i="19"/>
  <c r="B847" i="19" s="1"/>
  <c r="AC848" i="19"/>
  <c r="B848" i="19" s="1"/>
  <c r="AC849" i="19"/>
  <c r="AC850" i="19"/>
  <c r="B850" i="19" s="1"/>
  <c r="AC852" i="19"/>
  <c r="AC853" i="19"/>
  <c r="AC854" i="19"/>
  <c r="B854" i="19" s="1"/>
  <c r="AC855" i="19"/>
  <c r="AC856" i="19"/>
  <c r="B856" i="19" s="1"/>
  <c r="AC857" i="19"/>
  <c r="AC858" i="19"/>
  <c r="AC859" i="19"/>
  <c r="B859" i="19" s="1"/>
  <c r="AC860" i="19"/>
  <c r="AC863" i="19"/>
  <c r="B863" i="19" s="1"/>
  <c r="AC864" i="19"/>
  <c r="AC865" i="19"/>
  <c r="AC866" i="19"/>
  <c r="B866" i="19" s="1"/>
  <c r="AC867" i="19"/>
  <c r="AC868" i="19"/>
  <c r="B868" i="19" s="1"/>
  <c r="AC869" i="19"/>
  <c r="AC870" i="19"/>
  <c r="AC871" i="19"/>
  <c r="B871" i="19" s="1"/>
  <c r="AC872" i="19"/>
  <c r="AC875" i="19"/>
  <c r="B875" i="19" s="1"/>
  <c r="AC876" i="19"/>
  <c r="AC877" i="19"/>
  <c r="B877" i="19" s="1"/>
  <c r="AC878" i="19"/>
  <c r="AC880" i="19"/>
  <c r="B880" i="19" s="1"/>
  <c r="AC881" i="19"/>
  <c r="B881" i="19" s="1"/>
  <c r="AC882" i="19"/>
  <c r="B882" i="19" s="1"/>
  <c r="AC883" i="19"/>
  <c r="AC884" i="19"/>
  <c r="AC885" i="19"/>
  <c r="B885" i="19" s="1"/>
  <c r="AC886" i="19"/>
  <c r="AC888" i="19"/>
  <c r="B888" i="19" s="1"/>
  <c r="AC889" i="19"/>
  <c r="B889" i="19" s="1"/>
  <c r="AC890" i="19"/>
  <c r="B890" i="19" s="1"/>
  <c r="AC892" i="19"/>
  <c r="AC893" i="19"/>
  <c r="AC894" i="19"/>
  <c r="AC895" i="19"/>
  <c r="B895" i="19" s="1"/>
  <c r="AC896" i="19"/>
  <c r="B896" i="19" s="1"/>
  <c r="AC897" i="19"/>
  <c r="AC899" i="19"/>
  <c r="AC900" i="19"/>
  <c r="AC901" i="19"/>
  <c r="AC902" i="19"/>
  <c r="B902" i="19" s="1"/>
  <c r="AC903" i="19"/>
  <c r="B903" i="19" s="1"/>
  <c r="AC904" i="19"/>
  <c r="AC906" i="19"/>
  <c r="AC907" i="19"/>
  <c r="AC908" i="19"/>
  <c r="B908" i="19" s="1"/>
  <c r="AC909" i="19"/>
  <c r="AC911" i="19"/>
  <c r="AC913" i="19"/>
  <c r="AC915" i="19"/>
  <c r="AC917" i="19"/>
  <c r="B917" i="19" s="1"/>
  <c r="AC918" i="19"/>
  <c r="AC919" i="19"/>
  <c r="B919" i="19" s="1"/>
  <c r="AC920" i="19"/>
  <c r="B920" i="19" s="1"/>
  <c r="AC921" i="19"/>
  <c r="AC922" i="19"/>
  <c r="B922" i="19" s="1"/>
  <c r="AC923" i="19"/>
  <c r="AC924" i="19"/>
  <c r="B924" i="19" s="1"/>
  <c r="AC925" i="19"/>
  <c r="B925" i="19" s="1"/>
  <c r="AC926" i="19"/>
  <c r="AC927" i="19"/>
  <c r="B927" i="19" s="1"/>
  <c r="AC928" i="19"/>
  <c r="AC929" i="19"/>
  <c r="AC930" i="19"/>
  <c r="AC932" i="19"/>
  <c r="B932" i="19" s="1"/>
  <c r="AC933" i="19"/>
  <c r="B933" i="19" s="1"/>
  <c r="AC937" i="19"/>
  <c r="AC938" i="19"/>
  <c r="AC939" i="19"/>
  <c r="AC941" i="19"/>
  <c r="B941" i="19" s="1"/>
  <c r="AC946" i="19"/>
  <c r="AC947" i="19"/>
  <c r="B947" i="19" s="1"/>
  <c r="Y947" i="19" s="1"/>
  <c r="AM947" i="19" s="1"/>
  <c r="AC949" i="19"/>
  <c r="AC950" i="19"/>
  <c r="B950" i="19" s="1"/>
  <c r="AC952" i="19"/>
  <c r="B952" i="19" s="1"/>
  <c r="AC953" i="19"/>
  <c r="AC954" i="19"/>
  <c r="B954" i="19" s="1"/>
  <c r="AC955" i="19"/>
  <c r="B955" i="19" s="1"/>
  <c r="AC957" i="19"/>
  <c r="AC960" i="19"/>
  <c r="AC961" i="19"/>
  <c r="AC962" i="19"/>
  <c r="B962" i="19" s="1"/>
  <c r="AC963" i="19"/>
  <c r="B963" i="19" s="1"/>
  <c r="AC964" i="19"/>
  <c r="B964" i="19" s="1"/>
  <c r="AC965" i="19"/>
  <c r="B965" i="19" s="1"/>
  <c r="AC969" i="19"/>
  <c r="AC971" i="19"/>
  <c r="AC972" i="19"/>
  <c r="AC974" i="19"/>
  <c r="AC976" i="19"/>
  <c r="B976" i="19" s="1"/>
  <c r="AC977" i="19"/>
  <c r="B977" i="19" s="1"/>
  <c r="AC978" i="19"/>
  <c r="AC979" i="19"/>
  <c r="B979" i="19" s="1"/>
  <c r="AC980" i="19"/>
  <c r="AC981" i="19"/>
  <c r="B981" i="19" s="1"/>
  <c r="AC982" i="19"/>
  <c r="B982" i="19" s="1"/>
  <c r="AC983" i="19"/>
  <c r="B983" i="19" s="1"/>
  <c r="AC984" i="19"/>
  <c r="B984" i="19" s="1"/>
  <c r="AC985" i="19"/>
  <c r="B985" i="19" s="1"/>
  <c r="AC986" i="19"/>
  <c r="AC987" i="19"/>
  <c r="AC988" i="19"/>
  <c r="AC989" i="19"/>
  <c r="B989" i="19" s="1"/>
  <c r="AC990" i="19"/>
  <c r="B990" i="19" s="1"/>
  <c r="AC991" i="19"/>
  <c r="AC994" i="19"/>
  <c r="B994" i="19" s="1"/>
  <c r="AC995" i="19"/>
  <c r="B995" i="19" s="1"/>
  <c r="AC996" i="19"/>
  <c r="B996" i="19" s="1"/>
  <c r="AC997" i="19"/>
  <c r="B997" i="19" s="1"/>
  <c r="AC998" i="19"/>
  <c r="B998" i="19" s="1"/>
  <c r="AC999" i="19"/>
  <c r="B999" i="19" s="1"/>
  <c r="AC1000" i="19"/>
  <c r="B1000" i="19" s="1"/>
  <c r="AC1001" i="19"/>
  <c r="B1001" i="19" s="1"/>
  <c r="AC1002" i="19"/>
  <c r="B1002" i="19" s="1"/>
  <c r="AC1003" i="19"/>
  <c r="B1003" i="19" s="1"/>
  <c r="AC1005" i="19"/>
  <c r="B1005" i="19" s="1"/>
  <c r="AC1006" i="19"/>
  <c r="B1006" i="19" s="1"/>
  <c r="AC1007" i="19"/>
  <c r="AC1008" i="19"/>
  <c r="B1008" i="19" s="1"/>
  <c r="AC1009" i="19"/>
  <c r="B1009" i="19" s="1"/>
  <c r="AC1010" i="19"/>
  <c r="B1010" i="19" s="1"/>
  <c r="AC1011" i="19"/>
  <c r="AC1013" i="19"/>
  <c r="B1013" i="19" s="1"/>
  <c r="AC1017" i="19"/>
  <c r="AC1018" i="19"/>
  <c r="AC1019" i="19"/>
  <c r="AC1020" i="19"/>
  <c r="AC1021" i="19"/>
  <c r="B1021" i="19" s="1"/>
  <c r="Y1021" i="19" s="1"/>
  <c r="AP1021" i="19" s="1"/>
  <c r="AC1022" i="19"/>
  <c r="AC1023" i="19"/>
  <c r="AC1024" i="19"/>
  <c r="B1024" i="19" s="1"/>
  <c r="AC1025" i="19"/>
  <c r="AC1027" i="19"/>
  <c r="AC1028" i="19"/>
  <c r="B1028" i="19" s="1"/>
  <c r="Y1028" i="19" s="1"/>
  <c r="AC1030" i="19"/>
  <c r="B1030" i="19" s="1"/>
  <c r="Y1030" i="19" s="1"/>
  <c r="AC1032" i="19"/>
  <c r="AC1033" i="19"/>
  <c r="B1033" i="19" s="1"/>
  <c r="Y1033" i="19" s="1"/>
  <c r="AC1034" i="19"/>
  <c r="B1034" i="19" s="1"/>
  <c r="Y1034" i="19" s="1"/>
  <c r="AC1036" i="19"/>
  <c r="B1036" i="19" s="1"/>
  <c r="AC1038" i="19"/>
  <c r="AC1043" i="19"/>
  <c r="AC1044" i="19"/>
  <c r="AC1046" i="19"/>
  <c r="AC1047" i="19"/>
  <c r="AC1048" i="19"/>
  <c r="AC1049" i="19"/>
  <c r="AC1051" i="19"/>
  <c r="AC1053" i="19"/>
  <c r="B1053" i="19" s="1"/>
  <c r="Y1053" i="19" s="1"/>
  <c r="AC1054" i="19"/>
  <c r="AC1055" i="19"/>
  <c r="AC1056" i="19"/>
  <c r="AC1060" i="19"/>
  <c r="B1060" i="19" s="1"/>
  <c r="AC1061" i="19"/>
  <c r="B1061" i="19" s="1"/>
  <c r="AC1062" i="19"/>
  <c r="AC1063" i="19"/>
  <c r="AC1066" i="19"/>
  <c r="B1066" i="19" s="1"/>
  <c r="AC1067" i="19"/>
  <c r="AC1069" i="19"/>
  <c r="B1069" i="19" s="1"/>
  <c r="AC1070" i="19"/>
  <c r="B1070" i="19" s="1"/>
  <c r="AC1071" i="19"/>
  <c r="B1071" i="19" s="1"/>
  <c r="AC1072" i="19"/>
  <c r="B1072" i="19" s="1"/>
  <c r="AC1073" i="19"/>
  <c r="AC1074" i="19"/>
  <c r="AC1075" i="19"/>
  <c r="B1075" i="19" s="1"/>
  <c r="AC1076" i="19"/>
  <c r="AC1077" i="19"/>
  <c r="B1077" i="19" s="1"/>
  <c r="AC1078" i="19"/>
  <c r="AC1079" i="19"/>
  <c r="B1079" i="19" s="1"/>
  <c r="AC1080" i="19"/>
  <c r="B1080" i="19" s="1"/>
  <c r="AC1081" i="19"/>
  <c r="AC1082" i="19"/>
  <c r="B1082" i="19" s="1"/>
  <c r="AC1083" i="19"/>
  <c r="AC1084" i="19"/>
  <c r="B1084" i="19" s="1"/>
  <c r="AC1085" i="19"/>
  <c r="AC1086" i="19"/>
  <c r="B1086" i="19" s="1"/>
  <c r="AC1087" i="19"/>
  <c r="AC1088" i="19"/>
  <c r="B1088" i="19" s="1"/>
  <c r="AC1089" i="19"/>
  <c r="AC1090" i="19"/>
  <c r="B1090" i="19" s="1"/>
  <c r="AC1091" i="19"/>
  <c r="B1091" i="19" s="1"/>
  <c r="AC1092" i="19"/>
  <c r="AC1093" i="19"/>
  <c r="B1093" i="19" s="1"/>
  <c r="AC1094" i="19"/>
  <c r="AC1095" i="19"/>
  <c r="B1095" i="19" s="1"/>
  <c r="AC1096" i="19"/>
  <c r="B1096" i="19" s="1"/>
  <c r="AC1097" i="19"/>
  <c r="AC1099" i="19"/>
  <c r="AC1100" i="19"/>
  <c r="B1100" i="19" s="1"/>
  <c r="AC1101" i="19"/>
  <c r="AC1102" i="19"/>
  <c r="B1102" i="19" s="1"/>
  <c r="AC1103" i="19"/>
  <c r="AC1104" i="19"/>
  <c r="B1104" i="19" s="1"/>
  <c r="AC1105" i="19"/>
  <c r="B1105" i="19" s="1"/>
  <c r="AC1106" i="19"/>
  <c r="AC1107" i="19"/>
  <c r="B1107" i="19" s="1"/>
  <c r="AC1108" i="19"/>
  <c r="AC1109" i="19"/>
  <c r="B1109" i="19" s="1"/>
  <c r="AC1110" i="19"/>
  <c r="AC1111" i="19"/>
  <c r="B1111" i="19" s="1"/>
  <c r="AC1112" i="19"/>
  <c r="AC1113" i="19"/>
  <c r="B1113" i="19" s="1"/>
  <c r="AC1114" i="19"/>
  <c r="AC1115" i="19"/>
  <c r="B1115" i="19" s="1"/>
  <c r="AC1116" i="19"/>
  <c r="AC1118" i="19"/>
  <c r="AC1119" i="19"/>
  <c r="B1119" i="19" s="1"/>
  <c r="AC1120" i="19"/>
  <c r="AC1121" i="19"/>
  <c r="B1121" i="19" s="1"/>
  <c r="AC1122" i="19"/>
  <c r="AC1125" i="19"/>
  <c r="AC1126" i="19"/>
  <c r="B1126" i="19" s="1"/>
  <c r="AC1127" i="19"/>
  <c r="AC1128" i="19"/>
  <c r="B1128" i="19" s="1"/>
  <c r="AC1129" i="19"/>
  <c r="B1129" i="19" s="1"/>
  <c r="AC1130" i="19"/>
  <c r="B1130" i="19" s="1"/>
  <c r="AC1131" i="19"/>
  <c r="B1131" i="19" s="1"/>
  <c r="AC1132" i="19"/>
  <c r="B1132" i="19" s="1"/>
  <c r="AC1133" i="19"/>
  <c r="B1133" i="19" s="1"/>
  <c r="AC1134" i="19"/>
  <c r="B1134" i="19" s="1"/>
  <c r="AC1135" i="19"/>
  <c r="B1135" i="19" s="1"/>
  <c r="AC1136" i="19"/>
  <c r="B1136" i="19" s="1"/>
  <c r="AC1137" i="19"/>
  <c r="B1137" i="19" s="1"/>
  <c r="AC1138" i="19"/>
  <c r="B1138" i="19" s="1"/>
  <c r="AC1139" i="19"/>
  <c r="B1139" i="19" s="1"/>
  <c r="AC1140" i="19"/>
  <c r="B1140" i="19" s="1"/>
  <c r="AC1141" i="19"/>
  <c r="B1141" i="19" s="1"/>
  <c r="AC1142" i="19"/>
  <c r="B1142" i="19" s="1"/>
  <c r="AC1143" i="19"/>
  <c r="B1143" i="19" s="1"/>
  <c r="AC1144" i="19"/>
  <c r="B1144" i="19" s="1"/>
  <c r="AC1145" i="19"/>
  <c r="B1145" i="19" s="1"/>
  <c r="AC1146" i="19"/>
  <c r="B1146" i="19" s="1"/>
  <c r="AC1147" i="19"/>
  <c r="B1147" i="19" s="1"/>
  <c r="AC1148" i="19"/>
  <c r="B1148" i="19" s="1"/>
  <c r="AC1149" i="19"/>
  <c r="B1149" i="19" s="1"/>
  <c r="AC1150" i="19"/>
  <c r="B1150" i="19" s="1"/>
  <c r="AC1151" i="19"/>
  <c r="B1151" i="19" s="1"/>
  <c r="AC1152" i="19"/>
  <c r="B1152" i="19" s="1"/>
  <c r="AC1153" i="19"/>
  <c r="B1153" i="19" s="1"/>
  <c r="AC1154" i="19"/>
  <c r="B1154" i="19" s="1"/>
  <c r="AC1155" i="19"/>
  <c r="B1155" i="19" s="1"/>
  <c r="AC1156" i="19"/>
  <c r="B1156" i="19" s="1"/>
  <c r="AC1157" i="19"/>
  <c r="B1157" i="19" s="1"/>
  <c r="AC1158" i="19"/>
  <c r="B1158" i="19" s="1"/>
  <c r="AC1159" i="19"/>
  <c r="B1159" i="19" s="1"/>
  <c r="AC1160" i="19"/>
  <c r="B1160" i="19" s="1"/>
  <c r="AC1161" i="19"/>
  <c r="B1161" i="19" s="1"/>
  <c r="AC1162" i="19"/>
  <c r="B1162" i="19" s="1"/>
  <c r="AC1163" i="19"/>
  <c r="B1163" i="19" s="1"/>
  <c r="AC1164" i="19"/>
  <c r="B1164" i="19" s="1"/>
  <c r="AC1165" i="19"/>
  <c r="B1165" i="19" s="1"/>
  <c r="AC1166" i="19"/>
  <c r="B1166" i="19" s="1"/>
  <c r="AC1167" i="19"/>
  <c r="B1167" i="19" s="1"/>
  <c r="AC1168" i="19"/>
  <c r="B1168" i="19" s="1"/>
  <c r="AC1169" i="19"/>
  <c r="B1169" i="19" s="1"/>
  <c r="AC1170" i="19"/>
  <c r="B1170" i="19" s="1"/>
  <c r="AC1171" i="19"/>
  <c r="B1171" i="19" s="1"/>
  <c r="AC1173" i="19"/>
  <c r="B1173" i="19" s="1"/>
  <c r="AC1174" i="19"/>
  <c r="B1174" i="19" s="1"/>
  <c r="AC1175" i="19"/>
  <c r="B1175" i="19" s="1"/>
  <c r="AC1176" i="19"/>
  <c r="B1176" i="19" s="1"/>
  <c r="AC1177" i="19"/>
  <c r="B1177" i="19" s="1"/>
  <c r="AC1178" i="19"/>
  <c r="B1178" i="19" s="1"/>
  <c r="AC1179" i="19"/>
  <c r="B1179" i="19" s="1"/>
  <c r="AC1180" i="19"/>
  <c r="B1180" i="19" s="1"/>
  <c r="AC1181" i="19"/>
  <c r="B1181" i="19" s="1"/>
  <c r="AC1182" i="19"/>
  <c r="B1182" i="19" s="1"/>
  <c r="AC1183" i="19"/>
  <c r="B1183" i="19" s="1"/>
  <c r="AC1184" i="19"/>
  <c r="B1184" i="19" s="1"/>
  <c r="AC1185" i="19"/>
  <c r="B1185" i="19" s="1"/>
  <c r="AC1186" i="19"/>
  <c r="B1186" i="19" s="1"/>
  <c r="AC1187" i="19"/>
  <c r="B1187" i="19" s="1"/>
  <c r="AC1188" i="19"/>
  <c r="B1188" i="19" s="1"/>
  <c r="AZ1189" i="19"/>
  <c r="AY1189" i="19"/>
  <c r="AR1189" i="19"/>
  <c r="AZ1188" i="19"/>
  <c r="AY1188" i="19"/>
  <c r="AX1188" i="19"/>
  <c r="AR1188" i="19"/>
  <c r="AT1188" i="19" s="1"/>
  <c r="AS1188" i="19" s="1"/>
  <c r="AZ1187" i="19"/>
  <c r="AY1187" i="19"/>
  <c r="AX1187" i="19"/>
  <c r="AR1187" i="19"/>
  <c r="AT1187" i="19" s="1"/>
  <c r="AZ1186" i="19"/>
  <c r="AY1186" i="19"/>
  <c r="AX1186" i="19"/>
  <c r="AR1186" i="19"/>
  <c r="AT1186" i="19" s="1"/>
  <c r="AS1186" i="19" s="1"/>
  <c r="AZ1185" i="19"/>
  <c r="AY1185" i="19"/>
  <c r="AX1185" i="19"/>
  <c r="AR1185" i="19"/>
  <c r="AT1185" i="19" s="1"/>
  <c r="AZ1184" i="19"/>
  <c r="AY1184" i="19"/>
  <c r="AX1184" i="19"/>
  <c r="AR1184" i="19"/>
  <c r="AT1184" i="19" s="1"/>
  <c r="AS1184" i="19" s="1"/>
  <c r="AZ1183" i="19"/>
  <c r="AY1183" i="19"/>
  <c r="AX1183" i="19"/>
  <c r="AR1183" i="19"/>
  <c r="AT1183" i="19" s="1"/>
  <c r="AZ1182" i="19"/>
  <c r="AY1182" i="19"/>
  <c r="AX1182" i="19"/>
  <c r="AR1182" i="19"/>
  <c r="AT1182" i="19" s="1"/>
  <c r="AS1182" i="19" s="1"/>
  <c r="AZ1181" i="19"/>
  <c r="AY1181" i="19"/>
  <c r="AX1181" i="19"/>
  <c r="AR1181" i="19"/>
  <c r="AT1181" i="19" s="1"/>
  <c r="AZ1180" i="19"/>
  <c r="AY1180" i="19"/>
  <c r="AX1180" i="19"/>
  <c r="AR1180" i="19"/>
  <c r="AT1180" i="19" s="1"/>
  <c r="AS1180" i="19" s="1"/>
  <c r="AZ1179" i="19"/>
  <c r="AY1179" i="19"/>
  <c r="AX1179" i="19"/>
  <c r="AR1179" i="19"/>
  <c r="AT1179" i="19" s="1"/>
  <c r="AZ1178" i="19"/>
  <c r="AY1178" i="19"/>
  <c r="AX1178" i="19"/>
  <c r="AR1178" i="19"/>
  <c r="AT1178" i="19" s="1"/>
  <c r="AS1178" i="19" s="1"/>
  <c r="AZ1177" i="19"/>
  <c r="AY1177" i="19"/>
  <c r="AX1177" i="19"/>
  <c r="AR1177" i="19"/>
  <c r="AT1177" i="19" s="1"/>
  <c r="AZ1176" i="19"/>
  <c r="AY1176" i="19"/>
  <c r="AX1176" i="19"/>
  <c r="AR1176" i="19"/>
  <c r="AT1176" i="19" s="1"/>
  <c r="AS1176" i="19" s="1"/>
  <c r="AZ1175" i="19"/>
  <c r="AY1175" i="19"/>
  <c r="AX1175" i="19"/>
  <c r="AR1175" i="19"/>
  <c r="AT1175" i="19" s="1"/>
  <c r="AZ1174" i="19"/>
  <c r="AY1174" i="19"/>
  <c r="AX1174" i="19"/>
  <c r="AR1174" i="19"/>
  <c r="AT1174" i="19" s="1"/>
  <c r="AS1174" i="19" s="1"/>
  <c r="AZ1173" i="19"/>
  <c r="AY1173" i="19"/>
  <c r="AX1173" i="19"/>
  <c r="AR1173" i="19"/>
  <c r="AT1173" i="19" s="1"/>
  <c r="AZ1172" i="19"/>
  <c r="AY1172" i="19"/>
  <c r="AX1172" i="19"/>
  <c r="AR1172" i="19"/>
  <c r="AT1172" i="19" s="1"/>
  <c r="AZ1171" i="19"/>
  <c r="AY1171" i="19"/>
  <c r="AX1171" i="19"/>
  <c r="AR1171" i="19"/>
  <c r="AT1171" i="19" s="1"/>
  <c r="AZ1170" i="19"/>
  <c r="AY1170" i="19"/>
  <c r="AX1170" i="19"/>
  <c r="AR1170" i="19"/>
  <c r="AT1170" i="19" s="1"/>
  <c r="AS1170" i="19" s="1"/>
  <c r="AZ1169" i="19"/>
  <c r="AY1169" i="19"/>
  <c r="AX1169" i="19"/>
  <c r="AR1169" i="19"/>
  <c r="AT1169" i="19" s="1"/>
  <c r="AZ1168" i="19"/>
  <c r="AY1168" i="19"/>
  <c r="AX1168" i="19"/>
  <c r="AR1168" i="19"/>
  <c r="AT1168" i="19" s="1"/>
  <c r="AS1168" i="19" s="1"/>
  <c r="AZ1167" i="19"/>
  <c r="AY1167" i="19"/>
  <c r="AX1167" i="19"/>
  <c r="AR1167" i="19"/>
  <c r="AT1167" i="19" s="1"/>
  <c r="AZ1166" i="19"/>
  <c r="AY1166" i="19"/>
  <c r="AX1166" i="19"/>
  <c r="AR1166" i="19"/>
  <c r="AT1166" i="19" s="1"/>
  <c r="AZ1165" i="19"/>
  <c r="AY1165" i="19"/>
  <c r="AX1165" i="19"/>
  <c r="AR1165" i="19"/>
  <c r="AT1165" i="19" s="1"/>
  <c r="AZ1164" i="19"/>
  <c r="AY1164" i="19"/>
  <c r="AX1164" i="19"/>
  <c r="AR1164" i="19"/>
  <c r="AT1164" i="19" s="1"/>
  <c r="AS1164" i="19" s="1"/>
  <c r="AZ1163" i="19"/>
  <c r="AY1163" i="19"/>
  <c r="AX1163" i="19"/>
  <c r="AR1163" i="19"/>
  <c r="AT1163" i="19" s="1"/>
  <c r="AZ1162" i="19"/>
  <c r="AY1162" i="19"/>
  <c r="AX1162" i="19"/>
  <c r="AR1162" i="19"/>
  <c r="AT1162" i="19" s="1"/>
  <c r="AS1162" i="19" s="1"/>
  <c r="AZ1161" i="19"/>
  <c r="AY1161" i="19"/>
  <c r="AX1161" i="19"/>
  <c r="AR1161" i="19"/>
  <c r="AT1161" i="19" s="1"/>
  <c r="AZ1160" i="19"/>
  <c r="AY1160" i="19"/>
  <c r="AX1160" i="19"/>
  <c r="AR1160" i="19"/>
  <c r="AT1160" i="19" s="1"/>
  <c r="AS1160" i="19" s="1"/>
  <c r="AZ1159" i="19"/>
  <c r="AY1159" i="19"/>
  <c r="AX1159" i="19"/>
  <c r="AR1159" i="19"/>
  <c r="AT1159" i="19" s="1"/>
  <c r="AZ1158" i="19"/>
  <c r="AY1158" i="19"/>
  <c r="AX1158" i="19"/>
  <c r="AR1158" i="19"/>
  <c r="AT1158" i="19" s="1"/>
  <c r="AZ1157" i="19"/>
  <c r="AY1157" i="19"/>
  <c r="AX1157" i="19"/>
  <c r="AR1157" i="19"/>
  <c r="AT1157" i="19" s="1"/>
  <c r="AZ1156" i="19"/>
  <c r="AY1156" i="19"/>
  <c r="AX1156" i="19"/>
  <c r="AR1156" i="19"/>
  <c r="AT1156" i="19" s="1"/>
  <c r="AS1156" i="19" s="1"/>
  <c r="AZ1155" i="19"/>
  <c r="AY1155" i="19"/>
  <c r="AX1155" i="19"/>
  <c r="AR1155" i="19"/>
  <c r="AT1155" i="19" s="1"/>
  <c r="AZ1154" i="19"/>
  <c r="AY1154" i="19"/>
  <c r="AX1154" i="19"/>
  <c r="AR1154" i="19"/>
  <c r="AT1154" i="19" s="1"/>
  <c r="AS1154" i="19" s="1"/>
  <c r="AZ1153" i="19"/>
  <c r="AY1153" i="19"/>
  <c r="AX1153" i="19"/>
  <c r="AR1153" i="19"/>
  <c r="AT1153" i="19" s="1"/>
  <c r="AS1153" i="19" s="1"/>
  <c r="AZ1152" i="19"/>
  <c r="AY1152" i="19"/>
  <c r="AX1152" i="19"/>
  <c r="AR1152" i="19"/>
  <c r="AT1152" i="19" s="1"/>
  <c r="AS1152" i="19" s="1"/>
  <c r="AZ1151" i="19"/>
  <c r="AY1151" i="19"/>
  <c r="AX1151" i="19"/>
  <c r="AR1151" i="19"/>
  <c r="AT1151" i="19" s="1"/>
  <c r="AZ1150" i="19"/>
  <c r="AY1150" i="19"/>
  <c r="AX1150" i="19"/>
  <c r="AR1150" i="19"/>
  <c r="AT1150" i="19" s="1"/>
  <c r="AS1150" i="19" s="1"/>
  <c r="AZ1149" i="19"/>
  <c r="AY1149" i="19"/>
  <c r="AX1149" i="19"/>
  <c r="AR1149" i="19"/>
  <c r="AT1149" i="19" s="1"/>
  <c r="AS1149" i="19" s="1"/>
  <c r="AZ1148" i="19"/>
  <c r="AY1148" i="19"/>
  <c r="AX1148" i="19"/>
  <c r="AR1148" i="19"/>
  <c r="AT1148" i="19" s="1"/>
  <c r="AS1148" i="19" s="1"/>
  <c r="AZ1147" i="19"/>
  <c r="AY1147" i="19"/>
  <c r="AX1147" i="19"/>
  <c r="AR1147" i="19"/>
  <c r="AT1147" i="19" s="1"/>
  <c r="AZ1146" i="19"/>
  <c r="AY1146" i="19"/>
  <c r="AX1146" i="19"/>
  <c r="AR1146" i="19"/>
  <c r="AT1146" i="19" s="1"/>
  <c r="AS1146" i="19" s="1"/>
  <c r="AZ1145" i="19"/>
  <c r="AY1145" i="19"/>
  <c r="AX1145" i="19"/>
  <c r="AR1145" i="19"/>
  <c r="AT1145" i="19" s="1"/>
  <c r="AS1145" i="19" s="1"/>
  <c r="AZ1144" i="19"/>
  <c r="AY1144" i="19"/>
  <c r="AX1144" i="19"/>
  <c r="AR1144" i="19"/>
  <c r="AT1144" i="19" s="1"/>
  <c r="AS1144" i="19" s="1"/>
  <c r="AZ1143" i="19"/>
  <c r="AY1143" i="19"/>
  <c r="AX1143" i="19"/>
  <c r="AR1143" i="19"/>
  <c r="AT1143" i="19" s="1"/>
  <c r="AZ1142" i="19"/>
  <c r="AY1142" i="19"/>
  <c r="AX1142" i="19"/>
  <c r="AR1142" i="19"/>
  <c r="AT1142" i="19" s="1"/>
  <c r="AS1142" i="19" s="1"/>
  <c r="AZ1141" i="19"/>
  <c r="AY1141" i="19"/>
  <c r="AX1141" i="19"/>
  <c r="AR1141" i="19"/>
  <c r="AT1141" i="19" s="1"/>
  <c r="AZ1140" i="19"/>
  <c r="AY1140" i="19"/>
  <c r="AX1140" i="19"/>
  <c r="AR1140" i="19"/>
  <c r="AT1140" i="19" s="1"/>
  <c r="AZ1139" i="19"/>
  <c r="AY1139" i="19"/>
  <c r="AX1139" i="19"/>
  <c r="AR1139" i="19"/>
  <c r="AT1139" i="19" s="1"/>
  <c r="AZ1138" i="19"/>
  <c r="AY1138" i="19"/>
  <c r="AX1138" i="19"/>
  <c r="AR1138" i="19"/>
  <c r="AT1138" i="19" s="1"/>
  <c r="AS1138" i="19" s="1"/>
  <c r="AZ1137" i="19"/>
  <c r="AY1137" i="19"/>
  <c r="AX1137" i="19"/>
  <c r="AR1137" i="19"/>
  <c r="AT1137" i="19" s="1"/>
  <c r="AZ1136" i="19"/>
  <c r="AY1136" i="19"/>
  <c r="AX1136" i="19"/>
  <c r="AR1136" i="19"/>
  <c r="AT1136" i="19" s="1"/>
  <c r="AZ1135" i="19"/>
  <c r="AY1135" i="19"/>
  <c r="AX1135" i="19"/>
  <c r="AR1135" i="19"/>
  <c r="AT1135" i="19" s="1"/>
  <c r="AZ1134" i="19"/>
  <c r="AY1134" i="19"/>
  <c r="AX1134" i="19"/>
  <c r="AR1134" i="19"/>
  <c r="AT1134" i="19" s="1"/>
  <c r="AS1134" i="19" s="1"/>
  <c r="AZ1133" i="19"/>
  <c r="AY1133" i="19"/>
  <c r="AX1133" i="19"/>
  <c r="AR1133" i="19"/>
  <c r="AT1133" i="19" s="1"/>
  <c r="AZ1132" i="19"/>
  <c r="AY1132" i="19"/>
  <c r="AX1132" i="19"/>
  <c r="AR1132" i="19"/>
  <c r="AT1132" i="19" s="1"/>
  <c r="AS1132" i="19" s="1"/>
  <c r="AZ1131" i="19"/>
  <c r="AY1131" i="19"/>
  <c r="AX1131" i="19"/>
  <c r="AR1131" i="19"/>
  <c r="AT1131" i="19" s="1"/>
  <c r="AZ1130" i="19"/>
  <c r="AY1130" i="19"/>
  <c r="AX1130" i="19"/>
  <c r="AR1130" i="19"/>
  <c r="AT1130" i="19" s="1"/>
  <c r="AS1130" i="19" s="1"/>
  <c r="AZ1129" i="19"/>
  <c r="AY1129" i="19"/>
  <c r="AX1129" i="19"/>
  <c r="AR1129" i="19"/>
  <c r="AT1129" i="19" s="1"/>
  <c r="AZ1128" i="19"/>
  <c r="AY1128" i="19"/>
  <c r="AX1128" i="19"/>
  <c r="AR1128" i="19"/>
  <c r="AT1128" i="19" s="1"/>
  <c r="AZ1126" i="19"/>
  <c r="AY1126" i="19"/>
  <c r="AX1126" i="19"/>
  <c r="AR1126" i="19"/>
  <c r="AT1126" i="19" s="1"/>
  <c r="AZ1124" i="19"/>
  <c r="AY1124" i="19"/>
  <c r="AX1124" i="19"/>
  <c r="AR1124" i="19"/>
  <c r="AT1124" i="19" s="1"/>
  <c r="AZ1123" i="19"/>
  <c r="AY1123" i="19"/>
  <c r="AX1123" i="19"/>
  <c r="AR1123" i="19"/>
  <c r="AT1123" i="19" s="1"/>
  <c r="AZ1121" i="19"/>
  <c r="AY1121" i="19"/>
  <c r="AX1121" i="19"/>
  <c r="AR1121" i="19"/>
  <c r="AT1121" i="19" s="1"/>
  <c r="AZ1119" i="19"/>
  <c r="AY1119" i="19"/>
  <c r="AX1119" i="19"/>
  <c r="AR1119" i="19"/>
  <c r="AT1119" i="19" s="1"/>
  <c r="AZ1117" i="19"/>
  <c r="AY1117" i="19"/>
  <c r="AX1117" i="19"/>
  <c r="AR1117" i="19"/>
  <c r="AT1117" i="19" s="1"/>
  <c r="AZ1115" i="19"/>
  <c r="AY1115" i="19"/>
  <c r="AX1115" i="19"/>
  <c r="AR1115" i="19"/>
  <c r="AT1115" i="19" s="1"/>
  <c r="AZ1113" i="19"/>
  <c r="AY1113" i="19"/>
  <c r="AX1113" i="19"/>
  <c r="AR1113" i="19"/>
  <c r="AT1113" i="19" s="1"/>
  <c r="AZ1111" i="19"/>
  <c r="AY1111" i="19"/>
  <c r="AX1111" i="19"/>
  <c r="AR1111" i="19"/>
  <c r="AT1111" i="19" s="1"/>
  <c r="AZ1109" i="19"/>
  <c r="AY1109" i="19"/>
  <c r="AX1109" i="19"/>
  <c r="AR1109" i="19"/>
  <c r="AT1109" i="19" s="1"/>
  <c r="AZ1107" i="19"/>
  <c r="AY1107" i="19"/>
  <c r="AX1107" i="19"/>
  <c r="AR1107" i="19"/>
  <c r="AT1107" i="19" s="1"/>
  <c r="AZ1105" i="19"/>
  <c r="AY1105" i="19"/>
  <c r="AX1105" i="19"/>
  <c r="AR1105" i="19"/>
  <c r="AT1105" i="19" s="1"/>
  <c r="AZ1104" i="19"/>
  <c r="AY1104" i="19"/>
  <c r="AX1104" i="19"/>
  <c r="AR1104" i="19"/>
  <c r="AT1104" i="19" s="1"/>
  <c r="AZ1102" i="19"/>
  <c r="AY1102" i="19"/>
  <c r="AX1102" i="19"/>
  <c r="AR1102" i="19"/>
  <c r="AT1102" i="19" s="1"/>
  <c r="AZ1100" i="19"/>
  <c r="AY1100" i="19"/>
  <c r="AX1100" i="19"/>
  <c r="AR1100" i="19"/>
  <c r="AT1100" i="19" s="1"/>
  <c r="AZ1098" i="19"/>
  <c r="AY1098" i="19"/>
  <c r="AX1098" i="19"/>
  <c r="AR1098" i="19"/>
  <c r="AT1098" i="19" s="1"/>
  <c r="AZ1096" i="19"/>
  <c r="AY1096" i="19"/>
  <c r="AX1096" i="19"/>
  <c r="AR1096" i="19"/>
  <c r="AT1096" i="19" s="1"/>
  <c r="AZ1095" i="19"/>
  <c r="AY1095" i="19"/>
  <c r="AX1095" i="19"/>
  <c r="AR1095" i="19"/>
  <c r="AT1095" i="19" s="1"/>
  <c r="AZ1093" i="19"/>
  <c r="AY1093" i="19"/>
  <c r="AX1093" i="19"/>
  <c r="AR1093" i="19"/>
  <c r="AT1093" i="19" s="1"/>
  <c r="AZ1091" i="19"/>
  <c r="AY1091" i="19"/>
  <c r="AX1091" i="19"/>
  <c r="AR1091" i="19"/>
  <c r="AT1091" i="19" s="1"/>
  <c r="AZ1090" i="19"/>
  <c r="AY1090" i="19"/>
  <c r="AX1090" i="19"/>
  <c r="AR1090" i="19"/>
  <c r="AT1090" i="19" s="1"/>
  <c r="AZ1088" i="19"/>
  <c r="AY1088" i="19"/>
  <c r="AX1088" i="19"/>
  <c r="AR1088" i="19"/>
  <c r="AT1088" i="19" s="1"/>
  <c r="AZ1086" i="19"/>
  <c r="AY1086" i="19"/>
  <c r="AX1086" i="19"/>
  <c r="AR1086" i="19"/>
  <c r="AT1086" i="19" s="1"/>
  <c r="AZ1084" i="19"/>
  <c r="AY1084" i="19"/>
  <c r="AX1084" i="19"/>
  <c r="AR1084" i="19"/>
  <c r="AT1084" i="19" s="1"/>
  <c r="AZ1082" i="19"/>
  <c r="AY1082" i="19"/>
  <c r="AX1082" i="19"/>
  <c r="AR1082" i="19"/>
  <c r="AT1082" i="19" s="1"/>
  <c r="AZ1080" i="19"/>
  <c r="AY1080" i="19"/>
  <c r="AX1080" i="19"/>
  <c r="AR1080" i="19"/>
  <c r="AT1080" i="19" s="1"/>
  <c r="AZ1079" i="19"/>
  <c r="AY1079" i="19"/>
  <c r="AX1079" i="19"/>
  <c r="AR1079" i="19"/>
  <c r="AT1079" i="19" s="1"/>
  <c r="AZ1077" i="19"/>
  <c r="AY1077" i="19"/>
  <c r="AX1077" i="19"/>
  <c r="AR1077" i="19"/>
  <c r="AT1077" i="19" s="1"/>
  <c r="AZ1075" i="19"/>
  <c r="AY1075" i="19"/>
  <c r="AX1075" i="19"/>
  <c r="AR1075" i="19"/>
  <c r="AT1075" i="19" s="1"/>
  <c r="AZ1072" i="19"/>
  <c r="AY1072" i="19"/>
  <c r="AX1072" i="19"/>
  <c r="AR1072" i="19"/>
  <c r="AT1072" i="19" s="1"/>
  <c r="AZ1071" i="19"/>
  <c r="AY1071" i="19"/>
  <c r="AX1071" i="19"/>
  <c r="AR1071" i="19"/>
  <c r="AT1071" i="19" s="1"/>
  <c r="AZ1070" i="19"/>
  <c r="AY1070" i="19"/>
  <c r="AX1070" i="19"/>
  <c r="AR1070" i="19"/>
  <c r="AT1070" i="19" s="1"/>
  <c r="AS1070" i="19" s="1"/>
  <c r="AZ1069" i="19"/>
  <c r="AY1069" i="19"/>
  <c r="AX1069" i="19"/>
  <c r="AR1069" i="19"/>
  <c r="AT1069" i="19" s="1"/>
  <c r="AS1069" i="19" s="1"/>
  <c r="AZ1068" i="19"/>
  <c r="AY1068" i="19"/>
  <c r="AX1068" i="19"/>
  <c r="AR1068" i="19"/>
  <c r="AT1068" i="19" s="1"/>
  <c r="AZ1066" i="19"/>
  <c r="AY1066" i="19"/>
  <c r="AX1066" i="19"/>
  <c r="AR1066" i="19"/>
  <c r="AT1066" i="19" s="1"/>
  <c r="AZ1065" i="19"/>
  <c r="AY1065" i="19"/>
  <c r="AX1065" i="19"/>
  <c r="AR1065" i="19"/>
  <c r="AT1065" i="19" s="1"/>
  <c r="AS1065" i="19" s="1"/>
  <c r="AZ1064" i="19"/>
  <c r="AY1064" i="19"/>
  <c r="AX1064" i="19"/>
  <c r="AR1064" i="19"/>
  <c r="AT1064" i="19" s="1"/>
  <c r="AS1064" i="19" s="1"/>
  <c r="AZ1063" i="19"/>
  <c r="AY1063" i="19"/>
  <c r="AX1063" i="19"/>
  <c r="AR1063" i="19"/>
  <c r="AT1063" i="19" s="1"/>
  <c r="AZ1061" i="19"/>
  <c r="AY1061" i="19"/>
  <c r="AX1061" i="19"/>
  <c r="AR1061" i="19"/>
  <c r="AT1061" i="19" s="1"/>
  <c r="AZ1060" i="19"/>
  <c r="AY1060" i="19"/>
  <c r="AX1060" i="19"/>
  <c r="AR1060" i="19"/>
  <c r="AT1060" i="19" s="1"/>
  <c r="AZ1059" i="19"/>
  <c r="AY1059" i="19"/>
  <c r="AX1059" i="19"/>
  <c r="AR1059" i="19"/>
  <c r="AT1059" i="19" s="1"/>
  <c r="AS1059" i="19" s="1"/>
  <c r="AZ1058" i="19"/>
  <c r="AY1058" i="19"/>
  <c r="AX1058" i="19"/>
  <c r="AR1058" i="19"/>
  <c r="AT1058" i="19" s="1"/>
  <c r="AZ1057" i="19"/>
  <c r="AY1057" i="19"/>
  <c r="AX1057" i="19"/>
  <c r="AR1057" i="19"/>
  <c r="AT1057" i="19" s="1"/>
  <c r="AZ1055" i="19"/>
  <c r="AY1055" i="19"/>
  <c r="AX1055" i="19"/>
  <c r="AR1055" i="19"/>
  <c r="AT1055" i="19" s="1"/>
  <c r="AZ1054" i="19"/>
  <c r="AY1054" i="19"/>
  <c r="AX1054" i="19"/>
  <c r="AR1054" i="19"/>
  <c r="AT1054" i="19" s="1"/>
  <c r="AZ1053" i="19"/>
  <c r="AY1053" i="19"/>
  <c r="AX1053" i="19"/>
  <c r="AR1053" i="19"/>
  <c r="AT1053" i="19" s="1"/>
  <c r="AS1053" i="19" s="1"/>
  <c r="AZ1052" i="19"/>
  <c r="AY1052" i="19"/>
  <c r="AX1052" i="19"/>
  <c r="AR1052" i="19"/>
  <c r="AT1052" i="19" s="1"/>
  <c r="AS1052" i="19" s="1"/>
  <c r="AZ1050" i="19"/>
  <c r="AY1050" i="19"/>
  <c r="AX1050" i="19"/>
  <c r="AR1050" i="19"/>
  <c r="AT1050" i="19" s="1"/>
  <c r="AZ1048" i="19"/>
  <c r="AY1048" i="19"/>
  <c r="AX1048" i="19"/>
  <c r="AR1048" i="19"/>
  <c r="AT1048" i="19" s="1"/>
  <c r="AZ1047" i="19"/>
  <c r="AY1047" i="19"/>
  <c r="AX1047" i="19"/>
  <c r="AR1047" i="19"/>
  <c r="AT1047" i="19" s="1"/>
  <c r="AZ1046" i="19"/>
  <c r="AY1046" i="19"/>
  <c r="AX1046" i="19"/>
  <c r="AR1046" i="19"/>
  <c r="AT1046" i="19" s="1"/>
  <c r="AS1046" i="19" s="1"/>
  <c r="AZ1045" i="19"/>
  <c r="AY1045" i="19"/>
  <c r="AX1045" i="19"/>
  <c r="AR1045" i="19"/>
  <c r="AT1045" i="19" s="1"/>
  <c r="AS1045" i="19" s="1"/>
  <c r="AZ1043" i="19"/>
  <c r="AY1043" i="19"/>
  <c r="AX1043" i="19"/>
  <c r="AR1043" i="19"/>
  <c r="AT1043" i="19" s="1"/>
  <c r="AZ1042" i="19"/>
  <c r="AY1042" i="19"/>
  <c r="AX1042" i="19"/>
  <c r="AR1042" i="19"/>
  <c r="AT1042" i="19" s="1"/>
  <c r="AZ1041" i="19"/>
  <c r="AY1041" i="19"/>
  <c r="AX1041" i="19"/>
  <c r="AR1041" i="19"/>
  <c r="AT1041" i="19" s="1"/>
  <c r="AS1041" i="19" s="1"/>
  <c r="AZ1040" i="19"/>
  <c r="AY1040" i="19"/>
  <c r="AX1040" i="19"/>
  <c r="AR1040" i="19"/>
  <c r="AT1040" i="19" s="1"/>
  <c r="AS1040" i="19" s="1"/>
  <c r="AZ1039" i="19"/>
  <c r="AY1039" i="19"/>
  <c r="AX1039" i="19"/>
  <c r="AR1039" i="19"/>
  <c r="AT1039" i="19" s="1"/>
  <c r="AZ1038" i="19"/>
  <c r="AY1038" i="19"/>
  <c r="AX1038" i="19"/>
  <c r="AR1038" i="19"/>
  <c r="AT1038" i="19" s="1"/>
  <c r="AZ1037" i="19"/>
  <c r="AY1037" i="19"/>
  <c r="AX1037" i="19"/>
  <c r="AR1037" i="19"/>
  <c r="AT1037" i="19" s="1"/>
  <c r="AS1037" i="19" s="1"/>
  <c r="AZ1036" i="19"/>
  <c r="AY1036" i="19"/>
  <c r="AX1036" i="19"/>
  <c r="AR1036" i="19"/>
  <c r="AT1036" i="19" s="1"/>
  <c r="AS1036" i="19" s="1"/>
  <c r="AZ1035" i="19"/>
  <c r="AY1035" i="19"/>
  <c r="AX1035" i="19"/>
  <c r="AR1035" i="19"/>
  <c r="AT1035" i="19" s="1"/>
  <c r="AZ1034" i="19"/>
  <c r="AY1034" i="19"/>
  <c r="AX1034" i="19"/>
  <c r="AR1034" i="19"/>
  <c r="AT1034" i="19" s="1"/>
  <c r="AS1034" i="19" s="1"/>
  <c r="AZ1033" i="19"/>
  <c r="AY1033" i="19"/>
  <c r="AX1033" i="19"/>
  <c r="AR1033" i="19"/>
  <c r="AT1033" i="19" s="1"/>
  <c r="AZ1032" i="19"/>
  <c r="AY1032" i="19"/>
  <c r="AX1032" i="19"/>
  <c r="AR1032" i="19"/>
  <c r="AT1032" i="19" s="1"/>
  <c r="AS1032" i="19" s="1"/>
  <c r="AZ1031" i="19"/>
  <c r="AY1031" i="19"/>
  <c r="AX1031" i="19"/>
  <c r="AR1031" i="19"/>
  <c r="AT1031" i="19" s="1"/>
  <c r="AZ1030" i="19"/>
  <c r="AY1030" i="19"/>
  <c r="AX1030" i="19"/>
  <c r="AR1030" i="19"/>
  <c r="AT1030" i="19" s="1"/>
  <c r="AZ1029" i="19"/>
  <c r="AY1029" i="19"/>
  <c r="AX1029" i="19"/>
  <c r="AR1029" i="19"/>
  <c r="AT1029" i="19" s="1"/>
  <c r="AZ1028" i="19"/>
  <c r="AY1028" i="19"/>
  <c r="AX1028" i="19"/>
  <c r="AR1028" i="19"/>
  <c r="AT1028" i="19" s="1"/>
  <c r="AS1028" i="19" s="1"/>
  <c r="AZ1026" i="19"/>
  <c r="AY1026" i="19"/>
  <c r="AX1026" i="19"/>
  <c r="AR1026" i="19"/>
  <c r="AT1026" i="19" s="1"/>
  <c r="AZ1024" i="19"/>
  <c r="AY1024" i="19"/>
  <c r="AX1024" i="19"/>
  <c r="AR1024" i="19"/>
  <c r="AT1024" i="19" s="1"/>
  <c r="AZ1023" i="19"/>
  <c r="AY1023" i="19"/>
  <c r="AX1023" i="19"/>
  <c r="AR1023" i="19"/>
  <c r="AT1023" i="19" s="1"/>
  <c r="AZ1022" i="19"/>
  <c r="AY1022" i="19"/>
  <c r="AX1022" i="19"/>
  <c r="AR1022" i="19"/>
  <c r="AT1022" i="19" s="1"/>
  <c r="AS1022" i="19" s="1"/>
  <c r="AZ1021" i="19"/>
  <c r="AY1021" i="19"/>
  <c r="AX1021" i="19"/>
  <c r="AR1021" i="19"/>
  <c r="AT1021" i="19" s="1"/>
  <c r="AS1021" i="19" s="1"/>
  <c r="AZ1020" i="19"/>
  <c r="AY1020" i="19"/>
  <c r="AX1020" i="19"/>
  <c r="AR1020" i="19"/>
  <c r="AT1020" i="19" s="1"/>
  <c r="AZ1018" i="19"/>
  <c r="AY1018" i="19"/>
  <c r="AX1018" i="19"/>
  <c r="AR1018" i="19"/>
  <c r="AT1018" i="19" s="1"/>
  <c r="AZ1016" i="19"/>
  <c r="AY1016" i="19"/>
  <c r="AX1016" i="19"/>
  <c r="AR1016" i="19"/>
  <c r="AT1016" i="19" s="1"/>
  <c r="AZ1015" i="19"/>
  <c r="AY1015" i="19"/>
  <c r="AX1015" i="19"/>
  <c r="AR1015" i="19"/>
  <c r="AT1015" i="19" s="1"/>
  <c r="AZ1014" i="19"/>
  <c r="AY1014" i="19"/>
  <c r="AX1014" i="19"/>
  <c r="AR1014" i="19"/>
  <c r="AT1014" i="19" s="1"/>
  <c r="AS1014" i="19" s="1"/>
  <c r="AZ1013" i="19"/>
  <c r="AY1013" i="19"/>
  <c r="AX1013" i="19"/>
  <c r="AR1013" i="19"/>
  <c r="AT1013" i="19" s="1"/>
  <c r="AS1013" i="19" s="1"/>
  <c r="AZ1012" i="19"/>
  <c r="AY1012" i="19"/>
  <c r="AX1012" i="19"/>
  <c r="AR1012" i="19"/>
  <c r="AT1012" i="19" s="1"/>
  <c r="AZ1010" i="19"/>
  <c r="AY1010" i="19"/>
  <c r="AX1010" i="19"/>
  <c r="AR1010" i="19"/>
  <c r="AT1010" i="19" s="1"/>
  <c r="AZ1009" i="19"/>
  <c r="AY1009" i="19"/>
  <c r="AX1009" i="19"/>
  <c r="AR1009" i="19"/>
  <c r="AT1009" i="19" s="1"/>
  <c r="AS1009" i="19" s="1"/>
  <c r="AZ1008" i="19"/>
  <c r="AY1008" i="19"/>
  <c r="AX1008" i="19"/>
  <c r="AR1008" i="19"/>
  <c r="AT1008" i="19" s="1"/>
  <c r="AS1008" i="19" s="1"/>
  <c r="AZ1006" i="19"/>
  <c r="AY1006" i="19"/>
  <c r="AX1006" i="19"/>
  <c r="AR1006" i="19"/>
  <c r="AT1006" i="19" s="1"/>
  <c r="AZ1005" i="19"/>
  <c r="AY1005" i="19"/>
  <c r="AX1005" i="19"/>
  <c r="AR1005" i="19"/>
  <c r="AT1005" i="19" s="1"/>
  <c r="AZ1004" i="19"/>
  <c r="AY1004" i="19"/>
  <c r="AX1004" i="19"/>
  <c r="AR1004" i="19"/>
  <c r="AT1004" i="19" s="1"/>
  <c r="AZ1003" i="19"/>
  <c r="AY1003" i="19"/>
  <c r="AX1003" i="19"/>
  <c r="AR1003" i="19"/>
  <c r="AT1003" i="19" s="1"/>
  <c r="AZ1002" i="19"/>
  <c r="AY1002" i="19"/>
  <c r="AX1002" i="19"/>
  <c r="AR1002" i="19"/>
  <c r="AT1002" i="19" s="1"/>
  <c r="AZ1001" i="19"/>
  <c r="AY1001" i="19"/>
  <c r="AX1001" i="19"/>
  <c r="AR1001" i="19"/>
  <c r="AT1001" i="19" s="1"/>
  <c r="AS1001" i="19" s="1"/>
  <c r="AZ1000" i="19"/>
  <c r="AY1000" i="19"/>
  <c r="AX1000" i="19"/>
  <c r="AR1000" i="19"/>
  <c r="AT1000" i="19" s="1"/>
  <c r="AZ999" i="19"/>
  <c r="AY999" i="19"/>
  <c r="AX999" i="19"/>
  <c r="AR999" i="19"/>
  <c r="AT999" i="19" s="1"/>
  <c r="AS999" i="19" s="1"/>
  <c r="AZ998" i="19"/>
  <c r="AY998" i="19"/>
  <c r="AX998" i="19"/>
  <c r="AR998" i="19"/>
  <c r="AT998" i="19" s="1"/>
  <c r="AZ997" i="19"/>
  <c r="AY997" i="19"/>
  <c r="AX997" i="19"/>
  <c r="AR997" i="19"/>
  <c r="AT997" i="19" s="1"/>
  <c r="AS997" i="19" s="1"/>
  <c r="AZ996" i="19"/>
  <c r="AY996" i="19"/>
  <c r="AX996" i="19"/>
  <c r="AR996" i="19"/>
  <c r="AT996" i="19" s="1"/>
  <c r="AZ995" i="19"/>
  <c r="AY995" i="19"/>
  <c r="AX995" i="19"/>
  <c r="AR995" i="19"/>
  <c r="AT995" i="19" s="1"/>
  <c r="AS995" i="19" s="1"/>
  <c r="AZ994" i="19"/>
  <c r="AY994" i="19"/>
  <c r="AX994" i="19"/>
  <c r="AR994" i="19"/>
  <c r="AT994" i="19" s="1"/>
  <c r="AZ993" i="19"/>
  <c r="AY993" i="19"/>
  <c r="AX993" i="19"/>
  <c r="AR993" i="19"/>
  <c r="AT993" i="19" s="1"/>
  <c r="AS993" i="19" s="1"/>
  <c r="AZ992" i="19"/>
  <c r="AY992" i="19"/>
  <c r="AX992" i="19"/>
  <c r="AR992" i="19"/>
  <c r="AT992" i="19" s="1"/>
  <c r="AZ991" i="19"/>
  <c r="AY991" i="19"/>
  <c r="AX991" i="19"/>
  <c r="AR991" i="19"/>
  <c r="AT991" i="19" s="1"/>
  <c r="AS991" i="19" s="1"/>
  <c r="AZ990" i="19"/>
  <c r="AY990" i="19"/>
  <c r="AX990" i="19"/>
  <c r="AR990" i="19"/>
  <c r="AT990" i="19" s="1"/>
  <c r="AZ989" i="19"/>
  <c r="AY989" i="19"/>
  <c r="AX989" i="19"/>
  <c r="AR989" i="19"/>
  <c r="AT989" i="19" s="1"/>
  <c r="AS989" i="19" s="1"/>
  <c r="AZ987" i="19"/>
  <c r="AY987" i="19"/>
  <c r="AX987" i="19"/>
  <c r="AR987" i="19"/>
  <c r="AT987" i="19" s="1"/>
  <c r="AZ986" i="19"/>
  <c r="AY986" i="19"/>
  <c r="AX986" i="19"/>
  <c r="AR986" i="19"/>
  <c r="AT986" i="19" s="1"/>
  <c r="AZ985" i="19"/>
  <c r="AY985" i="19"/>
  <c r="AX985" i="19"/>
  <c r="AR985" i="19"/>
  <c r="AT985" i="19" s="1"/>
  <c r="AS985" i="19" s="1"/>
  <c r="AZ984" i="19"/>
  <c r="AY984" i="19"/>
  <c r="AX984" i="19"/>
  <c r="AR984" i="19"/>
  <c r="AT984" i="19" s="1"/>
  <c r="AS984" i="19" s="1"/>
  <c r="AZ983" i="19"/>
  <c r="AY983" i="19"/>
  <c r="AX983" i="19"/>
  <c r="AR983" i="19"/>
  <c r="AT983" i="19" s="1"/>
  <c r="AZ982" i="19"/>
  <c r="AY982" i="19"/>
  <c r="AX982" i="19"/>
  <c r="AR982" i="19"/>
  <c r="AT982" i="19" s="1"/>
  <c r="AZ981" i="19"/>
  <c r="AY981" i="19"/>
  <c r="AX981" i="19"/>
  <c r="AR981" i="19"/>
  <c r="AT981" i="19" s="1"/>
  <c r="AS981" i="19" s="1"/>
  <c r="AZ980" i="19"/>
  <c r="AY980" i="19"/>
  <c r="AX980" i="19"/>
  <c r="AR980" i="19"/>
  <c r="AT980" i="19" s="1"/>
  <c r="AS980" i="19" s="1"/>
  <c r="AZ979" i="19"/>
  <c r="AY979" i="19"/>
  <c r="AX979" i="19"/>
  <c r="AR979" i="19"/>
  <c r="AT979" i="19" s="1"/>
  <c r="AZ978" i="19"/>
  <c r="AY978" i="19"/>
  <c r="AX978" i="19"/>
  <c r="AR978" i="19"/>
  <c r="AT978" i="19" s="1"/>
  <c r="AZ977" i="19"/>
  <c r="AY977" i="19"/>
  <c r="AX977" i="19"/>
  <c r="AR977" i="19"/>
  <c r="AT977" i="19" s="1"/>
  <c r="AZ976" i="19"/>
  <c r="AY976" i="19"/>
  <c r="AX976" i="19"/>
  <c r="AR976" i="19"/>
  <c r="AT976" i="19" s="1"/>
  <c r="AS976" i="19" s="1"/>
  <c r="AZ975" i="19"/>
  <c r="AY975" i="19"/>
  <c r="AX975" i="19"/>
  <c r="AR975" i="19"/>
  <c r="AT975" i="19" s="1"/>
  <c r="AZ973" i="19"/>
  <c r="AY973" i="19"/>
  <c r="AX973" i="19"/>
  <c r="AR973" i="19"/>
  <c r="AT973" i="19" s="1"/>
  <c r="AZ971" i="19"/>
  <c r="AY971" i="19"/>
  <c r="AX971" i="19"/>
  <c r="AR971" i="19"/>
  <c r="AT971" i="19" s="1"/>
  <c r="AZ970" i="19"/>
  <c r="AY970" i="19"/>
  <c r="AX970" i="19"/>
  <c r="AR970" i="19"/>
  <c r="AT970" i="19" s="1"/>
  <c r="AZ968" i="19"/>
  <c r="AY968" i="19"/>
  <c r="AX968" i="19"/>
  <c r="AR968" i="19"/>
  <c r="AT968" i="19" s="1"/>
  <c r="AZ967" i="19"/>
  <c r="AY967" i="19"/>
  <c r="AX967" i="19"/>
  <c r="AR967" i="19"/>
  <c r="AT967" i="19" s="1"/>
  <c r="AZ966" i="19"/>
  <c r="AY966" i="19"/>
  <c r="AX966" i="19"/>
  <c r="AR966" i="19"/>
  <c r="AT966" i="19" s="1"/>
  <c r="AS966" i="19" s="1"/>
  <c r="AZ965" i="19"/>
  <c r="AY965" i="19"/>
  <c r="AX965" i="19"/>
  <c r="AR965" i="19"/>
  <c r="AT965" i="19" s="1"/>
  <c r="AS965" i="19" s="1"/>
  <c r="AZ964" i="19"/>
  <c r="AY964" i="19"/>
  <c r="AX964" i="19"/>
  <c r="AR964" i="19"/>
  <c r="AT964" i="19" s="1"/>
  <c r="AZ963" i="19"/>
  <c r="AY963" i="19"/>
  <c r="AX963" i="19"/>
  <c r="AR963" i="19"/>
  <c r="AT963" i="19" s="1"/>
  <c r="AZ962" i="19"/>
  <c r="AY962" i="19"/>
  <c r="AX962" i="19"/>
  <c r="AR962" i="19"/>
  <c r="AT962" i="19" s="1"/>
  <c r="AS962" i="19" s="1"/>
  <c r="AZ961" i="19"/>
  <c r="AY961" i="19"/>
  <c r="AX961" i="19"/>
  <c r="AR961" i="19"/>
  <c r="AT961" i="19" s="1"/>
  <c r="AS961" i="19" s="1"/>
  <c r="AZ959" i="19"/>
  <c r="AY959" i="19"/>
  <c r="AX959" i="19"/>
  <c r="AR959" i="19"/>
  <c r="AT959" i="19" s="1"/>
  <c r="AZ958" i="19"/>
  <c r="AY958" i="19"/>
  <c r="AX958" i="19"/>
  <c r="AR958" i="19"/>
  <c r="AT958" i="19" s="1"/>
  <c r="AZ956" i="19"/>
  <c r="AY956" i="19"/>
  <c r="AX956" i="19"/>
  <c r="AR956" i="19"/>
  <c r="AT956" i="19" s="1"/>
  <c r="AZ955" i="19"/>
  <c r="AY955" i="19"/>
  <c r="AX955" i="19"/>
  <c r="AR955" i="19"/>
  <c r="AT955" i="19" s="1"/>
  <c r="AZ954" i="19"/>
  <c r="AY954" i="19"/>
  <c r="AX954" i="19"/>
  <c r="AR954" i="19"/>
  <c r="AT954" i="19" s="1"/>
  <c r="AS954" i="19" s="1"/>
  <c r="AZ952" i="19"/>
  <c r="AY952" i="19"/>
  <c r="AX952" i="19"/>
  <c r="AR952" i="19"/>
  <c r="AT952" i="19" s="1"/>
  <c r="AZ951" i="19"/>
  <c r="AY951" i="19"/>
  <c r="AX951" i="19"/>
  <c r="AR951" i="19"/>
  <c r="AT951" i="19" s="1"/>
  <c r="AZ950" i="19"/>
  <c r="AY950" i="19"/>
  <c r="AX950" i="19"/>
  <c r="AR950" i="19"/>
  <c r="AT950" i="19" s="1"/>
  <c r="AS950" i="19" s="1"/>
  <c r="AZ948" i="19"/>
  <c r="AY948" i="19"/>
  <c r="AX948" i="19"/>
  <c r="AR948" i="19"/>
  <c r="AT948" i="19" s="1"/>
  <c r="AZ947" i="19"/>
  <c r="AY947" i="19"/>
  <c r="AX947" i="19"/>
  <c r="AR947" i="19"/>
  <c r="AT947" i="19" s="1"/>
  <c r="AZ945" i="19"/>
  <c r="AY945" i="19"/>
  <c r="AX945" i="19"/>
  <c r="AR945" i="19"/>
  <c r="AT945" i="19" s="1"/>
  <c r="AZ944" i="19"/>
  <c r="AY944" i="19"/>
  <c r="AX944" i="19"/>
  <c r="AR944" i="19"/>
  <c r="AT944" i="19" s="1"/>
  <c r="AZ943" i="19"/>
  <c r="AY943" i="19"/>
  <c r="AX943" i="19"/>
  <c r="AR943" i="19"/>
  <c r="AT943" i="19" s="1"/>
  <c r="AS943" i="19" s="1"/>
  <c r="AZ941" i="19"/>
  <c r="AY941" i="19"/>
  <c r="AX941" i="19"/>
  <c r="AR941" i="19"/>
  <c r="AT941" i="19" s="1"/>
  <c r="AZ940" i="19"/>
  <c r="AY940" i="19"/>
  <c r="AX940" i="19"/>
  <c r="AR940" i="19"/>
  <c r="AT940" i="19" s="1"/>
  <c r="AZ939" i="19"/>
  <c r="AY939" i="19"/>
  <c r="AX939" i="19"/>
  <c r="AR939" i="19"/>
  <c r="AT939" i="19" s="1"/>
  <c r="AZ938" i="19"/>
  <c r="AY938" i="19"/>
  <c r="AX938" i="19"/>
  <c r="AR938" i="19"/>
  <c r="AT938" i="19" s="1"/>
  <c r="AS938" i="19" s="1"/>
  <c r="AZ936" i="19"/>
  <c r="AY936" i="19"/>
  <c r="AX936" i="19"/>
  <c r="AR936" i="19"/>
  <c r="AT936" i="19" s="1"/>
  <c r="AZ935" i="19"/>
  <c r="AY935" i="19"/>
  <c r="AX935" i="19"/>
  <c r="AR935" i="19"/>
  <c r="AT935" i="19" s="1"/>
  <c r="AS935" i="19" s="1"/>
  <c r="AZ934" i="19"/>
  <c r="AY934" i="19"/>
  <c r="AX934" i="19"/>
  <c r="AR934" i="19"/>
  <c r="AT934" i="19" s="1"/>
  <c r="AS934" i="19" s="1"/>
  <c r="AZ933" i="19"/>
  <c r="AY933" i="19"/>
  <c r="AX933" i="19"/>
  <c r="AR933" i="19"/>
  <c r="AT933" i="19" s="1"/>
  <c r="AZ932" i="19"/>
  <c r="AY932" i="19"/>
  <c r="AX932" i="19"/>
  <c r="AR932" i="19"/>
  <c r="AT932" i="19" s="1"/>
  <c r="AZ931" i="19"/>
  <c r="AY931" i="19"/>
  <c r="AX931" i="19"/>
  <c r="AR931" i="19"/>
  <c r="AT931" i="19" s="1"/>
  <c r="AS931" i="19" s="1"/>
  <c r="AZ930" i="19"/>
  <c r="AY930" i="19"/>
  <c r="AX930" i="19"/>
  <c r="AR930" i="19"/>
  <c r="AT930" i="19" s="1"/>
  <c r="AS930" i="19" s="1"/>
  <c r="AZ929" i="19"/>
  <c r="AY929" i="19"/>
  <c r="AX929" i="19"/>
  <c r="AR929" i="19"/>
  <c r="AT929" i="19" s="1"/>
  <c r="AZ927" i="19"/>
  <c r="AY927" i="19"/>
  <c r="AX927" i="19"/>
  <c r="AR927" i="19"/>
  <c r="AT927" i="19" s="1"/>
  <c r="AZ925" i="19"/>
  <c r="AY925" i="19"/>
  <c r="AX925" i="19"/>
  <c r="AR925" i="19"/>
  <c r="AT925" i="19" s="1"/>
  <c r="AZ924" i="19"/>
  <c r="AY924" i="19"/>
  <c r="AX924" i="19"/>
  <c r="AR924" i="19"/>
  <c r="AT924" i="19" s="1"/>
  <c r="AZ922" i="19"/>
  <c r="AY922" i="19"/>
  <c r="AX922" i="19"/>
  <c r="AR922" i="19"/>
  <c r="AT922" i="19" s="1"/>
  <c r="AZ920" i="19"/>
  <c r="AY920" i="19"/>
  <c r="AX920" i="19"/>
  <c r="AR920" i="19"/>
  <c r="AT920" i="19" s="1"/>
  <c r="AZ919" i="19"/>
  <c r="AY919" i="19"/>
  <c r="AX919" i="19"/>
  <c r="AR919" i="19"/>
  <c r="AT919" i="19" s="1"/>
  <c r="AZ917" i="19"/>
  <c r="AY917" i="19"/>
  <c r="AX917" i="19"/>
  <c r="AR917" i="19"/>
  <c r="AT917" i="19" s="1"/>
  <c r="AZ916" i="19"/>
  <c r="AY916" i="19"/>
  <c r="AX916" i="19"/>
  <c r="AR916" i="19"/>
  <c r="AT916" i="19" s="1"/>
  <c r="AZ914" i="19"/>
  <c r="AY914" i="19"/>
  <c r="AX914" i="19"/>
  <c r="AR914" i="19"/>
  <c r="AT914" i="19" s="1"/>
  <c r="AZ912" i="19"/>
  <c r="AY912" i="19"/>
  <c r="AX912" i="19"/>
  <c r="AR912" i="19"/>
  <c r="AT912" i="19" s="1"/>
  <c r="AZ910" i="19"/>
  <c r="AY910" i="19"/>
  <c r="AX910" i="19"/>
  <c r="AR910" i="19"/>
  <c r="AT910" i="19" s="1"/>
  <c r="AZ908" i="19"/>
  <c r="AY908" i="19"/>
  <c r="AX908" i="19"/>
  <c r="AR908" i="19"/>
  <c r="AT908" i="19" s="1"/>
  <c r="AZ905" i="19"/>
  <c r="AY905" i="19"/>
  <c r="AX905" i="19"/>
  <c r="AR905" i="19"/>
  <c r="AT905" i="19" s="1"/>
  <c r="AZ904" i="19"/>
  <c r="AY904" i="19"/>
  <c r="AX904" i="19"/>
  <c r="AR904" i="19"/>
  <c r="AT904" i="19" s="1"/>
  <c r="AS904" i="19" s="1"/>
  <c r="AZ903" i="19"/>
  <c r="AY903" i="19"/>
  <c r="AX903" i="19"/>
  <c r="AR903" i="19"/>
  <c r="AT903" i="19" s="1"/>
  <c r="AS903" i="19" s="1"/>
  <c r="AZ902" i="19"/>
  <c r="AY902" i="19"/>
  <c r="AX902" i="19"/>
  <c r="AR902" i="19"/>
  <c r="AT902" i="19" s="1"/>
  <c r="AZ901" i="19"/>
  <c r="AY901" i="19"/>
  <c r="AX901" i="19"/>
  <c r="AR901" i="19"/>
  <c r="AT901" i="19" s="1"/>
  <c r="AZ900" i="19"/>
  <c r="AY900" i="19"/>
  <c r="AX900" i="19"/>
  <c r="AR900" i="19"/>
  <c r="AT900" i="19" s="1"/>
  <c r="AS900" i="19" s="1"/>
  <c r="AZ898" i="19"/>
  <c r="AY898" i="19"/>
  <c r="AX898" i="19"/>
  <c r="AR898" i="19"/>
  <c r="AT898" i="19" s="1"/>
  <c r="AZ897" i="19"/>
  <c r="AY897" i="19"/>
  <c r="AX897" i="19"/>
  <c r="AR897" i="19"/>
  <c r="AT897" i="19" s="1"/>
  <c r="AZ896" i="19"/>
  <c r="AY896" i="19"/>
  <c r="AX896" i="19"/>
  <c r="AR896" i="19"/>
  <c r="AT896" i="19" s="1"/>
  <c r="AS896" i="19" s="1"/>
  <c r="AZ895" i="19"/>
  <c r="AY895" i="19"/>
  <c r="AX895" i="19"/>
  <c r="AR895" i="19"/>
  <c r="AT895" i="19" s="1"/>
  <c r="AS895" i="19" s="1"/>
  <c r="AZ894" i="19"/>
  <c r="AY894" i="19"/>
  <c r="AX894" i="19"/>
  <c r="AR894" i="19"/>
  <c r="AT894" i="19" s="1"/>
  <c r="AZ893" i="19"/>
  <c r="AY893" i="19"/>
  <c r="AX893" i="19"/>
  <c r="AR893" i="19"/>
  <c r="AT893" i="19" s="1"/>
  <c r="AZ891" i="19"/>
  <c r="AY891" i="19"/>
  <c r="AX891" i="19"/>
  <c r="AR891" i="19"/>
  <c r="AT891" i="19" s="1"/>
  <c r="AZ890" i="19"/>
  <c r="AY890" i="19"/>
  <c r="AX890" i="19"/>
  <c r="AR890" i="19"/>
  <c r="AT890" i="19" s="1"/>
  <c r="AZ889" i="19"/>
  <c r="AY889" i="19"/>
  <c r="AX889" i="19"/>
  <c r="AR889" i="19"/>
  <c r="AT889" i="19" s="1"/>
  <c r="AS889" i="19" s="1"/>
  <c r="AZ888" i="19"/>
  <c r="AY888" i="19"/>
  <c r="AX888" i="19"/>
  <c r="AR888" i="19"/>
  <c r="AT888" i="19" s="1"/>
  <c r="AS888" i="19" s="1"/>
  <c r="AZ887" i="19"/>
  <c r="AY887" i="19"/>
  <c r="AX887" i="19"/>
  <c r="AR887" i="19"/>
  <c r="AT887" i="19" s="1"/>
  <c r="AZ886" i="19"/>
  <c r="AY886" i="19"/>
  <c r="AX886" i="19"/>
  <c r="AR886" i="19"/>
  <c r="AT886" i="19" s="1"/>
  <c r="AZ885" i="19"/>
  <c r="AY885" i="19"/>
  <c r="AX885" i="19"/>
  <c r="AR885" i="19"/>
  <c r="AT885" i="19" s="1"/>
  <c r="AS885" i="19" s="1"/>
  <c r="AZ883" i="19"/>
  <c r="AY883" i="19"/>
  <c r="AX883" i="19"/>
  <c r="AR883" i="19"/>
  <c r="AT883" i="19" s="1"/>
  <c r="AZ882" i="19"/>
  <c r="AY882" i="19"/>
  <c r="AX882" i="19"/>
  <c r="AR882" i="19"/>
  <c r="AT882" i="19" s="1"/>
  <c r="AZ881" i="19"/>
  <c r="AY881" i="19"/>
  <c r="AX881" i="19"/>
  <c r="AR881" i="19"/>
  <c r="AT881" i="19" s="1"/>
  <c r="AS881" i="19" s="1"/>
  <c r="AZ880" i="19"/>
  <c r="AY880" i="19"/>
  <c r="AX880" i="19"/>
  <c r="AR880" i="19"/>
  <c r="AT880" i="19" s="1"/>
  <c r="AS880" i="19" s="1"/>
  <c r="AZ879" i="19"/>
  <c r="AY879" i="19"/>
  <c r="AX879" i="19"/>
  <c r="AR879" i="19"/>
  <c r="AT879" i="19" s="1"/>
  <c r="AZ878" i="19"/>
  <c r="AY878" i="19"/>
  <c r="AX878" i="19"/>
  <c r="AR878" i="19"/>
  <c r="AT878" i="19" s="1"/>
  <c r="AZ877" i="19"/>
  <c r="AY877" i="19"/>
  <c r="AX877" i="19"/>
  <c r="AR877" i="19"/>
  <c r="AT877" i="19" s="1"/>
  <c r="AS877" i="19" s="1"/>
  <c r="AZ875" i="19"/>
  <c r="AY875" i="19"/>
  <c r="AX875" i="19"/>
  <c r="AR875" i="19"/>
  <c r="AT875" i="19" s="1"/>
  <c r="AZ874" i="19"/>
  <c r="AY874" i="19"/>
  <c r="AX874" i="19"/>
  <c r="AR874" i="19"/>
  <c r="AT874" i="19" s="1"/>
  <c r="AS874" i="19" s="1"/>
  <c r="AZ873" i="19"/>
  <c r="AY873" i="19"/>
  <c r="AX873" i="19"/>
  <c r="AR873" i="19"/>
  <c r="AT873" i="19" s="1"/>
  <c r="AS873" i="19" s="1"/>
  <c r="AZ872" i="19"/>
  <c r="AY872" i="19"/>
  <c r="AX872" i="19"/>
  <c r="AR872" i="19"/>
  <c r="AT872" i="19" s="1"/>
  <c r="AZ871" i="19"/>
  <c r="AY871" i="19"/>
  <c r="AX871" i="19"/>
  <c r="AR871" i="19"/>
  <c r="AT871" i="19" s="1"/>
  <c r="AZ870" i="19"/>
  <c r="AY870" i="19"/>
  <c r="AX870" i="19"/>
  <c r="AR870" i="19"/>
  <c r="AT870" i="19" s="1"/>
  <c r="AS870" i="19" s="1"/>
  <c r="AZ869" i="19"/>
  <c r="AY869" i="19"/>
  <c r="AX869" i="19"/>
  <c r="AR869" i="19"/>
  <c r="AT869" i="19" s="1"/>
  <c r="AS869" i="19" s="1"/>
  <c r="AZ868" i="19"/>
  <c r="AY868" i="19"/>
  <c r="AX868" i="19"/>
  <c r="AR868" i="19"/>
  <c r="AT868" i="19" s="1"/>
  <c r="AZ867" i="19"/>
  <c r="AY867" i="19"/>
  <c r="AX867" i="19"/>
  <c r="AR867" i="19"/>
  <c r="AT867" i="19" s="1"/>
  <c r="AZ866" i="19"/>
  <c r="AY866" i="19"/>
  <c r="AX866" i="19"/>
  <c r="AR866" i="19"/>
  <c r="AT866" i="19" s="1"/>
  <c r="AS866" i="19" s="1"/>
  <c r="AZ865" i="19"/>
  <c r="AY865" i="19"/>
  <c r="AX865" i="19"/>
  <c r="AR865" i="19"/>
  <c r="AT865" i="19" s="1"/>
  <c r="AS865" i="19" s="1"/>
  <c r="AZ863" i="19"/>
  <c r="AY863" i="19"/>
  <c r="AX863" i="19"/>
  <c r="AR863" i="19"/>
  <c r="AT863" i="19" s="1"/>
  <c r="AZ862" i="19"/>
  <c r="AY862" i="19"/>
  <c r="AX862" i="19"/>
  <c r="AR862" i="19"/>
  <c r="AT862" i="19" s="1"/>
  <c r="AZ861" i="19"/>
  <c r="AY861" i="19"/>
  <c r="AX861" i="19"/>
  <c r="AR861" i="19"/>
  <c r="AT861" i="19" s="1"/>
  <c r="AS861" i="19" s="1"/>
  <c r="AZ860" i="19"/>
  <c r="AY860" i="19"/>
  <c r="AX860" i="19"/>
  <c r="AR860" i="19"/>
  <c r="AT860" i="19" s="1"/>
  <c r="AS860" i="19" s="1"/>
  <c r="AZ859" i="19"/>
  <c r="AY859" i="19"/>
  <c r="AX859" i="19"/>
  <c r="AR859" i="19"/>
  <c r="AT859" i="19" s="1"/>
  <c r="AZ858" i="19"/>
  <c r="AY858" i="19"/>
  <c r="AX858" i="19"/>
  <c r="AR858" i="19"/>
  <c r="AT858" i="19" s="1"/>
  <c r="AZ857" i="19"/>
  <c r="AY857" i="19"/>
  <c r="AX857" i="19"/>
  <c r="AR857" i="19"/>
  <c r="AT857" i="19" s="1"/>
  <c r="AS857" i="19" s="1"/>
  <c r="AZ856" i="19"/>
  <c r="AY856" i="19"/>
  <c r="AX856" i="19"/>
  <c r="AR856" i="19"/>
  <c r="AT856" i="19" s="1"/>
  <c r="AS856" i="19" s="1"/>
  <c r="AZ855" i="19"/>
  <c r="AY855" i="19"/>
  <c r="AX855" i="19"/>
  <c r="AR855" i="19"/>
  <c r="AT855" i="19" s="1"/>
  <c r="AZ854" i="19"/>
  <c r="AY854" i="19"/>
  <c r="AX854" i="19"/>
  <c r="AR854" i="19"/>
  <c r="AT854" i="19" s="1"/>
  <c r="AZ853" i="19"/>
  <c r="AY853" i="19"/>
  <c r="AX853" i="19"/>
  <c r="AR853" i="19"/>
  <c r="AT853" i="19" s="1"/>
  <c r="AS853" i="19" s="1"/>
  <c r="AZ851" i="19"/>
  <c r="AY851" i="19"/>
  <c r="AX851" i="19"/>
  <c r="AR851" i="19"/>
  <c r="AT851" i="19" s="1"/>
  <c r="AZ850" i="19"/>
  <c r="AY850" i="19"/>
  <c r="AX850" i="19"/>
  <c r="AR850" i="19"/>
  <c r="AT850" i="19" s="1"/>
  <c r="AZ848" i="19"/>
  <c r="AY848" i="19"/>
  <c r="AX848" i="19"/>
  <c r="AR848" i="19"/>
  <c r="AT848" i="19" s="1"/>
  <c r="AZ847" i="19"/>
  <c r="AY847" i="19"/>
  <c r="AX847" i="19"/>
  <c r="AR847" i="19"/>
  <c r="AT847" i="19" s="1"/>
  <c r="AS847" i="19" s="1"/>
  <c r="AZ845" i="19"/>
  <c r="AY845" i="19"/>
  <c r="AX845" i="19"/>
  <c r="AR845" i="19"/>
  <c r="AT845" i="19" s="1"/>
  <c r="AZ844" i="19"/>
  <c r="AY844" i="19"/>
  <c r="AX844" i="19"/>
  <c r="AR844" i="19"/>
  <c r="AT844" i="19" s="1"/>
  <c r="AS844" i="19" s="1"/>
  <c r="AZ842" i="19"/>
  <c r="AY842" i="19"/>
  <c r="AX842" i="19"/>
  <c r="AR842" i="19"/>
  <c r="AT842" i="19" s="1"/>
  <c r="AZ841" i="19"/>
  <c r="AY841" i="19"/>
  <c r="AX841" i="19"/>
  <c r="AR841" i="19"/>
  <c r="AT841" i="19" s="1"/>
  <c r="AZ839" i="19"/>
  <c r="AY839" i="19"/>
  <c r="AX839" i="19"/>
  <c r="AR839" i="19"/>
  <c r="AT839" i="19" s="1"/>
  <c r="AZ838" i="19"/>
  <c r="AY838" i="19"/>
  <c r="AX838" i="19"/>
  <c r="AR838" i="19"/>
  <c r="AT838" i="19" s="1"/>
  <c r="AZ836" i="19"/>
  <c r="AY836" i="19"/>
  <c r="AX836" i="19"/>
  <c r="AR836" i="19"/>
  <c r="AT836" i="19" s="1"/>
  <c r="AS836" i="19" s="1"/>
  <c r="AZ834" i="19"/>
  <c r="AY834" i="19"/>
  <c r="AX834" i="19"/>
  <c r="AR834" i="19"/>
  <c r="AT834" i="19" s="1"/>
  <c r="AZ833" i="19"/>
  <c r="AY833" i="19"/>
  <c r="AX833" i="19"/>
  <c r="AR833" i="19"/>
  <c r="AT833" i="19" s="1"/>
  <c r="AZ831" i="19"/>
  <c r="AY831" i="19"/>
  <c r="AX831" i="19"/>
  <c r="AR831" i="19"/>
  <c r="AT831" i="19" s="1"/>
  <c r="AZ829" i="19"/>
  <c r="AY829" i="19"/>
  <c r="AX829" i="19"/>
  <c r="AR829" i="19"/>
  <c r="AT829" i="19" s="1"/>
  <c r="AZ828" i="19"/>
  <c r="AY828" i="19"/>
  <c r="AX828" i="19"/>
  <c r="AR828" i="19"/>
  <c r="AT828" i="19" s="1"/>
  <c r="AZ826" i="19"/>
  <c r="AY826" i="19"/>
  <c r="AX826" i="19"/>
  <c r="AR826" i="19"/>
  <c r="AT826" i="19" s="1"/>
  <c r="AZ824" i="19"/>
  <c r="AY824" i="19"/>
  <c r="AX824" i="19"/>
  <c r="AR824" i="19"/>
  <c r="AT824" i="19" s="1"/>
  <c r="AZ822" i="19"/>
  <c r="AY822" i="19"/>
  <c r="AX822" i="19"/>
  <c r="AR822" i="19"/>
  <c r="AT822" i="19" s="1"/>
  <c r="AZ820" i="19"/>
  <c r="AY820" i="19"/>
  <c r="AX820" i="19"/>
  <c r="AR820" i="19"/>
  <c r="AT820"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09" i="19"/>
  <c r="AY809" i="19"/>
  <c r="AX809" i="19"/>
  <c r="AR809" i="19"/>
  <c r="AT809" i="19" s="1"/>
  <c r="AZ808" i="19"/>
  <c r="AY808" i="19"/>
  <c r="AX808" i="19"/>
  <c r="AR808" i="19"/>
  <c r="AT808" i="19" s="1"/>
  <c r="AS808" i="19" s="1"/>
  <c r="AZ807" i="19"/>
  <c r="AY807" i="19"/>
  <c r="AX807" i="19"/>
  <c r="AR807" i="19"/>
  <c r="AT807" i="19" s="1"/>
  <c r="AS807" i="19" s="1"/>
  <c r="AZ806" i="19"/>
  <c r="AY806" i="19"/>
  <c r="AX806" i="19"/>
  <c r="AR806" i="19"/>
  <c r="AT806" i="19" s="1"/>
  <c r="AZ804" i="19"/>
  <c r="AY804" i="19"/>
  <c r="AX804" i="19"/>
  <c r="AR804" i="19"/>
  <c r="AT804" i="19" s="1"/>
  <c r="AZ803" i="19"/>
  <c r="AY803" i="19"/>
  <c r="AX803" i="19"/>
  <c r="AR803" i="19"/>
  <c r="AT803" i="19" s="1"/>
  <c r="AZ802" i="19"/>
  <c r="AY802" i="19"/>
  <c r="AX802" i="19"/>
  <c r="AR802" i="19"/>
  <c r="AT802" i="19" s="1"/>
  <c r="AZ801" i="19"/>
  <c r="AY801" i="19"/>
  <c r="AX801" i="19"/>
  <c r="AR801" i="19"/>
  <c r="AT801" i="19" s="1"/>
  <c r="AS801" i="19" s="1"/>
  <c r="AZ799" i="19"/>
  <c r="AY799" i="19"/>
  <c r="AX799" i="19"/>
  <c r="AR799" i="19"/>
  <c r="AT799" i="19" s="1"/>
  <c r="AZ797" i="19"/>
  <c r="AY797" i="19"/>
  <c r="AX797" i="19"/>
  <c r="AR797" i="19"/>
  <c r="AT797" i="19" s="1"/>
  <c r="AZ796" i="19"/>
  <c r="AY796" i="19"/>
  <c r="AX796" i="19"/>
  <c r="AR796" i="19"/>
  <c r="AT796" i="19" s="1"/>
  <c r="AZ794" i="19"/>
  <c r="AY794" i="19"/>
  <c r="AX794" i="19"/>
  <c r="AR794" i="19"/>
  <c r="AT794" i="19" s="1"/>
  <c r="AZ793" i="19"/>
  <c r="AY793" i="19"/>
  <c r="AX793" i="19"/>
  <c r="AR793" i="19"/>
  <c r="AT793" i="19" s="1"/>
  <c r="AS793" i="19" s="1"/>
  <c r="AZ791" i="19"/>
  <c r="AY791" i="19"/>
  <c r="AX791" i="19"/>
  <c r="AR791" i="19"/>
  <c r="AT791" i="19" s="1"/>
  <c r="AZ789" i="19"/>
  <c r="AY789" i="19"/>
  <c r="AX789" i="19"/>
  <c r="AR789" i="19"/>
  <c r="AT789" i="19" s="1"/>
  <c r="AZ788" i="19"/>
  <c r="AY788" i="19"/>
  <c r="AX788" i="19"/>
  <c r="AR788" i="19"/>
  <c r="AT788" i="19" s="1"/>
  <c r="AZ787" i="19"/>
  <c r="AY787" i="19"/>
  <c r="AX787" i="19"/>
  <c r="AR787" i="19"/>
  <c r="AT787" i="19" s="1"/>
  <c r="AZ785" i="19"/>
  <c r="AY785" i="19"/>
  <c r="AX785" i="19"/>
  <c r="AR785" i="19"/>
  <c r="AT785" i="19" s="1"/>
  <c r="AZ784" i="19"/>
  <c r="AY784" i="19"/>
  <c r="AX784" i="19"/>
  <c r="AR784" i="19"/>
  <c r="AT784" i="19" s="1"/>
  <c r="AZ782" i="19"/>
  <c r="AY782" i="19"/>
  <c r="AX782" i="19"/>
  <c r="AR782" i="19"/>
  <c r="AT782" i="19" s="1"/>
  <c r="AZ781" i="19"/>
  <c r="AY781" i="19"/>
  <c r="AX781" i="19"/>
  <c r="AR781" i="19"/>
  <c r="AT781" i="19" s="1"/>
  <c r="AZ780" i="19"/>
  <c r="AY780" i="19"/>
  <c r="AX780" i="19"/>
  <c r="AR780" i="19"/>
  <c r="AT780" i="19" s="1"/>
  <c r="AS780" i="19" s="1"/>
  <c r="AZ779" i="19"/>
  <c r="AY779" i="19"/>
  <c r="AX779" i="19"/>
  <c r="AR779" i="19"/>
  <c r="AT779" i="19" s="1"/>
  <c r="AS779" i="19" s="1"/>
  <c r="AZ778" i="19"/>
  <c r="AY778" i="19"/>
  <c r="AX778" i="19"/>
  <c r="AR778" i="19"/>
  <c r="AT778" i="19" s="1"/>
  <c r="AZ777" i="19"/>
  <c r="AY777" i="19"/>
  <c r="AX777" i="19"/>
  <c r="AR777" i="19"/>
  <c r="AT777" i="19" s="1"/>
  <c r="AZ776" i="19"/>
  <c r="AY776" i="19"/>
  <c r="AX776" i="19"/>
  <c r="AR776" i="19"/>
  <c r="AT776" i="19" s="1"/>
  <c r="AS776" i="19" s="1"/>
  <c r="AZ775" i="19"/>
  <c r="AY775" i="19"/>
  <c r="AX775" i="19"/>
  <c r="AR775" i="19"/>
  <c r="AT775" i="19" s="1"/>
  <c r="AS775" i="19" s="1"/>
  <c r="AZ774" i="19"/>
  <c r="AY774" i="19"/>
  <c r="AX774" i="19"/>
  <c r="AR774" i="19"/>
  <c r="AT774" i="19" s="1"/>
  <c r="AZ773" i="19"/>
  <c r="AY773" i="19"/>
  <c r="AX773" i="19"/>
  <c r="AR773" i="19"/>
  <c r="AT773" i="19" s="1"/>
  <c r="AZ772" i="19"/>
  <c r="AY772" i="19"/>
  <c r="AX772" i="19"/>
  <c r="AR772" i="19"/>
  <c r="AT772" i="19" s="1"/>
  <c r="AS772" i="19" s="1"/>
  <c r="AZ771" i="19"/>
  <c r="AY771" i="19"/>
  <c r="AX771" i="19"/>
  <c r="AR771" i="19"/>
  <c r="AT771" i="19" s="1"/>
  <c r="AZ770" i="19"/>
  <c r="AY770" i="19"/>
  <c r="AX770" i="19"/>
  <c r="AR770" i="19"/>
  <c r="AT770" i="19" s="1"/>
  <c r="AZ769" i="19"/>
  <c r="AY769" i="19"/>
  <c r="AX769" i="19"/>
  <c r="AR769" i="19"/>
  <c r="AT769" i="19" s="1"/>
  <c r="AS769" i="19" s="1"/>
  <c r="AZ767" i="19"/>
  <c r="AY767" i="19"/>
  <c r="AX767" i="19"/>
  <c r="AR767" i="19"/>
  <c r="AT767" i="19" s="1"/>
  <c r="AZ766" i="19"/>
  <c r="AY766" i="19"/>
  <c r="AX766" i="19"/>
  <c r="AR766" i="19"/>
  <c r="AT766" i="19" s="1"/>
  <c r="AS766" i="19" s="1"/>
  <c r="AZ765" i="19"/>
  <c r="AY765" i="19"/>
  <c r="AX765" i="19"/>
  <c r="AR765" i="19"/>
  <c r="AT765" i="19" s="1"/>
  <c r="AS765" i="19" s="1"/>
  <c r="AZ764" i="19"/>
  <c r="AY764" i="19"/>
  <c r="AX764" i="19"/>
  <c r="AR764" i="19"/>
  <c r="AT764" i="19" s="1"/>
  <c r="AZ763" i="19"/>
  <c r="AY763" i="19"/>
  <c r="AX763" i="19"/>
  <c r="AR763" i="19"/>
  <c r="AT763" i="19" s="1"/>
  <c r="AZ762" i="19"/>
  <c r="AY762" i="19"/>
  <c r="AX762" i="19"/>
  <c r="AR762" i="19"/>
  <c r="AT762" i="19" s="1"/>
  <c r="AS762" i="19" s="1"/>
  <c r="AZ761" i="19"/>
  <c r="AY761" i="19"/>
  <c r="AX761" i="19"/>
  <c r="AR761" i="19"/>
  <c r="AT761" i="19" s="1"/>
  <c r="AS761" i="19" s="1"/>
  <c r="AZ760" i="19"/>
  <c r="AY760" i="19"/>
  <c r="AX760" i="19"/>
  <c r="AR760" i="19"/>
  <c r="AT760" i="19" s="1"/>
  <c r="AZ759" i="19"/>
  <c r="AY759" i="19"/>
  <c r="AX759" i="19"/>
  <c r="AR759" i="19"/>
  <c r="AT759" i="19" s="1"/>
  <c r="AZ758" i="19"/>
  <c r="AY758" i="19"/>
  <c r="AX758" i="19"/>
  <c r="AR758" i="19"/>
  <c r="AT758" i="19" s="1"/>
  <c r="AS758" i="19" s="1"/>
  <c r="AZ757" i="19"/>
  <c r="AY757" i="19"/>
  <c r="AX757" i="19"/>
  <c r="AR757" i="19"/>
  <c r="AT757" i="19" s="1"/>
  <c r="AZ756" i="19"/>
  <c r="AY756" i="19"/>
  <c r="AX756" i="19"/>
  <c r="AR756" i="19"/>
  <c r="AT756" i="19" s="1"/>
  <c r="AZ755" i="19"/>
  <c r="AY755" i="19"/>
  <c r="AX755" i="19"/>
  <c r="AR755" i="19"/>
  <c r="AT755" i="19" s="1"/>
  <c r="AZ754" i="19"/>
  <c r="AY754" i="19"/>
  <c r="AX754" i="19"/>
  <c r="AR754" i="19"/>
  <c r="AT754" i="19" s="1"/>
  <c r="AS754" i="19" s="1"/>
  <c r="AZ753" i="19"/>
  <c r="AY753" i="19"/>
  <c r="AX753" i="19"/>
  <c r="AR753" i="19"/>
  <c r="AT753" i="19" s="1"/>
  <c r="AZ752" i="19"/>
  <c r="AY752" i="19"/>
  <c r="AX752" i="19"/>
  <c r="AR752" i="19"/>
  <c r="AT752" i="19" s="1"/>
  <c r="AS752" i="19" s="1"/>
  <c r="AZ751" i="19"/>
  <c r="AY751" i="19"/>
  <c r="AX751" i="19"/>
  <c r="AR751" i="19"/>
  <c r="AT751" i="19" s="1"/>
  <c r="AZ750" i="19"/>
  <c r="AY750" i="19"/>
  <c r="AX750" i="19"/>
  <c r="AR750" i="19"/>
  <c r="AT750" i="19" s="1"/>
  <c r="AZ748" i="19"/>
  <c r="AY748" i="19"/>
  <c r="AX748" i="19"/>
  <c r="AR748" i="19"/>
  <c r="AT748" i="19" s="1"/>
  <c r="AZ747" i="19"/>
  <c r="AY747" i="19"/>
  <c r="AX747" i="19"/>
  <c r="AR747" i="19"/>
  <c r="AT747" i="19" s="1"/>
  <c r="AZ746" i="19"/>
  <c r="AY746" i="19"/>
  <c r="AX746" i="19"/>
  <c r="AR746" i="19"/>
  <c r="AT746" i="19" s="1"/>
  <c r="AS746" i="19" s="1"/>
  <c r="AZ745" i="19"/>
  <c r="AY745" i="19"/>
  <c r="AX745" i="19"/>
  <c r="AR745" i="19"/>
  <c r="AT745" i="19" s="1"/>
  <c r="AS745" i="19" s="1"/>
  <c r="AZ744" i="19"/>
  <c r="AY744" i="19"/>
  <c r="AX744" i="19"/>
  <c r="AR744" i="19"/>
  <c r="AT744" i="19" s="1"/>
  <c r="AZ743" i="19"/>
  <c r="AY743" i="19"/>
  <c r="AX743" i="19"/>
  <c r="AR743" i="19"/>
  <c r="AT743" i="19" s="1"/>
  <c r="AZ742" i="19"/>
  <c r="AY742" i="19"/>
  <c r="AX742" i="19"/>
  <c r="AR742" i="19"/>
  <c r="AT742" i="19" s="1"/>
  <c r="AS742" i="19" s="1"/>
  <c r="AZ741" i="19"/>
  <c r="AY741" i="19"/>
  <c r="AX741" i="19"/>
  <c r="AR741" i="19"/>
  <c r="AT741" i="19" s="1"/>
  <c r="AS741" i="19" s="1"/>
  <c r="AZ740" i="19"/>
  <c r="AY740" i="19"/>
  <c r="AX740" i="19"/>
  <c r="AR740" i="19"/>
  <c r="AT740" i="19" s="1"/>
  <c r="AZ739" i="19"/>
  <c r="AY739" i="19"/>
  <c r="AX739" i="19"/>
  <c r="AR739" i="19"/>
  <c r="AT739" i="19" s="1"/>
  <c r="AZ737" i="19"/>
  <c r="AY737" i="19"/>
  <c r="AX737" i="19"/>
  <c r="AR737" i="19"/>
  <c r="AT737" i="19" s="1"/>
  <c r="AZ736" i="19"/>
  <c r="AY736" i="19"/>
  <c r="AX736" i="19"/>
  <c r="AR736" i="19"/>
  <c r="AT736" i="19" s="1"/>
  <c r="AZ735" i="19"/>
  <c r="AY735" i="19"/>
  <c r="AX735" i="19"/>
  <c r="AR735" i="19"/>
  <c r="AT735" i="19" s="1"/>
  <c r="AS735" i="19" s="1"/>
  <c r="AZ734" i="19"/>
  <c r="AY734" i="19"/>
  <c r="AX734" i="19"/>
  <c r="AR734" i="19"/>
  <c r="AT734" i="19" s="1"/>
  <c r="AS734" i="19" s="1"/>
  <c r="AZ733" i="19"/>
  <c r="AY733" i="19"/>
  <c r="AX733" i="19"/>
  <c r="AR733" i="19"/>
  <c r="AT733" i="19" s="1"/>
  <c r="AZ732" i="19"/>
  <c r="AY732" i="19"/>
  <c r="AX732" i="19"/>
  <c r="AR732" i="19"/>
  <c r="AT732" i="19" s="1"/>
  <c r="AZ731" i="19"/>
  <c r="AY731" i="19"/>
  <c r="AX731" i="19"/>
  <c r="AR731" i="19"/>
  <c r="AT731" i="19" s="1"/>
  <c r="AS731" i="19" s="1"/>
  <c r="AZ730" i="19"/>
  <c r="AY730" i="19"/>
  <c r="AX730" i="19"/>
  <c r="AR730" i="19"/>
  <c r="AT730" i="19" s="1"/>
  <c r="AS730" i="19" s="1"/>
  <c r="AZ729" i="19"/>
  <c r="AY729" i="19"/>
  <c r="AX729" i="19"/>
  <c r="AR729" i="19"/>
  <c r="AT729" i="19" s="1"/>
  <c r="AZ728" i="19"/>
  <c r="AY728" i="19"/>
  <c r="AX728" i="19"/>
  <c r="AR728" i="19"/>
  <c r="AT728" i="19" s="1"/>
  <c r="AZ727" i="19"/>
  <c r="AY727" i="19"/>
  <c r="AX727" i="19"/>
  <c r="AR727" i="19"/>
  <c r="AT727" i="19" s="1"/>
  <c r="AS727" i="19" s="1"/>
  <c r="AZ725" i="19"/>
  <c r="AY725" i="19"/>
  <c r="AX725" i="19"/>
  <c r="AR725" i="19"/>
  <c r="AT725" i="19" s="1"/>
  <c r="AZ724" i="19"/>
  <c r="AY724" i="19"/>
  <c r="AX724" i="19"/>
  <c r="AR724" i="19"/>
  <c r="AT724" i="19" s="1"/>
  <c r="AZ722" i="19"/>
  <c r="AY722" i="19"/>
  <c r="AX722" i="19"/>
  <c r="AR722" i="19"/>
  <c r="AT722" i="19" s="1"/>
  <c r="AZ720" i="19"/>
  <c r="AY720" i="19"/>
  <c r="AX720" i="19"/>
  <c r="AR720" i="19"/>
  <c r="AT720" i="19" s="1"/>
  <c r="AZ719" i="19"/>
  <c r="AY719" i="19"/>
  <c r="AX719" i="19"/>
  <c r="AR719" i="19"/>
  <c r="AT719" i="19" s="1"/>
  <c r="AZ717" i="19"/>
  <c r="AY717" i="19"/>
  <c r="AX717" i="19"/>
  <c r="AR717" i="19"/>
  <c r="AT717" i="19" s="1"/>
  <c r="AZ716" i="19"/>
  <c r="AY716" i="19"/>
  <c r="AX716" i="19"/>
  <c r="AR716" i="19"/>
  <c r="AT716" i="19" s="1"/>
  <c r="AZ715" i="19"/>
  <c r="AY715" i="19"/>
  <c r="AX715" i="19"/>
  <c r="AR715" i="19"/>
  <c r="AT715" i="19" s="1"/>
  <c r="AS715" i="19" s="1"/>
  <c r="AZ714" i="19"/>
  <c r="AY714" i="19"/>
  <c r="AX714" i="19"/>
  <c r="AR714" i="19"/>
  <c r="AT714" i="19" s="1"/>
  <c r="AS714" i="19" s="1"/>
  <c r="AZ712" i="19"/>
  <c r="AY712" i="19"/>
  <c r="AX712" i="19"/>
  <c r="AR712" i="19"/>
  <c r="AT712" i="19" s="1"/>
  <c r="AZ711" i="19"/>
  <c r="AY711" i="19"/>
  <c r="AX711" i="19"/>
  <c r="AR711" i="19"/>
  <c r="AT711" i="19" s="1"/>
  <c r="AS711" i="19" s="1"/>
  <c r="AZ710" i="19"/>
  <c r="AY710" i="19"/>
  <c r="AX710" i="19"/>
  <c r="AR710" i="19"/>
  <c r="AT710" i="19" s="1"/>
  <c r="AS710" i="19" s="1"/>
  <c r="AZ709" i="19"/>
  <c r="AY709" i="19"/>
  <c r="AX709" i="19"/>
  <c r="AR709" i="19"/>
  <c r="AT709" i="19" s="1"/>
  <c r="AZ708" i="19"/>
  <c r="AY708" i="19"/>
  <c r="AX708" i="19"/>
  <c r="AR708" i="19"/>
  <c r="AT708" i="19" s="1"/>
  <c r="AZ707" i="19"/>
  <c r="AY707" i="19"/>
  <c r="AX707" i="19"/>
  <c r="AR707" i="19"/>
  <c r="AT707" i="19" s="1"/>
  <c r="AS707" i="19" s="1"/>
  <c r="AZ705" i="19"/>
  <c r="AY705" i="19"/>
  <c r="AX705" i="19"/>
  <c r="AR705" i="19"/>
  <c r="AT705" i="19" s="1"/>
  <c r="AZ704" i="19"/>
  <c r="AY704" i="19"/>
  <c r="AX704" i="19"/>
  <c r="AR704" i="19"/>
  <c r="AT704" i="19" s="1"/>
  <c r="AZ703" i="19"/>
  <c r="AY703" i="19"/>
  <c r="AX703" i="19"/>
  <c r="AR703" i="19"/>
  <c r="AT703" i="19" s="1"/>
  <c r="AS703" i="19" s="1"/>
  <c r="AZ702" i="19"/>
  <c r="AY702" i="19"/>
  <c r="AX702" i="19"/>
  <c r="AR702" i="19"/>
  <c r="AT702" i="19" s="1"/>
  <c r="AZ700" i="19"/>
  <c r="AY700" i="19"/>
  <c r="AX700" i="19"/>
  <c r="AR700" i="19"/>
  <c r="AT700" i="19" s="1"/>
  <c r="AZ699" i="19"/>
  <c r="AY699" i="19"/>
  <c r="AX699" i="19"/>
  <c r="AR699" i="19"/>
  <c r="AT699" i="19" s="1"/>
  <c r="AS699" i="19" s="1"/>
  <c r="AZ698" i="19"/>
  <c r="AY698" i="19"/>
  <c r="AX698" i="19"/>
  <c r="AR698" i="19"/>
  <c r="AT698" i="19" s="1"/>
  <c r="AS698" i="19" s="1"/>
  <c r="AZ697" i="19"/>
  <c r="AY697" i="19"/>
  <c r="AX697" i="19"/>
  <c r="AR697" i="19"/>
  <c r="AT697" i="19" s="1"/>
  <c r="AZ696" i="19"/>
  <c r="AY696" i="19"/>
  <c r="AX696" i="19"/>
  <c r="AR696" i="19"/>
  <c r="AT696" i="19" s="1"/>
  <c r="AZ695" i="19"/>
  <c r="AY695" i="19"/>
  <c r="AX695" i="19"/>
  <c r="AR695" i="19"/>
  <c r="AT695" i="19" s="1"/>
  <c r="AS695" i="19" s="1"/>
  <c r="AZ694" i="19"/>
  <c r="AY694" i="19"/>
  <c r="AX694" i="19"/>
  <c r="AR694" i="19"/>
  <c r="AT694" i="19" s="1"/>
  <c r="AS694" i="19" s="1"/>
  <c r="AZ693" i="19"/>
  <c r="AY693" i="19"/>
  <c r="AX693" i="19"/>
  <c r="AR693" i="19"/>
  <c r="AT693" i="19" s="1"/>
  <c r="AZ692" i="19"/>
  <c r="AY692" i="19"/>
  <c r="AX692" i="19"/>
  <c r="AR692" i="19"/>
  <c r="AT692" i="19" s="1"/>
  <c r="AZ691" i="19"/>
  <c r="AY691" i="19"/>
  <c r="AX691" i="19"/>
  <c r="AR691" i="19"/>
  <c r="AT691" i="19" s="1"/>
  <c r="AZ690" i="19"/>
  <c r="AY690" i="19"/>
  <c r="AX690" i="19"/>
  <c r="AR690" i="19"/>
  <c r="AT690" i="19" s="1"/>
  <c r="AS690" i="19" s="1"/>
  <c r="AZ688" i="19"/>
  <c r="AY688" i="19"/>
  <c r="AX688" i="19"/>
  <c r="AR688" i="19"/>
  <c r="AT688" i="19" s="1"/>
  <c r="AZ686" i="19"/>
  <c r="AY686" i="19"/>
  <c r="AX686" i="19"/>
  <c r="AR686" i="19"/>
  <c r="AT686" i="19" s="1"/>
  <c r="AZ685" i="19"/>
  <c r="AY685" i="19"/>
  <c r="AX685" i="19"/>
  <c r="AR685" i="19"/>
  <c r="AT685" i="19" s="1"/>
  <c r="AS685" i="19" s="1"/>
  <c r="AZ684" i="19"/>
  <c r="AY684" i="19"/>
  <c r="AX684" i="19"/>
  <c r="AR684" i="19"/>
  <c r="AT684" i="19" s="1"/>
  <c r="AS684" i="19" s="1"/>
  <c r="AZ683" i="19"/>
  <c r="AY683" i="19"/>
  <c r="AX683" i="19"/>
  <c r="AR683" i="19"/>
  <c r="AT683" i="19" s="1"/>
  <c r="AZ681" i="19"/>
  <c r="AY681" i="19"/>
  <c r="AX681" i="19"/>
  <c r="AR681" i="19"/>
  <c r="AT681" i="19" s="1"/>
  <c r="AZ680" i="19"/>
  <c r="AY680" i="19"/>
  <c r="AX680" i="19"/>
  <c r="AR680" i="19"/>
  <c r="AT680" i="19" s="1"/>
  <c r="AZ679" i="19"/>
  <c r="AY679" i="19"/>
  <c r="AX679" i="19"/>
  <c r="AR679" i="19"/>
  <c r="AT679" i="19" s="1"/>
  <c r="AS679" i="19" s="1"/>
  <c r="AZ677" i="19"/>
  <c r="AY677" i="19"/>
  <c r="AX677" i="19"/>
  <c r="AR677" i="19"/>
  <c r="AT677" i="19" s="1"/>
  <c r="AZ675" i="19"/>
  <c r="AY675" i="19"/>
  <c r="AX675" i="19"/>
  <c r="AR675" i="19"/>
  <c r="AT675" i="19" s="1"/>
  <c r="AZ674" i="19"/>
  <c r="AY674" i="19"/>
  <c r="AX674" i="19"/>
  <c r="AR674" i="19"/>
  <c r="AT674" i="19" s="1"/>
  <c r="AZ673" i="19"/>
  <c r="AY673" i="19"/>
  <c r="AX673" i="19"/>
  <c r="AR673" i="19"/>
  <c r="AT673" i="19" s="1"/>
  <c r="AS673" i="19" s="1"/>
  <c r="AZ672" i="19"/>
  <c r="AY672" i="19"/>
  <c r="AX672" i="19"/>
  <c r="AR672" i="19"/>
  <c r="AT672" i="19" s="1"/>
  <c r="AS672" i="19" s="1"/>
  <c r="AZ671" i="19"/>
  <c r="AY671" i="19"/>
  <c r="AX671" i="19"/>
  <c r="AR671" i="19"/>
  <c r="AT671" i="19" s="1"/>
  <c r="AZ670" i="19"/>
  <c r="AY670" i="19"/>
  <c r="AX670" i="19"/>
  <c r="AR670" i="19"/>
  <c r="AT670" i="19" s="1"/>
  <c r="AZ668" i="19"/>
  <c r="AY668" i="19"/>
  <c r="AX668" i="19"/>
  <c r="AR668" i="19"/>
  <c r="AT668" i="19" s="1"/>
  <c r="AS668" i="19" s="1"/>
  <c r="AZ667" i="19"/>
  <c r="AY667" i="19"/>
  <c r="AX667" i="19"/>
  <c r="AR667" i="19"/>
  <c r="AT667" i="19" s="1"/>
  <c r="AZ666" i="19"/>
  <c r="AY666" i="19"/>
  <c r="AX666" i="19"/>
  <c r="AR666" i="19"/>
  <c r="AT666" i="19" s="1"/>
  <c r="AZ665" i="19"/>
  <c r="AY665" i="19"/>
  <c r="AX665" i="19"/>
  <c r="AR665" i="19"/>
  <c r="AT665" i="19" s="1"/>
  <c r="AS665" i="19" s="1"/>
  <c r="AZ664" i="19"/>
  <c r="AY664" i="19"/>
  <c r="AX664" i="19"/>
  <c r="AR664" i="19"/>
  <c r="AT664" i="19" s="1"/>
  <c r="AS664" i="19" s="1"/>
  <c r="AZ662" i="19"/>
  <c r="AY662" i="19"/>
  <c r="AX662" i="19"/>
  <c r="AR662" i="19"/>
  <c r="AT662" i="19" s="1"/>
  <c r="AZ661" i="19"/>
  <c r="AY661" i="19"/>
  <c r="AX661" i="19"/>
  <c r="AR661" i="19"/>
  <c r="AT661" i="19" s="1"/>
  <c r="AS661" i="19" s="1"/>
  <c r="AZ660" i="19"/>
  <c r="AY660" i="19"/>
  <c r="AX660" i="19"/>
  <c r="AR660" i="19"/>
  <c r="AT660" i="19" s="1"/>
  <c r="AS660" i="19" s="1"/>
  <c r="AZ659" i="19"/>
  <c r="AY659" i="19"/>
  <c r="AX659" i="19"/>
  <c r="AR659" i="19"/>
  <c r="AT659" i="19" s="1"/>
  <c r="AZ658" i="19"/>
  <c r="AY658" i="19"/>
  <c r="AX658" i="19"/>
  <c r="AR658" i="19"/>
  <c r="AT658" i="19" s="1"/>
  <c r="AZ657" i="19"/>
  <c r="AY657" i="19"/>
  <c r="AX657" i="19"/>
  <c r="AR657" i="19"/>
  <c r="AT657" i="19" s="1"/>
  <c r="AZ655" i="19"/>
  <c r="AY655" i="19"/>
  <c r="AX655" i="19"/>
  <c r="AR655" i="19"/>
  <c r="AT655" i="19" s="1"/>
  <c r="AZ653" i="19"/>
  <c r="AY653" i="19"/>
  <c r="AX653" i="19"/>
  <c r="AR653" i="19"/>
  <c r="AT653" i="19" s="1"/>
  <c r="AZ652" i="19"/>
  <c r="AY652" i="19"/>
  <c r="AX652" i="19"/>
  <c r="AR652" i="19"/>
  <c r="AT652" i="19" s="1"/>
  <c r="AZ651" i="19"/>
  <c r="AY651" i="19"/>
  <c r="AX651" i="19"/>
  <c r="AR651" i="19"/>
  <c r="AT651" i="19" s="1"/>
  <c r="AS651" i="19" s="1"/>
  <c r="AZ650" i="19"/>
  <c r="AY650" i="19"/>
  <c r="AX650" i="19"/>
  <c r="AR650" i="19"/>
  <c r="AT650" i="19" s="1"/>
  <c r="AS650" i="19" s="1"/>
  <c r="AZ649" i="19"/>
  <c r="AY649" i="19"/>
  <c r="AX649" i="19"/>
  <c r="AR649" i="19"/>
  <c r="AT649" i="19" s="1"/>
  <c r="AZ648" i="19"/>
  <c r="AY648" i="19"/>
  <c r="AX648" i="19"/>
  <c r="AR648" i="19"/>
  <c r="AT648" i="19" s="1"/>
  <c r="AZ647" i="19"/>
  <c r="AY647" i="19"/>
  <c r="AX647" i="19"/>
  <c r="AR647" i="19"/>
  <c r="AT647" i="19" s="1"/>
  <c r="AS647" i="19" s="1"/>
  <c r="AZ645" i="19"/>
  <c r="AY645" i="19"/>
  <c r="AX645" i="19"/>
  <c r="AR645" i="19"/>
  <c r="AT645" i="19" s="1"/>
  <c r="AZ644" i="19"/>
  <c r="AY644" i="19"/>
  <c r="AX644" i="19"/>
  <c r="AR644" i="19"/>
  <c r="AT644" i="19" s="1"/>
  <c r="AZ643" i="19"/>
  <c r="AY643" i="19"/>
  <c r="AX643" i="19"/>
  <c r="AR643" i="19"/>
  <c r="AT643" i="19" s="1"/>
  <c r="AS643" i="19" s="1"/>
  <c r="AZ642" i="19"/>
  <c r="AY642" i="19"/>
  <c r="AX642" i="19"/>
  <c r="AR642" i="19"/>
  <c r="AT642" i="19" s="1"/>
  <c r="AZ641" i="19"/>
  <c r="AY641" i="19"/>
  <c r="AX641" i="19"/>
  <c r="AR641" i="19"/>
  <c r="AT641" i="19" s="1"/>
  <c r="AZ640" i="19"/>
  <c r="AY640" i="19"/>
  <c r="AX640" i="19"/>
  <c r="AR640" i="19"/>
  <c r="AT640" i="19" s="1"/>
  <c r="AS640" i="19" s="1"/>
  <c r="AZ638" i="19"/>
  <c r="AY638" i="19"/>
  <c r="AX638" i="19"/>
  <c r="AR638" i="19"/>
  <c r="AT638" i="19" s="1"/>
  <c r="AZ637" i="19"/>
  <c r="AY637" i="19"/>
  <c r="AX637" i="19"/>
  <c r="AR637" i="19"/>
  <c r="AT637" i="19" s="1"/>
  <c r="AZ636" i="19"/>
  <c r="AY636" i="19"/>
  <c r="AX636" i="19"/>
  <c r="AR636" i="19"/>
  <c r="AT636" i="19" s="1"/>
  <c r="AS636" i="19" s="1"/>
  <c r="AZ635" i="19"/>
  <c r="AY635" i="19"/>
  <c r="AX635" i="19"/>
  <c r="AR635" i="19"/>
  <c r="AT635" i="19" s="1"/>
  <c r="AZ634" i="19"/>
  <c r="AY634" i="19"/>
  <c r="AX634" i="19"/>
  <c r="AR634" i="19"/>
  <c r="AT634" i="19" s="1"/>
  <c r="AZ633" i="19"/>
  <c r="AY633" i="19"/>
  <c r="AX633" i="19"/>
  <c r="AR633" i="19"/>
  <c r="AT633" i="19" s="1"/>
  <c r="AS633" i="19" s="1"/>
  <c r="AZ632" i="19"/>
  <c r="AY632" i="19"/>
  <c r="AX632" i="19"/>
  <c r="AR632" i="19"/>
  <c r="AT632" i="19" s="1"/>
  <c r="AS632" i="19" s="1"/>
  <c r="AZ630" i="19"/>
  <c r="AY630" i="19"/>
  <c r="AX630" i="19"/>
  <c r="AR630" i="19"/>
  <c r="AT630" i="19" s="1"/>
  <c r="AZ629" i="19"/>
  <c r="AY629" i="19"/>
  <c r="AX629" i="19"/>
  <c r="AR629" i="19"/>
  <c r="AT629" i="19" s="1"/>
  <c r="AZ628" i="19"/>
  <c r="AY628" i="19"/>
  <c r="AX628" i="19"/>
  <c r="AR628" i="19"/>
  <c r="AT628" i="19" s="1"/>
  <c r="AS628" i="19" s="1"/>
  <c r="AZ626" i="19"/>
  <c r="AY626" i="19"/>
  <c r="AX626" i="19"/>
  <c r="AR626" i="19"/>
  <c r="AT626" i="19" s="1"/>
  <c r="AZ625" i="19"/>
  <c r="AY625" i="19"/>
  <c r="AX625" i="19"/>
  <c r="AR625" i="19"/>
  <c r="AT625" i="19" s="1"/>
  <c r="AZ624" i="19"/>
  <c r="AY624" i="19"/>
  <c r="AX624" i="19"/>
  <c r="AR624" i="19"/>
  <c r="AT624" i="19" s="1"/>
  <c r="AS624" i="19" s="1"/>
  <c r="AZ622" i="19"/>
  <c r="AY622" i="19"/>
  <c r="AX622" i="19"/>
  <c r="AR622" i="19"/>
  <c r="AT622" i="19" s="1"/>
  <c r="AZ621" i="19"/>
  <c r="AY621" i="19"/>
  <c r="AX621" i="19"/>
  <c r="AR621" i="19"/>
  <c r="AT621" i="19" s="1"/>
  <c r="AZ620" i="19"/>
  <c r="AY620" i="19"/>
  <c r="AX620" i="19"/>
  <c r="AR620" i="19"/>
  <c r="AT620" i="19" s="1"/>
  <c r="AZ619" i="19"/>
  <c r="AY619" i="19"/>
  <c r="AX619" i="19"/>
  <c r="AR619" i="19"/>
  <c r="AT619" i="19" s="1"/>
  <c r="AZ618" i="19"/>
  <c r="AY618" i="19"/>
  <c r="AX618" i="19"/>
  <c r="AR618" i="19"/>
  <c r="AT618" i="19" s="1"/>
  <c r="AZ617" i="19"/>
  <c r="AY617" i="19"/>
  <c r="AX617" i="19"/>
  <c r="AR617" i="19"/>
  <c r="AT617" i="19" s="1"/>
  <c r="AZ615" i="19"/>
  <c r="AY615" i="19"/>
  <c r="AX615" i="19"/>
  <c r="AR615" i="19"/>
  <c r="AT615" i="19" s="1"/>
  <c r="AZ614" i="19"/>
  <c r="AY614" i="19"/>
  <c r="AX614" i="19"/>
  <c r="AR614" i="19"/>
  <c r="AT614" i="19" s="1"/>
  <c r="AZ613" i="19"/>
  <c r="AY613" i="19"/>
  <c r="AX613" i="19"/>
  <c r="AR613" i="19"/>
  <c r="AT613" i="19" s="1"/>
  <c r="AS613" i="19" s="1"/>
  <c r="AZ612" i="19"/>
  <c r="AY612" i="19"/>
  <c r="AX612" i="19"/>
  <c r="AR612" i="19"/>
  <c r="AT612" i="19" s="1"/>
  <c r="AS612" i="19" s="1"/>
  <c r="AZ611" i="19"/>
  <c r="AY611" i="19"/>
  <c r="AX611" i="19"/>
  <c r="AR611" i="19"/>
  <c r="AT611" i="19" s="1"/>
  <c r="AZ610" i="19"/>
  <c r="AY610" i="19"/>
  <c r="AX610" i="19"/>
  <c r="AR610" i="19"/>
  <c r="AT610" i="19" s="1"/>
  <c r="AZ609" i="19"/>
  <c r="AY609" i="19"/>
  <c r="AX609" i="19"/>
  <c r="AR609" i="19"/>
  <c r="AT609" i="19" s="1"/>
  <c r="AS609" i="19" s="1"/>
  <c r="AZ607" i="19"/>
  <c r="AY607" i="19"/>
  <c r="AX607" i="19"/>
  <c r="AR607" i="19"/>
  <c r="AT607" i="19" s="1"/>
  <c r="AZ606" i="19"/>
  <c r="AY606" i="19"/>
  <c r="AX606" i="19"/>
  <c r="AR606" i="19"/>
  <c r="AT606" i="19" s="1"/>
  <c r="AS606" i="19" s="1"/>
  <c r="AZ605" i="19"/>
  <c r="AY605" i="19"/>
  <c r="AX605" i="19"/>
  <c r="AR605" i="19"/>
  <c r="AT605" i="19" s="1"/>
  <c r="AS605" i="19" s="1"/>
  <c r="AZ604" i="19"/>
  <c r="AY604" i="19"/>
  <c r="AX604" i="19"/>
  <c r="AR604" i="19"/>
  <c r="AT604" i="19" s="1"/>
  <c r="AZ603" i="19"/>
  <c r="AY603" i="19"/>
  <c r="AX603" i="19"/>
  <c r="AR603" i="19"/>
  <c r="AT603" i="19" s="1"/>
  <c r="AZ601" i="19"/>
  <c r="AY601" i="19"/>
  <c r="AX601" i="19"/>
  <c r="AR601" i="19"/>
  <c r="AT601" i="19" s="1"/>
  <c r="AZ600" i="19"/>
  <c r="AY600" i="19"/>
  <c r="AX600" i="19"/>
  <c r="AR600" i="19"/>
  <c r="AT600" i="19" s="1"/>
  <c r="AZ598" i="19"/>
  <c r="AY598" i="19"/>
  <c r="AX598" i="19"/>
  <c r="AR598" i="19"/>
  <c r="AT598" i="19" s="1"/>
  <c r="AZ597" i="19"/>
  <c r="AY597" i="19"/>
  <c r="AX597" i="19"/>
  <c r="AR597" i="19"/>
  <c r="AT597" i="19" s="1"/>
  <c r="AZ596" i="19"/>
  <c r="AY596" i="19"/>
  <c r="AX596" i="19"/>
  <c r="AR596" i="19"/>
  <c r="AT596" i="19" s="1"/>
  <c r="AS596" i="19" s="1"/>
  <c r="AZ595" i="19"/>
  <c r="AY595" i="19"/>
  <c r="AX595" i="19"/>
  <c r="AR595" i="19"/>
  <c r="AT595" i="19" s="1"/>
  <c r="AS595" i="19" s="1"/>
  <c r="AZ593" i="19"/>
  <c r="AY593" i="19"/>
  <c r="AX593" i="19"/>
  <c r="AR593" i="19"/>
  <c r="AT593" i="19" s="1"/>
  <c r="AZ591" i="19"/>
  <c r="AY591" i="19"/>
  <c r="AX591" i="19"/>
  <c r="AR591" i="19"/>
  <c r="AT591" i="19" s="1"/>
  <c r="AZ590" i="19"/>
  <c r="AY590" i="19"/>
  <c r="AX590" i="19"/>
  <c r="AR590" i="19"/>
  <c r="AT590" i="19" s="1"/>
  <c r="AZ589" i="19"/>
  <c r="AY589" i="19"/>
  <c r="AX589" i="19"/>
  <c r="AR589" i="19"/>
  <c r="AT589" i="19" s="1"/>
  <c r="AS589" i="19" s="1"/>
  <c r="AZ587" i="19"/>
  <c r="AY587" i="19"/>
  <c r="AX587" i="19"/>
  <c r="AR587" i="19"/>
  <c r="AT587" i="19" s="1"/>
  <c r="AZ586" i="19"/>
  <c r="AY586" i="19"/>
  <c r="AX586" i="19"/>
  <c r="AR586" i="19"/>
  <c r="AT586" i="19" s="1"/>
  <c r="AS586" i="19" s="1"/>
  <c r="AZ585" i="19"/>
  <c r="AY585" i="19"/>
  <c r="AX585" i="19"/>
  <c r="AR585" i="19"/>
  <c r="AT585" i="19" s="1"/>
  <c r="AS585" i="19" s="1"/>
  <c r="AZ583" i="19"/>
  <c r="AY583" i="19"/>
  <c r="AX583" i="19"/>
  <c r="AR583" i="19"/>
  <c r="AT583" i="19" s="1"/>
  <c r="AZ582" i="19"/>
  <c r="AY582" i="19"/>
  <c r="AX582" i="19"/>
  <c r="AR582" i="19"/>
  <c r="AT582" i="19" s="1"/>
  <c r="AS582" i="19" s="1"/>
  <c r="AZ581" i="19"/>
  <c r="AY581" i="19"/>
  <c r="AX581" i="19"/>
  <c r="AR581" i="19"/>
  <c r="AT581" i="19" s="1"/>
  <c r="AS581" i="19" s="1"/>
  <c r="AZ579" i="19"/>
  <c r="AY579" i="19"/>
  <c r="AX579" i="19"/>
  <c r="AR579" i="19"/>
  <c r="AT579" i="19" s="1"/>
  <c r="AZ578" i="19"/>
  <c r="AY578" i="19"/>
  <c r="AX578" i="19"/>
  <c r="AR578" i="19"/>
  <c r="AT578" i="19" s="1"/>
  <c r="AZ577" i="19"/>
  <c r="AY577" i="19"/>
  <c r="AX577" i="19"/>
  <c r="AR577" i="19"/>
  <c r="AT577" i="19" s="1"/>
  <c r="AS577" i="19" s="1"/>
  <c r="AZ575" i="19"/>
  <c r="AY575" i="19"/>
  <c r="AX575" i="19"/>
  <c r="AR575" i="19"/>
  <c r="AT575" i="19" s="1"/>
  <c r="AZ573" i="19"/>
  <c r="AY573" i="19"/>
  <c r="AX573" i="19"/>
  <c r="AR573" i="19"/>
  <c r="AT573" i="19" s="1"/>
  <c r="AZ572" i="19"/>
  <c r="AY572" i="19"/>
  <c r="AX572" i="19"/>
  <c r="AR572" i="19"/>
  <c r="AT572" i="19" s="1"/>
  <c r="AS572" i="19" s="1"/>
  <c r="AZ571" i="19"/>
  <c r="AY571" i="19"/>
  <c r="AX571" i="19"/>
  <c r="AR571" i="19"/>
  <c r="AT571" i="19" s="1"/>
  <c r="AS571" i="19" s="1"/>
  <c r="AZ569" i="19"/>
  <c r="AY569" i="19"/>
  <c r="AX569" i="19"/>
  <c r="AR569" i="19"/>
  <c r="AT569" i="19" s="1"/>
  <c r="AZ567" i="19"/>
  <c r="AY567" i="19"/>
  <c r="AX567" i="19"/>
  <c r="AR567" i="19"/>
  <c r="AT567" i="19" s="1"/>
  <c r="AZ566" i="19"/>
  <c r="AY566" i="19"/>
  <c r="AX566" i="19"/>
  <c r="AR566" i="19"/>
  <c r="AT566" i="19" s="1"/>
  <c r="AS566" i="19" s="1"/>
  <c r="AZ565" i="19"/>
  <c r="AY565" i="19"/>
  <c r="AX565" i="19"/>
  <c r="AR565" i="19"/>
  <c r="AT565" i="19" s="1"/>
  <c r="AS565" i="19" s="1"/>
  <c r="AZ564" i="19"/>
  <c r="AY564" i="19"/>
  <c r="AX564" i="19"/>
  <c r="AR564" i="19"/>
  <c r="AT564" i="19" s="1"/>
  <c r="AZ563" i="19"/>
  <c r="AY563" i="19"/>
  <c r="AX563" i="19"/>
  <c r="AR563" i="19"/>
  <c r="AT563" i="19" s="1"/>
  <c r="AZ561" i="19"/>
  <c r="AY561" i="19"/>
  <c r="AX561" i="19"/>
  <c r="AR561" i="19"/>
  <c r="AT561" i="19" s="1"/>
  <c r="AZ560" i="19"/>
  <c r="AY560" i="19"/>
  <c r="AX560" i="19"/>
  <c r="AR560" i="19"/>
  <c r="AT560" i="19" s="1"/>
  <c r="AZ559" i="19"/>
  <c r="AY559" i="19"/>
  <c r="AX559" i="19"/>
  <c r="AR559" i="19"/>
  <c r="AT559" i="19" s="1"/>
  <c r="AS559" i="19" s="1"/>
  <c r="AZ557" i="19"/>
  <c r="AY557" i="19"/>
  <c r="AX557" i="19"/>
  <c r="AR557" i="19"/>
  <c r="AT557" i="19" s="1"/>
  <c r="AZ556" i="19"/>
  <c r="AY556" i="19"/>
  <c r="AX556" i="19"/>
  <c r="AR556" i="19"/>
  <c r="AT556" i="19" s="1"/>
  <c r="AZ555" i="19"/>
  <c r="AY555" i="19"/>
  <c r="AX555" i="19"/>
  <c r="AR555" i="19"/>
  <c r="AT555" i="19" s="1"/>
  <c r="AS555" i="19" s="1"/>
  <c r="AZ554" i="19"/>
  <c r="AY554" i="19"/>
  <c r="AX554" i="19"/>
  <c r="AR554" i="19"/>
  <c r="AT554" i="19" s="1"/>
  <c r="AS554" i="19" s="1"/>
  <c r="AZ552" i="19"/>
  <c r="AY552" i="19"/>
  <c r="AX552" i="19"/>
  <c r="AR552" i="19"/>
  <c r="AT552" i="19" s="1"/>
  <c r="AZ551" i="19"/>
  <c r="AY551" i="19"/>
  <c r="AX551" i="19"/>
  <c r="AR551" i="19"/>
  <c r="AT551" i="19" s="1"/>
  <c r="AS551" i="19" s="1"/>
  <c r="AZ550" i="19"/>
  <c r="AY550" i="19"/>
  <c r="AX550" i="19"/>
  <c r="AR550" i="19"/>
  <c r="AT550" i="19" s="1"/>
  <c r="AS550" i="19" s="1"/>
  <c r="AZ549" i="19"/>
  <c r="AY549" i="19"/>
  <c r="AX549" i="19"/>
  <c r="AR549" i="19"/>
  <c r="AT549" i="19" s="1"/>
  <c r="AZ548" i="19"/>
  <c r="AY548" i="19"/>
  <c r="AX548" i="19"/>
  <c r="AR548" i="19"/>
  <c r="AT548" i="19" s="1"/>
  <c r="AZ547" i="19"/>
  <c r="AY547" i="19"/>
  <c r="AX547" i="19"/>
  <c r="AR547" i="19"/>
  <c r="AT547" i="19" s="1"/>
  <c r="AS547" i="19" s="1"/>
  <c r="AZ546" i="19"/>
  <c r="AY546" i="19"/>
  <c r="AX546" i="19"/>
  <c r="AR546" i="19"/>
  <c r="AT546" i="19" s="1"/>
  <c r="AS546" i="19" s="1"/>
  <c r="AZ544" i="19"/>
  <c r="AY544" i="19"/>
  <c r="AX544" i="19"/>
  <c r="AR544" i="19"/>
  <c r="AT544" i="19" s="1"/>
  <c r="AZ543" i="19"/>
  <c r="AY543" i="19"/>
  <c r="AX543" i="19"/>
  <c r="AR543" i="19"/>
  <c r="AT543" i="19" s="1"/>
  <c r="AZ542" i="19"/>
  <c r="AY542" i="19"/>
  <c r="AX542" i="19"/>
  <c r="AR542" i="19"/>
  <c r="AT542" i="19" s="1"/>
  <c r="AS542" i="19" s="1"/>
  <c r="AZ541" i="19"/>
  <c r="AY541" i="19"/>
  <c r="AX541" i="19"/>
  <c r="AR541" i="19"/>
  <c r="AT541" i="19" s="1"/>
  <c r="AS541" i="19" s="1"/>
  <c r="AZ540" i="19"/>
  <c r="AY540" i="19"/>
  <c r="AX540" i="19"/>
  <c r="AR540" i="19"/>
  <c r="AT540" i="19" s="1"/>
  <c r="AZ539" i="19"/>
  <c r="AY539" i="19"/>
  <c r="AX539" i="19"/>
  <c r="AR539" i="19"/>
  <c r="AT539" i="19" s="1"/>
  <c r="AZ538" i="19"/>
  <c r="AY538" i="19"/>
  <c r="AX538" i="19"/>
  <c r="AR538" i="19"/>
  <c r="AT538" i="19" s="1"/>
  <c r="AS538" i="19" s="1"/>
  <c r="AZ537" i="19"/>
  <c r="AY537" i="19"/>
  <c r="AX537" i="19"/>
  <c r="AR537" i="19"/>
  <c r="AT537" i="19" s="1"/>
  <c r="AS537" i="19" s="1"/>
  <c r="AZ535" i="19"/>
  <c r="AY535" i="19"/>
  <c r="AX535" i="19"/>
  <c r="AR535" i="19"/>
  <c r="AT535" i="19" s="1"/>
  <c r="AZ534" i="19"/>
  <c r="AY534" i="19"/>
  <c r="AX534" i="19"/>
  <c r="AR534" i="19"/>
  <c r="AT534" i="19" s="1"/>
  <c r="AZ533" i="19"/>
  <c r="AY533" i="19"/>
  <c r="AX533" i="19"/>
  <c r="AR533" i="19"/>
  <c r="AT533" i="19" s="1"/>
  <c r="AS533" i="19" s="1"/>
  <c r="AZ532" i="19"/>
  <c r="AY532" i="19"/>
  <c r="AX532" i="19"/>
  <c r="AR532" i="19"/>
  <c r="AT532" i="19" s="1"/>
  <c r="AS532" i="19" s="1"/>
  <c r="AZ531" i="19"/>
  <c r="AY531" i="19"/>
  <c r="AX531" i="19"/>
  <c r="AR531" i="19"/>
  <c r="AT531" i="19" s="1"/>
  <c r="AZ530" i="19"/>
  <c r="AY530" i="19"/>
  <c r="AX530" i="19"/>
  <c r="AR530" i="19"/>
  <c r="AT530" i="19" s="1"/>
  <c r="AZ529" i="19"/>
  <c r="AY529" i="19"/>
  <c r="AX529" i="19"/>
  <c r="AR529" i="19"/>
  <c r="AT529" i="19" s="1"/>
  <c r="AS529" i="19" s="1"/>
  <c r="AZ528" i="19"/>
  <c r="AY528" i="19"/>
  <c r="AX528" i="19"/>
  <c r="AR528" i="19"/>
  <c r="AT528" i="19" s="1"/>
  <c r="AS528" i="19" s="1"/>
  <c r="AZ526" i="19"/>
  <c r="AY526" i="19"/>
  <c r="AX526" i="19"/>
  <c r="AR526" i="19"/>
  <c r="AT526" i="19" s="1"/>
  <c r="AZ525" i="19"/>
  <c r="AY525" i="19"/>
  <c r="AX525" i="19"/>
  <c r="AR525" i="19"/>
  <c r="AT525" i="19" s="1"/>
  <c r="AZ524" i="19"/>
  <c r="AY524" i="19"/>
  <c r="AX524" i="19"/>
  <c r="AR524" i="19"/>
  <c r="AT524" i="19" s="1"/>
  <c r="AS524" i="19" s="1"/>
  <c r="AZ523" i="19"/>
  <c r="AY523" i="19"/>
  <c r="AX523" i="19"/>
  <c r="AR523" i="19"/>
  <c r="AT523" i="19" s="1"/>
  <c r="AS523" i="19" s="1"/>
  <c r="AZ522" i="19"/>
  <c r="AY522" i="19"/>
  <c r="AX522" i="19"/>
  <c r="AR522" i="19"/>
  <c r="AT522" i="19" s="1"/>
  <c r="AZ521" i="19"/>
  <c r="AY521" i="19"/>
  <c r="AX521" i="19"/>
  <c r="AR521" i="19"/>
  <c r="AT521" i="19" s="1"/>
  <c r="AZ520" i="19"/>
  <c r="AY520" i="19"/>
  <c r="AX520" i="19"/>
  <c r="AR520" i="19"/>
  <c r="AT520" i="19" s="1"/>
  <c r="AS520" i="19" s="1"/>
  <c r="AZ519" i="19"/>
  <c r="AY519" i="19"/>
  <c r="AX519" i="19"/>
  <c r="AR519" i="19"/>
  <c r="AT519" i="19" s="1"/>
  <c r="AS519" i="19" s="1"/>
  <c r="AZ518" i="19"/>
  <c r="AY518" i="19"/>
  <c r="AX518" i="19"/>
  <c r="AR518" i="19"/>
  <c r="AT518" i="19" s="1"/>
  <c r="AZ516" i="19"/>
  <c r="AY516" i="19"/>
  <c r="AX516" i="19"/>
  <c r="AR516" i="19"/>
  <c r="AT516" i="19" s="1"/>
  <c r="AZ515" i="19"/>
  <c r="AY515" i="19"/>
  <c r="AX515" i="19"/>
  <c r="AR515" i="19"/>
  <c r="AT515" i="19" s="1"/>
  <c r="AZ514" i="19"/>
  <c r="AY514" i="19"/>
  <c r="AX514" i="19"/>
  <c r="AR514" i="19"/>
  <c r="AT514" i="19" s="1"/>
  <c r="AS514" i="19" s="1"/>
  <c r="AZ513" i="19"/>
  <c r="AY513" i="19"/>
  <c r="AX513" i="19"/>
  <c r="AR513" i="19"/>
  <c r="AT513" i="19" s="1"/>
  <c r="AS513" i="19" s="1"/>
  <c r="AZ512" i="19"/>
  <c r="AY512" i="19"/>
  <c r="AX512" i="19"/>
  <c r="AR512" i="19"/>
  <c r="AT512" i="19" s="1"/>
  <c r="AZ511" i="19"/>
  <c r="AY511" i="19"/>
  <c r="AX511" i="19"/>
  <c r="AR511" i="19"/>
  <c r="AT511" i="19" s="1"/>
  <c r="AZ510" i="19"/>
  <c r="AY510" i="19"/>
  <c r="AX510" i="19"/>
  <c r="AR510" i="19"/>
  <c r="AT510" i="19" s="1"/>
  <c r="AS510" i="19" s="1"/>
  <c r="AZ509" i="19"/>
  <c r="AY509" i="19"/>
  <c r="AX509" i="19"/>
  <c r="AR509" i="19"/>
  <c r="AT509" i="19" s="1"/>
  <c r="AS509" i="19" s="1"/>
  <c r="AZ508" i="19"/>
  <c r="AY508" i="19"/>
  <c r="AX508" i="19"/>
  <c r="AR508" i="19"/>
  <c r="AT508" i="19" s="1"/>
  <c r="AZ507" i="19"/>
  <c r="AY507" i="19"/>
  <c r="AX507" i="19"/>
  <c r="AR507" i="19"/>
  <c r="AT507" i="19" s="1"/>
  <c r="AZ505" i="19"/>
  <c r="AY505" i="19"/>
  <c r="AX505" i="19"/>
  <c r="AR505" i="19"/>
  <c r="AT505" i="19" s="1"/>
  <c r="AZ504" i="19"/>
  <c r="AY504" i="19"/>
  <c r="AX504" i="19"/>
  <c r="AR504" i="19"/>
  <c r="AT504" i="19" s="1"/>
  <c r="AZ503" i="19"/>
  <c r="AY503" i="19"/>
  <c r="AX503" i="19"/>
  <c r="AR503" i="19"/>
  <c r="AT503" i="19" s="1"/>
  <c r="AS503" i="19" s="1"/>
  <c r="AZ502" i="19"/>
  <c r="AY502" i="19"/>
  <c r="AX502" i="19"/>
  <c r="AR502" i="19"/>
  <c r="AT502" i="19" s="1"/>
  <c r="AS502" i="19" s="1"/>
  <c r="AZ501" i="19"/>
  <c r="AY501" i="19"/>
  <c r="AX501" i="19"/>
  <c r="AR501" i="19"/>
  <c r="AT501" i="19" s="1"/>
  <c r="AZ500" i="19"/>
  <c r="AY500" i="19"/>
  <c r="AX500" i="19"/>
  <c r="AR500" i="19"/>
  <c r="AT500" i="19" s="1"/>
  <c r="AZ499" i="19"/>
  <c r="AY499" i="19"/>
  <c r="AX499" i="19"/>
  <c r="AR499" i="19"/>
  <c r="AT499" i="19" s="1"/>
  <c r="AS499" i="19" s="1"/>
  <c r="AZ498" i="19"/>
  <c r="AY498" i="19"/>
  <c r="AX498" i="19"/>
  <c r="AR498" i="19"/>
  <c r="AT498" i="19" s="1"/>
  <c r="AS498" i="19" s="1"/>
  <c r="AZ497" i="19"/>
  <c r="AY497" i="19"/>
  <c r="AX497" i="19"/>
  <c r="AR497" i="19"/>
  <c r="AT497" i="19" s="1"/>
  <c r="AZ496" i="19"/>
  <c r="AY496" i="19"/>
  <c r="AX496" i="19"/>
  <c r="AR496" i="19"/>
  <c r="AT496" i="19" s="1"/>
  <c r="AZ494" i="19"/>
  <c r="AY494" i="19"/>
  <c r="AX494" i="19"/>
  <c r="AR494" i="19"/>
  <c r="AT494" i="19" s="1"/>
  <c r="AZ493" i="19"/>
  <c r="AY493" i="19"/>
  <c r="AX493" i="19"/>
  <c r="AR493" i="19"/>
  <c r="AT493" i="19" s="1"/>
  <c r="AZ492" i="19"/>
  <c r="AY492" i="19"/>
  <c r="AX492" i="19"/>
  <c r="AR492" i="19"/>
  <c r="AT492" i="19" s="1"/>
  <c r="AS492" i="19" s="1"/>
  <c r="AZ490" i="19"/>
  <c r="AY490" i="19"/>
  <c r="AX490" i="19"/>
  <c r="AR490" i="19"/>
  <c r="AT490" i="19" s="1"/>
  <c r="AZ489" i="19"/>
  <c r="AY489" i="19"/>
  <c r="AX489" i="19"/>
  <c r="AR489" i="19"/>
  <c r="AT489" i="19" s="1"/>
  <c r="AZ488" i="19"/>
  <c r="AY488" i="19"/>
  <c r="AX488" i="19"/>
  <c r="AR488" i="19"/>
  <c r="AT488" i="19" s="1"/>
  <c r="AS488" i="19" s="1"/>
  <c r="AZ487" i="19"/>
  <c r="AY487" i="19"/>
  <c r="AX487" i="19"/>
  <c r="AR487" i="19"/>
  <c r="AT487" i="19" s="1"/>
  <c r="AS487" i="19" s="1"/>
  <c r="AZ485" i="19"/>
  <c r="AY485" i="19"/>
  <c r="AX485" i="19"/>
  <c r="AR485" i="19"/>
  <c r="AT485" i="19" s="1"/>
  <c r="AZ484" i="19"/>
  <c r="AY484" i="19"/>
  <c r="AX484" i="19"/>
  <c r="AR484" i="19"/>
  <c r="AT484" i="19" s="1"/>
  <c r="AS484" i="19" s="1"/>
  <c r="AZ482" i="19"/>
  <c r="AY482" i="19"/>
  <c r="AX482" i="19"/>
  <c r="AR482" i="19"/>
  <c r="AT482" i="19" s="1"/>
  <c r="AZ481" i="19"/>
  <c r="AY481" i="19"/>
  <c r="AX481" i="19"/>
  <c r="AR481" i="19"/>
  <c r="AT481" i="19" s="1"/>
  <c r="AZ480" i="19"/>
  <c r="AY480" i="19"/>
  <c r="AX480" i="19"/>
  <c r="AR480" i="19"/>
  <c r="AT480" i="19" s="1"/>
  <c r="AS480" i="19" s="1"/>
  <c r="AZ478" i="19"/>
  <c r="AY478" i="19"/>
  <c r="AX478" i="19"/>
  <c r="AR478" i="19"/>
  <c r="AT478" i="19" s="1"/>
  <c r="AZ477" i="19"/>
  <c r="AY477" i="19"/>
  <c r="AX477" i="19"/>
  <c r="AR477" i="19"/>
  <c r="AT477" i="19" s="1"/>
  <c r="AS477" i="19" s="1"/>
  <c r="AZ475" i="19"/>
  <c r="AY475" i="19"/>
  <c r="AX475" i="19"/>
  <c r="AR475" i="19"/>
  <c r="AT475" i="19" s="1"/>
  <c r="AZ474" i="19"/>
  <c r="AY474" i="19"/>
  <c r="AX474" i="19"/>
  <c r="AR474" i="19"/>
  <c r="AT474" i="19" s="1"/>
  <c r="AZ473" i="19"/>
  <c r="AY473" i="19"/>
  <c r="AX473" i="19"/>
  <c r="AR473" i="19"/>
  <c r="AT473" i="19" s="1"/>
  <c r="AS473" i="19" s="1"/>
  <c r="AZ472" i="19"/>
  <c r="AY472" i="19"/>
  <c r="AX472" i="19"/>
  <c r="AR472" i="19"/>
  <c r="AT472" i="19" s="1"/>
  <c r="AS472" i="19" s="1"/>
  <c r="AZ470" i="19"/>
  <c r="AY470" i="19"/>
  <c r="AX470" i="19"/>
  <c r="AR470" i="19"/>
  <c r="AT470" i="19" s="1"/>
  <c r="AZ469" i="19"/>
  <c r="AY469" i="19"/>
  <c r="AX469" i="19"/>
  <c r="AR469" i="19"/>
  <c r="AT469" i="19" s="1"/>
  <c r="AZ468" i="19"/>
  <c r="AY468" i="19"/>
  <c r="AX468" i="19"/>
  <c r="AR468" i="19"/>
  <c r="AT468" i="19" s="1"/>
  <c r="AS468" i="19" s="1"/>
  <c r="AZ467" i="19"/>
  <c r="AY467" i="19"/>
  <c r="AX467" i="19"/>
  <c r="AR467" i="19"/>
  <c r="AT467" i="19" s="1"/>
  <c r="AS467" i="19" s="1"/>
  <c r="AZ465" i="19"/>
  <c r="AY465" i="19"/>
  <c r="AX465" i="19"/>
  <c r="AR465" i="19"/>
  <c r="AT465" i="19" s="1"/>
  <c r="AZ464" i="19"/>
  <c r="AY464" i="19"/>
  <c r="AX464" i="19"/>
  <c r="AR464" i="19"/>
  <c r="AT464" i="19" s="1"/>
  <c r="AS464" i="19" s="1"/>
  <c r="AZ463" i="19"/>
  <c r="AY463" i="19"/>
  <c r="AX463" i="19"/>
  <c r="AR463" i="19"/>
  <c r="AT463" i="19" s="1"/>
  <c r="AS463" i="19" s="1"/>
  <c r="AZ461" i="19"/>
  <c r="AY461" i="19"/>
  <c r="AX461" i="19"/>
  <c r="AR461" i="19"/>
  <c r="AT461" i="19" s="1"/>
  <c r="AZ460" i="19"/>
  <c r="AY460" i="19"/>
  <c r="AX460" i="19"/>
  <c r="AR460" i="19"/>
  <c r="AT460" i="19" s="1"/>
  <c r="AZ458" i="19"/>
  <c r="AY458" i="19"/>
  <c r="AX458" i="19"/>
  <c r="AR458" i="19"/>
  <c r="AT458" i="19" s="1"/>
  <c r="AZ457" i="19"/>
  <c r="AY457" i="19"/>
  <c r="AX457" i="19"/>
  <c r="AR457" i="19"/>
  <c r="AT457" i="19" s="1"/>
  <c r="AZ456" i="19"/>
  <c r="AY456" i="19"/>
  <c r="AX456" i="19"/>
  <c r="AR456" i="19"/>
  <c r="AT456" i="19" s="1"/>
  <c r="AS456" i="19" s="1"/>
  <c r="AZ454" i="19"/>
  <c r="AY454" i="19"/>
  <c r="AX454" i="19"/>
  <c r="AR454" i="19"/>
  <c r="AT454" i="19" s="1"/>
  <c r="AZ453" i="19"/>
  <c r="AY453" i="19"/>
  <c r="AX453" i="19"/>
  <c r="AR453" i="19"/>
  <c r="AT453" i="19" s="1"/>
  <c r="AZ451" i="19"/>
  <c r="AY451" i="19"/>
  <c r="AX451" i="19"/>
  <c r="AR451" i="19"/>
  <c r="AT451" i="19" s="1"/>
  <c r="AZ450" i="19"/>
  <c r="AY450" i="19"/>
  <c r="AX450" i="19"/>
  <c r="AR450" i="19"/>
  <c r="AT450" i="19" s="1"/>
  <c r="AZ449" i="19"/>
  <c r="AY449" i="19"/>
  <c r="AX449" i="19"/>
  <c r="AR449" i="19"/>
  <c r="AT449" i="19" s="1"/>
  <c r="AS449" i="19" s="1"/>
  <c r="AZ448" i="19"/>
  <c r="AY448" i="19"/>
  <c r="AX448" i="19"/>
  <c r="AR448" i="19"/>
  <c r="AT448" i="19" s="1"/>
  <c r="AS448" i="19" s="1"/>
  <c r="AZ446" i="19"/>
  <c r="AY446" i="19"/>
  <c r="AX446" i="19"/>
  <c r="AR446" i="19"/>
  <c r="AT446" i="19" s="1"/>
  <c r="AZ444" i="19"/>
  <c r="AY444" i="19"/>
  <c r="AX444" i="19"/>
  <c r="AR444" i="19"/>
  <c r="AT444" i="19" s="1"/>
  <c r="AZ443" i="19"/>
  <c r="AY443" i="19"/>
  <c r="AX443" i="19"/>
  <c r="AR443" i="19"/>
  <c r="AT443" i="19" s="1"/>
  <c r="AZ442" i="19"/>
  <c r="AY442" i="19"/>
  <c r="AX442" i="19"/>
  <c r="AR442" i="19"/>
  <c r="AT442" i="19" s="1"/>
  <c r="AS442" i="19" s="1"/>
  <c r="AZ441" i="19"/>
  <c r="AY441" i="19"/>
  <c r="AX441" i="19"/>
  <c r="AR441" i="19"/>
  <c r="AT441" i="19" s="1"/>
  <c r="AS441" i="19" s="1"/>
  <c r="AZ439" i="19"/>
  <c r="AY439" i="19"/>
  <c r="AX439" i="19"/>
  <c r="AR439" i="19"/>
  <c r="AT439" i="19" s="1"/>
  <c r="AZ438" i="19"/>
  <c r="AY438" i="19"/>
  <c r="AX438" i="19"/>
  <c r="AR438" i="19"/>
  <c r="AT438" i="19" s="1"/>
  <c r="AS438" i="19" s="1"/>
  <c r="AZ437" i="19"/>
  <c r="AY437" i="19"/>
  <c r="AX437" i="19"/>
  <c r="AR437" i="19"/>
  <c r="AT437" i="19" s="1"/>
  <c r="AS437" i="19" s="1"/>
  <c r="AZ435" i="19"/>
  <c r="AY435" i="19"/>
  <c r="AX435" i="19"/>
  <c r="AR435" i="19"/>
  <c r="AT435" i="19" s="1"/>
  <c r="AZ434" i="19"/>
  <c r="AY434" i="19"/>
  <c r="AX434" i="19"/>
  <c r="AR434" i="19"/>
  <c r="AT434" i="19" s="1"/>
  <c r="AS434" i="19" s="1"/>
  <c r="AZ433" i="19"/>
  <c r="AY433" i="19"/>
  <c r="AX433" i="19"/>
  <c r="AR433" i="19"/>
  <c r="AT433" i="19" s="1"/>
  <c r="AS433" i="19" s="1"/>
  <c r="AZ432" i="19"/>
  <c r="AY432" i="19"/>
  <c r="AX432" i="19"/>
  <c r="AR432" i="19"/>
  <c r="AT432" i="19" s="1"/>
  <c r="AZ431" i="19"/>
  <c r="AY431" i="19"/>
  <c r="AX431" i="19"/>
  <c r="AR431" i="19"/>
  <c r="AT431" i="19" s="1"/>
  <c r="AZ430" i="19"/>
  <c r="AY430" i="19"/>
  <c r="AX430" i="19"/>
  <c r="AR430" i="19"/>
  <c r="AT430" i="19" s="1"/>
  <c r="AS430" i="19" s="1"/>
  <c r="AZ428" i="19"/>
  <c r="AY428" i="19"/>
  <c r="AX428" i="19"/>
  <c r="AR428" i="19"/>
  <c r="AT428" i="19" s="1"/>
  <c r="AZ427" i="19"/>
  <c r="AY427" i="19"/>
  <c r="AX427" i="19"/>
  <c r="AR427" i="19"/>
  <c r="AT427" i="19" s="1"/>
  <c r="AZ426" i="19"/>
  <c r="AY426" i="19"/>
  <c r="AX426" i="19"/>
  <c r="AR426" i="19"/>
  <c r="AT426" i="19" s="1"/>
  <c r="AS426" i="19" s="1"/>
  <c r="AZ424" i="19"/>
  <c r="AY424" i="19"/>
  <c r="AX424" i="19"/>
  <c r="AR424" i="19"/>
  <c r="AT424" i="19" s="1"/>
  <c r="AZ423" i="19"/>
  <c r="AY423" i="19"/>
  <c r="AX423" i="19"/>
  <c r="AR423" i="19"/>
  <c r="AT423" i="19" s="1"/>
  <c r="AZ422" i="19"/>
  <c r="AY422" i="19"/>
  <c r="AX422" i="19"/>
  <c r="AR422" i="19"/>
  <c r="AT422" i="19" s="1"/>
  <c r="AS422" i="19" s="1"/>
  <c r="AZ421" i="19"/>
  <c r="AY421" i="19"/>
  <c r="AX421" i="19"/>
  <c r="AR421" i="19"/>
  <c r="AT421" i="19" s="1"/>
  <c r="AS421" i="19" s="1"/>
  <c r="AZ420" i="19"/>
  <c r="AY420" i="19"/>
  <c r="AX420" i="19"/>
  <c r="AR420" i="19"/>
  <c r="AT420" i="19" s="1"/>
  <c r="AZ419" i="19"/>
  <c r="AY419" i="19"/>
  <c r="AX419" i="19"/>
  <c r="AR419" i="19"/>
  <c r="AT419" i="19" s="1"/>
  <c r="AZ418" i="19"/>
  <c r="AY418" i="19"/>
  <c r="AX418" i="19"/>
  <c r="AR418" i="19"/>
  <c r="AT418" i="19" s="1"/>
  <c r="AS418" i="19" s="1"/>
  <c r="AZ417" i="19"/>
  <c r="AY417" i="19"/>
  <c r="AX417" i="19"/>
  <c r="AR417" i="19"/>
  <c r="AT417" i="19" s="1"/>
  <c r="AS417" i="19" s="1"/>
  <c r="AZ416" i="19"/>
  <c r="AY416" i="19"/>
  <c r="AX416" i="19"/>
  <c r="AR416" i="19"/>
  <c r="AT416" i="19" s="1"/>
  <c r="AZ415" i="19"/>
  <c r="AY415" i="19"/>
  <c r="AX415" i="19"/>
  <c r="AR415" i="19"/>
  <c r="AT415" i="19" s="1"/>
  <c r="AZ413" i="19"/>
  <c r="AY413" i="19"/>
  <c r="AX413" i="19"/>
  <c r="AR413" i="19"/>
  <c r="AT413" i="19" s="1"/>
  <c r="AZ412" i="19"/>
  <c r="AY412" i="19"/>
  <c r="AX412" i="19"/>
  <c r="AR412" i="19"/>
  <c r="AT412" i="19" s="1"/>
  <c r="AZ410" i="19"/>
  <c r="AY410" i="19"/>
  <c r="AX410" i="19"/>
  <c r="AR410" i="19"/>
  <c r="AT410" i="19" s="1"/>
  <c r="AZ409" i="19"/>
  <c r="AY409" i="19"/>
  <c r="AX409" i="19"/>
  <c r="AR409" i="19"/>
  <c r="AT409" i="19" s="1"/>
  <c r="AZ408" i="19"/>
  <c r="AY408" i="19"/>
  <c r="AX408" i="19"/>
  <c r="AR408" i="19"/>
  <c r="AT408" i="19" s="1"/>
  <c r="AS408" i="19" s="1"/>
  <c r="AZ407" i="19"/>
  <c r="AY407" i="19"/>
  <c r="AX407" i="19"/>
  <c r="AR407" i="19"/>
  <c r="AT407" i="19" s="1"/>
  <c r="AS407" i="19" s="1"/>
  <c r="AZ405" i="19"/>
  <c r="AY405" i="19"/>
  <c r="AX405" i="19"/>
  <c r="AR405" i="19"/>
  <c r="AT405" i="19" s="1"/>
  <c r="AZ404" i="19"/>
  <c r="AY404" i="19"/>
  <c r="AX404" i="19"/>
  <c r="AR404" i="19"/>
  <c r="AT404" i="19" s="1"/>
  <c r="AS404" i="19" s="1"/>
  <c r="AZ403" i="19"/>
  <c r="AY403" i="19"/>
  <c r="AX403" i="19"/>
  <c r="AR403" i="19"/>
  <c r="AT403" i="19" s="1"/>
  <c r="AS403" i="19" s="1"/>
  <c r="AZ402" i="19"/>
  <c r="AY402" i="19"/>
  <c r="AX402" i="19"/>
  <c r="AR402" i="19"/>
  <c r="AT402" i="19" s="1"/>
  <c r="AZ401" i="19"/>
  <c r="AY401" i="19"/>
  <c r="AX401" i="19"/>
  <c r="AR401" i="19"/>
  <c r="AT401" i="19" s="1"/>
  <c r="AZ400" i="19"/>
  <c r="AY400" i="19"/>
  <c r="AX400" i="19"/>
  <c r="AR400" i="19"/>
  <c r="AT400" i="19" s="1"/>
  <c r="AS400" i="19" s="1"/>
  <c r="AZ399" i="19"/>
  <c r="AY399" i="19"/>
  <c r="AX399" i="19"/>
  <c r="AR399" i="19"/>
  <c r="AT399" i="19" s="1"/>
  <c r="AS399" i="19" s="1"/>
  <c r="AZ398" i="19"/>
  <c r="AY398" i="19"/>
  <c r="AX398" i="19"/>
  <c r="AR398" i="19"/>
  <c r="AT398" i="19" s="1"/>
  <c r="AZ396" i="19"/>
  <c r="AY396" i="19"/>
  <c r="AX396" i="19"/>
  <c r="AR396" i="19"/>
  <c r="AT396" i="19" s="1"/>
  <c r="AZ395" i="19"/>
  <c r="AY395" i="19"/>
  <c r="AX395" i="19"/>
  <c r="AR395" i="19"/>
  <c r="AT395" i="19" s="1"/>
  <c r="AS395" i="19" s="1"/>
  <c r="AZ393" i="19"/>
  <c r="AY393" i="19"/>
  <c r="AX393" i="19"/>
  <c r="AR393" i="19"/>
  <c r="AT393" i="19" s="1"/>
  <c r="AZ391" i="19"/>
  <c r="AY391" i="19"/>
  <c r="AX391" i="19"/>
  <c r="AR391" i="19"/>
  <c r="AT391" i="19" s="1"/>
  <c r="AZ389" i="19"/>
  <c r="AY389" i="19"/>
  <c r="AX389" i="19"/>
  <c r="AR389" i="19"/>
  <c r="AT389" i="19" s="1"/>
  <c r="AZ387" i="19"/>
  <c r="AY387" i="19"/>
  <c r="AX387" i="19"/>
  <c r="AR387" i="19"/>
  <c r="AT387" i="19" s="1"/>
  <c r="AZ385" i="19"/>
  <c r="AY385" i="19"/>
  <c r="AX385" i="19"/>
  <c r="AR385" i="19"/>
  <c r="AT385" i="19" s="1"/>
  <c r="AZ384" i="19"/>
  <c r="AY384" i="19"/>
  <c r="AX384" i="19"/>
  <c r="AR384" i="19"/>
  <c r="AT384" i="19" s="1"/>
  <c r="AZ383" i="19"/>
  <c r="AY383" i="19"/>
  <c r="AX383" i="19"/>
  <c r="AR383" i="19"/>
  <c r="AT383" i="19" s="1"/>
  <c r="AS383" i="19" s="1"/>
  <c r="AZ382" i="19"/>
  <c r="AY382" i="19"/>
  <c r="AX382" i="19"/>
  <c r="AR382" i="19"/>
  <c r="AT382" i="19" s="1"/>
  <c r="AS382" i="19" s="1"/>
  <c r="AZ380" i="19"/>
  <c r="AY380" i="19"/>
  <c r="AX380" i="19"/>
  <c r="AR380" i="19"/>
  <c r="AT380" i="19" s="1"/>
  <c r="AZ379" i="19"/>
  <c r="AY379" i="19"/>
  <c r="AX379" i="19"/>
  <c r="AR379" i="19"/>
  <c r="AT379" i="19" s="1"/>
  <c r="AS379" i="19" s="1"/>
  <c r="AZ377" i="19"/>
  <c r="AY377" i="19"/>
  <c r="AX377" i="19"/>
  <c r="AR377" i="19"/>
  <c r="AT377" i="19" s="1"/>
  <c r="AZ376" i="19"/>
  <c r="AY376" i="19"/>
  <c r="AX376" i="19"/>
  <c r="AR376" i="19"/>
  <c r="AT376" i="19" s="1"/>
  <c r="AZ375" i="19"/>
  <c r="AY375" i="19"/>
  <c r="AX375" i="19"/>
  <c r="AR375" i="19"/>
  <c r="AT375" i="19" s="1"/>
  <c r="AS375" i="19" s="1"/>
  <c r="AZ374" i="19"/>
  <c r="AY374" i="19"/>
  <c r="AX374" i="19"/>
  <c r="AR374" i="19"/>
  <c r="AT374" i="19" s="1"/>
  <c r="AZ373" i="19"/>
  <c r="AY373" i="19"/>
  <c r="AX373" i="19"/>
  <c r="AR373" i="19"/>
  <c r="AT373" i="19" s="1"/>
  <c r="AZ372" i="19"/>
  <c r="AY372" i="19"/>
  <c r="AX372" i="19"/>
  <c r="AR372" i="19"/>
  <c r="AT372" i="19" s="1"/>
  <c r="AZ371" i="19"/>
  <c r="AY371" i="19"/>
  <c r="AX371" i="19"/>
  <c r="AR371" i="19"/>
  <c r="AT371" i="19" s="1"/>
  <c r="AS371" i="19" s="1"/>
  <c r="AZ370" i="19"/>
  <c r="AY370" i="19"/>
  <c r="AX370" i="19"/>
  <c r="AR370" i="19"/>
  <c r="AT370" i="19" s="1"/>
  <c r="AZ369" i="19"/>
  <c r="AY369" i="19"/>
  <c r="AX369" i="19"/>
  <c r="AR369" i="19"/>
  <c r="AT369" i="19" s="1"/>
  <c r="AS369" i="19" s="1"/>
  <c r="AZ368" i="19"/>
  <c r="AY368" i="19"/>
  <c r="AX368" i="19"/>
  <c r="AR368" i="19"/>
  <c r="AT368" i="19" s="1"/>
  <c r="AS368" i="19" s="1"/>
  <c r="AZ367" i="19"/>
  <c r="AY367" i="19"/>
  <c r="AX367" i="19"/>
  <c r="AR367" i="19"/>
  <c r="AT367" i="19" s="1"/>
  <c r="AZ366" i="19"/>
  <c r="AY366" i="19"/>
  <c r="AX366" i="19"/>
  <c r="AR366" i="19"/>
  <c r="AT366" i="19" s="1"/>
  <c r="AZ365" i="19"/>
  <c r="AY365" i="19"/>
  <c r="AX365" i="19"/>
  <c r="AR365" i="19"/>
  <c r="AT365" i="19" s="1"/>
  <c r="AS365" i="19" s="1"/>
  <c r="AZ364" i="19"/>
  <c r="AY364" i="19"/>
  <c r="AX364" i="19"/>
  <c r="AR364" i="19"/>
  <c r="AT364" i="19" s="1"/>
  <c r="AS364" i="19" s="1"/>
  <c r="AZ362" i="19"/>
  <c r="AY362" i="19"/>
  <c r="AX362" i="19"/>
  <c r="AR362" i="19"/>
  <c r="AT362" i="19" s="1"/>
  <c r="AZ361" i="19"/>
  <c r="AY361" i="19"/>
  <c r="AX361" i="19"/>
  <c r="AR361" i="19"/>
  <c r="AT361" i="19" s="1"/>
  <c r="AZ360" i="19"/>
  <c r="AY360" i="19"/>
  <c r="AX360" i="19"/>
  <c r="AR360" i="19"/>
  <c r="AT360" i="19" s="1"/>
  <c r="AZ359" i="19"/>
  <c r="AY359" i="19"/>
  <c r="AX359" i="19"/>
  <c r="AR359" i="19"/>
  <c r="AT359" i="19" s="1"/>
  <c r="AZ358" i="19"/>
  <c r="AY358" i="19"/>
  <c r="AX358" i="19"/>
  <c r="AR358" i="19"/>
  <c r="AT358" i="19" s="1"/>
  <c r="AS358" i="19" s="1"/>
  <c r="AZ357" i="19"/>
  <c r="AY357" i="19"/>
  <c r="AX357" i="19"/>
  <c r="AR357" i="19"/>
  <c r="AT357" i="19" s="1"/>
  <c r="AS357" i="19" s="1"/>
  <c r="AZ356" i="19"/>
  <c r="AY356" i="19"/>
  <c r="AX356" i="19"/>
  <c r="AR356" i="19"/>
  <c r="AT356" i="19" s="1"/>
  <c r="AZ355" i="19"/>
  <c r="AY355" i="19"/>
  <c r="AX355" i="19"/>
  <c r="AR355" i="19"/>
  <c r="AT355" i="19" s="1"/>
  <c r="AZ354" i="19"/>
  <c r="AY354" i="19"/>
  <c r="AX354" i="19"/>
  <c r="AR354" i="19"/>
  <c r="AT354" i="19" s="1"/>
  <c r="AZ353" i="19"/>
  <c r="AY353" i="19"/>
  <c r="AX353" i="19"/>
  <c r="AR353" i="19"/>
  <c r="AT353" i="19" s="1"/>
  <c r="AS353" i="19" s="1"/>
  <c r="AZ352" i="19"/>
  <c r="AY352" i="19"/>
  <c r="AX352" i="19"/>
  <c r="AR352" i="19"/>
  <c r="AT352" i="19" s="1"/>
  <c r="AZ351" i="19"/>
  <c r="AY351" i="19"/>
  <c r="AX351" i="19"/>
  <c r="AR351" i="19"/>
  <c r="AT351" i="19" s="1"/>
  <c r="AZ350" i="19"/>
  <c r="AY350" i="19"/>
  <c r="AX350" i="19"/>
  <c r="AR350" i="19"/>
  <c r="AT350" i="19" s="1"/>
  <c r="AS350" i="19" s="1"/>
  <c r="AZ349" i="19"/>
  <c r="AY349" i="19"/>
  <c r="AX349" i="19"/>
  <c r="AR349" i="19"/>
  <c r="AT349" i="19" s="1"/>
  <c r="AS349" i="19" s="1"/>
  <c r="AZ348" i="19"/>
  <c r="AY348" i="19"/>
  <c r="AX348" i="19"/>
  <c r="AR348" i="19"/>
  <c r="AT348" i="19" s="1"/>
  <c r="AZ347" i="19"/>
  <c r="AY347" i="19"/>
  <c r="AX347" i="19"/>
  <c r="AR347" i="19"/>
  <c r="AT347" i="19" s="1"/>
  <c r="AZ346" i="19"/>
  <c r="AY346" i="19"/>
  <c r="AX346" i="19"/>
  <c r="AR346" i="19"/>
  <c r="AT346" i="19" s="1"/>
  <c r="AS346" i="19" s="1"/>
  <c r="AZ345" i="19"/>
  <c r="AY345" i="19"/>
  <c r="AX345" i="19"/>
  <c r="AR345" i="19"/>
  <c r="AT345" i="19" s="1"/>
  <c r="AS345" i="19" s="1"/>
  <c r="AZ344" i="19"/>
  <c r="AY344" i="19"/>
  <c r="AX344" i="19"/>
  <c r="AR344" i="19"/>
  <c r="AT344" i="19" s="1"/>
  <c r="AZ343" i="19"/>
  <c r="AY343" i="19"/>
  <c r="AX343" i="19"/>
  <c r="AR343" i="19"/>
  <c r="AT343" i="19" s="1"/>
  <c r="AZ342" i="19"/>
  <c r="AY342" i="19"/>
  <c r="AX342" i="19"/>
  <c r="AR342" i="19"/>
  <c r="AT342" i="19" s="1"/>
  <c r="AS342" i="19" s="1"/>
  <c r="AZ341" i="19"/>
  <c r="AY341" i="19"/>
  <c r="AX341" i="19"/>
  <c r="AR341" i="19"/>
  <c r="AT341" i="19" s="1"/>
  <c r="AS341" i="19" s="1"/>
  <c r="AZ340" i="19"/>
  <c r="AY340" i="19"/>
  <c r="AX340" i="19"/>
  <c r="AR340" i="19"/>
  <c r="AT340" i="19" s="1"/>
  <c r="AZ339" i="19"/>
  <c r="AY339" i="19"/>
  <c r="AX339" i="19"/>
  <c r="AR339" i="19"/>
  <c r="AT339" i="19" s="1"/>
  <c r="AZ338" i="19"/>
  <c r="AY338" i="19"/>
  <c r="AX338" i="19"/>
  <c r="AR338" i="19"/>
  <c r="AT338" i="19" s="1"/>
  <c r="AS338" i="19" s="1"/>
  <c r="AZ337" i="19"/>
  <c r="AY337" i="19"/>
  <c r="AX337" i="19"/>
  <c r="AR337" i="19"/>
  <c r="AT337" i="19" s="1"/>
  <c r="AS337" i="19" s="1"/>
  <c r="AZ335" i="19"/>
  <c r="AY335" i="19"/>
  <c r="AX335" i="19"/>
  <c r="AR335" i="19"/>
  <c r="AT335" i="19" s="1"/>
  <c r="AZ334" i="19"/>
  <c r="AY334" i="19"/>
  <c r="AX334" i="19"/>
  <c r="AR334" i="19"/>
  <c r="AT334" i="19" s="1"/>
  <c r="AZ333" i="19"/>
  <c r="AY333" i="19"/>
  <c r="AX333" i="19"/>
  <c r="AR333" i="19"/>
  <c r="AT333" i="19" s="1"/>
  <c r="AS333" i="19" s="1"/>
  <c r="AZ332" i="19"/>
  <c r="AY332" i="19"/>
  <c r="AX332" i="19"/>
  <c r="AR332" i="19"/>
  <c r="AT332" i="19" s="1"/>
  <c r="AS332" i="19" s="1"/>
  <c r="AZ331" i="19"/>
  <c r="AY331" i="19"/>
  <c r="AX331" i="19"/>
  <c r="AR331" i="19"/>
  <c r="AT331" i="19" s="1"/>
  <c r="AZ329" i="19"/>
  <c r="AY329" i="19"/>
  <c r="AX329" i="19"/>
  <c r="AR329" i="19"/>
  <c r="AT329" i="19" s="1"/>
  <c r="AZ328" i="19"/>
  <c r="AY328" i="19"/>
  <c r="AX328" i="19"/>
  <c r="AR328" i="19"/>
  <c r="AT328" i="19" s="1"/>
  <c r="AZ327" i="19"/>
  <c r="AY327" i="19"/>
  <c r="AX327" i="19"/>
  <c r="AR327" i="19"/>
  <c r="AT327" i="19" s="1"/>
  <c r="AS327" i="19" s="1"/>
  <c r="AZ326" i="19"/>
  <c r="AY326" i="19"/>
  <c r="AX326" i="19"/>
  <c r="AR326" i="19"/>
  <c r="AT326" i="19" s="1"/>
  <c r="AS326" i="19" s="1"/>
  <c r="AZ325" i="19"/>
  <c r="AY325" i="19"/>
  <c r="AX325" i="19"/>
  <c r="AR325" i="19"/>
  <c r="AT325" i="19" s="1"/>
  <c r="AZ324" i="19"/>
  <c r="AY324" i="19"/>
  <c r="AX324" i="19"/>
  <c r="AR324" i="19"/>
  <c r="AT324" i="19" s="1"/>
  <c r="AZ323" i="19"/>
  <c r="AY323" i="19"/>
  <c r="AX323" i="19"/>
  <c r="AR323" i="19"/>
  <c r="AT323" i="19" s="1"/>
  <c r="AS323" i="19" s="1"/>
  <c r="AZ322" i="19"/>
  <c r="AY322" i="19"/>
  <c r="AX322" i="19"/>
  <c r="AR322" i="19"/>
  <c r="AT322" i="19" s="1"/>
  <c r="AS322" i="19" s="1"/>
  <c r="AZ321" i="19"/>
  <c r="AY321" i="19"/>
  <c r="AX321" i="19"/>
  <c r="AR321" i="19"/>
  <c r="AT321" i="19" s="1"/>
  <c r="AZ320" i="19"/>
  <c r="AY320" i="19"/>
  <c r="AX320" i="19"/>
  <c r="AR320" i="19"/>
  <c r="AT320" i="19" s="1"/>
  <c r="AZ319" i="19"/>
  <c r="AY319" i="19"/>
  <c r="AX319" i="19"/>
  <c r="AR319" i="19"/>
  <c r="AT319" i="19" s="1"/>
  <c r="AS319" i="19" s="1"/>
  <c r="AZ318" i="19"/>
  <c r="AY318" i="19"/>
  <c r="AX318" i="19"/>
  <c r="AR318" i="19"/>
  <c r="AT318" i="19" s="1"/>
  <c r="AS318" i="19" s="1"/>
  <c r="AZ317" i="19"/>
  <c r="AY317" i="19"/>
  <c r="AX317" i="19"/>
  <c r="AR317" i="19"/>
  <c r="AT317" i="19" s="1"/>
  <c r="AZ315" i="19"/>
  <c r="AY315" i="19"/>
  <c r="AX315" i="19"/>
  <c r="AR315" i="19"/>
  <c r="AT315" i="19" s="1"/>
  <c r="AZ314" i="19"/>
  <c r="AY314" i="19"/>
  <c r="AX314" i="19"/>
  <c r="AR314" i="19"/>
  <c r="AT314" i="19" s="1"/>
  <c r="AZ313" i="19"/>
  <c r="AY313" i="19"/>
  <c r="AX313" i="19"/>
  <c r="AR313" i="19"/>
  <c r="AT313" i="19" s="1"/>
  <c r="AS313" i="19" s="1"/>
  <c r="AZ312" i="19"/>
  <c r="AY312" i="19"/>
  <c r="AX312" i="19"/>
  <c r="AR312" i="19"/>
  <c r="AT312" i="19" s="1"/>
  <c r="AS312" i="19" s="1"/>
  <c r="AZ311" i="19"/>
  <c r="AY311" i="19"/>
  <c r="AX311" i="19"/>
  <c r="AR311" i="19"/>
  <c r="AT311" i="19" s="1"/>
  <c r="AZ310" i="19"/>
  <c r="AY310" i="19"/>
  <c r="AX310" i="19"/>
  <c r="AR310" i="19"/>
  <c r="AT310" i="19" s="1"/>
  <c r="AZ309" i="19"/>
  <c r="AY309" i="19"/>
  <c r="AX309" i="19"/>
  <c r="AR309" i="19"/>
  <c r="AT309" i="19" s="1"/>
  <c r="AS309" i="19" s="1"/>
  <c r="AZ308" i="19"/>
  <c r="AY308" i="19"/>
  <c r="AX308" i="19"/>
  <c r="AR308" i="19"/>
  <c r="AT308" i="19" s="1"/>
  <c r="AZ307" i="19"/>
  <c r="AY307" i="19"/>
  <c r="AX307" i="19"/>
  <c r="AR307" i="19"/>
  <c r="AT307" i="19" s="1"/>
  <c r="AZ306" i="19"/>
  <c r="AY306" i="19"/>
  <c r="AX306" i="19"/>
  <c r="AR306" i="19"/>
  <c r="AT306" i="19" s="1"/>
  <c r="AS306" i="19" s="1"/>
  <c r="AZ305" i="19"/>
  <c r="AY305" i="19"/>
  <c r="AX305" i="19"/>
  <c r="AR305" i="19"/>
  <c r="AT305" i="19" s="1"/>
  <c r="AS305" i="19" s="1"/>
  <c r="AZ304" i="19"/>
  <c r="AY304" i="19"/>
  <c r="AX304" i="19"/>
  <c r="AR304" i="19"/>
  <c r="AT304" i="19" s="1"/>
  <c r="AZ303" i="19"/>
  <c r="AY303" i="19"/>
  <c r="AX303" i="19"/>
  <c r="AR303" i="19"/>
  <c r="AT303" i="19" s="1"/>
  <c r="AZ302" i="19"/>
  <c r="AY302" i="19"/>
  <c r="AX302" i="19"/>
  <c r="AR302" i="19"/>
  <c r="AT302" i="19" s="1"/>
  <c r="AS302" i="19" s="1"/>
  <c r="AZ301" i="19"/>
  <c r="AY301" i="19"/>
  <c r="AX301" i="19"/>
  <c r="AR301" i="19"/>
  <c r="AT301" i="19" s="1"/>
  <c r="AZ300" i="19"/>
  <c r="AY300" i="19"/>
  <c r="AX300" i="19"/>
  <c r="AR300" i="19"/>
  <c r="AT300" i="19" s="1"/>
  <c r="AZ298" i="19"/>
  <c r="AY298" i="19"/>
  <c r="AX298" i="19"/>
  <c r="AR298" i="19"/>
  <c r="AT298" i="19" s="1"/>
  <c r="AZ297" i="19"/>
  <c r="AY297" i="19"/>
  <c r="AX297" i="19"/>
  <c r="AR297" i="19"/>
  <c r="AT297" i="19" s="1"/>
  <c r="AS297" i="19" s="1"/>
  <c r="AZ296" i="19"/>
  <c r="AY296" i="19"/>
  <c r="AX296" i="19"/>
  <c r="AR296" i="19"/>
  <c r="AT296" i="19" s="1"/>
  <c r="AS296" i="19" s="1"/>
  <c r="AZ295" i="19"/>
  <c r="AY295" i="19"/>
  <c r="AX295" i="19"/>
  <c r="AR295" i="19"/>
  <c r="AT295" i="19" s="1"/>
  <c r="AZ294" i="19"/>
  <c r="AY294" i="19"/>
  <c r="AX294" i="19"/>
  <c r="AR294" i="19"/>
  <c r="AT294" i="19" s="1"/>
  <c r="AZ293" i="19"/>
  <c r="AY293" i="19"/>
  <c r="AX293" i="19"/>
  <c r="AR293" i="19"/>
  <c r="AT293" i="19" s="1"/>
  <c r="AS293" i="19" s="1"/>
  <c r="AZ292" i="19"/>
  <c r="AY292" i="19"/>
  <c r="AX292" i="19"/>
  <c r="AR292" i="19"/>
  <c r="AT292" i="19" s="1"/>
  <c r="AS292" i="19" s="1"/>
  <c r="AZ291" i="19"/>
  <c r="AY291" i="19"/>
  <c r="AX291" i="19"/>
  <c r="AR291" i="19"/>
  <c r="AT291" i="19" s="1"/>
  <c r="AZ290" i="19"/>
  <c r="AY290" i="19"/>
  <c r="AX290" i="19"/>
  <c r="AR290" i="19"/>
  <c r="AT290" i="19" s="1"/>
  <c r="AZ289" i="19"/>
  <c r="AY289" i="19"/>
  <c r="AX289" i="19"/>
  <c r="AR289" i="19"/>
  <c r="AT289" i="19" s="1"/>
  <c r="AS289" i="19" s="1"/>
  <c r="AZ288" i="19"/>
  <c r="AY288" i="19"/>
  <c r="AX288" i="19"/>
  <c r="AR288" i="19"/>
  <c r="AT288" i="19" s="1"/>
  <c r="AZ287" i="19"/>
  <c r="AY287" i="19"/>
  <c r="AX287" i="19"/>
  <c r="AR287" i="19"/>
  <c r="AT287" i="19" s="1"/>
  <c r="AS287" i="19" s="1"/>
  <c r="AZ282" i="19"/>
  <c r="AY282" i="19"/>
  <c r="AX282" i="19"/>
  <c r="AR282" i="19"/>
  <c r="AT282" i="19" s="1"/>
  <c r="AZ280" i="19"/>
  <c r="AY280" i="19"/>
  <c r="AX280" i="19"/>
  <c r="AR280" i="19"/>
  <c r="AT280" i="19" s="1"/>
  <c r="AZ279" i="19"/>
  <c r="AY279" i="19"/>
  <c r="AX279" i="19"/>
  <c r="AR279" i="19"/>
  <c r="AT279" i="19" s="1"/>
  <c r="AZ278" i="19"/>
  <c r="AY278" i="19"/>
  <c r="AX278" i="19"/>
  <c r="AR278" i="19"/>
  <c r="AT278" i="19" s="1"/>
  <c r="AS278" i="19" s="1"/>
  <c r="AZ277" i="19"/>
  <c r="AY277" i="19"/>
  <c r="AX277" i="19"/>
  <c r="AR277" i="19"/>
  <c r="AT277" i="19" s="1"/>
  <c r="AS277" i="19" s="1"/>
  <c r="AZ276" i="19"/>
  <c r="AY276" i="19"/>
  <c r="AX276" i="19"/>
  <c r="AR276" i="19"/>
  <c r="AT276" i="19" s="1"/>
  <c r="AZ275" i="19"/>
  <c r="AY275" i="19"/>
  <c r="AX275" i="19"/>
  <c r="AR275" i="19"/>
  <c r="AT275" i="19" s="1"/>
  <c r="AZ274" i="19"/>
  <c r="AY274" i="19"/>
  <c r="AX274" i="19"/>
  <c r="AR274" i="19"/>
  <c r="AT274" i="19" s="1"/>
  <c r="AS274" i="19" s="1"/>
  <c r="AZ273" i="19"/>
  <c r="AY273" i="19"/>
  <c r="AX273" i="19"/>
  <c r="AR273" i="19"/>
  <c r="AT273" i="19" s="1"/>
  <c r="AS273" i="19" s="1"/>
  <c r="AZ272" i="19"/>
  <c r="AY272" i="19"/>
  <c r="AX272" i="19"/>
  <c r="AR272" i="19"/>
  <c r="AT272" i="19" s="1"/>
  <c r="AZ271" i="19"/>
  <c r="AY271" i="19"/>
  <c r="AX271" i="19"/>
  <c r="AR271" i="19"/>
  <c r="AT271" i="19" s="1"/>
  <c r="AZ270" i="19"/>
  <c r="AY270" i="19"/>
  <c r="AX270" i="19"/>
  <c r="AR270" i="19"/>
  <c r="AT270" i="19" s="1"/>
  <c r="AZ269" i="19"/>
  <c r="AY269" i="19"/>
  <c r="AX269" i="19"/>
  <c r="AR269" i="19"/>
  <c r="AT269" i="19" s="1"/>
  <c r="AS269" i="19" s="1"/>
  <c r="AZ268" i="19"/>
  <c r="AY268" i="19"/>
  <c r="AX268" i="19"/>
  <c r="AR268" i="19"/>
  <c r="AT268" i="19" s="1"/>
  <c r="AZ267" i="19"/>
  <c r="AY267" i="19"/>
  <c r="AX267" i="19"/>
  <c r="AR267" i="19"/>
  <c r="AT267" i="19" s="1"/>
  <c r="AZ266" i="19"/>
  <c r="AY266" i="19"/>
  <c r="AX266" i="19"/>
  <c r="AR266" i="19"/>
  <c r="AT266" i="19" s="1"/>
  <c r="AZ265" i="19"/>
  <c r="AY265" i="19"/>
  <c r="AX265" i="19"/>
  <c r="AR265" i="19"/>
  <c r="AT265" i="19" s="1"/>
  <c r="AS265" i="19" s="1"/>
  <c r="AZ263" i="19"/>
  <c r="AY263" i="19"/>
  <c r="AX263" i="19"/>
  <c r="AR263" i="19"/>
  <c r="AT263" i="19" s="1"/>
  <c r="AZ262" i="19"/>
  <c r="AY262" i="19"/>
  <c r="AX262" i="19"/>
  <c r="AR262" i="19"/>
  <c r="AT262" i="19" s="1"/>
  <c r="AS262" i="19" s="1"/>
  <c r="AZ261" i="19"/>
  <c r="AY261" i="19"/>
  <c r="AX261" i="19"/>
  <c r="AR261" i="19"/>
  <c r="AT261" i="19" s="1"/>
  <c r="AS261" i="19" s="1"/>
  <c r="AZ260" i="19"/>
  <c r="AY260" i="19"/>
  <c r="AX260" i="19"/>
  <c r="AR260" i="19"/>
  <c r="AT260" i="19" s="1"/>
  <c r="AZ259" i="19"/>
  <c r="AY259" i="19"/>
  <c r="AX259" i="19"/>
  <c r="AR259" i="19"/>
  <c r="AT259" i="19" s="1"/>
  <c r="AZ258" i="19"/>
  <c r="AY258" i="19"/>
  <c r="AX258" i="19"/>
  <c r="AR258" i="19"/>
  <c r="AT258" i="19" s="1"/>
  <c r="AS258" i="19" s="1"/>
  <c r="AZ257" i="19"/>
  <c r="AY257" i="19"/>
  <c r="AX257" i="19"/>
  <c r="AR257" i="19"/>
  <c r="AT257" i="19" s="1"/>
  <c r="AS257" i="19" s="1"/>
  <c r="AZ256" i="19"/>
  <c r="AY256" i="19"/>
  <c r="AX256" i="19"/>
  <c r="AR256" i="19"/>
  <c r="AT256" i="19" s="1"/>
  <c r="AZ254" i="19"/>
  <c r="AY254" i="19"/>
  <c r="AX254" i="19"/>
  <c r="AR254" i="19"/>
  <c r="AT254" i="19" s="1"/>
  <c r="AZ253" i="19"/>
  <c r="AY253" i="19"/>
  <c r="AX253" i="19"/>
  <c r="AR253" i="19"/>
  <c r="AT253" i="19" s="1"/>
  <c r="AZ252" i="19"/>
  <c r="AY252" i="19"/>
  <c r="AX252" i="19"/>
  <c r="AR252" i="19"/>
  <c r="AT252" i="19" s="1"/>
  <c r="AS252" i="19" s="1"/>
  <c r="AZ251" i="19"/>
  <c r="AY251" i="19"/>
  <c r="AX251" i="19"/>
  <c r="AR251" i="19"/>
  <c r="AT251" i="19" s="1"/>
  <c r="AS251" i="19" s="1"/>
  <c r="AZ249" i="19"/>
  <c r="AY249" i="19"/>
  <c r="AX249" i="19"/>
  <c r="AR249" i="19"/>
  <c r="AT249" i="19" s="1"/>
  <c r="AZ248" i="19"/>
  <c r="AY248" i="19"/>
  <c r="AX248" i="19"/>
  <c r="AR248" i="19"/>
  <c r="AT248" i="19" s="1"/>
  <c r="AZ247" i="19"/>
  <c r="AY247" i="19"/>
  <c r="AX247" i="19"/>
  <c r="AR247" i="19"/>
  <c r="AT247" i="19" s="1"/>
  <c r="AS247" i="19" s="1"/>
  <c r="AZ246" i="19"/>
  <c r="AY246" i="19"/>
  <c r="AX246" i="19"/>
  <c r="AR246" i="19"/>
  <c r="AT246" i="19" s="1"/>
  <c r="AS246" i="19" s="1"/>
  <c r="AZ245" i="19"/>
  <c r="AY245" i="19"/>
  <c r="AX245" i="19"/>
  <c r="AR245" i="19"/>
  <c r="AT245" i="19" s="1"/>
  <c r="AZ244" i="19"/>
  <c r="AY244" i="19"/>
  <c r="AX244" i="19"/>
  <c r="AR244" i="19"/>
  <c r="AT244" i="19" s="1"/>
  <c r="AZ242" i="19"/>
  <c r="AY242" i="19"/>
  <c r="AX242" i="19"/>
  <c r="AR242" i="19"/>
  <c r="AT242" i="19" s="1"/>
  <c r="AZ240" i="19"/>
  <c r="AY240" i="19"/>
  <c r="AX240" i="19"/>
  <c r="AR240" i="19"/>
  <c r="AT240" i="19" s="1"/>
  <c r="AZ238" i="19"/>
  <c r="AY238" i="19"/>
  <c r="AX238" i="19"/>
  <c r="AR238" i="19"/>
  <c r="AT238" i="19" s="1"/>
  <c r="AZ236" i="19"/>
  <c r="AY236" i="19"/>
  <c r="AX236" i="19"/>
  <c r="AR236" i="19"/>
  <c r="AT236" i="19" s="1"/>
  <c r="AZ235" i="19"/>
  <c r="AY235" i="19"/>
  <c r="AX235" i="19"/>
  <c r="AR235" i="19"/>
  <c r="AT235" i="19" s="1"/>
  <c r="AZ234" i="19"/>
  <c r="AY234" i="19"/>
  <c r="AX234" i="19"/>
  <c r="AR234" i="19"/>
  <c r="AT234" i="19" s="1"/>
  <c r="AS234" i="19" s="1"/>
  <c r="AZ233" i="19"/>
  <c r="AY233" i="19"/>
  <c r="AX233" i="19"/>
  <c r="AR233" i="19"/>
  <c r="AT233" i="19" s="1"/>
  <c r="AS233" i="19" s="1"/>
  <c r="AZ231" i="19"/>
  <c r="AY231" i="19"/>
  <c r="AX231" i="19"/>
  <c r="AR231" i="19"/>
  <c r="AT231" i="19" s="1"/>
  <c r="AZ230" i="19"/>
  <c r="AY230" i="19"/>
  <c r="AX230" i="19"/>
  <c r="AR230" i="19"/>
  <c r="AT230" i="19" s="1"/>
  <c r="AS230" i="19" s="1"/>
  <c r="AZ229" i="19"/>
  <c r="AY229" i="19"/>
  <c r="AX229" i="19"/>
  <c r="AR229" i="19"/>
  <c r="AT229" i="19" s="1"/>
  <c r="AS229" i="19" s="1"/>
  <c r="AZ227" i="19"/>
  <c r="AY227" i="19"/>
  <c r="AX227" i="19"/>
  <c r="AR227" i="19"/>
  <c r="AT227" i="19" s="1"/>
  <c r="AZ225" i="19"/>
  <c r="AY225" i="19"/>
  <c r="AX225" i="19"/>
  <c r="AR225" i="19"/>
  <c r="AT225" i="19" s="1"/>
  <c r="AZ224" i="19"/>
  <c r="AY224" i="19"/>
  <c r="AX224" i="19"/>
  <c r="AR224" i="19"/>
  <c r="AT224" i="19" s="1"/>
  <c r="AZ223" i="19"/>
  <c r="AY223" i="19"/>
  <c r="AX223" i="19"/>
  <c r="AR223" i="19"/>
  <c r="AT223" i="19" s="1"/>
  <c r="AS223" i="19" s="1"/>
  <c r="AZ221" i="19"/>
  <c r="AY221" i="19"/>
  <c r="AX221" i="19"/>
  <c r="AR221" i="19"/>
  <c r="AT221" i="19" s="1"/>
  <c r="AZ220" i="19"/>
  <c r="AY220" i="19"/>
  <c r="AX220" i="19"/>
  <c r="AR220" i="19"/>
  <c r="AT220" i="19" s="1"/>
  <c r="AZ219" i="19"/>
  <c r="AY219" i="19"/>
  <c r="AX219" i="19"/>
  <c r="AR219" i="19"/>
  <c r="AT219" i="19" s="1"/>
  <c r="AS219" i="19" s="1"/>
  <c r="AZ218" i="19"/>
  <c r="AY218" i="19"/>
  <c r="AX218" i="19"/>
  <c r="AR218" i="19"/>
  <c r="AT218" i="19" s="1"/>
  <c r="AS218" i="19" s="1"/>
  <c r="AZ217" i="19"/>
  <c r="AY217" i="19"/>
  <c r="AX217" i="19"/>
  <c r="AR217" i="19"/>
  <c r="AT217" i="19" s="1"/>
  <c r="AZ216" i="19"/>
  <c r="AY216" i="19"/>
  <c r="AX216" i="19"/>
  <c r="AR216" i="19"/>
  <c r="AT216" i="19" s="1"/>
  <c r="AZ214" i="19"/>
  <c r="AY214" i="19"/>
  <c r="AX214" i="19"/>
  <c r="AR214" i="19"/>
  <c r="AT214" i="19" s="1"/>
  <c r="AZ213" i="19"/>
  <c r="AY213" i="19"/>
  <c r="AX213" i="19"/>
  <c r="AR213" i="19"/>
  <c r="AT213" i="19" s="1"/>
  <c r="AZ212" i="19"/>
  <c r="AY212" i="19"/>
  <c r="AX212" i="19"/>
  <c r="AR212" i="19"/>
  <c r="AT212" i="19" s="1"/>
  <c r="AS212" i="19" s="1"/>
  <c r="AZ211" i="19"/>
  <c r="AY211" i="19"/>
  <c r="AX211" i="19"/>
  <c r="AR211" i="19"/>
  <c r="AT211" i="19" s="1"/>
  <c r="AS211" i="19" s="1"/>
  <c r="AZ210" i="19"/>
  <c r="AY210" i="19"/>
  <c r="AX210" i="19"/>
  <c r="AR210" i="19"/>
  <c r="AT210" i="19" s="1"/>
  <c r="AZ209" i="19"/>
  <c r="AY209" i="19"/>
  <c r="AX209" i="19"/>
  <c r="AR209" i="19"/>
  <c r="AT209" i="19" s="1"/>
  <c r="AZ208" i="19"/>
  <c r="AY208" i="19"/>
  <c r="AX208" i="19"/>
  <c r="AR208" i="19"/>
  <c r="AT208" i="19" s="1"/>
  <c r="AS208" i="19" s="1"/>
  <c r="AZ206" i="19"/>
  <c r="AY206" i="19"/>
  <c r="AX206" i="19"/>
  <c r="AR206" i="19"/>
  <c r="AT206" i="19" s="1"/>
  <c r="AZ205" i="19"/>
  <c r="AY205" i="19"/>
  <c r="AX205" i="19"/>
  <c r="AR205" i="19"/>
  <c r="AT205" i="19" s="1"/>
  <c r="AZ203" i="19"/>
  <c r="AY203" i="19"/>
  <c r="AX203" i="19"/>
  <c r="AR203" i="19"/>
  <c r="AT203" i="19" s="1"/>
  <c r="AZ202" i="19"/>
  <c r="AY202" i="19"/>
  <c r="AX202" i="19"/>
  <c r="AR202" i="19"/>
  <c r="AT202" i="19" s="1"/>
  <c r="AZ201" i="19"/>
  <c r="AY201" i="19"/>
  <c r="AX201" i="19"/>
  <c r="AR201" i="19"/>
  <c r="AT201" i="19" s="1"/>
  <c r="AS201" i="19" s="1"/>
  <c r="AZ200" i="19"/>
  <c r="AY200" i="19"/>
  <c r="AX200" i="19"/>
  <c r="AR200" i="19"/>
  <c r="AT200" i="19" s="1"/>
  <c r="AS200" i="19" s="1"/>
  <c r="AZ198" i="19"/>
  <c r="AY198" i="19"/>
  <c r="AX198" i="19"/>
  <c r="AR198" i="19"/>
  <c r="AT198" i="19" s="1"/>
  <c r="AZ197" i="19"/>
  <c r="AY197" i="19"/>
  <c r="AX197" i="19"/>
  <c r="AR197" i="19"/>
  <c r="AT197" i="19" s="1"/>
  <c r="AZ196" i="19"/>
  <c r="AY196" i="19"/>
  <c r="AX196" i="19"/>
  <c r="AR196" i="19"/>
  <c r="AT196" i="19" s="1"/>
  <c r="AS196" i="19" s="1"/>
  <c r="AZ195" i="19"/>
  <c r="AY195" i="19"/>
  <c r="AX195" i="19"/>
  <c r="AR195" i="19"/>
  <c r="AT195" i="19" s="1"/>
  <c r="AS195" i="19" s="1"/>
  <c r="AZ194" i="19"/>
  <c r="AY194" i="19"/>
  <c r="AX194" i="19"/>
  <c r="AR194" i="19"/>
  <c r="AT194" i="19" s="1"/>
  <c r="AZ192" i="19"/>
  <c r="AY192" i="19"/>
  <c r="AX192" i="19"/>
  <c r="AR192" i="19"/>
  <c r="AT192" i="19" s="1"/>
  <c r="AZ191" i="19"/>
  <c r="AY191" i="19"/>
  <c r="AX191" i="19"/>
  <c r="AR191" i="19"/>
  <c r="AT191" i="19" s="1"/>
  <c r="AZ190" i="19"/>
  <c r="AY190" i="19"/>
  <c r="AX190" i="19"/>
  <c r="AR190" i="19"/>
  <c r="AT190" i="19" s="1"/>
  <c r="AS190" i="19" s="1"/>
  <c r="AZ189" i="19"/>
  <c r="AY189" i="19"/>
  <c r="AX189" i="19"/>
  <c r="AR189" i="19"/>
  <c r="AT189" i="19" s="1"/>
  <c r="AS189" i="19" s="1"/>
  <c r="AZ188" i="19"/>
  <c r="AY188" i="19"/>
  <c r="AX188" i="19"/>
  <c r="AR188" i="19"/>
  <c r="AT188" i="19" s="1"/>
  <c r="AZ187" i="19"/>
  <c r="AY187" i="19"/>
  <c r="AX187" i="19"/>
  <c r="AR187" i="19"/>
  <c r="AT187" i="19" s="1"/>
  <c r="AZ186" i="19"/>
  <c r="AY186" i="19"/>
  <c r="AX186" i="19"/>
  <c r="AR186" i="19"/>
  <c r="AT186" i="19" s="1"/>
  <c r="AS186" i="19" s="1"/>
  <c r="AZ185" i="19"/>
  <c r="AY185" i="19"/>
  <c r="AX185" i="19"/>
  <c r="AR185" i="19"/>
  <c r="AT185" i="19" s="1"/>
  <c r="AS185" i="19" s="1"/>
  <c r="AZ184" i="19"/>
  <c r="AY184" i="19"/>
  <c r="AX184" i="19"/>
  <c r="AR184" i="19"/>
  <c r="AT184" i="19" s="1"/>
  <c r="AZ183" i="19"/>
  <c r="AY183" i="19"/>
  <c r="AX183" i="19"/>
  <c r="AR183" i="19"/>
  <c r="AT183" i="19" s="1"/>
  <c r="AS183" i="19" s="1"/>
  <c r="AZ182" i="19"/>
  <c r="AY182" i="19"/>
  <c r="AX182" i="19"/>
  <c r="AR182" i="19"/>
  <c r="AT182" i="19" s="1"/>
  <c r="AZ181" i="19"/>
  <c r="AY181" i="19"/>
  <c r="AX181" i="19"/>
  <c r="AR181" i="19"/>
  <c r="AT181" i="19" s="1"/>
  <c r="AS181" i="19" s="1"/>
  <c r="AZ179" i="19"/>
  <c r="AY179" i="19"/>
  <c r="AX179" i="19"/>
  <c r="AR179" i="19"/>
  <c r="AT179" i="19" s="1"/>
  <c r="AZ178" i="19"/>
  <c r="AY178" i="19"/>
  <c r="AX178" i="19"/>
  <c r="AR178" i="19"/>
  <c r="AT178" i="19" s="1"/>
  <c r="AZ177" i="19"/>
  <c r="AY177" i="19"/>
  <c r="AX177" i="19"/>
  <c r="AR177" i="19"/>
  <c r="AT177" i="19" s="1"/>
  <c r="AS177" i="19" s="1"/>
  <c r="AZ176" i="19"/>
  <c r="AY176" i="19"/>
  <c r="AX176" i="19"/>
  <c r="AR176" i="19"/>
  <c r="AT176" i="19" s="1"/>
  <c r="AS176" i="19" s="1"/>
  <c r="AZ175" i="19"/>
  <c r="AY175" i="19"/>
  <c r="AX175" i="19"/>
  <c r="AR175" i="19"/>
  <c r="AT175" i="19" s="1"/>
  <c r="AZ174" i="19"/>
  <c r="AY174" i="19"/>
  <c r="AX174" i="19"/>
  <c r="AR174" i="19"/>
  <c r="AT174" i="19" s="1"/>
  <c r="AZ173" i="19"/>
  <c r="AY173" i="19"/>
  <c r="AX173" i="19"/>
  <c r="AR173" i="19"/>
  <c r="AT173" i="19" s="1"/>
  <c r="AS173" i="19" s="1"/>
  <c r="AZ172" i="19"/>
  <c r="AY172" i="19"/>
  <c r="AX172" i="19"/>
  <c r="AR172" i="19"/>
  <c r="AT172" i="19" s="1"/>
  <c r="AS172" i="19" s="1"/>
  <c r="AZ171" i="19"/>
  <c r="AY171" i="19"/>
  <c r="AX171" i="19"/>
  <c r="AR171" i="19"/>
  <c r="AT171" i="19" s="1"/>
  <c r="AZ170" i="19"/>
  <c r="AY170" i="19"/>
  <c r="AX170" i="19"/>
  <c r="AR170" i="19"/>
  <c r="AT170" i="19" s="1"/>
  <c r="AZ169" i="19"/>
  <c r="AY169" i="19"/>
  <c r="AX169" i="19"/>
  <c r="AR169" i="19"/>
  <c r="AT169" i="19" s="1"/>
  <c r="AS169" i="19" s="1"/>
  <c r="AZ167" i="19"/>
  <c r="AY167" i="19"/>
  <c r="AX167" i="19"/>
  <c r="AR167" i="19"/>
  <c r="AT167" i="19" s="1"/>
  <c r="AZ166" i="19"/>
  <c r="AY166" i="19"/>
  <c r="AX166" i="19"/>
  <c r="AR166" i="19"/>
  <c r="AT166" i="19" s="1"/>
  <c r="AZ164" i="19"/>
  <c r="AY164" i="19"/>
  <c r="AX164" i="19"/>
  <c r="AR164" i="19"/>
  <c r="AT164" i="19" s="1"/>
  <c r="AZ163" i="19"/>
  <c r="AY163" i="19"/>
  <c r="AX163" i="19"/>
  <c r="AR163" i="19"/>
  <c r="AT163" i="19" s="1"/>
  <c r="AZ162" i="19"/>
  <c r="AY162" i="19"/>
  <c r="AX162" i="19"/>
  <c r="AR162" i="19"/>
  <c r="AT162" i="19" s="1"/>
  <c r="AS162" i="19" s="1"/>
  <c r="AZ161" i="19"/>
  <c r="AY161" i="19"/>
  <c r="AX161" i="19"/>
  <c r="AR161" i="19"/>
  <c r="AT161" i="19" s="1"/>
  <c r="AZ160" i="19"/>
  <c r="AY160" i="19"/>
  <c r="AX160" i="19"/>
  <c r="AR160" i="19"/>
  <c r="AT160" i="19" s="1"/>
  <c r="AZ159" i="19"/>
  <c r="AY159" i="19"/>
  <c r="AX159" i="19"/>
  <c r="AR159" i="19"/>
  <c r="AT159" i="19" s="1"/>
  <c r="AS159" i="19" s="1"/>
  <c r="AZ157" i="19"/>
  <c r="AY157" i="19"/>
  <c r="AX157" i="19"/>
  <c r="AR157" i="19"/>
  <c r="AT157" i="19" s="1"/>
  <c r="AZ156" i="19"/>
  <c r="AY156" i="19"/>
  <c r="AX156" i="19"/>
  <c r="AR156" i="19"/>
  <c r="AT156" i="19" s="1"/>
  <c r="AZ155" i="19"/>
  <c r="AY155" i="19"/>
  <c r="AX155" i="19"/>
  <c r="AR155" i="19"/>
  <c r="AT155" i="19" s="1"/>
  <c r="AS155" i="19" s="1"/>
  <c r="AZ154" i="19"/>
  <c r="AY154" i="19"/>
  <c r="AX154" i="19"/>
  <c r="AR154" i="19"/>
  <c r="AT154" i="19" s="1"/>
  <c r="AS154" i="19" s="1"/>
  <c r="AZ153" i="19"/>
  <c r="AY153" i="19"/>
  <c r="AX153" i="19"/>
  <c r="AR153" i="19"/>
  <c r="AT153" i="19" s="1"/>
  <c r="AZ152" i="19"/>
  <c r="AY152" i="19"/>
  <c r="AX152" i="19"/>
  <c r="AR152" i="19"/>
  <c r="AT152" i="19" s="1"/>
  <c r="AZ151" i="19"/>
  <c r="AY151" i="19"/>
  <c r="AX151" i="19"/>
  <c r="AR151" i="19"/>
  <c r="AT151" i="19" s="1"/>
  <c r="AS151" i="19" s="1"/>
  <c r="AZ150" i="19"/>
  <c r="AY150" i="19"/>
  <c r="AX150" i="19"/>
  <c r="AR150" i="19"/>
  <c r="AT150" i="19" s="1"/>
  <c r="AS150" i="19" s="1"/>
  <c r="AZ149" i="19"/>
  <c r="AY149" i="19"/>
  <c r="AX149" i="19"/>
  <c r="AR149" i="19"/>
  <c r="AT149" i="19" s="1"/>
  <c r="AZ148" i="19"/>
  <c r="AY148" i="19"/>
  <c r="AX148" i="19"/>
  <c r="AR148" i="19"/>
  <c r="AT148"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Z142" i="19"/>
  <c r="AY142" i="19"/>
  <c r="AX142" i="19"/>
  <c r="AR142" i="19"/>
  <c r="AT142" i="19" s="1"/>
  <c r="AZ141" i="19"/>
  <c r="AY141" i="19"/>
  <c r="AX141" i="19"/>
  <c r="AR141" i="19"/>
  <c r="AT141" i="19" s="1"/>
  <c r="AS141" i="19" s="1"/>
  <c r="AZ140" i="19"/>
  <c r="AY140" i="19"/>
  <c r="AX140" i="19"/>
  <c r="AR140" i="19"/>
  <c r="AT140" i="19" s="1"/>
  <c r="AS140" i="19" s="1"/>
  <c r="AZ139" i="19"/>
  <c r="AY139" i="19"/>
  <c r="AX139" i="19"/>
  <c r="AR139" i="19"/>
  <c r="AT139" i="19" s="1"/>
  <c r="AZ138" i="19"/>
  <c r="AY138" i="19"/>
  <c r="AX138" i="19"/>
  <c r="AR138" i="19"/>
  <c r="AT138" i="19" s="1"/>
  <c r="AZ136" i="19"/>
  <c r="AY136" i="19"/>
  <c r="AX136" i="19"/>
  <c r="AR136" i="19"/>
  <c r="AT136" i="19" s="1"/>
  <c r="AZ135" i="19"/>
  <c r="AY135" i="19"/>
  <c r="AX135" i="19"/>
  <c r="AR135" i="19"/>
  <c r="AT135" i="19" s="1"/>
  <c r="AZ134" i="19"/>
  <c r="AY134" i="19"/>
  <c r="AX134" i="19"/>
  <c r="AR134" i="19"/>
  <c r="AT134" i="19" s="1"/>
  <c r="AS134" i="19" s="1"/>
  <c r="AZ133" i="19"/>
  <c r="AY133" i="19"/>
  <c r="AX133" i="19"/>
  <c r="AR133" i="19"/>
  <c r="AT133" i="19" s="1"/>
  <c r="AS133" i="19" s="1"/>
  <c r="AZ132" i="19"/>
  <c r="AY132" i="19"/>
  <c r="AX132" i="19"/>
  <c r="AR132" i="19"/>
  <c r="AT132" i="19" s="1"/>
  <c r="AZ131" i="19"/>
  <c r="AY131" i="19"/>
  <c r="AX131" i="19"/>
  <c r="AR131" i="19"/>
  <c r="AT131" i="19" s="1"/>
  <c r="AZ130" i="19"/>
  <c r="AY130" i="19"/>
  <c r="AX130" i="19"/>
  <c r="AR130" i="19"/>
  <c r="AT130" i="19" s="1"/>
  <c r="AS130" i="19" s="1"/>
  <c r="AZ129" i="19"/>
  <c r="AY129" i="19"/>
  <c r="AX129" i="19"/>
  <c r="AR129" i="19"/>
  <c r="AT129" i="19" s="1"/>
  <c r="AS129" i="19" s="1"/>
  <c r="AZ127" i="19"/>
  <c r="AY127" i="19"/>
  <c r="AX127" i="19"/>
  <c r="AR127" i="19"/>
  <c r="AT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Z122" i="19"/>
  <c r="AY122" i="19"/>
  <c r="AX122" i="19"/>
  <c r="AR122" i="19"/>
  <c r="AT122" i="19" s="1"/>
  <c r="AZ121" i="19"/>
  <c r="AY121" i="19"/>
  <c r="AX121" i="19"/>
  <c r="AR121" i="19"/>
  <c r="AT121" i="19" s="1"/>
  <c r="AS121" i="19" s="1"/>
  <c r="AZ120" i="19"/>
  <c r="AY120" i="19"/>
  <c r="AX120" i="19"/>
  <c r="AR120" i="19"/>
  <c r="AT120" i="19" s="1"/>
  <c r="AZ119" i="19"/>
  <c r="AY119" i="19"/>
  <c r="AX119" i="19"/>
  <c r="AR119" i="19"/>
  <c r="AT119" i="19" s="1"/>
  <c r="AZ117" i="19"/>
  <c r="AY117" i="19"/>
  <c r="AX117" i="19"/>
  <c r="AR117" i="19"/>
  <c r="AT117" i="19" s="1"/>
  <c r="AZ116" i="19"/>
  <c r="AY116" i="19"/>
  <c r="AX116" i="19"/>
  <c r="AR116" i="19"/>
  <c r="AT116" i="19" s="1"/>
  <c r="AS116" i="19" s="1"/>
  <c r="AZ115" i="19"/>
  <c r="AY115" i="19"/>
  <c r="AX115" i="19"/>
  <c r="AR115" i="19"/>
  <c r="AT115" i="19" s="1"/>
  <c r="AZ114" i="19"/>
  <c r="AY114" i="19"/>
  <c r="AX114" i="19"/>
  <c r="AR114" i="19"/>
  <c r="AT114" i="19" s="1"/>
  <c r="AZ113" i="19"/>
  <c r="AY113" i="19"/>
  <c r="AX113" i="19"/>
  <c r="AR113" i="19"/>
  <c r="AT113" i="19" s="1"/>
  <c r="AZ112" i="19"/>
  <c r="AY112" i="19"/>
  <c r="AX112" i="19"/>
  <c r="AR112" i="19"/>
  <c r="AT112" i="19" s="1"/>
  <c r="AS112" i="19" s="1"/>
  <c r="AZ111" i="19"/>
  <c r="AY111" i="19"/>
  <c r="AX111" i="19"/>
  <c r="AR111" i="19"/>
  <c r="AT111" i="19" s="1"/>
  <c r="AZ110" i="19"/>
  <c r="AY110" i="19"/>
  <c r="AX110" i="19"/>
  <c r="AR110" i="19"/>
  <c r="AT110" i="19" s="1"/>
  <c r="AZ109" i="19"/>
  <c r="AY109" i="19"/>
  <c r="AX109" i="19"/>
  <c r="AR109" i="19"/>
  <c r="AT109" i="19" s="1"/>
  <c r="AZ108" i="19"/>
  <c r="AY108" i="19"/>
  <c r="AX108" i="19"/>
  <c r="AR108" i="19"/>
  <c r="AT108" i="19" s="1"/>
  <c r="AS108" i="19" s="1"/>
  <c r="AZ107" i="19"/>
  <c r="AY107" i="19"/>
  <c r="AX107" i="19"/>
  <c r="AR107" i="19"/>
  <c r="AT107" i="19" s="1"/>
  <c r="AZ106" i="19"/>
  <c r="AY106" i="19"/>
  <c r="AX106" i="19"/>
  <c r="AR106" i="19"/>
  <c r="AT106" i="19" s="1"/>
  <c r="AS106" i="19" s="1"/>
  <c r="AZ105" i="19"/>
  <c r="AY105" i="19"/>
  <c r="AX105" i="19"/>
  <c r="AR105" i="19"/>
  <c r="AT105" i="19" s="1"/>
  <c r="AS105" i="19" s="1"/>
  <c r="AZ104" i="19"/>
  <c r="AY104" i="19"/>
  <c r="AX104" i="19"/>
  <c r="AR104" i="19"/>
  <c r="AT104" i="19" s="1"/>
  <c r="AS104" i="19" s="1"/>
  <c r="AZ103" i="19"/>
  <c r="AY103" i="19"/>
  <c r="AX103" i="19"/>
  <c r="AR103" i="19"/>
  <c r="AT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S99" i="19" s="1"/>
  <c r="AZ98" i="19"/>
  <c r="AY98" i="19"/>
  <c r="AX98" i="19"/>
  <c r="AR98" i="19"/>
  <c r="AT98" i="19" s="1"/>
  <c r="AZ97" i="19"/>
  <c r="AY97" i="19"/>
  <c r="AX97" i="19"/>
  <c r="AR97" i="19"/>
  <c r="AT97" i="19" s="1"/>
  <c r="AS97" i="19" s="1"/>
  <c r="AZ95" i="19"/>
  <c r="AY95" i="19"/>
  <c r="AX95" i="19"/>
  <c r="AR95" i="19"/>
  <c r="AT95" i="19" s="1"/>
  <c r="AZ94" i="19"/>
  <c r="AY94" i="19"/>
  <c r="AX94" i="19"/>
  <c r="AR94" i="19"/>
  <c r="AT94" i="19" s="1"/>
  <c r="AZ93" i="19"/>
  <c r="AY93" i="19"/>
  <c r="AX93" i="19"/>
  <c r="AR93" i="19"/>
  <c r="AT93" i="19" s="1"/>
  <c r="AS93" i="19" s="1"/>
  <c r="AZ92" i="19"/>
  <c r="AY92" i="19"/>
  <c r="AX92" i="19"/>
  <c r="AR92" i="19"/>
  <c r="AT92" i="19" s="1"/>
  <c r="AS92" i="19" s="1"/>
  <c r="AZ91" i="19"/>
  <c r="AY91" i="19"/>
  <c r="AX91" i="19"/>
  <c r="AR91" i="19"/>
  <c r="AT91" i="19" s="1"/>
  <c r="AZ90" i="19"/>
  <c r="AY90" i="19"/>
  <c r="AX90" i="19"/>
  <c r="AR90" i="19"/>
  <c r="AT90" i="19" s="1"/>
  <c r="AZ89" i="19"/>
  <c r="AY89" i="19"/>
  <c r="AX89" i="19"/>
  <c r="AR89" i="19"/>
  <c r="AT89" i="19" s="1"/>
  <c r="AS89" i="19" s="1"/>
  <c r="AZ87" i="19"/>
  <c r="AY87" i="19"/>
  <c r="AX87" i="19"/>
  <c r="AR87" i="19"/>
  <c r="AT87" i="19" s="1"/>
  <c r="AZ86" i="19"/>
  <c r="AY86" i="19"/>
  <c r="AX86" i="19"/>
  <c r="AR86" i="19"/>
  <c r="AT86" i="19" s="1"/>
  <c r="AZ85" i="19"/>
  <c r="AY85" i="19"/>
  <c r="AX85" i="19"/>
  <c r="AR85" i="19"/>
  <c r="AT85" i="19" s="1"/>
  <c r="AS85" i="19" s="1"/>
  <c r="AZ84" i="19"/>
  <c r="AY84" i="19"/>
  <c r="AX84" i="19"/>
  <c r="AR84" i="19"/>
  <c r="AT84" i="19" s="1"/>
  <c r="AS84" i="19" s="1"/>
  <c r="AZ83" i="19"/>
  <c r="AY83" i="19"/>
  <c r="AX83" i="19"/>
  <c r="AR83" i="19"/>
  <c r="AT83" i="19" s="1"/>
  <c r="AZ82" i="19"/>
  <c r="AY82" i="19"/>
  <c r="AX82" i="19"/>
  <c r="AR82" i="19"/>
  <c r="AT82" i="19" s="1"/>
  <c r="AZ81" i="19"/>
  <c r="AY81" i="19"/>
  <c r="AX81" i="19"/>
  <c r="AR81" i="19"/>
  <c r="AT81" i="19" s="1"/>
  <c r="AS81" i="19" s="1"/>
  <c r="AZ80" i="19"/>
  <c r="AY80" i="19"/>
  <c r="AX80" i="19"/>
  <c r="AR80" i="19"/>
  <c r="AT80" i="19" s="1"/>
  <c r="AS80" i="19" s="1"/>
  <c r="AZ79" i="19"/>
  <c r="AY79" i="19"/>
  <c r="AX79" i="19"/>
  <c r="AR79" i="19"/>
  <c r="AT79" i="19" s="1"/>
  <c r="AZ77" i="19"/>
  <c r="AY77" i="19"/>
  <c r="AX77" i="19"/>
  <c r="AR77" i="19"/>
  <c r="AT77" i="19" s="1"/>
  <c r="AZ76" i="19"/>
  <c r="AY76" i="19"/>
  <c r="AX76" i="19"/>
  <c r="AR76" i="19"/>
  <c r="AT76" i="19" s="1"/>
  <c r="AS76" i="19" s="1"/>
  <c r="AZ75" i="19"/>
  <c r="AY75" i="19"/>
  <c r="AX75" i="19"/>
  <c r="AR75" i="19"/>
  <c r="AT75" i="19" s="1"/>
  <c r="AS75" i="19" s="1"/>
  <c r="AZ73" i="19"/>
  <c r="AY73" i="19"/>
  <c r="AX73" i="19"/>
  <c r="AR73" i="19"/>
  <c r="AT73" i="19" s="1"/>
  <c r="AZ72" i="19"/>
  <c r="AY72" i="19"/>
  <c r="AX72" i="19"/>
  <c r="AR72" i="19"/>
  <c r="AT72" i="19" s="1"/>
  <c r="AZ71" i="19"/>
  <c r="AY71" i="19"/>
  <c r="AX71" i="19"/>
  <c r="AR71" i="19"/>
  <c r="AT71" i="19" s="1"/>
  <c r="AS71" i="19" s="1"/>
  <c r="AZ70" i="19"/>
  <c r="AY70" i="19"/>
  <c r="AX70" i="19"/>
  <c r="AR70" i="19"/>
  <c r="AT70" i="19" s="1"/>
  <c r="AS70" i="19" s="1"/>
  <c r="AZ68" i="19"/>
  <c r="AY68" i="19"/>
  <c r="AX68" i="19"/>
  <c r="AR68" i="19"/>
  <c r="AT68" i="19" s="1"/>
  <c r="AZ67" i="19"/>
  <c r="AY67" i="19"/>
  <c r="AX67" i="19"/>
  <c r="AR67" i="19"/>
  <c r="AT67" i="19" s="1"/>
  <c r="AZ66" i="19"/>
  <c r="AY66" i="19"/>
  <c r="AX66" i="19"/>
  <c r="AR66" i="19"/>
  <c r="AT66" i="19" s="1"/>
  <c r="AZ65" i="19"/>
  <c r="AY65" i="19"/>
  <c r="AX65" i="19"/>
  <c r="AR65" i="19"/>
  <c r="AT65" i="19" s="1"/>
  <c r="AZ64" i="19"/>
  <c r="AY64" i="19"/>
  <c r="AX64" i="19"/>
  <c r="AR64" i="19"/>
  <c r="AT64" i="19" s="1"/>
  <c r="AZ63" i="19"/>
  <c r="AY63" i="19"/>
  <c r="AX63" i="19"/>
  <c r="AR63" i="19"/>
  <c r="AT63" i="19" s="1"/>
  <c r="AS63" i="19" s="1"/>
  <c r="AZ62" i="19"/>
  <c r="AY62" i="19"/>
  <c r="AX62" i="19"/>
  <c r="AR62" i="19"/>
  <c r="AT62" i="19" s="1"/>
  <c r="AZ61" i="19"/>
  <c r="AY61" i="19"/>
  <c r="AX61" i="19"/>
  <c r="AR61" i="19"/>
  <c r="AT61" i="19" s="1"/>
  <c r="AZ60" i="19"/>
  <c r="AY60" i="19"/>
  <c r="AX60" i="19"/>
  <c r="AR60" i="19"/>
  <c r="AT60" i="19" s="1"/>
  <c r="AZ59" i="19"/>
  <c r="AY59" i="19"/>
  <c r="AX59" i="19"/>
  <c r="AR59" i="19"/>
  <c r="AT59" i="19" s="1"/>
  <c r="AS59" i="19" s="1"/>
  <c r="AZ58" i="19"/>
  <c r="AY58" i="19"/>
  <c r="AX58" i="19"/>
  <c r="AR58" i="19"/>
  <c r="AT58" i="19" s="1"/>
  <c r="AZ57" i="19"/>
  <c r="AY57" i="19"/>
  <c r="AX57" i="19"/>
  <c r="AR57" i="19"/>
  <c r="AT57" i="19" s="1"/>
  <c r="AS57" i="19" s="1"/>
  <c r="AZ55" i="19"/>
  <c r="AY55" i="19"/>
  <c r="AX55" i="19"/>
  <c r="AR55" i="19"/>
  <c r="AT55" i="19" s="1"/>
  <c r="AS55" i="19" s="1"/>
  <c r="AZ54" i="19"/>
  <c r="AY54" i="19"/>
  <c r="AX54" i="19"/>
  <c r="AR54" i="19"/>
  <c r="AT54" i="19" s="1"/>
  <c r="AS54" i="19" s="1"/>
  <c r="AZ53" i="19"/>
  <c r="AY53" i="19"/>
  <c r="AX53" i="19"/>
  <c r="AR53" i="19"/>
  <c r="AT53" i="19" s="1"/>
  <c r="AZ52" i="19"/>
  <c r="AY52" i="19"/>
  <c r="AX52" i="19"/>
  <c r="AR52" i="19"/>
  <c r="AT52" i="19" s="1"/>
  <c r="AS52" i="19" s="1"/>
  <c r="AZ51" i="19"/>
  <c r="AY51" i="19"/>
  <c r="AX51" i="19"/>
  <c r="AR51" i="19"/>
  <c r="AT51" i="19" s="1"/>
  <c r="AS51" i="19" s="1"/>
  <c r="AZ50" i="19"/>
  <c r="AY50" i="19"/>
  <c r="AX50" i="19"/>
  <c r="AR50" i="19"/>
  <c r="AT50" i="19" s="1"/>
  <c r="AS50" i="19" s="1"/>
  <c r="AZ49" i="19"/>
  <c r="AY49" i="19"/>
  <c r="AX49" i="19"/>
  <c r="AR49" i="19"/>
  <c r="AT49" i="19" s="1"/>
  <c r="AZ48" i="19"/>
  <c r="AY48" i="19"/>
  <c r="AX48" i="19"/>
  <c r="AR48" i="19"/>
  <c r="AT48" i="19" s="1"/>
  <c r="AS48" i="19" s="1"/>
  <c r="AZ47" i="19"/>
  <c r="AY47" i="19"/>
  <c r="AX47" i="19"/>
  <c r="AR47" i="19"/>
  <c r="AT47" i="19" s="1"/>
  <c r="AS47" i="19" s="1"/>
  <c r="AZ46" i="19"/>
  <c r="AY46" i="19"/>
  <c r="AX46" i="19"/>
  <c r="AR46" i="19"/>
  <c r="AT46" i="19" s="1"/>
  <c r="AS46" i="19" s="1"/>
  <c r="AZ45" i="19"/>
  <c r="AY45" i="19"/>
  <c r="AX45" i="19"/>
  <c r="AR45" i="19"/>
  <c r="AT45" i="19" s="1"/>
  <c r="AZ44" i="19"/>
  <c r="AY44" i="19"/>
  <c r="AX44" i="19"/>
  <c r="AR44" i="19"/>
  <c r="AT44" i="19" s="1"/>
  <c r="AS44" i="19" s="1"/>
  <c r="AZ43" i="19"/>
  <c r="AY43" i="19"/>
  <c r="AX43" i="19"/>
  <c r="AR43" i="19"/>
  <c r="AT43" i="19" s="1"/>
  <c r="AS43" i="19" s="1"/>
  <c r="AZ42" i="19"/>
  <c r="AY42" i="19"/>
  <c r="AX42" i="19"/>
  <c r="AR42" i="19"/>
  <c r="AT42" i="19" s="1"/>
  <c r="AS42" i="19" s="1"/>
  <c r="AZ41" i="19"/>
  <c r="AY41" i="19"/>
  <c r="AX41" i="19"/>
  <c r="AR41" i="19"/>
  <c r="AT41" i="19" s="1"/>
  <c r="AZ40" i="19"/>
  <c r="AY40" i="19"/>
  <c r="AX40" i="19"/>
  <c r="AR40" i="19"/>
  <c r="AT40" i="19" s="1"/>
  <c r="AS40" i="19" s="1"/>
  <c r="AZ39" i="19"/>
  <c r="AY39" i="19"/>
  <c r="AX39" i="19"/>
  <c r="AR39" i="19"/>
  <c r="AT39" i="19" s="1"/>
  <c r="AZ38" i="19"/>
  <c r="AY38" i="19"/>
  <c r="AX38" i="19"/>
  <c r="AR38" i="19"/>
  <c r="AT38" i="19" s="1"/>
  <c r="AS38" i="19" s="1"/>
  <c r="AZ37" i="19"/>
  <c r="AY37" i="19"/>
  <c r="AX37" i="19"/>
  <c r="AR37" i="19"/>
  <c r="AT37" i="19" s="1"/>
  <c r="AZ36" i="19"/>
  <c r="AY36" i="19"/>
  <c r="AX36" i="19"/>
  <c r="AR36" i="19"/>
  <c r="AT36" i="19" s="1"/>
  <c r="AS36" i="19" s="1"/>
  <c r="AZ35" i="19"/>
  <c r="AY35" i="19"/>
  <c r="AX35" i="19"/>
  <c r="AR35" i="19"/>
  <c r="AT35" i="19" s="1"/>
  <c r="AS35" i="19" s="1"/>
  <c r="AZ34" i="19"/>
  <c r="AY34" i="19"/>
  <c r="AX34" i="19"/>
  <c r="AR34" i="19"/>
  <c r="AT34" i="19" s="1"/>
  <c r="AZ33" i="19"/>
  <c r="AY33" i="19"/>
  <c r="AX33" i="19"/>
  <c r="AR33" i="19"/>
  <c r="AT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S28" i="19" s="1"/>
  <c r="AZ27" i="19"/>
  <c r="AY27" i="19"/>
  <c r="AX27" i="19"/>
  <c r="AR27" i="19"/>
  <c r="AT27" i="19" s="1"/>
  <c r="AZ26" i="19"/>
  <c r="AY26" i="19"/>
  <c r="AX26" i="19"/>
  <c r="AR26" i="19"/>
  <c r="AT26" i="19" s="1"/>
  <c r="AZ25" i="19"/>
  <c r="AY25" i="19"/>
  <c r="AX25" i="19"/>
  <c r="AR25" i="19"/>
  <c r="AT25" i="19" s="1"/>
  <c r="AZ24" i="19"/>
  <c r="AY24" i="19"/>
  <c r="AX24" i="19"/>
  <c r="AR24" i="19"/>
  <c r="AT24" i="19" s="1"/>
  <c r="AS24" i="19" s="1"/>
  <c r="X1188" i="19"/>
  <c r="X1187" i="19"/>
  <c r="X1186" i="19"/>
  <c r="X1185" i="19"/>
  <c r="X1184" i="19"/>
  <c r="X1183" i="19"/>
  <c r="X1182" i="19"/>
  <c r="X1181" i="19"/>
  <c r="X1180" i="19"/>
  <c r="X1179" i="19"/>
  <c r="X1178" i="19"/>
  <c r="X1177" i="19"/>
  <c r="X1176" i="19"/>
  <c r="X1175" i="19"/>
  <c r="X1174" i="19"/>
  <c r="X1173" i="19"/>
  <c r="X1172" i="19"/>
  <c r="X1171" i="19"/>
  <c r="X1170" i="19"/>
  <c r="X1169" i="19"/>
  <c r="X1168" i="19"/>
  <c r="X1167" i="19"/>
  <c r="X1166" i="19"/>
  <c r="X1165" i="19"/>
  <c r="X1164" i="19"/>
  <c r="X1163" i="19"/>
  <c r="X1162" i="19"/>
  <c r="X1161" i="19"/>
  <c r="X1160" i="19"/>
  <c r="X1159" i="19"/>
  <c r="X1158" i="19"/>
  <c r="X1157" i="19"/>
  <c r="X1156" i="19"/>
  <c r="X1155" i="19"/>
  <c r="X1154" i="19"/>
  <c r="X1153" i="19"/>
  <c r="X1152" i="19"/>
  <c r="X1151" i="19"/>
  <c r="X1150" i="19"/>
  <c r="X1149" i="19"/>
  <c r="X1148" i="19"/>
  <c r="X1147" i="19"/>
  <c r="X1146" i="19"/>
  <c r="X1145" i="19"/>
  <c r="X1144" i="19"/>
  <c r="X1143" i="19"/>
  <c r="X1142" i="19"/>
  <c r="X1141" i="19"/>
  <c r="X1140" i="19"/>
  <c r="X1139" i="19"/>
  <c r="X1138" i="19"/>
  <c r="X1137" i="19"/>
  <c r="X1136" i="19"/>
  <c r="X1135" i="19"/>
  <c r="X1134" i="19"/>
  <c r="X1133" i="19"/>
  <c r="X1132" i="19"/>
  <c r="X1131" i="19"/>
  <c r="X1130" i="19"/>
  <c r="X1129" i="19"/>
  <c r="X1128" i="19"/>
  <c r="X1126" i="19"/>
  <c r="X1124" i="19"/>
  <c r="X1123" i="19"/>
  <c r="X1121" i="19"/>
  <c r="X1119" i="19"/>
  <c r="X1117" i="19"/>
  <c r="X1115" i="19"/>
  <c r="X1113" i="19"/>
  <c r="X1111" i="19"/>
  <c r="X1109" i="19"/>
  <c r="X1107" i="19"/>
  <c r="X1105" i="19"/>
  <c r="X1104" i="19"/>
  <c r="X1102" i="19"/>
  <c r="X1100" i="19"/>
  <c r="X1098" i="19"/>
  <c r="X1096" i="19"/>
  <c r="X1095" i="19"/>
  <c r="X1093" i="19"/>
  <c r="X1091" i="19"/>
  <c r="X1090" i="19"/>
  <c r="X1088" i="19"/>
  <c r="X1086" i="19"/>
  <c r="X1084" i="19"/>
  <c r="X1082" i="19"/>
  <c r="X1080" i="19"/>
  <c r="X1079" i="19"/>
  <c r="X1077" i="19"/>
  <c r="X1075" i="19"/>
  <c r="X1072" i="19"/>
  <c r="X1071" i="19"/>
  <c r="X1070" i="19"/>
  <c r="X1069" i="19"/>
  <c r="X1068" i="19"/>
  <c r="X1066" i="19"/>
  <c r="X1065" i="19"/>
  <c r="X1064" i="19"/>
  <c r="X1063" i="19"/>
  <c r="X1061" i="19"/>
  <c r="X1060" i="19"/>
  <c r="X1059" i="19"/>
  <c r="X1058" i="19"/>
  <c r="X1057" i="19"/>
  <c r="X1055" i="19"/>
  <c r="X1054" i="19"/>
  <c r="X1053" i="19"/>
  <c r="X1052" i="19"/>
  <c r="X1050" i="19"/>
  <c r="X1048" i="19"/>
  <c r="X1047" i="19"/>
  <c r="X1046" i="19"/>
  <c r="X1045" i="19"/>
  <c r="X1043" i="19"/>
  <c r="X1042" i="19"/>
  <c r="X1041" i="19"/>
  <c r="X1040" i="19"/>
  <c r="X1039" i="19"/>
  <c r="X1038" i="19"/>
  <c r="X1037" i="19"/>
  <c r="Y1036" i="19"/>
  <c r="X1036" i="19"/>
  <c r="X1035" i="19"/>
  <c r="X1034" i="19"/>
  <c r="X1033" i="19"/>
  <c r="X1032" i="19"/>
  <c r="X1031" i="19"/>
  <c r="X1030" i="19"/>
  <c r="X1029" i="19"/>
  <c r="X1028" i="19"/>
  <c r="X1026" i="19"/>
  <c r="Y1024" i="19"/>
  <c r="X1024" i="19"/>
  <c r="X1023" i="19"/>
  <c r="X1022" i="19"/>
  <c r="X1021" i="19"/>
  <c r="X1020" i="19"/>
  <c r="X1018" i="19"/>
  <c r="X1016" i="19"/>
  <c r="X1015" i="19"/>
  <c r="X1014" i="19"/>
  <c r="X1013" i="19"/>
  <c r="X1012" i="19"/>
  <c r="X1010" i="19"/>
  <c r="X1009" i="19"/>
  <c r="X1008" i="19"/>
  <c r="X1006" i="19"/>
  <c r="X1005" i="19"/>
  <c r="X1004" i="19"/>
  <c r="X1003" i="19"/>
  <c r="X1002" i="19"/>
  <c r="X1001" i="19"/>
  <c r="X1000" i="19"/>
  <c r="X999" i="19"/>
  <c r="X998" i="19"/>
  <c r="X997" i="19"/>
  <c r="X996" i="19"/>
  <c r="X995" i="19"/>
  <c r="X994" i="19"/>
  <c r="X993" i="19"/>
  <c r="X992" i="19"/>
  <c r="X991" i="19"/>
  <c r="X990" i="19"/>
  <c r="X989" i="19"/>
  <c r="X987" i="19"/>
  <c r="X986" i="19"/>
  <c r="X985" i="19"/>
  <c r="X984" i="19"/>
  <c r="X983" i="19"/>
  <c r="X982" i="19"/>
  <c r="X981" i="19"/>
  <c r="X980" i="19"/>
  <c r="X979" i="19"/>
  <c r="X978" i="19"/>
  <c r="X977" i="19"/>
  <c r="X976" i="19"/>
  <c r="X975" i="19"/>
  <c r="X973" i="19"/>
  <c r="X971" i="19"/>
  <c r="X970" i="19"/>
  <c r="X968" i="19"/>
  <c r="X967" i="19"/>
  <c r="X966" i="19"/>
  <c r="X965" i="19"/>
  <c r="X964" i="19"/>
  <c r="X963" i="19"/>
  <c r="X962" i="19"/>
  <c r="X961" i="19"/>
  <c r="X959" i="19"/>
  <c r="X958" i="19"/>
  <c r="X956" i="19"/>
  <c r="X955" i="19"/>
  <c r="X954" i="19"/>
  <c r="X952" i="19"/>
  <c r="X951" i="19"/>
  <c r="X950" i="19"/>
  <c r="X948" i="19"/>
  <c r="X947" i="19"/>
  <c r="X945" i="19"/>
  <c r="X944" i="19"/>
  <c r="X943" i="19"/>
  <c r="X941" i="19"/>
  <c r="X940" i="19"/>
  <c r="X939" i="19"/>
  <c r="X938" i="19"/>
  <c r="X936" i="19"/>
  <c r="X935" i="19"/>
  <c r="X934" i="19"/>
  <c r="X933" i="19"/>
  <c r="X932" i="19"/>
  <c r="X931" i="19"/>
  <c r="X930" i="19"/>
  <c r="X929" i="19"/>
  <c r="X927" i="19"/>
  <c r="X925" i="19"/>
  <c r="X924" i="19"/>
  <c r="X922" i="19"/>
  <c r="X920" i="19"/>
  <c r="X919" i="19"/>
  <c r="X917" i="19"/>
  <c r="X916" i="19"/>
  <c r="X914" i="19"/>
  <c r="X912" i="19"/>
  <c r="X910" i="19"/>
  <c r="X908" i="19"/>
  <c r="X905" i="19"/>
  <c r="X904" i="19"/>
  <c r="X903" i="19"/>
  <c r="X902" i="19"/>
  <c r="X901" i="19"/>
  <c r="X900" i="19"/>
  <c r="X898" i="19"/>
  <c r="X897" i="19"/>
  <c r="X896" i="19"/>
  <c r="X895" i="19"/>
  <c r="X894" i="19"/>
  <c r="X893" i="19"/>
  <c r="X891" i="19"/>
  <c r="X890" i="19"/>
  <c r="X889" i="19"/>
  <c r="X888" i="19"/>
  <c r="X887" i="19"/>
  <c r="X886" i="19"/>
  <c r="X885" i="19"/>
  <c r="X883" i="19"/>
  <c r="X882" i="19"/>
  <c r="X881" i="19"/>
  <c r="X880" i="19"/>
  <c r="X879" i="19"/>
  <c r="X878" i="19"/>
  <c r="X877" i="19"/>
  <c r="X875" i="19"/>
  <c r="X874" i="19"/>
  <c r="X873" i="19"/>
  <c r="X872" i="19"/>
  <c r="X871" i="19"/>
  <c r="X870" i="19"/>
  <c r="X869" i="19"/>
  <c r="X868" i="19"/>
  <c r="X867" i="19"/>
  <c r="X866" i="19"/>
  <c r="X865" i="19"/>
  <c r="X863" i="19"/>
  <c r="X862" i="19"/>
  <c r="X861" i="19"/>
  <c r="X860" i="19"/>
  <c r="X859" i="19"/>
  <c r="X858" i="19"/>
  <c r="X857" i="19"/>
  <c r="X856" i="19"/>
  <c r="X855" i="19"/>
  <c r="X854" i="19"/>
  <c r="X853" i="19"/>
  <c r="X851" i="19"/>
  <c r="X850" i="19"/>
  <c r="X848" i="19"/>
  <c r="X847" i="19"/>
  <c r="X845" i="19"/>
  <c r="X844" i="19"/>
  <c r="X842" i="19"/>
  <c r="X841" i="19"/>
  <c r="X839" i="19"/>
  <c r="X838" i="19"/>
  <c r="X836" i="19"/>
  <c r="X834" i="19"/>
  <c r="X833" i="19"/>
  <c r="X831" i="19"/>
  <c r="X829" i="19"/>
  <c r="X828" i="19"/>
  <c r="X826" i="19"/>
  <c r="X824" i="19"/>
  <c r="X822" i="19"/>
  <c r="X820" i="19"/>
  <c r="X817" i="19"/>
  <c r="X815" i="19"/>
  <c r="X813" i="19"/>
  <c r="X811" i="19"/>
  <c r="X809" i="19"/>
  <c r="X808" i="19"/>
  <c r="X807" i="19"/>
  <c r="X806" i="19"/>
  <c r="X804" i="19"/>
  <c r="X803" i="19"/>
  <c r="X802" i="19"/>
  <c r="X801" i="19"/>
  <c r="Y799" i="19"/>
  <c r="X799" i="19"/>
  <c r="X797" i="19"/>
  <c r="X796" i="19"/>
  <c r="X794" i="19"/>
  <c r="X793" i="19"/>
  <c r="X791" i="19"/>
  <c r="X789" i="19"/>
  <c r="X788" i="19"/>
  <c r="X787" i="19"/>
  <c r="X785" i="19"/>
  <c r="X784" i="19"/>
  <c r="X782" i="19"/>
  <c r="X781" i="19"/>
  <c r="X780" i="19"/>
  <c r="X779" i="19"/>
  <c r="X778" i="19"/>
  <c r="X777" i="19"/>
  <c r="X776" i="19"/>
  <c r="X775" i="19"/>
  <c r="X774" i="19"/>
  <c r="X773" i="19"/>
  <c r="X772" i="19"/>
  <c r="X771" i="19"/>
  <c r="X770" i="19"/>
  <c r="X769" i="19"/>
  <c r="X767" i="19"/>
  <c r="X766" i="19"/>
  <c r="X765" i="19"/>
  <c r="X764" i="19"/>
  <c r="X763" i="19"/>
  <c r="X762" i="19"/>
  <c r="X761" i="19"/>
  <c r="X760" i="19"/>
  <c r="X759" i="19"/>
  <c r="X758" i="19"/>
  <c r="X757" i="19"/>
  <c r="X756" i="19"/>
  <c r="X755" i="19"/>
  <c r="X754" i="19"/>
  <c r="X753" i="19"/>
  <c r="X752" i="19"/>
  <c r="X751" i="19"/>
  <c r="X750" i="19"/>
  <c r="X748" i="19"/>
  <c r="X747" i="19"/>
  <c r="X746" i="19"/>
  <c r="X745" i="19"/>
  <c r="X744" i="19"/>
  <c r="X743" i="19"/>
  <c r="X742" i="19"/>
  <c r="X741" i="19"/>
  <c r="X740" i="19"/>
  <c r="X739" i="19"/>
  <c r="X737" i="19"/>
  <c r="X736" i="19"/>
  <c r="X735" i="19"/>
  <c r="X734" i="19"/>
  <c r="X733" i="19"/>
  <c r="X732" i="19"/>
  <c r="X731" i="19"/>
  <c r="X730" i="19"/>
  <c r="X729" i="19"/>
  <c r="X728" i="19"/>
  <c r="X727" i="19"/>
  <c r="X725" i="19"/>
  <c r="X724" i="19"/>
  <c r="X722" i="19"/>
  <c r="X720" i="19"/>
  <c r="X719" i="19"/>
  <c r="X717" i="19"/>
  <c r="X716" i="19"/>
  <c r="X715" i="19"/>
  <c r="X714" i="19"/>
  <c r="X712" i="19"/>
  <c r="X711" i="19"/>
  <c r="X710" i="19"/>
  <c r="X709" i="19"/>
  <c r="X708" i="19"/>
  <c r="X707" i="19"/>
  <c r="X705" i="19"/>
  <c r="X704" i="19"/>
  <c r="X703" i="19"/>
  <c r="X702" i="19"/>
  <c r="X700" i="19"/>
  <c r="X699" i="19"/>
  <c r="X698" i="19"/>
  <c r="X697" i="19"/>
  <c r="X696" i="19"/>
  <c r="X695" i="19"/>
  <c r="X694" i="19"/>
  <c r="X693" i="19"/>
  <c r="X692" i="19"/>
  <c r="X691" i="19"/>
  <c r="X690" i="19"/>
  <c r="X688" i="19"/>
  <c r="X686" i="19"/>
  <c r="X685" i="19"/>
  <c r="X684" i="19"/>
  <c r="X683" i="19"/>
  <c r="X681" i="19"/>
  <c r="X680" i="19"/>
  <c r="X679" i="19"/>
  <c r="X677" i="19"/>
  <c r="X675" i="19"/>
  <c r="X674" i="19"/>
  <c r="X673" i="19"/>
  <c r="X672" i="19"/>
  <c r="X671" i="19"/>
  <c r="X670" i="19"/>
  <c r="X668" i="19"/>
  <c r="X667" i="19"/>
  <c r="X666" i="19"/>
  <c r="X665" i="19"/>
  <c r="X664" i="19"/>
  <c r="X662" i="19"/>
  <c r="X661" i="19"/>
  <c r="X660" i="19"/>
  <c r="X659" i="19"/>
  <c r="X658" i="19"/>
  <c r="X657" i="19"/>
  <c r="X655" i="19"/>
  <c r="X653" i="19"/>
  <c r="X652" i="19"/>
  <c r="X651" i="19"/>
  <c r="X650" i="19"/>
  <c r="X649" i="19"/>
  <c r="X648" i="19"/>
  <c r="X647" i="19"/>
  <c r="X645" i="19"/>
  <c r="X644" i="19"/>
  <c r="X643" i="19"/>
  <c r="X642" i="19"/>
  <c r="X641" i="19"/>
  <c r="X640" i="19"/>
  <c r="X638" i="19"/>
  <c r="X637" i="19"/>
  <c r="X636" i="19"/>
  <c r="X635" i="19"/>
  <c r="X634" i="19"/>
  <c r="X633" i="19"/>
  <c r="X632" i="19"/>
  <c r="X630" i="19"/>
  <c r="X629" i="19"/>
  <c r="X628" i="19"/>
  <c r="X626" i="19"/>
  <c r="X625" i="19"/>
  <c r="X624" i="19"/>
  <c r="X622" i="19"/>
  <c r="X621" i="19"/>
  <c r="X620" i="19"/>
  <c r="X619" i="19"/>
  <c r="X618" i="19"/>
  <c r="X617" i="19"/>
  <c r="X615" i="19"/>
  <c r="X614" i="19"/>
  <c r="X613" i="19"/>
  <c r="X612" i="19"/>
  <c r="X611" i="19"/>
  <c r="X610" i="19"/>
  <c r="X609" i="19"/>
  <c r="X607" i="19"/>
  <c r="X606" i="19"/>
  <c r="X605" i="19"/>
  <c r="X604" i="19"/>
  <c r="X603" i="19"/>
  <c r="X601" i="19"/>
  <c r="X600" i="19"/>
  <c r="X598" i="19"/>
  <c r="X597" i="19"/>
  <c r="X596" i="19"/>
  <c r="X595" i="19"/>
  <c r="X593" i="19"/>
  <c r="X591" i="19"/>
  <c r="X590" i="19"/>
  <c r="X589" i="19"/>
  <c r="X587" i="19"/>
  <c r="X586" i="19"/>
  <c r="X585" i="19"/>
  <c r="X583" i="19"/>
  <c r="X582" i="19"/>
  <c r="X581" i="19"/>
  <c r="X579" i="19"/>
  <c r="X578" i="19"/>
  <c r="X577" i="19"/>
  <c r="X575" i="19"/>
  <c r="X573" i="19"/>
  <c r="X572" i="19"/>
  <c r="X571" i="19"/>
  <c r="X569" i="19"/>
  <c r="X567" i="19"/>
  <c r="X566" i="19"/>
  <c r="X565" i="19"/>
  <c r="X564" i="19"/>
  <c r="X563" i="19"/>
  <c r="X561" i="19"/>
  <c r="X560" i="19"/>
  <c r="X559" i="19"/>
  <c r="X557" i="19"/>
  <c r="X556" i="19"/>
  <c r="X555" i="19"/>
  <c r="X554" i="19"/>
  <c r="X552" i="19"/>
  <c r="X551" i="19"/>
  <c r="X550" i="19"/>
  <c r="X549" i="19"/>
  <c r="X548" i="19"/>
  <c r="X547" i="19"/>
  <c r="X546" i="19"/>
  <c r="X544" i="19"/>
  <c r="X543" i="19"/>
  <c r="X542" i="19"/>
  <c r="X541" i="19"/>
  <c r="X540" i="19"/>
  <c r="X539" i="19"/>
  <c r="X538" i="19"/>
  <c r="X537" i="19"/>
  <c r="X535" i="19"/>
  <c r="X534" i="19"/>
  <c r="X533" i="19"/>
  <c r="X532" i="19"/>
  <c r="X531" i="19"/>
  <c r="X530" i="19"/>
  <c r="X529" i="19"/>
  <c r="X528" i="19"/>
  <c r="X526" i="19"/>
  <c r="X525" i="19"/>
  <c r="X524" i="19"/>
  <c r="X523" i="19"/>
  <c r="X522" i="19"/>
  <c r="X521" i="19"/>
  <c r="X520" i="19"/>
  <c r="X519" i="19"/>
  <c r="X518" i="19"/>
  <c r="X516" i="19"/>
  <c r="X515" i="19"/>
  <c r="X514" i="19"/>
  <c r="X513" i="19"/>
  <c r="X512" i="19"/>
  <c r="X511" i="19"/>
  <c r="X510" i="19"/>
  <c r="X509" i="19"/>
  <c r="X508" i="19"/>
  <c r="X507" i="19"/>
  <c r="X505" i="19"/>
  <c r="X504" i="19"/>
  <c r="X503" i="19"/>
  <c r="X502" i="19"/>
  <c r="X501" i="19"/>
  <c r="X500" i="19"/>
  <c r="X499" i="19"/>
  <c r="X498" i="19"/>
  <c r="X497" i="19"/>
  <c r="X496" i="19"/>
  <c r="X494" i="19"/>
  <c r="X493" i="19"/>
  <c r="X492" i="19"/>
  <c r="X490" i="19"/>
  <c r="X489" i="19"/>
  <c r="X488" i="19"/>
  <c r="X487" i="19"/>
  <c r="X485" i="19"/>
  <c r="X484" i="19"/>
  <c r="X482" i="19"/>
  <c r="X481" i="19"/>
  <c r="X480" i="19"/>
  <c r="X478" i="19"/>
  <c r="X477" i="19"/>
  <c r="X475" i="19"/>
  <c r="X474" i="19"/>
  <c r="X473" i="19"/>
  <c r="X472" i="19"/>
  <c r="X470" i="19"/>
  <c r="X469" i="19"/>
  <c r="X468" i="19"/>
  <c r="X467" i="19"/>
  <c r="X465" i="19"/>
  <c r="X464" i="19"/>
  <c r="X463" i="19"/>
  <c r="X461" i="19"/>
  <c r="X460" i="19"/>
  <c r="X458" i="19"/>
  <c r="X457" i="19"/>
  <c r="X456" i="19"/>
  <c r="X454" i="19"/>
  <c r="X453" i="19"/>
  <c r="X451" i="19"/>
  <c r="X450" i="19"/>
  <c r="X449" i="19"/>
  <c r="X448" i="19"/>
  <c r="X446" i="19"/>
  <c r="X444" i="19"/>
  <c r="X443" i="19"/>
  <c r="X442" i="19"/>
  <c r="X441" i="19"/>
  <c r="X439" i="19"/>
  <c r="X438" i="19"/>
  <c r="X437" i="19"/>
  <c r="X435" i="19"/>
  <c r="X434" i="19"/>
  <c r="X433" i="19"/>
  <c r="X432" i="19"/>
  <c r="X431" i="19"/>
  <c r="X430" i="19"/>
  <c r="X428" i="19"/>
  <c r="X427" i="19"/>
  <c r="X426" i="19"/>
  <c r="X424" i="19"/>
  <c r="X423" i="19"/>
  <c r="X422" i="19"/>
  <c r="X421" i="19"/>
  <c r="X420" i="19"/>
  <c r="X419" i="19"/>
  <c r="X418" i="19"/>
  <c r="X417" i="19"/>
  <c r="X416" i="19"/>
  <c r="X415" i="19"/>
  <c r="X413" i="19"/>
  <c r="X412" i="19"/>
  <c r="X410" i="19"/>
  <c r="X409" i="19"/>
  <c r="X408" i="19"/>
  <c r="X407" i="19"/>
  <c r="X405" i="19"/>
  <c r="X404" i="19"/>
  <c r="X403" i="19"/>
  <c r="X402" i="19"/>
  <c r="X401" i="19"/>
  <c r="X400" i="19"/>
  <c r="X399" i="19"/>
  <c r="X398" i="19"/>
  <c r="X396" i="19"/>
  <c r="X395" i="19"/>
  <c r="X393" i="19"/>
  <c r="X391" i="19"/>
  <c r="X389" i="19"/>
  <c r="X387" i="19"/>
  <c r="X385" i="19"/>
  <c r="X384" i="19"/>
  <c r="X383" i="19"/>
  <c r="X382" i="19"/>
  <c r="X380" i="19"/>
  <c r="X379" i="19"/>
  <c r="X377" i="19"/>
  <c r="X376" i="19"/>
  <c r="X375" i="19"/>
  <c r="X374" i="19"/>
  <c r="X373" i="19"/>
  <c r="X372" i="19"/>
  <c r="X371" i="19"/>
  <c r="X370" i="19"/>
  <c r="X369" i="19"/>
  <c r="X368" i="19"/>
  <c r="X367" i="19"/>
  <c r="X366" i="19"/>
  <c r="X365" i="19"/>
  <c r="X364" i="19"/>
  <c r="X362" i="19"/>
  <c r="X361" i="19"/>
  <c r="X360" i="19"/>
  <c r="X359" i="19"/>
  <c r="X358" i="19"/>
  <c r="X357" i="19"/>
  <c r="X356" i="19"/>
  <c r="X355" i="19"/>
  <c r="X354" i="19"/>
  <c r="X353" i="19"/>
  <c r="X352" i="19"/>
  <c r="X351" i="19"/>
  <c r="X350" i="19"/>
  <c r="X349" i="19"/>
  <c r="X348" i="19"/>
  <c r="X347" i="19"/>
  <c r="X346" i="19"/>
  <c r="X345" i="19"/>
  <c r="X344" i="19"/>
  <c r="X343" i="19"/>
  <c r="X342" i="19"/>
  <c r="X341" i="19"/>
  <c r="X340" i="19"/>
  <c r="X339" i="19"/>
  <c r="X338" i="19"/>
  <c r="X337" i="19"/>
  <c r="X335" i="19"/>
  <c r="X334" i="19"/>
  <c r="X333" i="19"/>
  <c r="X332" i="19"/>
  <c r="X331" i="19"/>
  <c r="X329" i="19"/>
  <c r="X328" i="19"/>
  <c r="X327" i="19"/>
  <c r="X326" i="19"/>
  <c r="X325" i="19"/>
  <c r="X324" i="19"/>
  <c r="X323" i="19"/>
  <c r="X322" i="19"/>
  <c r="X321" i="19"/>
  <c r="X320" i="19"/>
  <c r="X319" i="19"/>
  <c r="X318" i="19"/>
  <c r="X317" i="19"/>
  <c r="X315" i="19"/>
  <c r="X314" i="19"/>
  <c r="X313" i="19"/>
  <c r="X312" i="19"/>
  <c r="X311" i="19"/>
  <c r="X310" i="19"/>
  <c r="X309" i="19"/>
  <c r="X308" i="19"/>
  <c r="X307" i="19"/>
  <c r="X306" i="19"/>
  <c r="X305" i="19"/>
  <c r="X304" i="19"/>
  <c r="X303" i="19"/>
  <c r="X302" i="19"/>
  <c r="X301" i="19"/>
  <c r="X300" i="19"/>
  <c r="X298" i="19"/>
  <c r="X297" i="19"/>
  <c r="X296" i="19"/>
  <c r="X295" i="19"/>
  <c r="X294" i="19"/>
  <c r="X293" i="19"/>
  <c r="X292" i="19"/>
  <c r="X291" i="19"/>
  <c r="X290" i="19"/>
  <c r="X289" i="19"/>
  <c r="X288" i="19"/>
  <c r="X287" i="19"/>
  <c r="X282" i="19"/>
  <c r="X280" i="19"/>
  <c r="X279" i="19"/>
  <c r="X278" i="19"/>
  <c r="X277" i="19"/>
  <c r="X276" i="19"/>
  <c r="X275" i="19"/>
  <c r="X274" i="19"/>
  <c r="X273" i="19"/>
  <c r="X272" i="19"/>
  <c r="X271" i="19"/>
  <c r="X270" i="19"/>
  <c r="X269" i="19"/>
  <c r="X268" i="19"/>
  <c r="X267" i="19"/>
  <c r="X266" i="19"/>
  <c r="X265" i="19"/>
  <c r="X263" i="19"/>
  <c r="X262" i="19"/>
  <c r="X261" i="19"/>
  <c r="X260" i="19"/>
  <c r="X259" i="19"/>
  <c r="X258" i="19"/>
  <c r="X257" i="19"/>
  <c r="X256" i="19"/>
  <c r="X254" i="19"/>
  <c r="X253" i="19"/>
  <c r="X252" i="19"/>
  <c r="X251" i="19"/>
  <c r="X249" i="19"/>
  <c r="X248" i="19"/>
  <c r="X247" i="19"/>
  <c r="X246" i="19"/>
  <c r="X245" i="19"/>
  <c r="X244" i="19"/>
  <c r="X242" i="19"/>
  <c r="X240" i="19"/>
  <c r="X238" i="19"/>
  <c r="X236" i="19"/>
  <c r="X235" i="19"/>
  <c r="X234" i="19"/>
  <c r="X233" i="19"/>
  <c r="X231" i="19"/>
  <c r="X230" i="19"/>
  <c r="X229" i="19"/>
  <c r="X227" i="19"/>
  <c r="X225" i="19"/>
  <c r="X224" i="19"/>
  <c r="X223" i="19"/>
  <c r="X221" i="19"/>
  <c r="X220" i="19"/>
  <c r="X219" i="19"/>
  <c r="X218" i="19"/>
  <c r="X217" i="19"/>
  <c r="X216" i="19"/>
  <c r="X214" i="19"/>
  <c r="X213" i="19"/>
  <c r="X212" i="19"/>
  <c r="X211" i="19"/>
  <c r="X210" i="19"/>
  <c r="X209" i="19"/>
  <c r="X208" i="19"/>
  <c r="X206" i="19"/>
  <c r="X205" i="19"/>
  <c r="X203" i="19"/>
  <c r="X202" i="19"/>
  <c r="X201" i="19"/>
  <c r="X200" i="19"/>
  <c r="X198" i="19"/>
  <c r="X197" i="19"/>
  <c r="X196" i="19"/>
  <c r="X195" i="19"/>
  <c r="X194" i="19"/>
  <c r="X192" i="19"/>
  <c r="X191" i="19"/>
  <c r="X190" i="19"/>
  <c r="X189" i="19"/>
  <c r="X188" i="19"/>
  <c r="X187" i="19"/>
  <c r="X186" i="19"/>
  <c r="X185" i="19"/>
  <c r="X184" i="19"/>
  <c r="X183" i="19"/>
  <c r="X182" i="19"/>
  <c r="X181" i="19"/>
  <c r="X179" i="19"/>
  <c r="X178" i="19"/>
  <c r="X177" i="19"/>
  <c r="X176" i="19"/>
  <c r="X175" i="19"/>
  <c r="X174" i="19"/>
  <c r="X173" i="19"/>
  <c r="X172" i="19"/>
  <c r="X171" i="19"/>
  <c r="X170" i="19"/>
  <c r="X169" i="19"/>
  <c r="X167" i="19"/>
  <c r="X166" i="19"/>
  <c r="X164" i="19"/>
  <c r="X163" i="19"/>
  <c r="X162" i="19"/>
  <c r="X161" i="19"/>
  <c r="X160" i="19"/>
  <c r="X159" i="19"/>
  <c r="X157" i="19"/>
  <c r="X156" i="19"/>
  <c r="X155" i="19"/>
  <c r="X154" i="19"/>
  <c r="X153" i="19"/>
  <c r="X152" i="19"/>
  <c r="X151" i="19"/>
  <c r="X150" i="19"/>
  <c r="X149" i="19"/>
  <c r="X148" i="19"/>
  <c r="X146" i="19"/>
  <c r="X145" i="19"/>
  <c r="X144" i="19"/>
  <c r="X143" i="19"/>
  <c r="X142" i="19"/>
  <c r="X141" i="19"/>
  <c r="X140" i="19"/>
  <c r="X139" i="19"/>
  <c r="X138" i="19"/>
  <c r="X136" i="19"/>
  <c r="X135" i="19"/>
  <c r="X134" i="19"/>
  <c r="X133" i="19"/>
  <c r="X132" i="19"/>
  <c r="X131" i="19"/>
  <c r="X130" i="19"/>
  <c r="X129" i="19"/>
  <c r="X127" i="19"/>
  <c r="X126" i="19"/>
  <c r="X125" i="19"/>
  <c r="X124" i="19"/>
  <c r="X123" i="19"/>
  <c r="X122" i="19"/>
  <c r="X121" i="19"/>
  <c r="X120" i="19"/>
  <c r="X119" i="19"/>
  <c r="X117" i="19"/>
  <c r="X116" i="19"/>
  <c r="X115" i="19"/>
  <c r="X114" i="19"/>
  <c r="X113" i="19"/>
  <c r="X112" i="19"/>
  <c r="X111" i="19"/>
  <c r="X110" i="19"/>
  <c r="X109" i="19"/>
  <c r="X108" i="19"/>
  <c r="X107" i="19"/>
  <c r="X106" i="19"/>
  <c r="X105" i="19"/>
  <c r="X104" i="19"/>
  <c r="X103" i="19"/>
  <c r="X102" i="19"/>
  <c r="X101" i="19"/>
  <c r="X100" i="19"/>
  <c r="X99" i="19"/>
  <c r="X98" i="19"/>
  <c r="X97" i="19"/>
  <c r="X95" i="19"/>
  <c r="X94" i="19"/>
  <c r="X93" i="19"/>
  <c r="X92" i="19"/>
  <c r="X91" i="19"/>
  <c r="X90" i="19"/>
  <c r="X89" i="19"/>
  <c r="X87" i="19"/>
  <c r="X86" i="19"/>
  <c r="X85" i="19"/>
  <c r="X84" i="19"/>
  <c r="X83" i="19"/>
  <c r="X82" i="19"/>
  <c r="X81" i="19"/>
  <c r="X80" i="19"/>
  <c r="X79" i="19"/>
  <c r="X77" i="19"/>
  <c r="X76" i="19"/>
  <c r="X75" i="19"/>
  <c r="X73" i="19"/>
  <c r="X72" i="19"/>
  <c r="X71" i="19"/>
  <c r="X70" i="19"/>
  <c r="X68" i="19"/>
  <c r="X67" i="19"/>
  <c r="X66" i="19"/>
  <c r="X65" i="19"/>
  <c r="X64" i="19"/>
  <c r="X63" i="19"/>
  <c r="X62" i="19"/>
  <c r="X61" i="19"/>
  <c r="X60" i="19"/>
  <c r="X59" i="19"/>
  <c r="X58" i="19"/>
  <c r="X57"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P1188" i="19"/>
  <c r="O1188" i="19"/>
  <c r="N1188" i="19"/>
  <c r="P1187" i="19"/>
  <c r="O1187" i="19"/>
  <c r="N1187" i="19"/>
  <c r="P1186" i="19"/>
  <c r="O1186" i="19"/>
  <c r="N1186" i="19"/>
  <c r="P1185" i="19"/>
  <c r="O1185" i="19"/>
  <c r="N1185" i="19"/>
  <c r="P1184" i="19"/>
  <c r="O1184" i="19"/>
  <c r="N1184" i="19"/>
  <c r="P1183" i="19"/>
  <c r="O1183" i="19"/>
  <c r="N1183" i="19"/>
  <c r="P1182" i="19"/>
  <c r="O1182" i="19"/>
  <c r="N1182" i="19"/>
  <c r="P1181" i="19"/>
  <c r="O1181" i="19"/>
  <c r="N1181" i="19"/>
  <c r="P1180" i="19"/>
  <c r="O1180" i="19"/>
  <c r="N1180" i="19"/>
  <c r="P1179" i="19"/>
  <c r="O1179" i="19"/>
  <c r="N1179" i="19"/>
  <c r="P1178" i="19"/>
  <c r="O1178" i="19"/>
  <c r="N1178" i="19"/>
  <c r="P1177" i="19"/>
  <c r="O1177" i="19"/>
  <c r="N1177" i="19"/>
  <c r="P1176" i="19"/>
  <c r="O1176" i="19"/>
  <c r="N1176" i="19"/>
  <c r="P1175" i="19"/>
  <c r="O1175" i="19"/>
  <c r="N1175" i="19"/>
  <c r="P1174" i="19"/>
  <c r="O1174" i="19"/>
  <c r="N1174" i="19"/>
  <c r="P1173" i="19"/>
  <c r="O1173" i="19"/>
  <c r="N1173" i="19"/>
  <c r="P1172" i="19"/>
  <c r="O1172" i="19"/>
  <c r="N1172" i="19"/>
  <c r="P1171" i="19"/>
  <c r="O1171" i="19"/>
  <c r="N1171" i="19"/>
  <c r="P1170" i="19"/>
  <c r="O1170" i="19"/>
  <c r="N1170" i="19"/>
  <c r="P1169" i="19"/>
  <c r="O1169" i="19"/>
  <c r="N1169" i="19"/>
  <c r="P1168" i="19"/>
  <c r="O1168" i="19"/>
  <c r="N1168" i="19"/>
  <c r="P1167" i="19"/>
  <c r="O1167" i="19"/>
  <c r="N1167" i="19"/>
  <c r="P1166" i="19"/>
  <c r="O1166" i="19"/>
  <c r="N1166" i="19"/>
  <c r="P1165" i="19"/>
  <c r="O1165" i="19"/>
  <c r="N1165" i="19"/>
  <c r="P1164" i="19"/>
  <c r="O1164" i="19"/>
  <c r="N1164" i="19"/>
  <c r="P1163" i="19"/>
  <c r="O1163" i="19"/>
  <c r="N1163" i="19"/>
  <c r="P1162" i="19"/>
  <c r="O1162" i="19"/>
  <c r="N1162" i="19"/>
  <c r="P1161" i="19"/>
  <c r="O1161" i="19"/>
  <c r="N1161" i="19"/>
  <c r="P1160" i="19"/>
  <c r="O1160" i="19"/>
  <c r="N1160" i="19"/>
  <c r="P1159" i="19"/>
  <c r="O1159" i="19"/>
  <c r="N1159" i="19"/>
  <c r="P1158" i="19"/>
  <c r="O1158" i="19"/>
  <c r="N1158" i="19"/>
  <c r="P1157" i="19"/>
  <c r="O1157" i="19"/>
  <c r="N1157" i="19"/>
  <c r="P1156" i="19"/>
  <c r="O1156" i="19"/>
  <c r="N1156" i="19"/>
  <c r="P1155" i="19"/>
  <c r="O1155" i="19"/>
  <c r="N1155" i="19"/>
  <c r="P1154" i="19"/>
  <c r="O1154" i="19"/>
  <c r="N1154" i="19"/>
  <c r="P1153" i="19"/>
  <c r="O1153" i="19"/>
  <c r="N1153" i="19"/>
  <c r="P1152" i="19"/>
  <c r="O1152" i="19"/>
  <c r="N1152" i="19"/>
  <c r="P1151" i="19"/>
  <c r="O1151" i="19"/>
  <c r="N1151" i="19"/>
  <c r="P1150" i="19"/>
  <c r="O1150" i="19"/>
  <c r="N1150" i="19"/>
  <c r="P1149" i="19"/>
  <c r="O1149" i="19"/>
  <c r="N1149" i="19"/>
  <c r="P1148" i="19"/>
  <c r="O1148" i="19"/>
  <c r="N1148" i="19"/>
  <c r="P1147" i="19"/>
  <c r="O1147" i="19"/>
  <c r="N1147" i="19"/>
  <c r="P1146" i="19"/>
  <c r="O1146" i="19"/>
  <c r="N1146" i="19"/>
  <c r="P1145" i="19"/>
  <c r="O1145" i="19"/>
  <c r="N1145" i="19"/>
  <c r="P1144" i="19"/>
  <c r="O1144" i="19"/>
  <c r="N1144" i="19"/>
  <c r="P1143" i="19"/>
  <c r="O1143" i="19"/>
  <c r="N1143" i="19"/>
  <c r="P1142" i="19"/>
  <c r="O1142" i="19"/>
  <c r="N1142" i="19"/>
  <c r="P1141" i="19"/>
  <c r="O1141" i="19"/>
  <c r="N1141" i="19"/>
  <c r="P1140" i="19"/>
  <c r="O1140" i="19"/>
  <c r="N1140" i="19"/>
  <c r="P1139" i="19"/>
  <c r="O1139" i="19"/>
  <c r="N1139" i="19"/>
  <c r="P1138" i="19"/>
  <c r="O1138" i="19"/>
  <c r="N1138" i="19"/>
  <c r="P1137" i="19"/>
  <c r="O1137" i="19"/>
  <c r="N1137" i="19"/>
  <c r="P1136" i="19"/>
  <c r="O1136" i="19"/>
  <c r="N1136" i="19"/>
  <c r="P1135" i="19"/>
  <c r="O1135" i="19"/>
  <c r="N1135" i="19"/>
  <c r="P1134" i="19"/>
  <c r="O1134" i="19"/>
  <c r="N1134" i="19"/>
  <c r="P1133" i="19"/>
  <c r="O1133" i="19"/>
  <c r="N1133" i="19"/>
  <c r="P1132" i="19"/>
  <c r="O1132" i="19"/>
  <c r="N1132" i="19"/>
  <c r="P1131" i="19"/>
  <c r="O1131" i="19"/>
  <c r="N1131" i="19"/>
  <c r="P1130" i="19"/>
  <c r="O1130" i="19"/>
  <c r="N1130" i="19"/>
  <c r="P1129" i="19"/>
  <c r="O1129" i="19"/>
  <c r="N1129" i="19"/>
  <c r="P1128" i="19"/>
  <c r="O1128" i="19"/>
  <c r="N1128" i="19"/>
  <c r="P1126" i="19"/>
  <c r="O1126" i="19"/>
  <c r="N1126" i="19"/>
  <c r="P1124" i="19"/>
  <c r="O1124" i="19"/>
  <c r="N1124" i="19"/>
  <c r="P1123" i="19"/>
  <c r="O1123" i="19"/>
  <c r="N1123" i="19"/>
  <c r="P1121" i="19"/>
  <c r="O1121" i="19"/>
  <c r="N1121" i="19"/>
  <c r="P1119" i="19"/>
  <c r="O1119" i="19"/>
  <c r="N1119" i="19"/>
  <c r="P1117" i="19"/>
  <c r="O1117" i="19"/>
  <c r="N1117" i="19"/>
  <c r="P1115" i="19"/>
  <c r="O1115" i="19"/>
  <c r="N1115" i="19"/>
  <c r="P1113" i="19"/>
  <c r="O1113" i="19"/>
  <c r="N1113" i="19"/>
  <c r="P1111" i="19"/>
  <c r="O1111" i="19"/>
  <c r="N1111" i="19"/>
  <c r="P1109" i="19"/>
  <c r="O1109" i="19"/>
  <c r="N1109" i="19"/>
  <c r="P1107" i="19"/>
  <c r="O1107" i="19"/>
  <c r="N1107" i="19"/>
  <c r="P1105" i="19"/>
  <c r="O1105" i="19"/>
  <c r="N1105" i="19"/>
  <c r="P1104" i="19"/>
  <c r="O1104" i="19"/>
  <c r="N1104" i="19"/>
  <c r="P1102" i="19"/>
  <c r="O1102" i="19"/>
  <c r="N1102" i="19"/>
  <c r="P1100" i="19"/>
  <c r="O1100" i="19"/>
  <c r="N1100" i="19"/>
  <c r="P1098" i="19"/>
  <c r="O1098" i="19"/>
  <c r="N1098" i="19"/>
  <c r="P1096" i="19"/>
  <c r="O1096" i="19"/>
  <c r="N1096" i="19"/>
  <c r="P1095" i="19"/>
  <c r="O1095" i="19"/>
  <c r="N1095" i="19"/>
  <c r="P1093" i="19"/>
  <c r="O1093" i="19"/>
  <c r="N1093" i="19"/>
  <c r="P1091" i="19"/>
  <c r="O1091" i="19"/>
  <c r="N1091" i="19"/>
  <c r="P1090" i="19"/>
  <c r="O1090" i="19"/>
  <c r="N1090" i="19"/>
  <c r="P1088" i="19"/>
  <c r="O1088" i="19"/>
  <c r="N1088" i="19"/>
  <c r="P1086" i="19"/>
  <c r="O1086" i="19"/>
  <c r="N1086" i="19"/>
  <c r="P1084" i="19"/>
  <c r="O1084" i="19"/>
  <c r="N1084" i="19"/>
  <c r="P1082" i="19"/>
  <c r="O1082" i="19"/>
  <c r="N1082" i="19"/>
  <c r="P1080" i="19"/>
  <c r="O1080" i="19"/>
  <c r="N1080" i="19"/>
  <c r="P1079" i="19"/>
  <c r="O1079" i="19"/>
  <c r="N1079" i="19"/>
  <c r="P1077" i="19"/>
  <c r="O1077" i="19"/>
  <c r="N1077" i="19"/>
  <c r="P1075" i="19"/>
  <c r="O1075" i="19"/>
  <c r="N1075" i="19"/>
  <c r="P1072" i="19"/>
  <c r="O1072" i="19"/>
  <c r="N1072" i="19"/>
  <c r="P1071" i="19"/>
  <c r="O1071" i="19"/>
  <c r="N1071" i="19"/>
  <c r="P1070" i="19"/>
  <c r="O1070" i="19"/>
  <c r="N1070" i="19"/>
  <c r="P1069" i="19"/>
  <c r="O1069" i="19"/>
  <c r="N1069" i="19"/>
  <c r="P1068" i="19"/>
  <c r="O1068" i="19"/>
  <c r="N1068" i="19"/>
  <c r="P1066" i="19"/>
  <c r="O1066" i="19"/>
  <c r="N1066" i="19"/>
  <c r="P1065" i="19"/>
  <c r="O1065" i="19"/>
  <c r="N1065" i="19"/>
  <c r="P1064" i="19"/>
  <c r="O1064" i="19"/>
  <c r="N1064" i="19"/>
  <c r="P1063" i="19"/>
  <c r="O1063" i="19"/>
  <c r="N1063" i="19"/>
  <c r="P1061" i="19"/>
  <c r="O1061" i="19"/>
  <c r="N1061" i="19"/>
  <c r="P1060" i="19"/>
  <c r="O1060" i="19"/>
  <c r="N1060" i="19"/>
  <c r="P1059" i="19"/>
  <c r="O1059" i="19"/>
  <c r="N1059" i="19"/>
  <c r="P1058" i="19"/>
  <c r="O1058" i="19"/>
  <c r="N1058" i="19"/>
  <c r="P1057" i="19"/>
  <c r="O1057" i="19"/>
  <c r="N1057" i="19"/>
  <c r="P1055" i="19"/>
  <c r="O1055" i="19"/>
  <c r="N1055" i="19"/>
  <c r="P1054" i="19"/>
  <c r="O1054" i="19"/>
  <c r="N1054" i="19"/>
  <c r="P1053" i="19"/>
  <c r="O1053" i="19"/>
  <c r="N1053" i="19"/>
  <c r="P1052" i="19"/>
  <c r="O1052" i="19"/>
  <c r="N1052" i="19"/>
  <c r="P1050" i="19"/>
  <c r="O1050" i="19"/>
  <c r="N1050" i="19"/>
  <c r="P1048" i="19"/>
  <c r="O1048" i="19"/>
  <c r="N1048" i="19"/>
  <c r="P1047" i="19"/>
  <c r="O1047" i="19"/>
  <c r="N1047" i="19"/>
  <c r="P1046" i="19"/>
  <c r="O1046" i="19"/>
  <c r="N1046" i="19"/>
  <c r="P1045" i="19"/>
  <c r="O1045" i="19"/>
  <c r="N1045" i="19"/>
  <c r="P1043" i="19"/>
  <c r="O1043" i="19"/>
  <c r="N1043" i="19"/>
  <c r="P1042" i="19"/>
  <c r="O1042" i="19"/>
  <c r="N1042" i="19"/>
  <c r="P1041" i="19"/>
  <c r="O1041" i="19"/>
  <c r="N1041" i="19"/>
  <c r="P1040" i="19"/>
  <c r="O1040" i="19"/>
  <c r="N1040" i="19"/>
  <c r="P1039" i="19"/>
  <c r="O1039" i="19"/>
  <c r="N1039" i="19"/>
  <c r="P1038" i="19"/>
  <c r="O1038" i="19"/>
  <c r="N1038" i="19"/>
  <c r="P1037" i="19"/>
  <c r="O1037" i="19"/>
  <c r="N1037" i="19"/>
  <c r="P1036" i="19"/>
  <c r="O1036" i="19"/>
  <c r="N1036" i="19"/>
  <c r="P1035" i="19"/>
  <c r="O1035" i="19"/>
  <c r="N1035" i="19"/>
  <c r="P1034" i="19"/>
  <c r="O1034" i="19"/>
  <c r="N1034" i="19"/>
  <c r="P1033" i="19"/>
  <c r="O1033" i="19"/>
  <c r="N1033" i="19"/>
  <c r="P1032" i="19"/>
  <c r="O1032" i="19"/>
  <c r="N1032" i="19"/>
  <c r="P1031" i="19"/>
  <c r="O1031" i="19"/>
  <c r="N1031" i="19"/>
  <c r="P1030" i="19"/>
  <c r="O1030" i="19"/>
  <c r="N1030" i="19"/>
  <c r="P1029" i="19"/>
  <c r="O1029" i="19"/>
  <c r="N1029" i="19"/>
  <c r="P1028" i="19"/>
  <c r="O1028" i="19"/>
  <c r="N1028" i="19"/>
  <c r="P1026" i="19"/>
  <c r="O1026" i="19"/>
  <c r="N1026" i="19"/>
  <c r="P1024" i="19"/>
  <c r="O1024" i="19"/>
  <c r="N1024" i="19"/>
  <c r="P1023" i="19"/>
  <c r="O1023" i="19"/>
  <c r="N1023" i="19"/>
  <c r="P1022" i="19"/>
  <c r="O1022" i="19"/>
  <c r="N1022" i="19"/>
  <c r="P1021" i="19"/>
  <c r="O1021" i="19"/>
  <c r="N1021" i="19"/>
  <c r="P1020" i="19"/>
  <c r="O1020" i="19"/>
  <c r="N1020" i="19"/>
  <c r="P1018" i="19"/>
  <c r="O1018" i="19"/>
  <c r="N1018" i="19"/>
  <c r="P1016" i="19"/>
  <c r="O1016" i="19"/>
  <c r="N1016" i="19"/>
  <c r="P1015" i="19"/>
  <c r="O1015" i="19"/>
  <c r="N1015" i="19"/>
  <c r="P1014" i="19"/>
  <c r="O1014" i="19"/>
  <c r="N1014" i="19"/>
  <c r="P1013" i="19"/>
  <c r="O1013" i="19"/>
  <c r="N1013" i="19"/>
  <c r="P1012" i="19"/>
  <c r="O1012" i="19"/>
  <c r="N1012" i="19"/>
  <c r="P1010" i="19"/>
  <c r="O1010" i="19"/>
  <c r="N1010" i="19"/>
  <c r="P1009" i="19"/>
  <c r="O1009" i="19"/>
  <c r="N1009" i="19"/>
  <c r="P1008" i="19"/>
  <c r="O1008" i="19"/>
  <c r="N1008" i="19"/>
  <c r="P1006" i="19"/>
  <c r="O1006" i="19"/>
  <c r="N1006" i="19"/>
  <c r="P1005" i="19"/>
  <c r="O1005" i="19"/>
  <c r="N1005" i="19"/>
  <c r="P1004" i="19"/>
  <c r="O1004" i="19"/>
  <c r="N1004" i="19"/>
  <c r="P1003" i="19"/>
  <c r="O1003" i="19"/>
  <c r="N1003" i="19"/>
  <c r="P1002" i="19"/>
  <c r="O1002" i="19"/>
  <c r="N1002" i="19"/>
  <c r="P1001" i="19"/>
  <c r="O1001" i="19"/>
  <c r="N1001" i="19"/>
  <c r="P1000" i="19"/>
  <c r="O1000" i="19"/>
  <c r="N1000" i="19"/>
  <c r="P999" i="19"/>
  <c r="O999" i="19"/>
  <c r="N999" i="19"/>
  <c r="P998" i="19"/>
  <c r="O998" i="19"/>
  <c r="N998" i="19"/>
  <c r="P997" i="19"/>
  <c r="O997" i="19"/>
  <c r="N997" i="19"/>
  <c r="P996" i="19"/>
  <c r="O996" i="19"/>
  <c r="N996" i="19"/>
  <c r="P995" i="19"/>
  <c r="O995" i="19"/>
  <c r="N995" i="19"/>
  <c r="P994" i="19"/>
  <c r="O994" i="19"/>
  <c r="N994" i="19"/>
  <c r="P993" i="19"/>
  <c r="O993" i="19"/>
  <c r="N993" i="19"/>
  <c r="P992" i="19"/>
  <c r="O992" i="19"/>
  <c r="N992" i="19"/>
  <c r="P991" i="19"/>
  <c r="O991" i="19"/>
  <c r="N991" i="19"/>
  <c r="P990" i="19"/>
  <c r="O990" i="19"/>
  <c r="N990" i="19"/>
  <c r="P989" i="19"/>
  <c r="O989" i="19"/>
  <c r="N989" i="19"/>
  <c r="P987" i="19"/>
  <c r="O987" i="19"/>
  <c r="N987" i="19"/>
  <c r="P986" i="19"/>
  <c r="O986" i="19"/>
  <c r="N986" i="19"/>
  <c r="P985" i="19"/>
  <c r="O985" i="19"/>
  <c r="N985" i="19"/>
  <c r="P984" i="19"/>
  <c r="O984" i="19"/>
  <c r="N984" i="19"/>
  <c r="P983" i="19"/>
  <c r="O983" i="19"/>
  <c r="N983" i="19"/>
  <c r="P982" i="19"/>
  <c r="O982" i="19"/>
  <c r="N982" i="19"/>
  <c r="P981" i="19"/>
  <c r="O981" i="19"/>
  <c r="N981" i="19"/>
  <c r="P980" i="19"/>
  <c r="O980" i="19"/>
  <c r="N980" i="19"/>
  <c r="P979" i="19"/>
  <c r="O979" i="19"/>
  <c r="N979" i="19"/>
  <c r="P978" i="19"/>
  <c r="O978" i="19"/>
  <c r="N978" i="19"/>
  <c r="P977" i="19"/>
  <c r="O977" i="19"/>
  <c r="N977" i="19"/>
  <c r="P976" i="19"/>
  <c r="O976" i="19"/>
  <c r="N976" i="19"/>
  <c r="P975" i="19"/>
  <c r="O975" i="19"/>
  <c r="N975" i="19"/>
  <c r="P973" i="19"/>
  <c r="O973" i="19"/>
  <c r="N973" i="19"/>
  <c r="P971" i="19"/>
  <c r="O971" i="19"/>
  <c r="N971" i="19"/>
  <c r="P970" i="19"/>
  <c r="O970" i="19"/>
  <c r="N970" i="19"/>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59" i="19"/>
  <c r="O959" i="19"/>
  <c r="N959" i="19"/>
  <c r="P958" i="19"/>
  <c r="O958" i="19"/>
  <c r="N958" i="19"/>
  <c r="P956" i="19"/>
  <c r="O956" i="19"/>
  <c r="N956" i="19"/>
  <c r="P955" i="19"/>
  <c r="O955" i="19"/>
  <c r="N955" i="19"/>
  <c r="P954" i="19"/>
  <c r="O954" i="19"/>
  <c r="N954" i="19"/>
  <c r="P952" i="19"/>
  <c r="O952" i="19"/>
  <c r="N952" i="19"/>
  <c r="P951" i="19"/>
  <c r="O951" i="19"/>
  <c r="N951" i="19"/>
  <c r="P950" i="19"/>
  <c r="O950" i="19"/>
  <c r="N950" i="19"/>
  <c r="P948" i="19"/>
  <c r="O948" i="19"/>
  <c r="N948" i="19"/>
  <c r="P947" i="19"/>
  <c r="O947" i="19"/>
  <c r="N947" i="19"/>
  <c r="P945" i="19"/>
  <c r="O945" i="19"/>
  <c r="N945" i="19"/>
  <c r="P944" i="19"/>
  <c r="O944" i="19"/>
  <c r="N944" i="19"/>
  <c r="P943" i="19"/>
  <c r="O943" i="19"/>
  <c r="N943" i="19"/>
  <c r="P941" i="19"/>
  <c r="O941" i="19"/>
  <c r="N941" i="19"/>
  <c r="P940" i="19"/>
  <c r="O940" i="19"/>
  <c r="N940" i="19"/>
  <c r="P939" i="19"/>
  <c r="O939" i="19"/>
  <c r="N939" i="19"/>
  <c r="P938" i="19"/>
  <c r="O938" i="19"/>
  <c r="N938" i="19"/>
  <c r="P936" i="19"/>
  <c r="O936" i="19"/>
  <c r="N936" i="19"/>
  <c r="P935" i="19"/>
  <c r="O935" i="19"/>
  <c r="N935" i="19"/>
  <c r="P934" i="19"/>
  <c r="O934" i="19"/>
  <c r="N934" i="19"/>
  <c r="P933" i="19"/>
  <c r="O933" i="19"/>
  <c r="N933" i="19"/>
  <c r="P932" i="19"/>
  <c r="O932" i="19"/>
  <c r="N932" i="19"/>
  <c r="P931" i="19"/>
  <c r="O931" i="19"/>
  <c r="N931" i="19"/>
  <c r="P930" i="19"/>
  <c r="O930" i="19"/>
  <c r="N930" i="19"/>
  <c r="P929" i="19"/>
  <c r="O929" i="19"/>
  <c r="N929" i="19"/>
  <c r="P927" i="19"/>
  <c r="O927" i="19"/>
  <c r="N927" i="19"/>
  <c r="P925" i="19"/>
  <c r="O925" i="19"/>
  <c r="N925" i="19"/>
  <c r="P924" i="19"/>
  <c r="O924" i="19"/>
  <c r="N924" i="19"/>
  <c r="P922" i="19"/>
  <c r="O922" i="19"/>
  <c r="N922" i="19"/>
  <c r="P920" i="19"/>
  <c r="O920" i="19"/>
  <c r="N920" i="19"/>
  <c r="P919" i="19"/>
  <c r="O919" i="19"/>
  <c r="N919" i="19"/>
  <c r="P917" i="19"/>
  <c r="O917" i="19"/>
  <c r="N917" i="19"/>
  <c r="P916" i="19"/>
  <c r="O916" i="19"/>
  <c r="N916" i="19"/>
  <c r="P914" i="19"/>
  <c r="O914" i="19"/>
  <c r="N914" i="19"/>
  <c r="P912" i="19"/>
  <c r="O912" i="19"/>
  <c r="N912" i="19"/>
  <c r="P910" i="19"/>
  <c r="O910" i="19"/>
  <c r="N910" i="19"/>
  <c r="P908" i="19"/>
  <c r="O908" i="19"/>
  <c r="N908" i="19"/>
  <c r="P905" i="19"/>
  <c r="O905" i="19"/>
  <c r="N905" i="19"/>
  <c r="P904" i="19"/>
  <c r="O904" i="19"/>
  <c r="N904" i="19"/>
  <c r="P903" i="19"/>
  <c r="O903" i="19"/>
  <c r="N903" i="19"/>
  <c r="P902" i="19"/>
  <c r="O902" i="19"/>
  <c r="N902" i="19"/>
  <c r="P901" i="19"/>
  <c r="O901" i="19"/>
  <c r="N901" i="19"/>
  <c r="P900" i="19"/>
  <c r="O900" i="19"/>
  <c r="N900" i="19"/>
  <c r="P898" i="19"/>
  <c r="O898" i="19"/>
  <c r="N898" i="19"/>
  <c r="P897" i="19"/>
  <c r="O897" i="19"/>
  <c r="N897" i="19"/>
  <c r="P896" i="19"/>
  <c r="O896" i="19"/>
  <c r="N896" i="19"/>
  <c r="P895" i="19"/>
  <c r="O895" i="19"/>
  <c r="N895" i="19"/>
  <c r="P894" i="19"/>
  <c r="O894" i="19"/>
  <c r="N894" i="19"/>
  <c r="P893" i="19"/>
  <c r="O893" i="19"/>
  <c r="N893" i="19"/>
  <c r="P891" i="19"/>
  <c r="O891" i="19"/>
  <c r="N891" i="19"/>
  <c r="P890" i="19"/>
  <c r="O890" i="19"/>
  <c r="N890" i="19"/>
  <c r="P889" i="19"/>
  <c r="O889" i="19"/>
  <c r="N889" i="19"/>
  <c r="P888" i="19"/>
  <c r="O888" i="19"/>
  <c r="N888" i="19"/>
  <c r="P887" i="19"/>
  <c r="O887" i="19"/>
  <c r="N887" i="19"/>
  <c r="P886" i="19"/>
  <c r="O886" i="19"/>
  <c r="N886" i="19"/>
  <c r="P885" i="19"/>
  <c r="O885" i="19"/>
  <c r="N885" i="19"/>
  <c r="P883" i="19"/>
  <c r="O883" i="19"/>
  <c r="N883" i="19"/>
  <c r="P882" i="19"/>
  <c r="O882" i="19"/>
  <c r="N882" i="19"/>
  <c r="P881" i="19"/>
  <c r="O881" i="19"/>
  <c r="N881" i="19"/>
  <c r="P880" i="19"/>
  <c r="O880" i="19"/>
  <c r="N880" i="19"/>
  <c r="P879" i="19"/>
  <c r="O879" i="19"/>
  <c r="N879" i="19"/>
  <c r="P878" i="19"/>
  <c r="O878" i="19"/>
  <c r="N878" i="19"/>
  <c r="P877" i="19"/>
  <c r="O877" i="19"/>
  <c r="N877" i="19"/>
  <c r="P875" i="19"/>
  <c r="O875" i="19"/>
  <c r="N875" i="19"/>
  <c r="P874" i="19"/>
  <c r="O874" i="19"/>
  <c r="N874" i="19"/>
  <c r="P873" i="19"/>
  <c r="O873" i="19"/>
  <c r="N873" i="19"/>
  <c r="P872" i="19"/>
  <c r="O872" i="19"/>
  <c r="N872" i="19"/>
  <c r="P871" i="19"/>
  <c r="O871" i="19"/>
  <c r="N871" i="19"/>
  <c r="P870" i="19"/>
  <c r="O870" i="19"/>
  <c r="N870" i="19"/>
  <c r="P869" i="19"/>
  <c r="O869" i="19"/>
  <c r="N869" i="19"/>
  <c r="P868" i="19"/>
  <c r="O868" i="19"/>
  <c r="N868" i="19"/>
  <c r="P867" i="19"/>
  <c r="O867" i="19"/>
  <c r="N867" i="19"/>
  <c r="P866" i="19"/>
  <c r="O866" i="19"/>
  <c r="N866" i="19"/>
  <c r="P865" i="19"/>
  <c r="O865" i="19"/>
  <c r="N865" i="19"/>
  <c r="P863" i="19"/>
  <c r="O863" i="19"/>
  <c r="N863" i="19"/>
  <c r="P862" i="19"/>
  <c r="O862" i="19"/>
  <c r="N862" i="19"/>
  <c r="P861" i="19"/>
  <c r="O861" i="19"/>
  <c r="N861" i="19"/>
  <c r="P860" i="19"/>
  <c r="O860" i="19"/>
  <c r="N860" i="19"/>
  <c r="P859" i="19"/>
  <c r="O859" i="19"/>
  <c r="N859" i="19"/>
  <c r="P858" i="19"/>
  <c r="O858" i="19"/>
  <c r="N858" i="19"/>
  <c r="P857" i="19"/>
  <c r="O857" i="19"/>
  <c r="N857" i="19"/>
  <c r="P856" i="19"/>
  <c r="O856" i="19"/>
  <c r="N856" i="19"/>
  <c r="P855" i="19"/>
  <c r="O855" i="19"/>
  <c r="N855" i="19"/>
  <c r="P854" i="19"/>
  <c r="O854" i="19"/>
  <c r="N854" i="19"/>
  <c r="P853" i="19"/>
  <c r="O853" i="19"/>
  <c r="N853" i="19"/>
  <c r="P851" i="19"/>
  <c r="O851" i="19"/>
  <c r="N851" i="19"/>
  <c r="P850" i="19"/>
  <c r="O850" i="19"/>
  <c r="N850" i="19"/>
  <c r="P848" i="19"/>
  <c r="O848" i="19"/>
  <c r="N848" i="19"/>
  <c r="P847" i="19"/>
  <c r="O847" i="19"/>
  <c r="N847" i="19"/>
  <c r="P845" i="19"/>
  <c r="O845" i="19"/>
  <c r="N845" i="19"/>
  <c r="P844" i="19"/>
  <c r="O844" i="19"/>
  <c r="N844" i="19"/>
  <c r="P842" i="19"/>
  <c r="O842" i="19"/>
  <c r="N842" i="19"/>
  <c r="P841" i="19"/>
  <c r="O841" i="19"/>
  <c r="N841" i="19"/>
  <c r="P839" i="19"/>
  <c r="O839" i="19"/>
  <c r="N839" i="19"/>
  <c r="P838" i="19"/>
  <c r="O838" i="19"/>
  <c r="N838" i="19"/>
  <c r="P836" i="19"/>
  <c r="O836" i="19"/>
  <c r="N836" i="19"/>
  <c r="P834" i="19"/>
  <c r="O834" i="19"/>
  <c r="N834" i="19"/>
  <c r="P833" i="19"/>
  <c r="O833" i="19"/>
  <c r="N833" i="19"/>
  <c r="P831" i="19"/>
  <c r="O831" i="19"/>
  <c r="N831" i="19"/>
  <c r="P829" i="19"/>
  <c r="O829" i="19"/>
  <c r="N829" i="19"/>
  <c r="P828" i="19"/>
  <c r="O828" i="19"/>
  <c r="N828" i="19"/>
  <c r="P826" i="19"/>
  <c r="O826" i="19"/>
  <c r="N826" i="19"/>
  <c r="P824" i="19"/>
  <c r="O824" i="19"/>
  <c r="N824" i="19"/>
  <c r="P822" i="19"/>
  <c r="O822" i="19"/>
  <c r="N822" i="19"/>
  <c r="P820" i="19"/>
  <c r="O820" i="19"/>
  <c r="N820" i="19"/>
  <c r="P817" i="19"/>
  <c r="O817" i="19"/>
  <c r="N817" i="19"/>
  <c r="P815" i="19"/>
  <c r="O815" i="19"/>
  <c r="N815" i="19"/>
  <c r="P813" i="19"/>
  <c r="O813" i="19"/>
  <c r="N813" i="19"/>
  <c r="P811" i="19"/>
  <c r="O811" i="19"/>
  <c r="N811" i="19"/>
  <c r="P809" i="19"/>
  <c r="O809" i="19"/>
  <c r="N809" i="19"/>
  <c r="P808" i="19"/>
  <c r="O808" i="19"/>
  <c r="N808" i="19"/>
  <c r="P807" i="19"/>
  <c r="O807" i="19"/>
  <c r="N807" i="19"/>
  <c r="P806" i="19"/>
  <c r="O806" i="19"/>
  <c r="N806" i="19"/>
  <c r="P804" i="19"/>
  <c r="O804" i="19"/>
  <c r="N804" i="19"/>
  <c r="P803" i="19"/>
  <c r="O803" i="19"/>
  <c r="N803" i="19"/>
  <c r="P802" i="19"/>
  <c r="O802" i="19"/>
  <c r="N802" i="19"/>
  <c r="P801" i="19"/>
  <c r="O801" i="19"/>
  <c r="N801" i="19"/>
  <c r="P799" i="19"/>
  <c r="O799" i="19"/>
  <c r="N799" i="19"/>
  <c r="P797" i="19"/>
  <c r="O797" i="19"/>
  <c r="N797" i="19"/>
  <c r="P796" i="19"/>
  <c r="O796" i="19"/>
  <c r="N796" i="19"/>
  <c r="P794" i="19"/>
  <c r="O794" i="19"/>
  <c r="N794" i="19"/>
  <c r="P793" i="19"/>
  <c r="O793" i="19"/>
  <c r="N793" i="19"/>
  <c r="P791" i="19"/>
  <c r="O791" i="19"/>
  <c r="N791" i="19"/>
  <c r="P789" i="19"/>
  <c r="O789" i="19"/>
  <c r="N789" i="19"/>
  <c r="P788" i="19"/>
  <c r="O788" i="19"/>
  <c r="N788" i="19"/>
  <c r="P787" i="19"/>
  <c r="O787" i="19"/>
  <c r="N787" i="19"/>
  <c r="P785" i="19"/>
  <c r="O785" i="19"/>
  <c r="N785" i="19"/>
  <c r="P784" i="19"/>
  <c r="O784" i="19"/>
  <c r="N784" i="19"/>
  <c r="P782" i="19"/>
  <c r="O782" i="19"/>
  <c r="N782" i="19"/>
  <c r="P781" i="19"/>
  <c r="O781" i="19"/>
  <c r="N781" i="19"/>
  <c r="P780" i="19"/>
  <c r="O780" i="19"/>
  <c r="N780" i="19"/>
  <c r="P779" i="19"/>
  <c r="O779" i="19"/>
  <c r="N779" i="19"/>
  <c r="P778" i="19"/>
  <c r="O778" i="19"/>
  <c r="N778" i="19"/>
  <c r="P777" i="19"/>
  <c r="O777" i="19"/>
  <c r="N777" i="19"/>
  <c r="P776" i="19"/>
  <c r="O776" i="19"/>
  <c r="N776" i="19"/>
  <c r="P775" i="19"/>
  <c r="O775" i="19"/>
  <c r="N775" i="19"/>
  <c r="P774" i="19"/>
  <c r="O774" i="19"/>
  <c r="N774" i="19"/>
  <c r="P773" i="19"/>
  <c r="O773" i="19"/>
  <c r="N773" i="19"/>
  <c r="P772" i="19"/>
  <c r="O772" i="19"/>
  <c r="N772" i="19"/>
  <c r="P771" i="19"/>
  <c r="O771" i="19"/>
  <c r="N771" i="19"/>
  <c r="P770" i="19"/>
  <c r="O770" i="19"/>
  <c r="N770" i="19"/>
  <c r="P769" i="19"/>
  <c r="O769" i="19"/>
  <c r="N769" i="19"/>
  <c r="P767" i="19"/>
  <c r="O767" i="19"/>
  <c r="N767" i="19"/>
  <c r="P766" i="19"/>
  <c r="O766" i="19"/>
  <c r="N766" i="19"/>
  <c r="P765" i="19"/>
  <c r="O765" i="19"/>
  <c r="N765" i="19"/>
  <c r="P764" i="19"/>
  <c r="O764" i="19"/>
  <c r="N764" i="19"/>
  <c r="P763" i="19"/>
  <c r="O763" i="19"/>
  <c r="N763" i="19"/>
  <c r="P762" i="19"/>
  <c r="O762" i="19"/>
  <c r="N762" i="19"/>
  <c r="P761" i="19"/>
  <c r="O761" i="19"/>
  <c r="N761" i="19"/>
  <c r="P760" i="19"/>
  <c r="O760" i="19"/>
  <c r="N760" i="19"/>
  <c r="P759" i="19"/>
  <c r="O759" i="19"/>
  <c r="N759" i="19"/>
  <c r="P758" i="19"/>
  <c r="O758" i="19"/>
  <c r="N758" i="19"/>
  <c r="P757" i="19"/>
  <c r="O757" i="19"/>
  <c r="N757" i="19"/>
  <c r="P756" i="19"/>
  <c r="O756" i="19"/>
  <c r="N756" i="19"/>
  <c r="P755" i="19"/>
  <c r="O755" i="19"/>
  <c r="N755" i="19"/>
  <c r="P754" i="19"/>
  <c r="O754" i="19"/>
  <c r="N754" i="19"/>
  <c r="P753" i="19"/>
  <c r="O753" i="19"/>
  <c r="N753" i="19"/>
  <c r="P752" i="19"/>
  <c r="O752" i="19"/>
  <c r="N752" i="19"/>
  <c r="P751" i="19"/>
  <c r="O751" i="19"/>
  <c r="N751" i="19"/>
  <c r="P750" i="19"/>
  <c r="O750" i="19"/>
  <c r="N750" i="19"/>
  <c r="P748" i="19"/>
  <c r="O748" i="19"/>
  <c r="N748" i="19"/>
  <c r="P747" i="19"/>
  <c r="O747" i="19"/>
  <c r="N747" i="19"/>
  <c r="P746" i="19"/>
  <c r="O746" i="19"/>
  <c r="N746" i="19"/>
  <c r="P745" i="19"/>
  <c r="O745" i="19"/>
  <c r="N745" i="19"/>
  <c r="P744" i="19"/>
  <c r="O744" i="19"/>
  <c r="N744" i="19"/>
  <c r="P743" i="19"/>
  <c r="O743" i="19"/>
  <c r="N743" i="19"/>
  <c r="P742" i="19"/>
  <c r="O742" i="19"/>
  <c r="N742" i="19"/>
  <c r="P741" i="19"/>
  <c r="O741" i="19"/>
  <c r="N741" i="19"/>
  <c r="P740" i="19"/>
  <c r="O740" i="19"/>
  <c r="N740" i="19"/>
  <c r="P739" i="19"/>
  <c r="O739" i="19"/>
  <c r="N739" i="19"/>
  <c r="P737" i="19"/>
  <c r="O737" i="19"/>
  <c r="N737" i="19"/>
  <c r="P736" i="19"/>
  <c r="O736" i="19"/>
  <c r="N736" i="19"/>
  <c r="P735" i="19"/>
  <c r="O735" i="19"/>
  <c r="N735" i="19"/>
  <c r="P734" i="19"/>
  <c r="O734" i="19"/>
  <c r="N734" i="19"/>
  <c r="P733" i="19"/>
  <c r="O733" i="19"/>
  <c r="N733" i="19"/>
  <c r="P732" i="19"/>
  <c r="O732" i="19"/>
  <c r="N732" i="19"/>
  <c r="P731" i="19"/>
  <c r="O731" i="19"/>
  <c r="N731" i="19"/>
  <c r="P730" i="19"/>
  <c r="O730" i="19"/>
  <c r="N730" i="19"/>
  <c r="P729" i="19"/>
  <c r="O729" i="19"/>
  <c r="N729" i="19"/>
  <c r="P728" i="19"/>
  <c r="O728" i="19"/>
  <c r="N728" i="19"/>
  <c r="P727" i="19"/>
  <c r="O727" i="19"/>
  <c r="N727" i="19"/>
  <c r="P725" i="19"/>
  <c r="O725" i="19"/>
  <c r="N725" i="19"/>
  <c r="P724" i="19"/>
  <c r="O724" i="19"/>
  <c r="N724" i="19"/>
  <c r="P722" i="19"/>
  <c r="O722" i="19"/>
  <c r="N722" i="19"/>
  <c r="P720" i="19"/>
  <c r="O720" i="19"/>
  <c r="N720" i="19"/>
  <c r="P719" i="19"/>
  <c r="O719" i="19"/>
  <c r="N719" i="19"/>
  <c r="P717" i="19"/>
  <c r="O717" i="19"/>
  <c r="N717" i="19"/>
  <c r="P716" i="19"/>
  <c r="O716" i="19"/>
  <c r="N716" i="19"/>
  <c r="P715" i="19"/>
  <c r="O715" i="19"/>
  <c r="N715" i="19"/>
  <c r="P714" i="19"/>
  <c r="O714" i="19"/>
  <c r="N714" i="19"/>
  <c r="P712" i="19"/>
  <c r="O712" i="19"/>
  <c r="N712" i="19"/>
  <c r="P711" i="19"/>
  <c r="O711" i="19"/>
  <c r="N711" i="19"/>
  <c r="P710" i="19"/>
  <c r="O710" i="19"/>
  <c r="N710" i="19"/>
  <c r="P709" i="19"/>
  <c r="O709" i="19"/>
  <c r="N709" i="19"/>
  <c r="P708" i="19"/>
  <c r="O708" i="19"/>
  <c r="N708" i="19"/>
  <c r="P707" i="19"/>
  <c r="O707" i="19"/>
  <c r="N707" i="19"/>
  <c r="P705" i="19"/>
  <c r="O705" i="19"/>
  <c r="N705" i="19"/>
  <c r="P704" i="19"/>
  <c r="O704" i="19"/>
  <c r="N704" i="19"/>
  <c r="P703" i="19"/>
  <c r="O703" i="19"/>
  <c r="N703" i="19"/>
  <c r="P702" i="19"/>
  <c r="O702" i="19"/>
  <c r="N702" i="19"/>
  <c r="P700" i="19"/>
  <c r="O700" i="19"/>
  <c r="N700" i="19"/>
  <c r="P699" i="19"/>
  <c r="O699" i="19"/>
  <c r="N699"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8" i="19"/>
  <c r="O688" i="19"/>
  <c r="N688" i="19"/>
  <c r="P686" i="19"/>
  <c r="O686" i="19"/>
  <c r="N686" i="19"/>
  <c r="P685" i="19"/>
  <c r="O685" i="19"/>
  <c r="N685" i="19"/>
  <c r="P684" i="19"/>
  <c r="O684" i="19"/>
  <c r="N684" i="19"/>
  <c r="P683" i="19"/>
  <c r="O683" i="19"/>
  <c r="N683" i="19"/>
  <c r="P681" i="19"/>
  <c r="O681" i="19"/>
  <c r="N681" i="19"/>
  <c r="P680" i="19"/>
  <c r="O680" i="19"/>
  <c r="N680" i="19"/>
  <c r="P679" i="19"/>
  <c r="O679" i="19"/>
  <c r="N679" i="19"/>
  <c r="P677" i="19"/>
  <c r="O677" i="19"/>
  <c r="N677" i="19"/>
  <c r="P675" i="19"/>
  <c r="O675" i="19"/>
  <c r="N675" i="19"/>
  <c r="P674" i="19"/>
  <c r="O674" i="19"/>
  <c r="N674" i="19"/>
  <c r="P673" i="19"/>
  <c r="O673" i="19"/>
  <c r="N673" i="19"/>
  <c r="P672" i="19"/>
  <c r="O672" i="19"/>
  <c r="N672" i="19"/>
  <c r="P671" i="19"/>
  <c r="O671" i="19"/>
  <c r="N671" i="19"/>
  <c r="P670" i="19"/>
  <c r="O670" i="19"/>
  <c r="N670" i="19"/>
  <c r="P668" i="19"/>
  <c r="O668" i="19"/>
  <c r="N668" i="19"/>
  <c r="P667" i="19"/>
  <c r="O667" i="19"/>
  <c r="N667" i="19"/>
  <c r="P666" i="19"/>
  <c r="O666" i="19"/>
  <c r="N666" i="19"/>
  <c r="P665" i="19"/>
  <c r="O665" i="19"/>
  <c r="N665" i="19"/>
  <c r="P664" i="19"/>
  <c r="O664" i="19"/>
  <c r="N664" i="19"/>
  <c r="P662" i="19"/>
  <c r="O662" i="19"/>
  <c r="N662" i="19"/>
  <c r="P661" i="19"/>
  <c r="O661" i="19"/>
  <c r="N661" i="19"/>
  <c r="P660" i="19"/>
  <c r="O660" i="19"/>
  <c r="N660" i="19"/>
  <c r="P659" i="19"/>
  <c r="O659" i="19"/>
  <c r="N659" i="19"/>
  <c r="P658" i="19"/>
  <c r="O658" i="19"/>
  <c r="N658" i="19"/>
  <c r="P657" i="19"/>
  <c r="O657" i="19"/>
  <c r="N657" i="19"/>
  <c r="P655" i="19"/>
  <c r="O655" i="19"/>
  <c r="N655" i="19"/>
  <c r="P653" i="19"/>
  <c r="O653" i="19"/>
  <c r="N653" i="19"/>
  <c r="P652" i="19"/>
  <c r="O652" i="19"/>
  <c r="N652" i="19"/>
  <c r="P651" i="19"/>
  <c r="O651" i="19"/>
  <c r="N651" i="19"/>
  <c r="P650" i="19"/>
  <c r="O650" i="19"/>
  <c r="N650" i="19"/>
  <c r="P649" i="19"/>
  <c r="O649" i="19"/>
  <c r="N649" i="19"/>
  <c r="P648" i="19"/>
  <c r="O648" i="19"/>
  <c r="N648" i="19"/>
  <c r="P647" i="19"/>
  <c r="O647" i="19"/>
  <c r="N647" i="19"/>
  <c r="P645" i="19"/>
  <c r="O645" i="19"/>
  <c r="N645" i="19"/>
  <c r="P644" i="19"/>
  <c r="O644" i="19"/>
  <c r="N644" i="19"/>
  <c r="P643" i="19"/>
  <c r="O643" i="19"/>
  <c r="N643" i="19"/>
  <c r="P642" i="19"/>
  <c r="O642" i="19"/>
  <c r="N642" i="19"/>
  <c r="P641" i="19"/>
  <c r="O641" i="19"/>
  <c r="N641" i="19"/>
  <c r="P640" i="19"/>
  <c r="O640" i="19"/>
  <c r="N640" i="19"/>
  <c r="P638" i="19"/>
  <c r="O638" i="19"/>
  <c r="N638" i="19"/>
  <c r="P637" i="19"/>
  <c r="O637" i="19"/>
  <c r="N637" i="19"/>
  <c r="P636" i="19"/>
  <c r="O636" i="19"/>
  <c r="N636" i="19"/>
  <c r="P635" i="19"/>
  <c r="O635" i="19"/>
  <c r="N635" i="19"/>
  <c r="P634" i="19"/>
  <c r="O634" i="19"/>
  <c r="N634" i="19"/>
  <c r="P633" i="19"/>
  <c r="O633" i="19"/>
  <c r="N633" i="19"/>
  <c r="P632" i="19"/>
  <c r="O632" i="19"/>
  <c r="N632" i="19"/>
  <c r="P630" i="19"/>
  <c r="O630" i="19"/>
  <c r="N630" i="19"/>
  <c r="P629" i="19"/>
  <c r="O629" i="19"/>
  <c r="N629" i="19"/>
  <c r="P628" i="19"/>
  <c r="O628" i="19"/>
  <c r="N628" i="19"/>
  <c r="P626" i="19"/>
  <c r="O626" i="19"/>
  <c r="N626" i="19"/>
  <c r="P625" i="19"/>
  <c r="O625" i="19"/>
  <c r="N625" i="19"/>
  <c r="P624" i="19"/>
  <c r="O624" i="19"/>
  <c r="N624" i="19"/>
  <c r="P622" i="19"/>
  <c r="O622" i="19"/>
  <c r="N622" i="19"/>
  <c r="P621" i="19"/>
  <c r="O621" i="19"/>
  <c r="N621" i="19"/>
  <c r="P620" i="19"/>
  <c r="O620" i="19"/>
  <c r="N620" i="19"/>
  <c r="P619" i="19"/>
  <c r="O619" i="19"/>
  <c r="N619" i="19"/>
  <c r="P618" i="19"/>
  <c r="O618" i="19"/>
  <c r="N618" i="19"/>
  <c r="P617" i="19"/>
  <c r="O617" i="19"/>
  <c r="N617" i="19"/>
  <c r="P615" i="19"/>
  <c r="O615" i="19"/>
  <c r="N615" i="19"/>
  <c r="P614" i="19"/>
  <c r="O614" i="19"/>
  <c r="N614" i="19"/>
  <c r="P613" i="19"/>
  <c r="O613" i="19"/>
  <c r="N613" i="19"/>
  <c r="P612" i="19"/>
  <c r="O612" i="19"/>
  <c r="N612" i="19"/>
  <c r="P611" i="19"/>
  <c r="O611" i="19"/>
  <c r="N611" i="19"/>
  <c r="P610" i="19"/>
  <c r="O610" i="19"/>
  <c r="N610" i="19"/>
  <c r="P609" i="19"/>
  <c r="O609" i="19"/>
  <c r="N609" i="19"/>
  <c r="P607" i="19"/>
  <c r="O607" i="19"/>
  <c r="N607" i="19"/>
  <c r="P606" i="19"/>
  <c r="O606" i="19"/>
  <c r="N606" i="19"/>
  <c r="P605" i="19"/>
  <c r="O605" i="19"/>
  <c r="N605" i="19"/>
  <c r="P604" i="19"/>
  <c r="O604" i="19"/>
  <c r="N604" i="19"/>
  <c r="P603" i="19"/>
  <c r="O603" i="19"/>
  <c r="N603" i="19"/>
  <c r="P601" i="19"/>
  <c r="O601" i="19"/>
  <c r="N601" i="19"/>
  <c r="P600" i="19"/>
  <c r="O600" i="19"/>
  <c r="N600" i="19"/>
  <c r="P598" i="19"/>
  <c r="O598" i="19"/>
  <c r="N598" i="19"/>
  <c r="P597" i="19"/>
  <c r="O597" i="19"/>
  <c r="N597" i="19"/>
  <c r="P596" i="19"/>
  <c r="O596" i="19"/>
  <c r="N596" i="19"/>
  <c r="P595" i="19"/>
  <c r="O595" i="19"/>
  <c r="N595" i="19"/>
  <c r="P593" i="19"/>
  <c r="O593" i="19"/>
  <c r="N593" i="19"/>
  <c r="P591" i="19"/>
  <c r="O591" i="19"/>
  <c r="N591" i="19"/>
  <c r="P590" i="19"/>
  <c r="O590" i="19"/>
  <c r="N590" i="19"/>
  <c r="P589" i="19"/>
  <c r="O589" i="19"/>
  <c r="N589" i="19"/>
  <c r="P587" i="19"/>
  <c r="O587" i="19"/>
  <c r="N587" i="19"/>
  <c r="P586" i="19"/>
  <c r="O586" i="19"/>
  <c r="N586" i="19"/>
  <c r="P585" i="19"/>
  <c r="O585" i="19"/>
  <c r="N585" i="19"/>
  <c r="P583" i="19"/>
  <c r="O583" i="19"/>
  <c r="N583" i="19"/>
  <c r="P582" i="19"/>
  <c r="O582" i="19"/>
  <c r="N582" i="19"/>
  <c r="P581" i="19"/>
  <c r="O581" i="19"/>
  <c r="N581" i="19"/>
  <c r="P579" i="19"/>
  <c r="O579" i="19"/>
  <c r="N579" i="19"/>
  <c r="P578" i="19"/>
  <c r="O578" i="19"/>
  <c r="N578" i="19"/>
  <c r="P577" i="19"/>
  <c r="O577" i="19"/>
  <c r="N577" i="19"/>
  <c r="P575" i="19"/>
  <c r="O575" i="19"/>
  <c r="N575" i="19"/>
  <c r="P573" i="19"/>
  <c r="O573" i="19"/>
  <c r="N573" i="19"/>
  <c r="P572" i="19"/>
  <c r="O572" i="19"/>
  <c r="N572" i="19"/>
  <c r="P571" i="19"/>
  <c r="O571" i="19"/>
  <c r="N571" i="19"/>
  <c r="P569" i="19"/>
  <c r="O569" i="19"/>
  <c r="N569" i="19"/>
  <c r="P567" i="19"/>
  <c r="O567" i="19"/>
  <c r="N567" i="19"/>
  <c r="P566" i="19"/>
  <c r="O566" i="19"/>
  <c r="N566" i="19"/>
  <c r="P565" i="19"/>
  <c r="O565" i="19"/>
  <c r="N565" i="19"/>
  <c r="P564" i="19"/>
  <c r="O564" i="19"/>
  <c r="N564" i="19"/>
  <c r="P563" i="19"/>
  <c r="O563" i="19"/>
  <c r="N563" i="19"/>
  <c r="P561" i="19"/>
  <c r="O561" i="19"/>
  <c r="N561" i="19"/>
  <c r="P560" i="19"/>
  <c r="O560" i="19"/>
  <c r="N560" i="19"/>
  <c r="P559" i="19"/>
  <c r="O559" i="19"/>
  <c r="N559" i="19"/>
  <c r="P557" i="19"/>
  <c r="O557" i="19"/>
  <c r="N557" i="19"/>
  <c r="P556" i="19"/>
  <c r="O556" i="19"/>
  <c r="N556" i="19"/>
  <c r="P555" i="19"/>
  <c r="O555" i="19"/>
  <c r="N555" i="19"/>
  <c r="P554" i="19"/>
  <c r="O554" i="19"/>
  <c r="N554" i="19"/>
  <c r="P552" i="19"/>
  <c r="O552" i="19"/>
  <c r="N552" i="19"/>
  <c r="P551" i="19"/>
  <c r="O551" i="19"/>
  <c r="N551" i="19"/>
  <c r="P550" i="19"/>
  <c r="O550" i="19"/>
  <c r="N550" i="19"/>
  <c r="P549" i="19"/>
  <c r="O549" i="19"/>
  <c r="N549" i="19"/>
  <c r="P548" i="19"/>
  <c r="O548" i="19"/>
  <c r="N548" i="19"/>
  <c r="P547" i="19"/>
  <c r="O547" i="19"/>
  <c r="N547" i="19"/>
  <c r="P546" i="19"/>
  <c r="O546" i="19"/>
  <c r="N546" i="19"/>
  <c r="P544" i="19"/>
  <c r="O544" i="19"/>
  <c r="N544" i="19"/>
  <c r="P543" i="19"/>
  <c r="O543" i="19"/>
  <c r="N543" i="19"/>
  <c r="P542" i="19"/>
  <c r="O542" i="19"/>
  <c r="N542" i="19"/>
  <c r="P541" i="19"/>
  <c r="O541" i="19"/>
  <c r="N541" i="19"/>
  <c r="P540" i="19"/>
  <c r="O540" i="19"/>
  <c r="N540" i="19"/>
  <c r="P539" i="19"/>
  <c r="O539" i="19"/>
  <c r="N539" i="19"/>
  <c r="P538" i="19"/>
  <c r="O538" i="19"/>
  <c r="N538" i="19"/>
  <c r="P537" i="19"/>
  <c r="O537" i="19"/>
  <c r="N537" i="19"/>
  <c r="P535" i="19"/>
  <c r="O535" i="19"/>
  <c r="N535" i="19"/>
  <c r="P534" i="19"/>
  <c r="O534" i="19"/>
  <c r="N534" i="19"/>
  <c r="P533" i="19"/>
  <c r="O533" i="19"/>
  <c r="N533" i="19"/>
  <c r="P532" i="19"/>
  <c r="O532" i="19"/>
  <c r="N532" i="19"/>
  <c r="P531" i="19"/>
  <c r="O531" i="19"/>
  <c r="N531" i="19"/>
  <c r="P530" i="19"/>
  <c r="O530" i="19"/>
  <c r="N530" i="19"/>
  <c r="P529" i="19"/>
  <c r="O529" i="19"/>
  <c r="N529" i="19"/>
  <c r="P528" i="19"/>
  <c r="O528" i="19"/>
  <c r="N528" i="19"/>
  <c r="P526" i="19"/>
  <c r="O526" i="19"/>
  <c r="N526" i="19"/>
  <c r="P525" i="19"/>
  <c r="O525" i="19"/>
  <c r="N525" i="19"/>
  <c r="P524" i="19"/>
  <c r="O524" i="19"/>
  <c r="N524" i="19"/>
  <c r="P523" i="19"/>
  <c r="O523" i="19"/>
  <c r="N523" i="19"/>
  <c r="P522" i="19"/>
  <c r="O522" i="19"/>
  <c r="N522" i="19"/>
  <c r="P521" i="19"/>
  <c r="O521" i="19"/>
  <c r="N521" i="19"/>
  <c r="P520" i="19"/>
  <c r="O520" i="19"/>
  <c r="N520" i="19"/>
  <c r="P519" i="19"/>
  <c r="O519" i="19"/>
  <c r="N519" i="19"/>
  <c r="P518" i="19"/>
  <c r="O518" i="19"/>
  <c r="N518" i="19"/>
  <c r="P516" i="19"/>
  <c r="O516" i="19"/>
  <c r="N516" i="19"/>
  <c r="P515" i="19"/>
  <c r="O515" i="19"/>
  <c r="N515" i="19"/>
  <c r="P514" i="19"/>
  <c r="O514" i="19"/>
  <c r="N514" i="19"/>
  <c r="P513" i="19"/>
  <c r="O513" i="19"/>
  <c r="N513" i="19"/>
  <c r="P512" i="19"/>
  <c r="O512" i="19"/>
  <c r="N512" i="19"/>
  <c r="P511" i="19"/>
  <c r="O511" i="19"/>
  <c r="N511" i="19"/>
  <c r="P510" i="19"/>
  <c r="O510" i="19"/>
  <c r="N510" i="19"/>
  <c r="P509" i="19"/>
  <c r="O509" i="19"/>
  <c r="N509" i="19"/>
  <c r="P508" i="19"/>
  <c r="O508" i="19"/>
  <c r="N508" i="19"/>
  <c r="P507" i="19"/>
  <c r="O507" i="19"/>
  <c r="N507" i="19"/>
  <c r="P505" i="19"/>
  <c r="O505" i="19"/>
  <c r="N505" i="19"/>
  <c r="P504" i="19"/>
  <c r="O504" i="19"/>
  <c r="N504" i="19"/>
  <c r="P503" i="19"/>
  <c r="O503" i="19"/>
  <c r="N503" i="19"/>
  <c r="P502" i="19"/>
  <c r="O502" i="19"/>
  <c r="N502" i="19"/>
  <c r="P501" i="19"/>
  <c r="O501" i="19"/>
  <c r="N501" i="19"/>
  <c r="P500" i="19"/>
  <c r="O500" i="19"/>
  <c r="N500" i="19"/>
  <c r="P499" i="19"/>
  <c r="O499" i="19"/>
  <c r="N499" i="19"/>
  <c r="P498" i="19"/>
  <c r="O498" i="19"/>
  <c r="N498" i="19"/>
  <c r="P497" i="19"/>
  <c r="O497" i="19"/>
  <c r="N497" i="19"/>
  <c r="P496" i="19"/>
  <c r="O496" i="19"/>
  <c r="N496" i="19"/>
  <c r="P494" i="19"/>
  <c r="O494" i="19"/>
  <c r="N494" i="19"/>
  <c r="P493" i="19"/>
  <c r="O493" i="19"/>
  <c r="N493" i="19"/>
  <c r="P492" i="19"/>
  <c r="O492" i="19"/>
  <c r="N492" i="19"/>
  <c r="P490" i="19"/>
  <c r="O490" i="19"/>
  <c r="N490" i="19"/>
  <c r="P489" i="19"/>
  <c r="O489" i="19"/>
  <c r="N489" i="19"/>
  <c r="P488" i="19"/>
  <c r="O488" i="19"/>
  <c r="N488" i="19"/>
  <c r="P487" i="19"/>
  <c r="O487" i="19"/>
  <c r="N487" i="19"/>
  <c r="P485" i="19"/>
  <c r="O485" i="19"/>
  <c r="N485" i="19"/>
  <c r="P484" i="19"/>
  <c r="O484" i="19"/>
  <c r="N484" i="19"/>
  <c r="P482" i="19"/>
  <c r="O482" i="19"/>
  <c r="N482" i="19"/>
  <c r="P481" i="19"/>
  <c r="O481" i="19"/>
  <c r="N481" i="19"/>
  <c r="P480" i="19"/>
  <c r="O480" i="19"/>
  <c r="N480" i="19"/>
  <c r="P478" i="19"/>
  <c r="O478" i="19"/>
  <c r="N478" i="19"/>
  <c r="P477" i="19"/>
  <c r="O477" i="19"/>
  <c r="N477" i="19"/>
  <c r="P475" i="19"/>
  <c r="O475" i="19"/>
  <c r="N475" i="19"/>
  <c r="P474" i="19"/>
  <c r="O474" i="19"/>
  <c r="N474" i="19"/>
  <c r="P473" i="19"/>
  <c r="O473" i="19"/>
  <c r="N473" i="19"/>
  <c r="P472" i="19"/>
  <c r="O472" i="19"/>
  <c r="N472" i="19"/>
  <c r="P470" i="19"/>
  <c r="O470" i="19"/>
  <c r="N470" i="19"/>
  <c r="P469" i="19"/>
  <c r="O469" i="19"/>
  <c r="N469" i="19"/>
  <c r="P468" i="19"/>
  <c r="O468" i="19"/>
  <c r="N468" i="19"/>
  <c r="P467" i="19"/>
  <c r="O467" i="19"/>
  <c r="N467" i="19"/>
  <c r="P465" i="19"/>
  <c r="O465" i="19"/>
  <c r="N465" i="19"/>
  <c r="P464" i="19"/>
  <c r="O464" i="19"/>
  <c r="N464" i="19"/>
  <c r="P463" i="19"/>
  <c r="O463" i="19"/>
  <c r="N463" i="19"/>
  <c r="P461" i="19"/>
  <c r="O461" i="19"/>
  <c r="N461" i="19"/>
  <c r="P460" i="19"/>
  <c r="O460" i="19"/>
  <c r="N460" i="19"/>
  <c r="P458" i="19"/>
  <c r="O458" i="19"/>
  <c r="N458" i="19"/>
  <c r="P457" i="19"/>
  <c r="O457" i="19"/>
  <c r="N457" i="19"/>
  <c r="P456" i="19"/>
  <c r="O456" i="19"/>
  <c r="N456" i="19"/>
  <c r="P454" i="19"/>
  <c r="O454" i="19"/>
  <c r="N454" i="19"/>
  <c r="P453" i="19"/>
  <c r="O453" i="19"/>
  <c r="N453" i="19"/>
  <c r="P451" i="19"/>
  <c r="O451" i="19"/>
  <c r="N451" i="19"/>
  <c r="P450" i="19"/>
  <c r="O450" i="19"/>
  <c r="N450" i="19"/>
  <c r="P449" i="19"/>
  <c r="O449" i="19"/>
  <c r="N449" i="19"/>
  <c r="P448" i="19"/>
  <c r="O448" i="19"/>
  <c r="N448" i="19"/>
  <c r="P446" i="19"/>
  <c r="O446" i="19"/>
  <c r="N446" i="19"/>
  <c r="P444" i="19"/>
  <c r="O444" i="19"/>
  <c r="N444" i="19"/>
  <c r="P443" i="19"/>
  <c r="O443" i="19"/>
  <c r="N443" i="19"/>
  <c r="P442" i="19"/>
  <c r="O442" i="19"/>
  <c r="N442" i="19"/>
  <c r="P441" i="19"/>
  <c r="O441" i="19"/>
  <c r="N441" i="19"/>
  <c r="P439" i="19"/>
  <c r="O439" i="19"/>
  <c r="N439" i="19"/>
  <c r="P438" i="19"/>
  <c r="O438" i="19"/>
  <c r="N438" i="19"/>
  <c r="P437" i="19"/>
  <c r="O437" i="19"/>
  <c r="N437" i="19"/>
  <c r="P435" i="19"/>
  <c r="O435" i="19"/>
  <c r="N435" i="19"/>
  <c r="P434" i="19"/>
  <c r="O434" i="19"/>
  <c r="N434" i="19"/>
  <c r="P433" i="19"/>
  <c r="O433" i="19"/>
  <c r="N433" i="19"/>
  <c r="P432" i="19"/>
  <c r="O432" i="19"/>
  <c r="N432" i="19"/>
  <c r="P431" i="19"/>
  <c r="O431" i="19"/>
  <c r="N431" i="19"/>
  <c r="P430" i="19"/>
  <c r="O430" i="19"/>
  <c r="N430" i="19"/>
  <c r="P428" i="19"/>
  <c r="O428" i="19"/>
  <c r="N428" i="19"/>
  <c r="P427" i="19"/>
  <c r="O427" i="19"/>
  <c r="N427" i="19"/>
  <c r="P426" i="19"/>
  <c r="O426" i="19"/>
  <c r="N426" i="19"/>
  <c r="P424" i="19"/>
  <c r="O424" i="19"/>
  <c r="N424" i="19"/>
  <c r="P423" i="19"/>
  <c r="O423" i="19"/>
  <c r="N423" i="19"/>
  <c r="P422" i="19"/>
  <c r="O422" i="19"/>
  <c r="N422" i="19"/>
  <c r="P421" i="19"/>
  <c r="O421" i="19"/>
  <c r="N421" i="19"/>
  <c r="P420" i="19"/>
  <c r="O420" i="19"/>
  <c r="N420" i="19"/>
  <c r="P419" i="19"/>
  <c r="O419" i="19"/>
  <c r="N419" i="19"/>
  <c r="P418" i="19"/>
  <c r="O418" i="19"/>
  <c r="N418" i="19"/>
  <c r="P417" i="19"/>
  <c r="O417" i="19"/>
  <c r="N417" i="19"/>
  <c r="P416" i="19"/>
  <c r="O416" i="19"/>
  <c r="N416" i="19"/>
  <c r="P415" i="19"/>
  <c r="O415" i="19"/>
  <c r="N415" i="19"/>
  <c r="P413" i="19"/>
  <c r="O413" i="19"/>
  <c r="N413" i="19"/>
  <c r="P412" i="19"/>
  <c r="O412" i="19"/>
  <c r="N412" i="19"/>
  <c r="P410" i="19"/>
  <c r="O410" i="19"/>
  <c r="N410" i="19"/>
  <c r="P409" i="19"/>
  <c r="O409" i="19"/>
  <c r="N409" i="19"/>
  <c r="P408" i="19"/>
  <c r="O408" i="19"/>
  <c r="N408" i="19"/>
  <c r="P407" i="19"/>
  <c r="O407" i="19"/>
  <c r="N407" i="19"/>
  <c r="P405" i="19"/>
  <c r="O405" i="19"/>
  <c r="N405" i="19"/>
  <c r="P404" i="19"/>
  <c r="O404" i="19"/>
  <c r="N404" i="19"/>
  <c r="P403" i="19"/>
  <c r="O403" i="19"/>
  <c r="N403" i="19"/>
  <c r="P402" i="19"/>
  <c r="O402" i="19"/>
  <c r="N402" i="19"/>
  <c r="P401" i="19"/>
  <c r="O401" i="19"/>
  <c r="N401" i="19"/>
  <c r="P400" i="19"/>
  <c r="O400" i="19"/>
  <c r="N400" i="19"/>
  <c r="P399" i="19"/>
  <c r="O399" i="19"/>
  <c r="N399" i="19"/>
  <c r="P398" i="19"/>
  <c r="O398" i="19"/>
  <c r="N398" i="19"/>
  <c r="P396" i="19"/>
  <c r="O396" i="19"/>
  <c r="N396" i="19"/>
  <c r="P395" i="19"/>
  <c r="O395" i="19"/>
  <c r="N395" i="19"/>
  <c r="P393" i="19"/>
  <c r="O393" i="19"/>
  <c r="N393" i="19"/>
  <c r="P391" i="19"/>
  <c r="O391" i="19"/>
  <c r="N391" i="19"/>
  <c r="P389" i="19"/>
  <c r="O389" i="19"/>
  <c r="N389" i="19"/>
  <c r="P387" i="19"/>
  <c r="O387" i="19"/>
  <c r="N387" i="19"/>
  <c r="P385" i="19"/>
  <c r="O385" i="19"/>
  <c r="N385" i="19"/>
  <c r="P384" i="19"/>
  <c r="O384" i="19"/>
  <c r="N384" i="19"/>
  <c r="P383" i="19"/>
  <c r="O383" i="19"/>
  <c r="N383" i="19"/>
  <c r="P382" i="19"/>
  <c r="O382" i="19"/>
  <c r="N382" i="19"/>
  <c r="P380" i="19"/>
  <c r="O380" i="19"/>
  <c r="N380" i="19"/>
  <c r="P379" i="19"/>
  <c r="O379" i="19"/>
  <c r="N379" i="19"/>
  <c r="P377" i="19"/>
  <c r="O377" i="19"/>
  <c r="N377" i="19"/>
  <c r="P376" i="19"/>
  <c r="O376" i="19"/>
  <c r="N376" i="19"/>
  <c r="P375" i="19"/>
  <c r="O375" i="19"/>
  <c r="N375" i="19"/>
  <c r="P374" i="19"/>
  <c r="O374" i="19"/>
  <c r="N374" i="19"/>
  <c r="P373" i="19"/>
  <c r="O373" i="19"/>
  <c r="N373" i="19"/>
  <c r="P372" i="19"/>
  <c r="O372" i="19"/>
  <c r="N372" i="19"/>
  <c r="P371" i="19"/>
  <c r="O371" i="19"/>
  <c r="N371" i="19"/>
  <c r="P370" i="19"/>
  <c r="O370" i="19"/>
  <c r="N370" i="19"/>
  <c r="P369" i="19"/>
  <c r="O369" i="19"/>
  <c r="N369" i="19"/>
  <c r="P368" i="19"/>
  <c r="O368" i="19"/>
  <c r="N368" i="19"/>
  <c r="P367" i="19"/>
  <c r="O367" i="19"/>
  <c r="N367" i="19"/>
  <c r="P366" i="19"/>
  <c r="O366" i="19"/>
  <c r="N366" i="19"/>
  <c r="P365" i="19"/>
  <c r="O365" i="19"/>
  <c r="N365" i="19"/>
  <c r="P364" i="19"/>
  <c r="O364" i="19"/>
  <c r="N364" i="19"/>
  <c r="P362" i="19"/>
  <c r="O362" i="19"/>
  <c r="N362" i="19"/>
  <c r="P361" i="19"/>
  <c r="O361" i="19"/>
  <c r="N361" i="19"/>
  <c r="P360" i="19"/>
  <c r="O360" i="19"/>
  <c r="N360" i="19"/>
  <c r="P359" i="19"/>
  <c r="O359" i="19"/>
  <c r="N359" i="19"/>
  <c r="P358" i="19"/>
  <c r="O358" i="19"/>
  <c r="N358" i="19"/>
  <c r="P357" i="19"/>
  <c r="O357" i="19"/>
  <c r="N357" i="19"/>
  <c r="P356" i="19"/>
  <c r="O356" i="19"/>
  <c r="N356" i="19"/>
  <c r="P355" i="19"/>
  <c r="O355" i="19"/>
  <c r="N355" i="19"/>
  <c r="P354" i="19"/>
  <c r="O354" i="19"/>
  <c r="N354" i="19"/>
  <c r="P353" i="19"/>
  <c r="O353" i="19"/>
  <c r="N353" i="19"/>
  <c r="P352" i="19"/>
  <c r="O352" i="19"/>
  <c r="N352" i="19"/>
  <c r="P351" i="19"/>
  <c r="O351" i="19"/>
  <c r="N351" i="19"/>
  <c r="P350" i="19"/>
  <c r="O350" i="19"/>
  <c r="N350" i="19"/>
  <c r="P349" i="19"/>
  <c r="O349" i="19"/>
  <c r="N349" i="19"/>
  <c r="P348" i="19"/>
  <c r="O348" i="19"/>
  <c r="N348" i="19"/>
  <c r="P347" i="19"/>
  <c r="O347" i="19"/>
  <c r="N347" i="19"/>
  <c r="P346" i="19"/>
  <c r="O346" i="19"/>
  <c r="N346" i="19"/>
  <c r="P345" i="19"/>
  <c r="O345" i="19"/>
  <c r="N345" i="19"/>
  <c r="P344" i="19"/>
  <c r="O344" i="19"/>
  <c r="N344" i="19"/>
  <c r="P343" i="19"/>
  <c r="O343" i="19"/>
  <c r="N343" i="19"/>
  <c r="P342" i="19"/>
  <c r="O342" i="19"/>
  <c r="N342" i="19"/>
  <c r="P341" i="19"/>
  <c r="O341" i="19"/>
  <c r="N341" i="19"/>
  <c r="P340" i="19"/>
  <c r="O340" i="19"/>
  <c r="N340" i="19"/>
  <c r="P339" i="19"/>
  <c r="O339" i="19"/>
  <c r="N339" i="19"/>
  <c r="P338" i="19"/>
  <c r="O338" i="19"/>
  <c r="N338" i="19"/>
  <c r="P337" i="19"/>
  <c r="O337" i="19"/>
  <c r="N337" i="19"/>
  <c r="P335" i="19"/>
  <c r="O335" i="19"/>
  <c r="N335" i="19"/>
  <c r="P334" i="19"/>
  <c r="O334" i="19"/>
  <c r="N334" i="19"/>
  <c r="P333" i="19"/>
  <c r="O333" i="19"/>
  <c r="N333" i="19"/>
  <c r="P332" i="19"/>
  <c r="O332" i="19"/>
  <c r="N332" i="19"/>
  <c r="P331" i="19"/>
  <c r="O331" i="19"/>
  <c r="N331" i="19"/>
  <c r="P329" i="19"/>
  <c r="O329" i="19"/>
  <c r="N329" i="19"/>
  <c r="P328" i="19"/>
  <c r="O328" i="19"/>
  <c r="N328" i="19"/>
  <c r="P327" i="19"/>
  <c r="O327" i="19"/>
  <c r="N327" i="19"/>
  <c r="P326" i="19"/>
  <c r="O326" i="19"/>
  <c r="N326" i="19"/>
  <c r="P325" i="19"/>
  <c r="O325" i="19"/>
  <c r="N325" i="19"/>
  <c r="P324" i="19"/>
  <c r="O324" i="19"/>
  <c r="N324" i="19"/>
  <c r="P323" i="19"/>
  <c r="O323" i="19"/>
  <c r="N323" i="19"/>
  <c r="P322" i="19"/>
  <c r="O322" i="19"/>
  <c r="N322" i="19"/>
  <c r="P321" i="19"/>
  <c r="O321" i="19"/>
  <c r="N321" i="19"/>
  <c r="P320" i="19"/>
  <c r="O320" i="19"/>
  <c r="N320" i="19"/>
  <c r="P319" i="19"/>
  <c r="O319" i="19"/>
  <c r="N319" i="19"/>
  <c r="P318" i="19"/>
  <c r="O318" i="19"/>
  <c r="N318" i="19"/>
  <c r="P317" i="19"/>
  <c r="O317" i="19"/>
  <c r="N317" i="19"/>
  <c r="P315" i="19"/>
  <c r="O315" i="19"/>
  <c r="N315" i="19"/>
  <c r="P314" i="19"/>
  <c r="O314" i="19"/>
  <c r="N314" i="19"/>
  <c r="P313" i="19"/>
  <c r="O313" i="19"/>
  <c r="N313" i="19"/>
  <c r="P312" i="19"/>
  <c r="O312" i="19"/>
  <c r="N312" i="19"/>
  <c r="P311" i="19"/>
  <c r="O311" i="19"/>
  <c r="N311" i="19"/>
  <c r="P310" i="19"/>
  <c r="O310" i="19"/>
  <c r="N310"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O301" i="19"/>
  <c r="N301" i="19"/>
  <c r="P300" i="19"/>
  <c r="O300" i="19"/>
  <c r="N300" i="19"/>
  <c r="P298" i="19"/>
  <c r="O298" i="19"/>
  <c r="N298" i="19"/>
  <c r="P297" i="19"/>
  <c r="O297" i="19"/>
  <c r="N297" i="19"/>
  <c r="P296" i="19"/>
  <c r="O296" i="19"/>
  <c r="N296" i="19"/>
  <c r="P295" i="19"/>
  <c r="O295" i="19"/>
  <c r="N295" i="19"/>
  <c r="P294" i="19"/>
  <c r="O294" i="19"/>
  <c r="N294" i="19"/>
  <c r="P293" i="19"/>
  <c r="O293" i="19"/>
  <c r="N293" i="19"/>
  <c r="P292" i="19"/>
  <c r="O292" i="19"/>
  <c r="N292" i="19"/>
  <c r="P291" i="19"/>
  <c r="O291" i="19"/>
  <c r="N291" i="19"/>
  <c r="P290" i="19"/>
  <c r="O290" i="19"/>
  <c r="N290" i="19"/>
  <c r="P289" i="19"/>
  <c r="O289" i="19"/>
  <c r="N289" i="19"/>
  <c r="P288" i="19"/>
  <c r="O288" i="19"/>
  <c r="N288" i="19"/>
  <c r="P287" i="19"/>
  <c r="O287" i="19"/>
  <c r="N287" i="19"/>
  <c r="P282" i="19"/>
  <c r="O282" i="19"/>
  <c r="N282" i="19"/>
  <c r="P280" i="19"/>
  <c r="O280" i="19"/>
  <c r="N280" i="19"/>
  <c r="P279" i="19"/>
  <c r="O279" i="19"/>
  <c r="N279" i="19"/>
  <c r="P278" i="19"/>
  <c r="O278" i="19"/>
  <c r="N278" i="19"/>
  <c r="P277" i="19"/>
  <c r="O277" i="19"/>
  <c r="N277" i="19"/>
  <c r="P276" i="19"/>
  <c r="O276" i="19"/>
  <c r="N276" i="19"/>
  <c r="P275" i="19"/>
  <c r="O275" i="19"/>
  <c r="N275" i="19"/>
  <c r="P274" i="19"/>
  <c r="O274" i="19"/>
  <c r="N274" i="19"/>
  <c r="P273" i="19"/>
  <c r="O273" i="19"/>
  <c r="N273" i="19"/>
  <c r="P272" i="19"/>
  <c r="O272" i="19"/>
  <c r="N272" i="19"/>
  <c r="P271" i="19"/>
  <c r="O271" i="19"/>
  <c r="N271" i="19"/>
  <c r="P270" i="19"/>
  <c r="O270" i="19"/>
  <c r="N270" i="19"/>
  <c r="P269" i="19"/>
  <c r="O269" i="19"/>
  <c r="N269" i="19"/>
  <c r="P268" i="19"/>
  <c r="O268" i="19"/>
  <c r="N268" i="19"/>
  <c r="P267" i="19"/>
  <c r="O267" i="19"/>
  <c r="N267" i="19"/>
  <c r="P266" i="19"/>
  <c r="O266" i="19"/>
  <c r="N266" i="19"/>
  <c r="P265" i="19"/>
  <c r="O265" i="19"/>
  <c r="N265" i="19"/>
  <c r="P263" i="19"/>
  <c r="O263" i="19"/>
  <c r="N263" i="19"/>
  <c r="P262" i="19"/>
  <c r="O262" i="19"/>
  <c r="N262" i="19"/>
  <c r="P261" i="19"/>
  <c r="O261" i="19"/>
  <c r="N261" i="19"/>
  <c r="P260" i="19"/>
  <c r="O260" i="19"/>
  <c r="N260" i="19"/>
  <c r="P259" i="19"/>
  <c r="O259" i="19"/>
  <c r="N259" i="19"/>
  <c r="P258" i="19"/>
  <c r="O258" i="19"/>
  <c r="N258" i="19"/>
  <c r="P257" i="19"/>
  <c r="O257" i="19"/>
  <c r="N257" i="19"/>
  <c r="P256" i="19"/>
  <c r="O256" i="19"/>
  <c r="N256" i="19"/>
  <c r="P254" i="19"/>
  <c r="O254" i="19"/>
  <c r="N254" i="19"/>
  <c r="P253" i="19"/>
  <c r="O253" i="19"/>
  <c r="N253" i="19"/>
  <c r="P252" i="19"/>
  <c r="O252" i="19"/>
  <c r="N252" i="19"/>
  <c r="P251" i="19"/>
  <c r="O251" i="19"/>
  <c r="N251" i="19"/>
  <c r="P249" i="19"/>
  <c r="O249" i="19"/>
  <c r="N249" i="19"/>
  <c r="P248" i="19"/>
  <c r="O248" i="19"/>
  <c r="N248" i="19"/>
  <c r="P247" i="19"/>
  <c r="O247" i="19"/>
  <c r="N247" i="19"/>
  <c r="P246" i="19"/>
  <c r="O246" i="19"/>
  <c r="N246" i="19"/>
  <c r="P245" i="19"/>
  <c r="O245" i="19"/>
  <c r="N245" i="19"/>
  <c r="P244" i="19"/>
  <c r="O244" i="19"/>
  <c r="N244" i="19"/>
  <c r="P242" i="19"/>
  <c r="O242" i="19"/>
  <c r="N242" i="19"/>
  <c r="P240" i="19"/>
  <c r="O240" i="19"/>
  <c r="N240" i="19"/>
  <c r="P238" i="19"/>
  <c r="O238" i="19"/>
  <c r="N238" i="19"/>
  <c r="P236" i="19"/>
  <c r="O236" i="19"/>
  <c r="N236" i="19"/>
  <c r="P235" i="19"/>
  <c r="O235" i="19"/>
  <c r="N235" i="19"/>
  <c r="P234" i="19"/>
  <c r="O234" i="19"/>
  <c r="N234" i="19"/>
  <c r="P233" i="19"/>
  <c r="O233" i="19"/>
  <c r="N233" i="19"/>
  <c r="P231" i="19"/>
  <c r="O231" i="19"/>
  <c r="N231" i="19"/>
  <c r="P230" i="19"/>
  <c r="O230" i="19"/>
  <c r="N230" i="19"/>
  <c r="P229" i="19"/>
  <c r="O229" i="19"/>
  <c r="N229" i="19"/>
  <c r="P227" i="19"/>
  <c r="O227" i="19"/>
  <c r="N227" i="19"/>
  <c r="P225" i="19"/>
  <c r="O225" i="19"/>
  <c r="N225" i="19"/>
  <c r="P224" i="19"/>
  <c r="O224" i="19"/>
  <c r="N224" i="19"/>
  <c r="P223" i="19"/>
  <c r="O223" i="19"/>
  <c r="N223" i="19"/>
  <c r="P221" i="19"/>
  <c r="O221" i="19"/>
  <c r="N221" i="19"/>
  <c r="P220" i="19"/>
  <c r="O220" i="19"/>
  <c r="N220" i="19"/>
  <c r="P219" i="19"/>
  <c r="O219" i="19"/>
  <c r="N219" i="19"/>
  <c r="P218" i="19"/>
  <c r="O218" i="19"/>
  <c r="N218" i="19"/>
  <c r="P217" i="19"/>
  <c r="O217" i="19"/>
  <c r="N217" i="19"/>
  <c r="P216" i="19"/>
  <c r="O216" i="19"/>
  <c r="N216" i="19"/>
  <c r="P214" i="19"/>
  <c r="O214" i="19"/>
  <c r="N214" i="19"/>
  <c r="P213" i="19"/>
  <c r="O213" i="19"/>
  <c r="N213" i="19"/>
  <c r="P212" i="19"/>
  <c r="O212" i="19"/>
  <c r="N212" i="19"/>
  <c r="P211" i="19"/>
  <c r="O211" i="19"/>
  <c r="N211" i="19"/>
  <c r="P210" i="19"/>
  <c r="O210" i="19"/>
  <c r="N210" i="19"/>
  <c r="P209" i="19"/>
  <c r="O209" i="19"/>
  <c r="N209" i="19"/>
  <c r="P208" i="19"/>
  <c r="O208" i="19"/>
  <c r="N208" i="19"/>
  <c r="P206" i="19"/>
  <c r="O206" i="19"/>
  <c r="N206" i="19"/>
  <c r="P205" i="19"/>
  <c r="O205" i="19"/>
  <c r="N205" i="19"/>
  <c r="P203" i="19"/>
  <c r="O203" i="19"/>
  <c r="N203" i="19"/>
  <c r="P202" i="19"/>
  <c r="O202" i="19"/>
  <c r="N202" i="19"/>
  <c r="P201" i="19"/>
  <c r="O201" i="19"/>
  <c r="N201" i="19"/>
  <c r="P200" i="19"/>
  <c r="O200" i="19"/>
  <c r="N200" i="19"/>
  <c r="P198" i="19"/>
  <c r="O198" i="19"/>
  <c r="N198" i="19"/>
  <c r="P197" i="19"/>
  <c r="O197" i="19"/>
  <c r="N197" i="19"/>
  <c r="P196" i="19"/>
  <c r="O196" i="19"/>
  <c r="N196" i="19"/>
  <c r="P195" i="19"/>
  <c r="O195" i="19"/>
  <c r="N195" i="19"/>
  <c r="P194" i="19"/>
  <c r="O194" i="19"/>
  <c r="N194" i="19"/>
  <c r="P192" i="19"/>
  <c r="O192" i="19"/>
  <c r="N192" i="19"/>
  <c r="P191" i="19"/>
  <c r="O191" i="19"/>
  <c r="N191" i="19"/>
  <c r="P190" i="19"/>
  <c r="O190" i="19"/>
  <c r="N190" i="19"/>
  <c r="P189" i="19"/>
  <c r="O189" i="19"/>
  <c r="N189" i="19"/>
  <c r="P188" i="19"/>
  <c r="O188" i="19"/>
  <c r="N188" i="19"/>
  <c r="P187" i="19"/>
  <c r="O187" i="19"/>
  <c r="N187" i="19"/>
  <c r="P186" i="19"/>
  <c r="O186" i="19"/>
  <c r="N186" i="19"/>
  <c r="P185" i="19"/>
  <c r="O185" i="19"/>
  <c r="N185" i="19"/>
  <c r="P184" i="19"/>
  <c r="O184" i="19"/>
  <c r="N184" i="19"/>
  <c r="P183" i="19"/>
  <c r="O183" i="19"/>
  <c r="N183" i="19"/>
  <c r="P182" i="19"/>
  <c r="O182" i="19"/>
  <c r="N182" i="19"/>
  <c r="P181" i="19"/>
  <c r="O181" i="19"/>
  <c r="N181" i="19"/>
  <c r="P179" i="19"/>
  <c r="O179" i="19"/>
  <c r="N179" i="19"/>
  <c r="P178" i="19"/>
  <c r="O178" i="19"/>
  <c r="N178" i="19"/>
  <c r="P177" i="19"/>
  <c r="O177" i="19"/>
  <c r="N177" i="19"/>
  <c r="P176" i="19"/>
  <c r="O176" i="19"/>
  <c r="N176" i="19"/>
  <c r="P175" i="19"/>
  <c r="O175" i="19"/>
  <c r="N175" i="19"/>
  <c r="P174" i="19"/>
  <c r="O174" i="19"/>
  <c r="N174" i="19"/>
  <c r="P173" i="19"/>
  <c r="O173" i="19"/>
  <c r="N173" i="19"/>
  <c r="P172" i="19"/>
  <c r="O172" i="19"/>
  <c r="N172" i="19"/>
  <c r="P171" i="19"/>
  <c r="O171" i="19"/>
  <c r="N171" i="19"/>
  <c r="P170" i="19"/>
  <c r="O170" i="19"/>
  <c r="N170" i="19"/>
  <c r="P169" i="19"/>
  <c r="O169" i="19"/>
  <c r="N169" i="19"/>
  <c r="P167" i="19"/>
  <c r="O167" i="19"/>
  <c r="N167" i="19"/>
  <c r="P166" i="19"/>
  <c r="O166" i="19"/>
  <c r="N166" i="19"/>
  <c r="P164" i="19"/>
  <c r="O164" i="19"/>
  <c r="N164" i="19"/>
  <c r="P163" i="19"/>
  <c r="O163" i="19"/>
  <c r="N163" i="19"/>
  <c r="P162" i="19"/>
  <c r="O162" i="19"/>
  <c r="N162" i="19"/>
  <c r="P161" i="19"/>
  <c r="O161" i="19"/>
  <c r="N161" i="19"/>
  <c r="P160" i="19"/>
  <c r="O160" i="19"/>
  <c r="N160" i="19"/>
  <c r="P159" i="19"/>
  <c r="O159" i="19"/>
  <c r="N159" i="19"/>
  <c r="P157" i="19"/>
  <c r="O157" i="19"/>
  <c r="N157" i="19"/>
  <c r="P156" i="19"/>
  <c r="O156" i="19"/>
  <c r="N156" i="19"/>
  <c r="P155" i="19"/>
  <c r="O155" i="19"/>
  <c r="N155" i="19"/>
  <c r="P154" i="19"/>
  <c r="O154" i="19"/>
  <c r="N154" i="19"/>
  <c r="P153" i="19"/>
  <c r="O153" i="19"/>
  <c r="N153" i="19"/>
  <c r="P152" i="19"/>
  <c r="O152" i="19"/>
  <c r="N152" i="19"/>
  <c r="P151" i="19"/>
  <c r="O151" i="19"/>
  <c r="N151" i="19"/>
  <c r="P150" i="19"/>
  <c r="O150" i="19"/>
  <c r="N150" i="19"/>
  <c r="P149" i="19"/>
  <c r="O149" i="19"/>
  <c r="N149" i="19"/>
  <c r="P148" i="19"/>
  <c r="O148" i="19"/>
  <c r="N148" i="19"/>
  <c r="P146" i="19"/>
  <c r="O146" i="19"/>
  <c r="N146" i="19"/>
  <c r="P145" i="19"/>
  <c r="O145" i="19"/>
  <c r="N145" i="19"/>
  <c r="P144" i="19"/>
  <c r="O144" i="19"/>
  <c r="N144" i="19"/>
  <c r="P143" i="19"/>
  <c r="O143" i="19"/>
  <c r="N143" i="19"/>
  <c r="P142" i="19"/>
  <c r="O142" i="19"/>
  <c r="N142" i="19"/>
  <c r="P141" i="19"/>
  <c r="O141" i="19"/>
  <c r="N141" i="19"/>
  <c r="P140" i="19"/>
  <c r="O140" i="19"/>
  <c r="N140" i="19"/>
  <c r="P139" i="19"/>
  <c r="O139" i="19"/>
  <c r="N139" i="19"/>
  <c r="P138" i="19"/>
  <c r="O138" i="19"/>
  <c r="N138" i="19"/>
  <c r="P136" i="19"/>
  <c r="O136" i="19"/>
  <c r="N136" i="19"/>
  <c r="P135" i="19"/>
  <c r="O135" i="19"/>
  <c r="N135" i="19"/>
  <c r="P134" i="19"/>
  <c r="O134" i="19"/>
  <c r="N134" i="19"/>
  <c r="P133" i="19"/>
  <c r="O133" i="19"/>
  <c r="N133" i="19"/>
  <c r="P132" i="19"/>
  <c r="O132" i="19"/>
  <c r="N132" i="19"/>
  <c r="P131" i="19"/>
  <c r="O131" i="19"/>
  <c r="N131" i="19"/>
  <c r="P130" i="19"/>
  <c r="O130" i="19"/>
  <c r="N130" i="19"/>
  <c r="P129" i="19"/>
  <c r="O129" i="19"/>
  <c r="N129" i="19"/>
  <c r="P127" i="19"/>
  <c r="O127" i="19"/>
  <c r="N127" i="19"/>
  <c r="P126" i="19"/>
  <c r="O126" i="19"/>
  <c r="N126" i="19"/>
  <c r="P125" i="19"/>
  <c r="O125" i="19"/>
  <c r="N125" i="19"/>
  <c r="P124" i="19"/>
  <c r="O124" i="19"/>
  <c r="N124" i="19"/>
  <c r="P123" i="19"/>
  <c r="O123" i="19"/>
  <c r="N123" i="19"/>
  <c r="P122" i="19"/>
  <c r="O122" i="19"/>
  <c r="N122" i="19"/>
  <c r="P121" i="19"/>
  <c r="O121" i="19"/>
  <c r="N121" i="19"/>
  <c r="P120" i="19"/>
  <c r="O120" i="19"/>
  <c r="N120" i="19"/>
  <c r="P119" i="19"/>
  <c r="O119" i="19"/>
  <c r="N119" i="19"/>
  <c r="P117" i="19"/>
  <c r="O117" i="19"/>
  <c r="N117" i="19"/>
  <c r="P116" i="19"/>
  <c r="O116" i="19"/>
  <c r="N116" i="19"/>
  <c r="P115" i="19"/>
  <c r="O115" i="19"/>
  <c r="N115" i="19"/>
  <c r="P114" i="19"/>
  <c r="O114" i="19"/>
  <c r="N114" i="19"/>
  <c r="P113" i="19"/>
  <c r="O113" i="19"/>
  <c r="N113" i="19"/>
  <c r="P112" i="19"/>
  <c r="O112" i="19"/>
  <c r="N112"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7" i="19"/>
  <c r="O97" i="19"/>
  <c r="N97" i="19"/>
  <c r="P95" i="19"/>
  <c r="O95" i="19"/>
  <c r="N95" i="19"/>
  <c r="P94" i="19"/>
  <c r="O94" i="19"/>
  <c r="N94" i="19"/>
  <c r="P93" i="19"/>
  <c r="O93" i="19"/>
  <c r="N93" i="19"/>
  <c r="P92" i="19"/>
  <c r="O92" i="19"/>
  <c r="N92" i="19"/>
  <c r="P91" i="19"/>
  <c r="O91" i="19"/>
  <c r="N91" i="19"/>
  <c r="P90" i="19"/>
  <c r="O90" i="19"/>
  <c r="N90" i="19"/>
  <c r="P89" i="19"/>
  <c r="O89" i="19"/>
  <c r="N89" i="19"/>
  <c r="P87" i="19"/>
  <c r="O87" i="19"/>
  <c r="N87" i="19"/>
  <c r="P86" i="19"/>
  <c r="O86" i="19"/>
  <c r="N86" i="19"/>
  <c r="P85" i="19"/>
  <c r="O85" i="19"/>
  <c r="N85" i="19"/>
  <c r="P84" i="19"/>
  <c r="O84" i="19"/>
  <c r="N84" i="19"/>
  <c r="P83" i="19"/>
  <c r="O83" i="19"/>
  <c r="N83" i="19"/>
  <c r="P82" i="19"/>
  <c r="O82" i="19"/>
  <c r="N82" i="19"/>
  <c r="P81" i="19"/>
  <c r="O81" i="19"/>
  <c r="N81" i="19"/>
  <c r="P80" i="19"/>
  <c r="O80" i="19"/>
  <c r="N80" i="19"/>
  <c r="P79" i="19"/>
  <c r="O79" i="19"/>
  <c r="N79" i="19"/>
  <c r="P77" i="19"/>
  <c r="O77" i="19"/>
  <c r="N77" i="19"/>
  <c r="P76" i="19"/>
  <c r="O76" i="19"/>
  <c r="N76" i="19"/>
  <c r="P75" i="19"/>
  <c r="O75" i="19"/>
  <c r="N75" i="19"/>
  <c r="P73" i="19"/>
  <c r="O73" i="19"/>
  <c r="N73" i="19"/>
  <c r="P72" i="19"/>
  <c r="O72" i="19"/>
  <c r="N72" i="19"/>
  <c r="P71" i="19"/>
  <c r="O71" i="19"/>
  <c r="N71" i="19"/>
  <c r="P70" i="19"/>
  <c r="O70" i="19"/>
  <c r="N70" i="19"/>
  <c r="P68" i="19"/>
  <c r="O68" i="19"/>
  <c r="N68" i="19"/>
  <c r="P67" i="19"/>
  <c r="O67" i="19"/>
  <c r="N67" i="19"/>
  <c r="P66" i="19"/>
  <c r="O66" i="19"/>
  <c r="N66" i="19"/>
  <c r="P65" i="19"/>
  <c r="O65" i="19"/>
  <c r="N65" i="19"/>
  <c r="P64" i="19"/>
  <c r="O64" i="19"/>
  <c r="N64" i="19"/>
  <c r="P63" i="19"/>
  <c r="O63" i="19"/>
  <c r="N63" i="19"/>
  <c r="P62" i="19"/>
  <c r="O62" i="19"/>
  <c r="N62" i="19"/>
  <c r="P61" i="19"/>
  <c r="O61" i="19"/>
  <c r="N61" i="19"/>
  <c r="P60" i="19"/>
  <c r="O60" i="19"/>
  <c r="N60" i="19"/>
  <c r="P59" i="19"/>
  <c r="O59" i="19"/>
  <c r="N59" i="19"/>
  <c r="P58" i="19"/>
  <c r="O58" i="19"/>
  <c r="N58" i="19"/>
  <c r="P57" i="19"/>
  <c r="O57" i="19"/>
  <c r="N57" i="19"/>
  <c r="P55" i="19"/>
  <c r="O55" i="19"/>
  <c r="N55" i="19"/>
  <c r="P54" i="19"/>
  <c r="O54" i="19"/>
  <c r="N54" i="19"/>
  <c r="P53" i="19"/>
  <c r="O53" i="19"/>
  <c r="N53" i="19"/>
  <c r="P52" i="19"/>
  <c r="O52" i="19"/>
  <c r="N52" i="19"/>
  <c r="P51" i="19"/>
  <c r="O51" i="19"/>
  <c r="N51" i="19"/>
  <c r="P50" i="19"/>
  <c r="O50" i="19"/>
  <c r="N50" i="19"/>
  <c r="P49" i="19"/>
  <c r="O49" i="19"/>
  <c r="N49" i="19"/>
  <c r="P48" i="19"/>
  <c r="O48" i="19"/>
  <c r="N48" i="19"/>
  <c r="P47" i="19"/>
  <c r="O47" i="19"/>
  <c r="N47" i="19"/>
  <c r="P46" i="19"/>
  <c r="O46" i="19"/>
  <c r="N46" i="19"/>
  <c r="P45" i="19"/>
  <c r="O45" i="19"/>
  <c r="N45" i="19"/>
  <c r="P44" i="19"/>
  <c r="O44" i="19"/>
  <c r="N44" i="19"/>
  <c r="P43" i="19"/>
  <c r="O43" i="19"/>
  <c r="N43" i="19"/>
  <c r="P42" i="19"/>
  <c r="O42" i="19"/>
  <c r="N42" i="19"/>
  <c r="P41" i="19"/>
  <c r="O41" i="19"/>
  <c r="N41" i="19"/>
  <c r="P40" i="19"/>
  <c r="O40" i="19"/>
  <c r="N40" i="19"/>
  <c r="P39" i="19"/>
  <c r="O39" i="19"/>
  <c r="N39"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Z1124" i="19"/>
  <c r="Z1123" i="19"/>
  <c r="Z1121" i="19"/>
  <c r="Z1119" i="19"/>
  <c r="Z1117" i="19"/>
  <c r="Z1115" i="19"/>
  <c r="Z1113" i="19"/>
  <c r="Z1111" i="19"/>
  <c r="Z1109" i="19"/>
  <c r="Z1107" i="19"/>
  <c r="Z1104" i="19"/>
  <c r="Z1102" i="19"/>
  <c r="Z1100" i="19"/>
  <c r="Z1098" i="19"/>
  <c r="Z1096" i="19"/>
  <c r="Z1095" i="19"/>
  <c r="Z1093" i="19"/>
  <c r="Z1091" i="19"/>
  <c r="Z1090" i="19"/>
  <c r="Z1088" i="19"/>
  <c r="Z1086" i="19"/>
  <c r="Z1082" i="19"/>
  <c r="Z1080" i="19"/>
  <c r="Z1079" i="19"/>
  <c r="Z1077" i="19"/>
  <c r="Z1075" i="19"/>
  <c r="Z1072" i="19"/>
  <c r="Z1071" i="19"/>
  <c r="Z1070" i="19"/>
  <c r="Z1069" i="19"/>
  <c r="Z1068" i="19"/>
  <c r="Z1066" i="19"/>
  <c r="Z1065" i="19"/>
  <c r="Z1064" i="19"/>
  <c r="Z1063" i="19"/>
  <c r="Z1061" i="19"/>
  <c r="Z1060" i="19"/>
  <c r="Z1059" i="19"/>
  <c r="Z1058" i="19"/>
  <c r="Z1057" i="19"/>
  <c r="Z1055" i="19"/>
  <c r="Z1054" i="19"/>
  <c r="Z1053" i="19"/>
  <c r="Z1052" i="19"/>
  <c r="Z1050" i="19"/>
  <c r="Z1048" i="19"/>
  <c r="Z1047" i="19"/>
  <c r="Z1046" i="19"/>
  <c r="Z1045" i="19"/>
  <c r="Z1043" i="19"/>
  <c r="Z1042" i="19"/>
  <c r="Z1041" i="19"/>
  <c r="Z1040" i="19"/>
  <c r="Z1039" i="19"/>
  <c r="Z1038" i="19"/>
  <c r="Z1037" i="19"/>
  <c r="Z1036" i="19"/>
  <c r="Z1035" i="19"/>
  <c r="Z1034" i="19"/>
  <c r="Z1033" i="19"/>
  <c r="Z1032" i="19"/>
  <c r="Z1031" i="19"/>
  <c r="Z1030" i="19"/>
  <c r="Z1029" i="19"/>
  <c r="Z1028" i="19"/>
  <c r="Z1026" i="19"/>
  <c r="Z1024" i="19"/>
  <c r="Z1023" i="19"/>
  <c r="Z1022" i="19"/>
  <c r="Z1021" i="19"/>
  <c r="Z1020" i="19"/>
  <c r="Z1018" i="19"/>
  <c r="Z1016" i="19"/>
  <c r="Z1015" i="19"/>
  <c r="Z1014" i="19"/>
  <c r="Z1013" i="19"/>
  <c r="Z1012" i="19"/>
  <c r="Z1010" i="19"/>
  <c r="Z1009" i="19"/>
  <c r="Z1008" i="19"/>
  <c r="Z1006" i="19"/>
  <c r="Z1005" i="19"/>
  <c r="Z1004" i="19"/>
  <c r="Z1003" i="19"/>
  <c r="Z1002" i="19"/>
  <c r="Z1001" i="19"/>
  <c r="Z1000" i="19"/>
  <c r="Z999" i="19"/>
  <c r="Z998" i="19"/>
  <c r="Z997" i="19"/>
  <c r="Z996" i="19"/>
  <c r="Z995" i="19"/>
  <c r="Z994" i="19"/>
  <c r="Z993" i="19"/>
  <c r="Z992" i="19"/>
  <c r="Z991" i="19"/>
  <c r="Z990" i="19"/>
  <c r="Z989" i="19"/>
  <c r="Z987" i="19"/>
  <c r="Z986" i="19"/>
  <c r="Z985" i="19"/>
  <c r="Z984" i="19"/>
  <c r="Z983" i="19"/>
  <c r="Z982" i="19"/>
  <c r="Z981" i="19"/>
  <c r="Z980" i="19"/>
  <c r="Z979" i="19"/>
  <c r="Z978" i="19"/>
  <c r="Z977" i="19"/>
  <c r="Z976" i="19"/>
  <c r="Z975" i="19"/>
  <c r="Z973" i="19"/>
  <c r="Z971" i="19"/>
  <c r="Z970" i="19"/>
  <c r="Z968" i="19"/>
  <c r="Z967" i="19"/>
  <c r="Z966" i="19"/>
  <c r="Z965" i="19"/>
  <c r="Z964" i="19"/>
  <c r="Z963" i="19"/>
  <c r="Z962" i="19"/>
  <c r="Z961" i="19"/>
  <c r="Z959" i="19"/>
  <c r="Z958" i="19"/>
  <c r="Z956" i="19"/>
  <c r="Z955" i="19"/>
  <c r="Z954" i="19"/>
  <c r="Z952" i="19"/>
  <c r="Z951" i="19"/>
  <c r="Z950" i="19"/>
  <c r="Z948" i="19"/>
  <c r="Z947" i="19"/>
  <c r="Z945" i="19"/>
  <c r="Z944" i="19"/>
  <c r="Z943" i="19"/>
  <c r="Z941" i="19"/>
  <c r="Z940" i="19"/>
  <c r="Z939" i="19"/>
  <c r="Z938" i="19"/>
  <c r="Z936" i="19"/>
  <c r="Z935" i="19"/>
  <c r="Z934" i="19"/>
  <c r="Z933" i="19"/>
  <c r="Z932" i="19"/>
  <c r="Z931" i="19"/>
  <c r="Z930" i="19"/>
  <c r="Z929" i="19"/>
  <c r="Z927" i="19"/>
  <c r="Z925" i="19"/>
  <c r="Z924" i="19"/>
  <c r="Z922" i="19"/>
  <c r="Z920" i="19"/>
  <c r="Z919" i="19"/>
  <c r="Z917" i="19"/>
  <c r="Z916" i="19"/>
  <c r="Z914" i="19"/>
  <c r="Z912" i="19"/>
  <c r="Z910" i="19"/>
  <c r="Z908" i="19"/>
  <c r="Z905" i="19"/>
  <c r="Z904" i="19"/>
  <c r="Z903" i="19"/>
  <c r="Z902" i="19"/>
  <c r="Z901" i="19"/>
  <c r="Z900" i="19"/>
  <c r="Z898" i="19"/>
  <c r="Z897" i="19"/>
  <c r="Z896" i="19"/>
  <c r="Z895" i="19"/>
  <c r="Z894" i="19"/>
  <c r="Z893" i="19"/>
  <c r="Z891" i="19"/>
  <c r="Z890" i="19"/>
  <c r="Z889" i="19"/>
  <c r="Z888" i="19"/>
  <c r="Z887" i="19"/>
  <c r="Z886" i="19"/>
  <c r="Z885" i="19"/>
  <c r="Z883" i="19"/>
  <c r="Z882" i="19"/>
  <c r="Z881" i="19"/>
  <c r="Z880" i="19"/>
  <c r="Z879" i="19"/>
  <c r="Z878" i="19"/>
  <c r="Z877" i="19"/>
  <c r="Z875" i="19"/>
  <c r="Z874" i="19"/>
  <c r="Z873" i="19"/>
  <c r="Z872" i="19"/>
  <c r="Z871" i="19"/>
  <c r="Z870" i="19"/>
  <c r="Z869" i="19"/>
  <c r="Z868" i="19"/>
  <c r="Z867" i="19"/>
  <c r="Z866" i="19"/>
  <c r="Z865" i="19"/>
  <c r="Z863" i="19"/>
  <c r="Z862" i="19"/>
  <c r="Z861" i="19"/>
  <c r="Z860" i="19"/>
  <c r="Z859" i="19"/>
  <c r="Z858" i="19"/>
  <c r="Z857" i="19"/>
  <c r="Z856" i="19"/>
  <c r="Z855" i="19"/>
  <c r="Z854" i="19"/>
  <c r="Z853" i="19"/>
  <c r="Z851" i="19"/>
  <c r="Z850" i="19"/>
  <c r="Z848" i="19"/>
  <c r="Z847" i="19"/>
  <c r="Z845" i="19"/>
  <c r="Z844" i="19"/>
  <c r="Z842" i="19"/>
  <c r="Z841" i="19"/>
  <c r="Z839" i="19"/>
  <c r="Z838" i="19"/>
  <c r="Z836" i="19"/>
  <c r="Z834" i="19"/>
  <c r="Z833" i="19"/>
  <c r="Z831" i="19"/>
  <c r="Z829" i="19"/>
  <c r="Z828" i="19"/>
  <c r="Z826" i="19"/>
  <c r="Z824" i="19"/>
  <c r="Z822" i="19"/>
  <c r="Z820" i="19"/>
  <c r="Z817" i="19"/>
  <c r="Z815" i="19"/>
  <c r="Z813" i="19"/>
  <c r="Z811" i="19"/>
  <c r="Z809" i="19"/>
  <c r="Z808" i="19"/>
  <c r="Z807" i="19"/>
  <c r="Z806" i="19"/>
  <c r="Z804" i="19"/>
  <c r="Z803" i="19"/>
  <c r="Z802" i="19"/>
  <c r="Z801" i="19"/>
  <c r="Z799" i="19"/>
  <c r="Z797" i="19"/>
  <c r="Z796" i="19"/>
  <c r="Z794" i="19"/>
  <c r="Z793" i="19"/>
  <c r="Z791" i="19"/>
  <c r="Z789" i="19"/>
  <c r="Z788" i="19"/>
  <c r="Z787" i="19"/>
  <c r="Z785" i="19"/>
  <c r="Z784" i="19"/>
  <c r="Z782" i="19"/>
  <c r="Z781" i="19"/>
  <c r="Z780" i="19"/>
  <c r="Z779" i="19"/>
  <c r="Z778" i="19"/>
  <c r="Z777" i="19"/>
  <c r="Z776" i="19"/>
  <c r="Z775" i="19"/>
  <c r="Z774" i="19"/>
  <c r="Z773" i="19"/>
  <c r="Z772" i="19"/>
  <c r="Z771" i="19"/>
  <c r="Z770" i="19"/>
  <c r="Z769" i="19"/>
  <c r="Z767" i="19"/>
  <c r="Z766" i="19"/>
  <c r="Z765" i="19"/>
  <c r="Z764" i="19"/>
  <c r="Z763" i="19"/>
  <c r="Z762" i="19"/>
  <c r="Z761" i="19"/>
  <c r="Z760" i="19"/>
  <c r="Z759" i="19"/>
  <c r="Z758" i="19"/>
  <c r="Z757" i="19"/>
  <c r="Z756" i="19"/>
  <c r="Z755" i="19"/>
  <c r="Z754" i="19"/>
  <c r="Z753" i="19"/>
  <c r="Z752" i="19"/>
  <c r="Z751" i="19"/>
  <c r="Z750" i="19"/>
  <c r="Z748" i="19"/>
  <c r="Z747" i="19"/>
  <c r="Z746" i="19"/>
  <c r="Z745" i="19"/>
  <c r="Z744" i="19"/>
  <c r="Z743" i="19"/>
  <c r="Z742" i="19"/>
  <c r="Z741" i="19"/>
  <c r="Z740" i="19"/>
  <c r="Z739" i="19"/>
  <c r="Z737" i="19"/>
  <c r="Z736" i="19"/>
  <c r="Z735" i="19"/>
  <c r="Z734" i="19"/>
  <c r="Z733" i="19"/>
  <c r="Z732" i="19"/>
  <c r="Z731" i="19"/>
  <c r="Z730" i="19"/>
  <c r="Z729" i="19"/>
  <c r="Z728" i="19"/>
  <c r="Z727" i="19"/>
  <c r="Z725" i="19"/>
  <c r="Z724" i="19"/>
  <c r="Z722" i="19"/>
  <c r="Z720" i="19"/>
  <c r="Z719" i="19"/>
  <c r="Z717" i="19"/>
  <c r="Z716" i="19"/>
  <c r="Z715" i="19"/>
  <c r="Z714" i="19"/>
  <c r="Z712" i="19"/>
  <c r="Z711" i="19"/>
  <c r="Z710" i="19"/>
  <c r="Z709" i="19"/>
  <c r="Z708" i="19"/>
  <c r="Z707" i="19"/>
  <c r="Z705" i="19"/>
  <c r="Z704" i="19"/>
  <c r="Z703" i="19"/>
  <c r="Z702" i="19"/>
  <c r="Z700" i="19"/>
  <c r="Z699" i="19"/>
  <c r="Z698" i="19"/>
  <c r="Z697" i="19"/>
  <c r="Z696" i="19"/>
  <c r="Z695" i="19"/>
  <c r="Z694" i="19"/>
  <c r="Z693" i="19"/>
  <c r="Z692" i="19"/>
  <c r="Z691" i="19"/>
  <c r="Z690" i="19"/>
  <c r="Z688" i="19"/>
  <c r="Z686" i="19"/>
  <c r="Z685" i="19"/>
  <c r="Z684" i="19"/>
  <c r="Z683" i="19"/>
  <c r="Z681" i="19"/>
  <c r="Z680" i="19"/>
  <c r="Z679" i="19"/>
  <c r="Z677" i="19"/>
  <c r="Z675" i="19"/>
  <c r="Z674" i="19"/>
  <c r="Z673" i="19"/>
  <c r="Z672" i="19"/>
  <c r="Z671" i="19"/>
  <c r="Z670" i="19"/>
  <c r="Z668" i="19"/>
  <c r="Z667" i="19"/>
  <c r="Z666" i="19"/>
  <c r="Z665" i="19"/>
  <c r="Z664" i="19"/>
  <c r="Z662" i="19"/>
  <c r="Z661" i="19"/>
  <c r="Z660" i="19"/>
  <c r="Z659" i="19"/>
  <c r="Z658" i="19"/>
  <c r="Z657" i="19"/>
  <c r="Z655" i="19"/>
  <c r="Z653" i="19"/>
  <c r="Z652" i="19"/>
  <c r="Z651" i="19"/>
  <c r="Z650" i="19"/>
  <c r="Z649" i="19"/>
  <c r="Z648" i="19"/>
  <c r="Z647" i="19"/>
  <c r="Z645" i="19"/>
  <c r="Z644" i="19"/>
  <c r="Z643" i="19"/>
  <c r="Z642" i="19"/>
  <c r="Z641" i="19"/>
  <c r="Z640" i="19"/>
  <c r="Z638" i="19"/>
  <c r="Z637" i="19"/>
  <c r="Z636" i="19"/>
  <c r="Z635" i="19"/>
  <c r="Z634" i="19"/>
  <c r="Z633" i="19"/>
  <c r="Z632" i="19"/>
  <c r="Z630" i="19"/>
  <c r="Z629" i="19"/>
  <c r="Z628" i="19"/>
  <c r="Z626" i="19"/>
  <c r="Z625" i="19"/>
  <c r="Z624" i="19"/>
  <c r="Z622" i="19"/>
  <c r="Z621" i="19"/>
  <c r="Z620" i="19"/>
  <c r="Z619" i="19"/>
  <c r="Z618" i="19"/>
  <c r="Z617" i="19"/>
  <c r="Z615" i="19"/>
  <c r="Z614" i="19"/>
  <c r="Z613" i="19"/>
  <c r="Z612" i="19"/>
  <c r="Z611" i="19"/>
  <c r="Z610" i="19"/>
  <c r="Z609" i="19"/>
  <c r="Z607" i="19"/>
  <c r="Z606" i="19"/>
  <c r="Z605" i="19"/>
  <c r="Z604" i="19"/>
  <c r="Z603" i="19"/>
  <c r="Z601" i="19"/>
  <c r="Z600" i="19"/>
  <c r="Z598" i="19"/>
  <c r="Z597" i="19"/>
  <c r="Z596" i="19"/>
  <c r="Z595" i="19"/>
  <c r="Z593" i="19"/>
  <c r="Z591" i="19"/>
  <c r="Z590" i="19"/>
  <c r="Z589" i="19"/>
  <c r="Z587" i="19"/>
  <c r="Z586" i="19"/>
  <c r="Z585" i="19"/>
  <c r="Z583" i="19"/>
  <c r="Z582" i="19"/>
  <c r="Z581" i="19"/>
  <c r="Z579" i="19"/>
  <c r="Z578" i="19"/>
  <c r="Z577" i="19"/>
  <c r="Z575" i="19"/>
  <c r="Z573" i="19"/>
  <c r="Z572" i="19"/>
  <c r="Z571" i="19"/>
  <c r="Z569" i="19"/>
  <c r="Z567" i="19"/>
  <c r="Z566" i="19"/>
  <c r="Z565" i="19"/>
  <c r="Z564" i="19"/>
  <c r="Z563" i="19"/>
  <c r="Z561" i="19"/>
  <c r="Z560" i="19"/>
  <c r="Z559" i="19"/>
  <c r="Z557" i="19"/>
  <c r="Z556" i="19"/>
  <c r="Z555" i="19"/>
  <c r="Z554" i="19"/>
  <c r="Z552" i="19"/>
  <c r="Z551" i="19"/>
  <c r="Z550" i="19"/>
  <c r="Z549" i="19"/>
  <c r="Z548" i="19"/>
  <c r="Z547" i="19"/>
  <c r="Z546" i="19"/>
  <c r="Z544" i="19"/>
  <c r="Z543" i="19"/>
  <c r="Z542" i="19"/>
  <c r="Z541" i="19"/>
  <c r="Z540" i="19"/>
  <c r="Z539" i="19"/>
  <c r="Z538" i="19"/>
  <c r="Z537" i="19"/>
  <c r="Z535" i="19"/>
  <c r="Z534" i="19"/>
  <c r="Z533" i="19"/>
  <c r="Z532" i="19"/>
  <c r="Z531" i="19"/>
  <c r="Z530" i="19"/>
  <c r="Z529" i="19"/>
  <c r="Z528" i="19"/>
  <c r="Z526" i="19"/>
  <c r="Z525" i="19"/>
  <c r="Z524" i="19"/>
  <c r="Z523" i="19"/>
  <c r="Z522" i="19"/>
  <c r="Z521" i="19"/>
  <c r="Z520" i="19"/>
  <c r="Z519" i="19"/>
  <c r="Z518" i="19"/>
  <c r="Z516" i="19"/>
  <c r="Z515" i="19"/>
  <c r="Z514" i="19"/>
  <c r="Z513" i="19"/>
  <c r="Z512" i="19"/>
  <c r="Z511" i="19"/>
  <c r="Z510" i="19"/>
  <c r="Z509" i="19"/>
  <c r="Z508" i="19"/>
  <c r="Z507" i="19"/>
  <c r="Z505" i="19"/>
  <c r="Z504" i="19"/>
  <c r="Z503" i="19"/>
  <c r="Z502" i="19"/>
  <c r="Z501" i="19"/>
  <c r="Z500" i="19"/>
  <c r="Z499" i="19"/>
  <c r="Z498" i="19"/>
  <c r="Z497" i="19"/>
  <c r="Z496" i="19"/>
  <c r="Z494" i="19"/>
  <c r="Z493" i="19"/>
  <c r="Z492" i="19"/>
  <c r="Z490" i="19"/>
  <c r="Z489" i="19"/>
  <c r="Z488" i="19"/>
  <c r="Z487" i="19"/>
  <c r="Z485" i="19"/>
  <c r="Z484" i="19"/>
  <c r="Z482" i="19"/>
  <c r="Z481" i="19"/>
  <c r="Z480" i="19"/>
  <c r="Z478" i="19"/>
  <c r="Z477" i="19"/>
  <c r="Z475" i="19"/>
  <c r="Z474" i="19"/>
  <c r="Z473" i="19"/>
  <c r="Z472" i="19"/>
  <c r="Z470" i="19"/>
  <c r="Z469" i="19"/>
  <c r="Z468" i="19"/>
  <c r="Z467" i="19"/>
  <c r="Z465" i="19"/>
  <c r="Z464" i="19"/>
  <c r="Z463" i="19"/>
  <c r="Z461" i="19"/>
  <c r="Z460" i="19"/>
  <c r="Z458" i="19"/>
  <c r="Z457" i="19"/>
  <c r="Z456" i="19"/>
  <c r="Z454" i="19"/>
  <c r="Z453" i="19"/>
  <c r="Z451" i="19"/>
  <c r="Z450" i="19"/>
  <c r="Z449" i="19"/>
  <c r="Z448" i="19"/>
  <c r="Z446" i="19"/>
  <c r="Z444" i="19"/>
  <c r="Z443" i="19"/>
  <c r="Z442" i="19"/>
  <c r="Z441" i="19"/>
  <c r="Z439" i="19"/>
  <c r="Z438" i="19"/>
  <c r="Z437" i="19"/>
  <c r="Z435" i="19"/>
  <c r="Z434" i="19"/>
  <c r="Z433" i="19"/>
  <c r="Z432" i="19"/>
  <c r="Z431" i="19"/>
  <c r="Z430" i="19"/>
  <c r="Z428" i="19"/>
  <c r="Z427" i="19"/>
  <c r="Z426" i="19"/>
  <c r="Z424" i="19"/>
  <c r="Z423" i="19"/>
  <c r="Z422" i="19"/>
  <c r="Z421" i="19"/>
  <c r="Z420" i="19"/>
  <c r="Z419" i="19"/>
  <c r="Z418" i="19"/>
  <c r="Z417" i="19"/>
  <c r="Z416" i="19"/>
  <c r="Z415" i="19"/>
  <c r="Z413" i="19"/>
  <c r="Z412" i="19"/>
  <c r="Z410" i="19"/>
  <c r="Z409" i="19"/>
  <c r="Z408" i="19"/>
  <c r="Z407" i="19"/>
  <c r="Z405" i="19"/>
  <c r="Z404" i="19"/>
  <c r="Z403" i="19"/>
  <c r="Z402" i="19"/>
  <c r="Z401" i="19"/>
  <c r="Z400" i="19"/>
  <c r="Z399" i="19"/>
  <c r="Z398" i="19"/>
  <c r="Z396" i="19"/>
  <c r="Z395" i="19"/>
  <c r="Z393" i="19"/>
  <c r="Z391" i="19"/>
  <c r="Z389" i="19"/>
  <c r="Z387" i="19"/>
  <c r="Z385" i="19"/>
  <c r="Z384" i="19"/>
  <c r="Z383" i="19"/>
  <c r="Z382" i="19"/>
  <c r="Z380" i="19"/>
  <c r="Z379" i="19"/>
  <c r="Z377" i="19"/>
  <c r="Z376" i="19"/>
  <c r="Z375" i="19"/>
  <c r="Z374" i="19"/>
  <c r="Z373" i="19"/>
  <c r="Z372" i="19"/>
  <c r="Z371" i="19"/>
  <c r="Z370" i="19"/>
  <c r="Z369" i="19"/>
  <c r="Z368" i="19"/>
  <c r="Z367" i="19"/>
  <c r="Z366" i="19"/>
  <c r="Z365" i="19"/>
  <c r="Z364" i="19"/>
  <c r="Z362" i="19"/>
  <c r="Z361" i="19"/>
  <c r="Z360" i="19"/>
  <c r="Z359" i="19"/>
  <c r="Z358" i="19"/>
  <c r="Z357" i="19"/>
  <c r="Z356" i="19"/>
  <c r="Z355" i="19"/>
  <c r="Z354" i="19"/>
  <c r="Z353" i="19"/>
  <c r="Z352" i="19"/>
  <c r="Z351" i="19"/>
  <c r="Z350" i="19"/>
  <c r="Z349" i="19"/>
  <c r="Z348" i="19"/>
  <c r="Z347" i="19"/>
  <c r="Z346" i="19"/>
  <c r="Z345" i="19"/>
  <c r="Z344" i="19"/>
  <c r="Z343" i="19"/>
  <c r="Z342" i="19"/>
  <c r="Z341" i="19"/>
  <c r="Z340" i="19"/>
  <c r="Z339" i="19"/>
  <c r="Z338" i="19"/>
  <c r="Z337" i="19"/>
  <c r="Z335" i="19"/>
  <c r="Z334" i="19"/>
  <c r="Z333" i="19"/>
  <c r="Z332" i="19"/>
  <c r="Z331" i="19"/>
  <c r="Z329" i="19"/>
  <c r="Z328" i="19"/>
  <c r="Z327" i="19"/>
  <c r="Z326" i="19"/>
  <c r="Z325" i="19"/>
  <c r="Z324" i="19"/>
  <c r="Z323" i="19"/>
  <c r="Z322" i="19"/>
  <c r="Z321" i="19"/>
  <c r="Z320" i="19"/>
  <c r="Z319" i="19"/>
  <c r="Z318" i="19"/>
  <c r="Z317" i="19"/>
  <c r="Z315" i="19"/>
  <c r="Z314" i="19"/>
  <c r="Z313" i="19"/>
  <c r="Z312" i="19"/>
  <c r="Z311" i="19"/>
  <c r="Z310" i="19"/>
  <c r="Z309" i="19"/>
  <c r="Z308" i="19"/>
  <c r="Z307" i="19"/>
  <c r="Z306" i="19"/>
  <c r="Z305" i="19"/>
  <c r="Z304" i="19"/>
  <c r="Z303" i="19"/>
  <c r="Z302" i="19"/>
  <c r="Z301" i="19"/>
  <c r="Z300" i="19"/>
  <c r="Z298" i="19"/>
  <c r="Z297" i="19"/>
  <c r="Z296" i="19"/>
  <c r="Z295" i="19"/>
  <c r="Z294" i="19"/>
  <c r="Z293" i="19"/>
  <c r="Z292" i="19"/>
  <c r="Z291" i="19"/>
  <c r="Z290" i="19"/>
  <c r="Z289" i="19"/>
  <c r="Z288" i="19"/>
  <c r="Z287" i="19"/>
  <c r="Z282" i="19"/>
  <c r="Z280" i="19"/>
  <c r="Z279" i="19"/>
  <c r="Z278" i="19"/>
  <c r="Z277" i="19"/>
  <c r="Z276" i="19"/>
  <c r="Z275" i="19"/>
  <c r="Z274" i="19"/>
  <c r="Z273" i="19"/>
  <c r="Z272" i="19"/>
  <c r="Z271" i="19"/>
  <c r="Z270" i="19"/>
  <c r="Z269" i="19"/>
  <c r="Z268" i="19"/>
  <c r="Z267" i="19"/>
  <c r="Z266" i="19"/>
  <c r="Z265" i="19"/>
  <c r="Z263" i="19"/>
  <c r="Z262" i="19"/>
  <c r="Z261" i="19"/>
  <c r="Z260" i="19"/>
  <c r="Z259" i="19"/>
  <c r="Z258" i="19"/>
  <c r="Z257" i="19"/>
  <c r="Z256" i="19"/>
  <c r="Z251" i="19"/>
  <c r="Z249" i="19"/>
  <c r="Z248" i="19"/>
  <c r="Z247" i="19"/>
  <c r="Z246" i="19"/>
  <c r="Z245" i="19"/>
  <c r="Z244" i="19"/>
  <c r="Z242" i="19"/>
  <c r="Z240" i="19"/>
  <c r="Z238" i="19"/>
  <c r="Z236" i="19"/>
  <c r="Z235" i="19"/>
  <c r="Z234" i="19"/>
  <c r="Z233" i="19"/>
  <c r="Z231" i="19"/>
  <c r="Z230" i="19"/>
  <c r="Z229" i="19"/>
  <c r="Z227" i="19"/>
  <c r="Z225" i="19"/>
  <c r="Z224" i="19"/>
  <c r="Z223" i="19"/>
  <c r="Z221" i="19"/>
  <c r="Z220" i="19"/>
  <c r="Z219" i="19"/>
  <c r="Z218" i="19"/>
  <c r="Z217" i="19"/>
  <c r="Z216" i="19"/>
  <c r="Z214" i="19"/>
  <c r="Z213" i="19"/>
  <c r="Z212" i="19"/>
  <c r="Z211" i="19"/>
  <c r="Z210" i="19"/>
  <c r="Z209" i="19"/>
  <c r="Z208" i="19"/>
  <c r="Z206" i="19"/>
  <c r="Z205" i="19"/>
  <c r="Z203" i="19"/>
  <c r="Z202" i="19"/>
  <c r="Z201" i="19"/>
  <c r="Z200" i="19"/>
  <c r="Z198" i="19"/>
  <c r="Z197" i="19"/>
  <c r="Z196" i="19"/>
  <c r="Z195" i="19"/>
  <c r="Z194" i="19"/>
  <c r="Z192" i="19"/>
  <c r="Z191" i="19"/>
  <c r="Z190" i="19"/>
  <c r="Z189" i="19"/>
  <c r="Z188" i="19"/>
  <c r="Z187" i="19"/>
  <c r="Z186" i="19"/>
  <c r="Z185" i="19"/>
  <c r="Z184" i="19"/>
  <c r="Z183" i="19"/>
  <c r="Z182" i="19"/>
  <c r="Z181" i="19"/>
  <c r="Z179" i="19"/>
  <c r="Z178" i="19"/>
  <c r="Z177" i="19"/>
  <c r="Z176" i="19"/>
  <c r="Z175" i="19"/>
  <c r="Z174" i="19"/>
  <c r="Z173" i="19"/>
  <c r="Z172" i="19"/>
  <c r="Z171" i="19"/>
  <c r="Z170" i="19"/>
  <c r="Z169" i="19"/>
  <c r="Z167" i="19"/>
  <c r="Z166" i="19"/>
  <c r="Z164" i="19"/>
  <c r="Z163" i="19"/>
  <c r="Z162" i="19"/>
  <c r="Z161" i="19"/>
  <c r="Z160" i="19"/>
  <c r="Z159" i="19"/>
  <c r="Z157" i="19"/>
  <c r="Z156" i="19"/>
  <c r="Z155" i="19"/>
  <c r="Z154" i="19"/>
  <c r="Z153" i="19"/>
  <c r="Z152" i="19"/>
  <c r="Z151" i="19"/>
  <c r="Z150" i="19"/>
  <c r="Z149" i="19"/>
  <c r="Z148" i="19"/>
  <c r="Z146" i="19"/>
  <c r="Z145" i="19"/>
  <c r="Z144" i="19"/>
  <c r="Z143" i="19"/>
  <c r="Z142" i="19"/>
  <c r="Z141" i="19"/>
  <c r="Z140" i="19"/>
  <c r="Z139" i="19"/>
  <c r="Z138" i="19"/>
  <c r="Z136" i="19"/>
  <c r="Z135" i="19"/>
  <c r="Z134" i="19"/>
  <c r="Z133" i="19"/>
  <c r="Z132" i="19"/>
  <c r="Z131" i="19"/>
  <c r="Z130" i="19"/>
  <c r="Z129" i="19"/>
  <c r="Z127" i="19"/>
  <c r="Z126" i="19"/>
  <c r="Z125" i="19"/>
  <c r="Z124" i="19"/>
  <c r="Z123" i="19"/>
  <c r="Z122" i="19"/>
  <c r="Z121" i="19"/>
  <c r="Z120" i="19"/>
  <c r="Z119" i="19"/>
  <c r="Z117" i="19"/>
  <c r="Z116" i="19"/>
  <c r="Z115" i="19"/>
  <c r="Z114" i="19"/>
  <c r="Z113" i="19"/>
  <c r="Z112" i="19"/>
  <c r="Z111" i="19"/>
  <c r="Z110" i="19"/>
  <c r="Z109" i="19"/>
  <c r="Z108" i="19"/>
  <c r="Z107" i="19"/>
  <c r="Z106" i="19"/>
  <c r="Z105" i="19"/>
  <c r="Z104" i="19"/>
  <c r="Z103" i="19"/>
  <c r="Z102" i="19"/>
  <c r="Z101" i="19"/>
  <c r="Z100" i="19"/>
  <c r="Z99" i="19"/>
  <c r="Z98" i="19"/>
  <c r="Z97" i="19"/>
  <c r="Z95" i="19"/>
  <c r="Z94" i="19"/>
  <c r="Z93" i="19"/>
  <c r="Z92" i="19"/>
  <c r="Z91" i="19"/>
  <c r="Z90" i="19"/>
  <c r="Z89" i="19"/>
  <c r="Z87" i="19"/>
  <c r="Z86" i="19"/>
  <c r="Z85" i="19"/>
  <c r="Z84" i="19"/>
  <c r="Z83" i="19"/>
  <c r="Z82" i="19"/>
  <c r="Z81" i="19"/>
  <c r="Z80" i="19"/>
  <c r="Z79" i="19"/>
  <c r="Z77" i="19"/>
  <c r="Z76" i="19"/>
  <c r="Z75" i="19"/>
  <c r="Z73" i="19"/>
  <c r="Z72" i="19"/>
  <c r="Z71" i="19"/>
  <c r="Z70" i="19"/>
  <c r="Z68" i="19"/>
  <c r="Z67" i="19"/>
  <c r="Z66" i="19"/>
  <c r="Z65" i="19"/>
  <c r="Z64" i="19"/>
  <c r="Z63" i="19"/>
  <c r="Z62" i="19"/>
  <c r="Z61" i="19"/>
  <c r="Z60" i="19"/>
  <c r="Z59" i="19"/>
  <c r="Z58" i="19"/>
  <c r="Z57"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T6" i="44" l="1"/>
  <c r="T7" i="44" s="1"/>
  <c r="K7" i="56"/>
  <c r="L7" i="56" s="1"/>
  <c r="J8" i="56"/>
  <c r="AL799" i="19"/>
  <c r="AJ1033" i="19"/>
  <c r="AL815" i="19"/>
  <c r="AL1024" i="19"/>
  <c r="AJ1034" i="19"/>
  <c r="AJ1053" i="19"/>
  <c r="AS1131" i="19"/>
  <c r="AS1133" i="19"/>
  <c r="AS1139" i="19"/>
  <c r="AS1165" i="19"/>
  <c r="AS1128" i="19"/>
  <c r="AS1140" i="19"/>
  <c r="AS1141" i="19"/>
  <c r="AS1151" i="19"/>
  <c r="AS1163" i="19"/>
  <c r="AS1129" i="19"/>
  <c r="AS1135" i="19"/>
  <c r="AS1147" i="19"/>
  <c r="AS1155" i="19"/>
  <c r="AS1161" i="19"/>
  <c r="AS1166" i="19"/>
  <c r="AS1136" i="19"/>
  <c r="AS1137" i="19"/>
  <c r="AS1143" i="19"/>
  <c r="AS1159" i="19"/>
  <c r="AS1172" i="19"/>
  <c r="AS1177" i="19"/>
  <c r="AS1167" i="19"/>
  <c r="AS1169" i="19"/>
  <c r="AS1157" i="19"/>
  <c r="AS1171" i="19"/>
  <c r="AS1175" i="19"/>
  <c r="AS1181" i="19"/>
  <c r="AS1158" i="19"/>
  <c r="AS1183" i="19"/>
  <c r="AS1173" i="19"/>
  <c r="AS1185" i="19"/>
  <c r="AS1179" i="19"/>
  <c r="AS1187" i="19"/>
  <c r="AS1126" i="19"/>
  <c r="AS1124" i="19"/>
  <c r="AS1123" i="19"/>
  <c r="AS1121" i="19"/>
  <c r="AS1119" i="19"/>
  <c r="AS1117" i="19"/>
  <c r="AS1115" i="19"/>
  <c r="AS1113" i="19"/>
  <c r="AS1111" i="19"/>
  <c r="AS1109" i="19"/>
  <c r="AS1107" i="19"/>
  <c r="AS1105" i="19"/>
  <c r="AS1104" i="19"/>
  <c r="AS1102" i="19"/>
  <c r="AS1100" i="19"/>
  <c r="AS1098" i="19"/>
  <c r="AS1096" i="19"/>
  <c r="AS1095" i="19"/>
  <c r="AS1093" i="19"/>
  <c r="AS1091" i="19"/>
  <c r="AS1090" i="19"/>
  <c r="AS1088" i="19"/>
  <c r="AS1086" i="19"/>
  <c r="AS1084" i="19"/>
  <c r="AS1082" i="19"/>
  <c r="AS1080" i="19"/>
  <c r="AS1079" i="19"/>
  <c r="AS1077" i="19"/>
  <c r="AS1075" i="19"/>
  <c r="AS1068" i="19"/>
  <c r="AS1072" i="19"/>
  <c r="AS1071" i="19"/>
  <c r="AS1066" i="19"/>
  <c r="AS1063" i="19"/>
  <c r="AS1061" i="19"/>
  <c r="AS1057" i="19"/>
  <c r="AS1058" i="19"/>
  <c r="AS1060" i="19"/>
  <c r="AK1053" i="19"/>
  <c r="AP1053" i="19"/>
  <c r="AS1055" i="19"/>
  <c r="AS1054" i="19"/>
  <c r="AL1053" i="19"/>
  <c r="AI1053" i="19"/>
  <c r="AM1053" i="19"/>
  <c r="AS1050" i="19"/>
  <c r="AS1048" i="19"/>
  <c r="AS1047" i="19"/>
  <c r="AK1033" i="19"/>
  <c r="AP1033" i="19"/>
  <c r="AS1035" i="19"/>
  <c r="AS1043" i="19"/>
  <c r="AP1028" i="19"/>
  <c r="AK1028" i="19"/>
  <c r="AJ1028" i="19"/>
  <c r="AM1028" i="19"/>
  <c r="AI1028" i="19"/>
  <c r="AM1030" i="19"/>
  <c r="AI1030" i="19"/>
  <c r="AL1030" i="19"/>
  <c r="AP1030" i="19"/>
  <c r="AK1030" i="19"/>
  <c r="AM1034" i="19"/>
  <c r="AI1034" i="19"/>
  <c r="AL1034" i="19"/>
  <c r="AP1034" i="19"/>
  <c r="AK1034" i="19"/>
  <c r="AP1036" i="19"/>
  <c r="AK1036" i="19"/>
  <c r="AJ1036" i="19"/>
  <c r="AM1036" i="19"/>
  <c r="AI1036" i="19"/>
  <c r="AL1036" i="19"/>
  <c r="AS1029" i="19"/>
  <c r="AS1039" i="19"/>
  <c r="AS1042" i="19"/>
  <c r="AJ1030" i="19"/>
  <c r="AS1030" i="19"/>
  <c r="AS1031" i="19"/>
  <c r="AS1038" i="19"/>
  <c r="AL1028" i="19"/>
  <c r="AS1033" i="19"/>
  <c r="AL1033" i="19"/>
  <c r="AI1033" i="19"/>
  <c r="AM1033" i="19"/>
  <c r="AS1026" i="19"/>
  <c r="AI1024" i="19"/>
  <c r="AM1024" i="19"/>
  <c r="AL1021" i="19"/>
  <c r="AS1024" i="19"/>
  <c r="AS1020" i="19"/>
  <c r="AS1023" i="19"/>
  <c r="AI1021" i="19"/>
  <c r="AM1021" i="19"/>
  <c r="AJ1024" i="19"/>
  <c r="AJ1021" i="19"/>
  <c r="AK1024" i="19"/>
  <c r="AP1024" i="19"/>
  <c r="AK1021" i="19"/>
  <c r="AS1018" i="19"/>
  <c r="AS1012" i="19"/>
  <c r="AS1016" i="19"/>
  <c r="AS1015" i="19"/>
  <c r="AS1010" i="19"/>
  <c r="AS992" i="19"/>
  <c r="AS996" i="19"/>
  <c r="AS1000" i="19"/>
  <c r="AS1002" i="19"/>
  <c r="AS1004" i="19"/>
  <c r="AS990" i="19"/>
  <c r="AS994" i="19"/>
  <c r="AS998" i="19"/>
  <c r="AS1003" i="19"/>
  <c r="AS1005" i="19"/>
  <c r="AS1006" i="19"/>
  <c r="AS987" i="19"/>
  <c r="AS975" i="19"/>
  <c r="AS977" i="19"/>
  <c r="AS979" i="19"/>
  <c r="AS983" i="19"/>
  <c r="AS978" i="19"/>
  <c r="AS982" i="19"/>
  <c r="AS986" i="19"/>
  <c r="AS973" i="19"/>
  <c r="AS971" i="19"/>
  <c r="AS970" i="19"/>
  <c r="AS968" i="19"/>
  <c r="AS967" i="19"/>
  <c r="AS964" i="19"/>
  <c r="AS963" i="19"/>
  <c r="AS959" i="19"/>
  <c r="AS958" i="19"/>
  <c r="AS955" i="19"/>
  <c r="AS956" i="19"/>
  <c r="AS952" i="19"/>
  <c r="AS951" i="19"/>
  <c r="AJ947" i="19"/>
  <c r="AS948" i="19"/>
  <c r="AS947" i="19"/>
  <c r="AK947" i="19"/>
  <c r="AP947" i="19"/>
  <c r="AL947" i="19"/>
  <c r="AI947" i="19"/>
  <c r="AS940" i="19"/>
  <c r="AS945" i="19"/>
  <c r="AS941" i="19"/>
  <c r="AS939" i="19"/>
  <c r="AS944" i="19"/>
  <c r="AS929" i="19"/>
  <c r="AS936" i="19"/>
  <c r="AS933" i="19"/>
  <c r="AS932" i="19"/>
  <c r="AS927" i="19"/>
  <c r="AS925" i="19"/>
  <c r="AS924" i="19"/>
  <c r="AS922" i="19"/>
  <c r="AS920" i="19"/>
  <c r="AS919" i="19"/>
  <c r="AS917" i="19"/>
  <c r="AS916" i="19"/>
  <c r="AS914" i="19"/>
  <c r="AS912" i="19"/>
  <c r="AS910" i="19"/>
  <c r="AS908" i="19"/>
  <c r="AS905" i="19"/>
  <c r="AS901" i="19"/>
  <c r="AS902" i="19"/>
  <c r="AS898" i="19"/>
  <c r="AS894" i="19"/>
  <c r="AS897" i="19"/>
  <c r="AS893" i="19"/>
  <c r="AS887" i="19"/>
  <c r="AS891" i="19"/>
  <c r="AS886" i="19"/>
  <c r="AS890" i="19"/>
  <c r="AS879" i="19"/>
  <c r="AS883" i="19"/>
  <c r="AS878" i="19"/>
  <c r="AS882" i="19"/>
  <c r="AS868" i="19"/>
  <c r="AS875" i="19"/>
  <c r="AS872" i="19"/>
  <c r="AS867" i="19"/>
  <c r="AS871" i="19"/>
  <c r="AS855" i="19"/>
  <c r="AS859" i="19"/>
  <c r="AS863" i="19"/>
  <c r="AS854" i="19"/>
  <c r="AS858" i="19"/>
  <c r="AS862" i="19"/>
  <c r="AS851" i="19"/>
  <c r="AS850" i="19"/>
  <c r="AS848" i="19"/>
  <c r="AS845" i="19"/>
  <c r="AS842" i="19"/>
  <c r="AS841" i="19"/>
  <c r="AS839" i="19"/>
  <c r="AS838" i="19"/>
  <c r="AS834" i="19"/>
  <c r="AS833" i="19"/>
  <c r="AS831" i="19"/>
  <c r="AS829" i="19"/>
  <c r="AS828" i="19"/>
  <c r="AS826" i="19"/>
  <c r="AS824" i="19"/>
  <c r="AS822" i="19"/>
  <c r="AS820" i="19"/>
  <c r="AS817" i="19"/>
  <c r="AS815" i="19"/>
  <c r="AI815" i="19"/>
  <c r="AM815" i="19"/>
  <c r="AJ815" i="19"/>
  <c r="AK815" i="19"/>
  <c r="AP815" i="19"/>
  <c r="AS813" i="19"/>
  <c r="AS811" i="19"/>
  <c r="AS809" i="19"/>
  <c r="AS806" i="19"/>
  <c r="AS802" i="19"/>
  <c r="AS803" i="19"/>
  <c r="AS804" i="19"/>
  <c r="AS799" i="19"/>
  <c r="AI799" i="19"/>
  <c r="AM799" i="19"/>
  <c r="AJ799" i="19"/>
  <c r="AK799" i="19"/>
  <c r="AP799" i="19"/>
  <c r="AS797" i="19"/>
  <c r="AS796" i="19"/>
  <c r="AS794" i="19"/>
  <c r="AS791" i="19"/>
  <c r="AS789" i="19"/>
  <c r="AS787" i="19"/>
  <c r="AS788" i="19"/>
  <c r="AS785" i="19"/>
  <c r="AS784" i="19"/>
  <c r="AS774" i="19"/>
  <c r="AS778" i="19"/>
  <c r="AS782" i="19"/>
  <c r="AS770" i="19"/>
  <c r="AS773" i="19"/>
  <c r="AS777" i="19"/>
  <c r="AS781" i="19"/>
  <c r="AS771" i="19"/>
  <c r="AS760" i="19"/>
  <c r="AS767" i="19"/>
  <c r="AS750" i="19"/>
  <c r="AS751" i="19"/>
  <c r="AS753" i="19"/>
  <c r="AS757" i="19"/>
  <c r="AS764" i="19"/>
  <c r="AS755" i="19"/>
  <c r="AS756" i="19"/>
  <c r="AS759" i="19"/>
  <c r="AS763" i="19"/>
  <c r="AS748" i="19"/>
  <c r="AS743" i="19"/>
  <c r="AS739" i="19"/>
  <c r="AS744" i="19"/>
  <c r="AS740" i="19"/>
  <c r="AS747" i="19"/>
  <c r="AS732" i="19"/>
  <c r="AS737" i="19"/>
  <c r="AS736" i="19"/>
  <c r="AS729" i="19"/>
  <c r="AS728" i="19"/>
  <c r="AS733" i="19"/>
  <c r="AS725" i="19"/>
  <c r="AS724" i="19"/>
  <c r="AS722" i="19"/>
  <c r="AS720" i="19"/>
  <c r="AS719" i="19"/>
  <c r="AS717" i="19"/>
  <c r="AS716" i="19"/>
  <c r="AS712" i="19"/>
  <c r="AS709" i="19"/>
  <c r="AS708" i="19"/>
  <c r="AS705" i="19"/>
  <c r="AS704" i="19"/>
  <c r="AS702" i="19"/>
  <c r="AS693" i="19"/>
  <c r="AS700" i="19"/>
  <c r="AS691" i="19"/>
  <c r="AS697" i="19"/>
  <c r="AS692" i="19"/>
  <c r="AS696" i="19"/>
  <c r="AS688" i="19"/>
  <c r="AS686" i="19"/>
  <c r="AS683" i="19"/>
  <c r="AS681" i="19"/>
  <c r="AS680" i="19"/>
  <c r="AS677" i="19"/>
  <c r="AS671" i="19"/>
  <c r="AS675" i="19"/>
  <c r="AS670" i="19"/>
  <c r="AS674" i="19"/>
  <c r="AS666" i="19"/>
  <c r="AS667" i="19"/>
  <c r="AS662" i="19"/>
  <c r="AS659" i="19"/>
  <c r="AS657" i="19"/>
  <c r="AS658" i="19"/>
  <c r="AS655" i="19"/>
  <c r="AS648" i="19"/>
  <c r="AS653" i="19"/>
  <c r="AS652" i="19"/>
  <c r="AS649" i="19"/>
  <c r="AS645" i="19"/>
  <c r="AS641" i="19"/>
  <c r="AS644" i="19"/>
  <c r="AS642" i="19"/>
  <c r="AS634" i="19"/>
  <c r="AS637" i="19"/>
  <c r="AS638" i="19"/>
  <c r="AS635" i="19"/>
  <c r="AS630" i="19"/>
  <c r="AS629" i="19"/>
  <c r="AS626" i="19"/>
  <c r="AS625" i="19"/>
  <c r="AS620" i="19"/>
  <c r="AS619" i="19"/>
  <c r="AS617" i="19"/>
  <c r="AS621" i="19"/>
  <c r="AS618" i="19"/>
  <c r="AS622" i="19"/>
  <c r="AS611" i="19"/>
  <c r="AS615" i="19"/>
  <c r="AS610" i="19"/>
  <c r="AS614" i="19"/>
  <c r="AS607" i="19"/>
  <c r="AS604" i="19"/>
  <c r="AS603" i="19"/>
  <c r="AS600" i="19"/>
  <c r="AS601" i="19"/>
  <c r="AS598" i="19"/>
  <c r="AS597" i="19"/>
  <c r="AS593" i="19"/>
  <c r="AS591" i="19"/>
  <c r="AS590" i="19"/>
  <c r="AS587" i="19"/>
  <c r="AS583" i="19"/>
  <c r="AS579" i="19"/>
  <c r="AS578" i="19"/>
  <c r="AS575" i="19"/>
  <c r="AS573" i="19"/>
  <c r="AS569" i="19"/>
  <c r="AS567" i="19"/>
  <c r="AS563" i="19"/>
  <c r="AS564" i="19"/>
  <c r="AS561" i="19"/>
  <c r="AS560" i="19"/>
  <c r="AS557" i="19"/>
  <c r="AS556" i="19"/>
  <c r="AS549" i="19"/>
  <c r="AS552" i="19"/>
  <c r="AS548" i="19"/>
  <c r="AS539" i="19"/>
  <c r="AS540" i="19"/>
  <c r="AS544" i="19"/>
  <c r="AS543" i="19"/>
  <c r="AS531" i="19"/>
  <c r="AS535" i="19"/>
  <c r="AS530" i="19"/>
  <c r="AS534" i="19"/>
  <c r="AS518" i="19"/>
  <c r="AS526" i="19"/>
  <c r="AS521" i="19"/>
  <c r="AS522" i="19"/>
  <c r="AS525" i="19"/>
  <c r="AS507" i="19"/>
  <c r="AS512" i="19"/>
  <c r="AS516" i="19"/>
  <c r="AS511" i="19"/>
  <c r="AS515" i="19"/>
  <c r="AS508" i="19"/>
  <c r="AS505" i="19"/>
  <c r="AS500" i="19"/>
  <c r="AS496" i="19"/>
  <c r="AS501" i="19"/>
  <c r="AS497" i="19"/>
  <c r="AS504" i="19"/>
  <c r="AS494" i="19"/>
  <c r="AS493" i="19"/>
  <c r="AS490" i="19"/>
  <c r="AS489" i="19"/>
  <c r="AS485" i="19"/>
  <c r="AS482" i="19"/>
  <c r="AS481" i="19"/>
  <c r="AS478" i="19"/>
  <c r="AS475" i="19"/>
  <c r="AS474" i="19"/>
  <c r="AS470" i="19"/>
  <c r="AS469" i="19"/>
  <c r="AS465" i="19"/>
  <c r="AS461" i="19"/>
  <c r="AS460" i="19"/>
  <c r="AS458" i="19"/>
  <c r="AS457" i="19"/>
  <c r="AS454" i="19"/>
  <c r="AS453" i="19"/>
  <c r="AS451" i="19"/>
  <c r="AS450" i="19"/>
  <c r="AS446" i="19"/>
  <c r="AS444" i="19"/>
  <c r="AS443" i="19"/>
  <c r="AS439" i="19"/>
  <c r="AS432" i="19"/>
  <c r="AS435" i="19"/>
  <c r="AS431" i="19"/>
  <c r="AS428" i="19"/>
  <c r="AS427" i="19"/>
  <c r="AS419" i="19"/>
  <c r="AS424" i="19"/>
  <c r="AS416" i="19"/>
  <c r="AS415" i="19"/>
  <c r="AS420" i="19"/>
  <c r="AS423" i="19"/>
  <c r="AS413" i="19"/>
  <c r="AS412" i="19"/>
  <c r="AS410" i="19"/>
  <c r="AS409" i="19"/>
  <c r="AS405" i="19"/>
  <c r="AS401" i="19"/>
  <c r="AS402" i="19"/>
  <c r="AS398" i="19"/>
  <c r="AS396" i="19"/>
  <c r="AS393" i="19"/>
  <c r="AS391" i="19"/>
  <c r="AS389" i="19"/>
  <c r="AS387" i="19"/>
  <c r="AS385" i="19"/>
  <c r="AS384" i="19"/>
  <c r="AS380" i="19"/>
  <c r="AS370" i="19"/>
  <c r="AS374" i="19"/>
  <c r="AS377" i="19"/>
  <c r="AS366" i="19"/>
  <c r="AS372" i="19"/>
  <c r="AS367" i="19"/>
  <c r="AS373" i="19"/>
  <c r="AS376" i="19"/>
  <c r="AS362" i="19"/>
  <c r="AS361" i="19"/>
  <c r="AS360" i="19"/>
  <c r="AS359" i="19"/>
  <c r="AS356" i="19"/>
  <c r="AS354" i="19"/>
  <c r="AS355" i="19"/>
  <c r="AS352" i="19"/>
  <c r="AS351" i="19"/>
  <c r="AS348" i="19"/>
  <c r="AS347" i="19"/>
  <c r="AS343" i="19"/>
  <c r="AS344" i="19"/>
  <c r="AS340" i="19"/>
  <c r="AS339" i="19"/>
  <c r="AS335" i="19"/>
  <c r="AS331" i="19"/>
  <c r="AS334" i="19"/>
  <c r="AS320" i="19"/>
  <c r="AS321" i="19"/>
  <c r="AS328" i="19"/>
  <c r="AS329" i="19"/>
  <c r="AS324" i="19"/>
  <c r="AS325" i="19"/>
  <c r="AS317" i="19"/>
  <c r="AS300" i="19"/>
  <c r="AS303" i="19"/>
  <c r="AS311" i="19"/>
  <c r="AS315" i="19"/>
  <c r="AS304" i="19"/>
  <c r="AS301" i="19"/>
  <c r="AS307" i="19"/>
  <c r="AS308" i="19"/>
  <c r="AS310" i="19"/>
  <c r="AS314" i="19"/>
  <c r="AS288" i="19"/>
  <c r="AS298" i="19"/>
  <c r="AS294" i="19"/>
  <c r="AS290" i="19"/>
  <c r="AS295" i="19"/>
  <c r="AS291" i="19"/>
  <c r="AS282" i="19"/>
  <c r="AS275" i="19"/>
  <c r="AS280" i="19"/>
  <c r="AS266" i="19"/>
  <c r="AS279" i="19"/>
  <c r="AS267" i="19"/>
  <c r="AS268" i="19"/>
  <c r="AS272" i="19"/>
  <c r="AS270" i="19"/>
  <c r="AS271" i="19"/>
  <c r="AS276" i="19"/>
  <c r="AS256" i="19"/>
  <c r="AS263" i="19"/>
  <c r="AS260" i="19"/>
  <c r="AS259" i="19"/>
  <c r="AS253" i="19"/>
  <c r="AS254" i="19"/>
  <c r="AS244" i="19"/>
  <c r="AS249" i="19"/>
  <c r="AS245" i="19"/>
  <c r="AS248" i="19"/>
  <c r="AS242" i="19"/>
  <c r="AS240" i="19"/>
  <c r="AS238" i="19"/>
  <c r="AS236" i="19"/>
  <c r="AS235" i="19"/>
  <c r="AS231" i="19"/>
  <c r="AS227" i="19"/>
  <c r="AS225" i="19"/>
  <c r="AS224" i="19"/>
  <c r="AS217" i="19"/>
  <c r="AS216" i="19"/>
  <c r="AS220" i="19"/>
  <c r="AS221" i="19"/>
  <c r="AS209" i="19"/>
  <c r="AS213" i="19"/>
  <c r="AS214" i="19"/>
  <c r="AS210" i="19"/>
  <c r="AS206" i="19"/>
  <c r="AS205" i="19"/>
  <c r="AS203" i="19"/>
  <c r="AS202" i="19"/>
  <c r="AS198" i="19"/>
  <c r="AS194" i="19"/>
  <c r="AS197" i="19"/>
  <c r="AS187" i="19"/>
  <c r="AS184" i="19"/>
  <c r="AS192" i="19"/>
  <c r="AS188" i="19"/>
  <c r="AS182" i="19"/>
  <c r="AS191" i="19"/>
  <c r="AS170" i="19"/>
  <c r="AS174" i="19"/>
  <c r="AS178" i="19"/>
  <c r="AS171" i="19"/>
  <c r="AS175" i="19"/>
  <c r="AS179" i="19"/>
  <c r="AS167" i="19"/>
  <c r="AS166" i="19"/>
  <c r="AS164" i="19"/>
  <c r="AS163" i="19"/>
  <c r="AS160" i="19"/>
  <c r="AS161" i="19"/>
  <c r="AS156" i="19"/>
  <c r="AS157" i="19"/>
  <c r="AS148" i="19"/>
  <c r="AS149" i="19"/>
  <c r="AS152" i="19"/>
  <c r="AS153" i="19"/>
  <c r="AS146" i="19"/>
  <c r="AS138" i="19"/>
  <c r="AS142" i="19"/>
  <c r="AS139" i="19"/>
  <c r="AS143" i="19"/>
  <c r="AS136" i="19"/>
  <c r="AS131" i="19"/>
  <c r="AS132" i="19"/>
  <c r="AS135" i="19"/>
  <c r="AS127" i="19"/>
  <c r="AS119" i="19"/>
  <c r="AS123" i="19"/>
  <c r="AS120" i="19"/>
  <c r="AS122" i="19"/>
  <c r="AS126" i="19"/>
  <c r="AS98" i="19"/>
  <c r="AS100" i="19"/>
  <c r="AS103" i="19"/>
  <c r="AS111" i="19"/>
  <c r="AS109" i="19"/>
  <c r="AS115" i="19"/>
  <c r="AS110" i="19"/>
  <c r="AS113" i="19"/>
  <c r="AS107" i="19"/>
  <c r="AS114" i="19"/>
  <c r="AS117" i="19"/>
  <c r="AS95" i="19"/>
  <c r="AS90" i="19"/>
  <c r="AS91" i="19"/>
  <c r="AS94" i="19"/>
  <c r="AS79" i="19"/>
  <c r="AS83" i="19"/>
  <c r="AS87" i="19"/>
  <c r="AS86" i="19"/>
  <c r="AS82" i="19"/>
  <c r="AS77" i="19"/>
  <c r="AS73" i="19"/>
  <c r="AS72" i="19"/>
  <c r="AS62" i="19"/>
  <c r="AS58" i="19"/>
  <c r="AS65" i="19"/>
  <c r="AS60" i="19"/>
  <c r="AS66" i="19"/>
  <c r="AS61" i="19"/>
  <c r="AS64" i="19"/>
  <c r="AS67" i="19"/>
  <c r="AS68" i="19"/>
  <c r="AS30" i="19"/>
  <c r="AS33" i="19"/>
  <c r="AS25" i="19"/>
  <c r="AS26" i="19"/>
  <c r="AS29" i="19"/>
  <c r="AS27" i="19"/>
  <c r="AS34" i="19"/>
  <c r="AS31" i="19"/>
  <c r="AS37" i="19"/>
  <c r="AS41" i="19"/>
  <c r="AS45" i="19"/>
  <c r="AS49" i="19"/>
  <c r="AS53" i="19"/>
  <c r="AS39" i="19"/>
  <c r="C1123" i="36"/>
  <c r="B1123" i="36"/>
  <c r="B1077" i="36"/>
  <c r="C1077" i="36"/>
  <c r="A1080" i="19" s="1"/>
  <c r="B1079" i="36"/>
  <c r="C1079" i="36"/>
  <c r="A1082" i="19" s="1"/>
  <c r="B1088" i="36"/>
  <c r="C1088" i="36"/>
  <c r="A1091" i="19" s="1"/>
  <c r="B1093" i="36"/>
  <c r="C1093" i="36"/>
  <c r="A1096" i="19" s="1"/>
  <c r="B1102" i="36"/>
  <c r="C1102" i="36"/>
  <c r="A1105" i="19" s="1"/>
  <c r="B1104" i="36"/>
  <c r="C1104" i="36"/>
  <c r="A1107" i="19" s="1"/>
  <c r="B1106" i="36"/>
  <c r="C1106" i="36"/>
  <c r="A1109" i="19" s="1"/>
  <c r="B1108" i="36"/>
  <c r="C1108" i="36"/>
  <c r="A1111" i="19" s="1"/>
  <c r="B1110" i="36"/>
  <c r="C1110" i="36"/>
  <c r="A1113" i="19" s="1"/>
  <c r="B1112" i="36"/>
  <c r="C1112" i="36"/>
  <c r="A1115" i="19" s="1"/>
  <c r="B1114" i="36"/>
  <c r="C1114" i="36"/>
  <c r="A1117" i="19" s="1"/>
  <c r="B1116" i="36"/>
  <c r="C1116" i="36"/>
  <c r="A1119" i="19" s="1"/>
  <c r="B1118" i="36"/>
  <c r="C1118" i="36"/>
  <c r="A1121" i="19" s="1"/>
  <c r="B1120" i="36"/>
  <c r="C1120" i="36"/>
  <c r="A1123" i="19" s="1"/>
  <c r="B1121" i="36"/>
  <c r="C1121" i="36"/>
  <c r="A1124" i="19" s="1"/>
  <c r="C1072" i="36"/>
  <c r="A1075" i="19" s="1"/>
  <c r="B1072" i="36"/>
  <c r="C1069" i="36"/>
  <c r="A1072" i="19" s="1"/>
  <c r="B1069" i="36"/>
  <c r="C1068" i="36"/>
  <c r="A1071" i="19" s="1"/>
  <c r="B1068" i="36"/>
  <c r="C1066" i="36"/>
  <c r="A1069" i="19" s="1"/>
  <c r="B1066" i="36"/>
  <c r="C1065" i="36"/>
  <c r="A1068" i="19" s="1"/>
  <c r="B1065" i="36"/>
  <c r="C1063" i="36"/>
  <c r="A1066" i="19" s="1"/>
  <c r="B1063" i="36"/>
  <c r="C1061" i="36"/>
  <c r="A1064" i="19" s="1"/>
  <c r="B1061" i="36"/>
  <c r="C1060" i="36"/>
  <c r="A1063" i="19" s="1"/>
  <c r="B1060" i="36"/>
  <c r="C1058" i="36"/>
  <c r="A1061" i="19" s="1"/>
  <c r="B1058" i="36"/>
  <c r="C1057" i="36"/>
  <c r="A1060" i="19" s="1"/>
  <c r="B1057" i="36"/>
  <c r="C1055" i="36"/>
  <c r="A1058" i="19" s="1"/>
  <c r="B1055" i="36"/>
  <c r="C1054" i="36"/>
  <c r="A1057" i="19" s="1"/>
  <c r="B1054" i="36"/>
  <c r="C1052" i="36"/>
  <c r="A1055" i="19" s="1"/>
  <c r="B1052" i="36"/>
  <c r="C1050" i="36"/>
  <c r="A1053" i="19" s="1"/>
  <c r="B1050" i="36"/>
  <c r="C1047" i="36"/>
  <c r="A1050" i="19" s="1"/>
  <c r="B1047" i="36"/>
  <c r="C1045" i="36"/>
  <c r="A1048" i="19" s="1"/>
  <c r="B1045" i="36"/>
  <c r="C1043" i="36"/>
  <c r="A1046" i="19" s="1"/>
  <c r="B1043" i="36"/>
  <c r="C1042" i="36"/>
  <c r="A1045" i="19" s="1"/>
  <c r="B1042" i="36"/>
  <c r="C1040" i="36"/>
  <c r="A1043" i="19" s="1"/>
  <c r="B1040" i="36"/>
  <c r="C1039" i="36"/>
  <c r="A1042" i="19" s="1"/>
  <c r="C1038" i="36"/>
  <c r="A1041" i="19" s="1"/>
  <c r="B1038" i="36"/>
  <c r="C1037" i="36"/>
  <c r="A1040" i="19" s="1"/>
  <c r="B1037" i="36"/>
  <c r="C1036" i="36"/>
  <c r="A1039" i="19" s="1"/>
  <c r="B1036" i="36"/>
  <c r="C1035" i="36"/>
  <c r="A1038" i="19" s="1"/>
  <c r="B1035" i="36"/>
  <c r="C1034" i="36"/>
  <c r="A1037" i="19" s="1"/>
  <c r="B1034" i="36"/>
  <c r="C1033" i="36"/>
  <c r="A1036" i="19" s="1"/>
  <c r="B1033" i="36"/>
  <c r="C1032" i="36"/>
  <c r="A1035" i="19" s="1"/>
  <c r="B1032" i="36"/>
  <c r="C1031" i="36"/>
  <c r="A1034" i="19" s="1"/>
  <c r="B1031" i="36"/>
  <c r="C1030" i="36"/>
  <c r="A1033" i="19" s="1"/>
  <c r="B1030" i="36"/>
  <c r="C1029" i="36"/>
  <c r="A1032" i="19" s="1"/>
  <c r="B1029" i="36"/>
  <c r="C1028" i="36"/>
  <c r="A1031" i="19" s="1"/>
  <c r="B1028" i="36"/>
  <c r="C1026" i="36"/>
  <c r="A1029" i="19" s="1"/>
  <c r="B1026" i="36"/>
  <c r="C1023" i="36"/>
  <c r="A1026" i="19" s="1"/>
  <c r="B1023" i="36"/>
  <c r="C1021" i="36"/>
  <c r="A1024" i="19" s="1"/>
  <c r="B1021" i="36"/>
  <c r="C1020" i="36"/>
  <c r="A1023" i="19" s="1"/>
  <c r="B1020" i="36"/>
  <c r="C1018" i="36"/>
  <c r="A1021" i="19" s="1"/>
  <c r="B1018" i="36"/>
  <c r="C1015" i="36"/>
  <c r="A1018" i="19" s="1"/>
  <c r="B1015" i="36"/>
  <c r="C1013" i="36"/>
  <c r="A1016" i="19" s="1"/>
  <c r="C1012" i="36"/>
  <c r="A1015" i="19" s="1"/>
  <c r="C1010" i="36"/>
  <c r="A1013" i="19" s="1"/>
  <c r="C1009" i="36"/>
  <c r="A1012" i="19" s="1"/>
  <c r="C1006" i="36"/>
  <c r="A1009" i="19" s="1"/>
  <c r="C1005" i="36"/>
  <c r="A1008" i="19" s="1"/>
  <c r="C1003" i="36"/>
  <c r="A1006" i="19" s="1"/>
  <c r="C1002" i="36"/>
  <c r="A1005" i="19" s="1"/>
  <c r="B1002" i="36"/>
  <c r="C1001" i="36"/>
  <c r="A1004" i="19" s="1"/>
  <c r="C1000" i="36"/>
  <c r="A1003" i="19" s="1"/>
  <c r="C999" i="36"/>
  <c r="A1002" i="19" s="1"/>
  <c r="B999" i="36"/>
  <c r="C998" i="36"/>
  <c r="A1001" i="19" s="1"/>
  <c r="C997" i="36"/>
  <c r="A1000" i="19" s="1"/>
  <c r="C996" i="36"/>
  <c r="A999" i="19" s="1"/>
  <c r="C995" i="36"/>
  <c r="A998" i="19" s="1"/>
  <c r="B995" i="36"/>
  <c r="C994" i="36"/>
  <c r="A997" i="19" s="1"/>
  <c r="C993" i="36"/>
  <c r="A996" i="19" s="1"/>
  <c r="C992" i="36"/>
  <c r="A995" i="19" s="1"/>
  <c r="C991" i="36"/>
  <c r="A994" i="19" s="1"/>
  <c r="B991" i="36"/>
  <c r="C990" i="36"/>
  <c r="A993" i="19" s="1"/>
  <c r="B990" i="36"/>
  <c r="C989" i="36"/>
  <c r="A992" i="19" s="1"/>
  <c r="C987" i="36"/>
  <c r="A990" i="19" s="1"/>
  <c r="B987" i="36"/>
  <c r="C986" i="36"/>
  <c r="A989" i="19" s="1"/>
  <c r="B986" i="36"/>
  <c r="C984" i="36"/>
  <c r="A987" i="19" s="1"/>
  <c r="B984" i="36"/>
  <c r="C983" i="36"/>
  <c r="A986" i="19" s="1"/>
  <c r="B983" i="36"/>
  <c r="C982" i="36"/>
  <c r="A985" i="19" s="1"/>
  <c r="C981" i="36"/>
  <c r="A984" i="19" s="1"/>
  <c r="C980" i="36"/>
  <c r="A983" i="19" s="1"/>
  <c r="C979" i="36"/>
  <c r="A982" i="19" s="1"/>
  <c r="B979" i="36"/>
  <c r="C978" i="36"/>
  <c r="A981" i="19" s="1"/>
  <c r="B978" i="36"/>
  <c r="C977" i="36"/>
  <c r="A980" i="19" s="1"/>
  <c r="B977" i="36"/>
  <c r="C976" i="36"/>
  <c r="A979" i="19" s="1"/>
  <c r="B976" i="36"/>
  <c r="C975" i="36"/>
  <c r="A978" i="19" s="1"/>
  <c r="B975" i="36"/>
  <c r="C973" i="36"/>
  <c r="A976" i="19" s="1"/>
  <c r="B973" i="36"/>
  <c r="C970" i="36"/>
  <c r="A973" i="19" s="1"/>
  <c r="C968" i="36"/>
  <c r="A971" i="19" s="1"/>
  <c r="B968" i="36"/>
  <c r="C967" i="36"/>
  <c r="A970" i="19" s="1"/>
  <c r="B967" i="36"/>
  <c r="C965" i="36"/>
  <c r="A968" i="19" s="1"/>
  <c r="B965" i="36"/>
  <c r="C964" i="36"/>
  <c r="A967" i="19" s="1"/>
  <c r="B964" i="36"/>
  <c r="C963" i="36"/>
  <c r="A966" i="19" s="1"/>
  <c r="B963" i="36"/>
  <c r="C962" i="36"/>
  <c r="A965" i="19" s="1"/>
  <c r="B962" i="36"/>
  <c r="C961" i="36"/>
  <c r="A964" i="19" s="1"/>
  <c r="B961" i="36"/>
  <c r="C959" i="36"/>
  <c r="A962" i="19" s="1"/>
  <c r="C958" i="36"/>
  <c r="A961" i="19" s="1"/>
  <c r="B958" i="36"/>
  <c r="C956" i="36"/>
  <c r="A959" i="19" s="1"/>
  <c r="C955" i="36"/>
  <c r="A958" i="19" s="1"/>
  <c r="C952" i="36"/>
  <c r="A955" i="19" s="1"/>
  <c r="C951" i="36"/>
  <c r="A954" i="19" s="1"/>
  <c r="C948" i="36"/>
  <c r="A951" i="19" s="1"/>
  <c r="C947" i="36"/>
  <c r="A950" i="19" s="1"/>
  <c r="C945" i="36"/>
  <c r="A948" i="19" s="1"/>
  <c r="B945" i="36"/>
  <c r="C944" i="36"/>
  <c r="A947" i="19" s="1"/>
  <c r="B944" i="36"/>
  <c r="C942" i="36"/>
  <c r="A945" i="19" s="1"/>
  <c r="B942" i="36"/>
  <c r="C941" i="36"/>
  <c r="A944" i="19" s="1"/>
  <c r="B941" i="36"/>
  <c r="C940" i="36"/>
  <c r="B940" i="36"/>
  <c r="C939" i="36"/>
  <c r="A941" i="19" s="1"/>
  <c r="B939" i="36"/>
  <c r="C937" i="36"/>
  <c r="A939" i="19" s="1"/>
  <c r="B937" i="36"/>
  <c r="C936" i="36"/>
  <c r="A938" i="19" s="1"/>
  <c r="B936" i="36"/>
  <c r="C934" i="36"/>
  <c r="A936" i="19" s="1"/>
  <c r="B934" i="36"/>
  <c r="C933" i="36"/>
  <c r="A935" i="19" s="1"/>
  <c r="B933" i="36"/>
  <c r="C932" i="36"/>
  <c r="A934" i="19" s="1"/>
  <c r="B932" i="36"/>
  <c r="C931" i="36"/>
  <c r="A933" i="19" s="1"/>
  <c r="B931" i="36"/>
  <c r="C930" i="36"/>
  <c r="A932" i="19" s="1"/>
  <c r="B930" i="36"/>
  <c r="C928" i="36"/>
  <c r="A930" i="19" s="1"/>
  <c r="B928" i="36"/>
  <c r="C925" i="36"/>
  <c r="A927" i="19" s="1"/>
  <c r="B925" i="36"/>
  <c r="C923" i="36"/>
  <c r="A925" i="19" s="1"/>
  <c r="C920" i="36"/>
  <c r="A922" i="19" s="1"/>
  <c r="C918" i="36"/>
  <c r="A920" i="19" s="1"/>
  <c r="B918" i="36"/>
  <c r="C917" i="36"/>
  <c r="A919" i="19" s="1"/>
  <c r="B917" i="36"/>
  <c r="C915" i="36"/>
  <c r="A917" i="19" s="1"/>
  <c r="C906" i="36"/>
  <c r="A908" i="19" s="1"/>
  <c r="B906" i="36"/>
  <c r="C903" i="36"/>
  <c r="A905" i="19" s="1"/>
  <c r="B903" i="36"/>
  <c r="C902" i="36"/>
  <c r="A904" i="19" s="1"/>
  <c r="B902" i="36"/>
  <c r="C901" i="36"/>
  <c r="A903" i="19" s="1"/>
  <c r="B901" i="36"/>
  <c r="C899" i="36"/>
  <c r="A901" i="19" s="1"/>
  <c r="B899" i="36"/>
  <c r="C898" i="36"/>
  <c r="A900" i="19" s="1"/>
  <c r="B898" i="36"/>
  <c r="C896" i="36"/>
  <c r="A898" i="19" s="1"/>
  <c r="B896" i="36"/>
  <c r="C895" i="36"/>
  <c r="A897" i="19" s="1"/>
  <c r="B895" i="36"/>
  <c r="C894" i="36"/>
  <c r="A896" i="19" s="1"/>
  <c r="B894" i="36"/>
  <c r="C892" i="36"/>
  <c r="A894" i="19" s="1"/>
  <c r="B892" i="36"/>
  <c r="C891" i="36"/>
  <c r="A893" i="19" s="1"/>
  <c r="B891" i="36"/>
  <c r="C889" i="36"/>
  <c r="A891" i="19" s="1"/>
  <c r="B889" i="36"/>
  <c r="C888" i="36"/>
  <c r="A890" i="19" s="1"/>
  <c r="B888" i="36"/>
  <c r="C887" i="36"/>
  <c r="A889" i="19" s="1"/>
  <c r="B887" i="36"/>
  <c r="C886" i="36"/>
  <c r="A888" i="19" s="1"/>
  <c r="B886" i="36"/>
  <c r="C884" i="36"/>
  <c r="A886" i="19" s="1"/>
  <c r="B884" i="36"/>
  <c r="C883" i="36"/>
  <c r="A885" i="19" s="1"/>
  <c r="B883" i="36"/>
  <c r="C881" i="36"/>
  <c r="A883" i="19" s="1"/>
  <c r="B881" i="36"/>
  <c r="C880" i="36"/>
  <c r="A882" i="19" s="1"/>
  <c r="B880" i="36"/>
  <c r="C879" i="36"/>
  <c r="A881" i="19" s="1"/>
  <c r="B879" i="36"/>
  <c r="C878" i="36"/>
  <c r="A880" i="19" s="1"/>
  <c r="B878" i="36"/>
  <c r="C876" i="36"/>
  <c r="A878" i="19" s="1"/>
  <c r="B876" i="36"/>
  <c r="C875" i="36"/>
  <c r="A877" i="19" s="1"/>
  <c r="B875" i="36"/>
  <c r="C873" i="36"/>
  <c r="A875" i="19" s="1"/>
  <c r="B873" i="36"/>
  <c r="C872" i="36"/>
  <c r="A874" i="19" s="1"/>
  <c r="B872" i="36"/>
  <c r="C871" i="36"/>
  <c r="A873" i="19" s="1"/>
  <c r="B871" i="36"/>
  <c r="C870" i="36"/>
  <c r="A872" i="19" s="1"/>
  <c r="B870" i="36"/>
  <c r="C869" i="36"/>
  <c r="A871" i="19" s="1"/>
  <c r="B869" i="36"/>
  <c r="C868" i="36"/>
  <c r="A870" i="19" s="1"/>
  <c r="B868" i="36"/>
  <c r="C867" i="36"/>
  <c r="A869" i="19" s="1"/>
  <c r="B867" i="36"/>
  <c r="C866" i="36"/>
  <c r="A868" i="19" s="1"/>
  <c r="B866" i="36"/>
  <c r="C864" i="36"/>
  <c r="A866" i="19" s="1"/>
  <c r="B864" i="36"/>
  <c r="C863" i="36"/>
  <c r="A865" i="19" s="1"/>
  <c r="B863" i="36"/>
  <c r="C861" i="36"/>
  <c r="A863" i="19" s="1"/>
  <c r="B861" i="36"/>
  <c r="C860" i="36"/>
  <c r="A862" i="19" s="1"/>
  <c r="B860" i="36"/>
  <c r="C859" i="36"/>
  <c r="A861" i="19" s="1"/>
  <c r="B859" i="36"/>
  <c r="C858" i="36"/>
  <c r="A860" i="19" s="1"/>
  <c r="B858" i="36"/>
  <c r="C857" i="36"/>
  <c r="A859" i="19" s="1"/>
  <c r="B857" i="36"/>
  <c r="C856" i="36"/>
  <c r="A858" i="19" s="1"/>
  <c r="B856" i="36"/>
  <c r="C855" i="36"/>
  <c r="A857" i="19" s="1"/>
  <c r="B855" i="36"/>
  <c r="C854" i="36"/>
  <c r="A856" i="19" s="1"/>
  <c r="B854" i="36"/>
  <c r="C852" i="36"/>
  <c r="A854" i="19" s="1"/>
  <c r="B852" i="36"/>
  <c r="C851" i="36"/>
  <c r="A853" i="19" s="1"/>
  <c r="B851" i="36"/>
  <c r="C849" i="36"/>
  <c r="A851" i="19" s="1"/>
  <c r="B849" i="36"/>
  <c r="C848" i="36"/>
  <c r="A850" i="19" s="1"/>
  <c r="B848" i="36"/>
  <c r="C846" i="36"/>
  <c r="A848" i="19" s="1"/>
  <c r="B846" i="36"/>
  <c r="C845" i="36"/>
  <c r="A847" i="19" s="1"/>
  <c r="B845" i="36"/>
  <c r="C843" i="36"/>
  <c r="A845" i="19" s="1"/>
  <c r="B843" i="36"/>
  <c r="C842" i="36"/>
  <c r="A844" i="19" s="1"/>
  <c r="B842" i="36"/>
  <c r="C840" i="36"/>
  <c r="A842" i="19" s="1"/>
  <c r="C839" i="36"/>
  <c r="A841" i="19" s="1"/>
  <c r="B839" i="36"/>
  <c r="C837" i="36"/>
  <c r="A839" i="19" s="1"/>
  <c r="B837" i="36"/>
  <c r="C834" i="36"/>
  <c r="A836" i="19" s="1"/>
  <c r="C832" i="36"/>
  <c r="A834" i="19" s="1"/>
  <c r="B832" i="36"/>
  <c r="C829" i="36"/>
  <c r="A831" i="19" s="1"/>
  <c r="C827" i="36"/>
  <c r="A829" i="19" s="1"/>
  <c r="B827" i="36"/>
  <c r="C818" i="36"/>
  <c r="A820" i="19" s="1"/>
  <c r="B818" i="36"/>
  <c r="C815" i="36"/>
  <c r="A817" i="19" s="1"/>
  <c r="B815" i="36"/>
  <c r="C808" i="36"/>
  <c r="A811" i="19" s="1"/>
  <c r="B808" i="36"/>
  <c r="C806" i="36"/>
  <c r="A809" i="19" s="1"/>
  <c r="B806" i="36"/>
  <c r="C804" i="36"/>
  <c r="A807" i="19" s="1"/>
  <c r="B804" i="36"/>
  <c r="C803" i="36"/>
  <c r="A806" i="19" s="1"/>
  <c r="B803" i="36"/>
  <c r="C801" i="36"/>
  <c r="A804" i="19" s="1"/>
  <c r="B801" i="36"/>
  <c r="C799" i="36"/>
  <c r="A802" i="19" s="1"/>
  <c r="B799" i="36"/>
  <c r="C796" i="36"/>
  <c r="A799" i="19" s="1"/>
  <c r="B796" i="36"/>
  <c r="C794" i="36"/>
  <c r="A797" i="19" s="1"/>
  <c r="B794" i="36"/>
  <c r="C793" i="36"/>
  <c r="A796" i="19" s="1"/>
  <c r="B793" i="36"/>
  <c r="C791" i="36"/>
  <c r="A794" i="19" s="1"/>
  <c r="B791" i="36"/>
  <c r="C788" i="36"/>
  <c r="A791" i="19" s="1"/>
  <c r="B788" i="36"/>
  <c r="C785" i="36"/>
  <c r="A788" i="19" s="1"/>
  <c r="B785" i="36"/>
  <c r="C784" i="36"/>
  <c r="A787" i="19" s="1"/>
  <c r="B784" i="36"/>
  <c r="C782" i="36"/>
  <c r="A785" i="19" s="1"/>
  <c r="B782" i="36"/>
  <c r="C781" i="36"/>
  <c r="A784" i="19" s="1"/>
  <c r="B781" i="36"/>
  <c r="C779" i="36"/>
  <c r="A782" i="19" s="1"/>
  <c r="B779" i="36"/>
  <c r="C778" i="36"/>
  <c r="A781" i="19" s="1"/>
  <c r="B778" i="36"/>
  <c r="C777" i="36"/>
  <c r="A780" i="19" s="1"/>
  <c r="B777" i="36"/>
  <c r="C776" i="36"/>
  <c r="A779" i="19" s="1"/>
  <c r="B776" i="36"/>
  <c r="C775" i="36"/>
  <c r="A778" i="19" s="1"/>
  <c r="B775" i="36"/>
  <c r="C774" i="36"/>
  <c r="A777" i="19" s="1"/>
  <c r="B774" i="36"/>
  <c r="C773" i="36"/>
  <c r="A776" i="19" s="1"/>
  <c r="B773" i="36"/>
  <c r="C772" i="36"/>
  <c r="A775" i="19" s="1"/>
  <c r="B772" i="36"/>
  <c r="C771" i="36"/>
  <c r="A774" i="19" s="1"/>
  <c r="B771" i="36"/>
  <c r="C770" i="36"/>
  <c r="A773" i="19" s="1"/>
  <c r="B770" i="36"/>
  <c r="C769" i="36"/>
  <c r="A772" i="19" s="1"/>
  <c r="B769" i="36"/>
  <c r="C768" i="36"/>
  <c r="A771" i="19" s="1"/>
  <c r="B768" i="36"/>
  <c r="C767" i="36"/>
  <c r="A770" i="19" s="1"/>
  <c r="B767" i="36"/>
  <c r="C764" i="36"/>
  <c r="A767" i="19" s="1"/>
  <c r="B764" i="36"/>
  <c r="C763" i="36"/>
  <c r="A766" i="19" s="1"/>
  <c r="B763" i="36"/>
  <c r="C762" i="36"/>
  <c r="A765" i="19" s="1"/>
  <c r="B762" i="36"/>
  <c r="C761" i="36"/>
  <c r="A764" i="19" s="1"/>
  <c r="B761" i="36"/>
  <c r="C760" i="36"/>
  <c r="A763" i="19" s="1"/>
  <c r="B760" i="36"/>
  <c r="C759" i="36"/>
  <c r="A762" i="19" s="1"/>
  <c r="B759" i="36"/>
  <c r="C758" i="36"/>
  <c r="A761" i="19" s="1"/>
  <c r="B758" i="36"/>
  <c r="C757" i="36"/>
  <c r="A760" i="19" s="1"/>
  <c r="B757" i="36"/>
  <c r="C756" i="36"/>
  <c r="A759" i="19" s="1"/>
  <c r="B756" i="36"/>
  <c r="C755" i="36"/>
  <c r="A758" i="19" s="1"/>
  <c r="B755" i="36"/>
  <c r="C754" i="36"/>
  <c r="A757" i="19" s="1"/>
  <c r="B754" i="36"/>
  <c r="C753" i="36"/>
  <c r="A756" i="19" s="1"/>
  <c r="B753" i="36"/>
  <c r="C752" i="36"/>
  <c r="A755" i="19" s="1"/>
  <c r="B752" i="36"/>
  <c r="C751" i="36"/>
  <c r="A754" i="19" s="1"/>
  <c r="B751" i="36"/>
  <c r="C750" i="36"/>
  <c r="A753" i="19" s="1"/>
  <c r="B750" i="36"/>
  <c r="C749" i="36"/>
  <c r="A752" i="19" s="1"/>
  <c r="B749" i="36"/>
  <c r="C748" i="36"/>
  <c r="A751" i="19" s="1"/>
  <c r="C745" i="36"/>
  <c r="A748" i="19" s="1"/>
  <c r="B745" i="36"/>
  <c r="C744" i="36"/>
  <c r="A747" i="19" s="1"/>
  <c r="B744" i="36"/>
  <c r="C743" i="36"/>
  <c r="A746" i="19" s="1"/>
  <c r="B743" i="36"/>
  <c r="C742" i="36"/>
  <c r="A745" i="19" s="1"/>
  <c r="B742" i="36"/>
  <c r="C741" i="36"/>
  <c r="A744" i="19" s="1"/>
  <c r="B741" i="36"/>
  <c r="C740" i="36"/>
  <c r="A743" i="19" s="1"/>
  <c r="B740" i="36"/>
  <c r="C739" i="36"/>
  <c r="A742" i="19" s="1"/>
  <c r="B739" i="36"/>
  <c r="C738" i="36"/>
  <c r="A741" i="19" s="1"/>
  <c r="B738" i="36"/>
  <c r="C737" i="36"/>
  <c r="A740" i="19" s="1"/>
  <c r="B737" i="36"/>
  <c r="C736" i="36"/>
  <c r="A739" i="19" s="1"/>
  <c r="B736" i="36"/>
  <c r="C734" i="36"/>
  <c r="A737" i="19" s="1"/>
  <c r="B734" i="36"/>
  <c r="C733" i="36"/>
  <c r="A736" i="19" s="1"/>
  <c r="B733" i="36"/>
  <c r="C732" i="36"/>
  <c r="A735" i="19" s="1"/>
  <c r="B732" i="36"/>
  <c r="C731" i="36"/>
  <c r="A734" i="19" s="1"/>
  <c r="B731" i="36"/>
  <c r="C730" i="36"/>
  <c r="A733" i="19" s="1"/>
  <c r="B730" i="36"/>
  <c r="C729" i="36"/>
  <c r="A732" i="19" s="1"/>
  <c r="B729" i="36"/>
  <c r="C728" i="36"/>
  <c r="A731" i="19" s="1"/>
  <c r="C727" i="36"/>
  <c r="A730" i="19" s="1"/>
  <c r="B727" i="36"/>
  <c r="C726" i="36"/>
  <c r="A729" i="19" s="1"/>
  <c r="B726" i="36"/>
  <c r="C725" i="36"/>
  <c r="A728" i="19" s="1"/>
  <c r="B725" i="36"/>
  <c r="C724" i="36"/>
  <c r="A727" i="19" s="1"/>
  <c r="B724" i="36"/>
  <c r="C722" i="36"/>
  <c r="A725" i="19" s="1"/>
  <c r="B722" i="36"/>
  <c r="C721" i="36"/>
  <c r="A724" i="19" s="1"/>
  <c r="B721" i="36"/>
  <c r="C719" i="36"/>
  <c r="A722" i="19" s="1"/>
  <c r="B719" i="36"/>
  <c r="C717" i="36"/>
  <c r="A720" i="19" s="1"/>
  <c r="B717" i="36"/>
  <c r="C716" i="36"/>
  <c r="A719" i="19" s="1"/>
  <c r="B716" i="36"/>
  <c r="C714" i="36"/>
  <c r="A717" i="19" s="1"/>
  <c r="B714" i="36"/>
  <c r="C713" i="36"/>
  <c r="A716" i="19" s="1"/>
  <c r="B713" i="36"/>
  <c r="C712" i="36"/>
  <c r="A715" i="19" s="1"/>
  <c r="B712" i="36"/>
  <c r="C711" i="36"/>
  <c r="A714" i="19" s="1"/>
  <c r="B711" i="36"/>
  <c r="C709" i="36"/>
  <c r="A712" i="19" s="1"/>
  <c r="C708" i="36"/>
  <c r="A711" i="19" s="1"/>
  <c r="B708" i="36"/>
  <c r="C707" i="36"/>
  <c r="A710" i="19" s="1"/>
  <c r="B707" i="36"/>
  <c r="C706" i="36"/>
  <c r="A709" i="19" s="1"/>
  <c r="B706" i="36"/>
  <c r="C705" i="36"/>
  <c r="A708" i="19" s="1"/>
  <c r="B705" i="36"/>
  <c r="C704" i="36"/>
  <c r="A707" i="19" s="1"/>
  <c r="B704" i="36"/>
  <c r="C702" i="36"/>
  <c r="A705" i="19" s="1"/>
  <c r="B702" i="36"/>
  <c r="C701" i="36"/>
  <c r="A704" i="19" s="1"/>
  <c r="B701" i="36"/>
  <c r="C700" i="36"/>
  <c r="A703" i="19" s="1"/>
  <c r="B700" i="36"/>
  <c r="C699" i="36"/>
  <c r="A702" i="19" s="1"/>
  <c r="B699" i="36"/>
  <c r="C697" i="36"/>
  <c r="A700" i="19" s="1"/>
  <c r="B697" i="36"/>
  <c r="C696" i="36"/>
  <c r="A699" i="19" s="1"/>
  <c r="B696" i="36"/>
  <c r="C695" i="36"/>
  <c r="A698" i="19" s="1"/>
  <c r="B695" i="36"/>
  <c r="C694" i="36"/>
  <c r="A697" i="19" s="1"/>
  <c r="B694" i="36"/>
  <c r="C693" i="36"/>
  <c r="A696" i="19" s="1"/>
  <c r="B693" i="36"/>
  <c r="C692" i="36"/>
  <c r="A695" i="19" s="1"/>
  <c r="B692" i="36"/>
  <c r="C691" i="36"/>
  <c r="A694" i="19" s="1"/>
  <c r="B691" i="36"/>
  <c r="C690" i="36"/>
  <c r="A693" i="19" s="1"/>
  <c r="B690" i="36"/>
  <c r="C689" i="36"/>
  <c r="A692" i="19" s="1"/>
  <c r="B689" i="36"/>
  <c r="C688" i="36"/>
  <c r="A691" i="19" s="1"/>
  <c r="B688" i="36"/>
  <c r="C687" i="36"/>
  <c r="A690" i="19" s="1"/>
  <c r="B687" i="36"/>
  <c r="C685" i="36"/>
  <c r="A688" i="19" s="1"/>
  <c r="B685" i="36"/>
  <c r="C683" i="36"/>
  <c r="A686" i="19" s="1"/>
  <c r="B683" i="36"/>
  <c r="C682" i="36"/>
  <c r="A685" i="19" s="1"/>
  <c r="B682" i="36"/>
  <c r="C681" i="36"/>
  <c r="A684" i="19" s="1"/>
  <c r="B681" i="36"/>
  <c r="C680" i="36"/>
  <c r="A683" i="19" s="1"/>
  <c r="B680" i="36"/>
  <c r="C678" i="36"/>
  <c r="A681" i="19" s="1"/>
  <c r="B678" i="36"/>
  <c r="C677" i="36"/>
  <c r="A680" i="19" s="1"/>
  <c r="B677" i="36"/>
  <c r="C676" i="36"/>
  <c r="A679" i="19" s="1"/>
  <c r="B676" i="36"/>
  <c r="C674" i="36"/>
  <c r="A677" i="19" s="1"/>
  <c r="B674" i="36"/>
  <c r="C672" i="36"/>
  <c r="A675" i="19" s="1"/>
  <c r="B672" i="36"/>
  <c r="C671" i="36"/>
  <c r="A674" i="19" s="1"/>
  <c r="B671" i="36"/>
  <c r="C670" i="36"/>
  <c r="A673" i="19" s="1"/>
  <c r="B670" i="36"/>
  <c r="C669" i="36"/>
  <c r="A672" i="19" s="1"/>
  <c r="B669" i="36"/>
  <c r="C668" i="36"/>
  <c r="A671" i="19" s="1"/>
  <c r="B668" i="36"/>
  <c r="C667" i="36"/>
  <c r="A670" i="19" s="1"/>
  <c r="B667" i="36"/>
  <c r="C665" i="36"/>
  <c r="A668" i="19" s="1"/>
  <c r="B665" i="36"/>
  <c r="C664" i="36"/>
  <c r="A667" i="19" s="1"/>
  <c r="B664" i="36"/>
  <c r="C663" i="36"/>
  <c r="A666" i="19" s="1"/>
  <c r="B663" i="36"/>
  <c r="C662" i="36"/>
  <c r="A665" i="19" s="1"/>
  <c r="B662" i="36"/>
  <c r="C661" i="36"/>
  <c r="A664" i="19" s="1"/>
  <c r="B661" i="36"/>
  <c r="C659" i="36"/>
  <c r="A662" i="19" s="1"/>
  <c r="B659" i="36"/>
  <c r="C658" i="36"/>
  <c r="A661" i="19" s="1"/>
  <c r="B658" i="36"/>
  <c r="C657" i="36"/>
  <c r="A660" i="19" s="1"/>
  <c r="B657" i="36"/>
  <c r="C656" i="36"/>
  <c r="A659" i="19" s="1"/>
  <c r="B656" i="36"/>
  <c r="C655" i="36"/>
  <c r="A658" i="19" s="1"/>
  <c r="B655" i="36"/>
  <c r="C654" i="36"/>
  <c r="A657" i="19" s="1"/>
  <c r="C652" i="36"/>
  <c r="A655" i="19" s="1"/>
  <c r="B652" i="36"/>
  <c r="C650" i="36"/>
  <c r="A653" i="19" s="1"/>
  <c r="B650" i="36"/>
  <c r="C649" i="36"/>
  <c r="A652" i="19" s="1"/>
  <c r="B649" i="36"/>
  <c r="C648" i="36"/>
  <c r="A651" i="19" s="1"/>
  <c r="B648" i="36"/>
  <c r="C647" i="36"/>
  <c r="A650" i="19" s="1"/>
  <c r="B647" i="36"/>
  <c r="C646" i="36"/>
  <c r="A649" i="19" s="1"/>
  <c r="B646" i="36"/>
  <c r="C645" i="36"/>
  <c r="A648" i="19" s="1"/>
  <c r="B645" i="36"/>
  <c r="C644" i="36"/>
  <c r="A647" i="19" s="1"/>
  <c r="B644" i="36"/>
  <c r="C642" i="36"/>
  <c r="A645" i="19" s="1"/>
  <c r="B642" i="36"/>
  <c r="C641" i="36"/>
  <c r="A644" i="19" s="1"/>
  <c r="B641" i="36"/>
  <c r="C640" i="36"/>
  <c r="A643" i="19" s="1"/>
  <c r="B640" i="36"/>
  <c r="C639" i="36"/>
  <c r="A642" i="19" s="1"/>
  <c r="B639" i="36"/>
  <c r="C638" i="36"/>
  <c r="A641" i="19" s="1"/>
  <c r="B638" i="36"/>
  <c r="C637" i="36"/>
  <c r="A640" i="19" s="1"/>
  <c r="B637" i="36"/>
  <c r="C635" i="36"/>
  <c r="A638" i="19" s="1"/>
  <c r="B635" i="36"/>
  <c r="C634" i="36"/>
  <c r="A637" i="19" s="1"/>
  <c r="C633" i="36"/>
  <c r="A636" i="19" s="1"/>
  <c r="B633" i="36"/>
  <c r="C632" i="36"/>
  <c r="A635" i="19" s="1"/>
  <c r="B632" i="36"/>
  <c r="C631" i="36"/>
  <c r="A634" i="19" s="1"/>
  <c r="B631" i="36"/>
  <c r="C630" i="36"/>
  <c r="A633" i="19" s="1"/>
  <c r="B630" i="36"/>
  <c r="C629" i="36"/>
  <c r="A632" i="19" s="1"/>
  <c r="C627" i="36"/>
  <c r="A630" i="19" s="1"/>
  <c r="B627" i="36"/>
  <c r="C626" i="36"/>
  <c r="A629" i="19" s="1"/>
  <c r="B626" i="36"/>
  <c r="C625" i="36"/>
  <c r="A628" i="19" s="1"/>
  <c r="B625" i="36"/>
  <c r="C623" i="36"/>
  <c r="A626" i="19" s="1"/>
  <c r="B623" i="36"/>
  <c r="C622" i="36"/>
  <c r="A625" i="19" s="1"/>
  <c r="B622" i="36"/>
  <c r="C621" i="36"/>
  <c r="A624" i="19" s="1"/>
  <c r="B621" i="36"/>
  <c r="C619" i="36"/>
  <c r="A622" i="19" s="1"/>
  <c r="B619" i="36"/>
  <c r="C618" i="36"/>
  <c r="A621" i="19" s="1"/>
  <c r="B618" i="36"/>
  <c r="C617" i="36"/>
  <c r="A620" i="19" s="1"/>
  <c r="B617" i="36"/>
  <c r="C616" i="36"/>
  <c r="A619" i="19" s="1"/>
  <c r="B616" i="36"/>
  <c r="C615" i="36"/>
  <c r="A618" i="19" s="1"/>
  <c r="B615" i="36"/>
  <c r="C614" i="36"/>
  <c r="A617" i="19" s="1"/>
  <c r="B614" i="36"/>
  <c r="C612" i="36"/>
  <c r="A615" i="19" s="1"/>
  <c r="B612" i="36"/>
  <c r="C611" i="36"/>
  <c r="A614" i="19" s="1"/>
  <c r="B611" i="36"/>
  <c r="C610" i="36"/>
  <c r="A613" i="19" s="1"/>
  <c r="B610" i="36"/>
  <c r="C609" i="36"/>
  <c r="A612" i="19" s="1"/>
  <c r="B609" i="36"/>
  <c r="C608" i="36"/>
  <c r="A611" i="19" s="1"/>
  <c r="B608" i="36"/>
  <c r="C607" i="36"/>
  <c r="A610" i="19" s="1"/>
  <c r="B607" i="36"/>
  <c r="C606" i="36"/>
  <c r="A609" i="19" s="1"/>
  <c r="C604" i="36"/>
  <c r="A607" i="19" s="1"/>
  <c r="B604" i="36"/>
  <c r="C603" i="36"/>
  <c r="A606" i="19" s="1"/>
  <c r="B603" i="36"/>
  <c r="C602" i="36"/>
  <c r="A605" i="19" s="1"/>
  <c r="B602" i="36"/>
  <c r="C601" i="36"/>
  <c r="A604" i="19" s="1"/>
  <c r="B601" i="36"/>
  <c r="C600" i="36"/>
  <c r="A603" i="19" s="1"/>
  <c r="B600" i="36"/>
  <c r="C598" i="36"/>
  <c r="A601" i="19" s="1"/>
  <c r="B598" i="36"/>
  <c r="C597" i="36"/>
  <c r="A600" i="19" s="1"/>
  <c r="B597" i="36"/>
  <c r="C595" i="36"/>
  <c r="A598" i="19" s="1"/>
  <c r="B595" i="36"/>
  <c r="C594" i="36"/>
  <c r="A597" i="19" s="1"/>
  <c r="B594" i="36"/>
  <c r="C593" i="36"/>
  <c r="A596" i="19" s="1"/>
  <c r="B593" i="36"/>
  <c r="C592" i="36"/>
  <c r="A595" i="19" s="1"/>
  <c r="B592" i="36"/>
  <c r="C590" i="36"/>
  <c r="A593" i="19" s="1"/>
  <c r="B590" i="36"/>
  <c r="C588" i="36"/>
  <c r="A591" i="19" s="1"/>
  <c r="B588" i="36"/>
  <c r="C587" i="36"/>
  <c r="A590" i="19" s="1"/>
  <c r="B587" i="36"/>
  <c r="C586" i="36"/>
  <c r="A589" i="19" s="1"/>
  <c r="B586" i="36"/>
  <c r="C584" i="36"/>
  <c r="A587" i="19" s="1"/>
  <c r="B584" i="36"/>
  <c r="C583" i="36"/>
  <c r="A586" i="19" s="1"/>
  <c r="B583" i="36"/>
  <c r="C582" i="36"/>
  <c r="A585" i="19" s="1"/>
  <c r="B582" i="36"/>
  <c r="C580" i="36"/>
  <c r="A583" i="19" s="1"/>
  <c r="B580" i="36"/>
  <c r="C579" i="36"/>
  <c r="A582" i="19" s="1"/>
  <c r="B579" i="36"/>
  <c r="C578" i="36"/>
  <c r="A581" i="19" s="1"/>
  <c r="B578" i="36"/>
  <c r="C576" i="36"/>
  <c r="A579" i="19" s="1"/>
  <c r="B576" i="36"/>
  <c r="C575" i="36"/>
  <c r="A578" i="19" s="1"/>
  <c r="B575" i="36"/>
  <c r="C574" i="36"/>
  <c r="A577" i="19" s="1"/>
  <c r="B574" i="36"/>
  <c r="C572" i="36"/>
  <c r="A575" i="19" s="1"/>
  <c r="C570" i="36"/>
  <c r="A573" i="19" s="1"/>
  <c r="B570" i="36"/>
  <c r="C569" i="36"/>
  <c r="A572" i="19" s="1"/>
  <c r="B569" i="36"/>
  <c r="C568" i="36"/>
  <c r="A571" i="19" s="1"/>
  <c r="B568" i="36"/>
  <c r="C566" i="36"/>
  <c r="A569" i="19" s="1"/>
  <c r="B566" i="36"/>
  <c r="C564" i="36"/>
  <c r="A567" i="19" s="1"/>
  <c r="B564" i="36"/>
  <c r="C563" i="36"/>
  <c r="A566" i="19" s="1"/>
  <c r="B563" i="36"/>
  <c r="C562" i="36"/>
  <c r="A565" i="19" s="1"/>
  <c r="B562" i="36"/>
  <c r="C561" i="36"/>
  <c r="A564" i="19" s="1"/>
  <c r="B561" i="36"/>
  <c r="C560" i="36"/>
  <c r="A563" i="19" s="1"/>
  <c r="B560" i="36"/>
  <c r="C558" i="36"/>
  <c r="A561" i="19" s="1"/>
  <c r="B558" i="36"/>
  <c r="C557" i="36"/>
  <c r="A560" i="19" s="1"/>
  <c r="B557" i="36"/>
  <c r="C556" i="36"/>
  <c r="A559" i="19" s="1"/>
  <c r="B556" i="36"/>
  <c r="C554" i="36"/>
  <c r="A557" i="19" s="1"/>
  <c r="B554" i="36"/>
  <c r="C553" i="36"/>
  <c r="A556" i="19" s="1"/>
  <c r="B553" i="36"/>
  <c r="C552" i="36"/>
  <c r="A555" i="19" s="1"/>
  <c r="B552" i="36"/>
  <c r="C551" i="36"/>
  <c r="A554" i="19" s="1"/>
  <c r="B551" i="36"/>
  <c r="C549" i="36"/>
  <c r="A552" i="19" s="1"/>
  <c r="B549" i="36"/>
  <c r="C548" i="36"/>
  <c r="A551" i="19" s="1"/>
  <c r="B548" i="36"/>
  <c r="C547" i="36"/>
  <c r="A550" i="19" s="1"/>
  <c r="B547" i="36"/>
  <c r="C546" i="36"/>
  <c r="A549" i="19" s="1"/>
  <c r="B546" i="36"/>
  <c r="C545" i="36"/>
  <c r="A548" i="19" s="1"/>
  <c r="B545" i="36"/>
  <c r="C544" i="36"/>
  <c r="A547" i="19" s="1"/>
  <c r="B544" i="36"/>
  <c r="C543" i="36"/>
  <c r="A546" i="19" s="1"/>
  <c r="B543" i="36"/>
  <c r="C541" i="36"/>
  <c r="A544" i="19" s="1"/>
  <c r="B541" i="36"/>
  <c r="C540" i="36"/>
  <c r="A543" i="19" s="1"/>
  <c r="B540" i="36"/>
  <c r="C539" i="36"/>
  <c r="A542" i="19" s="1"/>
  <c r="B539" i="36"/>
  <c r="C538" i="36"/>
  <c r="A541" i="19" s="1"/>
  <c r="B538" i="36"/>
  <c r="C537" i="36"/>
  <c r="A540" i="19" s="1"/>
  <c r="B537" i="36"/>
  <c r="C536" i="36"/>
  <c r="A539" i="19" s="1"/>
  <c r="B536" i="36"/>
  <c r="C535" i="36"/>
  <c r="A538" i="19" s="1"/>
  <c r="B535" i="36"/>
  <c r="C534" i="36"/>
  <c r="A537" i="19" s="1"/>
  <c r="B534" i="36"/>
  <c r="C532" i="36"/>
  <c r="A535" i="19" s="1"/>
  <c r="B532" i="36"/>
  <c r="C531" i="36"/>
  <c r="A534" i="19" s="1"/>
  <c r="B531" i="36"/>
  <c r="C530" i="36"/>
  <c r="A533" i="19" s="1"/>
  <c r="B530" i="36"/>
  <c r="C529" i="36"/>
  <c r="A532" i="19" s="1"/>
  <c r="B529" i="36"/>
  <c r="C528" i="36"/>
  <c r="A531" i="19" s="1"/>
  <c r="B528" i="36"/>
  <c r="C527" i="36"/>
  <c r="A530" i="19" s="1"/>
  <c r="B527" i="36"/>
  <c r="C526" i="36"/>
  <c r="A529" i="19" s="1"/>
  <c r="B526" i="36"/>
  <c r="C525" i="36"/>
  <c r="A528" i="19" s="1"/>
  <c r="B525" i="36"/>
  <c r="C523" i="36"/>
  <c r="A526" i="19" s="1"/>
  <c r="B523" i="36"/>
  <c r="C522" i="36"/>
  <c r="A525" i="19" s="1"/>
  <c r="B522" i="36"/>
  <c r="C521" i="36"/>
  <c r="A524" i="19" s="1"/>
  <c r="B521" i="36"/>
  <c r="C520" i="36"/>
  <c r="A523" i="19" s="1"/>
  <c r="B520" i="36"/>
  <c r="C519" i="36"/>
  <c r="A522" i="19" s="1"/>
  <c r="B519" i="36"/>
  <c r="C518" i="36"/>
  <c r="A521" i="19" s="1"/>
  <c r="B518" i="36"/>
  <c r="C517" i="36"/>
  <c r="A520" i="19" s="1"/>
  <c r="B517" i="36"/>
  <c r="C516" i="36"/>
  <c r="A519" i="19" s="1"/>
  <c r="B516" i="36"/>
  <c r="C515" i="36"/>
  <c r="A518" i="19" s="1"/>
  <c r="B515" i="36"/>
  <c r="C513" i="36"/>
  <c r="A516" i="19" s="1"/>
  <c r="B513" i="36"/>
  <c r="C512" i="36"/>
  <c r="A515" i="19" s="1"/>
  <c r="B512" i="36"/>
  <c r="C511" i="36"/>
  <c r="A514" i="19" s="1"/>
  <c r="B511" i="36"/>
  <c r="C510" i="36"/>
  <c r="A513" i="19" s="1"/>
  <c r="B510" i="36"/>
  <c r="C509" i="36"/>
  <c r="A512" i="19" s="1"/>
  <c r="B509" i="36"/>
  <c r="C508" i="36"/>
  <c r="A511" i="19" s="1"/>
  <c r="B508" i="36"/>
  <c r="C507" i="36"/>
  <c r="A510" i="19" s="1"/>
  <c r="B507" i="36"/>
  <c r="C506" i="36"/>
  <c r="A509" i="19" s="1"/>
  <c r="B506" i="36"/>
  <c r="C505" i="36"/>
  <c r="A508" i="19" s="1"/>
  <c r="B505" i="36"/>
  <c r="C504" i="36"/>
  <c r="A507" i="19" s="1"/>
  <c r="B504" i="36"/>
  <c r="C502" i="36"/>
  <c r="A505" i="19" s="1"/>
  <c r="B502" i="36"/>
  <c r="C501" i="36"/>
  <c r="A504" i="19" s="1"/>
  <c r="B501" i="36"/>
  <c r="C500" i="36"/>
  <c r="A503" i="19" s="1"/>
  <c r="B500" i="36"/>
  <c r="C499" i="36"/>
  <c r="A502" i="19" s="1"/>
  <c r="B499" i="36"/>
  <c r="C498" i="36"/>
  <c r="A501" i="19" s="1"/>
  <c r="B498" i="36"/>
  <c r="C497" i="36"/>
  <c r="A500" i="19" s="1"/>
  <c r="B497" i="36"/>
  <c r="C496" i="36"/>
  <c r="A499" i="19" s="1"/>
  <c r="B496" i="36"/>
  <c r="C495" i="36"/>
  <c r="A498" i="19" s="1"/>
  <c r="B495" i="36"/>
  <c r="C494" i="36"/>
  <c r="A497" i="19" s="1"/>
  <c r="B494" i="36"/>
  <c r="C493" i="36"/>
  <c r="A496" i="19" s="1"/>
  <c r="B493" i="36"/>
  <c r="C491" i="36"/>
  <c r="A494" i="19" s="1"/>
  <c r="B491" i="36"/>
  <c r="C490" i="36"/>
  <c r="A493" i="19" s="1"/>
  <c r="C489" i="36"/>
  <c r="A492" i="19" s="1"/>
  <c r="B489" i="36"/>
  <c r="C487" i="36"/>
  <c r="A490" i="19" s="1"/>
  <c r="B487" i="36"/>
  <c r="C486" i="36"/>
  <c r="A489" i="19" s="1"/>
  <c r="B486" i="36"/>
  <c r="C485" i="36"/>
  <c r="A488" i="19" s="1"/>
  <c r="C484" i="36"/>
  <c r="A487" i="19" s="1"/>
  <c r="B484" i="36"/>
  <c r="C482" i="36"/>
  <c r="A485" i="19" s="1"/>
  <c r="B482" i="36"/>
  <c r="C481" i="36"/>
  <c r="A484" i="19" s="1"/>
  <c r="B481" i="36"/>
  <c r="C479" i="36"/>
  <c r="A482" i="19" s="1"/>
  <c r="B479" i="36"/>
  <c r="C478" i="36"/>
  <c r="A481" i="19" s="1"/>
  <c r="B478" i="36"/>
  <c r="C477" i="36"/>
  <c r="A480" i="19" s="1"/>
  <c r="B477" i="36"/>
  <c r="C475" i="36"/>
  <c r="A478" i="19" s="1"/>
  <c r="B475" i="36"/>
  <c r="C474" i="36"/>
  <c r="A477" i="19" s="1"/>
  <c r="B474" i="36"/>
  <c r="C472" i="36"/>
  <c r="A475" i="19" s="1"/>
  <c r="B472" i="36"/>
  <c r="C471" i="36"/>
  <c r="A474" i="19" s="1"/>
  <c r="B471" i="36"/>
  <c r="C470" i="36"/>
  <c r="A473" i="19" s="1"/>
  <c r="B470" i="36"/>
  <c r="C469" i="36"/>
  <c r="A472" i="19" s="1"/>
  <c r="C467" i="36"/>
  <c r="A470" i="19" s="1"/>
  <c r="B467" i="36"/>
  <c r="C466" i="36"/>
  <c r="A469" i="19" s="1"/>
  <c r="B466" i="36"/>
  <c r="C465" i="36"/>
  <c r="A468" i="19" s="1"/>
  <c r="B465" i="36"/>
  <c r="C464" i="36"/>
  <c r="A467" i="19" s="1"/>
  <c r="B464" i="36"/>
  <c r="C462" i="36"/>
  <c r="A465" i="19" s="1"/>
  <c r="B462" i="36"/>
  <c r="C461" i="36"/>
  <c r="A464" i="19" s="1"/>
  <c r="B461" i="36"/>
  <c r="C460" i="36"/>
  <c r="A463" i="19" s="1"/>
  <c r="B460" i="36"/>
  <c r="C458" i="36"/>
  <c r="A461" i="19" s="1"/>
  <c r="B458" i="36"/>
  <c r="C457" i="36"/>
  <c r="A460" i="19" s="1"/>
  <c r="B457" i="36"/>
  <c r="C455" i="36"/>
  <c r="A458" i="19" s="1"/>
  <c r="B455" i="36"/>
  <c r="C454" i="36"/>
  <c r="A457" i="19" s="1"/>
  <c r="B454" i="36"/>
  <c r="C453" i="36"/>
  <c r="A456" i="19" s="1"/>
  <c r="B453" i="36"/>
  <c r="C451" i="36"/>
  <c r="A454" i="19" s="1"/>
  <c r="B451" i="36"/>
  <c r="C450" i="36"/>
  <c r="A453" i="19" s="1"/>
  <c r="B450" i="36"/>
  <c r="C448" i="36"/>
  <c r="A451" i="19" s="1"/>
  <c r="B448" i="36"/>
  <c r="C447" i="36"/>
  <c r="A450" i="19" s="1"/>
  <c r="B447" i="36"/>
  <c r="C446" i="36"/>
  <c r="A449" i="19" s="1"/>
  <c r="B446" i="36"/>
  <c r="C445" i="36"/>
  <c r="A448" i="19" s="1"/>
  <c r="C443" i="36"/>
  <c r="A446" i="19" s="1"/>
  <c r="B443" i="36"/>
  <c r="C441" i="36"/>
  <c r="A444" i="19" s="1"/>
  <c r="B441" i="36"/>
  <c r="C440" i="36"/>
  <c r="A443" i="19" s="1"/>
  <c r="C439" i="36"/>
  <c r="A442" i="19" s="1"/>
  <c r="B439" i="36"/>
  <c r="C438" i="36"/>
  <c r="A441" i="19" s="1"/>
  <c r="B438" i="36"/>
  <c r="C436" i="36"/>
  <c r="A439" i="19" s="1"/>
  <c r="B436" i="36"/>
  <c r="C435" i="36"/>
  <c r="A438" i="19" s="1"/>
  <c r="B435" i="36"/>
  <c r="C434" i="36"/>
  <c r="A437" i="19" s="1"/>
  <c r="B434" i="36"/>
  <c r="C432" i="36"/>
  <c r="A435" i="19" s="1"/>
  <c r="B432" i="36"/>
  <c r="C431" i="36"/>
  <c r="A434" i="19" s="1"/>
  <c r="B431" i="36"/>
  <c r="C430" i="36"/>
  <c r="A433" i="19" s="1"/>
  <c r="B430" i="36"/>
  <c r="C429" i="36"/>
  <c r="A432" i="19" s="1"/>
  <c r="B429" i="36"/>
  <c r="C428" i="36"/>
  <c r="A431" i="19" s="1"/>
  <c r="B428" i="36"/>
  <c r="C427" i="36"/>
  <c r="A430" i="19" s="1"/>
  <c r="B427" i="36"/>
  <c r="C425" i="36"/>
  <c r="A428" i="19" s="1"/>
  <c r="B425" i="36"/>
  <c r="C424" i="36"/>
  <c r="A427" i="19" s="1"/>
  <c r="B424" i="36"/>
  <c r="C423" i="36"/>
  <c r="A426" i="19" s="1"/>
  <c r="B423" i="36"/>
  <c r="C421" i="36"/>
  <c r="A424" i="19" s="1"/>
  <c r="B421" i="36"/>
  <c r="C420" i="36"/>
  <c r="A423" i="19" s="1"/>
  <c r="B420" i="36"/>
  <c r="C419" i="36"/>
  <c r="A422" i="19" s="1"/>
  <c r="B419" i="36"/>
  <c r="C418" i="36"/>
  <c r="A421" i="19" s="1"/>
  <c r="B418" i="36"/>
  <c r="C417" i="36"/>
  <c r="A420" i="19" s="1"/>
  <c r="B417" i="36"/>
  <c r="C416" i="36"/>
  <c r="A419" i="19" s="1"/>
  <c r="B416" i="36"/>
  <c r="C415" i="36"/>
  <c r="A418" i="19" s="1"/>
  <c r="B415" i="36"/>
  <c r="C414" i="36"/>
  <c r="A417" i="19" s="1"/>
  <c r="B414" i="36"/>
  <c r="C413" i="36"/>
  <c r="A416" i="19" s="1"/>
  <c r="B413" i="36"/>
  <c r="C412" i="36"/>
  <c r="A415" i="19" s="1"/>
  <c r="B412" i="36"/>
  <c r="C410" i="36"/>
  <c r="A413" i="19" s="1"/>
  <c r="B410" i="36"/>
  <c r="C409" i="36"/>
  <c r="A412" i="19" s="1"/>
  <c r="B409" i="36"/>
  <c r="C407" i="36"/>
  <c r="A410" i="19" s="1"/>
  <c r="B407" i="36"/>
  <c r="C406" i="36"/>
  <c r="A409" i="19" s="1"/>
  <c r="B406" i="36"/>
  <c r="C405" i="36"/>
  <c r="A408" i="19" s="1"/>
  <c r="B405" i="36"/>
  <c r="C404" i="36"/>
  <c r="A407" i="19" s="1"/>
  <c r="B404" i="36"/>
  <c r="C402" i="36"/>
  <c r="A405" i="19" s="1"/>
  <c r="B402" i="36"/>
  <c r="C401" i="36"/>
  <c r="A404" i="19" s="1"/>
  <c r="B401" i="36"/>
  <c r="C400" i="36"/>
  <c r="A403" i="19" s="1"/>
  <c r="B400" i="36"/>
  <c r="C399" i="36"/>
  <c r="A402" i="19" s="1"/>
  <c r="B399" i="36"/>
  <c r="C398" i="36"/>
  <c r="A401" i="19" s="1"/>
  <c r="B398" i="36"/>
  <c r="C397" i="36"/>
  <c r="A400" i="19" s="1"/>
  <c r="B397" i="36"/>
  <c r="C396" i="36"/>
  <c r="A399" i="19" s="1"/>
  <c r="B396" i="36"/>
  <c r="C395" i="36"/>
  <c r="A398" i="19" s="1"/>
  <c r="B395" i="36"/>
  <c r="C393" i="36"/>
  <c r="A396" i="19" s="1"/>
  <c r="B393" i="36"/>
  <c r="C392" i="36"/>
  <c r="A395" i="19" s="1"/>
  <c r="B392" i="36"/>
  <c r="C390" i="36"/>
  <c r="A393" i="19" s="1"/>
  <c r="B390" i="36"/>
  <c r="C388" i="36"/>
  <c r="A391" i="19" s="1"/>
  <c r="B388" i="36"/>
  <c r="C386" i="36"/>
  <c r="A389" i="19" s="1"/>
  <c r="B386" i="36"/>
  <c r="C384" i="36"/>
  <c r="A387" i="19" s="1"/>
  <c r="B384" i="36"/>
  <c r="C382" i="36"/>
  <c r="A385" i="19" s="1"/>
  <c r="B382" i="36"/>
  <c r="C381" i="36"/>
  <c r="A384" i="19" s="1"/>
  <c r="B381" i="36"/>
  <c r="C380" i="36"/>
  <c r="A383" i="19" s="1"/>
  <c r="B380" i="36"/>
  <c r="C379" i="36"/>
  <c r="A382" i="19" s="1"/>
  <c r="B379" i="36"/>
  <c r="C377" i="36"/>
  <c r="A380" i="19" s="1"/>
  <c r="B377" i="36"/>
  <c r="C376" i="36"/>
  <c r="A379" i="19" s="1"/>
  <c r="B376" i="36"/>
  <c r="C374" i="36"/>
  <c r="A377" i="19" s="1"/>
  <c r="B374" i="36"/>
  <c r="C373" i="36"/>
  <c r="A376" i="19" s="1"/>
  <c r="C372" i="36"/>
  <c r="A375" i="19" s="1"/>
  <c r="B372" i="36"/>
  <c r="C371" i="36"/>
  <c r="A374" i="19" s="1"/>
  <c r="B371" i="36"/>
  <c r="C370" i="36"/>
  <c r="A373" i="19" s="1"/>
  <c r="B370" i="36"/>
  <c r="C369" i="36"/>
  <c r="A372" i="19" s="1"/>
  <c r="B369" i="36"/>
  <c r="C368" i="36"/>
  <c r="A371" i="19" s="1"/>
  <c r="C367" i="36"/>
  <c r="A370" i="19" s="1"/>
  <c r="B367" i="36"/>
  <c r="C366" i="36"/>
  <c r="A369" i="19" s="1"/>
  <c r="B366" i="36"/>
  <c r="C365" i="36"/>
  <c r="A368" i="19" s="1"/>
  <c r="B365" i="36"/>
  <c r="C364" i="36"/>
  <c r="A367" i="19" s="1"/>
  <c r="B364" i="36"/>
  <c r="C363" i="36"/>
  <c r="A366" i="19" s="1"/>
  <c r="B363" i="36"/>
  <c r="C362" i="36"/>
  <c r="A365" i="19" s="1"/>
  <c r="C361" i="36"/>
  <c r="A364" i="19" s="1"/>
  <c r="B361" i="36"/>
  <c r="C359" i="36"/>
  <c r="A362" i="19" s="1"/>
  <c r="B359" i="36"/>
  <c r="C358" i="36"/>
  <c r="A361" i="19" s="1"/>
  <c r="B358" i="36"/>
  <c r="C357" i="36"/>
  <c r="A360" i="19" s="1"/>
  <c r="B357" i="36"/>
  <c r="C356" i="36"/>
  <c r="A359" i="19" s="1"/>
  <c r="B356" i="36"/>
  <c r="C355" i="36"/>
  <c r="A358" i="19" s="1"/>
  <c r="B355" i="36"/>
  <c r="C354" i="36"/>
  <c r="A357" i="19" s="1"/>
  <c r="B354" i="36"/>
  <c r="C353" i="36"/>
  <c r="A356" i="19" s="1"/>
  <c r="B353" i="36"/>
  <c r="C352" i="36"/>
  <c r="A355" i="19" s="1"/>
  <c r="B352" i="36"/>
  <c r="C351" i="36"/>
  <c r="A354" i="19" s="1"/>
  <c r="B351" i="36"/>
  <c r="C350" i="36"/>
  <c r="A353" i="19" s="1"/>
  <c r="B350" i="36"/>
  <c r="C349" i="36"/>
  <c r="A352" i="19" s="1"/>
  <c r="B349" i="36"/>
  <c r="C348" i="36"/>
  <c r="A351" i="19" s="1"/>
  <c r="B348" i="36"/>
  <c r="C347" i="36"/>
  <c r="A350" i="19" s="1"/>
  <c r="B347" i="36"/>
  <c r="C346" i="36"/>
  <c r="A349" i="19" s="1"/>
  <c r="B346" i="36"/>
  <c r="C345" i="36"/>
  <c r="A348" i="19" s="1"/>
  <c r="B345" i="36"/>
  <c r="C344" i="36"/>
  <c r="A347" i="19" s="1"/>
  <c r="B344" i="36"/>
  <c r="C343" i="36"/>
  <c r="A346" i="19" s="1"/>
  <c r="B343" i="36"/>
  <c r="C342" i="36"/>
  <c r="A345" i="19" s="1"/>
  <c r="B342" i="36"/>
  <c r="C341" i="36"/>
  <c r="A344" i="19" s="1"/>
  <c r="B341" i="36"/>
  <c r="C340" i="36"/>
  <c r="A343" i="19" s="1"/>
  <c r="B340" i="36"/>
  <c r="C339" i="36"/>
  <c r="A342" i="19" s="1"/>
  <c r="B339" i="36"/>
  <c r="C338" i="36"/>
  <c r="A341" i="19" s="1"/>
  <c r="B338" i="36"/>
  <c r="C337" i="36"/>
  <c r="A340" i="19" s="1"/>
  <c r="B337" i="36"/>
  <c r="C336" i="36"/>
  <c r="A339" i="19" s="1"/>
  <c r="B336" i="36"/>
  <c r="C335" i="36"/>
  <c r="A338" i="19" s="1"/>
  <c r="B335" i="36"/>
  <c r="C334" i="36"/>
  <c r="A337" i="19" s="1"/>
  <c r="B334" i="36"/>
  <c r="C332" i="36"/>
  <c r="A335" i="19" s="1"/>
  <c r="C331" i="36"/>
  <c r="A334" i="19" s="1"/>
  <c r="C330" i="36"/>
  <c r="A333" i="19" s="1"/>
  <c r="C329" i="36"/>
  <c r="A332" i="19" s="1"/>
  <c r="C328" i="36"/>
  <c r="A331" i="19" s="1"/>
  <c r="C326" i="36"/>
  <c r="A329" i="19" s="1"/>
  <c r="B326" i="36"/>
  <c r="C325" i="36"/>
  <c r="A328" i="19" s="1"/>
  <c r="B325" i="36"/>
  <c r="C324" i="36"/>
  <c r="A327" i="19" s="1"/>
  <c r="B324" i="36"/>
  <c r="C323" i="36"/>
  <c r="A326" i="19" s="1"/>
  <c r="B323" i="36"/>
  <c r="C322" i="36"/>
  <c r="A325" i="19" s="1"/>
  <c r="B322" i="36"/>
  <c r="C321" i="36"/>
  <c r="A324" i="19" s="1"/>
  <c r="B321" i="36"/>
  <c r="C320" i="36"/>
  <c r="A323" i="19" s="1"/>
  <c r="B320" i="36"/>
  <c r="C319" i="36"/>
  <c r="A322" i="19" s="1"/>
  <c r="B319" i="36"/>
  <c r="C318" i="36"/>
  <c r="A321" i="19" s="1"/>
  <c r="B318" i="36"/>
  <c r="C317" i="36"/>
  <c r="A320" i="19" s="1"/>
  <c r="B317" i="36"/>
  <c r="C316" i="36"/>
  <c r="A319" i="19" s="1"/>
  <c r="B316" i="36"/>
  <c r="C315" i="36"/>
  <c r="A318" i="19" s="1"/>
  <c r="B315" i="36"/>
  <c r="C314" i="36"/>
  <c r="A317" i="19" s="1"/>
  <c r="B314" i="36"/>
  <c r="C312" i="36"/>
  <c r="A315" i="19" s="1"/>
  <c r="B312" i="36"/>
  <c r="C311" i="36"/>
  <c r="A314" i="19" s="1"/>
  <c r="B311" i="36"/>
  <c r="C310" i="36"/>
  <c r="A313" i="19" s="1"/>
  <c r="B310" i="36"/>
  <c r="C309" i="36"/>
  <c r="A312" i="19" s="1"/>
  <c r="B309" i="36"/>
  <c r="C308" i="36"/>
  <c r="A311" i="19" s="1"/>
  <c r="B308" i="36"/>
  <c r="C307" i="36"/>
  <c r="A310" i="19" s="1"/>
  <c r="B307" i="36"/>
  <c r="C306" i="36"/>
  <c r="A309" i="19" s="1"/>
  <c r="B306" i="36"/>
  <c r="C305" i="36"/>
  <c r="A308" i="19" s="1"/>
  <c r="B305" i="36"/>
  <c r="C304" i="36"/>
  <c r="A307" i="19" s="1"/>
  <c r="C303" i="36"/>
  <c r="A306" i="19" s="1"/>
  <c r="B303" i="36"/>
  <c r="C302" i="36"/>
  <c r="A305" i="19" s="1"/>
  <c r="B302" i="36"/>
  <c r="C301" i="36"/>
  <c r="A304" i="19" s="1"/>
  <c r="B301" i="36"/>
  <c r="C300" i="36"/>
  <c r="A303" i="19" s="1"/>
  <c r="B300" i="36"/>
  <c r="C299" i="36"/>
  <c r="A302" i="19" s="1"/>
  <c r="B299" i="36"/>
  <c r="C298" i="36"/>
  <c r="A301" i="19" s="1"/>
  <c r="B298" i="36"/>
  <c r="C297" i="36"/>
  <c r="A300" i="19" s="1"/>
  <c r="B297" i="36"/>
  <c r="C295" i="36"/>
  <c r="A298" i="19" s="1"/>
  <c r="B295" i="36"/>
  <c r="C294" i="36"/>
  <c r="A297" i="19" s="1"/>
  <c r="C293" i="36"/>
  <c r="A296" i="19" s="1"/>
  <c r="B293" i="36"/>
  <c r="C292" i="36"/>
  <c r="A295" i="19" s="1"/>
  <c r="B292" i="36"/>
  <c r="C291" i="36"/>
  <c r="A294" i="19" s="1"/>
  <c r="B291" i="36"/>
  <c r="C290" i="36"/>
  <c r="A293" i="19" s="1"/>
  <c r="B290" i="36"/>
  <c r="C289" i="36"/>
  <c r="A292" i="19" s="1"/>
  <c r="B289" i="36"/>
  <c r="C288" i="36"/>
  <c r="A291" i="19" s="1"/>
  <c r="B288" i="36"/>
  <c r="C287" i="36"/>
  <c r="A290" i="19" s="1"/>
  <c r="B287" i="36"/>
  <c r="C286" i="36"/>
  <c r="A289" i="19" s="1"/>
  <c r="B286" i="36"/>
  <c r="C285" i="36"/>
  <c r="A288" i="19" s="1"/>
  <c r="C284" i="36"/>
  <c r="A287" i="19" s="1"/>
  <c r="B284" i="36"/>
  <c r="C282" i="36"/>
  <c r="A282" i="19" s="1"/>
  <c r="B282" i="36"/>
  <c r="C280" i="36"/>
  <c r="A280" i="19" s="1"/>
  <c r="C279" i="36"/>
  <c r="A279" i="19" s="1"/>
  <c r="B279" i="36"/>
  <c r="C278" i="36"/>
  <c r="A278" i="19" s="1"/>
  <c r="B278" i="36"/>
  <c r="C277" i="36"/>
  <c r="A277" i="19" s="1"/>
  <c r="B277" i="36"/>
  <c r="C276" i="36"/>
  <c r="A276" i="19" s="1"/>
  <c r="B276" i="36"/>
  <c r="C275" i="36"/>
  <c r="A275" i="19" s="1"/>
  <c r="B275" i="36"/>
  <c r="C274" i="36"/>
  <c r="A274" i="19" s="1"/>
  <c r="B274" i="36"/>
  <c r="C273" i="36"/>
  <c r="A273" i="19" s="1"/>
  <c r="B273" i="36"/>
  <c r="C272" i="36"/>
  <c r="A272" i="19" s="1"/>
  <c r="B272" i="36"/>
  <c r="C271" i="36"/>
  <c r="A271" i="19" s="1"/>
  <c r="B271" i="36"/>
  <c r="C270" i="36"/>
  <c r="A270" i="19" s="1"/>
  <c r="B270" i="36"/>
  <c r="C269" i="36"/>
  <c r="A269" i="19" s="1"/>
  <c r="B269" i="36"/>
  <c r="C268" i="36"/>
  <c r="A268" i="19" s="1"/>
  <c r="C267" i="36"/>
  <c r="A267" i="19" s="1"/>
  <c r="B267" i="36"/>
  <c r="C266" i="36"/>
  <c r="A266" i="19" s="1"/>
  <c r="B266" i="36"/>
  <c r="C265" i="36"/>
  <c r="A265" i="19" s="1"/>
  <c r="B265" i="36"/>
  <c r="C263" i="36"/>
  <c r="A263" i="19" s="1"/>
  <c r="B263" i="36"/>
  <c r="C262" i="36"/>
  <c r="A262" i="19" s="1"/>
  <c r="B262" i="36"/>
  <c r="C261" i="36"/>
  <c r="A261" i="19" s="1"/>
  <c r="B261" i="36"/>
  <c r="C260" i="36"/>
  <c r="A260" i="19" s="1"/>
  <c r="B260" i="36"/>
  <c r="C259" i="36"/>
  <c r="A259" i="19" s="1"/>
  <c r="B259" i="36"/>
  <c r="C258" i="36"/>
  <c r="A258" i="19" s="1"/>
  <c r="B258" i="36"/>
  <c r="C257" i="36"/>
  <c r="A257" i="19" s="1"/>
  <c r="B257" i="36"/>
  <c r="C256" i="36"/>
  <c r="B256" i="36"/>
  <c r="C254" i="36"/>
  <c r="A254" i="19" s="1"/>
  <c r="B254" i="36"/>
  <c r="C253" i="36"/>
  <c r="A253" i="19" s="1"/>
  <c r="B253" i="36"/>
  <c r="C252" i="36"/>
  <c r="A252" i="19" s="1"/>
  <c r="B252" i="36"/>
  <c r="C251" i="36"/>
  <c r="A251" i="19" s="1"/>
  <c r="B251" i="36"/>
  <c r="C249" i="36"/>
  <c r="A249" i="19" s="1"/>
  <c r="C248" i="36"/>
  <c r="A248" i="19" s="1"/>
  <c r="C247" i="36"/>
  <c r="A247" i="19" s="1"/>
  <c r="C246" i="36"/>
  <c r="A246" i="19" s="1"/>
  <c r="B246" i="36"/>
  <c r="C245" i="36"/>
  <c r="A245" i="19" s="1"/>
  <c r="C244" i="36"/>
  <c r="A244" i="19" s="1"/>
  <c r="B244" i="36"/>
  <c r="C242" i="36"/>
  <c r="A242" i="19" s="1"/>
  <c r="B242" i="36"/>
  <c r="C240" i="36"/>
  <c r="A240" i="19" s="1"/>
  <c r="B240" i="36"/>
  <c r="C238" i="36"/>
  <c r="A238" i="19" s="1"/>
  <c r="B238" i="36"/>
  <c r="C236" i="36"/>
  <c r="A236" i="19" s="1"/>
  <c r="B236" i="36"/>
  <c r="C235" i="36"/>
  <c r="A235" i="19" s="1"/>
  <c r="B235" i="36"/>
  <c r="C234" i="36"/>
  <c r="A234" i="19" s="1"/>
  <c r="B234" i="36"/>
  <c r="C233" i="36"/>
  <c r="A233" i="19" s="1"/>
  <c r="B233" i="36"/>
  <c r="C231" i="36"/>
  <c r="A231" i="19" s="1"/>
  <c r="B231" i="36"/>
  <c r="C230" i="36"/>
  <c r="A230" i="19" s="1"/>
  <c r="B230" i="36"/>
  <c r="C229" i="36"/>
  <c r="A229" i="19" s="1"/>
  <c r="B229" i="36"/>
  <c r="C227" i="36"/>
  <c r="A227" i="19" s="1"/>
  <c r="B227" i="36"/>
  <c r="C225" i="36"/>
  <c r="A225" i="19" s="1"/>
  <c r="B225" i="36"/>
  <c r="C224" i="36"/>
  <c r="A224" i="19" s="1"/>
  <c r="B224" i="36"/>
  <c r="C223" i="36"/>
  <c r="A223" i="19" s="1"/>
  <c r="B223" i="36"/>
  <c r="C221" i="36"/>
  <c r="A221" i="19" s="1"/>
  <c r="B221" i="36"/>
  <c r="C220" i="36"/>
  <c r="A220" i="19" s="1"/>
  <c r="B220" i="36"/>
  <c r="C219" i="36"/>
  <c r="A219" i="19" s="1"/>
  <c r="B219" i="36"/>
  <c r="C218" i="36"/>
  <c r="A218" i="19" s="1"/>
  <c r="B218" i="36"/>
  <c r="C217" i="36"/>
  <c r="A217" i="19" s="1"/>
  <c r="B217" i="36"/>
  <c r="C216" i="36"/>
  <c r="A216" i="19" s="1"/>
  <c r="B216" i="36"/>
  <c r="C214" i="36"/>
  <c r="A214" i="19" s="1"/>
  <c r="B214" i="36"/>
  <c r="C213" i="36"/>
  <c r="A213" i="19" s="1"/>
  <c r="B213" i="36"/>
  <c r="C212" i="36"/>
  <c r="A212" i="19" s="1"/>
  <c r="B212" i="36"/>
  <c r="C211" i="36"/>
  <c r="A211" i="19" s="1"/>
  <c r="B211" i="36"/>
  <c r="C210" i="36"/>
  <c r="A210" i="19" s="1"/>
  <c r="B210" i="36"/>
  <c r="C209" i="36"/>
  <c r="A209" i="19" s="1"/>
  <c r="B209" i="36"/>
  <c r="C208" i="36"/>
  <c r="A208" i="19" s="1"/>
  <c r="B208" i="36"/>
  <c r="C206" i="36"/>
  <c r="A206" i="19" s="1"/>
  <c r="B206" i="36"/>
  <c r="C205" i="36"/>
  <c r="A205" i="19" s="1"/>
  <c r="B205" i="36"/>
  <c r="C203" i="36"/>
  <c r="A203" i="19" s="1"/>
  <c r="B203" i="36"/>
  <c r="C202" i="36"/>
  <c r="A202" i="19" s="1"/>
  <c r="C201" i="36"/>
  <c r="A201" i="19" s="1"/>
  <c r="C200" i="36"/>
  <c r="A200" i="19" s="1"/>
  <c r="B200" i="36"/>
  <c r="C198" i="36"/>
  <c r="A198" i="19" s="1"/>
  <c r="C197" i="36"/>
  <c r="A197" i="19" s="1"/>
  <c r="B197" i="36"/>
  <c r="C196" i="36"/>
  <c r="A196" i="19" s="1"/>
  <c r="B196" i="36"/>
  <c r="C195" i="36"/>
  <c r="A195" i="19" s="1"/>
  <c r="B195" i="36"/>
  <c r="C194" i="36"/>
  <c r="A194" i="19" s="1"/>
  <c r="C192" i="36"/>
  <c r="A192" i="19" s="1"/>
  <c r="B192" i="36"/>
  <c r="C191" i="36"/>
  <c r="A191" i="19" s="1"/>
  <c r="B191" i="36"/>
  <c r="C190" i="36"/>
  <c r="A190" i="19" s="1"/>
  <c r="B190" i="36"/>
  <c r="C189" i="36"/>
  <c r="A189" i="19" s="1"/>
  <c r="B189" i="36"/>
  <c r="C188" i="36"/>
  <c r="A188" i="19" s="1"/>
  <c r="B188" i="36"/>
  <c r="C187" i="36"/>
  <c r="A187" i="19" s="1"/>
  <c r="B187" i="36"/>
  <c r="C186" i="36"/>
  <c r="A186" i="19" s="1"/>
  <c r="B186" i="36"/>
  <c r="C185" i="36"/>
  <c r="A185" i="19" s="1"/>
  <c r="B185" i="36"/>
  <c r="C184" i="36"/>
  <c r="A184" i="19" s="1"/>
  <c r="B184" i="36"/>
  <c r="C183" i="36"/>
  <c r="A183" i="19" s="1"/>
  <c r="C182" i="36"/>
  <c r="A182" i="19" s="1"/>
  <c r="B182" i="36"/>
  <c r="C181" i="36"/>
  <c r="A181" i="19" s="1"/>
  <c r="B181" i="36"/>
  <c r="C179" i="36"/>
  <c r="A179" i="19" s="1"/>
  <c r="C178" i="36"/>
  <c r="A178" i="19" s="1"/>
  <c r="B178" i="36"/>
  <c r="C177" i="36"/>
  <c r="A177" i="19" s="1"/>
  <c r="B177" i="36"/>
  <c r="C176" i="36"/>
  <c r="A176" i="19" s="1"/>
  <c r="B176" i="36"/>
  <c r="C175" i="36"/>
  <c r="A175" i="19" s="1"/>
  <c r="B175" i="36"/>
  <c r="C174" i="36"/>
  <c r="A174" i="19" s="1"/>
  <c r="B174" i="36"/>
  <c r="C173" i="36"/>
  <c r="A173" i="19" s="1"/>
  <c r="B173" i="36"/>
  <c r="C172" i="36"/>
  <c r="A172" i="19" s="1"/>
  <c r="B172" i="36"/>
  <c r="C171" i="36"/>
  <c r="A171" i="19" s="1"/>
  <c r="B171" i="36"/>
  <c r="C170" i="36"/>
  <c r="A170" i="19" s="1"/>
  <c r="B170" i="36"/>
  <c r="C169" i="36"/>
  <c r="A169" i="19" s="1"/>
  <c r="B169" i="36"/>
  <c r="C167" i="36"/>
  <c r="A167" i="19" s="1"/>
  <c r="B167" i="36"/>
  <c r="C166" i="36"/>
  <c r="A166" i="19" s="1"/>
  <c r="B166" i="36"/>
  <c r="C164" i="36"/>
  <c r="A164" i="19" s="1"/>
  <c r="B164" i="36"/>
  <c r="C163" i="36"/>
  <c r="A163" i="19" s="1"/>
  <c r="B163" i="36"/>
  <c r="C162" i="36"/>
  <c r="A162" i="19" s="1"/>
  <c r="C161" i="36"/>
  <c r="A161" i="19" s="1"/>
  <c r="C160" i="36"/>
  <c r="A160" i="19" s="1"/>
  <c r="B160" i="36"/>
  <c r="C159" i="36"/>
  <c r="A159" i="19" s="1"/>
  <c r="B159" i="36"/>
  <c r="C157" i="36"/>
  <c r="A157" i="19" s="1"/>
  <c r="B157" i="36"/>
  <c r="C156" i="36"/>
  <c r="A156" i="19" s="1"/>
  <c r="B156" i="36"/>
  <c r="C155" i="36"/>
  <c r="A155" i="19" s="1"/>
  <c r="B155" i="36"/>
  <c r="C154" i="36"/>
  <c r="A154" i="19" s="1"/>
  <c r="B154" i="36"/>
  <c r="C153" i="36"/>
  <c r="A153" i="19" s="1"/>
  <c r="B153" i="36"/>
  <c r="C152" i="36"/>
  <c r="A152" i="19" s="1"/>
  <c r="B152" i="36"/>
  <c r="C151" i="36"/>
  <c r="A151" i="19" s="1"/>
  <c r="B151" i="36"/>
  <c r="C150" i="36"/>
  <c r="A150" i="19" s="1"/>
  <c r="C149" i="36"/>
  <c r="A149" i="19" s="1"/>
  <c r="C148" i="36"/>
  <c r="A148" i="19" s="1"/>
  <c r="C146" i="36"/>
  <c r="A146" i="19" s="1"/>
  <c r="C145" i="36"/>
  <c r="A145" i="19" s="1"/>
  <c r="C144" i="36"/>
  <c r="A144" i="19" s="1"/>
  <c r="C143" i="36"/>
  <c r="A143" i="19" s="1"/>
  <c r="C142" i="36"/>
  <c r="A142" i="19" s="1"/>
  <c r="C141" i="36"/>
  <c r="A141" i="19" s="1"/>
  <c r="C140" i="36"/>
  <c r="A140" i="19" s="1"/>
  <c r="C139" i="36"/>
  <c r="A139" i="19" s="1"/>
  <c r="C138" i="36"/>
  <c r="A138" i="19" s="1"/>
  <c r="C136" i="36"/>
  <c r="A136" i="19" s="1"/>
  <c r="C135" i="36"/>
  <c r="A135" i="19" s="1"/>
  <c r="C134" i="36"/>
  <c r="A134" i="19" s="1"/>
  <c r="C133" i="36"/>
  <c r="A133" i="19" s="1"/>
  <c r="C132" i="36"/>
  <c r="A132" i="19" s="1"/>
  <c r="C131" i="36"/>
  <c r="A131" i="19" s="1"/>
  <c r="C130" i="36"/>
  <c r="A130" i="19" s="1"/>
  <c r="C129" i="36"/>
  <c r="A129" i="19" s="1"/>
  <c r="C127" i="36"/>
  <c r="A127" i="19" s="1"/>
  <c r="C126" i="36"/>
  <c r="A126" i="19" s="1"/>
  <c r="C125" i="36"/>
  <c r="A125" i="19" s="1"/>
  <c r="C124" i="36"/>
  <c r="A124" i="19" s="1"/>
  <c r="C123" i="36"/>
  <c r="A123" i="19" s="1"/>
  <c r="C122" i="36"/>
  <c r="A122" i="19" s="1"/>
  <c r="C121" i="36"/>
  <c r="A121" i="19" s="1"/>
  <c r="C120" i="36"/>
  <c r="A120" i="19" s="1"/>
  <c r="C119" i="36"/>
  <c r="A119" i="19" s="1"/>
  <c r="C117" i="36"/>
  <c r="A117" i="19" s="1"/>
  <c r="B117" i="36"/>
  <c r="C116" i="36"/>
  <c r="A116" i="19" s="1"/>
  <c r="B116" i="36"/>
  <c r="C115" i="36"/>
  <c r="A115" i="19" s="1"/>
  <c r="B115" i="36"/>
  <c r="C114" i="36"/>
  <c r="A114" i="19" s="1"/>
  <c r="C113" i="36"/>
  <c r="A113" i="19" s="1"/>
  <c r="C112" i="36"/>
  <c r="A112" i="19" s="1"/>
  <c r="C111" i="36"/>
  <c r="A111" i="19" s="1"/>
  <c r="B111" i="36"/>
  <c r="C110" i="36"/>
  <c r="A110" i="19" s="1"/>
  <c r="C109" i="36"/>
  <c r="A109" i="19" s="1"/>
  <c r="B109" i="36"/>
  <c r="C108" i="36"/>
  <c r="A108" i="19" s="1"/>
  <c r="B108" i="36"/>
  <c r="C107" i="36"/>
  <c r="A107" i="19" s="1"/>
  <c r="C106" i="36"/>
  <c r="A106" i="19" s="1"/>
  <c r="B106" i="36"/>
  <c r="C105" i="36"/>
  <c r="A105" i="19" s="1"/>
  <c r="C104" i="36"/>
  <c r="A104" i="19" s="1"/>
  <c r="B104" i="36"/>
  <c r="C103" i="36"/>
  <c r="A103" i="19" s="1"/>
  <c r="B103" i="36"/>
  <c r="C102" i="36"/>
  <c r="A102" i="19" s="1"/>
  <c r="C101" i="36"/>
  <c r="A101" i="19" s="1"/>
  <c r="C100" i="36"/>
  <c r="A100" i="19" s="1"/>
  <c r="B100" i="36"/>
  <c r="C99" i="36"/>
  <c r="A99" i="19" s="1"/>
  <c r="B99" i="36"/>
  <c r="C98" i="36"/>
  <c r="A98" i="19" s="1"/>
  <c r="B98" i="36"/>
  <c r="C97" i="36"/>
  <c r="A97" i="19" s="1"/>
  <c r="B97" i="36"/>
  <c r="C95" i="36"/>
  <c r="A95" i="19" s="1"/>
  <c r="B95" i="36"/>
  <c r="C94" i="36"/>
  <c r="A94" i="19" s="1"/>
  <c r="B94" i="36"/>
  <c r="C93" i="36"/>
  <c r="A93" i="19" s="1"/>
  <c r="C92" i="36"/>
  <c r="A92" i="19" s="1"/>
  <c r="C91" i="36"/>
  <c r="A91" i="19" s="1"/>
  <c r="C90" i="36"/>
  <c r="A90" i="19" s="1"/>
  <c r="B90" i="36"/>
  <c r="C89" i="36"/>
  <c r="A89" i="19" s="1"/>
  <c r="B89" i="36"/>
  <c r="C87" i="36"/>
  <c r="A87" i="19" s="1"/>
  <c r="C86" i="36"/>
  <c r="A86" i="19" s="1"/>
  <c r="B86" i="36"/>
  <c r="C85" i="36"/>
  <c r="A85" i="19" s="1"/>
  <c r="B85" i="36"/>
  <c r="C84" i="36"/>
  <c r="A84" i="19" s="1"/>
  <c r="B84" i="36"/>
  <c r="C83" i="36"/>
  <c r="A83" i="19" s="1"/>
  <c r="B83" i="36"/>
  <c r="C82" i="36"/>
  <c r="A82" i="19" s="1"/>
  <c r="B82" i="36"/>
  <c r="C81" i="36"/>
  <c r="A81" i="19" s="1"/>
  <c r="B81" i="36"/>
  <c r="C80" i="36"/>
  <c r="A80" i="19" s="1"/>
  <c r="B80" i="36"/>
  <c r="C79" i="36"/>
  <c r="A79" i="19" s="1"/>
  <c r="B79" i="36"/>
  <c r="C77" i="36"/>
  <c r="A77" i="19" s="1"/>
  <c r="B77" i="36"/>
  <c r="C76" i="36"/>
  <c r="A76" i="19" s="1"/>
  <c r="B76" i="36"/>
  <c r="C75" i="36"/>
  <c r="A75" i="19" s="1"/>
  <c r="B75" i="36"/>
  <c r="C73" i="36"/>
  <c r="A73" i="19" s="1"/>
  <c r="B73" i="36"/>
  <c r="C72" i="36"/>
  <c r="A72" i="19" s="1"/>
  <c r="B72" i="36"/>
  <c r="C71" i="36"/>
  <c r="A71" i="19" s="1"/>
  <c r="C70" i="36"/>
  <c r="A70" i="19" s="1"/>
  <c r="B70" i="36"/>
  <c r="C68" i="36"/>
  <c r="A68" i="19" s="1"/>
  <c r="B68" i="36"/>
  <c r="C67" i="36"/>
  <c r="A67" i="19" s="1"/>
  <c r="B67" i="36"/>
  <c r="C66" i="36"/>
  <c r="A66" i="19" s="1"/>
  <c r="B66" i="36"/>
  <c r="C65" i="36"/>
  <c r="A65" i="19" s="1"/>
  <c r="B65" i="36"/>
  <c r="C64" i="36"/>
  <c r="A64" i="19" s="1"/>
  <c r="B64" i="36"/>
  <c r="C63" i="36"/>
  <c r="A63" i="19" s="1"/>
  <c r="B63" i="36"/>
  <c r="C62" i="36"/>
  <c r="A62" i="19" s="1"/>
  <c r="B62" i="36"/>
  <c r="C61" i="36"/>
  <c r="A61" i="19" s="1"/>
  <c r="B61" i="36"/>
  <c r="C60" i="36"/>
  <c r="A60" i="19" s="1"/>
  <c r="B60" i="36"/>
  <c r="C59" i="36"/>
  <c r="A59" i="19" s="1"/>
  <c r="B59" i="36"/>
  <c r="C58" i="36"/>
  <c r="A58" i="19" s="1"/>
  <c r="C57" i="36"/>
  <c r="A57" i="19" s="1"/>
  <c r="B57" i="36"/>
  <c r="C55" i="36"/>
  <c r="A55" i="19" s="1"/>
  <c r="B55" i="36"/>
  <c r="C54" i="36"/>
  <c r="A54" i="19" s="1"/>
  <c r="B54" i="36"/>
  <c r="C53" i="36"/>
  <c r="A53" i="19" s="1"/>
  <c r="B53" i="36"/>
  <c r="C52" i="36"/>
  <c r="A52" i="19" s="1"/>
  <c r="B52" i="36"/>
  <c r="C51" i="36"/>
  <c r="A51" i="19" s="1"/>
  <c r="B51" i="36"/>
  <c r="C50" i="36"/>
  <c r="A50" i="19" s="1"/>
  <c r="C49" i="36"/>
  <c r="A49" i="19" s="1"/>
  <c r="C48" i="36"/>
  <c r="A48" i="19" s="1"/>
  <c r="B48" i="36"/>
  <c r="C47" i="36"/>
  <c r="A47" i="19" s="1"/>
  <c r="B47" i="36"/>
  <c r="C46" i="36"/>
  <c r="A46" i="19" s="1"/>
  <c r="B46" i="36"/>
  <c r="C45" i="36"/>
  <c r="A45" i="19" s="1"/>
  <c r="B45" i="36"/>
  <c r="C44" i="36"/>
  <c r="A44" i="19" s="1"/>
  <c r="B44" i="36"/>
  <c r="C43" i="36"/>
  <c r="A43" i="19" s="1"/>
  <c r="B43" i="36"/>
  <c r="C42" i="36"/>
  <c r="A42" i="19" s="1"/>
  <c r="C41" i="36"/>
  <c r="A41" i="19" s="1"/>
  <c r="B41" i="36"/>
  <c r="C40" i="36"/>
  <c r="A40" i="19" s="1"/>
  <c r="B40" i="36"/>
  <c r="C39" i="36"/>
  <c r="A39" i="19" s="1"/>
  <c r="C38" i="36"/>
  <c r="A38" i="19" s="1"/>
  <c r="B38" i="36"/>
  <c r="C37" i="36"/>
  <c r="A37" i="19" s="1"/>
  <c r="B37" i="36"/>
  <c r="C36" i="36"/>
  <c r="A36" i="19" s="1"/>
  <c r="C35" i="36"/>
  <c r="A35" i="19" s="1"/>
  <c r="B35" i="36"/>
  <c r="C34" i="36"/>
  <c r="A34" i="19" s="1"/>
  <c r="B34" i="36"/>
  <c r="C33" i="36"/>
  <c r="A33" i="19" s="1"/>
  <c r="B33" i="36"/>
  <c r="C32" i="36"/>
  <c r="A32" i="19" s="1"/>
  <c r="C31" i="36"/>
  <c r="A31" i="19" s="1"/>
  <c r="B31" i="36"/>
  <c r="C30" i="36"/>
  <c r="A30" i="19" s="1"/>
  <c r="B30" i="36"/>
  <c r="C29" i="36"/>
  <c r="A29" i="19" s="1"/>
  <c r="B29" i="36"/>
  <c r="C28" i="36"/>
  <c r="A28" i="19" s="1"/>
  <c r="B28" i="36"/>
  <c r="C27" i="36"/>
  <c r="A27" i="19" s="1"/>
  <c r="C26" i="36"/>
  <c r="A26" i="19" s="1"/>
  <c r="B26" i="36"/>
  <c r="C25" i="36"/>
  <c r="A25" i="19" s="1"/>
  <c r="C24" i="36"/>
  <c r="A24" i="19" s="1"/>
  <c r="C23" i="36"/>
  <c r="A23" i="19" s="1"/>
  <c r="C22" i="36"/>
  <c r="A22" i="19" s="1"/>
  <c r="B22" i="36"/>
  <c r="S6" i="44" l="1"/>
  <c r="R6" i="44" s="1"/>
  <c r="Q6" i="44" s="1"/>
  <c r="Q7" i="44" s="1"/>
  <c r="V7" i="44"/>
  <c r="K8" i="56"/>
  <c r="L8" i="56" s="1"/>
  <c r="J9" i="56"/>
  <c r="AN815" i="19"/>
  <c r="A256" i="19"/>
  <c r="A943" i="19"/>
  <c r="A942" i="19"/>
  <c r="AN1053" i="19"/>
  <c r="AN1024" i="19"/>
  <c r="AN1033" i="19"/>
  <c r="AN1034" i="19"/>
  <c r="AN1030" i="19"/>
  <c r="AN1036" i="19"/>
  <c r="AN1028" i="19"/>
  <c r="AN1021" i="19"/>
  <c r="AN947" i="19"/>
  <c r="AN799" i="19"/>
  <c r="AR558" i="19"/>
  <c r="AT558" i="19" s="1"/>
  <c r="AX558" i="19"/>
  <c r="AY558" i="19"/>
  <c r="AZ558" i="19"/>
  <c r="P6" i="44" l="1"/>
  <c r="V6" i="44"/>
  <c r="S7" i="44"/>
  <c r="R7" i="44"/>
  <c r="V5" i="44"/>
  <c r="J10" i="56"/>
  <c r="K9" i="56"/>
  <c r="L9" i="56" s="1"/>
  <c r="AP558" i="19"/>
  <c r="AS558" i="19"/>
  <c r="V4" i="44" l="1"/>
  <c r="J11" i="56"/>
  <c r="K10" i="56"/>
  <c r="L10" i="56" s="1"/>
  <c r="AZ1125" i="19"/>
  <c r="AY1125" i="19"/>
  <c r="AX1125" i="19"/>
  <c r="AR1125" i="19"/>
  <c r="AT1125" i="19" s="1"/>
  <c r="AS1125" i="19" s="1"/>
  <c r="AP1125" i="19"/>
  <c r="AZ1122" i="19"/>
  <c r="AY1122" i="19"/>
  <c r="AX1122" i="19"/>
  <c r="AR1122" i="19"/>
  <c r="AT1122" i="19" s="1"/>
  <c r="AS1122" i="19" s="1"/>
  <c r="AP1122" i="19"/>
  <c r="AZ1120" i="19"/>
  <c r="AY1120" i="19"/>
  <c r="AX1120" i="19"/>
  <c r="AR1120" i="19"/>
  <c r="AT1120" i="19" s="1"/>
  <c r="AS1120" i="19" s="1"/>
  <c r="AP1120" i="19"/>
  <c r="AZ1118" i="19"/>
  <c r="AY1118" i="19"/>
  <c r="AX1118" i="19"/>
  <c r="AR1118" i="19"/>
  <c r="AT1118" i="19" s="1"/>
  <c r="AP1118" i="19"/>
  <c r="AZ1116" i="19"/>
  <c r="AY1116" i="19"/>
  <c r="AX1116" i="19"/>
  <c r="AR1116" i="19"/>
  <c r="AT1116" i="19" s="1"/>
  <c r="AS1116" i="19" s="1"/>
  <c r="AP1116" i="19"/>
  <c r="AZ1114" i="19"/>
  <c r="AY1114" i="19"/>
  <c r="AX1114" i="19"/>
  <c r="AR1114" i="19"/>
  <c r="AT1114" i="19" s="1"/>
  <c r="AS1114" i="19" s="1"/>
  <c r="AP1114" i="19"/>
  <c r="AZ1112" i="19"/>
  <c r="AY1112" i="19"/>
  <c r="AX1112" i="19"/>
  <c r="AR1112" i="19"/>
  <c r="AT1112" i="19" s="1"/>
  <c r="AS1112" i="19" s="1"/>
  <c r="AZ1110" i="19"/>
  <c r="AY1110" i="19"/>
  <c r="AX1110" i="19"/>
  <c r="AR1110" i="19"/>
  <c r="AT1110" i="19" s="1"/>
  <c r="AS1110" i="19" s="1"/>
  <c r="AZ1108" i="19"/>
  <c r="AY1108" i="19"/>
  <c r="AX1108" i="19"/>
  <c r="AR1108" i="19"/>
  <c r="AT1108" i="19" s="1"/>
  <c r="AS1108" i="19" s="1"/>
  <c r="AZ1106" i="19"/>
  <c r="AY1106" i="19"/>
  <c r="AX1106" i="19"/>
  <c r="AR1106" i="19"/>
  <c r="AT1106" i="19" s="1"/>
  <c r="AS1106" i="19" s="1"/>
  <c r="AP1106" i="19"/>
  <c r="AZ1103" i="19"/>
  <c r="AY1103" i="19"/>
  <c r="AX1103" i="19"/>
  <c r="AR1103" i="19"/>
  <c r="AT1103" i="19" s="1"/>
  <c r="AZ1101" i="19"/>
  <c r="AY1101" i="19"/>
  <c r="AX1101" i="19"/>
  <c r="AR1101" i="19"/>
  <c r="AT1101" i="19" s="1"/>
  <c r="AZ1099" i="19"/>
  <c r="AY1099" i="19"/>
  <c r="AX1099" i="19"/>
  <c r="AR1099" i="19"/>
  <c r="AT1099" i="19" s="1"/>
  <c r="AS1099" i="19" s="1"/>
  <c r="AZ1097" i="19"/>
  <c r="AY1097" i="19"/>
  <c r="AX1097" i="19"/>
  <c r="AR1097" i="19"/>
  <c r="AT1097" i="19" s="1"/>
  <c r="AS1097" i="19" s="1"/>
  <c r="AZ1094" i="19"/>
  <c r="AY1094" i="19"/>
  <c r="AX1094" i="19"/>
  <c r="AR1094" i="19"/>
  <c r="AT1094" i="19" s="1"/>
  <c r="AS1094" i="19" s="1"/>
  <c r="AZ1092" i="19"/>
  <c r="AY1092" i="19"/>
  <c r="AX1092" i="19"/>
  <c r="AR1092" i="19"/>
  <c r="AT1092" i="19" s="1"/>
  <c r="AS1092" i="19" s="1"/>
  <c r="AZ1089" i="19"/>
  <c r="AY1089" i="19"/>
  <c r="AX1089" i="19"/>
  <c r="AR1089" i="19"/>
  <c r="AT1089" i="19" s="1"/>
  <c r="AZ1087" i="19"/>
  <c r="AY1087" i="19"/>
  <c r="AX1087" i="19"/>
  <c r="AR1087" i="19"/>
  <c r="AT1087" i="19" s="1"/>
  <c r="AZ1085" i="19"/>
  <c r="AY1085" i="19"/>
  <c r="AX1085" i="19"/>
  <c r="AR1085" i="19"/>
  <c r="AT1085" i="19" s="1"/>
  <c r="AZ1083" i="19"/>
  <c r="AY1083" i="19"/>
  <c r="AX1083" i="19"/>
  <c r="AR1083" i="19"/>
  <c r="AT1083" i="19" s="1"/>
  <c r="AS1083" i="19" s="1"/>
  <c r="AP1083" i="19"/>
  <c r="AZ1081" i="19"/>
  <c r="AY1081" i="19"/>
  <c r="AX1081" i="19"/>
  <c r="AR1081" i="19"/>
  <c r="AT1081" i="19" s="1"/>
  <c r="AP1081" i="19"/>
  <c r="AZ1078" i="19"/>
  <c r="AY1078" i="19"/>
  <c r="AX1078" i="19"/>
  <c r="AR1078" i="19"/>
  <c r="AT1078" i="19" s="1"/>
  <c r="AS1078" i="19" s="1"/>
  <c r="AZ1076" i="19"/>
  <c r="AY1076" i="19"/>
  <c r="AX1076" i="19"/>
  <c r="AR1076" i="19"/>
  <c r="AT1076" i="19" s="1"/>
  <c r="AP1076" i="19"/>
  <c r="AZ1074" i="19"/>
  <c r="AY1074" i="19"/>
  <c r="AX1074" i="19"/>
  <c r="AR1074" i="19"/>
  <c r="AT1074" i="19" s="1"/>
  <c r="AZ1073" i="19"/>
  <c r="AY1073" i="19"/>
  <c r="AX1073" i="19"/>
  <c r="AR1073" i="19"/>
  <c r="AT1073" i="19" s="1"/>
  <c r="AS1073" i="19" s="1"/>
  <c r="AZ1067" i="19"/>
  <c r="AY1067" i="19"/>
  <c r="AX1067" i="19"/>
  <c r="AR1067" i="19"/>
  <c r="AT1067" i="19" s="1"/>
  <c r="AS1067" i="19" s="1"/>
  <c r="AZ1062" i="19"/>
  <c r="AY1062" i="19"/>
  <c r="AX1062" i="19"/>
  <c r="AR1062" i="19"/>
  <c r="AT1062" i="19" s="1"/>
  <c r="AS1062" i="19" s="1"/>
  <c r="AZ1056" i="19"/>
  <c r="AY1056" i="19"/>
  <c r="AX1056" i="19"/>
  <c r="AR1056" i="19"/>
  <c r="AT1056" i="19" s="1"/>
  <c r="AS1056" i="19" s="1"/>
  <c r="AP1056" i="19"/>
  <c r="AZ1051" i="19"/>
  <c r="AY1051" i="19"/>
  <c r="AX1051" i="19"/>
  <c r="AR1051" i="19"/>
  <c r="AT1051" i="19" s="1"/>
  <c r="AZ1049" i="19"/>
  <c r="AY1049" i="19"/>
  <c r="AX1049" i="19"/>
  <c r="AR1049" i="19"/>
  <c r="AT1049" i="19" s="1"/>
  <c r="AS1049" i="19" s="1"/>
  <c r="AZ1044" i="19"/>
  <c r="AY1044" i="19"/>
  <c r="AX1044" i="19"/>
  <c r="AR1044" i="19"/>
  <c r="AT1044" i="19" s="1"/>
  <c r="AZ1027" i="19"/>
  <c r="AY1027" i="19"/>
  <c r="AX1027" i="19"/>
  <c r="AR1027" i="19"/>
  <c r="AT1027" i="19" s="1"/>
  <c r="AZ1025" i="19"/>
  <c r="AY1025" i="19"/>
  <c r="AX1025" i="19"/>
  <c r="AR1025" i="19"/>
  <c r="AT1025" i="19" s="1"/>
  <c r="AZ1019" i="19"/>
  <c r="AY1019" i="19"/>
  <c r="AX1019" i="19"/>
  <c r="AR1019" i="19"/>
  <c r="AT1019" i="19" s="1"/>
  <c r="AZ1017" i="19"/>
  <c r="AY1017" i="19"/>
  <c r="AX1017" i="19"/>
  <c r="AR1017" i="19"/>
  <c r="AT1017" i="19" s="1"/>
  <c r="AZ1011" i="19"/>
  <c r="AY1011" i="19"/>
  <c r="AX1011" i="19"/>
  <c r="AR1011" i="19"/>
  <c r="AT1011" i="19" s="1"/>
  <c r="AZ1007" i="19"/>
  <c r="AY1007" i="19"/>
  <c r="AX1007" i="19"/>
  <c r="AR1007" i="19"/>
  <c r="AT1007" i="19" s="1"/>
  <c r="AZ988" i="19"/>
  <c r="AY988" i="19"/>
  <c r="AX988" i="19"/>
  <c r="AR988" i="19"/>
  <c r="AT988" i="19" s="1"/>
  <c r="AS988" i="19" s="1"/>
  <c r="AZ974" i="19"/>
  <c r="AY974" i="19"/>
  <c r="AX974" i="19"/>
  <c r="AR974" i="19"/>
  <c r="AT974" i="19" s="1"/>
  <c r="AS974" i="19" s="1"/>
  <c r="AP974" i="19"/>
  <c r="AZ972" i="19"/>
  <c r="AY972" i="19"/>
  <c r="AX972" i="19"/>
  <c r="AR972" i="19"/>
  <c r="AT972" i="19" s="1"/>
  <c r="AZ969" i="19"/>
  <c r="AY969" i="19"/>
  <c r="AX969" i="19"/>
  <c r="AR969" i="19"/>
  <c r="AT969" i="19" s="1"/>
  <c r="AS969" i="19" s="1"/>
  <c r="AP969" i="19"/>
  <c r="AZ960" i="19"/>
  <c r="AY960" i="19"/>
  <c r="AX960" i="19"/>
  <c r="AR960" i="19"/>
  <c r="AT960" i="19" s="1"/>
  <c r="AS960" i="19" s="1"/>
  <c r="AZ957" i="19"/>
  <c r="AY957" i="19"/>
  <c r="AX957" i="19"/>
  <c r="AR957" i="19"/>
  <c r="AT957" i="19" s="1"/>
  <c r="AZ953" i="19"/>
  <c r="AY953" i="19"/>
  <c r="AX953" i="19"/>
  <c r="AR953" i="19"/>
  <c r="AT953" i="19" s="1"/>
  <c r="AS953" i="19" s="1"/>
  <c r="AZ949" i="19"/>
  <c r="AY949" i="19"/>
  <c r="AX949" i="19"/>
  <c r="AR949" i="19"/>
  <c r="AT949" i="19" s="1"/>
  <c r="AS949" i="19" s="1"/>
  <c r="AZ946" i="19"/>
  <c r="AY946" i="19"/>
  <c r="AX946" i="19"/>
  <c r="AR946" i="19"/>
  <c r="AT946" i="19" s="1"/>
  <c r="AS946" i="19" s="1"/>
  <c r="AZ937" i="19"/>
  <c r="AY937" i="19"/>
  <c r="AX937" i="19"/>
  <c r="AR937" i="19"/>
  <c r="AT937" i="19" s="1"/>
  <c r="AZ928" i="19"/>
  <c r="AY928" i="19"/>
  <c r="AX928" i="19"/>
  <c r="AR928" i="19"/>
  <c r="AT928" i="19" s="1"/>
  <c r="AS928" i="19" s="1"/>
  <c r="AP928" i="19"/>
  <c r="AZ926" i="19"/>
  <c r="AY926" i="19"/>
  <c r="AX926" i="19"/>
  <c r="AR926" i="19"/>
  <c r="AT926" i="19" s="1"/>
  <c r="AP926" i="19"/>
  <c r="AZ923" i="19"/>
  <c r="AY923" i="19"/>
  <c r="AX923" i="19"/>
  <c r="AR923" i="19"/>
  <c r="AT923" i="19" s="1"/>
  <c r="AZ921" i="19"/>
  <c r="AY921" i="19"/>
  <c r="AX921" i="19"/>
  <c r="AR921" i="19"/>
  <c r="AT921" i="19" s="1"/>
  <c r="AS921" i="19" s="1"/>
  <c r="AZ918" i="19"/>
  <c r="AY918" i="19"/>
  <c r="AX918" i="19"/>
  <c r="AR918" i="19"/>
  <c r="AT918" i="19" s="1"/>
  <c r="AS918" i="19" s="1"/>
  <c r="AZ915" i="19"/>
  <c r="AY915" i="19"/>
  <c r="AX915" i="19"/>
  <c r="AR915" i="19"/>
  <c r="AT915" i="19" s="1"/>
  <c r="AS915" i="19" s="1"/>
  <c r="AP915" i="19"/>
  <c r="AZ913" i="19"/>
  <c r="AY913" i="19"/>
  <c r="AX913" i="19"/>
  <c r="AR913" i="19"/>
  <c r="AT913" i="19" s="1"/>
  <c r="AS913" i="19" s="1"/>
  <c r="AZ911" i="19"/>
  <c r="AY911" i="19"/>
  <c r="AX911" i="19"/>
  <c r="AR911" i="19"/>
  <c r="AT911" i="19" s="1"/>
  <c r="AZ909" i="19"/>
  <c r="AY909" i="19"/>
  <c r="AX909" i="19"/>
  <c r="AR909" i="19"/>
  <c r="AT909" i="19" s="1"/>
  <c r="AZ907" i="19"/>
  <c r="AY907" i="19"/>
  <c r="AX907" i="19"/>
  <c r="AR907" i="19"/>
  <c r="AT907" i="19" s="1"/>
  <c r="AS907" i="19" s="1"/>
  <c r="AZ906" i="19"/>
  <c r="AY906" i="19"/>
  <c r="AX906" i="19"/>
  <c r="AR906" i="19"/>
  <c r="AT906" i="19" s="1"/>
  <c r="AS906" i="19" s="1"/>
  <c r="AZ899" i="19"/>
  <c r="AY899" i="19"/>
  <c r="AX899" i="19"/>
  <c r="AR899" i="19"/>
  <c r="AT899" i="19" s="1"/>
  <c r="AS899" i="19" s="1"/>
  <c r="AZ892" i="19"/>
  <c r="AY892" i="19"/>
  <c r="AX892" i="19"/>
  <c r="AR892" i="19"/>
  <c r="AT892" i="19" s="1"/>
  <c r="AS892" i="19" s="1"/>
  <c r="AP892" i="19"/>
  <c r="AZ884" i="19"/>
  <c r="AY884" i="19"/>
  <c r="AX884" i="19"/>
  <c r="AR884" i="19"/>
  <c r="AT884" i="19" s="1"/>
  <c r="AS884" i="19" s="1"/>
  <c r="AZ876" i="19"/>
  <c r="AY876" i="19"/>
  <c r="AX876" i="19"/>
  <c r="AR876" i="19"/>
  <c r="AT876" i="19" s="1"/>
  <c r="AZ864" i="19"/>
  <c r="AY864" i="19"/>
  <c r="AX864" i="19"/>
  <c r="AR864" i="19"/>
  <c r="AT864" i="19" s="1"/>
  <c r="AS864" i="19" s="1"/>
  <c r="AZ852" i="19"/>
  <c r="AY852" i="19"/>
  <c r="AX852" i="19"/>
  <c r="AR852" i="19"/>
  <c r="AT852" i="19" s="1"/>
  <c r="AS852" i="19" s="1"/>
  <c r="AZ849" i="19"/>
  <c r="AY849" i="19"/>
  <c r="AX849" i="19"/>
  <c r="AR849" i="19"/>
  <c r="AT849" i="19" s="1"/>
  <c r="AS849" i="19" s="1"/>
  <c r="AZ846" i="19"/>
  <c r="AY846" i="19"/>
  <c r="AX846" i="19"/>
  <c r="AR846" i="19"/>
  <c r="AT846" i="19" s="1"/>
  <c r="AS846" i="19" s="1"/>
  <c r="AP846" i="19"/>
  <c r="AZ843" i="19"/>
  <c r="AY843" i="19"/>
  <c r="AX843" i="19"/>
  <c r="AR843" i="19"/>
  <c r="AT843" i="19" s="1"/>
  <c r="AS843" i="19" s="1"/>
  <c r="AP843" i="19"/>
  <c r="AZ840" i="19"/>
  <c r="AY840" i="19"/>
  <c r="AX840" i="19"/>
  <c r="AR840" i="19"/>
  <c r="AT840" i="19" s="1"/>
  <c r="AS840" i="19" s="1"/>
  <c r="AZ837" i="19"/>
  <c r="AY837" i="19"/>
  <c r="AX837" i="19"/>
  <c r="AR837" i="19"/>
  <c r="AT837" i="19" s="1"/>
  <c r="AS837" i="19" s="1"/>
  <c r="AP837" i="19"/>
  <c r="AZ835" i="19"/>
  <c r="AY835" i="19"/>
  <c r="AX835" i="19"/>
  <c r="AR835" i="19"/>
  <c r="AT835" i="19" s="1"/>
  <c r="AS835" i="19" s="1"/>
  <c r="AP835" i="19"/>
  <c r="AZ832" i="19"/>
  <c r="AY832" i="19"/>
  <c r="AX832" i="19"/>
  <c r="AR832" i="19"/>
  <c r="AT832" i="19" s="1"/>
  <c r="AS832" i="19" s="1"/>
  <c r="AZ830" i="19"/>
  <c r="AY830" i="19"/>
  <c r="AX830" i="19"/>
  <c r="AR830" i="19"/>
  <c r="AT830" i="19" s="1"/>
  <c r="AZ827" i="19"/>
  <c r="AY827" i="19"/>
  <c r="AX827" i="19"/>
  <c r="AR827" i="19"/>
  <c r="AT827" i="19" s="1"/>
  <c r="AZ825" i="19"/>
  <c r="AY825" i="19"/>
  <c r="AX825" i="19"/>
  <c r="AR825" i="19"/>
  <c r="AT825" i="19" s="1"/>
  <c r="AS825" i="19" s="1"/>
  <c r="AZ823" i="19"/>
  <c r="AY823" i="19"/>
  <c r="AX823" i="19"/>
  <c r="AR823" i="19"/>
  <c r="AT823" i="19" s="1"/>
  <c r="AS823" i="19" s="1"/>
  <c r="AZ821" i="19"/>
  <c r="AY821" i="19"/>
  <c r="AX821" i="19"/>
  <c r="AR821" i="19"/>
  <c r="AT821" i="19" s="1"/>
  <c r="AP821" i="19"/>
  <c r="AZ819" i="19"/>
  <c r="AY819" i="19"/>
  <c r="AX819" i="19"/>
  <c r="AR819" i="19"/>
  <c r="AT819" i="19" s="1"/>
  <c r="AZ818" i="19"/>
  <c r="AY818" i="19"/>
  <c r="AX818" i="19"/>
  <c r="AR818" i="19"/>
  <c r="AT818" i="19" s="1"/>
  <c r="AS818" i="19" s="1"/>
  <c r="AZ816" i="19"/>
  <c r="AY816" i="19"/>
  <c r="AX816" i="19"/>
  <c r="AR816" i="19"/>
  <c r="AT816" i="19" s="1"/>
  <c r="AS816" i="19" s="1"/>
  <c r="AP816" i="19"/>
  <c r="AZ814" i="19"/>
  <c r="AY814" i="19"/>
  <c r="AX814" i="19"/>
  <c r="AR814" i="19"/>
  <c r="AT814" i="19" s="1"/>
  <c r="AZ812" i="19"/>
  <c r="AY812" i="19"/>
  <c r="AX812" i="19"/>
  <c r="AR812" i="19"/>
  <c r="AT812" i="19" s="1"/>
  <c r="AP812" i="19"/>
  <c r="AZ810" i="19"/>
  <c r="AY810" i="19"/>
  <c r="AX810" i="19"/>
  <c r="AR810" i="19"/>
  <c r="AT810" i="19" s="1"/>
  <c r="AS810" i="19" s="1"/>
  <c r="AZ805" i="19"/>
  <c r="AY805" i="19"/>
  <c r="AX805" i="19"/>
  <c r="AR805" i="19"/>
  <c r="AT805" i="19" s="1"/>
  <c r="AS805" i="19" s="1"/>
  <c r="AZ800" i="19"/>
  <c r="AY800" i="19"/>
  <c r="AX800" i="19"/>
  <c r="AR800" i="19"/>
  <c r="AT800" i="19" s="1"/>
  <c r="AS800" i="19" s="1"/>
  <c r="AP800" i="19"/>
  <c r="AZ798" i="19"/>
  <c r="AY798" i="19"/>
  <c r="AX798" i="19"/>
  <c r="AR798" i="19"/>
  <c r="AT798" i="19" s="1"/>
  <c r="AS798" i="19" s="1"/>
  <c r="AZ795" i="19"/>
  <c r="AY795" i="19"/>
  <c r="AX795" i="19"/>
  <c r="AR795" i="19"/>
  <c r="AT795" i="19" s="1"/>
  <c r="AS795" i="19" s="1"/>
  <c r="AZ792" i="19"/>
  <c r="AY792" i="19"/>
  <c r="AX792" i="19"/>
  <c r="AR792" i="19"/>
  <c r="AT792" i="19" s="1"/>
  <c r="AS792" i="19" s="1"/>
  <c r="AZ790" i="19"/>
  <c r="AY790" i="19"/>
  <c r="AX790" i="19"/>
  <c r="AR790" i="19"/>
  <c r="AT790" i="19" s="1"/>
  <c r="AS790" i="19" s="1"/>
  <c r="AZ786" i="19"/>
  <c r="AY786" i="19"/>
  <c r="AX786" i="19"/>
  <c r="AR786" i="19"/>
  <c r="AT786" i="19" s="1"/>
  <c r="AZ783" i="19"/>
  <c r="AY783" i="19"/>
  <c r="AX783" i="19"/>
  <c r="AR783" i="19"/>
  <c r="AT783" i="19" s="1"/>
  <c r="AP783" i="19"/>
  <c r="AZ768" i="19"/>
  <c r="AY768" i="19"/>
  <c r="AX768" i="19"/>
  <c r="AR768" i="19"/>
  <c r="AT768" i="19" s="1"/>
  <c r="AS768" i="19" s="1"/>
  <c r="AZ749" i="19"/>
  <c r="AY749" i="19"/>
  <c r="AX749" i="19"/>
  <c r="AR749" i="19"/>
  <c r="AT749" i="19" s="1"/>
  <c r="AZ738" i="19"/>
  <c r="AY738" i="19"/>
  <c r="AX738" i="19"/>
  <c r="AR738" i="19"/>
  <c r="AT738" i="19" s="1"/>
  <c r="AS738" i="19" s="1"/>
  <c r="AZ726" i="19"/>
  <c r="AY726" i="19"/>
  <c r="AX726" i="19"/>
  <c r="AR726" i="19"/>
  <c r="AT726" i="19" s="1"/>
  <c r="AS726" i="19" s="1"/>
  <c r="AP726" i="19"/>
  <c r="AZ723" i="19"/>
  <c r="AY723" i="19"/>
  <c r="AX723" i="19"/>
  <c r="AR723" i="19"/>
  <c r="AT723" i="19" s="1"/>
  <c r="AS723" i="19" s="1"/>
  <c r="AZ721" i="19"/>
  <c r="AY721" i="19"/>
  <c r="AX721" i="19"/>
  <c r="AR721" i="19"/>
  <c r="AT721" i="19" s="1"/>
  <c r="AZ718" i="19"/>
  <c r="AY718" i="19"/>
  <c r="AX718" i="19"/>
  <c r="AR718" i="19"/>
  <c r="AT718" i="19" s="1"/>
  <c r="AS718" i="19" s="1"/>
  <c r="AZ713" i="19"/>
  <c r="AY713" i="19"/>
  <c r="AX713" i="19"/>
  <c r="AR713" i="19"/>
  <c r="AT713" i="19" s="1"/>
  <c r="AS713" i="19" s="1"/>
  <c r="AZ706" i="19"/>
  <c r="AY706" i="19"/>
  <c r="AX706" i="19"/>
  <c r="AR706" i="19"/>
  <c r="AT706" i="19" s="1"/>
  <c r="AZ701" i="19"/>
  <c r="AY701" i="19"/>
  <c r="AX701" i="19"/>
  <c r="AR701" i="19"/>
  <c r="AT701" i="19" s="1"/>
  <c r="AS701" i="19" s="1"/>
  <c r="AP701" i="19"/>
  <c r="AZ689" i="19"/>
  <c r="AY689" i="19"/>
  <c r="AX689" i="19"/>
  <c r="AR689" i="19"/>
  <c r="AT689" i="19" s="1"/>
  <c r="AS689" i="19" s="1"/>
  <c r="AP689" i="19"/>
  <c r="AZ687" i="19"/>
  <c r="AY687" i="19"/>
  <c r="AX687" i="19"/>
  <c r="AR687" i="19"/>
  <c r="AT687" i="19" s="1"/>
  <c r="AZ682" i="19"/>
  <c r="AY682" i="19"/>
  <c r="AX682" i="19"/>
  <c r="AR682" i="19"/>
  <c r="AT682" i="19" s="1"/>
  <c r="AZ678" i="19"/>
  <c r="AY678" i="19"/>
  <c r="AX678" i="19"/>
  <c r="AR678" i="19"/>
  <c r="AT678" i="19" s="1"/>
  <c r="AS678" i="19" s="1"/>
  <c r="AZ676" i="19"/>
  <c r="AY676" i="19"/>
  <c r="AX676" i="19"/>
  <c r="AR676" i="19"/>
  <c r="AT676" i="19" s="1"/>
  <c r="AZ669" i="19"/>
  <c r="AY669" i="19"/>
  <c r="AX669" i="19"/>
  <c r="AR669" i="19"/>
  <c r="AT669" i="19" s="1"/>
  <c r="AZ663" i="19"/>
  <c r="AY663" i="19"/>
  <c r="AX663" i="19"/>
  <c r="AR663" i="19"/>
  <c r="AT663" i="19" s="1"/>
  <c r="AS663" i="19" s="1"/>
  <c r="AZ656" i="19"/>
  <c r="AY656" i="19"/>
  <c r="AX656" i="19"/>
  <c r="AR656" i="19"/>
  <c r="AT656" i="19" s="1"/>
  <c r="AZ654" i="19"/>
  <c r="AY654" i="19"/>
  <c r="AX654" i="19"/>
  <c r="AR654" i="19"/>
  <c r="AT654" i="19" s="1"/>
  <c r="AS654" i="19" s="1"/>
  <c r="AP654" i="19"/>
  <c r="AZ646" i="19"/>
  <c r="AY646" i="19"/>
  <c r="AX646" i="19"/>
  <c r="AR646" i="19"/>
  <c r="AT646" i="19" s="1"/>
  <c r="AZ639" i="19"/>
  <c r="AY639" i="19"/>
  <c r="AX639" i="19"/>
  <c r="AR639" i="19"/>
  <c r="AT639" i="19" s="1"/>
  <c r="AP639" i="19"/>
  <c r="AZ631" i="19"/>
  <c r="AY631" i="19"/>
  <c r="AX631" i="19"/>
  <c r="AR631" i="19"/>
  <c r="AT631" i="19" s="1"/>
  <c r="AS631" i="19" s="1"/>
  <c r="AP631" i="19"/>
  <c r="AZ627" i="19"/>
  <c r="AY627" i="19"/>
  <c r="AX627" i="19"/>
  <c r="AR627" i="19"/>
  <c r="AT627" i="19" s="1"/>
  <c r="AS627" i="19" s="1"/>
  <c r="AZ623" i="19"/>
  <c r="AY623" i="19"/>
  <c r="AX623" i="19"/>
  <c r="AR623" i="19"/>
  <c r="AT623" i="19" s="1"/>
  <c r="AS623" i="19" s="1"/>
  <c r="AZ616" i="19"/>
  <c r="AY616" i="19"/>
  <c r="AX616" i="19"/>
  <c r="AR616" i="19"/>
  <c r="AT616" i="19" s="1"/>
  <c r="AS616" i="19" s="1"/>
  <c r="AP616" i="19"/>
  <c r="AZ608" i="19"/>
  <c r="AY608" i="19"/>
  <c r="AX608" i="19"/>
  <c r="AR608" i="19"/>
  <c r="AT608" i="19" s="1"/>
  <c r="AZ602" i="19"/>
  <c r="AY602" i="19"/>
  <c r="AX602" i="19"/>
  <c r="AR602" i="19"/>
  <c r="AT602" i="19" s="1"/>
  <c r="AS602" i="19" s="1"/>
  <c r="AP602" i="19"/>
  <c r="AZ599" i="19"/>
  <c r="AY599" i="19"/>
  <c r="AX599" i="19"/>
  <c r="AR599" i="19"/>
  <c r="AT599" i="19" s="1"/>
  <c r="AS599" i="19" s="1"/>
  <c r="AZ594" i="19"/>
  <c r="AY594" i="19"/>
  <c r="AX594" i="19"/>
  <c r="AR594" i="19"/>
  <c r="AT594" i="19" s="1"/>
  <c r="AS594" i="19" s="1"/>
  <c r="AZ592" i="19"/>
  <c r="AY592" i="19"/>
  <c r="AX592" i="19"/>
  <c r="AR592" i="19"/>
  <c r="AT592" i="19" s="1"/>
  <c r="AS592" i="19" s="1"/>
  <c r="AP592" i="19"/>
  <c r="AZ588" i="19"/>
  <c r="AY588" i="19"/>
  <c r="AX588" i="19"/>
  <c r="AR588" i="19"/>
  <c r="AT588" i="19" s="1"/>
  <c r="AS588" i="19" s="1"/>
  <c r="AP588" i="19"/>
  <c r="AZ584" i="19"/>
  <c r="AY584" i="19"/>
  <c r="AX584" i="19"/>
  <c r="AR584" i="19"/>
  <c r="AT584" i="19" s="1"/>
  <c r="AS584" i="19" s="1"/>
  <c r="AP584" i="19"/>
  <c r="AZ580" i="19"/>
  <c r="AY580" i="19"/>
  <c r="AX580" i="19"/>
  <c r="AR580" i="19"/>
  <c r="AT580" i="19" s="1"/>
  <c r="AZ576" i="19"/>
  <c r="AY576" i="19"/>
  <c r="AX576" i="19"/>
  <c r="AR576" i="19"/>
  <c r="AT576" i="19" s="1"/>
  <c r="AS576" i="19" s="1"/>
  <c r="AP576" i="19"/>
  <c r="AZ574" i="19"/>
  <c r="AY574" i="19"/>
  <c r="AX574" i="19"/>
  <c r="AR574" i="19"/>
  <c r="AT574" i="19" s="1"/>
  <c r="AS574" i="19" s="1"/>
  <c r="AZ570" i="19"/>
  <c r="AY570" i="19"/>
  <c r="AX570" i="19"/>
  <c r="AR570" i="19"/>
  <c r="AT570" i="19" s="1"/>
  <c r="AS570" i="19" s="1"/>
  <c r="AP570" i="19"/>
  <c r="AZ568" i="19"/>
  <c r="AY568" i="19"/>
  <c r="AX568" i="19"/>
  <c r="AR568" i="19"/>
  <c r="AT568" i="19" s="1"/>
  <c r="AS568" i="19" s="1"/>
  <c r="AZ562" i="19"/>
  <c r="AY562" i="19"/>
  <c r="AX562" i="19"/>
  <c r="AR562" i="19"/>
  <c r="AT562" i="19" s="1"/>
  <c r="AS562" i="19" s="1"/>
  <c r="AZ553" i="19"/>
  <c r="AY553" i="19"/>
  <c r="AX553" i="19"/>
  <c r="AR553" i="19"/>
  <c r="AT553" i="19" s="1"/>
  <c r="AS553" i="19" s="1"/>
  <c r="AZ545" i="19"/>
  <c r="AY545" i="19"/>
  <c r="AX545" i="19"/>
  <c r="AR545" i="19"/>
  <c r="AT545" i="19" s="1"/>
  <c r="AS545" i="19" s="1"/>
  <c r="AZ536" i="19"/>
  <c r="AY536" i="19"/>
  <c r="AX536" i="19"/>
  <c r="AR536" i="19"/>
  <c r="AT536" i="19" s="1"/>
  <c r="AS536" i="19" s="1"/>
  <c r="AZ527" i="19"/>
  <c r="AY527" i="19"/>
  <c r="AX527" i="19"/>
  <c r="AR527" i="19"/>
  <c r="AT527" i="19" s="1"/>
  <c r="AS527" i="19" s="1"/>
  <c r="AZ517" i="19"/>
  <c r="AY517" i="19"/>
  <c r="AX517" i="19"/>
  <c r="AR517" i="19"/>
  <c r="AT517" i="19" s="1"/>
  <c r="AZ506" i="19"/>
  <c r="AY506" i="19"/>
  <c r="AX506" i="19"/>
  <c r="AR506" i="19"/>
  <c r="AT506" i="19" s="1"/>
  <c r="AS506" i="19" s="1"/>
  <c r="AZ495" i="19"/>
  <c r="AY495" i="19"/>
  <c r="AX495" i="19"/>
  <c r="AR495" i="19"/>
  <c r="AT495" i="19" s="1"/>
  <c r="AZ491" i="19"/>
  <c r="AY491" i="19"/>
  <c r="AX491" i="19"/>
  <c r="AR491" i="19"/>
  <c r="AT491" i="19" s="1"/>
  <c r="AS491" i="19" s="1"/>
  <c r="AZ486" i="19"/>
  <c r="AY486" i="19"/>
  <c r="AX486" i="19"/>
  <c r="AR486" i="19"/>
  <c r="AT486" i="19" s="1"/>
  <c r="AS486" i="19" s="1"/>
  <c r="AZ483" i="19"/>
  <c r="AY483" i="19"/>
  <c r="AX483" i="19"/>
  <c r="AR483" i="19"/>
  <c r="AT483" i="19" s="1"/>
  <c r="AS483" i="19" s="1"/>
  <c r="AZ479" i="19"/>
  <c r="AY479" i="19"/>
  <c r="AX479" i="19"/>
  <c r="AR479" i="19"/>
  <c r="AT479" i="19" s="1"/>
  <c r="AS479" i="19" s="1"/>
  <c r="AZ476" i="19"/>
  <c r="AY476" i="19"/>
  <c r="AX476" i="19"/>
  <c r="AR476" i="19"/>
  <c r="AT476" i="19" s="1"/>
  <c r="AS476" i="19" s="1"/>
  <c r="AZ471" i="19"/>
  <c r="AY471" i="19"/>
  <c r="AX471" i="19"/>
  <c r="AR471" i="19"/>
  <c r="AT471" i="19" s="1"/>
  <c r="AS471" i="19" s="1"/>
  <c r="AZ466" i="19"/>
  <c r="AY466" i="19"/>
  <c r="AX466" i="19"/>
  <c r="AR466" i="19"/>
  <c r="AT466" i="19" s="1"/>
  <c r="AS466" i="19" s="1"/>
  <c r="AZ462" i="19"/>
  <c r="AY462" i="19"/>
  <c r="AX462" i="19"/>
  <c r="AR462" i="19"/>
  <c r="AT462" i="19" s="1"/>
  <c r="AS462" i="19" s="1"/>
  <c r="AZ459" i="19"/>
  <c r="AY459" i="19"/>
  <c r="AX459" i="19"/>
  <c r="AR459" i="19"/>
  <c r="AT459" i="19" s="1"/>
  <c r="AS459" i="19" s="1"/>
  <c r="AZ455" i="19"/>
  <c r="AY455" i="19"/>
  <c r="AX455" i="19"/>
  <c r="AR455" i="19"/>
  <c r="AT455" i="19" s="1"/>
  <c r="AS455" i="19" s="1"/>
  <c r="AZ452" i="19"/>
  <c r="AY452" i="19"/>
  <c r="AX452" i="19"/>
  <c r="AR452" i="19"/>
  <c r="AT452" i="19" s="1"/>
  <c r="AS452" i="19" s="1"/>
  <c r="AZ447" i="19"/>
  <c r="AY447" i="19"/>
  <c r="AX447" i="19"/>
  <c r="AR447" i="19"/>
  <c r="AT447" i="19" s="1"/>
  <c r="AS447" i="19" s="1"/>
  <c r="AZ445" i="19"/>
  <c r="AY445" i="19"/>
  <c r="AX445" i="19"/>
  <c r="AR445" i="19"/>
  <c r="AT445" i="19" s="1"/>
  <c r="AS445" i="19" s="1"/>
  <c r="AZ440" i="19"/>
  <c r="AY440" i="19"/>
  <c r="AX440" i="19"/>
  <c r="AR440" i="19"/>
  <c r="AT440" i="19" s="1"/>
  <c r="AS440" i="19" s="1"/>
  <c r="AZ436" i="19"/>
  <c r="AY436" i="19"/>
  <c r="AX436" i="19"/>
  <c r="AR436" i="19"/>
  <c r="AT436" i="19" s="1"/>
  <c r="AZ429" i="19"/>
  <c r="AY429" i="19"/>
  <c r="AX429" i="19"/>
  <c r="AR429" i="19"/>
  <c r="AT429" i="19" s="1"/>
  <c r="AZ425" i="19"/>
  <c r="AY425" i="19"/>
  <c r="AX425" i="19"/>
  <c r="AR425" i="19"/>
  <c r="AT425" i="19" s="1"/>
  <c r="AS425" i="19" s="1"/>
  <c r="AZ414" i="19"/>
  <c r="AY414" i="19"/>
  <c r="AX414" i="19"/>
  <c r="AR414" i="19"/>
  <c r="AT414" i="19" s="1"/>
  <c r="AS414" i="19" s="1"/>
  <c r="AZ411" i="19"/>
  <c r="AY411" i="19"/>
  <c r="AX411" i="19"/>
  <c r="AR411" i="19"/>
  <c r="AT411" i="19" s="1"/>
  <c r="AS411" i="19" s="1"/>
  <c r="AZ406" i="19"/>
  <c r="AY406" i="19"/>
  <c r="AX406" i="19"/>
  <c r="AR406" i="19"/>
  <c r="AT406" i="19" s="1"/>
  <c r="AS406" i="19" s="1"/>
  <c r="AZ397" i="19"/>
  <c r="AY397" i="19"/>
  <c r="AX397" i="19"/>
  <c r="AR397" i="19"/>
  <c r="AT397" i="19" s="1"/>
  <c r="AS397" i="19" s="1"/>
  <c r="AZ394" i="19"/>
  <c r="AY394" i="19"/>
  <c r="AX394" i="19"/>
  <c r="AR394" i="19"/>
  <c r="AT394" i="19" s="1"/>
  <c r="AP394" i="19"/>
  <c r="AZ392" i="19"/>
  <c r="AY392" i="19"/>
  <c r="AX392" i="19"/>
  <c r="AR392" i="19"/>
  <c r="AT392" i="19" s="1"/>
  <c r="AS392" i="19" s="1"/>
  <c r="AP392" i="19"/>
  <c r="AZ390" i="19"/>
  <c r="AY390" i="19"/>
  <c r="AX390" i="19"/>
  <c r="AR390" i="19"/>
  <c r="AT390" i="19" s="1"/>
  <c r="AS390" i="19" s="1"/>
  <c r="AZ388" i="19"/>
  <c r="AY388" i="19"/>
  <c r="AX388" i="19"/>
  <c r="AR388" i="19"/>
  <c r="AT388" i="19" s="1"/>
  <c r="AS388" i="19" s="1"/>
  <c r="AZ386" i="19"/>
  <c r="AY386" i="19"/>
  <c r="AX386" i="19"/>
  <c r="AR386" i="19"/>
  <c r="AT386" i="19" s="1"/>
  <c r="AS386" i="19" s="1"/>
  <c r="AZ381" i="19"/>
  <c r="AY381" i="19"/>
  <c r="AX381" i="19"/>
  <c r="AR381" i="19"/>
  <c r="AT381" i="19" s="1"/>
  <c r="AS381" i="19" s="1"/>
  <c r="AZ378" i="19"/>
  <c r="AY378" i="19"/>
  <c r="AX378" i="19"/>
  <c r="AR378" i="19"/>
  <c r="AT378" i="19" s="1"/>
  <c r="AS378" i="19" s="1"/>
  <c r="AZ363" i="19"/>
  <c r="AY363" i="19"/>
  <c r="AX363" i="19"/>
  <c r="AR363" i="19"/>
  <c r="AT363" i="19" s="1"/>
  <c r="AZ336" i="19"/>
  <c r="AY336" i="19"/>
  <c r="AX336" i="19"/>
  <c r="AR336" i="19"/>
  <c r="AT336" i="19" s="1"/>
  <c r="AS336" i="19" s="1"/>
  <c r="AZ330" i="19"/>
  <c r="AY330" i="19"/>
  <c r="AX330" i="19"/>
  <c r="AR330" i="19"/>
  <c r="AT330" i="19" s="1"/>
  <c r="AS330" i="19" s="1"/>
  <c r="AZ316" i="19"/>
  <c r="AY316" i="19"/>
  <c r="AX316" i="19"/>
  <c r="AR316" i="19"/>
  <c r="AT316" i="19" s="1"/>
  <c r="AS316" i="19" s="1"/>
  <c r="AZ299" i="19"/>
  <c r="AY299" i="19"/>
  <c r="AX299" i="19"/>
  <c r="AR299" i="19"/>
  <c r="AT299" i="19" s="1"/>
  <c r="AS299" i="19" s="1"/>
  <c r="AZ286" i="19"/>
  <c r="AY286" i="19"/>
  <c r="AX286" i="19"/>
  <c r="AR286" i="19"/>
  <c r="AT286" i="19" s="1"/>
  <c r="AS286" i="19" s="1"/>
  <c r="AZ281" i="19"/>
  <c r="AY281" i="19"/>
  <c r="AX281" i="19"/>
  <c r="AR281" i="19"/>
  <c r="AT281" i="19" s="1"/>
  <c r="AS281" i="19" s="1"/>
  <c r="AZ264" i="19"/>
  <c r="AY264" i="19"/>
  <c r="AX264" i="19"/>
  <c r="AR264" i="19"/>
  <c r="AT264" i="19" s="1"/>
  <c r="AZ250" i="19"/>
  <c r="AY250" i="19"/>
  <c r="AX250" i="19"/>
  <c r="AR250" i="19"/>
  <c r="AT250" i="19" s="1"/>
  <c r="AZ243" i="19"/>
  <c r="AY243" i="19"/>
  <c r="AX243" i="19"/>
  <c r="AR243" i="19"/>
  <c r="AT243" i="19" s="1"/>
  <c r="AS243" i="19" s="1"/>
  <c r="AZ241" i="19"/>
  <c r="AY241" i="19"/>
  <c r="AX241" i="19"/>
  <c r="AR241" i="19"/>
  <c r="AT241" i="19" s="1"/>
  <c r="AP241" i="19"/>
  <c r="AZ239" i="19"/>
  <c r="AY239" i="19"/>
  <c r="AX239" i="19"/>
  <c r="AR239" i="19"/>
  <c r="AT239" i="19" s="1"/>
  <c r="AS239" i="19" s="1"/>
  <c r="AZ237" i="19"/>
  <c r="AY237" i="19"/>
  <c r="AX237" i="19"/>
  <c r="AR237" i="19"/>
  <c r="AT237" i="19" s="1"/>
  <c r="AS237" i="19" s="1"/>
  <c r="AZ232" i="19"/>
  <c r="AY232" i="19"/>
  <c r="AX232" i="19"/>
  <c r="AR232" i="19"/>
  <c r="AT232" i="19" s="1"/>
  <c r="AS232" i="19" s="1"/>
  <c r="AZ228" i="19"/>
  <c r="AY228" i="19"/>
  <c r="AX228" i="19"/>
  <c r="AR228" i="19"/>
  <c r="AT228" i="19" s="1"/>
  <c r="AS228" i="19" s="1"/>
  <c r="AZ226" i="19"/>
  <c r="AY226" i="19"/>
  <c r="AX226" i="19"/>
  <c r="AR226" i="19"/>
  <c r="AT226" i="19" s="1"/>
  <c r="AS226" i="19" s="1"/>
  <c r="AZ222" i="19"/>
  <c r="AY222" i="19"/>
  <c r="AX222" i="19"/>
  <c r="AR222" i="19"/>
  <c r="AT222" i="19" s="1"/>
  <c r="AS222" i="19" s="1"/>
  <c r="AZ215" i="19"/>
  <c r="AY215" i="19"/>
  <c r="AX215" i="19"/>
  <c r="AR215" i="19"/>
  <c r="AT215" i="19" s="1"/>
  <c r="AZ207" i="19"/>
  <c r="AY207" i="19"/>
  <c r="AX207" i="19"/>
  <c r="AR207" i="19"/>
  <c r="AT207" i="19" s="1"/>
  <c r="AZ204" i="19"/>
  <c r="AY204" i="19"/>
  <c r="AX204" i="19"/>
  <c r="AR204" i="19"/>
  <c r="AT204" i="19" s="1"/>
  <c r="AS204" i="19" s="1"/>
  <c r="AZ199" i="19"/>
  <c r="AY199" i="19"/>
  <c r="AX199" i="19"/>
  <c r="AR199" i="19"/>
  <c r="AT199" i="19" s="1"/>
  <c r="AZ193" i="19"/>
  <c r="AY193" i="19"/>
  <c r="AX193" i="19"/>
  <c r="AR193" i="19"/>
  <c r="AT193" i="19" s="1"/>
  <c r="AZ180" i="19"/>
  <c r="AY180" i="19"/>
  <c r="AX180" i="19"/>
  <c r="AR180" i="19"/>
  <c r="AT180" i="19" s="1"/>
  <c r="AS180" i="19" s="1"/>
  <c r="AZ168" i="19"/>
  <c r="AY168" i="19"/>
  <c r="AX168" i="19"/>
  <c r="AR168" i="19"/>
  <c r="AT168" i="19" s="1"/>
  <c r="AS168" i="19" s="1"/>
  <c r="AZ165" i="19"/>
  <c r="AY165" i="19"/>
  <c r="AX165" i="19"/>
  <c r="AR165" i="19"/>
  <c r="AT165" i="19" s="1"/>
  <c r="AP165" i="19"/>
  <c r="AZ158" i="19"/>
  <c r="AY158" i="19"/>
  <c r="AX158" i="19"/>
  <c r="AR158" i="19"/>
  <c r="AT158" i="19" s="1"/>
  <c r="AS158" i="19" s="1"/>
  <c r="AZ147" i="19"/>
  <c r="AY147" i="19"/>
  <c r="AX147" i="19"/>
  <c r="AR147" i="19"/>
  <c r="AT147" i="19" s="1"/>
  <c r="AZ137" i="19"/>
  <c r="AY137" i="19"/>
  <c r="AX137" i="19"/>
  <c r="AR137" i="19"/>
  <c r="AT137" i="19" s="1"/>
  <c r="AZ128" i="19"/>
  <c r="AY128" i="19"/>
  <c r="AX128" i="19"/>
  <c r="AR128" i="19"/>
  <c r="AT128" i="19" s="1"/>
  <c r="AS128" i="19" s="1"/>
  <c r="AZ118" i="19"/>
  <c r="AY118" i="19"/>
  <c r="AX118" i="19"/>
  <c r="AR118" i="19"/>
  <c r="AT118" i="19" s="1"/>
  <c r="AS118" i="19" s="1"/>
  <c r="AZ96" i="19"/>
  <c r="AY96" i="19"/>
  <c r="AX96" i="19"/>
  <c r="AR96" i="19"/>
  <c r="AT96" i="19" s="1"/>
  <c r="AS96" i="19" s="1"/>
  <c r="AZ88" i="19"/>
  <c r="AY88" i="19"/>
  <c r="AX88" i="19"/>
  <c r="AR88" i="19"/>
  <c r="AT88" i="19" s="1"/>
  <c r="AS88" i="19" s="1"/>
  <c r="AZ78" i="19"/>
  <c r="AY78" i="19"/>
  <c r="AX78" i="19"/>
  <c r="AR78" i="19"/>
  <c r="AT78" i="19" s="1"/>
  <c r="AS78" i="19" s="1"/>
  <c r="AP78" i="19"/>
  <c r="AZ74" i="19"/>
  <c r="AY74" i="19"/>
  <c r="AX74" i="19"/>
  <c r="AR74" i="19"/>
  <c r="AT74" i="19" s="1"/>
  <c r="AS74" i="19" s="1"/>
  <c r="AZ69" i="19"/>
  <c r="AY69" i="19"/>
  <c r="AX69" i="19"/>
  <c r="AR69" i="19"/>
  <c r="AT69" i="19" s="1"/>
  <c r="AZ56" i="19"/>
  <c r="AY56" i="19"/>
  <c r="AX56" i="19"/>
  <c r="AR56" i="19"/>
  <c r="AT56" i="19" s="1"/>
  <c r="AS56" i="19" s="1"/>
  <c r="AP56" i="19"/>
  <c r="AZ23" i="19"/>
  <c r="AY23" i="19"/>
  <c r="AX23" i="19"/>
  <c r="AR23" i="19"/>
  <c r="AT23" i="19" s="1"/>
  <c r="A1126" i="19"/>
  <c r="C1125" i="36"/>
  <c r="C1126" i="36"/>
  <c r="A1130" i="19" s="1"/>
  <c r="C1127" i="36"/>
  <c r="A1131" i="19" s="1"/>
  <c r="C1128" i="36"/>
  <c r="A1132" i="19" s="1"/>
  <c r="C1129" i="36"/>
  <c r="A1133" i="19" s="1"/>
  <c r="C1130" i="36"/>
  <c r="A1134" i="19" s="1"/>
  <c r="C1131" i="36"/>
  <c r="A1135" i="19" s="1"/>
  <c r="C1132" i="36"/>
  <c r="A1136" i="19" s="1"/>
  <c r="C1133" i="36"/>
  <c r="A1137" i="19" s="1"/>
  <c r="C1134" i="36"/>
  <c r="A1138" i="19" s="1"/>
  <c r="C1135" i="36"/>
  <c r="A1139" i="19" s="1"/>
  <c r="P7" i="44" l="1"/>
  <c r="O7" i="44" s="1"/>
  <c r="V3" i="44"/>
  <c r="K11" i="56"/>
  <c r="L11" i="56" s="1"/>
  <c r="J12" i="56"/>
  <c r="A1129" i="19"/>
  <c r="A1128" i="19"/>
  <c r="AS137" i="19"/>
  <c r="AS147" i="19"/>
  <c r="AS23" i="19"/>
  <c r="AS165" i="19"/>
  <c r="AS207" i="19"/>
  <c r="AS193" i="19"/>
  <c r="AS69" i="19"/>
  <c r="AS199" i="19"/>
  <c r="AS215" i="19"/>
  <c r="AS241" i="19"/>
  <c r="AS264" i="19"/>
  <c r="AS394" i="19"/>
  <c r="AS495" i="19"/>
  <c r="AS827" i="19"/>
  <c r="AS429" i="19"/>
  <c r="AS656" i="19"/>
  <c r="AS250" i="19"/>
  <c r="AS363" i="19"/>
  <c r="AS436" i="19"/>
  <c r="AS646" i="19"/>
  <c r="AS639" i="19"/>
  <c r="AS517" i="19"/>
  <c r="AS580" i="19"/>
  <c r="AS721" i="19"/>
  <c r="AS608" i="19"/>
  <c r="AS676" i="19"/>
  <c r="AS669" i="19"/>
  <c r="AS749" i="19"/>
  <c r="AS682" i="19"/>
  <c r="AS706" i="19"/>
  <c r="AS814" i="19"/>
  <c r="AS687" i="19"/>
  <c r="AS783" i="19"/>
  <c r="AS819" i="19"/>
  <c r="AS937" i="19"/>
  <c r="AS911" i="19"/>
  <c r="AS786" i="19"/>
  <c r="AS812" i="19"/>
  <c r="AS923" i="19"/>
  <c r="AS1044" i="19"/>
  <c r="AS821" i="19"/>
  <c r="AS830" i="19"/>
  <c r="AS876" i="19"/>
  <c r="AS909" i="19"/>
  <c r="AS957" i="19"/>
  <c r="AS1011" i="19"/>
  <c r="AS1007" i="19"/>
  <c r="AS1017" i="19"/>
  <c r="AS1025" i="19"/>
  <c r="AS1087" i="19"/>
  <c r="AS926" i="19"/>
  <c r="AS972" i="19"/>
  <c r="AS1019" i="19"/>
  <c r="AS1027" i="19"/>
  <c r="AS1051" i="19"/>
  <c r="AS1074" i="19"/>
  <c r="AS1076" i="19"/>
  <c r="AS1081" i="19"/>
  <c r="AS1085" i="19"/>
  <c r="AS1101" i="19"/>
  <c r="AS1118" i="19"/>
  <c r="AS1089" i="19"/>
  <c r="AS1103" i="19"/>
  <c r="AE1215" i="19" l="1"/>
  <c r="AE1216" i="19"/>
  <c r="AE1214" i="19"/>
  <c r="W21" i="44"/>
  <c r="AE1209" i="19" s="1"/>
  <c r="AE1211" i="19" s="1"/>
  <c r="K12" i="56"/>
  <c r="L12" i="56" s="1"/>
  <c r="J13" i="56"/>
  <c r="J3" i="17"/>
  <c r="J4" i="17" s="1"/>
  <c r="AZ22" i="19"/>
  <c r="AY22" i="19"/>
  <c r="AG1211" i="19" l="1"/>
  <c r="AF1211" i="19"/>
  <c r="AH1210" i="19"/>
  <c r="AH1211" i="19"/>
  <c r="AE1210" i="19"/>
  <c r="D20" i="44"/>
  <c r="C19" i="44"/>
  <c r="G21" i="44"/>
  <c r="E21" i="44"/>
  <c r="F19" i="44"/>
  <c r="G19" i="44"/>
  <c r="E19" i="44"/>
  <c r="G20" i="44"/>
  <c r="D21" i="44"/>
  <c r="D19" i="44"/>
  <c r="C21" i="44"/>
  <c r="E20" i="44"/>
  <c r="F20" i="44"/>
  <c r="F21" i="44"/>
  <c r="J14" i="56"/>
  <c r="K13" i="56"/>
  <c r="L13" i="56" s="1"/>
  <c r="K3" i="17"/>
  <c r="L3" i="17" s="1"/>
  <c r="K4" i="17"/>
  <c r="L4" i="17" s="1"/>
  <c r="J5" i="17"/>
  <c r="E19" i="53" l="1"/>
  <c r="E19" i="52"/>
  <c r="G21" i="53"/>
  <c r="G21" i="52"/>
  <c r="D19" i="53"/>
  <c r="D19" i="52"/>
  <c r="C19" i="53"/>
  <c r="C19" i="52"/>
  <c r="E20" i="53"/>
  <c r="E20" i="52"/>
  <c r="G20" i="53"/>
  <c r="G20" i="52"/>
  <c r="E21" i="53"/>
  <c r="X361" i="53" s="1"/>
  <c r="E21" i="52"/>
  <c r="C21" i="53"/>
  <c r="C21" i="52"/>
  <c r="F21" i="53"/>
  <c r="F21" i="52"/>
  <c r="G19" i="53"/>
  <c r="G19" i="52"/>
  <c r="F20" i="53"/>
  <c r="F20" i="52"/>
  <c r="D21" i="53"/>
  <c r="D21" i="52"/>
  <c r="F19" i="53"/>
  <c r="F19" i="52"/>
  <c r="D20" i="53"/>
  <c r="D20" i="52"/>
  <c r="X492" i="53"/>
  <c r="C21" i="55"/>
  <c r="C21" i="54"/>
  <c r="E20" i="55"/>
  <c r="E20" i="54"/>
  <c r="G20" i="55"/>
  <c r="G20" i="54"/>
  <c r="E21" i="55"/>
  <c r="E21" i="54"/>
  <c r="E19" i="55"/>
  <c r="E19" i="54"/>
  <c r="G21" i="55"/>
  <c r="G21" i="54"/>
  <c r="D19" i="55"/>
  <c r="D19" i="54"/>
  <c r="C19" i="55"/>
  <c r="C19" i="54"/>
  <c r="F21" i="55"/>
  <c r="F21" i="54"/>
  <c r="G19" i="55"/>
  <c r="G19" i="54"/>
  <c r="F20" i="55"/>
  <c r="F20" i="54"/>
  <c r="D21" i="55"/>
  <c r="D21" i="54"/>
  <c r="F19" i="55"/>
  <c r="F19" i="54"/>
  <c r="D20" i="55"/>
  <c r="D20" i="54"/>
  <c r="X576" i="44"/>
  <c r="X956" i="44"/>
  <c r="X858" i="44"/>
  <c r="X246" i="44"/>
  <c r="X979" i="44"/>
  <c r="X820" i="44"/>
  <c r="X572" i="44"/>
  <c r="X380" i="44"/>
  <c r="X64" i="44"/>
  <c r="X1118" i="44"/>
  <c r="X31" i="44"/>
  <c r="X417" i="44"/>
  <c r="X252" i="44"/>
  <c r="X843" i="44"/>
  <c r="X616" i="44"/>
  <c r="X446" i="44"/>
  <c r="X173" i="44"/>
  <c r="X1081" i="44"/>
  <c r="X564" i="44"/>
  <c r="X650" i="44"/>
  <c r="X38" i="44"/>
  <c r="X1094" i="44"/>
  <c r="X355" i="44"/>
  <c r="X107" i="44"/>
  <c r="X276" i="44"/>
  <c r="X496" i="44"/>
  <c r="X712" i="44"/>
  <c r="X518" i="44"/>
  <c r="X245" i="44"/>
  <c r="X1025" i="44"/>
  <c r="X713" i="44"/>
  <c r="X706" i="44"/>
  <c r="X94" i="44"/>
  <c r="X255" i="44"/>
  <c r="X992" i="44"/>
  <c r="X894" i="44"/>
  <c r="X282" i="44"/>
  <c r="X974" i="44"/>
  <c r="X825" i="44"/>
  <c r="X577" i="44"/>
  <c r="X384" i="44"/>
  <c r="X997" i="44"/>
  <c r="X777" i="44"/>
  <c r="X730" i="44"/>
  <c r="X118" i="44"/>
  <c r="X1116" i="44"/>
  <c r="X495" i="44"/>
  <c r="X371" i="44"/>
  <c r="X354" i="44"/>
  <c r="X837" i="44"/>
  <c r="X900" i="44"/>
  <c r="X652" i="44"/>
  <c r="X135" i="44"/>
  <c r="X124" i="44"/>
  <c r="X1058" i="44"/>
  <c r="X445" i="44"/>
  <c r="X251" i="44"/>
  <c r="X45" i="44"/>
  <c r="X475" i="44"/>
  <c r="X717" i="44"/>
  <c r="X522" i="44"/>
  <c r="X741" i="44"/>
  <c r="X932" i="44"/>
  <c r="X684" i="44"/>
  <c r="X231" i="44"/>
  <c r="X148" i="44"/>
  <c r="X977" i="44"/>
  <c r="X541" i="44"/>
  <c r="X390" i="44"/>
  <c r="X117" i="44"/>
  <c r="X1153" i="44"/>
  <c r="X111" i="44"/>
  <c r="X578" i="44"/>
  <c r="X305" i="44"/>
  <c r="X936" i="44"/>
  <c r="X839" i="44"/>
  <c r="X766" i="44"/>
  <c r="X154" i="44"/>
  <c r="X1112" i="44"/>
  <c r="X505" i="44"/>
  <c r="X387" i="44"/>
  <c r="X358" i="44"/>
  <c r="X1132" i="44"/>
  <c r="X452" i="44"/>
  <c r="X207" i="44"/>
  <c r="X1129" i="44"/>
  <c r="X436" i="44"/>
  <c r="X602" i="44"/>
  <c r="X329" i="44"/>
  <c r="X683" i="44"/>
  <c r="X935" i="44"/>
  <c r="X838" i="44"/>
  <c r="X226" i="44"/>
  <c r="X1056" i="44"/>
  <c r="X655" i="44"/>
  <c r="X481" i="44"/>
  <c r="X227" i="44"/>
  <c r="X549" i="44"/>
  <c r="X970" i="44"/>
  <c r="X732" i="44"/>
  <c r="X335" i="44"/>
  <c r="X184" i="44"/>
  <c r="X971" i="44"/>
  <c r="X547" i="44"/>
  <c r="X394" i="44"/>
  <c r="X1032" i="44"/>
  <c r="X719" i="44"/>
  <c r="X513" i="44"/>
  <c r="X308" i="44"/>
  <c r="X1163" i="44"/>
  <c r="X1114" i="44"/>
  <c r="X95" i="44"/>
  <c r="X27" i="44"/>
  <c r="X256" i="44"/>
  <c r="X832" i="44"/>
  <c r="X621" i="44"/>
  <c r="X450" i="44"/>
  <c r="X177" i="44"/>
  <c r="X1093" i="44"/>
  <c r="X532" i="44"/>
  <c r="X638" i="44"/>
  <c r="X26" i="44"/>
  <c r="X661" i="44"/>
  <c r="X940" i="44"/>
  <c r="X842" i="44"/>
  <c r="X230" i="44"/>
  <c r="X731" i="44"/>
  <c r="X653" i="44"/>
  <c r="X474" i="44"/>
  <c r="X201" i="44"/>
  <c r="X1021" i="44"/>
  <c r="X724" i="44"/>
  <c r="X710" i="44"/>
  <c r="X98" i="44"/>
  <c r="X1184" i="44"/>
  <c r="X996" i="44"/>
  <c r="X898" i="44"/>
  <c r="X286" i="44"/>
  <c r="X990" i="44"/>
  <c r="X805" i="44"/>
  <c r="X561" i="44"/>
  <c r="X372" i="44"/>
  <c r="X56" i="44"/>
  <c r="X1110" i="44"/>
  <c r="X159" i="44"/>
  <c r="X43" i="44"/>
  <c r="X1160" i="44"/>
  <c r="X175" i="44"/>
  <c r="X922" i="44"/>
  <c r="X310" i="44"/>
  <c r="X827" i="44"/>
  <c r="X905" i="44"/>
  <c r="X657" i="44"/>
  <c r="X151" i="44"/>
  <c r="X128" i="44"/>
  <c r="X1054" i="44"/>
  <c r="X451" i="44"/>
  <c r="X267" i="44"/>
  <c r="X49" i="44"/>
  <c r="X539" i="44"/>
  <c r="X701" i="44"/>
  <c r="X510" i="44"/>
  <c r="X237" i="44"/>
  <c r="X1017" i="44"/>
  <c r="X735" i="44"/>
  <c r="X714" i="44"/>
  <c r="X185" i="44"/>
  <c r="X1037" i="44"/>
  <c r="X681" i="44"/>
  <c r="X694" i="44"/>
  <c r="X1030" i="44"/>
  <c r="X483" i="44"/>
  <c r="X328" i="44"/>
  <c r="X73" i="44"/>
  <c r="X1149" i="44"/>
  <c r="X239" i="44"/>
  <c r="X582" i="44"/>
  <c r="X309" i="44"/>
  <c r="X925" i="44"/>
  <c r="X844" i="44"/>
  <c r="X770" i="44"/>
  <c r="X158" i="44"/>
  <c r="X1124" i="44"/>
  <c r="X473" i="44"/>
  <c r="X315" i="44"/>
  <c r="X346" i="44"/>
  <c r="X815" i="44"/>
  <c r="X911" i="44"/>
  <c r="X663" i="44"/>
  <c r="X167" i="44"/>
  <c r="X861" i="44"/>
  <c r="X876" i="44"/>
  <c r="X794" i="44"/>
  <c r="X182" i="44"/>
  <c r="X1052" i="44"/>
  <c r="X665" i="44"/>
  <c r="X487" i="44"/>
  <c r="X243" i="44"/>
  <c r="X528" i="44"/>
  <c r="X1182" i="44"/>
  <c r="X737" i="44"/>
  <c r="X343" i="44"/>
  <c r="X188" i="44"/>
  <c r="X987" i="44"/>
  <c r="X531" i="44"/>
  <c r="X382" i="44"/>
  <c r="X109" i="44"/>
  <c r="X1145" i="44"/>
  <c r="X331" i="44"/>
  <c r="X586" i="44"/>
  <c r="X367" i="44"/>
  <c r="X1158" i="44"/>
  <c r="X769" i="44"/>
  <c r="X377" i="44"/>
  <c r="X212" i="44"/>
  <c r="X821" i="44"/>
  <c r="X627" i="44"/>
  <c r="X454" i="44"/>
  <c r="X181" i="44"/>
  <c r="X1089" i="44"/>
  <c r="X543" i="44"/>
  <c r="X642" i="44"/>
  <c r="X30" i="44"/>
  <c r="X725" i="44"/>
  <c r="X924" i="44"/>
  <c r="X830" i="44"/>
  <c r="X218" i="44"/>
  <c r="X1048" i="44"/>
  <c r="X676" i="44"/>
  <c r="X492" i="44"/>
  <c r="X259" i="44"/>
  <c r="X1065" i="44"/>
  <c r="X607" i="44"/>
  <c r="X666" i="44"/>
  <c r="X54" i="44"/>
  <c r="X1180" i="44"/>
  <c r="X1000" i="44"/>
  <c r="X902" i="44"/>
  <c r="X290" i="44"/>
  <c r="X985" i="44"/>
  <c r="X813" i="44"/>
  <c r="X567" i="44"/>
  <c r="X376" i="44"/>
  <c r="X60" i="44"/>
  <c r="X1122" i="44"/>
  <c r="X817" i="44"/>
  <c r="X413" i="44"/>
  <c r="X248" i="44"/>
  <c r="X808" i="44"/>
  <c r="X632" i="44"/>
  <c r="X458" i="44"/>
  <c r="X196" i="44"/>
  <c r="X864" i="44"/>
  <c r="X605" i="44"/>
  <c r="X438" i="44"/>
  <c r="X943" i="44"/>
  <c r="X847" i="44"/>
  <c r="X599" i="44"/>
  <c r="X400" i="44"/>
  <c r="X84" i="44"/>
  <c r="X1050" i="44"/>
  <c r="X456" i="44"/>
  <c r="X283" i="44"/>
  <c r="X53" i="44"/>
  <c r="X517" i="44"/>
  <c r="X707" i="44"/>
  <c r="X514" i="44"/>
  <c r="X241" i="44"/>
  <c r="X1029" i="44"/>
  <c r="X703" i="44"/>
  <c r="X702" i="44"/>
  <c r="X90" i="44"/>
  <c r="X1176" i="44"/>
  <c r="X1004" i="44"/>
  <c r="X906" i="44"/>
  <c r="X294" i="44"/>
  <c r="X307" i="44"/>
  <c r="X739" i="44"/>
  <c r="X538" i="44"/>
  <c r="X265" i="44"/>
  <c r="X915" i="44"/>
  <c r="X849" i="44"/>
  <c r="X774" i="44"/>
  <c r="X162" i="44"/>
  <c r="X1120" i="44"/>
  <c r="X484" i="44"/>
  <c r="X347" i="44"/>
  <c r="X350" i="44"/>
  <c r="X848" i="44"/>
  <c r="X895" i="44"/>
  <c r="X647" i="44"/>
  <c r="X119" i="44"/>
  <c r="X120" i="44"/>
  <c r="X1046" i="44"/>
  <c r="X461" i="44"/>
  <c r="X296" i="44"/>
  <c r="X1096" i="44"/>
  <c r="X548" i="44"/>
  <c r="X428" i="44"/>
  <c r="X67" i="44"/>
  <c r="X507" i="44"/>
  <c r="X1178" i="44"/>
  <c r="X743" i="44"/>
  <c r="X351" i="44"/>
  <c r="X192" i="44"/>
  <c r="X982" i="44"/>
  <c r="X536" i="44"/>
  <c r="X386" i="44"/>
  <c r="X113" i="44"/>
  <c r="X1157" i="44"/>
  <c r="X787" i="44"/>
  <c r="X574" i="44"/>
  <c r="X301" i="44"/>
  <c r="X904" i="44"/>
  <c r="X855" i="44"/>
  <c r="X778" i="44"/>
  <c r="X166" i="44"/>
  <c r="X939" i="44"/>
  <c r="X568" i="44"/>
  <c r="X410" i="44"/>
  <c r="X137" i="44"/>
  <c r="X1085" i="44"/>
  <c r="X553" i="44"/>
  <c r="X646" i="44"/>
  <c r="X34" i="44"/>
  <c r="X704" i="44"/>
  <c r="X929" i="44"/>
  <c r="X834" i="44"/>
  <c r="X222" i="44"/>
  <c r="X1060" i="44"/>
  <c r="X644" i="44"/>
  <c r="X476" i="44"/>
  <c r="X211" i="44"/>
  <c r="X485" i="44"/>
  <c r="X1174" i="44"/>
  <c r="X748" i="44"/>
  <c r="X359" i="44"/>
  <c r="X592" i="44"/>
  <c r="X962" i="44"/>
  <c r="X721" i="44"/>
  <c r="X338" i="44"/>
  <c r="X880" i="44"/>
  <c r="X879" i="44"/>
  <c r="X631" i="44"/>
  <c r="X71" i="44"/>
  <c r="X108" i="44"/>
  <c r="X1074" i="44"/>
  <c r="X424" i="44"/>
  <c r="X187" i="44"/>
  <c r="X29" i="44"/>
  <c r="X560" i="44"/>
  <c r="X696" i="44"/>
  <c r="X506" i="44"/>
  <c r="X233" i="44"/>
  <c r="X1053" i="44"/>
  <c r="X639" i="44"/>
  <c r="X678" i="44"/>
  <c r="X66" i="44"/>
  <c r="X121" i="44"/>
  <c r="X1101" i="44"/>
  <c r="X511" i="44"/>
  <c r="X630" i="44"/>
  <c r="X357" i="44"/>
  <c r="X789" i="44"/>
  <c r="X908" i="44"/>
  <c r="X818" i="44"/>
  <c r="X206" i="44"/>
  <c r="X1076" i="44"/>
  <c r="X601" i="44"/>
  <c r="X455" i="44"/>
  <c r="X147" i="44"/>
  <c r="X571" i="44"/>
  <c r="X966" i="44"/>
  <c r="X727" i="44"/>
  <c r="X327" i="44"/>
  <c r="X180" i="44"/>
  <c r="X1018" i="44"/>
  <c r="X499" i="44"/>
  <c r="X352" i="44"/>
  <c r="X313" i="44"/>
  <c r="X768" i="44"/>
  <c r="X913" i="44"/>
  <c r="X822" i="44"/>
  <c r="X210" i="44"/>
  <c r="X1072" i="44"/>
  <c r="X612" i="44"/>
  <c r="X460" i="44"/>
  <c r="X163" i="44"/>
  <c r="X635" i="44"/>
  <c r="X954" i="44"/>
  <c r="X711" i="44"/>
  <c r="X303" i="44"/>
  <c r="X168" i="44"/>
  <c r="X993" i="44"/>
  <c r="X525" i="44"/>
  <c r="X378" i="44"/>
  <c r="X105" i="44"/>
  <c r="X1181" i="44"/>
  <c r="X755" i="44"/>
  <c r="X550" i="44"/>
  <c r="X277" i="44"/>
  <c r="X1167" i="44"/>
  <c r="X1130" i="44"/>
  <c r="X807" i="44"/>
  <c r="X405" i="44"/>
  <c r="X240" i="44"/>
  <c r="X875" i="44"/>
  <c r="X600" i="44"/>
  <c r="X434" i="44"/>
  <c r="X161" i="44"/>
  <c r="X1109" i="44"/>
  <c r="X489" i="44"/>
  <c r="X622" i="44"/>
  <c r="X349" i="44"/>
  <c r="X747" i="44"/>
  <c r="X919" i="44"/>
  <c r="X826" i="44"/>
  <c r="X214" i="44"/>
  <c r="X1084" i="44"/>
  <c r="X580" i="44"/>
  <c r="X444" i="44"/>
  <c r="X115" i="44"/>
  <c r="X699" i="44"/>
  <c r="X942" i="44"/>
  <c r="X695" i="44"/>
  <c r="X263" i="44"/>
  <c r="X156" i="44"/>
  <c r="X928" i="44"/>
  <c r="X573" i="44"/>
  <c r="X414" i="44"/>
  <c r="X141" i="44"/>
  <c r="X1113" i="44"/>
  <c r="X479" i="44"/>
  <c r="X618" i="44"/>
  <c r="X345" i="44"/>
  <c r="X597" i="44"/>
  <c r="X952" i="44"/>
  <c r="X854" i="44"/>
  <c r="X242" i="44"/>
  <c r="X959" i="44"/>
  <c r="X836" i="44"/>
  <c r="X588" i="44"/>
  <c r="X392" i="44"/>
  <c r="X76" i="44"/>
  <c r="X1042" i="44"/>
  <c r="X467" i="44"/>
  <c r="X304" i="44"/>
  <c r="X61" i="44"/>
  <c r="X811" i="44"/>
  <c r="X127" i="44"/>
  <c r="X1095" i="44"/>
  <c r="X1047" i="44"/>
  <c r="X1131" i="44"/>
  <c r="X85" i="44"/>
  <c r="X1022" i="44"/>
  <c r="X493" i="44"/>
  <c r="X344" i="44"/>
  <c r="X81" i="44"/>
  <c r="X1125" i="44"/>
  <c r="X447" i="44"/>
  <c r="X606" i="44"/>
  <c r="X333" i="44"/>
  <c r="X819" i="44"/>
  <c r="X897" i="44"/>
  <c r="X810" i="44"/>
  <c r="X198" i="44"/>
  <c r="X1036" i="44"/>
  <c r="X708" i="44"/>
  <c r="X508" i="44"/>
  <c r="X300" i="44"/>
  <c r="X1175" i="44"/>
  <c r="X1102" i="44"/>
  <c r="X287" i="44"/>
  <c r="X75" i="44"/>
  <c r="X268" i="44"/>
  <c r="X453" i="44"/>
  <c r="X723" i="44"/>
  <c r="X526" i="44"/>
  <c r="X253" i="44"/>
  <c r="X957" i="44"/>
  <c r="X339" i="44"/>
  <c r="X949" i="44"/>
  <c r="X1031" i="44"/>
  <c r="X587" i="44"/>
  <c r="X96" i="44"/>
  <c r="X1086" i="44"/>
  <c r="X391" i="44"/>
  <c r="X139" i="44"/>
  <c r="X284" i="44"/>
  <c r="X63" i="44"/>
  <c r="X744" i="44"/>
  <c r="X542" i="44"/>
  <c r="X269" i="44"/>
  <c r="X975" i="44"/>
  <c r="X809" i="44"/>
  <c r="X746" i="44"/>
  <c r="X134" i="44"/>
  <c r="X1100" i="44"/>
  <c r="X537" i="44"/>
  <c r="X423" i="44"/>
  <c r="X51" i="44"/>
  <c r="X443" i="44"/>
  <c r="X1166" i="44"/>
  <c r="X759" i="44"/>
  <c r="X369" i="44"/>
  <c r="X204" i="44"/>
  <c r="X793" i="44"/>
  <c r="X637" i="44"/>
  <c r="X462" i="44"/>
  <c r="X189" i="44"/>
  <c r="X82" i="44"/>
  <c r="X448" i="44"/>
  <c r="X980" i="44"/>
  <c r="X882" i="44"/>
  <c r="X270" i="44"/>
  <c r="X1011" i="44"/>
  <c r="X772" i="44"/>
  <c r="X540" i="44"/>
  <c r="X348" i="44"/>
  <c r="X40" i="44"/>
  <c r="X1126" i="44"/>
  <c r="X812" i="44"/>
  <c r="X409" i="44"/>
  <c r="X244" i="44"/>
  <c r="X907" i="44"/>
  <c r="X584" i="44"/>
  <c r="X422" i="44"/>
  <c r="X149" i="44"/>
  <c r="X132" i="44"/>
  <c r="X998" i="44"/>
  <c r="X520" i="44"/>
  <c r="X374" i="44"/>
  <c r="X101" i="44"/>
  <c r="X1169" i="44"/>
  <c r="X771" i="44"/>
  <c r="X562" i="44"/>
  <c r="X289" i="44"/>
  <c r="X969" i="44"/>
  <c r="X816" i="44"/>
  <c r="X750" i="44"/>
  <c r="X138" i="44"/>
  <c r="X1128" i="44"/>
  <c r="X463" i="44"/>
  <c r="X271" i="44"/>
  <c r="X342" i="44"/>
  <c r="X912" i="44"/>
  <c r="X863" i="44"/>
  <c r="X615" i="44"/>
  <c r="X412" i="44"/>
  <c r="X57" i="44"/>
  <c r="X1165" i="44"/>
  <c r="X776" i="44"/>
  <c r="X566" i="44"/>
  <c r="X293" i="44"/>
  <c r="X961" i="44"/>
  <c r="X823" i="44"/>
  <c r="X754" i="44"/>
  <c r="X142" i="44"/>
  <c r="X1140" i="44"/>
  <c r="X431" i="44"/>
  <c r="X79" i="44"/>
  <c r="X330" i="44"/>
  <c r="X859" i="44"/>
  <c r="X889" i="44"/>
  <c r="X641" i="44"/>
  <c r="X103" i="44"/>
  <c r="X116" i="44"/>
  <c r="X1082" i="44"/>
  <c r="X407" i="44"/>
  <c r="X155" i="44"/>
  <c r="X288" i="44"/>
  <c r="X1068" i="44"/>
  <c r="X623" i="44"/>
  <c r="X465" i="44"/>
  <c r="X179" i="44"/>
  <c r="X613" i="44"/>
  <c r="X958" i="44"/>
  <c r="X716" i="44"/>
  <c r="X311" i="44"/>
  <c r="X172" i="44"/>
  <c r="X1009" i="44"/>
  <c r="X509" i="44"/>
  <c r="X366" i="44"/>
  <c r="X93" i="44"/>
  <c r="X1161" i="44"/>
  <c r="X781" i="44"/>
  <c r="X570" i="44"/>
  <c r="X297" i="44"/>
  <c r="X981" i="44"/>
  <c r="X803" i="44"/>
  <c r="X742" i="44"/>
  <c r="X130" i="44"/>
  <c r="X1152" i="44"/>
  <c r="X363" i="44"/>
  <c r="X930" i="44"/>
  <c r="X318" i="44"/>
  <c r="X720" i="44"/>
  <c r="X937" i="44"/>
  <c r="X689" i="44"/>
  <c r="X247" i="44"/>
  <c r="X152" i="44"/>
  <c r="X1014" i="44"/>
  <c r="X504" i="44"/>
  <c r="X360" i="44"/>
  <c r="X89" i="44"/>
  <c r="X1133" i="44"/>
  <c r="X425" i="44"/>
  <c r="X598" i="44"/>
  <c r="X325" i="44"/>
  <c r="X619" i="44"/>
  <c r="X948" i="44"/>
  <c r="X850" i="44"/>
  <c r="X238" i="44"/>
  <c r="X967" i="44"/>
  <c r="X831" i="44"/>
  <c r="X583" i="44"/>
  <c r="X388" i="44"/>
  <c r="X72" i="44"/>
  <c r="X1051" i="44"/>
  <c r="X1127" i="44"/>
  <c r="X608" i="44"/>
  <c r="X824" i="44"/>
  <c r="X1023" i="44"/>
  <c r="X923" i="44"/>
  <c r="X857" i="44"/>
  <c r="X609" i="44"/>
  <c r="X408" i="44"/>
  <c r="X92" i="44"/>
  <c r="X1026" i="44"/>
  <c r="X488" i="44"/>
  <c r="X336" i="44"/>
  <c r="X77" i="44"/>
  <c r="X1177" i="44"/>
  <c r="X760" i="44"/>
  <c r="X554" i="44"/>
  <c r="X281" i="44"/>
  <c r="X872" i="44"/>
  <c r="X871" i="44"/>
  <c r="X790" i="44"/>
  <c r="X178" i="44"/>
  <c r="X1040" i="44"/>
  <c r="X697" i="44"/>
  <c r="X503" i="44"/>
  <c r="X291" i="44"/>
  <c r="X1171" i="44"/>
  <c r="X1106" i="44"/>
  <c r="X223" i="44"/>
  <c r="X59" i="44"/>
  <c r="X264" i="44"/>
  <c r="X1075" i="44"/>
  <c r="X565" i="44"/>
  <c r="X523" i="44"/>
  <c r="X757" i="44"/>
  <c r="X1115" i="44"/>
  <c r="X1024" i="44"/>
  <c r="X740" i="44"/>
  <c r="X524" i="44"/>
  <c r="X324" i="44"/>
  <c r="X28" i="44"/>
  <c r="X1090" i="44"/>
  <c r="X375" i="44"/>
  <c r="X123" i="44"/>
  <c r="X280" i="44"/>
  <c r="X645" i="44"/>
  <c r="X675" i="44"/>
  <c r="X490" i="44"/>
  <c r="X217" i="44"/>
  <c r="X1002" i="44"/>
  <c r="X767" i="44"/>
  <c r="X726" i="44"/>
  <c r="X114" i="44"/>
  <c r="X1104" i="44"/>
  <c r="X527" i="44"/>
  <c r="X416" i="44"/>
  <c r="X35" i="44"/>
  <c r="X464" i="44"/>
  <c r="X1170" i="44"/>
  <c r="X753" i="44"/>
  <c r="X365" i="44"/>
  <c r="X200" i="44"/>
  <c r="X165" i="44"/>
  <c r="X1105" i="44"/>
  <c r="X500" i="44"/>
  <c r="X626" i="44"/>
  <c r="X353" i="44"/>
  <c r="X804" i="44"/>
  <c r="X903" i="44"/>
  <c r="X814" i="44"/>
  <c r="X202" i="44"/>
  <c r="X1064" i="44"/>
  <c r="X633" i="44"/>
  <c r="X471" i="44"/>
  <c r="X195" i="44"/>
  <c r="X677" i="44"/>
  <c r="X946" i="44"/>
  <c r="X700" i="44"/>
  <c r="X279" i="44"/>
  <c r="X160" i="44"/>
  <c r="X869" i="44"/>
  <c r="X884" i="44"/>
  <c r="X636" i="44"/>
  <c r="X87" i="44"/>
  <c r="X112" i="44"/>
  <c r="X1070" i="44"/>
  <c r="X429" i="44"/>
  <c r="X203" i="44"/>
  <c r="X33" i="44"/>
  <c r="X624" i="44"/>
  <c r="X680" i="44"/>
  <c r="X494" i="44"/>
  <c r="X221" i="44"/>
  <c r="X1033" i="44"/>
  <c r="X692" i="44"/>
  <c r="X698" i="44"/>
  <c r="X86" i="44"/>
  <c r="X512" i="44"/>
  <c r="X968" i="44"/>
  <c r="X870" i="44"/>
  <c r="X258" i="44"/>
  <c r="X68" i="44"/>
  <c r="X1066" i="44"/>
  <c r="X435" i="44"/>
  <c r="X219" i="44"/>
  <c r="X37" i="44"/>
  <c r="X603" i="44"/>
  <c r="X685" i="44"/>
  <c r="X498" i="44"/>
  <c r="X225" i="44"/>
  <c r="X1045" i="44"/>
  <c r="X660" i="44"/>
  <c r="X686" i="44"/>
  <c r="X74" i="44"/>
  <c r="X383" i="44"/>
  <c r="X988" i="44"/>
  <c r="X890" i="44"/>
  <c r="X278" i="44"/>
  <c r="X1020" i="44"/>
  <c r="X751" i="44"/>
  <c r="X529" i="44"/>
  <c r="X332" i="44"/>
  <c r="X249" i="44"/>
  <c r="X953" i="44"/>
  <c r="X828" i="44"/>
  <c r="X758" i="44"/>
  <c r="X146" i="44"/>
  <c r="X1136" i="44"/>
  <c r="X441" i="44"/>
  <c r="X143" i="44"/>
  <c r="X334" i="44"/>
  <c r="X891" i="44"/>
  <c r="X873" i="44"/>
  <c r="X625" i="44"/>
  <c r="X55" i="44"/>
  <c r="X104" i="44"/>
  <c r="X1062" i="44"/>
  <c r="X440" i="44"/>
  <c r="X235" i="44"/>
  <c r="X41" i="44"/>
  <c r="X667" i="44"/>
  <c r="X669" i="44"/>
  <c r="X486" i="44"/>
  <c r="X213" i="44"/>
  <c r="X1057" i="44"/>
  <c r="X628" i="44"/>
  <c r="X674" i="44"/>
  <c r="X62" i="44"/>
  <c r="X1156" i="44"/>
  <c r="X299" i="44"/>
  <c r="X926" i="44"/>
  <c r="X314" i="44"/>
  <c r="X901" i="44"/>
  <c r="X868" i="44"/>
  <c r="X620" i="44"/>
  <c r="X39" i="44"/>
  <c r="X100" i="44"/>
  <c r="X1034" i="44"/>
  <c r="X477" i="44"/>
  <c r="X320" i="44"/>
  <c r="X69" i="44"/>
  <c r="X1137" i="44"/>
  <c r="X411" i="44"/>
  <c r="X594" i="44"/>
  <c r="X321" i="44"/>
  <c r="X640" i="44"/>
  <c r="X944" i="44"/>
  <c r="X846" i="44"/>
  <c r="X234" i="44"/>
  <c r="X983" i="44"/>
  <c r="X1123" i="44"/>
  <c r="X779" i="44"/>
  <c r="X1119" i="44"/>
  <c r="X23" i="44"/>
  <c r="X629" i="44"/>
  <c r="X533" i="44"/>
  <c r="X964" i="44"/>
  <c r="X866" i="44"/>
  <c r="X254" i="44"/>
  <c r="X933" i="44"/>
  <c r="X852" i="44"/>
  <c r="X604" i="44"/>
  <c r="X404" i="44"/>
  <c r="X88" i="44"/>
  <c r="X1078" i="44"/>
  <c r="X419" i="44"/>
  <c r="X171" i="44"/>
  <c r="X292" i="44"/>
  <c r="X399" i="44"/>
  <c r="X733" i="44"/>
  <c r="X534" i="44"/>
  <c r="X261" i="44"/>
  <c r="X883" i="44"/>
  <c r="X865" i="44"/>
  <c r="X786" i="44"/>
  <c r="X174" i="44"/>
  <c r="X1044" i="44"/>
  <c r="X687" i="44"/>
  <c r="X497" i="44"/>
  <c r="X275" i="44"/>
  <c r="X1183" i="44"/>
  <c r="X1159" i="44"/>
  <c r="X999" i="44"/>
  <c r="X1103" i="44"/>
  <c r="X965" i="44"/>
  <c r="X544" i="44"/>
  <c r="X840" i="44"/>
  <c r="X887" i="44"/>
  <c r="X802" i="44"/>
  <c r="X190" i="44"/>
  <c r="X1028" i="44"/>
  <c r="X729" i="44"/>
  <c r="X519" i="44"/>
  <c r="X316" i="44"/>
  <c r="X1179" i="44"/>
  <c r="X1142" i="44"/>
  <c r="X791" i="44"/>
  <c r="X393" i="44"/>
  <c r="X228" i="44"/>
  <c r="X752" i="44"/>
  <c r="X648" i="44"/>
  <c r="X470" i="44"/>
  <c r="X197" i="44"/>
  <c r="X1007" i="44"/>
  <c r="X756" i="44"/>
  <c r="X722" i="44"/>
  <c r="X110" i="44"/>
  <c r="X1108" i="44"/>
  <c r="X516" i="44"/>
  <c r="X403" i="44"/>
  <c r="X362" i="44"/>
  <c r="X888" i="44"/>
  <c r="X319" i="44"/>
  <c r="X176" i="44"/>
  <c r="X1003" i="44"/>
  <c r="X515" i="44"/>
  <c r="X370" i="44"/>
  <c r="X97" i="44"/>
  <c r="X1173" i="44"/>
  <c r="X765" i="44"/>
  <c r="X558" i="44"/>
  <c r="X285" i="44"/>
  <c r="X945" i="44"/>
  <c r="X833" i="44"/>
  <c r="X762" i="44"/>
  <c r="X150" i="44"/>
  <c r="X1148" i="44"/>
  <c r="X395" i="44"/>
  <c r="X934" i="44"/>
  <c r="X322" i="44"/>
  <c r="X102" i="44"/>
  <c r="X427" i="44"/>
  <c r="X984" i="44"/>
  <c r="X886" i="44"/>
  <c r="X274" i="44"/>
  <c r="X1006" i="44"/>
  <c r="X783" i="44"/>
  <c r="X545" i="44"/>
  <c r="X356" i="44"/>
  <c r="X44" i="44"/>
  <c r="X1138" i="44"/>
  <c r="X796" i="44"/>
  <c r="X397" i="44"/>
  <c r="X232" i="44"/>
  <c r="X853" i="44"/>
  <c r="X611" i="44"/>
  <c r="X442" i="44"/>
  <c r="X169" i="44"/>
  <c r="X1117" i="44"/>
  <c r="X468" i="44"/>
  <c r="X614" i="44"/>
  <c r="X341" i="44"/>
  <c r="X1001" i="44"/>
  <c r="X792" i="44"/>
  <c r="X551" i="44"/>
  <c r="X364" i="44"/>
  <c r="X48" i="44"/>
  <c r="X1134" i="44"/>
  <c r="X801" i="44"/>
  <c r="X401" i="44"/>
  <c r="X236" i="44"/>
  <c r="X885" i="44"/>
  <c r="X595" i="44"/>
  <c r="X430" i="44"/>
  <c r="X157" i="44"/>
  <c r="X1097" i="44"/>
  <c r="X521" i="44"/>
  <c r="X634" i="44"/>
  <c r="X361" i="44"/>
  <c r="X829" i="44"/>
  <c r="X892" i="44"/>
  <c r="X806" i="44"/>
  <c r="X194" i="44"/>
  <c r="X260" i="44"/>
  <c r="X581" i="44"/>
  <c r="X691" i="44"/>
  <c r="X502" i="44"/>
  <c r="X229" i="44"/>
  <c r="X1041" i="44"/>
  <c r="X671" i="44"/>
  <c r="X690" i="44"/>
  <c r="X78" i="44"/>
  <c r="X469" i="44"/>
  <c r="X976" i="44"/>
  <c r="X878" i="44"/>
  <c r="X266" i="44"/>
  <c r="X995" i="44"/>
  <c r="X799" i="44"/>
  <c r="X556" i="44"/>
  <c r="X368" i="44"/>
  <c r="X52" i="44"/>
  <c r="X1146" i="44"/>
  <c r="X785" i="44"/>
  <c r="X389" i="44"/>
  <c r="X224" i="44"/>
  <c r="X917" i="44"/>
  <c r="X579" i="44"/>
  <c r="X418" i="44"/>
  <c r="X145" i="44"/>
  <c r="X1061" i="44"/>
  <c r="X617" i="44"/>
  <c r="X670" i="44"/>
  <c r="X58" i="44"/>
  <c r="X491" i="44"/>
  <c r="X972" i="44"/>
  <c r="X874" i="44"/>
  <c r="X262" i="44"/>
  <c r="X951" i="44"/>
  <c r="X841" i="44"/>
  <c r="X593" i="44"/>
  <c r="X396" i="44"/>
  <c r="X80" i="44"/>
  <c r="X1038" i="44"/>
  <c r="X472" i="44"/>
  <c r="X312" i="44"/>
  <c r="X65" i="44"/>
  <c r="X1141" i="44"/>
  <c r="X379" i="44"/>
  <c r="X590" i="44"/>
  <c r="X317" i="44"/>
  <c r="X1043" i="44"/>
  <c r="X651" i="44"/>
  <c r="X931" i="44"/>
  <c r="X715" i="44"/>
  <c r="X672" i="44"/>
  <c r="X415" i="44"/>
  <c r="X1121" i="44"/>
  <c r="X457" i="44"/>
  <c r="X610" i="44"/>
  <c r="X337" i="44"/>
  <c r="X555" i="44"/>
  <c r="X960" i="44"/>
  <c r="X862" i="44"/>
  <c r="X250" i="44"/>
  <c r="X1016" i="44"/>
  <c r="X761" i="44"/>
  <c r="X535" i="44"/>
  <c r="X340" i="44"/>
  <c r="X36" i="44"/>
  <c r="X1098" i="44"/>
  <c r="X323" i="44"/>
  <c r="X91" i="44"/>
  <c r="X272" i="44"/>
  <c r="X432" i="44"/>
  <c r="X728" i="44"/>
  <c r="X530" i="44"/>
  <c r="X257" i="44"/>
  <c r="X893" i="44"/>
  <c r="X860" i="44"/>
  <c r="X782" i="44"/>
  <c r="X170" i="44"/>
  <c r="X1083" i="44"/>
  <c r="X877" i="44"/>
  <c r="X1151" i="44"/>
  <c r="X459" i="44"/>
  <c r="X994" i="44"/>
  <c r="X899" i="44"/>
  <c r="X1185" i="44"/>
  <c r="X749" i="44"/>
  <c r="X546" i="44"/>
  <c r="X273" i="44"/>
  <c r="X851" i="44"/>
  <c r="X881" i="44"/>
  <c r="X798" i="44"/>
  <c r="X186" i="44"/>
  <c r="X1080" i="44"/>
  <c r="X591" i="44"/>
  <c r="X449" i="44"/>
  <c r="X131" i="44"/>
  <c r="X421" i="44"/>
  <c r="X1162" i="44"/>
  <c r="X764" i="44"/>
  <c r="X373" i="44"/>
  <c r="X208" i="44"/>
  <c r="X773" i="44"/>
  <c r="X643" i="44"/>
  <c r="X466" i="44"/>
  <c r="X193" i="44"/>
  <c r="X1013" i="44"/>
  <c r="X745" i="44"/>
  <c r="X106" i="44"/>
  <c r="X736" i="44"/>
  <c r="X1111" i="44"/>
  <c r="X909" i="44"/>
  <c r="X1015" i="44"/>
  <c r="X501" i="44"/>
  <c r="X986" i="44"/>
  <c r="X795" i="44"/>
  <c r="X738" i="44"/>
  <c r="X126" i="44"/>
  <c r="X1092" i="44"/>
  <c r="X559" i="44"/>
  <c r="X433" i="44"/>
  <c r="X83" i="44"/>
  <c r="X656" i="44"/>
  <c r="X950" i="44"/>
  <c r="X705" i="44"/>
  <c r="X295" i="44"/>
  <c r="X164" i="44"/>
  <c r="X947" i="44"/>
  <c r="X563" i="44"/>
  <c r="X406" i="44"/>
  <c r="X133" i="44"/>
  <c r="X1073" i="44"/>
  <c r="X585" i="44"/>
  <c r="X658" i="44"/>
  <c r="X46" i="44"/>
  <c r="X1172" i="44"/>
  <c r="X1008" i="44"/>
  <c r="X910" i="44"/>
  <c r="X298" i="44"/>
  <c r="X845" i="44"/>
  <c r="X1143" i="44"/>
  <c r="X978" i="44"/>
  <c r="X867" i="44"/>
  <c r="X1039" i="44"/>
  <c r="X24" i="44"/>
  <c r="X1035" i="44"/>
  <c r="X693" i="44"/>
  <c r="X437" i="44"/>
  <c r="X1055" i="44"/>
  <c r="X1005" i="44"/>
  <c r="X688" i="44"/>
  <c r="X664" i="44"/>
  <c r="X482" i="44"/>
  <c r="X209" i="44"/>
  <c r="X991" i="44"/>
  <c r="X788" i="44"/>
  <c r="X734" i="44"/>
  <c r="X122" i="44"/>
  <c r="X1144" i="44"/>
  <c r="X420" i="44"/>
  <c r="X938" i="44"/>
  <c r="X326" i="44"/>
  <c r="X763" i="44"/>
  <c r="X927" i="44"/>
  <c r="X679" i="44"/>
  <c r="X215" i="44"/>
  <c r="X144" i="44"/>
  <c r="X955" i="44"/>
  <c r="X557" i="44"/>
  <c r="X402" i="44"/>
  <c r="X129" i="44"/>
  <c r="X1077" i="44"/>
  <c r="X575" i="44"/>
  <c r="X654" i="44"/>
  <c r="X42" i="44"/>
  <c r="X856" i="44"/>
  <c r="X1019" i="44"/>
  <c r="X1135" i="44"/>
  <c r="X25" i="44"/>
  <c r="X1107" i="44"/>
  <c r="X1067" i="44"/>
  <c r="X835" i="44"/>
  <c r="X1027" i="44"/>
  <c r="X1087" i="44"/>
  <c r="X1155" i="44"/>
  <c r="X32" i="44"/>
  <c r="X1150" i="44"/>
  <c r="X780" i="44"/>
  <c r="X385" i="44"/>
  <c r="X220" i="44"/>
  <c r="X709" i="44"/>
  <c r="X659" i="44"/>
  <c r="X478" i="44"/>
  <c r="X205" i="44"/>
  <c r="X1049" i="44"/>
  <c r="X649" i="44"/>
  <c r="X682" i="44"/>
  <c r="X70" i="44"/>
  <c r="X1164" i="44"/>
  <c r="X47" i="44"/>
  <c r="X918" i="44"/>
  <c r="X306" i="44"/>
  <c r="X784" i="44"/>
  <c r="X921" i="44"/>
  <c r="X673" i="44"/>
  <c r="X199" i="44"/>
  <c r="X140" i="44"/>
  <c r="X963" i="44"/>
  <c r="X552" i="44"/>
  <c r="X398" i="44"/>
  <c r="X125" i="44"/>
  <c r="X920" i="44"/>
  <c r="X989" i="44"/>
  <c r="X1091" i="44"/>
  <c r="X1071" i="44"/>
  <c r="X941" i="44"/>
  <c r="X718" i="44"/>
  <c r="X1059" i="44"/>
  <c r="X1010" i="44"/>
  <c r="X1079" i="44"/>
  <c r="X797" i="44"/>
  <c r="X973" i="44"/>
  <c r="X1088" i="44"/>
  <c r="X569" i="44"/>
  <c r="X439" i="44"/>
  <c r="X99" i="44"/>
  <c r="X191" i="44"/>
  <c r="X1154" i="44"/>
  <c r="X775" i="44"/>
  <c r="X381" i="44"/>
  <c r="X216" i="44"/>
  <c r="X896" i="44"/>
  <c r="X589" i="44"/>
  <c r="X426" i="44"/>
  <c r="X153" i="44"/>
  <c r="X1069" i="44"/>
  <c r="X596" i="44"/>
  <c r="X662" i="44"/>
  <c r="X50" i="44"/>
  <c r="X1168" i="44"/>
  <c r="X1012" i="44"/>
  <c r="X914" i="44"/>
  <c r="X302" i="44"/>
  <c r="X800" i="44"/>
  <c r="X916" i="44"/>
  <c r="X668" i="44"/>
  <c r="X183" i="44"/>
  <c r="X136" i="44"/>
  <c r="X1139" i="44"/>
  <c r="X480" i="44"/>
  <c r="X1063" i="44"/>
  <c r="X1147" i="44"/>
  <c r="X1099" i="44"/>
  <c r="J15" i="56"/>
  <c r="K14" i="56"/>
  <c r="L14" i="56" s="1"/>
  <c r="K5" i="17"/>
  <c r="L5" i="17" s="1"/>
  <c r="J6" i="17"/>
  <c r="AA1189" i="19"/>
  <c r="AP1112" i="19"/>
  <c r="AP1110" i="19"/>
  <c r="AP1108" i="19"/>
  <c r="AP1101" i="19"/>
  <c r="AP1099" i="19"/>
  <c r="AP1097" i="19"/>
  <c r="AP1094" i="19"/>
  <c r="AP1092" i="19"/>
  <c r="AP1089" i="19"/>
  <c r="AP1087" i="19"/>
  <c r="AP1085" i="19"/>
  <c r="AP1078" i="19"/>
  <c r="AP1074" i="19"/>
  <c r="AP1073" i="19"/>
  <c r="AP1067" i="19"/>
  <c r="AP1062" i="19"/>
  <c r="AP1051" i="19"/>
  <c r="AP1049" i="19"/>
  <c r="AP1044" i="19"/>
  <c r="AP1027" i="19"/>
  <c r="AP1025" i="19"/>
  <c r="AP1019" i="19"/>
  <c r="AP1017" i="19"/>
  <c r="AP1011" i="19"/>
  <c r="AP1007" i="19"/>
  <c r="AP988" i="19"/>
  <c r="AP972" i="19"/>
  <c r="AP960" i="19"/>
  <c r="AP957" i="19"/>
  <c r="AP953" i="19"/>
  <c r="AP949" i="19"/>
  <c r="AP946" i="19"/>
  <c r="AP937" i="19"/>
  <c r="AP923" i="19"/>
  <c r="AP921" i="19"/>
  <c r="AP918" i="19"/>
  <c r="AP913" i="19"/>
  <c r="AP911" i="19"/>
  <c r="AP909" i="19"/>
  <c r="AP907" i="19"/>
  <c r="AP906" i="19"/>
  <c r="AP899" i="19"/>
  <c r="AP884" i="19"/>
  <c r="AP876" i="19"/>
  <c r="AP864" i="19"/>
  <c r="AP852" i="19"/>
  <c r="AP849" i="19"/>
  <c r="AP840" i="19"/>
  <c r="AP832" i="19"/>
  <c r="AP830" i="19"/>
  <c r="AP827" i="19"/>
  <c r="AP825" i="19"/>
  <c r="AP823" i="19"/>
  <c r="AP819" i="19"/>
  <c r="AP818" i="19"/>
  <c r="AP814" i="19"/>
  <c r="AP810" i="19"/>
  <c r="AP805" i="19"/>
  <c r="AP798" i="19"/>
  <c r="AP795" i="19"/>
  <c r="AP792" i="19"/>
  <c r="AP790" i="19"/>
  <c r="AP786" i="19"/>
  <c r="AP768" i="19"/>
  <c r="AP749" i="19"/>
  <c r="AP738" i="19"/>
  <c r="AP723" i="19"/>
  <c r="AP721" i="19"/>
  <c r="AP718" i="19"/>
  <c r="AP713" i="19"/>
  <c r="AP706" i="19"/>
  <c r="AP687" i="19"/>
  <c r="AP682" i="19"/>
  <c r="AP678" i="19"/>
  <c r="AP676" i="19"/>
  <c r="AP669" i="19"/>
  <c r="AP663" i="19"/>
  <c r="AP656" i="19"/>
  <c r="AP646" i="19"/>
  <c r="AP627" i="19"/>
  <c r="AP623" i="19"/>
  <c r="AP608" i="19"/>
  <c r="AP599" i="19"/>
  <c r="AP594" i="19"/>
  <c r="AP580" i="19"/>
  <c r="AP574" i="19"/>
  <c r="AP568" i="19"/>
  <c r="AP562" i="19"/>
  <c r="AP553" i="19"/>
  <c r="AP545" i="19"/>
  <c r="AP536" i="19"/>
  <c r="AP527" i="19"/>
  <c r="AP517" i="19"/>
  <c r="AP506" i="19"/>
  <c r="AP495" i="19"/>
  <c r="AP491" i="19"/>
  <c r="AP486" i="19"/>
  <c r="AP483" i="19"/>
  <c r="AP479" i="19"/>
  <c r="AP476" i="19"/>
  <c r="AP471" i="19"/>
  <c r="AP466" i="19"/>
  <c r="AP462" i="19"/>
  <c r="AP459" i="19"/>
  <c r="AP455" i="19"/>
  <c r="AP452" i="19"/>
  <c r="AP447" i="19"/>
  <c r="AP445" i="19"/>
  <c r="AP440" i="19"/>
  <c r="AP436" i="19"/>
  <c r="AP429" i="19"/>
  <c r="AP425" i="19"/>
  <c r="AP414" i="19"/>
  <c r="AP411" i="19"/>
  <c r="AP406" i="19"/>
  <c r="AP397" i="19"/>
  <c r="AP390" i="19"/>
  <c r="AP388" i="19"/>
  <c r="AP386" i="19"/>
  <c r="AP381" i="19"/>
  <c r="AP378" i="19"/>
  <c r="AP363" i="19"/>
  <c r="AP336" i="19"/>
  <c r="AP330" i="19"/>
  <c r="AP316" i="19"/>
  <c r="AP299" i="19"/>
  <c r="AP286" i="19"/>
  <c r="AP281" i="19"/>
  <c r="AP264" i="19"/>
  <c r="AP250" i="19"/>
  <c r="AP243" i="19"/>
  <c r="AP239" i="19"/>
  <c r="AP237" i="19"/>
  <c r="AP232" i="19"/>
  <c r="AP228" i="19"/>
  <c r="AP226" i="19"/>
  <c r="AP222" i="19"/>
  <c r="AP215" i="19"/>
  <c r="AP207" i="19"/>
  <c r="AP204" i="19"/>
  <c r="AP193" i="19"/>
  <c r="AP180" i="19"/>
  <c r="AP168" i="19"/>
  <c r="AP158" i="19"/>
  <c r="AP128" i="19"/>
  <c r="AP118" i="19"/>
  <c r="AP96" i="19"/>
  <c r="AP88" i="19"/>
  <c r="AP74" i="19"/>
  <c r="P1189" i="19"/>
  <c r="X475" i="53" l="1"/>
  <c r="X868" i="53"/>
  <c r="X371" i="53"/>
  <c r="X606" i="53"/>
  <c r="X261" i="53"/>
  <c r="X98" i="53"/>
  <c r="AA98" i="53" s="1"/>
  <c r="X415" i="53"/>
  <c r="AA415" i="53" s="1"/>
  <c r="X427" i="53"/>
  <c r="AA427" i="53" s="1"/>
  <c r="X95" i="53"/>
  <c r="X721" i="53"/>
  <c r="X961" i="53"/>
  <c r="AA961" i="53" s="1"/>
  <c r="X1035" i="53"/>
  <c r="AA1035" i="53" s="1"/>
  <c r="X977" i="53"/>
  <c r="X303" i="53"/>
  <c r="X664" i="53"/>
  <c r="X1120" i="53"/>
  <c r="AA1120" i="53" s="1"/>
  <c r="X653" i="53"/>
  <c r="X279" i="53"/>
  <c r="AA279" i="53" s="1"/>
  <c r="X83" i="53"/>
  <c r="X375" i="53"/>
  <c r="AA375" i="53" s="1"/>
  <c r="X1178" i="53"/>
  <c r="X48" i="53"/>
  <c r="X828" i="53"/>
  <c r="X280" i="53"/>
  <c r="AA280" i="53" s="1"/>
  <c r="X1086" i="53"/>
  <c r="X315" i="53"/>
  <c r="X734" i="53"/>
  <c r="AA734" i="53" s="1"/>
  <c r="X264" i="53"/>
  <c r="AA264" i="53" s="1"/>
  <c r="X909" i="53"/>
  <c r="X670" i="53"/>
  <c r="X307" i="53"/>
  <c r="X640" i="53"/>
  <c r="AA640" i="53" s="1"/>
  <c r="X33" i="53"/>
  <c r="X794" i="53"/>
  <c r="X1167" i="53"/>
  <c r="X1000" i="53"/>
  <c r="X88" i="53"/>
  <c r="AA88" i="53" s="1"/>
  <c r="X904" i="53"/>
  <c r="X658" i="53"/>
  <c r="X817" i="53"/>
  <c r="AA817" i="53" s="1"/>
  <c r="X619" i="52"/>
  <c r="X1127" i="53"/>
  <c r="X1112" i="53"/>
  <c r="X720" i="53"/>
  <c r="AA720" i="53" s="1"/>
  <c r="X561" i="53"/>
  <c r="X305" i="53"/>
  <c r="X668" i="53"/>
  <c r="AA668" i="53" s="1"/>
  <c r="X1153" i="53"/>
  <c r="X682" i="53"/>
  <c r="X205" i="53"/>
  <c r="X86" i="53"/>
  <c r="X1114" i="53"/>
  <c r="AA1114" i="53" s="1"/>
  <c r="X73" i="53"/>
  <c r="X604" i="53"/>
  <c r="X707" i="53"/>
  <c r="X222" i="53"/>
  <c r="AA222" i="53" s="1"/>
  <c r="X80" i="53"/>
  <c r="X454" i="53"/>
  <c r="X108" i="53"/>
  <c r="AA108" i="53" s="1"/>
  <c r="X851" i="53"/>
  <c r="AA851" i="53" s="1"/>
  <c r="X901" i="53"/>
  <c r="X177" i="53"/>
  <c r="X360" i="53"/>
  <c r="X179" i="53"/>
  <c r="AA179" i="53" s="1"/>
  <c r="X151" i="53"/>
  <c r="X401" i="53"/>
  <c r="X152" i="53"/>
  <c r="X1045" i="53"/>
  <c r="X309" i="53"/>
  <c r="X166" i="53"/>
  <c r="X1184" i="53"/>
  <c r="X51" i="53"/>
  <c r="AA51" i="53" s="1"/>
  <c r="X570" i="53"/>
  <c r="AA570" i="53" s="1"/>
  <c r="X766" i="53"/>
  <c r="X480" i="53"/>
  <c r="AA480" i="53" s="1"/>
  <c r="X1020" i="53"/>
  <c r="AA1020" i="53" s="1"/>
  <c r="X448" i="53"/>
  <c r="X227" i="53"/>
  <c r="X1037" i="53"/>
  <c r="X1064" i="53"/>
  <c r="AA1064" i="53" s="1"/>
  <c r="X993" i="53"/>
  <c r="X159" i="53"/>
  <c r="X787" i="53"/>
  <c r="AA787" i="53" s="1"/>
  <c r="X946" i="53"/>
  <c r="AA946" i="53" s="1"/>
  <c r="X302" i="53"/>
  <c r="X318" i="53"/>
  <c r="X973" i="53"/>
  <c r="AA973" i="53" s="1"/>
  <c r="X525" i="53"/>
  <c r="X160" i="53"/>
  <c r="X1145" i="53"/>
  <c r="X131" i="53"/>
  <c r="AA131" i="53" s="1"/>
  <c r="X323" i="53"/>
  <c r="X621" i="53"/>
  <c r="X837" i="53"/>
  <c r="X408" i="53"/>
  <c r="AA408" i="53" s="1"/>
  <c r="X1085" i="53"/>
  <c r="AA1085" i="53" s="1"/>
  <c r="X79" i="53"/>
  <c r="X210" i="53"/>
  <c r="X991" i="53"/>
  <c r="X304" i="53"/>
  <c r="X163" i="53"/>
  <c r="X26" i="53"/>
  <c r="X373" i="53"/>
  <c r="AA373" i="53" s="1"/>
  <c r="X956" i="53"/>
  <c r="X245" i="53"/>
  <c r="X444" i="53"/>
  <c r="X330" i="53"/>
  <c r="AA330" i="53" s="1"/>
  <c r="X967" i="53"/>
  <c r="AA967" i="53" s="1"/>
  <c r="X1001" i="53"/>
  <c r="X1004" i="53"/>
  <c r="X1069" i="53"/>
  <c r="AA1069" i="53" s="1"/>
  <c r="X35" i="53"/>
  <c r="AA35" i="53" s="1"/>
  <c r="X641" i="53"/>
  <c r="X345" i="53"/>
  <c r="X464" i="53"/>
  <c r="AA464" i="53" s="1"/>
  <c r="X462" i="53"/>
  <c r="AA462" i="53" s="1"/>
  <c r="X374" i="53"/>
  <c r="X710" i="53"/>
  <c r="X1095" i="53"/>
  <c r="AA1095" i="53" s="1"/>
  <c r="X557" i="53"/>
  <c r="AA557" i="53" s="1"/>
  <c r="X380" i="53"/>
  <c r="X446" i="53"/>
  <c r="X696" i="53"/>
  <c r="AA696" i="53" s="1"/>
  <c r="X528" i="53"/>
  <c r="AA528" i="53" s="1"/>
  <c r="X313" i="53"/>
  <c r="X524" i="53"/>
  <c r="AA524" i="53" s="1"/>
  <c r="X1003" i="53"/>
  <c r="AA1003" i="53" s="1"/>
  <c r="X87" i="53"/>
  <c r="AA87" i="53" s="1"/>
  <c r="X423" i="53"/>
  <c r="X848" i="53"/>
  <c r="X220" i="53"/>
  <c r="AA220" i="53" s="1"/>
  <c r="X343" i="53"/>
  <c r="X835" i="53"/>
  <c r="X176" i="53"/>
  <c r="X1132" i="53"/>
  <c r="X974" i="53"/>
  <c r="AA974" i="53" s="1"/>
  <c r="X255" i="53"/>
  <c r="X233" i="53"/>
  <c r="X1149" i="53"/>
  <c r="X921" i="53"/>
  <c r="X598" i="53"/>
  <c r="X684" i="53"/>
  <c r="AA684" i="53" s="1"/>
  <c r="X392" i="53"/>
  <c r="AA392" i="53" s="1"/>
  <c r="X71" i="53"/>
  <c r="AA71" i="53" s="1"/>
  <c r="X44" i="53"/>
  <c r="X488" i="53"/>
  <c r="AA488" i="53" s="1"/>
  <c r="X730" i="53"/>
  <c r="AA730" i="53" s="1"/>
  <c r="X768" i="53"/>
  <c r="AA768" i="53" s="1"/>
  <c r="X450" i="53"/>
  <c r="X889" i="53"/>
  <c r="AA889" i="53" s="1"/>
  <c r="X622" i="53"/>
  <c r="AA622" i="53" s="1"/>
  <c r="X1097" i="53"/>
  <c r="AA1097" i="53" s="1"/>
  <c r="X70" i="53"/>
  <c r="X278" i="53"/>
  <c r="AA278" i="53" s="1"/>
  <c r="X142" i="53"/>
  <c r="AA142" i="53" s="1"/>
  <c r="X119" i="53"/>
  <c r="X504" i="53"/>
  <c r="X30" i="53"/>
  <c r="AA30" i="53" s="1"/>
  <c r="X496" i="53"/>
  <c r="AA496" i="53" s="1"/>
  <c r="X859" i="53"/>
  <c r="AA859" i="53" s="1"/>
  <c r="X968" i="53"/>
  <c r="X411" i="53"/>
  <c r="X180" i="53"/>
  <c r="AA180" i="53" s="1"/>
  <c r="X328" i="53"/>
  <c r="AA328" i="53" s="1"/>
  <c r="X1024" i="53"/>
  <c r="X358" i="53"/>
  <c r="AA358" i="53" s="1"/>
  <c r="X190" i="53"/>
  <c r="AA190" i="53" s="1"/>
  <c r="X263" i="53"/>
  <c r="AA263" i="53" s="1"/>
  <c r="X942" i="53"/>
  <c r="X25" i="53"/>
  <c r="AA25" i="53" s="1"/>
  <c r="X383" i="53"/>
  <c r="AA383" i="53" s="1"/>
  <c r="X128" i="53"/>
  <c r="AA128" i="53" s="1"/>
  <c r="X591" i="53"/>
  <c r="X252" i="53"/>
  <c r="AA252" i="53" s="1"/>
  <c r="X583" i="53"/>
  <c r="X675" i="53"/>
  <c r="AA675" i="53" s="1"/>
  <c r="X887" i="53"/>
  <c r="AA887" i="53" s="1"/>
  <c r="X65" i="53"/>
  <c r="AA65" i="53" s="1"/>
  <c r="X957" i="53"/>
  <c r="AA957" i="53" s="1"/>
  <c r="X265" i="53"/>
  <c r="AA265" i="53" s="1"/>
  <c r="X605" i="53"/>
  <c r="AA605" i="53" s="1"/>
  <c r="X789" i="53"/>
  <c r="AA789" i="53" s="1"/>
  <c r="X195" i="53"/>
  <c r="AA195" i="53" s="1"/>
  <c r="X1019" i="53"/>
  <c r="AA1019" i="53" s="1"/>
  <c r="X1096" i="53"/>
  <c r="X830" i="53"/>
  <c r="AA830" i="53" s="1"/>
  <c r="X351" i="53"/>
  <c r="AA351" i="53" s="1"/>
  <c r="X479" i="53"/>
  <c r="AA479" i="53" s="1"/>
  <c r="X611" i="53"/>
  <c r="X1164" i="53"/>
  <c r="X482" i="53"/>
  <c r="AA482" i="53" s="1"/>
  <c r="X577" i="53"/>
  <c r="X809" i="53"/>
  <c r="X357" i="53"/>
  <c r="AA357" i="53" s="1"/>
  <c r="X434" i="53"/>
  <c r="AA434" i="53" s="1"/>
  <c r="X690" i="53"/>
  <c r="AA690" i="53" s="1"/>
  <c r="X45" i="53"/>
  <c r="AA45" i="53" s="1"/>
  <c r="X135" i="53"/>
  <c r="AA135" i="53" s="1"/>
  <c r="X846" i="53"/>
  <c r="AA846" i="53" s="1"/>
  <c r="X532" i="53"/>
  <c r="AA532" i="53" s="1"/>
  <c r="X147" i="53"/>
  <c r="X306" i="53"/>
  <c r="X645" i="53"/>
  <c r="AA645" i="53" s="1"/>
  <c r="X819" i="53"/>
  <c r="AA819" i="53" s="1"/>
  <c r="X903" i="53"/>
  <c r="AA903" i="53" s="1"/>
  <c r="X36" i="53"/>
  <c r="AA36" i="53" s="1"/>
  <c r="X471" i="53"/>
  <c r="AA471" i="53" s="1"/>
  <c r="X96" i="53"/>
  <c r="AA96" i="53" s="1"/>
  <c r="X347" i="53"/>
  <c r="AA347" i="53" s="1"/>
  <c r="X382" i="53"/>
  <c r="AA382" i="53" s="1"/>
  <c r="X924" i="53"/>
  <c r="X624" i="53"/>
  <c r="AA624" i="53" s="1"/>
  <c r="X763" i="53"/>
  <c r="AA763" i="53" s="1"/>
  <c r="X320" i="53"/>
  <c r="X997" i="53"/>
  <c r="X510" i="53"/>
  <c r="X1053" i="53"/>
  <c r="AA1053" i="53" s="1"/>
  <c r="X1039" i="53"/>
  <c r="AA1039" i="53" s="1"/>
  <c r="X196" i="53"/>
  <c r="AA196" i="53" s="1"/>
  <c r="X185" i="53"/>
  <c r="AA185" i="53" s="1"/>
  <c r="X986" i="53"/>
  <c r="AA986" i="53" s="1"/>
  <c r="X727" i="53"/>
  <c r="AA727" i="53" s="1"/>
  <c r="X296" i="53"/>
  <c r="AA296" i="53" s="1"/>
  <c r="X620" i="53"/>
  <c r="AA620" i="53" s="1"/>
  <c r="X46" i="53"/>
  <c r="AA46" i="53" s="1"/>
  <c r="X256" i="53"/>
  <c r="AA256" i="53" s="1"/>
  <c r="X1040" i="53"/>
  <c r="AA1040" i="53" s="1"/>
  <c r="X168" i="53"/>
  <c r="AA168" i="53" s="1"/>
  <c r="X204" i="53"/>
  <c r="AA204" i="53" s="1"/>
  <c r="X268" i="53"/>
  <c r="X805" i="53"/>
  <c r="AA805" i="53" s="1"/>
  <c r="X1059" i="53"/>
  <c r="AA1059" i="53" s="1"/>
  <c r="X425" i="53"/>
  <c r="AA425" i="53" s="1"/>
  <c r="X899" i="53"/>
  <c r="X765" i="53"/>
  <c r="AA765" i="53" s="1"/>
  <c r="X223" i="53"/>
  <c r="AA223" i="53" s="1"/>
  <c r="X908" i="53"/>
  <c r="AA908" i="53" s="1"/>
  <c r="X612" i="53"/>
  <c r="X350" i="53"/>
  <c r="AA350" i="53" s="1"/>
  <c r="X143" i="53"/>
  <c r="AA143" i="53" s="1"/>
  <c r="X1135" i="53"/>
  <c r="X688" i="53"/>
  <c r="AA688" i="53" s="1"/>
  <c r="X856" i="53"/>
  <c r="AA856" i="53" s="1"/>
  <c r="X286" i="53"/>
  <c r="X364" i="53"/>
  <c r="AA364" i="53" s="1"/>
  <c r="X334" i="53"/>
  <c r="AA334" i="53" s="1"/>
  <c r="X642" i="53"/>
  <c r="AA642" i="53" s="1"/>
  <c r="X1017" i="53"/>
  <c r="AA1017" i="53" s="1"/>
  <c r="X132" i="53"/>
  <c r="AA132" i="53" s="1"/>
  <c r="X743" i="53"/>
  <c r="AA743" i="53" s="1"/>
  <c r="X754" i="53"/>
  <c r="AA754" i="53" s="1"/>
  <c r="X511" i="53"/>
  <c r="AA511" i="53" s="1"/>
  <c r="X1119" i="53"/>
  <c r="AA1119" i="53" s="1"/>
  <c r="X678" i="53"/>
  <c r="AA678" i="53" s="1"/>
  <c r="X781" i="53"/>
  <c r="AA781" i="53" s="1"/>
  <c r="X230" i="53"/>
  <c r="AA230" i="53" s="1"/>
  <c r="X141" i="53"/>
  <c r="AA141" i="53" s="1"/>
  <c r="X237" i="53"/>
  <c r="AA237" i="53" s="1"/>
  <c r="X650" i="53"/>
  <c r="AA650" i="53" s="1"/>
  <c r="X39" i="53"/>
  <c r="X814" i="53"/>
  <c r="AA814" i="53" s="1"/>
  <c r="X772" i="53"/>
  <c r="AA772" i="53" s="1"/>
  <c r="X503" i="53"/>
  <c r="AA503" i="53" s="1"/>
  <c r="X926" i="53"/>
  <c r="AA926" i="53" s="1"/>
  <c r="X706" i="53"/>
  <c r="AA706" i="53" s="1"/>
  <c r="X1087" i="53"/>
  <c r="AA1087" i="53" s="1"/>
  <c r="X576" i="53"/>
  <c r="X1136" i="53"/>
  <c r="X324" i="53"/>
  <c r="AA324" i="53" s="1"/>
  <c r="X92" i="53"/>
  <c r="AA92" i="53" s="1"/>
  <c r="X214" i="53"/>
  <c r="AA214" i="53" s="1"/>
  <c r="X1134" i="53"/>
  <c r="X474" i="53"/>
  <c r="AA474" i="53" s="1"/>
  <c r="X600" i="53"/>
  <c r="AA600" i="53" s="1"/>
  <c r="X979" i="53"/>
  <c r="X169" i="53"/>
  <c r="X826" i="53"/>
  <c r="AA826" i="53" s="1"/>
  <c r="X225" i="53"/>
  <c r="AA225" i="53" s="1"/>
  <c r="X203" i="53"/>
  <c r="AA203" i="53" s="1"/>
  <c r="X568" i="53"/>
  <c r="AA568" i="53" s="1"/>
  <c r="X792" i="53"/>
  <c r="AA792" i="53" s="1"/>
  <c r="X276" i="53"/>
  <c r="AA276" i="53" s="1"/>
  <c r="X226" i="53"/>
  <c r="AA226" i="53" s="1"/>
  <c r="X137" i="53"/>
  <c r="AA137" i="53" s="1"/>
  <c r="X861" i="53"/>
  <c r="AA861" i="53" s="1"/>
  <c r="X892" i="53"/>
  <c r="X949" i="53"/>
  <c r="AA949" i="53" s="1"/>
  <c r="X399" i="53"/>
  <c r="AA399" i="53" s="1"/>
  <c r="X625" i="53"/>
  <c r="AA625" i="53" s="1"/>
  <c r="X155" i="53"/>
  <c r="AA155" i="53" s="1"/>
  <c r="X592" i="53"/>
  <c r="X127" i="53"/>
  <c r="AA127" i="53" s="1"/>
  <c r="X750" i="53"/>
  <c r="AA750" i="53" s="1"/>
  <c r="X388" i="53"/>
  <c r="AA388" i="53" s="1"/>
  <c r="X438" i="53"/>
  <c r="AA438" i="53" s="1"/>
  <c r="X758" i="53"/>
  <c r="AA758" i="53" s="1"/>
  <c r="X241" i="53"/>
  <c r="AA241" i="53" s="1"/>
  <c r="X60" i="53"/>
  <c r="AA60" i="53" s="1"/>
  <c r="X597" i="53"/>
  <c r="AA597" i="53" s="1"/>
  <c r="X460" i="53"/>
  <c r="AA460" i="53" s="1"/>
  <c r="X564" i="53"/>
  <c r="AA564" i="53" s="1"/>
  <c r="X61" i="53"/>
  <c r="AA61" i="53" s="1"/>
  <c r="X478" i="53"/>
  <c r="AA478" i="53" s="1"/>
  <c r="X114" i="53"/>
  <c r="X1007" i="53"/>
  <c r="AA1007" i="53" s="1"/>
  <c r="X686" i="53"/>
  <c r="AA686" i="53" s="1"/>
  <c r="X198" i="53"/>
  <c r="AA198" i="53" s="1"/>
  <c r="X175" i="53"/>
  <c r="X657" i="53"/>
  <c r="AA657" i="53" s="1"/>
  <c r="X701" i="53"/>
  <c r="AA701" i="53" s="1"/>
  <c r="X40" i="53"/>
  <c r="AA40" i="53" s="1"/>
  <c r="X509" i="53"/>
  <c r="AA509" i="53" s="1"/>
  <c r="X702" i="53"/>
  <c r="AA702" i="53" s="1"/>
  <c r="X436" i="53"/>
  <c r="AA436" i="53" s="1"/>
  <c r="X796" i="53"/>
  <c r="AA796" i="53" s="1"/>
  <c r="X295" i="53"/>
  <c r="X982" i="53"/>
  <c r="X57" i="53"/>
  <c r="AA57" i="53" s="1"/>
  <c r="X969" i="53"/>
  <c r="AA969" i="53" s="1"/>
  <c r="X534" i="53"/>
  <c r="AA534" i="53" s="1"/>
  <c r="X468" i="53"/>
  <c r="AA468" i="53" s="1"/>
  <c r="X173" i="53"/>
  <c r="AA173" i="53" s="1"/>
  <c r="X1160" i="53"/>
  <c r="X589" i="53"/>
  <c r="X426" i="53"/>
  <c r="AA426" i="53" s="1"/>
  <c r="X1162" i="53"/>
  <c r="X872" i="53"/>
  <c r="AA872" i="53" s="1"/>
  <c r="X260" i="53"/>
  <c r="AA260" i="53" s="1"/>
  <c r="X636" i="53"/>
  <c r="AA636" i="53" s="1"/>
  <c r="X966" i="53"/>
  <c r="AA966" i="53" s="1"/>
  <c r="X257" i="53"/>
  <c r="AA257" i="53" s="1"/>
  <c r="X394" i="53"/>
  <c r="X715" i="53"/>
  <c r="AA715" i="53" s="1"/>
  <c r="X1133" i="53"/>
  <c r="X890" i="53"/>
  <c r="AA890" i="53" s="1"/>
  <c r="X47" i="53"/>
  <c r="X37" i="53"/>
  <c r="AA37" i="53" s="1"/>
  <c r="X799" i="53"/>
  <c r="AA799" i="53" s="1"/>
  <c r="X880" i="53"/>
  <c r="AA880" i="53" s="1"/>
  <c r="X709" i="53"/>
  <c r="AA709" i="53" s="1"/>
  <c r="X384" i="53"/>
  <c r="AA384" i="53" s="1"/>
  <c r="X1168" i="53"/>
  <c r="AA1168" i="53" s="1"/>
  <c r="X487" i="53"/>
  <c r="AA487" i="53" s="1"/>
  <c r="X310" i="53"/>
  <c r="AA310" i="53" s="1"/>
  <c r="X148" i="53"/>
  <c r="X447" i="53"/>
  <c r="AA447" i="53" s="1"/>
  <c r="X493" i="53"/>
  <c r="AA493" i="53" s="1"/>
  <c r="X154" i="53"/>
  <c r="AA154" i="53" s="1"/>
  <c r="X663" i="53"/>
  <c r="AA663" i="53" s="1"/>
  <c r="X1034" i="53"/>
  <c r="AA1034" i="53" s="1"/>
  <c r="X442" i="53"/>
  <c r="AA442" i="53" s="1"/>
  <c r="X174" i="53"/>
  <c r="X526" i="53"/>
  <c r="AA526" i="53" s="1"/>
  <c r="X202" i="53"/>
  <c r="AA202" i="53" s="1"/>
  <c r="X181" i="53"/>
  <c r="AA181" i="53" s="1"/>
  <c r="X123" i="53"/>
  <c r="X685" i="53"/>
  <c r="AA685" i="53" s="1"/>
  <c r="X157" i="53"/>
  <c r="AA157" i="53" s="1"/>
  <c r="X102" i="53"/>
  <c r="AA102" i="53" s="1"/>
  <c r="X778" i="53"/>
  <c r="X348" i="53"/>
  <c r="AA348" i="53" s="1"/>
  <c r="X893" i="53"/>
  <c r="X378" i="53"/>
  <c r="AA378" i="53" s="1"/>
  <c r="X941" i="53"/>
  <c r="X812" i="53"/>
  <c r="AA812" i="53" s="1"/>
  <c r="X898" i="53"/>
  <c r="AA898" i="53" s="1"/>
  <c r="X843" i="53"/>
  <c r="AA843" i="53" s="1"/>
  <c r="X945" i="53"/>
  <c r="X744" i="53"/>
  <c r="AA744" i="53" s="1"/>
  <c r="X1051" i="53"/>
  <c r="AA1051" i="53" s="1"/>
  <c r="X608" i="53"/>
  <c r="AA608" i="53" s="1"/>
  <c r="X282" i="53"/>
  <c r="X113" i="53"/>
  <c r="AA113" i="53" s="1"/>
  <c r="X827" i="53"/>
  <c r="AA827" i="53" s="1"/>
  <c r="X900" i="53"/>
  <c r="X291" i="53"/>
  <c r="X549" i="53"/>
  <c r="AA549" i="53" s="1"/>
  <c r="X56" i="53"/>
  <c r="AA56" i="53" s="1"/>
  <c r="X737" i="53"/>
  <c r="AA737" i="53" s="1"/>
  <c r="X1107" i="53"/>
  <c r="X943" i="53"/>
  <c r="X683" i="53"/>
  <c r="AA683" i="53" s="1"/>
  <c r="X355" i="53"/>
  <c r="AA355" i="53" s="1"/>
  <c r="X615" i="53"/>
  <c r="X596" i="53"/>
  <c r="AA596" i="53" s="1"/>
  <c r="X907" i="53"/>
  <c r="AA907" i="53" s="1"/>
  <c r="X863" i="53"/>
  <c r="AA863" i="53" s="1"/>
  <c r="X55" i="53"/>
  <c r="X191" i="53"/>
  <c r="AA191" i="53" s="1"/>
  <c r="X981" i="53"/>
  <c r="X1129" i="53"/>
  <c r="X801" i="53"/>
  <c r="X67" i="53"/>
  <c r="AA67" i="53" s="1"/>
  <c r="X367" i="53"/>
  <c r="AA367" i="53" s="1"/>
  <c r="X497" i="53"/>
  <c r="AA497" i="53" s="1"/>
  <c r="X850" i="53"/>
  <c r="AA850" i="53" s="1"/>
  <c r="X573" i="53"/>
  <c r="AA573" i="53" s="1"/>
  <c r="X1098" i="53"/>
  <c r="AA1098" i="53" s="1"/>
  <c r="X1106" i="53"/>
  <c r="AA1106" i="53" s="1"/>
  <c r="X359" i="53"/>
  <c r="AA359" i="53" s="1"/>
  <c r="X719" i="53"/>
  <c r="X998" i="53"/>
  <c r="X194" i="53"/>
  <c r="AA194" i="53" s="1"/>
  <c r="X1104" i="53"/>
  <c r="X242" i="53"/>
  <c r="AA242" i="53" s="1"/>
  <c r="X677" i="53"/>
  <c r="AA677" i="53" s="1"/>
  <c r="X116" i="53"/>
  <c r="AA116" i="53" s="1"/>
  <c r="X335" i="53"/>
  <c r="X832" i="53"/>
  <c r="AA832" i="53" s="1"/>
  <c r="X902" i="53"/>
  <c r="AA902" i="53" s="1"/>
  <c r="X599" i="53"/>
  <c r="AA599" i="53" s="1"/>
  <c r="X580" i="53"/>
  <c r="X896" i="53"/>
  <c r="X890" i="52"/>
  <c r="X262" i="52"/>
  <c r="X228" i="53"/>
  <c r="AA228" i="53" s="1"/>
  <c r="X29" i="53"/>
  <c r="AA29" i="53" s="1"/>
  <c r="X813" i="53"/>
  <c r="AA813" i="53" s="1"/>
  <c r="X849" i="53"/>
  <c r="AA849" i="53" s="1"/>
  <c r="X513" i="53"/>
  <c r="AA513" i="53" s="1"/>
  <c r="X413" i="53"/>
  <c r="AA413" i="53" s="1"/>
  <c r="X790" i="53"/>
  <c r="AA790" i="53" s="1"/>
  <c r="X1076" i="53"/>
  <c r="AA1076" i="53" s="1"/>
  <c r="X1043" i="53"/>
  <c r="AA1043" i="53" s="1"/>
  <c r="X107" i="53"/>
  <c r="X165" i="53"/>
  <c r="AA165" i="53" s="1"/>
  <c r="X839" i="53"/>
  <c r="AA839" i="53" s="1"/>
  <c r="X593" i="53"/>
  <c r="X756" i="53"/>
  <c r="X111" i="53"/>
  <c r="AA111" i="53" s="1"/>
  <c r="X494" i="53"/>
  <c r="AA494" i="53" s="1"/>
  <c r="X34" i="53"/>
  <c r="X560" i="53"/>
  <c r="AA560" i="53" s="1"/>
  <c r="X547" i="53"/>
  <c r="AA547" i="53" s="1"/>
  <c r="X703" i="53"/>
  <c r="AA703" i="53" s="1"/>
  <c r="X74" i="53"/>
  <c r="AA74" i="53" s="1"/>
  <c r="X575" i="53"/>
  <c r="X638" i="53"/>
  <c r="AA638" i="53" s="1"/>
  <c r="X723" i="53"/>
  <c r="AA723" i="53" s="1"/>
  <c r="X1103" i="53"/>
  <c r="AA1103" i="53" s="1"/>
  <c r="X1177" i="53"/>
  <c r="X632" i="53"/>
  <c r="AA632" i="53" s="1"/>
  <c r="X319" i="53"/>
  <c r="X784" i="53"/>
  <c r="AA784" i="53" s="1"/>
  <c r="X954" i="53"/>
  <c r="X212" i="53"/>
  <c r="AA212" i="53" s="1"/>
  <c r="X495" i="53"/>
  <c r="AA495" i="53" s="1"/>
  <c r="X363" i="53"/>
  <c r="AA363" i="53" s="1"/>
  <c r="X121" i="53"/>
  <c r="AA121" i="53" s="1"/>
  <c r="X472" i="53"/>
  <c r="AA472" i="53" s="1"/>
  <c r="X535" i="53"/>
  <c r="AA535" i="53" s="1"/>
  <c r="X99" i="53"/>
  <c r="X125" i="53"/>
  <c r="AA125" i="53" s="1"/>
  <c r="X97" i="53"/>
  <c r="AA97" i="53" s="1"/>
  <c r="X1052" i="53"/>
  <c r="AA1052" i="53" s="1"/>
  <c r="X1068" i="53"/>
  <c r="X619" i="53"/>
  <c r="X377" i="53"/>
  <c r="AA377" i="53" s="1"/>
  <c r="X120" i="53"/>
  <c r="AA120" i="53" s="1"/>
  <c r="X728" i="53"/>
  <c r="X853" i="53"/>
  <c r="AA853" i="53" s="1"/>
  <c r="X1172" i="53"/>
  <c r="AA1172" i="53" s="1"/>
  <c r="X775" i="53"/>
  <c r="AA775" i="53" s="1"/>
  <c r="X368" i="53"/>
  <c r="AA368" i="53" s="1"/>
  <c r="X445" i="53"/>
  <c r="AA445" i="53" s="1"/>
  <c r="X668" i="52"/>
  <c r="AA668" i="52" s="1"/>
  <c r="X354" i="52"/>
  <c r="X779" i="52"/>
  <c r="AA779" i="52" s="1"/>
  <c r="X339" i="52"/>
  <c r="X319" i="52"/>
  <c r="X42" i="53"/>
  <c r="AA42" i="53" s="1"/>
  <c r="X556" i="53"/>
  <c r="AA556" i="53" s="1"/>
  <c r="X1126" i="53"/>
  <c r="X1028" i="53"/>
  <c r="AA1028" i="53" s="1"/>
  <c r="X776" i="53"/>
  <c r="AA776" i="53" s="1"/>
  <c r="X421" i="53"/>
  <c r="X1081" i="53"/>
  <c r="X948" i="53"/>
  <c r="AA948" i="53" s="1"/>
  <c r="X248" i="53"/>
  <c r="AA248" i="53" s="1"/>
  <c r="X455" i="53"/>
  <c r="X537" i="53"/>
  <c r="AA537" i="53" s="1"/>
  <c r="X332" i="53"/>
  <c r="AA332" i="53" s="1"/>
  <c r="X441" i="53"/>
  <c r="AA441" i="53" s="1"/>
  <c r="X609" i="53"/>
  <c r="X439" i="53"/>
  <c r="X283" i="53"/>
  <c r="AA283" i="53" s="1"/>
  <c r="X1131" i="53"/>
  <c r="X782" i="53"/>
  <c r="X1165" i="53"/>
  <c r="X236" i="53"/>
  <c r="AA236" i="53" s="1"/>
  <c r="X552" i="53"/>
  <c r="AA552" i="53" s="1"/>
  <c r="X1090" i="53"/>
  <c r="AA1090" i="53" s="1"/>
  <c r="X697" i="53"/>
  <c r="AA697" i="53" s="1"/>
  <c r="X339" i="53"/>
  <c r="X43" i="53"/>
  <c r="AA43" i="53" s="1"/>
  <c r="X398" i="53"/>
  <c r="X381" i="53"/>
  <c r="AA381" i="53" s="1"/>
  <c r="X1115" i="53"/>
  <c r="AA1115" i="53" s="1"/>
  <c r="X463" i="53"/>
  <c r="AA463" i="53" s="1"/>
  <c r="X1042" i="53"/>
  <c r="AA1042" i="53" s="1"/>
  <c r="X289" i="53"/>
  <c r="X553" i="53"/>
  <c r="AA553" i="53" s="1"/>
  <c r="X130" i="53"/>
  <c r="AA130" i="53" s="1"/>
  <c r="X189" i="53"/>
  <c r="X326" i="53"/>
  <c r="X1159" i="53"/>
  <c r="X433" i="53"/>
  <c r="AA433" i="53" s="1"/>
  <c r="X28" i="53"/>
  <c r="X477" i="53"/>
  <c r="AA477" i="53" s="1"/>
  <c r="X876" i="53"/>
  <c r="AA876" i="53" s="1"/>
  <c r="X718" i="53"/>
  <c r="AA718" i="53" s="1"/>
  <c r="X217" i="53"/>
  <c r="X840" i="53"/>
  <c r="AA840" i="53" s="1"/>
  <c r="X681" i="53"/>
  <c r="AA681" i="53" s="1"/>
  <c r="X1179" i="53"/>
  <c r="X336" i="53"/>
  <c r="X140" i="53"/>
  <c r="AA140" i="53" s="1"/>
  <c r="X284" i="53"/>
  <c r="AA284" i="53" s="1"/>
  <c r="X879" i="53"/>
  <c r="AA879" i="53" s="1"/>
  <c r="X1079" i="53"/>
  <c r="X372" i="53"/>
  <c r="X818" i="53"/>
  <c r="AA818" i="53" s="1"/>
  <c r="X581" i="53"/>
  <c r="AA581" i="53" s="1"/>
  <c r="X172" i="53"/>
  <c r="X38" i="53"/>
  <c r="AA38" i="53" s="1"/>
  <c r="X297" i="53"/>
  <c r="AA297" i="53" s="1"/>
  <c r="X158" i="53"/>
  <c r="AA158" i="53" s="1"/>
  <c r="X558" i="53"/>
  <c r="X831" i="53"/>
  <c r="AA831" i="53" s="1"/>
  <c r="X910" i="53"/>
  <c r="AA910" i="53" s="1"/>
  <c r="X416" i="53"/>
  <c r="AA416" i="53" s="1"/>
  <c r="X486" i="53"/>
  <c r="AA486" i="53" s="1"/>
  <c r="X206" i="53"/>
  <c r="X539" i="53"/>
  <c r="AA539" i="53" s="1"/>
  <c r="X1102" i="53"/>
  <c r="AA1102" i="53" s="1"/>
  <c r="X389" i="53"/>
  <c r="AA389" i="53" s="1"/>
  <c r="X31" i="53"/>
  <c r="X186" i="53"/>
  <c r="X731" i="53"/>
  <c r="AA731" i="53" s="1"/>
  <c r="X834" i="53"/>
  <c r="AA834" i="53" s="1"/>
  <c r="X563" i="53"/>
  <c r="AA563" i="53" s="1"/>
  <c r="X346" i="53"/>
  <c r="AA346" i="53" s="1"/>
  <c r="X126" i="53"/>
  <c r="AA126" i="53" s="1"/>
  <c r="X630" i="53"/>
  <c r="X692" i="53"/>
  <c r="X913" i="53"/>
  <c r="AA913" i="53" s="1"/>
  <c r="X647" i="53"/>
  <c r="AA647" i="53" s="1"/>
  <c r="X735" i="53"/>
  <c r="X1031" i="53"/>
  <c r="X213" i="53"/>
  <c r="AA213" i="53" s="1"/>
  <c r="X1118" i="53"/>
  <c r="AA1118" i="53" s="1"/>
  <c r="X505" i="53"/>
  <c r="AA505" i="53" s="1"/>
  <c r="X395" i="53"/>
  <c r="X249" i="53"/>
  <c r="AA249" i="53" s="1"/>
  <c r="X231" i="53"/>
  <c r="AA231" i="53" s="1"/>
  <c r="X739" i="53"/>
  <c r="X1021" i="53"/>
  <c r="AA1021" i="53" s="1"/>
  <c r="X370" i="53"/>
  <c r="AA370" i="53" s="1"/>
  <c r="X24" i="53"/>
  <c r="AA24" i="53" s="1"/>
  <c r="X32" i="53"/>
  <c r="AA32" i="53" s="1"/>
  <c r="X1146" i="53"/>
  <c r="X733" i="53"/>
  <c r="AA733" i="53" s="1"/>
  <c r="X299" i="53"/>
  <c r="AA299" i="53" s="1"/>
  <c r="X965" i="53"/>
  <c r="AA965" i="53" s="1"/>
  <c r="X244" i="53"/>
  <c r="AA244" i="53" s="1"/>
  <c r="X229" i="53"/>
  <c r="AA229" i="53" s="1"/>
  <c r="X208" i="53"/>
  <c r="AA208" i="53" s="1"/>
  <c r="X1041" i="53"/>
  <c r="AA1041" i="53" s="1"/>
  <c r="X551" i="53"/>
  <c r="X1094" i="53"/>
  <c r="AA1094" i="53" s="1"/>
  <c r="X614" i="53"/>
  <c r="X1148" i="53"/>
  <c r="X643" i="53"/>
  <c r="X27" i="53"/>
  <c r="AA27" i="53" s="1"/>
  <c r="X1101" i="53"/>
  <c r="AA1101" i="53" s="1"/>
  <c r="X810" i="53"/>
  <c r="AA810" i="53" s="1"/>
  <c r="X1151" i="53"/>
  <c r="X424" i="52"/>
  <c r="AA424" i="52" s="1"/>
  <c r="X1120" i="52"/>
  <c r="X1059" i="52"/>
  <c r="AA1059" i="52" s="1"/>
  <c r="X1016" i="52"/>
  <c r="AA1016" i="52" s="1"/>
  <c r="X1170" i="52"/>
  <c r="AA1170" i="52" s="1"/>
  <c r="X1041" i="52"/>
  <c r="X856" i="52"/>
  <c r="AA856" i="52" s="1"/>
  <c r="X956" i="52"/>
  <c r="AA956" i="52" s="1"/>
  <c r="X936" i="52"/>
  <c r="AA936" i="52" s="1"/>
  <c r="X76" i="52"/>
  <c r="X686" i="52"/>
  <c r="AA686" i="52" s="1"/>
  <c r="X800" i="52"/>
  <c r="AA800" i="52" s="1"/>
  <c r="X881" i="52"/>
  <c r="X970" i="52"/>
  <c r="X1089" i="52"/>
  <c r="AA1089" i="52" s="1"/>
  <c r="X149" i="52"/>
  <c r="X681" i="52"/>
  <c r="AA681" i="52" s="1"/>
  <c r="X844" i="52"/>
  <c r="X1135" i="52"/>
  <c r="AA1135" i="52" s="1"/>
  <c r="X296" i="52"/>
  <c r="AA296" i="52" s="1"/>
  <c r="X213" i="52"/>
  <c r="AA213" i="52" s="1"/>
  <c r="X870" i="53"/>
  <c r="AA870" i="53" s="1"/>
  <c r="X691" i="53"/>
  <c r="AA691" i="53" s="1"/>
  <c r="X508" i="53"/>
  <c r="AA508" i="53" s="1"/>
  <c r="X540" i="53"/>
  <c r="AA540" i="53" s="1"/>
  <c r="X920" i="53"/>
  <c r="AA920" i="53" s="1"/>
  <c r="X804" i="53"/>
  <c r="X1010" i="53"/>
  <c r="X960" i="53"/>
  <c r="AA960" i="53" s="1"/>
  <c r="X518" i="53"/>
  <c r="AA518" i="53" s="1"/>
  <c r="X602" i="53"/>
  <c r="AA602" i="53" s="1"/>
  <c r="X498" i="53"/>
  <c r="AA498" i="53" s="1"/>
  <c r="X246" i="53"/>
  <c r="AA246" i="53" s="1"/>
  <c r="X443" i="53"/>
  <c r="AA443" i="53" s="1"/>
  <c r="X947" i="53"/>
  <c r="AA947" i="53" s="1"/>
  <c r="X1088" i="53"/>
  <c r="X587" i="53"/>
  <c r="AA587" i="53" s="1"/>
  <c r="X1108" i="53"/>
  <c r="AA1108" i="53" s="1"/>
  <c r="X485" i="53"/>
  <c r="X321" i="53"/>
  <c r="X218" i="53"/>
  <c r="AA218" i="53" s="1"/>
  <c r="X458" i="53"/>
  <c r="AA458" i="53" s="1"/>
  <c r="X700" i="53"/>
  <c r="X483" i="53"/>
  <c r="X1113" i="53"/>
  <c r="AA1113" i="53" s="1"/>
  <c r="X932" i="53"/>
  <c r="AA932" i="53" s="1"/>
  <c r="X118" i="53"/>
  <c r="AA118" i="53" s="1"/>
  <c r="X501" i="53"/>
  <c r="X980" i="53"/>
  <c r="X499" i="53"/>
  <c r="AA499" i="53" s="1"/>
  <c r="X81" i="53"/>
  <c r="AA81" i="53" s="1"/>
  <c r="X419" i="53"/>
  <c r="X1048" i="53"/>
  <c r="AA1048" i="53" s="1"/>
  <c r="X930" i="53"/>
  <c r="AA930" i="53" s="1"/>
  <c r="X933" i="53"/>
  <c r="X656" i="53"/>
  <c r="AA656" i="53" s="1"/>
  <c r="X78" i="53"/>
  <c r="AA78" i="53" s="1"/>
  <c r="X689" i="53"/>
  <c r="AA689" i="53" s="1"/>
  <c r="X676" i="53"/>
  <c r="X1054" i="53"/>
  <c r="X633" i="53"/>
  <c r="AA633" i="53" s="1"/>
  <c r="X878" i="53"/>
  <c r="AA878" i="53" s="1"/>
  <c r="X864" i="53"/>
  <c r="AA864" i="53" s="1"/>
  <c r="X1055" i="53"/>
  <c r="X110" i="53"/>
  <c r="AA110" i="53" s="1"/>
  <c r="X428" i="53"/>
  <c r="AA428" i="53" s="1"/>
  <c r="X1062" i="53"/>
  <c r="AA1062" i="53" s="1"/>
  <c r="X272" i="53"/>
  <c r="AA272" i="53" s="1"/>
  <c r="X66" i="53"/>
  <c r="AA66" i="53" s="1"/>
  <c r="X1181" i="53"/>
  <c r="X771" i="53"/>
  <c r="AA771" i="53" s="1"/>
  <c r="X199" i="53"/>
  <c r="X58" i="53"/>
  <c r="AA58" i="53" s="1"/>
  <c r="X780" i="53"/>
  <c r="AA780" i="53" s="1"/>
  <c r="X862" i="53"/>
  <c r="AA862" i="53" s="1"/>
  <c r="X1063" i="53"/>
  <c r="AA1063" i="53" s="1"/>
  <c r="X584" i="53"/>
  <c r="X352" i="53"/>
  <c r="AA352" i="53" s="1"/>
  <c r="X927" i="53"/>
  <c r="AA927" i="53" s="1"/>
  <c r="X457" i="53"/>
  <c r="X1083" i="53"/>
  <c r="AA1083" i="53" s="1"/>
  <c r="X679" i="53"/>
  <c r="AA679" i="53" s="1"/>
  <c r="X554" i="53"/>
  <c r="X1138" i="53"/>
  <c r="X680" i="53"/>
  <c r="AA680" i="53" s="1"/>
  <c r="X356" i="53"/>
  <c r="AA356" i="53" s="1"/>
  <c r="X466" i="53"/>
  <c r="AA466" i="53" s="1"/>
  <c r="X64" i="53"/>
  <c r="X574" i="53"/>
  <c r="X200" i="53"/>
  <c r="AA200" i="53" s="1"/>
  <c r="X566" i="53"/>
  <c r="X659" i="53"/>
  <c r="X811" i="53"/>
  <c r="AA811" i="53" s="1"/>
  <c r="X129" i="53"/>
  <c r="AA129" i="53" s="1"/>
  <c r="X1015" i="53"/>
  <c r="X400" i="53"/>
  <c r="AA400" i="53" s="1"/>
  <c r="X76" i="53"/>
  <c r="AA76" i="53" s="1"/>
  <c r="X327" i="53"/>
  <c r="AA327" i="53" s="1"/>
  <c r="X610" i="53"/>
  <c r="X1014" i="53"/>
  <c r="X308" i="53"/>
  <c r="X884" i="53"/>
  <c r="AA884" i="53" s="1"/>
  <c r="X453" i="53"/>
  <c r="X559" i="53"/>
  <c r="AA559" i="53" s="1"/>
  <c r="X936" i="53"/>
  <c r="AA936" i="53" s="1"/>
  <c r="X1117" i="53"/>
  <c r="AA1117" i="53" s="1"/>
  <c r="X1058" i="53"/>
  <c r="X655" i="53"/>
  <c r="AA655" i="53" s="1"/>
  <c r="X329" i="53"/>
  <c r="AA329" i="53" s="1"/>
  <c r="X456" i="53"/>
  <c r="AA456" i="53" s="1"/>
  <c r="X171" i="53"/>
  <c r="X905" i="53"/>
  <c r="X369" i="53"/>
  <c r="AA369" i="53" s="1"/>
  <c r="X146" i="53"/>
  <c r="AA146" i="53" s="1"/>
  <c r="X788" i="53"/>
  <c r="AA788" i="53" s="1"/>
  <c r="X432" i="53"/>
  <c r="X100" i="53"/>
  <c r="AA100" i="53" s="1"/>
  <c r="X711" i="53"/>
  <c r="AA711" i="53" s="1"/>
  <c r="X616" i="53"/>
  <c r="X41" i="53"/>
  <c r="X52" i="53"/>
  <c r="AA52" i="53" s="1"/>
  <c r="X337" i="53"/>
  <c r="X187" i="53"/>
  <c r="X312" i="53"/>
  <c r="X931" i="53"/>
  <c r="AA931" i="53" s="1"/>
  <c r="X582" i="53"/>
  <c r="X1156" i="53"/>
  <c r="X1038" i="53"/>
  <c r="X437" i="53"/>
  <c r="AA437" i="53" s="1"/>
  <c r="X1071" i="53"/>
  <c r="AA1071" i="53" s="1"/>
  <c r="X91" i="53"/>
  <c r="X736" i="53"/>
  <c r="AA736" i="53" s="1"/>
  <c r="X601" i="53"/>
  <c r="AA601" i="53" s="1"/>
  <c r="X713" i="53"/>
  <c r="AA713" i="53" s="1"/>
  <c r="X115" i="53"/>
  <c r="AA115" i="53" s="1"/>
  <c r="AA909" i="53"/>
  <c r="AA401" i="53"/>
  <c r="AA475" i="53"/>
  <c r="AA152" i="53"/>
  <c r="AA160" i="53"/>
  <c r="AA721" i="53"/>
  <c r="AA371" i="53"/>
  <c r="AA205" i="53"/>
  <c r="AA33" i="53"/>
  <c r="AA79" i="53"/>
  <c r="AA73" i="53"/>
  <c r="AA210" i="53"/>
  <c r="AA848" i="53"/>
  <c r="AA1096" i="53"/>
  <c r="AA794" i="53"/>
  <c r="AA835" i="53"/>
  <c r="AA163" i="53"/>
  <c r="AA809" i="53"/>
  <c r="AA227" i="53"/>
  <c r="AA1037" i="53"/>
  <c r="AA147" i="53"/>
  <c r="AA83" i="53"/>
  <c r="AA904" i="53"/>
  <c r="AA450" i="53"/>
  <c r="AA70" i="53"/>
  <c r="AA504" i="53"/>
  <c r="AA968" i="53"/>
  <c r="AA411" i="53"/>
  <c r="AA1024" i="53"/>
  <c r="AA942" i="53"/>
  <c r="AA591" i="53"/>
  <c r="AA444" i="53"/>
  <c r="AA598" i="53"/>
  <c r="AA901" i="53"/>
  <c r="AA159" i="53"/>
  <c r="AA1004" i="53"/>
  <c r="AA151" i="53"/>
  <c r="AA641" i="53"/>
  <c r="AA345" i="53"/>
  <c r="AA670" i="53"/>
  <c r="AA374" i="53"/>
  <c r="AA710" i="53"/>
  <c r="AA664" i="53"/>
  <c r="AA380" i="53"/>
  <c r="AA166" i="53"/>
  <c r="AA446" i="53"/>
  <c r="AA621" i="53"/>
  <c r="AA86" i="53"/>
  <c r="AA313" i="53"/>
  <c r="AA828" i="53"/>
  <c r="AA766" i="53"/>
  <c r="AA423" i="53"/>
  <c r="AA604" i="53"/>
  <c r="AA1086" i="53"/>
  <c r="AA1167" i="53"/>
  <c r="AA26" i="53"/>
  <c r="AA653" i="53"/>
  <c r="AA868" i="53"/>
  <c r="AA454" i="53"/>
  <c r="AA255" i="53"/>
  <c r="AA977" i="53"/>
  <c r="AA261" i="53"/>
  <c r="AA177" i="53"/>
  <c r="AA44" i="53"/>
  <c r="AA360" i="53"/>
  <c r="AA707" i="53"/>
  <c r="AA448" i="53"/>
  <c r="AA176" i="53"/>
  <c r="AA233" i="53"/>
  <c r="AA95" i="53"/>
  <c r="AA245" i="53"/>
  <c r="AA658" i="53"/>
  <c r="AA1112" i="53"/>
  <c r="AA492" i="53"/>
  <c r="AA361" i="53"/>
  <c r="X500" i="52"/>
  <c r="AA500" i="52" s="1"/>
  <c r="X1074" i="52"/>
  <c r="AA1074" i="52" s="1"/>
  <c r="X816" i="52"/>
  <c r="AA816" i="52" s="1"/>
  <c r="X300" i="52"/>
  <c r="AA300" i="52" s="1"/>
  <c r="X98" i="52"/>
  <c r="AA98" i="52" s="1"/>
  <c r="X1172" i="52"/>
  <c r="AA1172" i="52" s="1"/>
  <c r="X207" i="52"/>
  <c r="AA207" i="52" s="1"/>
  <c r="X273" i="52"/>
  <c r="AA273" i="52" s="1"/>
  <c r="X834" i="52"/>
  <c r="AA834" i="52" s="1"/>
  <c r="X148" i="52"/>
  <c r="X933" i="52"/>
  <c r="AA933" i="52" s="1"/>
  <c r="X761" i="52"/>
  <c r="AA761" i="52" s="1"/>
  <c r="X270" i="52"/>
  <c r="X1078" i="52"/>
  <c r="AA1078" i="52" s="1"/>
  <c r="X960" i="52"/>
  <c r="AA960" i="52" s="1"/>
  <c r="X851" i="52"/>
  <c r="AA851" i="52" s="1"/>
  <c r="X641" i="52"/>
  <c r="AA641" i="52" s="1"/>
  <c r="X837" i="52"/>
  <c r="AA837" i="52" s="1"/>
  <c r="X763" i="52"/>
  <c r="AA763" i="52" s="1"/>
  <c r="X683" i="52"/>
  <c r="AA683" i="52" s="1"/>
  <c r="X259" i="52"/>
  <c r="AA259" i="52" s="1"/>
  <c r="X429" i="52"/>
  <c r="AA429" i="52" s="1"/>
  <c r="X696" i="52"/>
  <c r="AA696" i="52" s="1"/>
  <c r="X1051" i="52"/>
  <c r="AA1051" i="52" s="1"/>
  <c r="X449" i="52"/>
  <c r="AA449" i="52" s="1"/>
  <c r="X538" i="52"/>
  <c r="AA538" i="52" s="1"/>
  <c r="X819" i="52"/>
  <c r="AA819" i="52" s="1"/>
  <c r="X754" i="52"/>
  <c r="AA754" i="52" s="1"/>
  <c r="X440" i="52"/>
  <c r="AA440" i="52" s="1"/>
  <c r="X1057" i="52"/>
  <c r="AA1057" i="52" s="1"/>
  <c r="X559" i="52"/>
  <c r="AA559" i="52" s="1"/>
  <c r="X833" i="52"/>
  <c r="AA833" i="52" s="1"/>
  <c r="X92" i="52"/>
  <c r="AA92" i="52" s="1"/>
  <c r="X759" i="52"/>
  <c r="AA759" i="52" s="1"/>
  <c r="X679" i="52"/>
  <c r="AA679" i="52" s="1"/>
  <c r="X603" i="52"/>
  <c r="AA603" i="52" s="1"/>
  <c r="X377" i="52"/>
  <c r="AA377" i="52" s="1"/>
  <c r="X350" i="52"/>
  <c r="AA350" i="52" s="1"/>
  <c r="X516" i="52"/>
  <c r="AA516" i="52" s="1"/>
  <c r="X289" i="52"/>
  <c r="X52" i="52"/>
  <c r="AA52" i="52" s="1"/>
  <c r="X204" i="52"/>
  <c r="AA204" i="52" s="1"/>
  <c r="X1038" i="52"/>
  <c r="AA1038" i="52" s="1"/>
  <c r="X124" i="52"/>
  <c r="X628" i="52"/>
  <c r="AA628" i="52" s="1"/>
  <c r="X1126" i="52"/>
  <c r="AA1126" i="52" s="1"/>
  <c r="X1032" i="52"/>
  <c r="AA1032" i="52" s="1"/>
  <c r="X606" i="52"/>
  <c r="AA606" i="52" s="1"/>
  <c r="X950" i="52"/>
  <c r="AA950" i="52" s="1"/>
  <c r="X138" i="52"/>
  <c r="X672" i="52"/>
  <c r="AA672" i="52" s="1"/>
  <c r="X1178" i="52"/>
  <c r="AA1178" i="52" s="1"/>
  <c r="X407" i="52"/>
  <c r="AA407" i="52" s="1"/>
  <c r="X1103" i="52"/>
  <c r="AA1103" i="52" s="1"/>
  <c r="X568" i="52"/>
  <c r="AA568" i="52" s="1"/>
  <c r="X392" i="52"/>
  <c r="AA392" i="52" s="1"/>
  <c r="X225" i="52"/>
  <c r="AA225" i="52" s="1"/>
  <c r="X160" i="52"/>
  <c r="X109" i="52"/>
  <c r="AA109" i="52" s="1"/>
  <c r="X601" i="52"/>
  <c r="AA601" i="52" s="1"/>
  <c r="X205" i="52"/>
  <c r="AA205" i="52" s="1"/>
  <c r="X1176" i="52"/>
  <c r="AA1176" i="52" s="1"/>
  <c r="X1093" i="52"/>
  <c r="AA1093" i="52" s="1"/>
  <c r="X939" i="52"/>
  <c r="AA939" i="52" s="1"/>
  <c r="X915" i="52"/>
  <c r="AA915" i="52" s="1"/>
  <c r="X544" i="52"/>
  <c r="AA544" i="52" s="1"/>
  <c r="X241" i="52"/>
  <c r="AA241" i="52" s="1"/>
  <c r="X919" i="52"/>
  <c r="AA919" i="52" s="1"/>
  <c r="X629" i="52"/>
  <c r="AA629" i="52" s="1"/>
  <c r="X367" i="52"/>
  <c r="AA367" i="52" s="1"/>
  <c r="X505" i="52"/>
  <c r="AA505" i="52" s="1"/>
  <c r="X478" i="52"/>
  <c r="AA478" i="52" s="1"/>
  <c r="X899" i="52"/>
  <c r="AA899" i="52" s="1"/>
  <c r="X918" i="52"/>
  <c r="AA918" i="52" s="1"/>
  <c r="X959" i="52"/>
  <c r="AA959" i="52" s="1"/>
  <c r="X649" i="52"/>
  <c r="AA649" i="52" s="1"/>
  <c r="X403" i="52"/>
  <c r="AA403" i="52" s="1"/>
  <c r="X509" i="52"/>
  <c r="AA509" i="52" s="1"/>
  <c r="X387" i="52"/>
  <c r="AA387" i="52" s="1"/>
  <c r="X244" i="52"/>
  <c r="AA244" i="52" s="1"/>
  <c r="X100" i="52"/>
  <c r="AA100" i="52" s="1"/>
  <c r="X49" i="52"/>
  <c r="AA49" i="52" s="1"/>
  <c r="X990" i="52"/>
  <c r="X907" i="52"/>
  <c r="AA907" i="52" s="1"/>
  <c r="X953" i="52"/>
  <c r="AA953" i="52" s="1"/>
  <c r="X794" i="52"/>
  <c r="AA794" i="52" s="1"/>
  <c r="X870" i="52"/>
  <c r="AA870" i="52" s="1"/>
  <c r="X765" i="52"/>
  <c r="AA765" i="52" s="1"/>
  <c r="X1132" i="52"/>
  <c r="AA1132" i="52" s="1"/>
  <c r="X267" i="52"/>
  <c r="AA267" i="52" s="1"/>
  <c r="X256" i="52"/>
  <c r="AA256" i="52" s="1"/>
  <c r="X773" i="52"/>
  <c r="AA773" i="52" s="1"/>
  <c r="X318" i="52"/>
  <c r="X646" i="52"/>
  <c r="AA646" i="52" s="1"/>
  <c r="X46" i="52"/>
  <c r="AA46" i="52" s="1"/>
  <c r="X434" i="52"/>
  <c r="AA434" i="52" s="1"/>
  <c r="X177" i="52"/>
  <c r="AA177" i="52" s="1"/>
  <c r="X1067" i="52"/>
  <c r="AA1067" i="52" s="1"/>
  <c r="X116" i="52"/>
  <c r="X65" i="52"/>
  <c r="AA65" i="52" s="1"/>
  <c r="X1087" i="52"/>
  <c r="AA1087" i="52" s="1"/>
  <c r="X175" i="52"/>
  <c r="X137" i="52"/>
  <c r="AA137" i="52" s="1"/>
  <c r="X1024" i="52"/>
  <c r="AA1024" i="52" s="1"/>
  <c r="X1031" i="52"/>
  <c r="AA1031" i="52" s="1"/>
  <c r="X931" i="52"/>
  <c r="AA931" i="52" s="1"/>
  <c r="X627" i="52"/>
  <c r="AA627" i="52" s="1"/>
  <c r="X186" i="52"/>
  <c r="X345" i="52"/>
  <c r="AA345" i="52" s="1"/>
  <c r="X444" i="52"/>
  <c r="AA444" i="52" s="1"/>
  <c r="X533" i="52"/>
  <c r="AA533" i="52" s="1"/>
  <c r="X897" i="52"/>
  <c r="AA897" i="52" s="1"/>
  <c r="X831" i="52"/>
  <c r="AA831" i="52" s="1"/>
  <c r="X616" i="52"/>
  <c r="AA616" i="52" s="1"/>
  <c r="X1167" i="52"/>
  <c r="AA1167" i="52" s="1"/>
  <c r="X351" i="52"/>
  <c r="AA351" i="52" s="1"/>
  <c r="X1099" i="52"/>
  <c r="AA1099" i="52" s="1"/>
  <c r="X375" i="52"/>
  <c r="AA375" i="52" s="1"/>
  <c r="X1020" i="52"/>
  <c r="AA1020" i="52" s="1"/>
  <c r="X1019" i="52"/>
  <c r="AA1019" i="52" s="1"/>
  <c r="X906" i="52"/>
  <c r="AA906" i="52" s="1"/>
  <c r="X660" i="52"/>
  <c r="AA660" i="52" s="1"/>
  <c r="X532" i="52"/>
  <c r="AA532" i="52" s="1"/>
  <c r="X832" i="52"/>
  <c r="AA832" i="52" s="1"/>
  <c r="X572" i="52"/>
  <c r="AA572" i="52" s="1"/>
  <c r="X396" i="52"/>
  <c r="AA396" i="52" s="1"/>
  <c r="X230" i="52"/>
  <c r="AA230" i="52" s="1"/>
  <c r="X108" i="52"/>
  <c r="AA108" i="52" s="1"/>
  <c r="X324" i="52"/>
  <c r="AA324" i="52" s="1"/>
  <c r="X1108" i="52"/>
  <c r="AA1108" i="52" s="1"/>
  <c r="X327" i="52"/>
  <c r="AA327" i="52" s="1"/>
  <c r="X1173" i="52"/>
  <c r="AA1173" i="52" s="1"/>
  <c r="X419" i="52"/>
  <c r="AA419" i="52" s="1"/>
  <c r="X1071" i="52"/>
  <c r="AA1071" i="52" s="1"/>
  <c r="X258" i="52"/>
  <c r="AA258" i="52" s="1"/>
  <c r="X940" i="52"/>
  <c r="AA940" i="52" s="1"/>
  <c r="X201" i="52"/>
  <c r="AA201" i="52" s="1"/>
  <c r="X621" i="52"/>
  <c r="AA621" i="52" s="1"/>
  <c r="X265" i="52"/>
  <c r="AA265" i="52" s="1"/>
  <c r="X774" i="52"/>
  <c r="AA774" i="52" s="1"/>
  <c r="X712" i="52"/>
  <c r="AA712" i="52" s="1"/>
  <c r="X495" i="52"/>
  <c r="AA495" i="52" s="1"/>
  <c r="X288" i="52"/>
  <c r="X211" i="52"/>
  <c r="AA211" i="52" s="1"/>
  <c r="X423" i="52"/>
  <c r="AA423" i="52" s="1"/>
  <c r="X545" i="52"/>
  <c r="AA545" i="52" s="1"/>
  <c r="X470" i="52"/>
  <c r="AA470" i="52" s="1"/>
  <c r="X119" i="52"/>
  <c r="AA119" i="52" s="1"/>
  <c r="X1150" i="52"/>
  <c r="AA1150" i="52" s="1"/>
  <c r="X398" i="52"/>
  <c r="AA398" i="52" s="1"/>
  <c r="X365" i="52"/>
  <c r="AA365" i="52" s="1"/>
  <c r="X96" i="52"/>
  <c r="AA96" i="52" s="1"/>
  <c r="X1010" i="52"/>
  <c r="AA1010" i="52" s="1"/>
  <c r="X841" i="52"/>
  <c r="AA841" i="52" s="1"/>
  <c r="X767" i="52"/>
  <c r="AA767" i="52" s="1"/>
  <c r="X618" i="52"/>
  <c r="AA618" i="52" s="1"/>
  <c r="X311" i="52"/>
  <c r="AA311" i="52" s="1"/>
  <c r="X640" i="52"/>
  <c r="AA640" i="52" s="1"/>
  <c r="X200" i="52"/>
  <c r="AA200" i="52" s="1"/>
  <c r="X1030" i="52"/>
  <c r="AA1030" i="52" s="1"/>
  <c r="X865" i="52"/>
  <c r="AA865" i="52" s="1"/>
  <c r="X803" i="52"/>
  <c r="AA803" i="52" s="1"/>
  <c r="X892" i="52"/>
  <c r="AA892" i="52" s="1"/>
  <c r="X562" i="52"/>
  <c r="AA562" i="52" s="1"/>
  <c r="X573" i="52"/>
  <c r="AA573" i="52" s="1"/>
  <c r="X348" i="52"/>
  <c r="AA348" i="52" s="1"/>
  <c r="X218" i="52"/>
  <c r="AA218" i="52" s="1"/>
  <c r="X191" i="52"/>
  <c r="AA191" i="52" s="1"/>
  <c r="X840" i="52"/>
  <c r="AA840" i="52" s="1"/>
  <c r="X110" i="52"/>
  <c r="AA110" i="52" s="1"/>
  <c r="X1116" i="52"/>
  <c r="AA1116" i="52" s="1"/>
  <c r="X369" i="52"/>
  <c r="AA369" i="52" s="1"/>
  <c r="X1123" i="52"/>
  <c r="AA1123" i="52" s="1"/>
  <c r="X476" i="52"/>
  <c r="AA476" i="52" s="1"/>
  <c r="X297" i="52"/>
  <c r="AA297" i="52" s="1"/>
  <c r="X822" i="52"/>
  <c r="AA822" i="52" s="1"/>
  <c r="X652" i="52"/>
  <c r="AA652" i="52" s="1"/>
  <c r="X697" i="52"/>
  <c r="AA697" i="52" s="1"/>
  <c r="X276" i="52"/>
  <c r="AA276" i="52" s="1"/>
  <c r="X363" i="52"/>
  <c r="AA363" i="52" s="1"/>
  <c r="X426" i="52"/>
  <c r="AA426" i="52" s="1"/>
  <c r="X413" i="52"/>
  <c r="AA413" i="52" s="1"/>
  <c r="X921" i="52"/>
  <c r="AA921" i="52" s="1"/>
  <c r="X609" i="52"/>
  <c r="AA609" i="52" s="1"/>
  <c r="X277" i="52"/>
  <c r="AA277" i="52" s="1"/>
  <c r="X947" i="52"/>
  <c r="AA947" i="52" s="1"/>
  <c r="X88" i="52"/>
  <c r="AA88" i="52" s="1"/>
  <c r="X481" i="52"/>
  <c r="AA481" i="52" s="1"/>
  <c r="X54" i="52"/>
  <c r="AA54" i="52" s="1"/>
  <c r="X334" i="52"/>
  <c r="AA334" i="52" s="1"/>
  <c r="X1112" i="52"/>
  <c r="AA1112" i="52" s="1"/>
  <c r="X997" i="52"/>
  <c r="X1114" i="52"/>
  <c r="AA1114" i="52" s="1"/>
  <c r="X1152" i="52"/>
  <c r="AA1152" i="52" s="1"/>
  <c r="X1013" i="52"/>
  <c r="AA1013" i="52" s="1"/>
  <c r="X512" i="52"/>
  <c r="AA512" i="52" s="1"/>
  <c r="X529" i="52"/>
  <c r="AA529" i="52" s="1"/>
  <c r="X285" i="52"/>
  <c r="AA285" i="52" s="1"/>
  <c r="X206" i="52"/>
  <c r="AA206" i="52" s="1"/>
  <c r="X873" i="52"/>
  <c r="AA873" i="52" s="1"/>
  <c r="X1084" i="52"/>
  <c r="AA1084" i="52" s="1"/>
  <c r="X999" i="52"/>
  <c r="X247" i="52"/>
  <c r="AA247" i="52" s="1"/>
  <c r="X456" i="52"/>
  <c r="AA456" i="52" s="1"/>
  <c r="X264" i="52"/>
  <c r="AA264" i="52" s="1"/>
  <c r="X55" i="52"/>
  <c r="AA55" i="52" s="1"/>
  <c r="X1011" i="52"/>
  <c r="AA1011" i="52" s="1"/>
  <c r="X507" i="52"/>
  <c r="AA507" i="52" s="1"/>
  <c r="X579" i="52"/>
  <c r="AA579" i="52" s="1"/>
  <c r="X633" i="52"/>
  <c r="AA633" i="52" s="1"/>
  <c r="X1094" i="52"/>
  <c r="AA1094" i="52" s="1"/>
  <c r="X877" i="52"/>
  <c r="AA877" i="52" s="1"/>
  <c r="X468" i="52"/>
  <c r="AA468" i="52" s="1"/>
  <c r="X412" i="52"/>
  <c r="AA412" i="52" s="1"/>
  <c r="X648" i="52"/>
  <c r="AA648" i="52" s="1"/>
  <c r="X352" i="52"/>
  <c r="AA352" i="52" s="1"/>
  <c r="X1143" i="52"/>
  <c r="AA1143" i="52" s="1"/>
  <c r="X941" i="52"/>
  <c r="AA941" i="52" s="1"/>
  <c r="X782" i="52"/>
  <c r="AA782" i="52" s="1"/>
  <c r="X732" i="52"/>
  <c r="AA732" i="52" s="1"/>
  <c r="X570" i="52"/>
  <c r="AA570" i="52" s="1"/>
  <c r="X846" i="52"/>
  <c r="AA846" i="52" s="1"/>
  <c r="X127" i="52"/>
  <c r="AA127" i="52" s="1"/>
  <c r="X1148" i="52"/>
  <c r="AA1148" i="52" s="1"/>
  <c r="X961" i="52"/>
  <c r="AA961" i="52" s="1"/>
  <c r="X818" i="52"/>
  <c r="AA818" i="52" s="1"/>
  <c r="X208" i="52"/>
  <c r="AA208" i="52" s="1"/>
  <c r="X670" i="52"/>
  <c r="AA670" i="52" s="1"/>
  <c r="X695" i="52"/>
  <c r="AA695" i="52" s="1"/>
  <c r="X255" i="52"/>
  <c r="AA255" i="52" s="1"/>
  <c r="X393" i="52"/>
  <c r="AA393" i="52" s="1"/>
  <c r="X302" i="52"/>
  <c r="X945" i="52"/>
  <c r="AA945" i="52" s="1"/>
  <c r="X197" i="52"/>
  <c r="AA197" i="52" s="1"/>
  <c r="X1180" i="52"/>
  <c r="AA1180" i="52" s="1"/>
  <c r="X980" i="52"/>
  <c r="AA980" i="52" s="1"/>
  <c r="X82" i="52"/>
  <c r="AA82" i="52" s="1"/>
  <c r="X702" i="52"/>
  <c r="AA702" i="52" s="1"/>
  <c r="X73" i="52"/>
  <c r="AA73" i="52" s="1"/>
  <c r="X1088" i="52"/>
  <c r="AA1088" i="52" s="1"/>
  <c r="X781" i="52"/>
  <c r="AA781" i="52" s="1"/>
  <c r="X1055" i="52"/>
  <c r="AA1055" i="52" s="1"/>
  <c r="X691" i="52"/>
  <c r="AA691" i="52" s="1"/>
  <c r="X1129" i="52"/>
  <c r="AA1129" i="52" s="1"/>
  <c r="X104" i="52"/>
  <c r="AA104" i="52" s="1"/>
  <c r="X53" i="52"/>
  <c r="AA53" i="52" s="1"/>
  <c r="X1083" i="52"/>
  <c r="AA1083" i="52" s="1"/>
  <c r="X817" i="52"/>
  <c r="AA817" i="52" s="1"/>
  <c r="X224" i="52"/>
  <c r="AA224" i="52" s="1"/>
  <c r="X790" i="52"/>
  <c r="AA790" i="52" s="1"/>
  <c r="X716" i="52"/>
  <c r="AA716" i="52" s="1"/>
  <c r="X511" i="52"/>
  <c r="AA511" i="52" s="1"/>
  <c r="X304" i="52"/>
  <c r="X563" i="52"/>
  <c r="AA563" i="52" s="1"/>
  <c r="X118" i="52"/>
  <c r="AA118" i="52" s="1"/>
  <c r="X290" i="52"/>
  <c r="X166" i="52"/>
  <c r="AA166" i="52" s="1"/>
  <c r="X421" i="52"/>
  <c r="AA421" i="52" s="1"/>
  <c r="X274" i="52"/>
  <c r="AA274" i="52" s="1"/>
  <c r="X948" i="52"/>
  <c r="AA948" i="52" s="1"/>
  <c r="X353" i="52"/>
  <c r="AA353" i="52" s="1"/>
  <c r="X278" i="52"/>
  <c r="AA278" i="52" s="1"/>
  <c r="X172" i="52"/>
  <c r="AA172" i="52" s="1"/>
  <c r="X1102" i="52"/>
  <c r="AA1102" i="52" s="1"/>
  <c r="X675" i="52"/>
  <c r="AA675" i="52" s="1"/>
  <c r="X130" i="52"/>
  <c r="AA130" i="52" s="1"/>
  <c r="X251" i="52"/>
  <c r="AA251" i="52" s="1"/>
  <c r="X373" i="52"/>
  <c r="AA373" i="52" s="1"/>
  <c r="X314" i="52"/>
  <c r="X170" i="52"/>
  <c r="X268" i="52"/>
  <c r="X1179" i="52"/>
  <c r="AA1179" i="52" s="1"/>
  <c r="X976" i="52"/>
  <c r="AA976" i="52" s="1"/>
  <c r="X932" i="52"/>
  <c r="AA932" i="52" s="1"/>
  <c r="X875" i="52"/>
  <c r="AA875" i="52" s="1"/>
  <c r="X989" i="52"/>
  <c r="AA989" i="52" s="1"/>
  <c r="X286" i="52"/>
  <c r="X379" i="52"/>
  <c r="AA379" i="52" s="1"/>
  <c r="X501" i="52"/>
  <c r="AA501" i="52" s="1"/>
  <c r="X442" i="52"/>
  <c r="AA442" i="52" s="1"/>
  <c r="X50" i="52"/>
  <c r="AA50" i="52" s="1"/>
  <c r="X489" i="52"/>
  <c r="AA489" i="52" s="1"/>
  <c r="X287" i="52"/>
  <c r="X663" i="52"/>
  <c r="AA663" i="52" s="1"/>
  <c r="X743" i="52"/>
  <c r="AA743" i="52" s="1"/>
  <c r="X769" i="52"/>
  <c r="AA769" i="52" s="1"/>
  <c r="X1060" i="52"/>
  <c r="AA1060" i="52" s="1"/>
  <c r="X101" i="52"/>
  <c r="AA101" i="52" s="1"/>
  <c r="X152" i="52"/>
  <c r="X115" i="52"/>
  <c r="X542" i="52"/>
  <c r="AA542" i="52" s="1"/>
  <c r="X611" i="52"/>
  <c r="AA611" i="52" s="1"/>
  <c r="X688" i="52"/>
  <c r="AA688" i="52" s="1"/>
  <c r="X883" i="52"/>
  <c r="AA883" i="52" s="1"/>
  <c r="X975" i="52"/>
  <c r="AA975" i="52" s="1"/>
  <c r="X1081" i="52"/>
  <c r="AA1081" i="52" s="1"/>
  <c r="X1169" i="52"/>
  <c r="AA1169" i="52" s="1"/>
  <c r="X43" i="52"/>
  <c r="AA43" i="52" s="1"/>
  <c r="X566" i="52"/>
  <c r="AA566" i="52" s="1"/>
  <c r="X292" i="52"/>
  <c r="X1147" i="52"/>
  <c r="AA1147" i="52" s="1"/>
  <c r="X644" i="52"/>
  <c r="AA644" i="52" s="1"/>
  <c r="X824" i="52"/>
  <c r="AA824" i="52" s="1"/>
  <c r="X826" i="52"/>
  <c r="AA826" i="52" s="1"/>
  <c r="X986" i="52"/>
  <c r="AA986" i="52" s="1"/>
  <c r="X1142" i="52"/>
  <c r="AA1142" i="52" s="1"/>
  <c r="X151" i="52"/>
  <c r="X438" i="52"/>
  <c r="AA438" i="52" s="1"/>
  <c r="X513" i="52"/>
  <c r="AA513" i="52" s="1"/>
  <c r="X391" i="52"/>
  <c r="AA391" i="52" s="1"/>
  <c r="X280" i="52"/>
  <c r="AA280" i="52" s="1"/>
  <c r="X196" i="52"/>
  <c r="AA196" i="52" s="1"/>
  <c r="X1054" i="52"/>
  <c r="AA1054" i="52" s="1"/>
  <c r="X567" i="52"/>
  <c r="AA567" i="52" s="1"/>
  <c r="X709" i="52"/>
  <c r="AA709" i="52" s="1"/>
  <c r="X719" i="52"/>
  <c r="AA719" i="52" s="1"/>
  <c r="X1035" i="52"/>
  <c r="AA1035" i="52" s="1"/>
  <c r="X1110" i="52"/>
  <c r="AA1110" i="52" s="1"/>
  <c r="X150" i="52"/>
  <c r="X310" i="52"/>
  <c r="AA310" i="52" s="1"/>
  <c r="X385" i="52"/>
  <c r="AA385" i="52" s="1"/>
  <c r="X263" i="52"/>
  <c r="AA263" i="52" s="1"/>
  <c r="X212" i="52"/>
  <c r="AA212" i="52" s="1"/>
  <c r="X698" i="52"/>
  <c r="AA698" i="52" s="1"/>
  <c r="X903" i="52"/>
  <c r="AA903" i="52" s="1"/>
  <c r="X920" i="52"/>
  <c r="AA920" i="52" s="1"/>
  <c r="X1058" i="52"/>
  <c r="AA1058" i="52" s="1"/>
  <c r="X194" i="52"/>
  <c r="AA194" i="52" s="1"/>
  <c r="X64" i="52"/>
  <c r="AA64" i="52" s="1"/>
  <c r="X261" i="52"/>
  <c r="AA261" i="52" s="1"/>
  <c r="X488" i="52"/>
  <c r="AA488" i="52" s="1"/>
  <c r="X664" i="52"/>
  <c r="AA664" i="52" s="1"/>
  <c r="X852" i="52"/>
  <c r="AA852" i="52" s="1"/>
  <c r="X835" i="52"/>
  <c r="AA835" i="52" s="1"/>
  <c r="X829" i="52"/>
  <c r="AA829" i="52" s="1"/>
  <c r="X1072" i="52"/>
  <c r="AA1072" i="52" s="1"/>
  <c r="X89" i="52"/>
  <c r="AA89" i="52" s="1"/>
  <c r="X140" i="52"/>
  <c r="X222" i="52"/>
  <c r="AA222" i="52" s="1"/>
  <c r="X364" i="52"/>
  <c r="AA364" i="52" s="1"/>
  <c r="X599" i="52"/>
  <c r="AA599" i="52" s="1"/>
  <c r="X647" i="52"/>
  <c r="AA647" i="52" s="1"/>
  <c r="X622" i="52"/>
  <c r="AA622" i="52" s="1"/>
  <c r="X991" i="52"/>
  <c r="X464" i="52"/>
  <c r="AA464" i="52" s="1"/>
  <c r="X176" i="52"/>
  <c r="AA176" i="52" s="1"/>
  <c r="X451" i="52"/>
  <c r="AA451" i="52" s="1"/>
  <c r="X530" i="52"/>
  <c r="AA530" i="52" s="1"/>
  <c r="X1049" i="52"/>
  <c r="AA1049" i="52" s="1"/>
  <c r="X134" i="52"/>
  <c r="AA134" i="52" s="1"/>
  <c r="X347" i="52"/>
  <c r="AA347" i="52" s="1"/>
  <c r="X828" i="52"/>
  <c r="AA828" i="52" s="1"/>
  <c r="X807" i="52"/>
  <c r="AA807" i="52" s="1"/>
  <c r="X79" i="52"/>
  <c r="AA79" i="52" s="1"/>
  <c r="X866" i="52"/>
  <c r="AA866" i="52" s="1"/>
  <c r="X126" i="52"/>
  <c r="AA126" i="52" s="1"/>
  <c r="X515" i="52"/>
  <c r="AA515" i="52" s="1"/>
  <c r="X558" i="52"/>
  <c r="AA558" i="52" s="1"/>
  <c r="X514" i="52"/>
  <c r="AA514" i="52" s="1"/>
  <c r="X333" i="52"/>
  <c r="AA333" i="52" s="1"/>
  <c r="X869" i="52"/>
  <c r="AA869" i="52" s="1"/>
  <c r="X56" i="52"/>
  <c r="AA56" i="52" s="1"/>
  <c r="X653" i="52"/>
  <c r="AA653" i="52" s="1"/>
  <c r="X658" i="52"/>
  <c r="AA658" i="52" s="1"/>
  <c r="X639" i="52"/>
  <c r="AA639" i="52" s="1"/>
  <c r="X632" i="52"/>
  <c r="AA632" i="52" s="1"/>
  <c r="X133" i="52"/>
  <c r="AA133" i="52" s="1"/>
  <c r="X1166" i="52"/>
  <c r="AA1166" i="52" s="1"/>
  <c r="X228" i="52"/>
  <c r="AA228" i="52" s="1"/>
  <c r="X1064" i="52"/>
  <c r="AA1064" i="52" s="1"/>
  <c r="X168" i="52"/>
  <c r="AA168" i="52" s="1"/>
  <c r="X467" i="52"/>
  <c r="AA467" i="52" s="1"/>
  <c r="X305" i="52"/>
  <c r="X914" i="52"/>
  <c r="AA914" i="52" s="1"/>
  <c r="X557" i="52"/>
  <c r="AA557" i="52" s="1"/>
  <c r="X338" i="52"/>
  <c r="X293" i="52"/>
  <c r="AA293" i="52" s="1"/>
  <c r="X416" i="52"/>
  <c r="AA416" i="52" s="1"/>
  <c r="X83" i="52"/>
  <c r="AA83" i="52" s="1"/>
  <c r="X584" i="52"/>
  <c r="AA584" i="52" s="1"/>
  <c r="X930" i="52"/>
  <c r="AA930" i="52" s="1"/>
  <c r="X102" i="52"/>
  <c r="AA102" i="52" s="1"/>
  <c r="X28" i="52"/>
  <c r="AA28" i="52" s="1"/>
  <c r="X787" i="52"/>
  <c r="AA787" i="52" s="1"/>
  <c r="X729" i="52"/>
  <c r="AA729" i="52" s="1"/>
  <c r="X1045" i="52"/>
  <c r="AA1045" i="52" s="1"/>
  <c r="X1138" i="52"/>
  <c r="AA1138" i="52" s="1"/>
  <c r="X802" i="52"/>
  <c r="AA802" i="52" s="1"/>
  <c r="X674" i="52"/>
  <c r="AA674" i="52" s="1"/>
  <c r="X1039" i="52"/>
  <c r="AA1039" i="52" s="1"/>
  <c r="X1127" i="52"/>
  <c r="AA1127" i="52" s="1"/>
  <c r="X689" i="52"/>
  <c r="AA689" i="52" s="1"/>
  <c r="X827" i="52"/>
  <c r="AA827" i="52" s="1"/>
  <c r="X1177" i="52"/>
  <c r="AA1177" i="52" s="1"/>
  <c r="X67" i="52"/>
  <c r="AA67" i="52" s="1"/>
  <c r="X58" i="52"/>
  <c r="AA58" i="52" s="1"/>
  <c r="X344" i="52"/>
  <c r="X447" i="52"/>
  <c r="AA447" i="52" s="1"/>
  <c r="X605" i="52"/>
  <c r="AA605" i="52" s="1"/>
  <c r="X171" i="52"/>
  <c r="X40" i="52"/>
  <c r="AA40" i="52" s="1"/>
  <c r="X229" i="52"/>
  <c r="AA229" i="52" s="1"/>
  <c r="X669" i="52"/>
  <c r="AA669" i="52" s="1"/>
  <c r="X417" i="52"/>
  <c r="AA417" i="52" s="1"/>
  <c r="X1131" i="52"/>
  <c r="AA1131" i="52" s="1"/>
  <c r="X245" i="52"/>
  <c r="AA245" i="52" s="1"/>
  <c r="X66" i="52"/>
  <c r="AA66" i="52" s="1"/>
  <c r="X1017" i="52"/>
  <c r="AA1017" i="52" s="1"/>
  <c r="X636" i="52"/>
  <c r="AA636" i="52" s="1"/>
  <c r="X776" i="52"/>
  <c r="AA776" i="52" s="1"/>
  <c r="X738" i="52"/>
  <c r="AA738" i="52" s="1"/>
  <c r="X593" i="52"/>
  <c r="AA593" i="52" s="1"/>
  <c r="X1163" i="52"/>
  <c r="AA1163" i="52" s="1"/>
  <c r="X42" i="52"/>
  <c r="AA42" i="52" s="1"/>
  <c r="X496" i="52"/>
  <c r="AA496" i="52" s="1"/>
  <c r="X711" i="52"/>
  <c r="AA711" i="52" s="1"/>
  <c r="X789" i="52"/>
  <c r="AA789" i="52" s="1"/>
  <c r="X123" i="52"/>
  <c r="X378" i="52"/>
  <c r="AA378" i="52" s="1"/>
  <c r="X317" i="52"/>
  <c r="X853" i="52"/>
  <c r="AA853" i="52" s="1"/>
  <c r="X1040" i="52"/>
  <c r="AA1040" i="52" s="1"/>
  <c r="X1165" i="52"/>
  <c r="AA1165" i="52" s="1"/>
  <c r="X1162" i="52"/>
  <c r="AA1162" i="52" s="1"/>
  <c r="X1077" i="52"/>
  <c r="AA1077" i="52" s="1"/>
  <c r="X983" i="52"/>
  <c r="AA983" i="52" s="1"/>
  <c r="X343" i="52"/>
  <c r="X537" i="52"/>
  <c r="AA537" i="52" s="1"/>
  <c r="X569" i="52"/>
  <c r="AA569" i="52" s="1"/>
  <c r="X1042" i="52"/>
  <c r="AA1042" i="52" s="1"/>
  <c r="X575" i="52"/>
  <c r="AA575" i="52" s="1"/>
  <c r="X908" i="52"/>
  <c r="AA908" i="52" s="1"/>
  <c r="X405" i="52"/>
  <c r="AA405" i="52" s="1"/>
  <c r="X386" i="52"/>
  <c r="AA386" i="52" s="1"/>
  <c r="X99" i="52"/>
  <c r="AA99" i="52" s="1"/>
  <c r="X749" i="52"/>
  <c r="AA749" i="52" s="1"/>
  <c r="X795" i="52"/>
  <c r="AA795" i="52" s="1"/>
  <c r="X657" i="52"/>
  <c r="AA657" i="52" s="1"/>
  <c r="X209" i="52"/>
  <c r="AA209" i="52" s="1"/>
  <c r="X70" i="52"/>
  <c r="AA70" i="52" s="1"/>
  <c r="X1124" i="52"/>
  <c r="AA1124" i="52" s="1"/>
  <c r="X878" i="52"/>
  <c r="AA878" i="52" s="1"/>
  <c r="X692" i="52"/>
  <c r="AA692" i="52" s="1"/>
  <c r="X271" i="52"/>
  <c r="X47" i="52"/>
  <c r="AA47" i="52" s="1"/>
  <c r="X39" i="52"/>
  <c r="AA39" i="52" s="1"/>
  <c r="X728" i="52"/>
  <c r="AA728" i="52" s="1"/>
  <c r="X156" i="52"/>
  <c r="X180" i="52"/>
  <c r="AA180" i="52" s="1"/>
  <c r="X1062" i="52"/>
  <c r="AA1062" i="52" s="1"/>
  <c r="X752" i="52"/>
  <c r="AA752" i="52" s="1"/>
  <c r="X564" i="52"/>
  <c r="AA564" i="52" s="1"/>
  <c r="X492" i="52"/>
  <c r="AA492" i="52" s="1"/>
  <c r="X30" i="52"/>
  <c r="AA30" i="52" s="1"/>
  <c r="X1181" i="52"/>
  <c r="AA1181" i="52" s="1"/>
  <c r="X964" i="52"/>
  <c r="AA964" i="52" s="1"/>
  <c r="X479" i="52"/>
  <c r="AA479" i="52" s="1"/>
  <c r="X312" i="52"/>
  <c r="AA312" i="52" s="1"/>
  <c r="X235" i="52"/>
  <c r="AA235" i="52" s="1"/>
  <c r="X1105" i="52"/>
  <c r="AA1105" i="52" s="1"/>
  <c r="X909" i="52"/>
  <c r="AA909" i="52" s="1"/>
  <c r="X871" i="52"/>
  <c r="AA871" i="52" s="1"/>
  <c r="X923" i="52"/>
  <c r="AA923" i="52" s="1"/>
  <c r="X210" i="52"/>
  <c r="AA210" i="52" s="1"/>
  <c r="X179" i="52"/>
  <c r="X911" i="52"/>
  <c r="AA911" i="52" s="1"/>
  <c r="X912" i="52"/>
  <c r="AA912" i="52" s="1"/>
  <c r="X705" i="52"/>
  <c r="AA705" i="52" s="1"/>
  <c r="X257" i="52"/>
  <c r="AA257" i="52" s="1"/>
  <c r="X484" i="52"/>
  <c r="AA484" i="52" s="1"/>
  <c r="X165" i="52"/>
  <c r="AA165" i="52" s="1"/>
  <c r="X457" i="52"/>
  <c r="AA457" i="52" s="1"/>
  <c r="X366" i="52"/>
  <c r="AA366" i="52" s="1"/>
  <c r="X474" i="52"/>
  <c r="AA474" i="52" s="1"/>
  <c r="X469" i="52"/>
  <c r="AA469" i="52" s="1"/>
  <c r="X283" i="52"/>
  <c r="AA283" i="52" s="1"/>
  <c r="X638" i="52"/>
  <c r="AA638" i="52" s="1"/>
  <c r="X755" i="52"/>
  <c r="AA755" i="52" s="1"/>
  <c r="X813" i="52"/>
  <c r="AA813" i="52" s="1"/>
  <c r="X1095" i="52"/>
  <c r="AA1095" i="52" s="1"/>
  <c r="X41" i="52"/>
  <c r="AA41" i="52" s="1"/>
  <c r="X739" i="52"/>
  <c r="AA739" i="52" s="1"/>
  <c r="X431" i="52"/>
  <c r="AA431" i="52" s="1"/>
  <c r="X425" i="52"/>
  <c r="AA425" i="52" s="1"/>
  <c r="X577" i="52"/>
  <c r="AA577" i="52" s="1"/>
  <c r="X684" i="52"/>
  <c r="AA684" i="52" s="1"/>
  <c r="X968" i="52"/>
  <c r="AA968" i="52" s="1"/>
  <c r="X1003" i="52"/>
  <c r="AA1003" i="52" s="1"/>
  <c r="X996" i="52"/>
  <c r="X1184" i="52"/>
  <c r="AA1184" i="52" s="1"/>
  <c r="X189" i="52"/>
  <c r="AA189" i="52" s="1"/>
  <c r="X202" i="52"/>
  <c r="AA202" i="52" s="1"/>
  <c r="X1182" i="52"/>
  <c r="AA1182" i="52" s="1"/>
  <c r="X528" i="52"/>
  <c r="AA528" i="52" s="1"/>
  <c r="X624" i="52"/>
  <c r="AA624" i="52" s="1"/>
  <c r="X820" i="52"/>
  <c r="AA820" i="52" s="1"/>
  <c r="X887" i="52"/>
  <c r="AA887" i="52" s="1"/>
  <c r="X982" i="52"/>
  <c r="AA982" i="52" s="1"/>
  <c r="X1153" i="52"/>
  <c r="AA1153" i="52" s="1"/>
  <c r="X107" i="52"/>
  <c r="AA107" i="52" s="1"/>
  <c r="X498" i="52"/>
  <c r="AA498" i="52" s="1"/>
  <c r="X445" i="52"/>
  <c r="AA445" i="52" s="1"/>
  <c r="X1026" i="52"/>
  <c r="AA1026" i="52" s="1"/>
  <c r="X368" i="52"/>
  <c r="AA368" i="52" s="1"/>
  <c r="X161" i="52"/>
  <c r="X48" i="52"/>
  <c r="AA48" i="52" s="1"/>
  <c r="X237" i="52"/>
  <c r="AA237" i="52" s="1"/>
  <c r="X376" i="52"/>
  <c r="AA376" i="52" s="1"/>
  <c r="X552" i="52"/>
  <c r="AA552" i="52" s="1"/>
  <c r="X764" i="52"/>
  <c r="AA764" i="52" s="1"/>
  <c r="X814" i="52"/>
  <c r="AA814" i="52" s="1"/>
  <c r="X1008" i="52"/>
  <c r="AA1008" i="52" s="1"/>
  <c r="X1012" i="52"/>
  <c r="AA1012" i="52" s="1"/>
  <c r="X727" i="52"/>
  <c r="AA727" i="52" s="1"/>
  <c r="X381" i="52"/>
  <c r="AA381" i="52" s="1"/>
  <c r="X723" i="52"/>
  <c r="AA723" i="52" s="1"/>
  <c r="X167" i="52"/>
  <c r="AA167" i="52" s="1"/>
  <c r="X75" i="52"/>
  <c r="AA75" i="52" s="1"/>
  <c r="X131" i="52"/>
  <c r="AA131" i="52" s="1"/>
  <c r="X294" i="52"/>
  <c r="AA294" i="52" s="1"/>
  <c r="X1046" i="52"/>
  <c r="AA1046" i="52" s="1"/>
  <c r="X879" i="52"/>
  <c r="AA879" i="52" s="1"/>
  <c r="X37" i="52"/>
  <c r="AA37" i="52" s="1"/>
  <c r="X1160" i="52"/>
  <c r="AA1160" i="52" s="1"/>
  <c r="X1134" i="52"/>
  <c r="AA1134" i="52" s="1"/>
  <c r="X778" i="52"/>
  <c r="AA778" i="52" s="1"/>
  <c r="X340" i="52"/>
  <c r="X580" i="52"/>
  <c r="AA580" i="52" s="1"/>
  <c r="X665" i="52"/>
  <c r="AA665" i="52" s="1"/>
  <c r="X741" i="52"/>
  <c r="AA741" i="52" s="1"/>
  <c r="X864" i="52"/>
  <c r="AA864" i="52" s="1"/>
  <c r="X896" i="52"/>
  <c r="AA896" i="52" s="1"/>
  <c r="X439" i="52"/>
  <c r="AA439" i="52" s="1"/>
  <c r="X777" i="52"/>
  <c r="AA777" i="52" s="1"/>
  <c r="X414" i="52"/>
  <c r="AA414" i="52" s="1"/>
  <c r="X45" i="52"/>
  <c r="AA45" i="52" s="1"/>
  <c r="X534" i="52"/>
  <c r="AA534" i="52" s="1"/>
  <c r="X1015" i="52"/>
  <c r="AA1015" i="52" s="1"/>
  <c r="X163" i="52"/>
  <c r="X51" i="52"/>
  <c r="AA51" i="52" s="1"/>
  <c r="X730" i="52"/>
  <c r="AA730" i="52" s="1"/>
  <c r="X581" i="52"/>
  <c r="AA581" i="52" s="1"/>
  <c r="X588" i="52"/>
  <c r="AA588" i="52" s="1"/>
  <c r="X859" i="52"/>
  <c r="AA859" i="52" s="1"/>
  <c r="X227" i="52"/>
  <c r="AA227" i="52" s="1"/>
  <c r="X520" i="52"/>
  <c r="AA520" i="52" s="1"/>
  <c r="X576" i="52"/>
  <c r="AA576" i="52" s="1"/>
  <c r="X942" i="52"/>
  <c r="AA942" i="52" s="1"/>
  <c r="X1159" i="52"/>
  <c r="AA1159" i="52" s="1"/>
  <c r="X1101" i="52"/>
  <c r="AA1101" i="52" s="1"/>
  <c r="X358" i="52"/>
  <c r="AA358" i="52" s="1"/>
  <c r="X329" i="52"/>
  <c r="AA329" i="52" s="1"/>
  <c r="X60" i="52"/>
  <c r="AA60" i="52" s="1"/>
  <c r="X1036" i="52"/>
  <c r="AA1036" i="52" s="1"/>
  <c r="X1164" i="52"/>
  <c r="AA1164" i="52" s="1"/>
  <c r="X38" i="52"/>
  <c r="AA38" i="52" s="1"/>
  <c r="X462" i="52"/>
  <c r="AA462" i="52" s="1"/>
  <c r="X784" i="52"/>
  <c r="AA784" i="52" s="1"/>
  <c r="X793" i="52"/>
  <c r="AA793" i="52" s="1"/>
  <c r="X139" i="52"/>
  <c r="X1075" i="52"/>
  <c r="AA1075" i="52" s="1"/>
  <c r="X943" i="52"/>
  <c r="AA943" i="52" s="1"/>
  <c r="X203" i="52"/>
  <c r="AA203" i="52" s="1"/>
  <c r="X490" i="52"/>
  <c r="AA490" i="52" s="1"/>
  <c r="X493" i="52"/>
  <c r="AA493" i="52" s="1"/>
  <c r="X901" i="52"/>
  <c r="AA901" i="52" s="1"/>
  <c r="X700" i="52"/>
  <c r="AA700" i="52" s="1"/>
  <c r="X847" i="52"/>
  <c r="AA847" i="52" s="1"/>
  <c r="X157" i="52"/>
  <c r="AA157" i="52" s="1"/>
  <c r="X129" i="52"/>
  <c r="AA129" i="52" s="1"/>
  <c r="X408" i="52"/>
  <c r="AA408" i="52" s="1"/>
  <c r="X963" i="52"/>
  <c r="AA963" i="52" s="1"/>
  <c r="X904" i="52"/>
  <c r="AA904" i="52" s="1"/>
  <c r="X342" i="52"/>
  <c r="X472" i="52"/>
  <c r="AA472" i="52" s="1"/>
  <c r="X583" i="52"/>
  <c r="AA583" i="52" s="1"/>
  <c r="X349" i="52"/>
  <c r="AA349" i="52" s="1"/>
  <c r="X894" i="52"/>
  <c r="AA894" i="52" s="1"/>
  <c r="X842" i="52"/>
  <c r="AA842" i="52" s="1"/>
  <c r="X946" i="52"/>
  <c r="AA946" i="52" s="1"/>
  <c r="X44" i="52"/>
  <c r="AA44" i="52" s="1"/>
  <c r="X357" i="52"/>
  <c r="AA357" i="52" s="1"/>
  <c r="X418" i="52"/>
  <c r="AA418" i="52" s="1"/>
  <c r="X656" i="52"/>
  <c r="AA656" i="52" s="1"/>
  <c r="X812" i="52"/>
  <c r="AA812" i="52" s="1"/>
  <c r="X491" i="52"/>
  <c r="AA491" i="52" s="1"/>
  <c r="X482" i="52"/>
  <c r="AA482" i="52" s="1"/>
  <c r="X437" i="52"/>
  <c r="AA437" i="52" s="1"/>
  <c r="X561" i="52"/>
  <c r="AA561" i="52" s="1"/>
  <c r="X615" i="52"/>
  <c r="AA615" i="52" s="1"/>
  <c r="X121" i="52"/>
  <c r="X59" i="52"/>
  <c r="AA59" i="52" s="1"/>
  <c r="X275" i="52"/>
  <c r="AA275" i="52" s="1"/>
  <c r="X1047" i="52"/>
  <c r="AA1047" i="52" s="1"/>
  <c r="X979" i="52"/>
  <c r="AA979" i="52" s="1"/>
  <c r="X465" i="52"/>
  <c r="AA465" i="52" s="1"/>
  <c r="X510" i="52"/>
  <c r="AA510" i="52" s="1"/>
  <c r="X23" i="52"/>
  <c r="AA23" i="52" s="1"/>
  <c r="X889" i="52"/>
  <c r="AA889" i="52" s="1"/>
  <c r="X1005" i="52"/>
  <c r="AA1005" i="52" s="1"/>
  <c r="X443" i="52"/>
  <c r="AA443" i="52" s="1"/>
  <c r="X410" i="52"/>
  <c r="AA410" i="52" s="1"/>
  <c r="X155" i="52"/>
  <c r="X1155" i="52"/>
  <c r="AA1155" i="52" s="1"/>
  <c r="X987" i="52"/>
  <c r="AA987" i="52" s="1"/>
  <c r="X630" i="52"/>
  <c r="AA630" i="52" s="1"/>
  <c r="X395" i="52"/>
  <c r="AA395" i="52" s="1"/>
  <c r="X748" i="52"/>
  <c r="AA748" i="52" s="1"/>
  <c r="X1130" i="52"/>
  <c r="AA1130" i="52" s="1"/>
  <c r="X929" i="52"/>
  <c r="AA929" i="52" s="1"/>
  <c r="X620" i="52"/>
  <c r="AA620" i="52" s="1"/>
  <c r="X571" i="52"/>
  <c r="AA571" i="52" s="1"/>
  <c r="X409" i="52"/>
  <c r="AA409" i="52" s="1"/>
  <c r="X1168" i="52"/>
  <c r="AA1168" i="52" s="1"/>
  <c r="X1052" i="52"/>
  <c r="AA1052" i="52" s="1"/>
  <c r="X550" i="52"/>
  <c r="AA550" i="52" s="1"/>
  <c r="X234" i="52"/>
  <c r="AA234" i="52" s="1"/>
  <c r="X1086" i="52"/>
  <c r="AA1086" i="52" s="1"/>
  <c r="X884" i="52"/>
  <c r="AA884" i="52" s="1"/>
  <c r="X539" i="52"/>
  <c r="AA539" i="52" s="1"/>
  <c r="X436" i="52"/>
  <c r="AA436" i="52" s="1"/>
  <c r="X281" i="52"/>
  <c r="AA281" i="52" s="1"/>
  <c r="X1136" i="52"/>
  <c r="AA1136" i="52" s="1"/>
  <c r="X1053" i="52"/>
  <c r="AA1053" i="52" s="1"/>
  <c r="X195" i="52"/>
  <c r="AA195" i="52" s="1"/>
  <c r="X336" i="52"/>
  <c r="X221" i="52"/>
  <c r="AA221" i="52" s="1"/>
  <c r="X136" i="52"/>
  <c r="AA136" i="52" s="1"/>
  <c r="X888" i="52"/>
  <c r="AA888" i="52" s="1"/>
  <c r="X750" i="52"/>
  <c r="AA750" i="52" s="1"/>
  <c r="X804" i="52"/>
  <c r="AA804" i="52" s="1"/>
  <c r="X215" i="52"/>
  <c r="AA215" i="52" s="1"/>
  <c r="X328" i="52"/>
  <c r="AA328" i="52" s="1"/>
  <c r="X145" i="52"/>
  <c r="X811" i="52"/>
  <c r="AA811" i="52" s="1"/>
  <c r="X673" i="52"/>
  <c r="AA673" i="52" s="1"/>
  <c r="X483" i="52"/>
  <c r="AA483" i="52" s="1"/>
  <c r="X84" i="52"/>
  <c r="AA84" i="52" s="1"/>
  <c r="X158" i="52"/>
  <c r="AA158" i="52" s="1"/>
  <c r="X753" i="52"/>
  <c r="AA753" i="52" s="1"/>
  <c r="X1092" i="52"/>
  <c r="AA1092" i="52" s="1"/>
  <c r="X655" i="52"/>
  <c r="AA655" i="52" s="1"/>
  <c r="X1097" i="52"/>
  <c r="AA1097" i="52" s="1"/>
  <c r="X1157" i="52"/>
  <c r="AA1157" i="52" s="1"/>
  <c r="X91" i="52"/>
  <c r="AA91" i="52" s="1"/>
  <c r="X450" i="52"/>
  <c r="AA450" i="52" s="1"/>
  <c r="X525" i="52"/>
  <c r="AA525" i="52" s="1"/>
  <c r="X355" i="52"/>
  <c r="AA355" i="52" s="1"/>
  <c r="X694" i="52"/>
  <c r="AA694" i="52" s="1"/>
  <c r="X861" i="52"/>
  <c r="AA861" i="52" s="1"/>
  <c r="X860" i="52"/>
  <c r="AA860" i="52" s="1"/>
  <c r="X797" i="52"/>
  <c r="AA797" i="52" s="1"/>
  <c r="X1146" i="52"/>
  <c r="AA1146" i="52" s="1"/>
  <c r="X135" i="52"/>
  <c r="AA135" i="52" s="1"/>
  <c r="X390" i="52"/>
  <c r="AA390" i="52" s="1"/>
  <c r="X401" i="52"/>
  <c r="AA401" i="52" s="1"/>
  <c r="X279" i="52"/>
  <c r="AA279" i="52" s="1"/>
  <c r="X671" i="52"/>
  <c r="AA671" i="52" s="1"/>
  <c r="X735" i="52"/>
  <c r="AA735" i="52" s="1"/>
  <c r="X809" i="52"/>
  <c r="AA809" i="52" s="1"/>
  <c r="X1091" i="52"/>
  <c r="AA1091" i="52" s="1"/>
  <c r="X250" i="52"/>
  <c r="AA250" i="52" s="1"/>
  <c r="X551" i="52"/>
  <c r="AA551" i="52" s="1"/>
  <c r="X346" i="52"/>
  <c r="AA346" i="52" s="1"/>
  <c r="X341" i="52"/>
  <c r="X504" i="52"/>
  <c r="AA504" i="52" s="1"/>
  <c r="X680" i="52"/>
  <c r="AA680" i="52" s="1"/>
  <c r="X891" i="52"/>
  <c r="AA891" i="52" s="1"/>
  <c r="X967" i="52"/>
  <c r="AA967" i="52" s="1"/>
  <c r="X992" i="52"/>
  <c r="X1183" i="52"/>
  <c r="X634" i="52"/>
  <c r="AA634" i="52" s="1"/>
  <c r="X69" i="52"/>
  <c r="AA69" i="52" s="1"/>
  <c r="X706" i="52"/>
  <c r="AA706" i="52" s="1"/>
  <c r="X910" i="52"/>
  <c r="AA910" i="52" s="1"/>
  <c r="X1066" i="52"/>
  <c r="AA1066" i="52" s="1"/>
  <c r="X182" i="52"/>
  <c r="X72" i="52"/>
  <c r="AA72" i="52" s="1"/>
  <c r="X269" i="52"/>
  <c r="X448" i="52"/>
  <c r="AA448" i="52" s="1"/>
  <c r="X608" i="52"/>
  <c r="AA608" i="52" s="1"/>
  <c r="X867" i="52"/>
  <c r="AA867" i="52" s="1"/>
  <c r="X952" i="52"/>
  <c r="AA952" i="52" s="1"/>
  <c r="X678" i="52"/>
  <c r="AA678" i="52" s="1"/>
  <c r="X1022" i="52"/>
  <c r="AA1022" i="52" s="1"/>
  <c r="X81" i="52"/>
  <c r="AA81" i="52" s="1"/>
  <c r="X132" i="52"/>
  <c r="AA132" i="52" s="1"/>
  <c r="X220" i="52"/>
  <c r="AA220" i="52" s="1"/>
  <c r="X372" i="52"/>
  <c r="AA372" i="52" s="1"/>
  <c r="X547" i="52"/>
  <c r="AA547" i="52" s="1"/>
  <c r="X744" i="52"/>
  <c r="AA744" i="52" s="1"/>
  <c r="X810" i="52"/>
  <c r="AA810" i="52" s="1"/>
  <c r="X969" i="52"/>
  <c r="AA969" i="52" s="1"/>
  <c r="X1117" i="52"/>
  <c r="AA1117" i="52" s="1"/>
  <c r="X125" i="52"/>
  <c r="X169" i="52"/>
  <c r="X595" i="52"/>
  <c r="AA595" i="52" s="1"/>
  <c r="X248" i="52"/>
  <c r="AA248" i="52" s="1"/>
  <c r="X471" i="52"/>
  <c r="AA471" i="52" s="1"/>
  <c r="X685" i="52"/>
  <c r="AA685" i="52" s="1"/>
  <c r="X1021" i="52"/>
  <c r="AA1021" i="52" s="1"/>
  <c r="X958" i="52"/>
  <c r="AA958" i="52" s="1"/>
  <c r="X1119" i="52"/>
  <c r="AA1119" i="52" s="1"/>
  <c r="X521" i="52"/>
  <c r="AA521" i="52" s="1"/>
  <c r="X120" i="52"/>
  <c r="X598" i="52"/>
  <c r="AA598" i="52" s="1"/>
  <c r="X747" i="52"/>
  <c r="AA747" i="52" s="1"/>
  <c r="X332" i="52"/>
  <c r="AA332" i="52" s="1"/>
  <c r="X485" i="52"/>
  <c r="AA485" i="52" s="1"/>
  <c r="X978" i="52"/>
  <c r="AA978" i="52" s="1"/>
  <c r="X610" i="52"/>
  <c r="AA610" i="52" s="1"/>
  <c r="X406" i="52"/>
  <c r="AA406" i="52" s="1"/>
  <c r="X713" i="52"/>
  <c r="AA713" i="52" s="1"/>
  <c r="X556" i="52"/>
  <c r="AA556" i="52" s="1"/>
  <c r="X792" i="52"/>
  <c r="AA792" i="52" s="1"/>
  <c r="X935" i="52"/>
  <c r="AA935" i="52" s="1"/>
  <c r="X303" i="52"/>
  <c r="X223" i="52"/>
  <c r="AA223" i="52" s="1"/>
  <c r="X480" i="52"/>
  <c r="AA480" i="52" s="1"/>
  <c r="X928" i="52"/>
  <c r="AA928" i="52" s="1"/>
  <c r="X1085" i="52"/>
  <c r="AA1085" i="52" s="1"/>
  <c r="X838" i="52"/>
  <c r="AA838" i="52" s="1"/>
  <c r="X836" i="52"/>
  <c r="AA836" i="52" s="1"/>
  <c r="X178" i="52"/>
  <c r="X433" i="52"/>
  <c r="AA433" i="52" s="1"/>
  <c r="X612" i="52"/>
  <c r="AA612" i="52" s="1"/>
  <c r="X63" i="52"/>
  <c r="AA63" i="52" s="1"/>
  <c r="X676" i="52"/>
  <c r="AA676" i="52" s="1"/>
  <c r="X1100" i="52"/>
  <c r="AA1100" i="52" s="1"/>
  <c r="X1145" i="52"/>
  <c r="AA1145" i="52" s="1"/>
  <c r="X607" i="52"/>
  <c r="AA607" i="52" s="1"/>
  <c r="X323" i="52"/>
  <c r="AA323" i="52" s="1"/>
  <c r="X726" i="52"/>
  <c r="AA726" i="52" s="1"/>
  <c r="X185" i="52"/>
  <c r="AA185" i="52" s="1"/>
  <c r="X1048" i="52"/>
  <c r="AA1048" i="52" s="1"/>
  <c r="X1034" i="52"/>
  <c r="AA1034" i="52" s="1"/>
  <c r="X1118" i="52"/>
  <c r="AA1118" i="52" s="1"/>
  <c r="X734" i="52"/>
  <c r="AA734" i="52" s="1"/>
  <c r="X985" i="52"/>
  <c r="AA985" i="52" s="1"/>
  <c r="X249" i="52"/>
  <c r="AA249" i="52" s="1"/>
  <c r="X298" i="52"/>
  <c r="AA298" i="52" s="1"/>
  <c r="X863" i="52"/>
  <c r="AA863" i="52" s="1"/>
  <c r="X553" i="52"/>
  <c r="AA553" i="52" s="1"/>
  <c r="X635" i="52"/>
  <c r="AA635" i="52" s="1"/>
  <c r="X524" i="52"/>
  <c r="AA524" i="52" s="1"/>
  <c r="X614" i="52"/>
  <c r="AA614" i="52" s="1"/>
  <c r="X687" i="52"/>
  <c r="AA687" i="52" s="1"/>
  <c r="X95" i="52"/>
  <c r="AA95" i="52" s="1"/>
  <c r="X799" i="52"/>
  <c r="AA799" i="52" s="1"/>
  <c r="X519" i="52"/>
  <c r="AA519" i="52" s="1"/>
  <c r="X1141" i="52"/>
  <c r="AA1141" i="52" s="1"/>
  <c r="X659" i="52"/>
  <c r="AA659" i="52" s="1"/>
  <c r="X517" i="52"/>
  <c r="AA517" i="52" s="1"/>
  <c r="X798" i="52"/>
  <c r="AA798" i="52" s="1"/>
  <c r="X508" i="52"/>
  <c r="AA508" i="52" s="1"/>
  <c r="X382" i="52"/>
  <c r="AA382" i="52" s="1"/>
  <c r="X745" i="52"/>
  <c r="AA745" i="52" s="1"/>
  <c r="X801" i="52"/>
  <c r="AA801" i="52" s="1"/>
  <c r="X725" i="52"/>
  <c r="AA725" i="52" s="1"/>
  <c r="X236" i="52"/>
  <c r="AA236" i="52" s="1"/>
  <c r="X913" i="52"/>
  <c r="AA913" i="52" s="1"/>
  <c r="X938" i="52"/>
  <c r="AA938" i="52" s="1"/>
  <c r="X112" i="52"/>
  <c r="X718" i="52"/>
  <c r="AA718" i="52" s="1"/>
  <c r="X602" i="52"/>
  <c r="AA602" i="52" s="1"/>
  <c r="X432" i="52"/>
  <c r="AA432" i="52" s="1"/>
  <c r="X617" i="52"/>
  <c r="AA617" i="52" s="1"/>
  <c r="X308" i="52"/>
  <c r="X1104" i="52"/>
  <c r="AA1104" i="52" s="1"/>
  <c r="X1044" i="52"/>
  <c r="AA1044" i="52" s="1"/>
  <c r="X971" i="52"/>
  <c r="AA971" i="52" s="1"/>
  <c r="X995" i="52"/>
  <c r="X1171" i="52"/>
  <c r="AA1171" i="52" s="1"/>
  <c r="X522" i="52"/>
  <c r="AA522" i="52" s="1"/>
  <c r="X459" i="52"/>
  <c r="AA459" i="52" s="1"/>
  <c r="X1079" i="52"/>
  <c r="AA1079" i="52" s="1"/>
  <c r="X977" i="52"/>
  <c r="AA977" i="52" s="1"/>
  <c r="X159" i="52"/>
  <c r="X473" i="52"/>
  <c r="AA473" i="52" s="1"/>
  <c r="X690" i="52"/>
  <c r="AA690" i="52" s="1"/>
  <c r="X309" i="52"/>
  <c r="X1125" i="52"/>
  <c r="AA1125" i="52" s="1"/>
  <c r="X322" i="52"/>
  <c r="AA322" i="52" s="1"/>
  <c r="X587" i="52"/>
  <c r="AA587" i="52" s="1"/>
  <c r="X731" i="52"/>
  <c r="AA731" i="52" s="1"/>
  <c r="X783" i="52"/>
  <c r="AA783" i="52" s="1"/>
  <c r="X872" i="52"/>
  <c r="AA872" i="52" s="1"/>
  <c r="X720" i="52"/>
  <c r="AA720" i="52" s="1"/>
  <c r="X1107" i="52"/>
  <c r="AA1107" i="52" s="1"/>
  <c r="X266" i="52"/>
  <c r="AA266" i="52" s="1"/>
  <c r="X973" i="52"/>
  <c r="AA973" i="52" s="1"/>
  <c r="X643" i="52"/>
  <c r="AA643" i="52" s="1"/>
  <c r="X993" i="52"/>
  <c r="X226" i="52"/>
  <c r="AA226" i="52" s="1"/>
  <c r="X998" i="52"/>
  <c r="X876" i="52"/>
  <c r="AA876" i="52" s="1"/>
  <c r="X721" i="52"/>
  <c r="AA721" i="52" s="1"/>
  <c r="X428" i="52"/>
  <c r="AA428" i="52" s="1"/>
  <c r="X321" i="52"/>
  <c r="X1027" i="52"/>
  <c r="AA1027" i="52" s="1"/>
  <c r="X849" i="52"/>
  <c r="AA849" i="52" s="1"/>
  <c r="X815" i="52"/>
  <c r="AA815" i="52" s="1"/>
  <c r="X613" i="52"/>
  <c r="AA613" i="52" s="1"/>
  <c r="X219" i="52"/>
  <c r="AA219" i="52" s="1"/>
  <c r="X128" i="52"/>
  <c r="AA128" i="52" s="1"/>
  <c r="X190" i="52"/>
  <c r="AA190" i="52" s="1"/>
  <c r="X806" i="52"/>
  <c r="AA806" i="52" s="1"/>
  <c r="X645" i="52"/>
  <c r="AA645" i="52" s="1"/>
  <c r="X780" i="52"/>
  <c r="AA780" i="52" s="1"/>
  <c r="X97" i="52"/>
  <c r="AA97" i="52" s="1"/>
  <c r="X214" i="52"/>
  <c r="AA214" i="52" s="1"/>
  <c r="X1161" i="52"/>
  <c r="AA1161" i="52" s="1"/>
  <c r="X682" i="52"/>
  <c r="AA682" i="52" s="1"/>
  <c r="X642" i="52"/>
  <c r="AA642" i="52" s="1"/>
  <c r="X1029" i="52"/>
  <c r="AA1029" i="52" s="1"/>
  <c r="X902" i="52"/>
  <c r="AA902" i="52" s="1"/>
  <c r="X27" i="52"/>
  <c r="AA27" i="52" s="1"/>
  <c r="X518" i="52"/>
  <c r="AA518" i="52" s="1"/>
  <c r="X1018" i="52"/>
  <c r="AA1018" i="52" s="1"/>
  <c r="X441" i="52"/>
  <c r="AA441" i="52" s="1"/>
  <c r="X173" i="52"/>
  <c r="X301" i="52"/>
  <c r="AA301" i="52" s="1"/>
  <c r="X962" i="52"/>
  <c r="AA962" i="52" s="1"/>
  <c r="X596" i="52"/>
  <c r="AA596" i="52" s="1"/>
  <c r="X772" i="52"/>
  <c r="AA772" i="52" s="1"/>
  <c r="X122" i="52"/>
  <c r="X243" i="52"/>
  <c r="AA243" i="52" s="1"/>
  <c r="X631" i="52"/>
  <c r="AA631" i="52" s="1"/>
  <c r="X1122" i="52"/>
  <c r="AA1122" i="52" s="1"/>
  <c r="X497" i="52"/>
  <c r="AA497" i="52" s="1"/>
  <c r="X882" i="52"/>
  <c r="AA882" i="52" s="1"/>
  <c r="X565" i="52"/>
  <c r="AA565" i="52" s="1"/>
  <c r="X965" i="52"/>
  <c r="AA965" i="52" s="1"/>
  <c r="X427" i="52"/>
  <c r="AA427" i="52" s="1"/>
  <c r="X984" i="52"/>
  <c r="AA984" i="52" s="1"/>
  <c r="X1090" i="52"/>
  <c r="AA1090" i="52" s="1"/>
  <c r="X597" i="52"/>
  <c r="AA597" i="52" s="1"/>
  <c r="X1115" i="52"/>
  <c r="AA1115" i="52" s="1"/>
  <c r="X144" i="52"/>
  <c r="X854" i="52"/>
  <c r="AA854" i="52" s="1"/>
  <c r="X362" i="52"/>
  <c r="AA362" i="52" s="1"/>
  <c r="X62" i="52"/>
  <c r="AA62" i="52" s="1"/>
  <c r="X586" i="52"/>
  <c r="AA586" i="52" s="1"/>
  <c r="X1063" i="52"/>
  <c r="AA1063" i="52" s="1"/>
  <c r="X1133" i="52"/>
  <c r="AA1133" i="52" s="1"/>
  <c r="X199" i="52"/>
  <c r="AA199" i="52" s="1"/>
  <c r="X1149" i="52"/>
  <c r="AA1149" i="52" s="1"/>
  <c r="X313" i="52"/>
  <c r="AA313" i="52" s="1"/>
  <c r="X733" i="52"/>
  <c r="AA733" i="52" s="1"/>
  <c r="X71" i="52"/>
  <c r="AA71" i="52" s="1"/>
  <c r="X1004" i="52"/>
  <c r="AA1004" i="52" s="1"/>
  <c r="X399" i="52"/>
  <c r="AA399" i="52" s="1"/>
  <c r="X506" i="52"/>
  <c r="AA506" i="52" s="1"/>
  <c r="X895" i="52"/>
  <c r="AA895" i="52" s="1"/>
  <c r="X461" i="52"/>
  <c r="AA461" i="52" s="1"/>
  <c r="X1056" i="52"/>
  <c r="AA1056" i="52" s="1"/>
  <c r="X957" i="52"/>
  <c r="AA957" i="52" s="1"/>
  <c r="X326" i="52"/>
  <c r="AA326" i="52" s="1"/>
  <c r="X898" i="52"/>
  <c r="AA898" i="52" s="1"/>
  <c r="X626" i="52"/>
  <c r="AA626" i="52" s="1"/>
  <c r="X239" i="52"/>
  <c r="AA239" i="52" s="1"/>
  <c r="X242" i="52"/>
  <c r="AA242" i="52" s="1"/>
  <c r="X184" i="52"/>
  <c r="X808" i="52"/>
  <c r="AA808" i="52" s="1"/>
  <c r="X1000" i="52"/>
  <c r="X1002" i="52"/>
  <c r="AA1002" i="52" s="1"/>
  <c r="X535" i="52"/>
  <c r="AA535" i="52" s="1"/>
  <c r="X154" i="52"/>
  <c r="X592" i="52"/>
  <c r="AA592" i="52" s="1"/>
  <c r="X252" i="52"/>
  <c r="AA252" i="52" s="1"/>
  <c r="X1006" i="52"/>
  <c r="AA1006" i="52" s="1"/>
  <c r="X746" i="52"/>
  <c r="AA746" i="52" s="1"/>
  <c r="X117" i="52"/>
  <c r="AA117" i="52" s="1"/>
  <c r="X1154" i="52"/>
  <c r="AA1154" i="52" s="1"/>
  <c r="X667" i="52"/>
  <c r="AA667" i="52" s="1"/>
  <c r="X757" i="52"/>
  <c r="AA757" i="52" s="1"/>
  <c r="X1185" i="52"/>
  <c r="AA1185" i="52" s="1"/>
  <c r="X216" i="52"/>
  <c r="AA216" i="52" s="1"/>
  <c r="X57" i="52"/>
  <c r="AA57" i="52" s="1"/>
  <c r="X886" i="52"/>
  <c r="AA886" i="52" s="1"/>
  <c r="X1069" i="52"/>
  <c r="AA1069" i="52" s="1"/>
  <c r="X87" i="52"/>
  <c r="AA87" i="52" s="1"/>
  <c r="X591" i="52"/>
  <c r="AA591" i="52" s="1"/>
  <c r="X536" i="52"/>
  <c r="AA536" i="52" s="1"/>
  <c r="X830" i="52"/>
  <c r="AA830" i="52" s="1"/>
  <c r="X1139" i="52"/>
  <c r="AA1139" i="52" s="1"/>
  <c r="X394" i="52"/>
  <c r="AA394" i="52" s="1"/>
  <c r="X331" i="52"/>
  <c r="AA331" i="52" s="1"/>
  <c r="X857" i="52"/>
  <c r="AA857" i="52" s="1"/>
  <c r="X29" i="52"/>
  <c r="AA29" i="52" s="1"/>
  <c r="X543" i="52"/>
  <c r="AA543" i="52" s="1"/>
  <c r="X758" i="52"/>
  <c r="AA758" i="52" s="1"/>
  <c r="X1121" i="52"/>
  <c r="AA1121" i="52" s="1"/>
  <c r="X555" i="52"/>
  <c r="AA555" i="52" s="1"/>
  <c r="X231" i="52"/>
  <c r="AA231" i="52" s="1"/>
  <c r="X693" i="52"/>
  <c r="AA693" i="52" s="1"/>
  <c r="X927" i="52"/>
  <c r="AA927" i="52" s="1"/>
  <c r="X893" i="52"/>
  <c r="AA893" i="52" s="1"/>
  <c r="X707" i="52"/>
  <c r="AA707" i="52" s="1"/>
  <c r="X238" i="52"/>
  <c r="AA238" i="52" s="1"/>
  <c r="X246" i="52"/>
  <c r="AA246" i="52" s="1"/>
  <c r="X94" i="52"/>
  <c r="AA94" i="52" s="1"/>
  <c r="X106" i="52"/>
  <c r="AA106" i="52" s="1"/>
  <c r="X637" i="52"/>
  <c r="AA637" i="52" s="1"/>
  <c r="X415" i="52"/>
  <c r="AA415" i="52" s="1"/>
  <c r="X181" i="52"/>
  <c r="X77" i="52"/>
  <c r="AA77" i="52" s="1"/>
  <c r="X1050" i="52"/>
  <c r="AA1050" i="52" s="1"/>
  <c r="X740" i="52"/>
  <c r="AA740" i="52" s="1"/>
  <c r="X600" i="52"/>
  <c r="X775" i="52"/>
  <c r="AA775" i="52" s="1"/>
  <c r="X463" i="52"/>
  <c r="AA463" i="52" s="1"/>
  <c r="X751" i="52"/>
  <c r="AA751" i="52" s="1"/>
  <c r="X260" i="52"/>
  <c r="AA260" i="52" s="1"/>
  <c r="X147" i="52"/>
  <c r="AA147" i="52" s="1"/>
  <c r="X192" i="52"/>
  <c r="AA192" i="52" s="1"/>
  <c r="X526" i="52"/>
  <c r="AA526" i="52" s="1"/>
  <c r="X848" i="52"/>
  <c r="AA848" i="52" s="1"/>
  <c r="X699" i="52"/>
  <c r="AA699" i="52" s="1"/>
  <c r="X954" i="52"/>
  <c r="AA954" i="52" s="1"/>
  <c r="X146" i="52"/>
  <c r="X839" i="52"/>
  <c r="AA839" i="52" s="1"/>
  <c r="X590" i="52"/>
  <c r="AA590" i="52" s="1"/>
  <c r="X1028" i="52"/>
  <c r="AA1028" i="52" s="1"/>
  <c r="X284" i="52"/>
  <c r="AA284" i="52" s="1"/>
  <c r="X701" i="52"/>
  <c r="AA701" i="52" s="1"/>
  <c r="X36" i="52"/>
  <c r="AA36" i="52" s="1"/>
  <c r="X487" i="52"/>
  <c r="AA487" i="52" s="1"/>
  <c r="X1113" i="52"/>
  <c r="AA1113" i="52" s="1"/>
  <c r="X1025" i="52"/>
  <c r="AA1025" i="52" s="1"/>
  <c r="X540" i="52"/>
  <c r="AA540" i="52" s="1"/>
  <c r="X1014" i="52"/>
  <c r="AA1014" i="52" s="1"/>
  <c r="X422" i="52"/>
  <c r="AA422" i="52" s="1"/>
  <c r="X143" i="52"/>
  <c r="X486" i="52"/>
  <c r="AA486" i="52" s="1"/>
  <c r="X724" i="52"/>
  <c r="AA724" i="52" s="1"/>
  <c r="X549" i="52"/>
  <c r="AA549" i="52" s="1"/>
  <c r="X477" i="52"/>
  <c r="AA477" i="52" s="1"/>
  <c r="X1001" i="52"/>
  <c r="X494" i="52"/>
  <c r="AA494" i="52" s="1"/>
  <c r="X926" i="52"/>
  <c r="AA926" i="52" s="1"/>
  <c r="X93" i="52"/>
  <c r="AA93" i="52" s="1"/>
  <c r="X788" i="52"/>
  <c r="AA788" i="52" s="1"/>
  <c r="X174" i="52"/>
  <c r="X1128" i="52"/>
  <c r="AA1128" i="52" s="1"/>
  <c r="X404" i="52"/>
  <c r="AA404" i="52" s="1"/>
  <c r="X922" i="52"/>
  <c r="AA922" i="52" s="1"/>
  <c r="X917" i="52"/>
  <c r="AA917" i="52" s="1"/>
  <c r="X315" i="52"/>
  <c r="X981" i="52"/>
  <c r="AA981" i="52" s="1"/>
  <c r="X546" i="52"/>
  <c r="AA546" i="52" s="1"/>
  <c r="X955" i="52"/>
  <c r="AA955" i="52" s="1"/>
  <c r="X454" i="52"/>
  <c r="AA454" i="52" s="1"/>
  <c r="X1174" i="52"/>
  <c r="AA1174" i="52" s="1"/>
  <c r="X661" i="52"/>
  <c r="AA661" i="52" s="1"/>
  <c r="X722" i="52"/>
  <c r="AA722" i="52" s="1"/>
  <c r="X974" i="52"/>
  <c r="AA974" i="52" s="1"/>
  <c r="X291" i="52"/>
  <c r="X105" i="52"/>
  <c r="AA105" i="52" s="1"/>
  <c r="X850" i="52"/>
  <c r="AA850" i="52" s="1"/>
  <c r="X337" i="52"/>
  <c r="X1061" i="52"/>
  <c r="AA1061" i="52" s="1"/>
  <c r="X791" i="52"/>
  <c r="AA791" i="52" s="1"/>
  <c r="X531" i="52"/>
  <c r="AA531" i="52" s="1"/>
  <c r="X380" i="52"/>
  <c r="AA380" i="52" s="1"/>
  <c r="X254" i="52"/>
  <c r="AA254" i="52" s="1"/>
  <c r="X874" i="52"/>
  <c r="AA874" i="52" s="1"/>
  <c r="X578" i="52"/>
  <c r="AA578" i="52" s="1"/>
  <c r="X85" i="52"/>
  <c r="AA85" i="52" s="1"/>
  <c r="X710" i="52"/>
  <c r="AA710" i="52" s="1"/>
  <c r="X306" i="52"/>
  <c r="X1096" i="52"/>
  <c r="AA1096" i="52" s="1"/>
  <c r="X411" i="52"/>
  <c r="AA411" i="52" s="1"/>
  <c r="X33" i="52"/>
  <c r="AA33" i="52" s="1"/>
  <c r="X905" i="52"/>
  <c r="AA905" i="52" s="1"/>
  <c r="X934" i="52"/>
  <c r="AA934" i="52" s="1"/>
  <c r="X1007" i="52"/>
  <c r="AA1007" i="52" s="1"/>
  <c r="X1073" i="52"/>
  <c r="AA1073" i="52" s="1"/>
  <c r="X35" i="52"/>
  <c r="AA35" i="52" s="1"/>
  <c r="X594" i="52"/>
  <c r="AA594" i="52" s="1"/>
  <c r="X703" i="52"/>
  <c r="AA703" i="52" s="1"/>
  <c r="X916" i="52"/>
  <c r="AA916" i="52" s="1"/>
  <c r="X1140" i="52"/>
  <c r="AA1140" i="52" s="1"/>
  <c r="X446" i="52"/>
  <c r="AA446" i="52" s="1"/>
  <c r="X335" i="52"/>
  <c r="X855" i="52"/>
  <c r="AA855" i="52" s="1"/>
  <c r="X949" i="52"/>
  <c r="AA949" i="52" s="1"/>
  <c r="X74" i="52"/>
  <c r="AA74" i="52" s="1"/>
  <c r="X397" i="52"/>
  <c r="AA397" i="52" s="1"/>
  <c r="X651" i="52"/>
  <c r="AA651" i="52" s="1"/>
  <c r="X805" i="52"/>
  <c r="AA805" i="52" s="1"/>
  <c r="X1098" i="52"/>
  <c r="AA1098" i="52" s="1"/>
  <c r="X714" i="52"/>
  <c r="AA714" i="52" s="1"/>
  <c r="X880" i="52"/>
  <c r="AA880" i="52" s="1"/>
  <c r="X162" i="52"/>
  <c r="X325" i="52"/>
  <c r="AA325" i="52" s="1"/>
  <c r="X383" i="52"/>
  <c r="AA383" i="52" s="1"/>
  <c r="X233" i="52"/>
  <c r="AA233" i="52" s="1"/>
  <c r="X885" i="52"/>
  <c r="AA885" i="52" s="1"/>
  <c r="X1076" i="52"/>
  <c r="AA1076" i="52" s="1"/>
  <c r="X548" i="52"/>
  <c r="AA548" i="52" s="1"/>
  <c r="X966" i="52"/>
  <c r="AA966" i="52" s="1"/>
  <c r="X25" i="52"/>
  <c r="AA25" i="52" s="1"/>
  <c r="X499" i="52"/>
  <c r="AA499" i="52" s="1"/>
  <c r="X1151" i="52"/>
  <c r="AA1151" i="52" s="1"/>
  <c r="X708" i="52"/>
  <c r="AA708" i="52" s="1"/>
  <c r="X453" i="52"/>
  <c r="AA453" i="52" s="1"/>
  <c r="X455" i="52"/>
  <c r="AA455" i="52" s="1"/>
  <c r="X623" i="52"/>
  <c r="AA623" i="52" s="1"/>
  <c r="X972" i="52"/>
  <c r="AA972" i="52" s="1"/>
  <c r="X868" i="52"/>
  <c r="AA868" i="52" s="1"/>
  <c r="X384" i="52"/>
  <c r="AA384" i="52" s="1"/>
  <c r="X770" i="52"/>
  <c r="AA770" i="52" s="1"/>
  <c r="X951" i="52"/>
  <c r="AA951" i="52" s="1"/>
  <c r="X458" i="52"/>
  <c r="AA458" i="52" s="1"/>
  <c r="X650" i="52"/>
  <c r="AA650" i="52" s="1"/>
  <c r="X114" i="52"/>
  <c r="X715" i="52"/>
  <c r="AA715" i="52" s="1"/>
  <c r="X295" i="52"/>
  <c r="AA295" i="52" s="1"/>
  <c r="X402" i="52"/>
  <c r="AA402" i="52" s="1"/>
  <c r="X1144" i="52"/>
  <c r="AA1144" i="52" s="1"/>
  <c r="X796" i="52"/>
  <c r="AA796" i="52" s="1"/>
  <c r="X1009" i="52"/>
  <c r="AA1009" i="52" s="1"/>
  <c r="X823" i="52"/>
  <c r="AA823" i="52" s="1"/>
  <c r="X937" i="52"/>
  <c r="AA937" i="52" s="1"/>
  <c r="X625" i="52"/>
  <c r="AA625" i="52" s="1"/>
  <c r="X430" i="52"/>
  <c r="AA430" i="52" s="1"/>
  <c r="X527" i="52"/>
  <c r="AA527" i="52" s="1"/>
  <c r="X994" i="52"/>
  <c r="X272" i="52"/>
  <c r="AA272" i="52" s="1"/>
  <c r="X862" i="52"/>
  <c r="AA862" i="52" s="1"/>
  <c r="X188" i="52"/>
  <c r="X475" i="52"/>
  <c r="AA475" i="52" s="1"/>
  <c r="X944" i="52"/>
  <c r="AA944" i="52" s="1"/>
  <c r="X370" i="52"/>
  <c r="AA370" i="52" s="1"/>
  <c r="X400" i="52"/>
  <c r="AA400" i="52" s="1"/>
  <c r="X34" i="52"/>
  <c r="AA34" i="52" s="1"/>
  <c r="X502" i="52"/>
  <c r="AA502" i="52" s="1"/>
  <c r="X356" i="52"/>
  <c r="AA356" i="52" s="1"/>
  <c r="X307" i="52"/>
  <c r="X585" i="52"/>
  <c r="AA585" i="52" s="1"/>
  <c r="X677" i="52"/>
  <c r="AA677" i="52" s="1"/>
  <c r="X68" i="52"/>
  <c r="AA68" i="52" s="1"/>
  <c r="X78" i="52"/>
  <c r="AA78" i="52" s="1"/>
  <c r="X574" i="52"/>
  <c r="AA574" i="52" s="1"/>
  <c r="X1156" i="52"/>
  <c r="AA1156" i="52" s="1"/>
  <c r="X1023" i="52"/>
  <c r="AA1023" i="52" s="1"/>
  <c r="X460" i="52"/>
  <c r="AA460" i="52" s="1"/>
  <c r="X198" i="52"/>
  <c r="AA198" i="52" s="1"/>
  <c r="X662" i="52"/>
  <c r="AA662" i="52" s="1"/>
  <c r="X924" i="52"/>
  <c r="AA924" i="52" s="1"/>
  <c r="X32" i="52"/>
  <c r="AA32" i="52" s="1"/>
  <c r="X113" i="52"/>
  <c r="X1111" i="52"/>
  <c r="AA1111" i="52" s="1"/>
  <c r="X359" i="52"/>
  <c r="AA359" i="52" s="1"/>
  <c r="X217" i="52"/>
  <c r="AA217" i="52" s="1"/>
  <c r="X24" i="52"/>
  <c r="AA24" i="52" s="1"/>
  <c r="X320" i="52"/>
  <c r="X825" i="52"/>
  <c r="AA825" i="52" s="1"/>
  <c r="X193" i="52"/>
  <c r="AA193" i="52" s="1"/>
  <c r="X604" i="52"/>
  <c r="AA604" i="52" s="1"/>
  <c r="X1070" i="52"/>
  <c r="AA1070" i="52" s="1"/>
  <c r="X316" i="52"/>
  <c r="X843" i="52"/>
  <c r="AA843" i="52" s="1"/>
  <c r="X90" i="52"/>
  <c r="AA90" i="52" s="1"/>
  <c r="X80" i="52"/>
  <c r="AA80" i="52" s="1"/>
  <c r="X925" i="52"/>
  <c r="AA925" i="52" s="1"/>
  <c r="X1158" i="52"/>
  <c r="AA1158" i="52" s="1"/>
  <c r="X187" i="52"/>
  <c r="X103" i="52"/>
  <c r="AA103" i="52" s="1"/>
  <c r="X435" i="52"/>
  <c r="AA435" i="52" s="1"/>
  <c r="X61" i="52"/>
  <c r="AA61" i="52" s="1"/>
  <c r="X717" i="52"/>
  <c r="AA717" i="52" s="1"/>
  <c r="X361" i="52"/>
  <c r="AA361" i="52" s="1"/>
  <c r="X1033" i="52"/>
  <c r="AA1033" i="52" s="1"/>
  <c r="X1065" i="52"/>
  <c r="AA1065" i="52" s="1"/>
  <c r="X253" i="52"/>
  <c r="AA253" i="52" s="1"/>
  <c r="X1082" i="52"/>
  <c r="AA1082" i="52" s="1"/>
  <c r="X388" i="52"/>
  <c r="AA388" i="52" s="1"/>
  <c r="X503" i="52"/>
  <c r="AA503" i="52" s="1"/>
  <c r="X845" i="52"/>
  <c r="AA845" i="52" s="1"/>
  <c r="X900" i="52"/>
  <c r="AA900" i="52" s="1"/>
  <c r="X737" i="52"/>
  <c r="AA737" i="52" s="1"/>
  <c r="X1109" i="52"/>
  <c r="AA1109" i="52" s="1"/>
  <c r="X282" i="52"/>
  <c r="AA282" i="52" s="1"/>
  <c r="X1175" i="52"/>
  <c r="AA1175" i="52" s="1"/>
  <c r="X785" i="53"/>
  <c r="X753" i="53"/>
  <c r="X62" i="53"/>
  <c r="X646" i="53"/>
  <c r="X672" i="53"/>
  <c r="X1012" i="53"/>
  <c r="X996" i="53"/>
  <c r="X667" i="53"/>
  <c r="X412" i="53"/>
  <c r="X757" i="53"/>
  <c r="X855" i="53"/>
  <c r="X1099" i="53"/>
  <c r="X852" i="53"/>
  <c r="X1110" i="53"/>
  <c r="X465" i="53"/>
  <c r="X170" i="53"/>
  <c r="X726" i="53"/>
  <c r="X322" i="53"/>
  <c r="X699" i="53"/>
  <c r="X420" i="53"/>
  <c r="X178" i="53"/>
  <c r="X717" i="53"/>
  <c r="X669" i="53"/>
  <c r="X618" i="53"/>
  <c r="X674" i="53"/>
  <c r="X747" i="53"/>
  <c r="X184" i="53"/>
  <c r="X1171" i="53"/>
  <c r="X239" i="53"/>
  <c r="X1077" i="53"/>
  <c r="X759" i="53"/>
  <c r="X1122" i="53"/>
  <c r="X1139" i="53"/>
  <c r="X531" i="53"/>
  <c r="X85" i="53"/>
  <c r="X1065" i="53"/>
  <c r="X704" i="53"/>
  <c r="X1175" i="53"/>
  <c r="X403" i="53"/>
  <c r="X386" i="53"/>
  <c r="X738" i="53"/>
  <c r="X542" i="53"/>
  <c r="X725" i="53"/>
  <c r="X543" i="53"/>
  <c r="X1183" i="53"/>
  <c r="X708" i="53"/>
  <c r="X755" i="53"/>
  <c r="X536" i="53"/>
  <c r="X522" i="53"/>
  <c r="X188" i="53"/>
  <c r="X469" i="53"/>
  <c r="X250" i="53"/>
  <c r="X523" i="53"/>
  <c r="X514" i="53"/>
  <c r="X1033" i="53"/>
  <c r="X914" i="53"/>
  <c r="X865" i="53"/>
  <c r="X144" i="53"/>
  <c r="X516" i="53"/>
  <c r="X808" i="53"/>
  <c r="X156" i="53"/>
  <c r="X259" i="53"/>
  <c r="X1150" i="53"/>
  <c r="X950" i="53"/>
  <c r="X628" i="53"/>
  <c r="X138" i="53"/>
  <c r="X693" i="53"/>
  <c r="X1047" i="53"/>
  <c r="X267" i="53"/>
  <c r="X959" i="53"/>
  <c r="X1029" i="53"/>
  <c r="X895" i="53"/>
  <c r="X823" i="53"/>
  <c r="X1046" i="53"/>
  <c r="X874" i="53"/>
  <c r="X894" i="53"/>
  <c r="X429" i="53"/>
  <c r="X916" i="53"/>
  <c r="X84" i="53"/>
  <c r="X69" i="53"/>
  <c r="X533" i="53"/>
  <c r="X1070" i="53"/>
  <c r="X929" i="53"/>
  <c r="X546" i="53"/>
  <c r="X240" i="53"/>
  <c r="X134" i="53"/>
  <c r="X882" i="53"/>
  <c r="X1067" i="53"/>
  <c r="X617" i="53"/>
  <c r="X342" i="53"/>
  <c r="X274" i="53"/>
  <c r="X136" i="53"/>
  <c r="X53" i="53"/>
  <c r="X1089" i="53"/>
  <c r="X193" i="53"/>
  <c r="X393" i="53"/>
  <c r="X424" i="53"/>
  <c r="X235" i="53"/>
  <c r="X891" i="53"/>
  <c r="X821" i="53"/>
  <c r="X673" i="53"/>
  <c r="X842" i="53"/>
  <c r="X422" i="53"/>
  <c r="X1036" i="53"/>
  <c r="X935" i="53"/>
  <c r="X740" i="53"/>
  <c r="X791" i="53"/>
  <c r="X867" i="53"/>
  <c r="X1105" i="53"/>
  <c r="X705" i="53"/>
  <c r="X1155" i="53"/>
  <c r="X886" i="53"/>
  <c r="X1128" i="53"/>
  <c r="X287" i="53"/>
  <c r="X409" i="53"/>
  <c r="X626" i="53"/>
  <c r="X404" i="53"/>
  <c r="X661" i="53"/>
  <c r="X414" i="53"/>
  <c r="X517" i="53"/>
  <c r="X1056" i="53"/>
  <c r="X77" i="53"/>
  <c r="X770" i="53"/>
  <c r="X760" i="53"/>
  <c r="X50" i="53"/>
  <c r="X958" i="53"/>
  <c r="X995" i="53"/>
  <c r="X1169" i="53"/>
  <c r="X1016" i="53"/>
  <c r="X93" i="53"/>
  <c r="X1182" i="53"/>
  <c r="X1061" i="53"/>
  <c r="X613" i="53"/>
  <c r="X476" i="53"/>
  <c r="X548" i="53"/>
  <c r="X970" i="53"/>
  <c r="X748" i="53"/>
  <c r="X666" i="53"/>
  <c r="X294" i="53"/>
  <c r="X316" i="53"/>
  <c r="X407" i="53"/>
  <c r="X984" i="53"/>
  <c r="X1022" i="53"/>
  <c r="X500" i="53"/>
  <c r="X1123" i="53"/>
  <c r="X211" i="53"/>
  <c r="X243" i="53"/>
  <c r="X167" i="53"/>
  <c r="X520" i="53"/>
  <c r="X803" i="53"/>
  <c r="X317" i="53"/>
  <c r="X1082" i="53"/>
  <c r="X845" i="53"/>
  <c r="X662" i="53"/>
  <c r="X644" i="53"/>
  <c r="X976" i="53"/>
  <c r="X825" i="53"/>
  <c r="X777" i="53"/>
  <c r="X512" i="53"/>
  <c r="X82" i="53"/>
  <c r="X953" i="53"/>
  <c r="X379" i="53"/>
  <c r="X104" i="53"/>
  <c r="X762" i="53"/>
  <c r="X586" i="53"/>
  <c r="X333" i="53"/>
  <c r="X987" i="53"/>
  <c r="X603" i="53"/>
  <c r="X806" i="53"/>
  <c r="X387" i="53"/>
  <c r="X502" i="53"/>
  <c r="X451" i="53"/>
  <c r="X1141" i="53"/>
  <c r="X761" i="53"/>
  <c r="X1137" i="53"/>
  <c r="X769" i="53"/>
  <c r="X937" i="53"/>
  <c r="X992" i="53"/>
  <c r="X89" i="53"/>
  <c r="X654" i="53"/>
  <c r="X68" i="53"/>
  <c r="X877" i="53"/>
  <c r="X1066" i="53"/>
  <c r="X888" i="53"/>
  <c r="X435" i="53"/>
  <c r="X994" i="53"/>
  <c r="X928" i="53"/>
  <c r="X571" i="53"/>
  <c r="X201" i="53"/>
  <c r="X1018" i="53"/>
  <c r="X142" i="52"/>
  <c r="X569" i="53"/>
  <c r="X251" i="53"/>
  <c r="X390" i="53"/>
  <c r="X1152" i="53"/>
  <c r="X724" i="53"/>
  <c r="X829" i="53"/>
  <c r="X938" i="53"/>
  <c r="X866" i="53"/>
  <c r="X562" i="53"/>
  <c r="X49" i="53"/>
  <c r="X983" i="53"/>
  <c r="X972" i="53"/>
  <c r="X365" i="53"/>
  <c r="X271" i="53"/>
  <c r="X269" i="53"/>
  <c r="X671" i="53"/>
  <c r="X774" i="53"/>
  <c r="X1124" i="53"/>
  <c r="X934" i="53"/>
  <c r="X149" i="53"/>
  <c r="X1174" i="53"/>
  <c r="X449" i="53"/>
  <c r="X1140" i="53"/>
  <c r="X579" i="53"/>
  <c r="X1157" i="53"/>
  <c r="X341" i="53"/>
  <c r="X298" i="53"/>
  <c r="X529" i="53"/>
  <c r="X275" i="53"/>
  <c r="X637" i="53"/>
  <c r="X838" i="53"/>
  <c r="X124" i="53"/>
  <c r="X491" i="53"/>
  <c r="X820" i="53"/>
  <c r="X955" i="53"/>
  <c r="X362" i="53"/>
  <c r="X741" i="53"/>
  <c r="X288" i="53"/>
  <c r="X635" i="53"/>
  <c r="X572" i="53"/>
  <c r="X816" i="53"/>
  <c r="X1116" i="53"/>
  <c r="X822" i="53"/>
  <c r="X629" i="53"/>
  <c r="X59" i="53"/>
  <c r="X797" i="53"/>
  <c r="X833" i="53"/>
  <c r="X1158" i="53"/>
  <c r="X238" i="53"/>
  <c r="X729" i="53"/>
  <c r="X1185" i="53"/>
  <c r="X1111" i="53"/>
  <c r="X1008" i="53"/>
  <c r="X481" i="53"/>
  <c r="X544" i="53"/>
  <c r="X746" i="53"/>
  <c r="X652" i="53"/>
  <c r="X300" i="53"/>
  <c r="X807" i="53"/>
  <c r="X459" i="53"/>
  <c r="X919" i="53"/>
  <c r="X854" i="53"/>
  <c r="X923" i="53"/>
  <c r="X197" i="53"/>
  <c r="X484" i="53"/>
  <c r="X219" i="53"/>
  <c r="X665" i="53"/>
  <c r="X1163" i="53"/>
  <c r="X293" i="53"/>
  <c r="X897" i="53"/>
  <c r="X1130" i="53"/>
  <c r="X1180" i="53"/>
  <c r="X742" i="53"/>
  <c r="X338" i="53"/>
  <c r="X858" i="53"/>
  <c r="X555" i="53"/>
  <c r="X939" i="53"/>
  <c r="X1072" i="53"/>
  <c r="X860" i="53"/>
  <c r="X216" i="53"/>
  <c r="X192" i="53"/>
  <c r="X117" i="53"/>
  <c r="X783" i="53"/>
  <c r="X122" i="53"/>
  <c r="X452" i="53"/>
  <c r="X506" i="53"/>
  <c r="X1074" i="53"/>
  <c r="X112" i="53"/>
  <c r="X385" i="53"/>
  <c r="X841" i="53"/>
  <c r="X105" i="53"/>
  <c r="X660" i="53"/>
  <c r="X221" i="53"/>
  <c r="X1092" i="53"/>
  <c r="X215" i="53"/>
  <c r="X366" i="53"/>
  <c r="X1161" i="53"/>
  <c r="X391" i="53"/>
  <c r="X567" i="53"/>
  <c r="X836" i="53"/>
  <c r="X101" i="53"/>
  <c r="X109" i="53"/>
  <c r="X1176" i="53"/>
  <c r="X209" i="53"/>
  <c r="X623" i="53"/>
  <c r="X410" i="53"/>
  <c r="X971" i="53"/>
  <c r="X714" i="53"/>
  <c r="X1166" i="53"/>
  <c r="X999" i="53"/>
  <c r="X473" i="53"/>
  <c r="X798" i="53"/>
  <c r="X917" i="53"/>
  <c r="X881" i="53"/>
  <c r="X1109" i="53"/>
  <c r="X800" i="53"/>
  <c r="X23" i="53"/>
  <c r="X258" i="53"/>
  <c r="X530" i="53"/>
  <c r="X162" i="53"/>
  <c r="X527" i="53"/>
  <c r="X634" i="53"/>
  <c r="X1060" i="53"/>
  <c r="X550" i="53"/>
  <c r="X1032" i="53"/>
  <c r="X1093" i="53"/>
  <c r="X885" i="53"/>
  <c r="X183" i="53"/>
  <c r="X554" i="52"/>
  <c r="AA554" i="52" s="1"/>
  <c r="X768" i="52"/>
  <c r="AA768" i="52" s="1"/>
  <c r="X589" i="52"/>
  <c r="AA589" i="52" s="1"/>
  <c r="X141" i="52"/>
  <c r="X666" i="52"/>
  <c r="AA666" i="52" s="1"/>
  <c r="X26" i="52"/>
  <c r="AA26" i="52" s="1"/>
  <c r="X756" i="52"/>
  <c r="AA756" i="52" s="1"/>
  <c r="X420" i="52"/>
  <c r="AA420" i="52" s="1"/>
  <c r="X1080" i="52"/>
  <c r="AA1080" i="52" s="1"/>
  <c r="X371" i="52"/>
  <c r="AA371" i="52" s="1"/>
  <c r="X374" i="52"/>
  <c r="AA374" i="52" s="1"/>
  <c r="X786" i="52"/>
  <c r="AA786" i="52" s="1"/>
  <c r="X299" i="52"/>
  <c r="AA299" i="52" s="1"/>
  <c r="X654" i="52"/>
  <c r="AA654" i="52" s="1"/>
  <c r="X742" i="52"/>
  <c r="AA742" i="52" s="1"/>
  <c r="X582" i="52"/>
  <c r="AA582" i="52" s="1"/>
  <c r="X785" i="52"/>
  <c r="AA785" i="52" s="1"/>
  <c r="X389" i="52"/>
  <c r="AA389" i="52" s="1"/>
  <c r="X1043" i="52"/>
  <c r="AA1043" i="52" s="1"/>
  <c r="X736" i="52"/>
  <c r="AA736" i="52" s="1"/>
  <c r="X183" i="52"/>
  <c r="X771" i="52"/>
  <c r="AA771" i="52" s="1"/>
  <c r="X86" i="52"/>
  <c r="AA86" i="52" s="1"/>
  <c r="X164" i="52"/>
  <c r="X240" i="52"/>
  <c r="AA240" i="52" s="1"/>
  <c r="X452" i="52"/>
  <c r="AA452" i="52" s="1"/>
  <c r="X360" i="52"/>
  <c r="AA360" i="52" s="1"/>
  <c r="X1068" i="52"/>
  <c r="AA1068" i="52" s="1"/>
  <c r="X1037" i="52"/>
  <c r="AA1037" i="52" s="1"/>
  <c r="X1137" i="52"/>
  <c r="AA1137" i="52" s="1"/>
  <c r="X560" i="52"/>
  <c r="AA560" i="52" s="1"/>
  <c r="X232" i="52"/>
  <c r="AA232" i="52" s="1"/>
  <c r="X821" i="52"/>
  <c r="AA821" i="52" s="1"/>
  <c r="X1106" i="52"/>
  <c r="AA1106" i="52" s="1"/>
  <c r="X762" i="52"/>
  <c r="AA762" i="52" s="1"/>
  <c r="X988" i="52"/>
  <c r="AA988" i="52" s="1"/>
  <c r="X466" i="52"/>
  <c r="AA466" i="52" s="1"/>
  <c r="X541" i="52"/>
  <c r="AA541" i="52" s="1"/>
  <c r="X704" i="52"/>
  <c r="AA704" i="52" s="1"/>
  <c r="X31" i="52"/>
  <c r="AA31" i="52" s="1"/>
  <c r="X858" i="52"/>
  <c r="AA858" i="52" s="1"/>
  <c r="X330" i="52"/>
  <c r="AA330" i="52" s="1"/>
  <c r="X766" i="52"/>
  <c r="AA766" i="52" s="1"/>
  <c r="X523" i="52"/>
  <c r="AA523" i="52" s="1"/>
  <c r="X153" i="52"/>
  <c r="X111" i="52"/>
  <c r="X760" i="52"/>
  <c r="AA760" i="52" s="1"/>
  <c r="X601" i="55"/>
  <c r="AA601" i="55" s="1"/>
  <c r="AA600" i="52"/>
  <c r="AA354" i="52"/>
  <c r="AA844" i="52"/>
  <c r="AA890" i="52"/>
  <c r="AA76" i="52"/>
  <c r="AA1120" i="52"/>
  <c r="AA881" i="52"/>
  <c r="AA1041" i="52"/>
  <c r="X1104" i="55"/>
  <c r="AA619" i="52"/>
  <c r="AA970" i="52"/>
  <c r="AA262" i="52"/>
  <c r="X387" i="55"/>
  <c r="X627" i="53"/>
  <c r="X310" i="55"/>
  <c r="X837" i="55"/>
  <c r="X153" i="53"/>
  <c r="X869" i="53"/>
  <c r="X331" i="53"/>
  <c r="X712" i="53"/>
  <c r="X314" i="53"/>
  <c r="X767" i="53"/>
  <c r="X764" i="53"/>
  <c r="X376" i="53"/>
  <c r="X1142" i="55"/>
  <c r="X237" i="55"/>
  <c r="X1154" i="53"/>
  <c r="X585" i="53"/>
  <c r="X1026" i="53"/>
  <c r="X925" i="53"/>
  <c r="X1027" i="53"/>
  <c r="X588" i="53"/>
  <c r="X600" i="55"/>
  <c r="AA600" i="55" s="1"/>
  <c r="X1007" i="55"/>
  <c r="X262" i="53"/>
  <c r="X1025" i="53"/>
  <c r="X912" i="53"/>
  <c r="X490" i="53"/>
  <c r="X1023" i="53"/>
  <c r="X353" i="53"/>
  <c r="X396" i="53"/>
  <c r="X964" i="53"/>
  <c r="X247" i="53"/>
  <c r="X467" i="53"/>
  <c r="X1125" i="53"/>
  <c r="X951" i="53"/>
  <c r="X515" i="53"/>
  <c r="X1121" i="53"/>
  <c r="X751" i="53"/>
  <c r="X906" i="53"/>
  <c r="X402" i="53"/>
  <c r="X1009" i="53"/>
  <c r="X1143" i="53"/>
  <c r="X952" i="53"/>
  <c r="X1049" i="53"/>
  <c r="X182" i="53"/>
  <c r="X722" i="53"/>
  <c r="X406" i="53"/>
  <c r="X519" i="53"/>
  <c r="X431" i="53"/>
  <c r="X1044" i="53"/>
  <c r="X461" i="53"/>
  <c r="X745" i="53"/>
  <c r="X311" i="53"/>
  <c r="X639" i="53"/>
  <c r="X795" i="53"/>
  <c r="X145" i="53"/>
  <c r="X651" i="53"/>
  <c r="X779" i="53"/>
  <c r="X1091" i="53"/>
  <c r="X1142" i="53"/>
  <c r="X521" i="53"/>
  <c r="X417" i="53"/>
  <c r="X716" i="53"/>
  <c r="X1170" i="53"/>
  <c r="X281" i="53"/>
  <c r="X695" i="53"/>
  <c r="X72" i="53"/>
  <c r="X253" i="53"/>
  <c r="X978" i="53"/>
  <c r="X773" i="53"/>
  <c r="X538" i="53"/>
  <c r="X254" i="53"/>
  <c r="X1075" i="53"/>
  <c r="X418" i="53"/>
  <c r="X975" i="53"/>
  <c r="X1006" i="53"/>
  <c r="X405" i="53"/>
  <c r="X962" i="53"/>
  <c r="X990" i="53"/>
  <c r="X133" i="53"/>
  <c r="X75" i="53"/>
  <c r="X752" i="53"/>
  <c r="X607" i="53"/>
  <c r="X963" i="53"/>
  <c r="X290" i="53"/>
  <c r="X1084" i="53"/>
  <c r="X150" i="53"/>
  <c r="X354" i="53"/>
  <c r="X94" i="53"/>
  <c r="X732" i="53"/>
  <c r="X590" i="53"/>
  <c r="X397" i="53"/>
  <c r="X292" i="53"/>
  <c r="X802" i="53"/>
  <c r="X565" i="53"/>
  <c r="X340" i="53"/>
  <c r="X786" i="53"/>
  <c r="X578" i="53"/>
  <c r="X1173" i="53"/>
  <c r="X985" i="53"/>
  <c r="X1002" i="53"/>
  <c r="X824" i="53"/>
  <c r="X1050" i="53"/>
  <c r="X648" i="53"/>
  <c r="X1100" i="53"/>
  <c r="X915" i="53"/>
  <c r="X273" i="53"/>
  <c r="X63" i="53"/>
  <c r="X545" i="53"/>
  <c r="X224" i="53"/>
  <c r="X489" i="53"/>
  <c r="X847" i="53"/>
  <c r="X54" i="53"/>
  <c r="X301" i="53"/>
  <c r="X1005" i="53"/>
  <c r="X988" i="53"/>
  <c r="X349" i="53"/>
  <c r="X989" i="53"/>
  <c r="X687" i="53"/>
  <c r="X883" i="53"/>
  <c r="X285" i="53"/>
  <c r="X1011" i="53"/>
  <c r="X1013" i="53"/>
  <c r="X875" i="53"/>
  <c r="X944" i="53"/>
  <c r="X103" i="53"/>
  <c r="X1080" i="53"/>
  <c r="X164" i="53"/>
  <c r="X344" i="53"/>
  <c r="X277" i="53"/>
  <c r="X940" i="53"/>
  <c r="X232" i="53"/>
  <c r="X857" i="53"/>
  <c r="X234" i="53"/>
  <c r="X793" i="53"/>
  <c r="X698" i="53"/>
  <c r="X1144" i="53"/>
  <c r="X844" i="53"/>
  <c r="X694" i="53"/>
  <c r="X911" i="53"/>
  <c r="X1073" i="53"/>
  <c r="X507" i="53"/>
  <c r="X139" i="53"/>
  <c r="X749" i="53"/>
  <c r="X1057" i="53"/>
  <c r="X161" i="53"/>
  <c r="X631" i="53"/>
  <c r="X541" i="53"/>
  <c r="X470" i="53"/>
  <c r="X1078" i="53"/>
  <c r="X270" i="53"/>
  <c r="X594" i="53"/>
  <c r="X430" i="53"/>
  <c r="X90" i="53"/>
  <c r="X207" i="53"/>
  <c r="X815" i="53"/>
  <c r="X922" i="53"/>
  <c r="X440" i="53"/>
  <c r="X871" i="53"/>
  <c r="X918" i="53"/>
  <c r="X1147" i="53"/>
  <c r="X106" i="53"/>
  <c r="X649" i="53"/>
  <c r="X595" i="53"/>
  <c r="X1030" i="53"/>
  <c r="X266" i="53"/>
  <c r="X325" i="53"/>
  <c r="X873" i="53"/>
  <c r="X325" i="55"/>
  <c r="X513" i="55"/>
  <c r="X1111" i="55"/>
  <c r="X99" i="55"/>
  <c r="AA99" i="55" s="1"/>
  <c r="X342" i="55"/>
  <c r="X385" i="55"/>
  <c r="X149" i="55"/>
  <c r="X554" i="55"/>
  <c r="X699" i="55"/>
  <c r="AA699" i="55" s="1"/>
  <c r="X607" i="55"/>
  <c r="AA607" i="55" s="1"/>
  <c r="X425" i="55"/>
  <c r="X293" i="55"/>
  <c r="AA293" i="55" s="1"/>
  <c r="X619" i="55"/>
  <c r="X617" i="55"/>
  <c r="AA617" i="55" s="1"/>
  <c r="X1041" i="55"/>
  <c r="X1015" i="55"/>
  <c r="AA1015" i="55" s="1"/>
  <c r="X708" i="55"/>
  <c r="X69" i="55"/>
  <c r="X592" i="55"/>
  <c r="X693" i="55"/>
  <c r="AA693" i="55" s="1"/>
  <c r="X791" i="55"/>
  <c r="X1126" i="55"/>
  <c r="X148" i="55"/>
  <c r="X398" i="55"/>
  <c r="X167" i="55"/>
  <c r="AA167" i="55" s="1"/>
  <c r="X159" i="55"/>
  <c r="X840" i="55"/>
  <c r="X1162" i="55"/>
  <c r="X818" i="55"/>
  <c r="AA818" i="55" s="1"/>
  <c r="X1173" i="55"/>
  <c r="X410" i="55"/>
  <c r="X367" i="55"/>
  <c r="X610" i="55"/>
  <c r="AA610" i="55" s="1"/>
  <c r="X839" i="55"/>
  <c r="AA839" i="55" s="1"/>
  <c r="X486" i="55"/>
  <c r="AA486" i="55" s="1"/>
  <c r="X350" i="55"/>
  <c r="AA350" i="55" s="1"/>
  <c r="X504" i="55"/>
  <c r="AA504" i="55" s="1"/>
  <c r="X1149" i="55"/>
  <c r="X736" i="55"/>
  <c r="X351" i="55"/>
  <c r="X365" i="55"/>
  <c r="X517" i="55"/>
  <c r="AA517" i="55" s="1"/>
  <c r="X320" i="55"/>
  <c r="X1050" i="55"/>
  <c r="AA1050" i="55" s="1"/>
  <c r="X1164" i="55"/>
  <c r="X655" i="55"/>
  <c r="X959" i="55"/>
  <c r="X645" i="55"/>
  <c r="AA645" i="55" s="1"/>
  <c r="X1030" i="55"/>
  <c r="AA1030" i="55" s="1"/>
  <c r="X430" i="55"/>
  <c r="AA430" i="55" s="1"/>
  <c r="X713" i="55"/>
  <c r="X389" i="55"/>
  <c r="AA389" i="55" s="1"/>
  <c r="X377" i="55"/>
  <c r="X404" i="55"/>
  <c r="X625" i="55"/>
  <c r="AA625" i="55" s="1"/>
  <c r="X212" i="55"/>
  <c r="X727" i="55"/>
  <c r="AA727" i="55" s="1"/>
  <c r="X945" i="55"/>
  <c r="AA945" i="55" s="1"/>
  <c r="X709" i="55"/>
  <c r="AA709" i="55" s="1"/>
  <c r="X331" i="55"/>
  <c r="X577" i="55"/>
  <c r="AA577" i="55" s="1"/>
  <c r="X170" i="55"/>
  <c r="X646" i="55"/>
  <c r="AA646" i="55" s="1"/>
  <c r="X368" i="55"/>
  <c r="AA368" i="55" s="1"/>
  <c r="X440" i="55"/>
  <c r="X1185" i="55"/>
  <c r="AA1185" i="55" s="1"/>
  <c r="X376" i="55"/>
  <c r="AA376" i="55" s="1"/>
  <c r="X548" i="55"/>
  <c r="AA548" i="55" s="1"/>
  <c r="X1105" i="55"/>
  <c r="AA1105" i="55" s="1"/>
  <c r="X1002" i="55"/>
  <c r="X602" i="55"/>
  <c r="X734" i="55"/>
  <c r="X171" i="55"/>
  <c r="AA171" i="55" s="1"/>
  <c r="X73" i="55"/>
  <c r="X134" i="55"/>
  <c r="X862" i="55"/>
  <c r="AA862" i="55" s="1"/>
  <c r="X722" i="55"/>
  <c r="X1097" i="55"/>
  <c r="X346" i="55"/>
  <c r="X572" i="55"/>
  <c r="AA572" i="55" s="1"/>
  <c r="X1011" i="55"/>
  <c r="AA1011" i="55" s="1"/>
  <c r="X424" i="55"/>
  <c r="AA424" i="55" s="1"/>
  <c r="X1057" i="55"/>
  <c r="AA1057" i="55" s="1"/>
  <c r="X668" i="55"/>
  <c r="X1120" i="55"/>
  <c r="X1072" i="55"/>
  <c r="X42" i="55"/>
  <c r="AA42" i="55" s="1"/>
  <c r="X910" i="55"/>
  <c r="X794" i="55"/>
  <c r="AA794" i="55" s="1"/>
  <c r="X107" i="55"/>
  <c r="AA107" i="55" s="1"/>
  <c r="X913" i="55"/>
  <c r="X703" i="55"/>
  <c r="X855" i="55"/>
  <c r="X458" i="55"/>
  <c r="X74" i="55"/>
  <c r="X374" i="55"/>
  <c r="X697" i="55"/>
  <c r="X485" i="55"/>
  <c r="X841" i="55"/>
  <c r="X228" i="55"/>
  <c r="AA228" i="55" s="1"/>
  <c r="X161" i="55"/>
  <c r="AA161" i="55" s="1"/>
  <c r="X662" i="55"/>
  <c r="X920" i="55"/>
  <c r="X106" i="55"/>
  <c r="X174" i="55"/>
  <c r="AA174" i="55" s="1"/>
  <c r="X48" i="55"/>
  <c r="X1062" i="55"/>
  <c r="AA1062" i="55" s="1"/>
  <c r="X497" i="55"/>
  <c r="AA497" i="55" s="1"/>
  <c r="X1064" i="55"/>
  <c r="X529" i="55"/>
  <c r="X1094" i="55"/>
  <c r="X508" i="55"/>
  <c r="X640" i="55"/>
  <c r="AA640" i="55" s="1"/>
  <c r="X286" i="55"/>
  <c r="X312" i="55"/>
  <c r="AA312" i="55" s="1"/>
  <c r="X186" i="55"/>
  <c r="X337" i="55"/>
  <c r="X1009" i="55"/>
  <c r="AA1009" i="55" s="1"/>
  <c r="X903" i="55"/>
  <c r="X138" i="55"/>
  <c r="X413" i="55"/>
  <c r="X239" i="55"/>
  <c r="X702" i="55"/>
  <c r="AA702" i="55" s="1"/>
  <c r="X1003" i="55"/>
  <c r="AA1003" i="55" s="1"/>
  <c r="X1140" i="55"/>
  <c r="X85" i="55"/>
  <c r="X729" i="55"/>
  <c r="X940" i="55"/>
  <c r="X465" i="55"/>
  <c r="AA465" i="55" s="1"/>
  <c r="X769" i="55"/>
  <c r="X1036" i="55"/>
  <c r="X860" i="55"/>
  <c r="AA860" i="55" s="1"/>
  <c r="X276" i="55"/>
  <c r="AA276" i="55" s="1"/>
  <c r="X232" i="55"/>
  <c r="X978" i="55"/>
  <c r="X501" i="55"/>
  <c r="X84" i="55"/>
  <c r="X1095" i="55"/>
  <c r="AA1095" i="55" s="1"/>
  <c r="X906" i="55"/>
  <c r="X608" i="55"/>
  <c r="X1000" i="55"/>
  <c r="X86" i="55"/>
  <c r="X896" i="55"/>
  <c r="AA896" i="55" s="1"/>
  <c r="X502" i="55"/>
  <c r="AA502" i="55" s="1"/>
  <c r="X728" i="55"/>
  <c r="AA728" i="55" s="1"/>
  <c r="X235" i="55"/>
  <c r="X1024" i="55"/>
  <c r="X998" i="55"/>
  <c r="X323" i="55"/>
  <c r="AA323" i="55" s="1"/>
  <c r="X823" i="55"/>
  <c r="AA823" i="55" s="1"/>
  <c r="X1027" i="55"/>
  <c r="X689" i="55"/>
  <c r="X125" i="55"/>
  <c r="X230" i="55"/>
  <c r="X943" i="55"/>
  <c r="X1017" i="55"/>
  <c r="X462" i="55"/>
  <c r="AA462" i="55" s="1"/>
  <c r="X188" i="55"/>
  <c r="X973" i="55"/>
  <c r="X206" i="55"/>
  <c r="X432" i="55"/>
  <c r="X273" i="55"/>
  <c r="AA273" i="55" s="1"/>
  <c r="X1131" i="55"/>
  <c r="X354" i="55"/>
  <c r="X661" i="55"/>
  <c r="AA661" i="55" s="1"/>
  <c r="X530" i="55"/>
  <c r="X974" i="55"/>
  <c r="AA974" i="55" s="1"/>
  <c r="X274" i="55"/>
  <c r="X463" i="55"/>
  <c r="AA463" i="55" s="1"/>
  <c r="X241" i="55"/>
  <c r="X321" i="55"/>
  <c r="X1054" i="55"/>
  <c r="X438" i="55"/>
  <c r="X203" i="55"/>
  <c r="X869" i="55"/>
  <c r="X928" i="55"/>
  <c r="X415" i="55"/>
  <c r="AA415" i="55" s="1"/>
  <c r="X634" i="55"/>
  <c r="AA634" i="55" s="1"/>
  <c r="X336" i="55"/>
  <c r="X128" i="55"/>
  <c r="AA128" i="55" s="1"/>
  <c r="X334" i="55"/>
  <c r="X534" i="55"/>
  <c r="X776" i="55"/>
  <c r="X1146" i="55"/>
  <c r="X204" i="55"/>
  <c r="X349" i="55"/>
  <c r="X883" i="55"/>
  <c r="X461" i="55"/>
  <c r="X1125" i="55"/>
  <c r="X895" i="55"/>
  <c r="X122" i="55"/>
  <c r="X757" i="55"/>
  <c r="AA757" i="55" s="1"/>
  <c r="X396" i="55"/>
  <c r="AA396" i="55" s="1"/>
  <c r="X308" i="55"/>
  <c r="X491" i="55"/>
  <c r="X1099" i="55"/>
  <c r="X571" i="55"/>
  <c r="X922" i="55"/>
  <c r="AA922" i="55" s="1"/>
  <c r="X762" i="55"/>
  <c r="X33" i="55"/>
  <c r="AA33" i="55" s="1"/>
  <c r="X219" i="55"/>
  <c r="X696" i="55"/>
  <c r="X470" i="55"/>
  <c r="X888" i="55"/>
  <c r="X277" i="55"/>
  <c r="AA277" i="55" s="1"/>
  <c r="X758" i="55"/>
  <c r="X581" i="55"/>
  <c r="X542" i="55"/>
  <c r="AA542" i="55" s="1"/>
  <c r="X644" i="55"/>
  <c r="X343" i="55"/>
  <c r="X537" i="55"/>
  <c r="X55" i="55"/>
  <c r="AA55" i="55" s="1"/>
  <c r="X866" i="55"/>
  <c r="AA866" i="55" s="1"/>
  <c r="X1115" i="55"/>
  <c r="X283" i="55"/>
  <c r="AA283" i="55" s="1"/>
  <c r="X439" i="55"/>
  <c r="X635" i="55"/>
  <c r="X911" i="55"/>
  <c r="X369" i="55"/>
  <c r="X200" i="55"/>
  <c r="X1143" i="55"/>
  <c r="X1124" i="55"/>
  <c r="X221" i="55"/>
  <c r="X894" i="55"/>
  <c r="AA894" i="55" s="1"/>
  <c r="X778" i="55"/>
  <c r="AA778" i="55" s="1"/>
  <c r="X90" i="55"/>
  <c r="X984" i="55"/>
  <c r="X1180" i="55"/>
  <c r="X882" i="55"/>
  <c r="X1102" i="55"/>
  <c r="X176" i="55"/>
  <c r="X528" i="55"/>
  <c r="X420" i="55"/>
  <c r="X1160" i="55"/>
  <c r="X768" i="55"/>
  <c r="X215" i="55"/>
  <c r="X370" i="55"/>
  <c r="AA370" i="55" s="1"/>
  <c r="X447" i="55"/>
  <c r="X245" i="55"/>
  <c r="X549" i="55"/>
  <c r="AA549" i="55" s="1"/>
  <c r="X623" i="55"/>
  <c r="AA623" i="55" s="1"/>
  <c r="X113" i="55"/>
  <c r="X32" i="55"/>
  <c r="X852" i="55"/>
  <c r="AA852" i="55" s="1"/>
  <c r="X552" i="55"/>
  <c r="X589" i="55"/>
  <c r="X561" i="55"/>
  <c r="X742" i="55"/>
  <c r="X175" i="55"/>
  <c r="AA175" i="55" s="1"/>
  <c r="X812" i="55"/>
  <c r="X1182" i="55"/>
  <c r="X985" i="55"/>
  <c r="AA985" i="55" s="1"/>
  <c r="X242" i="55"/>
  <c r="X1031" i="55"/>
  <c r="X375" i="55"/>
  <c r="X482" i="55"/>
  <c r="X520" i="55"/>
  <c r="AA520" i="55" s="1"/>
  <c r="X690" i="55"/>
  <c r="X318" i="55"/>
  <c r="X187" i="55"/>
  <c r="AA187" i="55" s="1"/>
  <c r="X406" i="55"/>
  <c r="X146" i="55"/>
  <c r="X468" i="55"/>
  <c r="X1151" i="55"/>
  <c r="X816" i="55"/>
  <c r="X158" i="55"/>
  <c r="X492" i="55"/>
  <c r="X544" i="55"/>
  <c r="X781" i="55"/>
  <c r="AA781" i="55" s="1"/>
  <c r="X1038" i="55"/>
  <c r="X152" i="55"/>
  <c r="X417" i="55"/>
  <c r="AA417" i="55" s="1"/>
  <c r="X824" i="55"/>
  <c r="X923" i="55"/>
  <c r="X103" i="55"/>
  <c r="X545" i="55"/>
  <c r="AA545" i="55" s="1"/>
  <c r="X779" i="55"/>
  <c r="AA779" i="55" s="1"/>
  <c r="X979" i="55"/>
  <c r="X355" i="55"/>
  <c r="X258" i="55"/>
  <c r="X238" i="55"/>
  <c r="AA238" i="55" s="1"/>
  <c r="X721" i="55"/>
  <c r="X250" i="55"/>
  <c r="X975" i="55"/>
  <c r="X972" i="55"/>
  <c r="X782" i="55"/>
  <c r="X251" i="55"/>
  <c r="X755" i="55"/>
  <c r="AA755" i="55" s="1"/>
  <c r="X611" i="55"/>
  <c r="AA611" i="55" s="1"/>
  <c r="X904" i="55"/>
  <c r="X110" i="55"/>
  <c r="X714" i="55"/>
  <c r="AA714" i="55" s="1"/>
  <c r="X437" i="55"/>
  <c r="X829" i="55"/>
  <c r="X157" i="55"/>
  <c r="X897" i="55"/>
  <c r="X664" i="55"/>
  <c r="X615" i="55"/>
  <c r="X449" i="55"/>
  <c r="X509" i="55"/>
  <c r="AA509" i="55" s="1"/>
  <c r="X115" i="55"/>
  <c r="X123" i="55"/>
  <c r="AA123" i="55" s="1"/>
  <c r="X1174" i="55"/>
  <c r="X210" i="55"/>
  <c r="AA210" i="55" s="1"/>
  <c r="X61" i="55"/>
  <c r="AA61" i="55" s="1"/>
  <c r="X964" i="55"/>
  <c r="X300" i="55"/>
  <c r="X1093" i="55"/>
  <c r="AA1093" i="55" s="1"/>
  <c r="X1078" i="55"/>
  <c r="X874" i="55"/>
  <c r="X588" i="55"/>
  <c r="X935" i="55"/>
  <c r="AA935" i="55" s="1"/>
  <c r="X240" i="55"/>
  <c r="X400" i="55"/>
  <c r="X494" i="55"/>
  <c r="AA494" i="55" s="1"/>
  <c r="X569" i="55"/>
  <c r="X58" i="55"/>
  <c r="X135" i="55"/>
  <c r="X792" i="55"/>
  <c r="X147" i="55"/>
  <c r="AA147" i="55" s="1"/>
  <c r="X835" i="55"/>
  <c r="X1060" i="55"/>
  <c r="X129" i="55"/>
  <c r="X403" i="55"/>
  <c r="AA403" i="55" s="1"/>
  <c r="X819" i="55"/>
  <c r="AA819" i="55" s="1"/>
  <c r="X551" i="55"/>
  <c r="X968" i="55"/>
  <c r="X208" i="55"/>
  <c r="AA208" i="55" s="1"/>
  <c r="X774" i="55"/>
  <c r="AA774" i="55" s="1"/>
  <c r="X618" i="55"/>
  <c r="AA618" i="55" s="1"/>
  <c r="X890" i="55"/>
  <c r="X120" i="55"/>
  <c r="X715" i="55"/>
  <c r="X311" i="55"/>
  <c r="AA311" i="55" s="1"/>
  <c r="X747" i="55"/>
  <c r="X315" i="55"/>
  <c r="X51" i="55"/>
  <c r="X892" i="55"/>
  <c r="X340" i="55"/>
  <c r="X514" i="55"/>
  <c r="AA514" i="55" s="1"/>
  <c r="X1117" i="55"/>
  <c r="AA1117" i="55" s="1"/>
  <c r="X603" i="55"/>
  <c r="X982" i="55"/>
  <c r="X989" i="55"/>
  <c r="X288" i="55"/>
  <c r="X695" i="55"/>
  <c r="X390" i="55"/>
  <c r="X1091" i="55"/>
  <c r="AA1091" i="55" s="1"/>
  <c r="X181" i="55"/>
  <c r="X380" i="55"/>
  <c r="X443" i="55"/>
  <c r="X752" i="55"/>
  <c r="X1061" i="55"/>
  <c r="AA1061" i="55" s="1"/>
  <c r="X927" i="55"/>
  <c r="X820" i="55"/>
  <c r="X932" i="55"/>
  <c r="AA932" i="55" s="1"/>
  <c r="X348" i="55"/>
  <c r="X220" i="55"/>
  <c r="AA220" i="55" s="1"/>
  <c r="X298" i="55"/>
  <c r="X1092" i="55"/>
  <c r="X381" i="55"/>
  <c r="X45" i="55"/>
  <c r="X948" i="55"/>
  <c r="X930" i="55"/>
  <c r="X1129" i="55"/>
  <c r="X1014" i="55"/>
  <c r="X793" i="55"/>
  <c r="X556" i="55"/>
  <c r="AA556" i="55" s="1"/>
  <c r="X294" i="55"/>
  <c r="AA294" i="55" s="1"/>
  <c r="X1029" i="55"/>
  <c r="X684" i="55"/>
  <c r="AA684" i="55" s="1"/>
  <c r="X857" i="55"/>
  <c r="X269" i="55"/>
  <c r="X1133" i="55"/>
  <c r="X1119" i="55"/>
  <c r="AA1119" i="55" s="1"/>
  <c r="X885" i="55"/>
  <c r="X767" i="55"/>
  <c r="AA767" i="55" s="1"/>
  <c r="X995" i="55"/>
  <c r="X887" i="55"/>
  <c r="X750" i="55"/>
  <c r="X65" i="55"/>
  <c r="AA65" i="55" s="1"/>
  <c r="X1040" i="55"/>
  <c r="X616" i="55"/>
  <c r="X95" i="55"/>
  <c r="AA95" i="55" s="1"/>
  <c r="X771" i="55"/>
  <c r="AA771" i="55" s="1"/>
  <c r="X66" i="55"/>
  <c r="X970" i="55"/>
  <c r="X926" i="55"/>
  <c r="AA926" i="55" s="1"/>
  <c r="X810" i="55"/>
  <c r="AA810" i="55" s="1"/>
  <c r="X263" i="55"/>
  <c r="X1073" i="55"/>
  <c r="X1068" i="55"/>
  <c r="AA1068" i="55" s="1"/>
  <c r="X322" i="55"/>
  <c r="X676" i="55"/>
  <c r="X493" i="55"/>
  <c r="X205" i="55"/>
  <c r="AA205" i="55" s="1"/>
  <c r="X450" i="55"/>
  <c r="AA450" i="55" s="1"/>
  <c r="X1165" i="55"/>
  <c r="X512" i="55"/>
  <c r="X1056" i="55"/>
  <c r="AA1056" i="55" s="1"/>
  <c r="X118" i="55"/>
  <c r="AA118" i="55" s="1"/>
  <c r="X272" i="55"/>
  <c r="AA272" i="55" s="1"/>
  <c r="X733" i="55"/>
  <c r="X101" i="55"/>
  <c r="AA101" i="55" s="1"/>
  <c r="X453" i="55"/>
  <c r="X126" i="55"/>
  <c r="X490" i="55"/>
  <c r="X735" i="55"/>
  <c r="X143" i="55"/>
  <c r="X796" i="55"/>
  <c r="X178" i="55"/>
  <c r="X1080" i="55"/>
  <c r="X189" i="55"/>
  <c r="AA189" i="55" s="1"/>
  <c r="X765" i="55"/>
  <c r="X872" i="55"/>
  <c r="X881" i="55"/>
  <c r="AA881" i="55" s="1"/>
  <c r="X802" i="55"/>
  <c r="X918" i="55"/>
  <c r="AA918" i="55" s="1"/>
  <c r="X193" i="55"/>
  <c r="X562" i="55"/>
  <c r="AA562" i="55" s="1"/>
  <c r="X1167" i="55"/>
  <c r="X621" i="55"/>
  <c r="AA621" i="55" s="1"/>
  <c r="X244" i="55"/>
  <c r="X1122" i="55"/>
  <c r="AA1122" i="55" s="1"/>
  <c r="X378" i="55"/>
  <c r="X649" i="55"/>
  <c r="X1172" i="55"/>
  <c r="X996" i="55"/>
  <c r="X116" i="55"/>
  <c r="AA116" i="55" s="1"/>
  <c r="X786" i="55"/>
  <c r="AA786" i="55" s="1"/>
  <c r="X902" i="55"/>
  <c r="X227" i="55"/>
  <c r="X527" i="55"/>
  <c r="X941" i="55"/>
  <c r="X1107" i="55"/>
  <c r="X47" i="55"/>
  <c r="X1075" i="55"/>
  <c r="X647" i="55"/>
  <c r="X1037" i="55"/>
  <c r="X53" i="55"/>
  <c r="AA53" i="55" s="1"/>
  <c r="X259" i="55"/>
  <c r="AA259" i="55" s="1"/>
  <c r="X759" i="55"/>
  <c r="AA759" i="55" s="1"/>
  <c r="X329" i="55"/>
  <c r="X908" i="55"/>
  <c r="X993" i="55"/>
  <c r="X1169" i="55"/>
  <c r="X299" i="55"/>
  <c r="X631" i="55"/>
  <c r="X807" i="55"/>
  <c r="AA807" i="55" s="1"/>
  <c r="X682" i="55"/>
  <c r="X564" i="55"/>
  <c r="X408" i="55"/>
  <c r="X67" i="55"/>
  <c r="AA67" i="55" s="1"/>
  <c r="X667" i="55"/>
  <c r="X184" i="55"/>
  <c r="X117" i="55"/>
  <c r="X593" i="55"/>
  <c r="X363" i="55"/>
  <c r="X741" i="55"/>
  <c r="AA741" i="55" s="1"/>
  <c r="X889" i="55"/>
  <c r="X207" i="55"/>
  <c r="AA207" i="55" s="1"/>
  <c r="X487" i="55"/>
  <c r="X764" i="55"/>
  <c r="X1134" i="55"/>
  <c r="X723" i="55"/>
  <c r="X46" i="55"/>
  <c r="X933" i="55"/>
  <c r="X191" i="55"/>
  <c r="X832" i="55"/>
  <c r="X949" i="55"/>
  <c r="X842" i="55"/>
  <c r="X307" i="55"/>
  <c r="X783" i="55"/>
  <c r="AA783" i="55" s="1"/>
  <c r="X798" i="55"/>
  <c r="X243" i="55"/>
  <c r="X416" i="55"/>
  <c r="X476" i="55"/>
  <c r="AA476" i="55" s="1"/>
  <c r="X68" i="55"/>
  <c r="AA68" i="55" s="1"/>
  <c r="X431" i="55"/>
  <c r="X705" i="55"/>
  <c r="X827" i="55"/>
  <c r="AA827" i="55" s="1"/>
  <c r="X753" i="55"/>
  <c r="AA753" i="55" s="1"/>
  <c r="X1175" i="55"/>
  <c r="X142" i="55"/>
  <c r="X1071" i="55"/>
  <c r="X382" i="55"/>
  <c r="AA382" i="55" s="1"/>
  <c r="X247" i="55"/>
  <c r="X333" i="55"/>
  <c r="X636" i="55"/>
  <c r="X278" i="55"/>
  <c r="X732" i="55"/>
  <c r="X267" i="55"/>
  <c r="AA267" i="55" s="1"/>
  <c r="X50" i="55"/>
  <c r="X691" i="55"/>
  <c r="X576" i="55"/>
  <c r="X797" i="55"/>
  <c r="X953" i="55"/>
  <c r="X156" i="55"/>
  <c r="X446" i="55"/>
  <c r="X999" i="55"/>
  <c r="X939" i="55"/>
  <c r="X838" i="55"/>
  <c r="AA838" i="55" s="1"/>
  <c r="X1184" i="55"/>
  <c r="X89" i="55"/>
  <c r="X987" i="55"/>
  <c r="AA987" i="55" s="1"/>
  <c r="X787" i="55"/>
  <c r="AA787" i="55" s="1"/>
  <c r="X1004" i="55"/>
  <c r="X201" i="55"/>
  <c r="AA201" i="55" s="1"/>
  <c r="X256" i="55"/>
  <c r="X305" i="55"/>
  <c r="X252" i="55"/>
  <c r="X584" i="55"/>
  <c r="AA584" i="55" s="1"/>
  <c r="X957" i="55"/>
  <c r="X49" i="55"/>
  <c r="X596" i="55"/>
  <c r="X831" i="55"/>
  <c r="AA831" i="55" s="1"/>
  <c r="X472" i="55"/>
  <c r="X1044" i="55"/>
  <c r="X83" i="55"/>
  <c r="X1055" i="55"/>
  <c r="X731" i="55"/>
  <c r="X954" i="55"/>
  <c r="AA954" i="55" s="1"/>
  <c r="X80" i="55"/>
  <c r="X648" i="55"/>
  <c r="AA648" i="55" s="1"/>
  <c r="X899" i="55"/>
  <c r="AA899" i="55" s="1"/>
  <c r="X632" i="55"/>
  <c r="AA632" i="55" s="1"/>
  <c r="X411" i="55"/>
  <c r="X287" i="55"/>
  <c r="X451" i="55"/>
  <c r="X43" i="55"/>
  <c r="X1019" i="55"/>
  <c r="X211" i="55"/>
  <c r="AA211" i="55" s="1"/>
  <c r="X144" i="55"/>
  <c r="X637" i="55"/>
  <c r="AA637" i="55" s="1"/>
  <c r="X52" i="55"/>
  <c r="X332" i="55"/>
  <c r="X469" i="55"/>
  <c r="X1051" i="55"/>
  <c r="AA1051" i="55" s="1"/>
  <c r="X391" i="55"/>
  <c r="X254" i="55"/>
  <c r="X1032" i="55"/>
  <c r="X296" i="55"/>
  <c r="AA296" i="55" s="1"/>
  <c r="X754" i="55"/>
  <c r="X119" i="55"/>
  <c r="X992" i="55"/>
  <c r="X344" i="55"/>
  <c r="X1021" i="55"/>
  <c r="X466" i="55"/>
  <c r="X849" i="55"/>
  <c r="X994" i="55"/>
  <c r="X130" i="55"/>
  <c r="X790" i="55"/>
  <c r="AA790" i="55" s="1"/>
  <c r="X455" i="55"/>
  <c r="AA455" i="55" s="1"/>
  <c r="X302" i="55"/>
  <c r="X386" i="55"/>
  <c r="X997" i="55"/>
  <c r="X292" i="55"/>
  <c r="X1001" i="55"/>
  <c r="X313" i="55"/>
  <c r="X654" i="55"/>
  <c r="X324" i="55"/>
  <c r="X730" i="55"/>
  <c r="AA730" i="55" s="1"/>
  <c r="X863" i="55"/>
  <c r="AA863" i="55" s="1"/>
  <c r="X574" i="55"/>
  <c r="X526" i="55"/>
  <c r="AA526" i="55" s="1"/>
  <c r="X428" i="55"/>
  <c r="X1136" i="55"/>
  <c r="X452" i="55"/>
  <c r="AA452" i="55" s="1"/>
  <c r="X678" i="55"/>
  <c r="X183" i="55"/>
  <c r="X905" i="55"/>
  <c r="X1047" i="55"/>
  <c r="AA1047" i="55" s="1"/>
  <c r="X599" i="55"/>
  <c r="X180" i="55"/>
  <c r="X37" i="55"/>
  <c r="AA37" i="55" s="1"/>
  <c r="X1083" i="55"/>
  <c r="AA1083" i="55" s="1"/>
  <c r="X150" i="55"/>
  <c r="X803" i="55"/>
  <c r="X952" i="55"/>
  <c r="X822" i="55"/>
  <c r="X938" i="55"/>
  <c r="AA938" i="55" s="1"/>
  <c r="X710" i="55"/>
  <c r="AA710" i="55" s="1"/>
  <c r="X31" i="55"/>
  <c r="X1166" i="55"/>
  <c r="X976" i="55"/>
  <c r="AA976" i="55" s="1"/>
  <c r="X834" i="55"/>
  <c r="AA834" i="55" s="1"/>
  <c r="X704" i="55"/>
  <c r="AA704" i="55" s="1"/>
  <c r="X401" i="55"/>
  <c r="AA401" i="55" s="1"/>
  <c r="X919" i="55"/>
  <c r="X442" i="55"/>
  <c r="X687" i="55"/>
  <c r="X805" i="55"/>
  <c r="X859" i="55"/>
  <c r="AA859" i="55" s="1"/>
  <c r="X62" i="55"/>
  <c r="X1074" i="55"/>
  <c r="X1018" i="55"/>
  <c r="AA1018" i="55" s="1"/>
  <c r="X518" i="55"/>
  <c r="AA518" i="55" s="1"/>
  <c r="X777" i="55"/>
  <c r="X262" i="55"/>
  <c r="X1053" i="55"/>
  <c r="AA1053" i="55" s="1"/>
  <c r="X257" i="55"/>
  <c r="X38" i="55"/>
  <c r="X172" i="55"/>
  <c r="X1132" i="55"/>
  <c r="X1118" i="55"/>
  <c r="X72" i="55"/>
  <c r="X884" i="55"/>
  <c r="X284" i="55"/>
  <c r="AA284" i="55" s="1"/>
  <c r="X271" i="55"/>
  <c r="X909" i="55"/>
  <c r="X1006" i="55"/>
  <c r="X306" i="55"/>
  <c r="X785" i="55"/>
  <c r="AA785" i="55" s="1"/>
  <c r="X496" i="55"/>
  <c r="AA496" i="55" s="1"/>
  <c r="X707" i="55"/>
  <c r="X828" i="55"/>
  <c r="X407" i="55"/>
  <c r="X1114" i="55"/>
  <c r="X291" i="55"/>
  <c r="X393" i="55"/>
  <c r="X225" i="55"/>
  <c r="X474" i="55"/>
  <c r="X1022" i="55"/>
  <c r="X575" i="55"/>
  <c r="X962" i="55"/>
  <c r="X500" i="55"/>
  <c r="X864" i="55"/>
  <c r="X131" i="55"/>
  <c r="X1110" i="55"/>
  <c r="X692" i="55"/>
  <c r="X873" i="55"/>
  <c r="X766" i="55"/>
  <c r="AA766" i="55" s="1"/>
  <c r="X846" i="55"/>
  <c r="X199" i="55"/>
  <c r="AA199" i="55" s="1"/>
  <c r="X547" i="55"/>
  <c r="X845" i="55"/>
  <c r="X813" i="55"/>
  <c r="AA813" i="55" s="1"/>
  <c r="X1059" i="55"/>
  <c r="X950" i="55"/>
  <c r="X1025" i="55"/>
  <c r="AA1025" i="55" s="1"/>
  <c r="X356" i="55"/>
  <c r="X531" i="55"/>
  <c r="AA531" i="55" s="1"/>
  <c r="X246" i="55"/>
  <c r="X847" i="55"/>
  <c r="X685" i="55"/>
  <c r="AA685" i="55" s="1"/>
  <c r="X1138" i="55"/>
  <c r="X192" i="55"/>
  <c r="X936" i="55"/>
  <c r="AA936" i="55" s="1"/>
  <c r="X285" i="55"/>
  <c r="AA285" i="55" s="1"/>
  <c r="X844" i="55"/>
  <c r="AA844" i="55" s="1"/>
  <c r="X190" i="55"/>
  <c r="X34" i="55"/>
  <c r="X937" i="55"/>
  <c r="X656" i="55"/>
  <c r="AA656" i="55" s="1"/>
  <c r="X942" i="55"/>
  <c r="X457" i="55"/>
  <c r="AA457" i="55" s="1"/>
  <c r="X39" i="55"/>
  <c r="X854" i="55"/>
  <c r="X701" i="55"/>
  <c r="AA701" i="55" s="1"/>
  <c r="X806" i="55"/>
  <c r="X98" i="55"/>
  <c r="AA98" i="55" s="1"/>
  <c r="X56" i="55"/>
  <c r="AA56" i="55" s="1"/>
  <c r="X868" i="55"/>
  <c r="AA868" i="55" s="1"/>
  <c r="X54" i="55"/>
  <c r="AA54" i="55" s="1"/>
  <c r="X379" i="55"/>
  <c r="X893" i="55"/>
  <c r="AA893" i="55" s="1"/>
  <c r="X1108" i="55"/>
  <c r="AA1108" i="55" s="1"/>
  <c r="X966" i="55"/>
  <c r="AA966" i="55" s="1"/>
  <c r="X912" i="55"/>
  <c r="X1100" i="55"/>
  <c r="X559" i="55"/>
  <c r="X88" i="55"/>
  <c r="AA88" i="55" s="1"/>
  <c r="X516" i="55"/>
  <c r="AA516" i="55" s="1"/>
  <c r="X112" i="55"/>
  <c r="X630" i="55"/>
  <c r="X1183" i="55"/>
  <c r="X445" i="55"/>
  <c r="X102" i="55"/>
  <c r="AA102" i="55" s="1"/>
  <c r="X853" i="55"/>
  <c r="X898" i="55"/>
  <c r="AA898" i="55" s="1"/>
  <c r="X436" i="55"/>
  <c r="AA436" i="55" s="1"/>
  <c r="X265" i="55"/>
  <c r="AA265" i="55" s="1"/>
  <c r="X587" i="55"/>
  <c r="X1084" i="55"/>
  <c r="X145" i="55"/>
  <c r="X1153" i="55"/>
  <c r="X521" i="55"/>
  <c r="X566" i="55"/>
  <c r="X604" i="55"/>
  <c r="AA604" i="55" s="1"/>
  <c r="X395" i="55"/>
  <c r="X830" i="55"/>
  <c r="AA830" i="55" s="1"/>
  <c r="X1026" i="55"/>
  <c r="X163" i="55"/>
  <c r="X594" i="55"/>
  <c r="X671" i="55"/>
  <c r="X843" i="55"/>
  <c r="X441" i="55"/>
  <c r="AA441" i="55" s="1"/>
  <c r="X570" i="55"/>
  <c r="AA570" i="55" s="1"/>
  <c r="X1012" i="55"/>
  <c r="X217" i="55"/>
  <c r="AA217" i="55" s="1"/>
  <c r="X141" i="55"/>
  <c r="X357" i="55"/>
  <c r="AA357" i="55" s="1"/>
  <c r="X1045" i="55"/>
  <c r="X481" i="55"/>
  <c r="AA481" i="55" s="1"/>
  <c r="X1046" i="55"/>
  <c r="AA1046" i="55" s="1"/>
  <c r="X114" i="55"/>
  <c r="AA114" i="55" s="1"/>
  <c r="X804" i="55"/>
  <c r="X745" i="55"/>
  <c r="X638" i="55"/>
  <c r="AA638" i="55" s="1"/>
  <c r="X749" i="55"/>
  <c r="X434" i="55"/>
  <c r="X613" i="55"/>
  <c r="X392" i="55"/>
  <c r="AA392" i="55" s="1"/>
  <c r="X1157" i="55"/>
  <c r="X335" i="55"/>
  <c r="X384" i="55"/>
  <c r="AA384" i="55" s="1"/>
  <c r="X875" i="55"/>
  <c r="AA875" i="55" s="1"/>
  <c r="X87" i="55"/>
  <c r="AA87" i="55" s="1"/>
  <c r="X412" i="55"/>
  <c r="X127" i="55"/>
  <c r="X59" i="55"/>
  <c r="X1089" i="55"/>
  <c r="X669" i="55"/>
  <c r="X1069" i="55"/>
  <c r="AA1069" i="55" s="1"/>
  <c r="X861" i="55"/>
  <c r="X677" i="55"/>
  <c r="X598" i="55"/>
  <c r="X483" i="55"/>
  <c r="X567" i="55"/>
  <c r="X519" i="55"/>
  <c r="AA519" i="55" s="1"/>
  <c r="X29" i="55"/>
  <c r="X809" i="55"/>
  <c r="AA809" i="55" s="1"/>
  <c r="X1013" i="55"/>
  <c r="X988" i="55"/>
  <c r="X489" i="55"/>
  <c r="X197" i="55"/>
  <c r="X1016" i="55"/>
  <c r="X525" i="55"/>
  <c r="AA525" i="55" s="1"/>
  <c r="X541" i="55"/>
  <c r="X1141" i="55"/>
  <c r="X1163" i="55"/>
  <c r="X817" i="55"/>
  <c r="X597" i="55"/>
  <c r="X275" i="55"/>
  <c r="X1096" i="55"/>
  <c r="AA1096" i="55" s="1"/>
  <c r="X30" i="55"/>
  <c r="AA30" i="55" s="1"/>
  <c r="X931" i="55"/>
  <c r="AA931" i="55" s="1"/>
  <c r="X1112" i="55"/>
  <c r="X543" i="55"/>
  <c r="X229" i="55"/>
  <c r="X111" i="55"/>
  <c r="X429" i="55"/>
  <c r="AA429" i="55" s="1"/>
  <c r="X373" i="55"/>
  <c r="X231" i="55"/>
  <c r="X850" i="55"/>
  <c r="X1076" i="55"/>
  <c r="X136" i="55"/>
  <c r="AA136" i="55" s="1"/>
  <c r="X179" i="55"/>
  <c r="AA179" i="55" s="1"/>
  <c r="X1113" i="55"/>
  <c r="X78" i="55"/>
  <c r="X947" i="55"/>
  <c r="X1082" i="55"/>
  <c r="X653" i="55"/>
  <c r="AA653" i="55" s="1"/>
  <c r="X1144" i="55"/>
  <c r="X44" i="55"/>
  <c r="X314" i="55"/>
  <c r="X1130" i="55"/>
  <c r="X925" i="55"/>
  <c r="AA925" i="55" s="1"/>
  <c r="X1048" i="55"/>
  <c r="X484" i="55"/>
  <c r="X422" i="55"/>
  <c r="X870" i="55"/>
  <c r="AA870" i="55" s="1"/>
  <c r="X279" i="55"/>
  <c r="X641" i="55"/>
  <c r="AA641" i="55" s="1"/>
  <c r="X264" i="55"/>
  <c r="X281" i="55"/>
  <c r="AA281" i="55" s="1"/>
  <c r="X944" i="55"/>
  <c r="X833" i="55"/>
  <c r="AA833" i="55" s="1"/>
  <c r="X168" i="55"/>
  <c r="X921" i="55"/>
  <c r="AA921" i="55" s="1"/>
  <c r="X717" i="55"/>
  <c r="X459" i="55"/>
  <c r="X60" i="55"/>
  <c r="X121" i="55"/>
  <c r="X162" i="55"/>
  <c r="X877" i="55"/>
  <c r="X743" i="55"/>
  <c r="X1106" i="55"/>
  <c r="X132" i="55"/>
  <c r="X499" i="55"/>
  <c r="X388" i="55"/>
  <c r="X712" i="55"/>
  <c r="AA712" i="55" s="1"/>
  <c r="X620" i="55"/>
  <c r="X339" i="55"/>
  <c r="X505" i="55"/>
  <c r="X104" i="55"/>
  <c r="AA104" i="55" s="1"/>
  <c r="X532" i="55"/>
  <c r="X402" i="55"/>
  <c r="X409" i="55"/>
  <c r="X182" i="55"/>
  <c r="AA182" i="55" s="1"/>
  <c r="X338" i="55"/>
  <c r="X1098" i="55"/>
  <c r="X1042" i="55"/>
  <c r="X124" i="55"/>
  <c r="X1020" i="55"/>
  <c r="X70" i="55"/>
  <c r="X851" i="55"/>
  <c r="X1168" i="55"/>
  <c r="X255" i="55"/>
  <c r="X216" i="55"/>
  <c r="X546" i="55"/>
  <c r="X1158" i="55"/>
  <c r="X914" i="55"/>
  <c r="X1088" i="55"/>
  <c r="AA1088" i="55" s="1"/>
  <c r="X880" i="55"/>
  <c r="X140" i="55"/>
  <c r="X289" i="55"/>
  <c r="X93" i="55"/>
  <c r="AA93" i="55" s="1"/>
  <c r="X907" i="55"/>
  <c r="X879" i="55"/>
  <c r="AA879" i="55" s="1"/>
  <c r="X423" i="55"/>
  <c r="X1171" i="55"/>
  <c r="X595" i="55"/>
  <c r="X1079" i="55"/>
  <c r="X477" i="55"/>
  <c r="X672" i="55"/>
  <c r="X421" i="55"/>
  <c r="X958" i="55"/>
  <c r="X1116" i="55"/>
  <c r="X565" i="55"/>
  <c r="X1101" i="55"/>
  <c r="X801" i="55"/>
  <c r="X270" i="55"/>
  <c r="X716" i="55"/>
  <c r="AA716" i="55" s="1"/>
  <c r="X282" i="55"/>
  <c r="X775" i="55"/>
  <c r="X986" i="55"/>
  <c r="X414" i="55"/>
  <c r="AA414" i="55" s="1"/>
  <c r="X236" i="55"/>
  <c r="AA236" i="55" s="1"/>
  <c r="X177" i="55"/>
  <c r="X558" i="55"/>
  <c r="X454" i="55"/>
  <c r="X983" i="55"/>
  <c r="AA983" i="55" s="1"/>
  <c r="X568" i="55"/>
  <c r="X1128" i="55"/>
  <c r="X317" i="55"/>
  <c r="X433" i="55"/>
  <c r="X249" i="55"/>
  <c r="X77" i="55"/>
  <c r="X233" i="55"/>
  <c r="X761" i="55"/>
  <c r="X347" i="55"/>
  <c r="AA347" i="55" s="1"/>
  <c r="X643" i="55"/>
  <c r="AA643" i="55" s="1"/>
  <c r="X1176" i="55"/>
  <c r="X456" i="55"/>
  <c r="X821" i="55"/>
  <c r="X196" i="55"/>
  <c r="X1067" i="55"/>
  <c r="AA1067" i="55" s="1"/>
  <c r="X808" i="55"/>
  <c r="X1063" i="55"/>
  <c r="AA1063" i="55" s="1"/>
  <c r="X160" i="55"/>
  <c r="X901" i="55"/>
  <c r="X680" i="55"/>
  <c r="X36" i="55"/>
  <c r="AA36" i="55" s="1"/>
  <c r="X553" i="55"/>
  <c r="X858" i="55"/>
  <c r="X75" i="55"/>
  <c r="X498" i="55"/>
  <c r="AA498" i="55" s="1"/>
  <c r="X195" i="55"/>
  <c r="X218" i="55"/>
  <c r="AA218" i="55" s="1"/>
  <c r="X1181" i="55"/>
  <c r="X185" i="55"/>
  <c r="X309" i="55"/>
  <c r="X194" i="55"/>
  <c r="X164" i="55"/>
  <c r="X361" i="55"/>
  <c r="AA361" i="55" s="1"/>
  <c r="X352" i="55"/>
  <c r="X475" i="55"/>
  <c r="AA475" i="55" s="1"/>
  <c r="X585" i="55"/>
  <c r="AA585" i="55" s="1"/>
  <c r="X1043" i="55"/>
  <c r="X719" i="55"/>
  <c r="X341" i="55"/>
  <c r="X633" i="55"/>
  <c r="X153" i="55"/>
  <c r="X260" i="55"/>
  <c r="X652" i="55"/>
  <c r="X683" i="55"/>
  <c r="X209" i="55"/>
  <c r="AA209" i="55" s="1"/>
  <c r="X900" i="55"/>
  <c r="AA900" i="55" s="1"/>
  <c r="X533" i="55"/>
  <c r="X372" i="55"/>
  <c r="X319" i="55"/>
  <c r="X706" i="55"/>
  <c r="X826" i="55"/>
  <c r="AA826" i="55" s="1"/>
  <c r="X980" i="55"/>
  <c r="X1010" i="55"/>
  <c r="X965" i="55"/>
  <c r="AA965" i="55" s="1"/>
  <c r="X133" i="55"/>
  <c r="AA133" i="55" s="1"/>
  <c r="X578" i="55"/>
  <c r="AA578" i="55" s="1"/>
  <c r="X1148" i="55"/>
  <c r="X511" i="55"/>
  <c r="AA511" i="55" s="1"/>
  <c r="X1127" i="55"/>
  <c r="X1005" i="55"/>
  <c r="AA1005" i="55" s="1"/>
  <c r="X1086" i="55"/>
  <c r="AA1086" i="55" s="1"/>
  <c r="X105" i="55"/>
  <c r="X1058" i="55"/>
  <c r="AA1058" i="55" s="1"/>
  <c r="X674" i="55"/>
  <c r="AA674" i="55" s="1"/>
  <c r="X956" i="55"/>
  <c r="AA956" i="55" s="1"/>
  <c r="X1145" i="55"/>
  <c r="X1081" i="55"/>
  <c r="AA1081" i="55" s="1"/>
  <c r="X788" i="55"/>
  <c r="AA788" i="55" s="1"/>
  <c r="X27" i="55"/>
  <c r="AA27" i="55" s="1"/>
  <c r="X591" i="55"/>
  <c r="X345" i="55"/>
  <c r="AA345" i="55" s="1"/>
  <c r="X82" i="55"/>
  <c r="AA82" i="55" s="1"/>
  <c r="X480" i="55"/>
  <c r="AA480" i="55" s="1"/>
  <c r="X1161" i="55"/>
  <c r="X268" i="55"/>
  <c r="X573" i="55"/>
  <c r="X555" i="55"/>
  <c r="AA555" i="55" s="1"/>
  <c r="X720" i="55"/>
  <c r="AA720" i="55" s="1"/>
  <c r="X28" i="55"/>
  <c r="X76" i="55"/>
  <c r="X665" i="55"/>
  <c r="AA665" i="55" s="1"/>
  <c r="X663" i="55"/>
  <c r="X1077" i="55"/>
  <c r="X1159" i="55"/>
  <c r="X675" i="55"/>
  <c r="AA675" i="55" s="1"/>
  <c r="X399" i="55"/>
  <c r="X763" i="55"/>
  <c r="X290" i="55"/>
  <c r="X967" i="55"/>
  <c r="AA967" i="55" s="1"/>
  <c r="X1034" i="55"/>
  <c r="AA1034" i="55" s="1"/>
  <c r="X1052" i="55"/>
  <c r="X971" i="55"/>
  <c r="X642" i="55"/>
  <c r="X737" i="55"/>
  <c r="X580" i="55"/>
  <c r="X961" i="55"/>
  <c r="X358" i="55"/>
  <c r="AA358" i="55" s="1"/>
  <c r="X799" i="55"/>
  <c r="AA799" i="55" s="1"/>
  <c r="X848" i="55"/>
  <c r="X946" i="55"/>
  <c r="X435" i="55"/>
  <c r="X397" i="55"/>
  <c r="X353" i="55"/>
  <c r="X297" i="55"/>
  <c r="AA297" i="55" s="1"/>
  <c r="X1028" i="55"/>
  <c r="X746" i="55"/>
  <c r="X590" i="55"/>
  <c r="X624" i="55"/>
  <c r="X1103" i="55"/>
  <c r="X418" i="55"/>
  <c r="X772" i="55"/>
  <c r="X108" i="55"/>
  <c r="X739" i="55"/>
  <c r="AA739" i="55" s="1"/>
  <c r="X916" i="55"/>
  <c r="AA916" i="55" s="1"/>
  <c r="X100" i="55"/>
  <c r="X1147" i="55"/>
  <c r="X94" i="55"/>
  <c r="AA94" i="55" s="1"/>
  <c r="X815" i="55"/>
  <c r="AA815" i="55" s="1"/>
  <c r="X991" i="55"/>
  <c r="X226" i="55"/>
  <c r="X660" i="55"/>
  <c r="X814" i="55"/>
  <c r="AA814" i="55" s="1"/>
  <c r="X202" i="55"/>
  <c r="X1039" i="55"/>
  <c r="AA1039" i="55" s="1"/>
  <c r="X657" i="55"/>
  <c r="AA657" i="55" s="1"/>
  <c r="X924" i="55"/>
  <c r="AA924" i="55" s="1"/>
  <c r="X63" i="55"/>
  <c r="X951" i="55"/>
  <c r="X536" i="55"/>
  <c r="X963" i="55"/>
  <c r="AA963" i="55" s="1"/>
  <c r="X328" i="55"/>
  <c r="X419" i="55"/>
  <c r="X41" i="55"/>
  <c r="X563" i="55"/>
  <c r="AA563" i="55" s="1"/>
  <c r="X81" i="55"/>
  <c r="AA81" i="55" s="1"/>
  <c r="X1152" i="55"/>
  <c r="X40" i="55"/>
  <c r="AA40" i="55" s="1"/>
  <c r="X503" i="55"/>
  <c r="X622" i="55"/>
  <c r="X92" i="55"/>
  <c r="AA92" i="55" s="1"/>
  <c r="X756" i="55"/>
  <c r="X280" i="55"/>
  <c r="X234" i="55"/>
  <c r="X223" i="55"/>
  <c r="X1008" i="55"/>
  <c r="X1049" i="55"/>
  <c r="X139" i="55"/>
  <c r="AA139" i="55" s="1"/>
  <c r="X295" i="55"/>
  <c r="X248" i="55"/>
  <c r="X725" i="55"/>
  <c r="AA725" i="55" s="1"/>
  <c r="X1085" i="55"/>
  <c r="X612" i="55"/>
  <c r="X629" i="55"/>
  <c r="X711" i="55"/>
  <c r="X464" i="55"/>
  <c r="AA464" i="55" s="1"/>
  <c r="X659" i="55"/>
  <c r="X726" i="55"/>
  <c r="X670" i="55"/>
  <c r="X686" i="55"/>
  <c r="AA686" i="55" s="1"/>
  <c r="X1178" i="55"/>
  <c r="X658" i="55"/>
  <c r="AA658" i="55" s="1"/>
  <c r="X917" i="55"/>
  <c r="AA917" i="55" s="1"/>
  <c r="X266" i="55"/>
  <c r="X154" i="55"/>
  <c r="X478" i="55"/>
  <c r="X700" i="55"/>
  <c r="X627" i="55"/>
  <c r="AA627" i="55" s="1"/>
  <c r="X614" i="55"/>
  <c r="X673" i="55"/>
  <c r="X651" i="55"/>
  <c r="AA651" i="55" s="1"/>
  <c r="X718" i="55"/>
  <c r="AA718" i="55" s="1"/>
  <c r="X488" i="55"/>
  <c r="X1123" i="55"/>
  <c r="X744" i="55"/>
  <c r="AA744" i="55" s="1"/>
  <c r="X394" i="55"/>
  <c r="AA394" i="55" s="1"/>
  <c r="X934" i="55"/>
  <c r="AA934" i="55" s="1"/>
  <c r="X878" i="55"/>
  <c r="X688" i="55"/>
  <c r="X165" i="55"/>
  <c r="X1065" i="55"/>
  <c r="AA1065" i="55" s="1"/>
  <c r="X606" i="55"/>
  <c r="AA606" i="55" s="1"/>
  <c r="X1035" i="55"/>
  <c r="AA1035" i="55" s="1"/>
  <c r="X198" i="55"/>
  <c r="AA198" i="55" s="1"/>
  <c r="X23" i="55"/>
  <c r="X515" i="55"/>
  <c r="X261" i="55"/>
  <c r="X626" i="55"/>
  <c r="X366" i="55"/>
  <c r="X795" i="55"/>
  <c r="X473" i="55"/>
  <c r="AA473" i="55" s="1"/>
  <c r="X1066" i="55"/>
  <c r="AA1066" i="55" s="1"/>
  <c r="X1121" i="55"/>
  <c r="X64" i="55"/>
  <c r="X579" i="55"/>
  <c r="X876" i="55"/>
  <c r="AA876" i="55" s="1"/>
  <c r="X981" i="55"/>
  <c r="X915" i="55"/>
  <c r="X507" i="55"/>
  <c r="X583" i="55"/>
  <c r="AA583" i="55" s="1"/>
  <c r="X1137" i="55"/>
  <c r="X316" i="55"/>
  <c r="X24" i="55"/>
  <c r="X751" i="55"/>
  <c r="AA751" i="55" s="1"/>
  <c r="X886" i="55"/>
  <c r="X71" i="55"/>
  <c r="X609" i="55"/>
  <c r="X760" i="55"/>
  <c r="X990" i="55"/>
  <c r="X362" i="55"/>
  <c r="X550" i="55"/>
  <c r="AA550" i="55" s="1"/>
  <c r="X784" i="55"/>
  <c r="AA784" i="55" s="1"/>
  <c r="X1154" i="55"/>
  <c r="X1177" i="55"/>
  <c r="X253" i="55"/>
  <c r="X724" i="55"/>
  <c r="AA724" i="55" s="1"/>
  <c r="X557" i="55"/>
  <c r="X865" i="55"/>
  <c r="X326" i="55"/>
  <c r="X891" i="55"/>
  <c r="X224" i="55"/>
  <c r="X79" i="55"/>
  <c r="X510" i="55"/>
  <c r="X427" i="55"/>
  <c r="X57" i="55"/>
  <c r="X166" i="55"/>
  <c r="X155" i="55"/>
  <c r="X698" i="55"/>
  <c r="AA698" i="55" s="1"/>
  <c r="X383" i="55"/>
  <c r="X327" i="55"/>
  <c r="X460" i="55"/>
  <c r="X523" i="55"/>
  <c r="AA523" i="55" s="1"/>
  <c r="X773" i="55"/>
  <c r="X1109" i="55"/>
  <c r="X214" i="55"/>
  <c r="X371" i="55"/>
  <c r="AA371" i="55" s="1"/>
  <c r="X811" i="55"/>
  <c r="X535" i="55"/>
  <c r="AA535" i="55" s="1"/>
  <c r="X960" i="55"/>
  <c r="X495" i="55"/>
  <c r="X444" i="55"/>
  <c r="X1033" i="55"/>
  <c r="X694" i="55"/>
  <c r="X1179" i="55"/>
  <c r="X96" i="55"/>
  <c r="AA96" i="55" s="1"/>
  <c r="X867" i="55"/>
  <c r="X605" i="55"/>
  <c r="AA605" i="55" s="1"/>
  <c r="X35" i="55"/>
  <c r="AA35" i="55" s="1"/>
  <c r="X1156" i="55"/>
  <c r="X540" i="55"/>
  <c r="X25" i="55"/>
  <c r="AA25" i="55" s="1"/>
  <c r="X137" i="55"/>
  <c r="AA137" i="55" s="1"/>
  <c r="X650" i="55"/>
  <c r="X479" i="55"/>
  <c r="X1139" i="55"/>
  <c r="X359" i="55"/>
  <c r="X151" i="55"/>
  <c r="X582" i="55"/>
  <c r="X800" i="55"/>
  <c r="AA800" i="55" s="1"/>
  <c r="X1170" i="55"/>
  <c r="AA1170" i="55" s="1"/>
  <c r="X330" i="55"/>
  <c r="X856" i="55"/>
  <c r="X1090" i="55"/>
  <c r="AA1090" i="55" s="1"/>
  <c r="X748" i="55"/>
  <c r="AA748" i="55" s="1"/>
  <c r="X109" i="55"/>
  <c r="X364" i="55"/>
  <c r="X1150" i="55"/>
  <c r="X1087" i="55"/>
  <c r="X173" i="55"/>
  <c r="X738" i="55"/>
  <c r="X360" i="55"/>
  <c r="AA360" i="55" s="1"/>
  <c r="X955" i="55"/>
  <c r="X1023" i="55"/>
  <c r="X639" i="55"/>
  <c r="AA639" i="55" s="1"/>
  <c r="X977" i="55"/>
  <c r="X405" i="55"/>
  <c r="X222" i="55"/>
  <c r="AA222" i="55" s="1"/>
  <c r="X524" i="55"/>
  <c r="X560" i="55"/>
  <c r="AA560" i="55" s="1"/>
  <c r="X789" i="55"/>
  <c r="X1070" i="55"/>
  <c r="X304" i="55"/>
  <c r="X213" i="55"/>
  <c r="AA213" i="55" s="1"/>
  <c r="X467" i="55"/>
  <c r="AA467" i="55" s="1"/>
  <c r="X303" i="55"/>
  <c r="X836" i="55"/>
  <c r="X681" i="55"/>
  <c r="X506" i="55"/>
  <c r="X770" i="55"/>
  <c r="X825" i="55"/>
  <c r="X91" i="55"/>
  <c r="AA91" i="55" s="1"/>
  <c r="X471" i="55"/>
  <c r="X26" i="55"/>
  <c r="X522" i="55"/>
  <c r="AA522" i="55" s="1"/>
  <c r="X871" i="55"/>
  <c r="AA871" i="55" s="1"/>
  <c r="X628" i="55"/>
  <c r="X929" i="55"/>
  <c r="AA929" i="55" s="1"/>
  <c r="X97" i="55"/>
  <c r="X169" i="55"/>
  <c r="AA169" i="55" s="1"/>
  <c r="X666" i="55"/>
  <c r="X538" i="55"/>
  <c r="X1155" i="55"/>
  <c r="X740" i="55"/>
  <c r="X539" i="55"/>
  <c r="X679" i="55"/>
  <c r="X1135" i="55"/>
  <c r="X969" i="55"/>
  <c r="AA969" i="55" s="1"/>
  <c r="X301" i="55"/>
  <c r="X780" i="55"/>
  <c r="AA780" i="55" s="1"/>
  <c r="X586" i="55"/>
  <c r="X448" i="55"/>
  <c r="X426" i="55"/>
  <c r="X407" i="54"/>
  <c r="X732" i="54"/>
  <c r="X205" i="54"/>
  <c r="X1178" i="54"/>
  <c r="X1145" i="54"/>
  <c r="X872" i="54"/>
  <c r="X600" i="54"/>
  <c r="X418" i="54"/>
  <c r="X875" i="54"/>
  <c r="X567" i="54"/>
  <c r="X29" i="54"/>
  <c r="X1090" i="54"/>
  <c r="X766" i="54"/>
  <c r="X141" i="54"/>
  <c r="X1022" i="54"/>
  <c r="X886" i="54"/>
  <c r="X400" i="54"/>
  <c r="X128" i="54"/>
  <c r="X914" i="54"/>
  <c r="X899" i="54"/>
  <c r="X591" i="54"/>
  <c r="X271" i="54"/>
  <c r="X622" i="54"/>
  <c r="X1128" i="54"/>
  <c r="X1074" i="54"/>
  <c r="X1071" i="54"/>
  <c r="X750" i="54"/>
  <c r="X372" i="54"/>
  <c r="X125" i="54"/>
  <c r="X519" i="54"/>
  <c r="X916" i="54"/>
  <c r="X739" i="54"/>
  <c r="X240" i="54"/>
  <c r="X494" i="54"/>
  <c r="X1017" i="54"/>
  <c r="X850" i="54"/>
  <c r="X380" i="54"/>
  <c r="X127" i="54"/>
  <c r="X551" i="54"/>
  <c r="X1031" i="54"/>
  <c r="X891" i="54"/>
  <c r="X668" i="54"/>
  <c r="X583" i="54"/>
  <c r="X385" i="54"/>
  <c r="X45" i="54"/>
  <c r="X1125" i="54"/>
  <c r="X852" i="54"/>
  <c r="X628" i="54"/>
  <c r="X224" i="54"/>
  <c r="X430" i="54"/>
  <c r="X1001" i="54"/>
  <c r="X785" i="54"/>
  <c r="X316" i="54"/>
  <c r="X111" i="54"/>
  <c r="X375" i="54"/>
  <c r="X919" i="54"/>
  <c r="X611" i="54"/>
  <c r="X272" i="54"/>
  <c r="X630" i="54"/>
  <c r="X1049" i="54"/>
  <c r="X740" i="54"/>
  <c r="X508" i="54"/>
  <c r="X159" i="54"/>
  <c r="X355" i="54"/>
  <c r="X1163" i="54"/>
  <c r="X1020" i="54"/>
  <c r="X1132" i="54"/>
  <c r="X1156" i="54"/>
  <c r="X865" i="54"/>
  <c r="X870" i="54"/>
  <c r="X786" i="54"/>
  <c r="X874" i="54"/>
  <c r="X625" i="54"/>
  <c r="X392" i="54"/>
  <c r="X469" i="54"/>
  <c r="X258" i="54"/>
  <c r="X194" i="54"/>
  <c r="X130" i="54"/>
  <c r="X66" i="54"/>
  <c r="X550" i="54"/>
  <c r="X294" i="54"/>
  <c r="X535" i="54"/>
  <c r="X653" i="54"/>
  <c r="X420" i="54"/>
  <c r="X497" i="54"/>
  <c r="X983" i="54"/>
  <c r="X647" i="54"/>
  <c r="X671" i="54"/>
  <c r="X995" i="54"/>
  <c r="X761" i="54"/>
  <c r="X221" i="54"/>
  <c r="X1027" i="54"/>
  <c r="X926" i="54"/>
  <c r="X321" i="54"/>
  <c r="X1144" i="54"/>
  <c r="X845" i="54"/>
  <c r="X436" i="54"/>
  <c r="X767" i="54"/>
  <c r="X855" i="54"/>
  <c r="X906" i="54"/>
  <c r="X256" i="54"/>
  <c r="X558" i="54"/>
  <c r="X1033" i="54"/>
  <c r="X676" i="54"/>
  <c r="X444" i="54"/>
  <c r="X143" i="54"/>
  <c r="X831" i="54"/>
  <c r="X1011" i="54"/>
  <c r="X938" i="54"/>
  <c r="X825" i="54"/>
  <c r="X779" i="54"/>
  <c r="X253" i="54"/>
  <c r="X546" i="54"/>
  <c r="X1006" i="54"/>
  <c r="X805" i="54"/>
  <c r="X336" i="54"/>
  <c r="X112" i="54"/>
  <c r="X383" i="54"/>
  <c r="X1063" i="54"/>
  <c r="X827" i="54"/>
  <c r="X255" i="54"/>
  <c r="X554" i="54"/>
  <c r="X1084" i="54"/>
  <c r="X967" i="54"/>
  <c r="X909" i="54"/>
  <c r="X830" i="54"/>
  <c r="X565" i="54"/>
  <c r="X173" i="54"/>
  <c r="X467" i="54"/>
  <c r="X990" i="54"/>
  <c r="X741" i="54"/>
  <c r="X807" i="54"/>
  <c r="X96" i="54"/>
  <c r="X1169" i="54"/>
  <c r="X896" i="54"/>
  <c r="X699" i="54"/>
  <c r="X239" i="54"/>
  <c r="X490" i="54"/>
  <c r="X1038" i="54"/>
  <c r="X696" i="54"/>
  <c r="X464" i="54"/>
  <c r="X144" i="54"/>
  <c r="X687" i="54"/>
  <c r="X1118" i="54"/>
  <c r="X655" i="54"/>
  <c r="X329" i="54"/>
  <c r="X31" i="54"/>
  <c r="X1117" i="54"/>
  <c r="X1052" i="54"/>
  <c r="X988" i="54"/>
  <c r="X1150" i="54"/>
  <c r="X844" i="54"/>
  <c r="X752" i="54"/>
  <c r="X733" i="54"/>
  <c r="X666" i="54"/>
  <c r="X620" i="54"/>
  <c r="X520" i="54"/>
  <c r="X866" i="54"/>
  <c r="X341" i="54"/>
  <c r="X226" i="54"/>
  <c r="X162" i="54"/>
  <c r="X98" i="54"/>
  <c r="X34" i="54"/>
  <c r="X422" i="54"/>
  <c r="X347" i="54"/>
  <c r="X648" i="54"/>
  <c r="X548" i="54"/>
  <c r="X292" i="54"/>
  <c r="X369" i="54"/>
  <c r="X1047" i="54"/>
  <c r="X713" i="54"/>
  <c r="X77" i="54"/>
  <c r="X354" i="54"/>
  <c r="X947" i="54"/>
  <c r="X686" i="54"/>
  <c r="X93" i="54"/>
  <c r="X963" i="54"/>
  <c r="X814" i="54"/>
  <c r="X157" i="54"/>
  <c r="X1015" i="54"/>
  <c r="X842" i="54"/>
  <c r="X269" i="54"/>
  <c r="X1172" i="54"/>
  <c r="X873" i="54"/>
  <c r="X633" i="54"/>
  <c r="X192" i="54"/>
  <c r="X302" i="54"/>
  <c r="X969" i="54"/>
  <c r="X1103" i="54"/>
  <c r="X521" i="54"/>
  <c r="X79" i="54"/>
  <c r="X1162" i="54"/>
  <c r="X979" i="54"/>
  <c r="X1099" i="54"/>
  <c r="X697" i="54"/>
  <c r="X642" i="54"/>
  <c r="X189" i="54"/>
  <c r="X290" i="54"/>
  <c r="X1180" i="54"/>
  <c r="X730" i="54"/>
  <c r="X397" i="54"/>
  <c r="X48" i="54"/>
  <c r="X1152" i="54"/>
  <c r="X853" i="54"/>
  <c r="X658" i="54"/>
  <c r="X191" i="54"/>
  <c r="X298" i="54"/>
  <c r="X1081" i="54"/>
  <c r="X1108" i="54"/>
  <c r="X796" i="54"/>
  <c r="X702" i="54"/>
  <c r="X308" i="54"/>
  <c r="X109" i="54"/>
  <c r="X351" i="54"/>
  <c r="X927" i="54"/>
  <c r="X674" i="54"/>
  <c r="X333" i="54"/>
  <c r="X32" i="54"/>
  <c r="X1089" i="54"/>
  <c r="X804" i="54"/>
  <c r="X573" i="54"/>
  <c r="X175" i="54"/>
  <c r="X483" i="54"/>
  <c r="X974" i="54"/>
  <c r="X677" i="54"/>
  <c r="X525" i="54"/>
  <c r="X80" i="54"/>
  <c r="X1105" i="54"/>
  <c r="X832" i="54"/>
  <c r="X608" i="54"/>
  <c r="X223" i="54"/>
  <c r="X426" i="54"/>
  <c r="X1106" i="54"/>
  <c r="X1036" i="54"/>
  <c r="X972" i="54"/>
  <c r="X911" i="54"/>
  <c r="X928" i="54"/>
  <c r="X688" i="54"/>
  <c r="X669" i="54"/>
  <c r="X603" i="54"/>
  <c r="X556" i="54"/>
  <c r="X456" i="54"/>
  <c r="X533" i="54"/>
  <c r="X277" i="54"/>
  <c r="X210" i="54"/>
  <c r="X146" i="54"/>
  <c r="X82" i="54"/>
  <c r="X614" i="54"/>
  <c r="X358" i="54"/>
  <c r="X799" i="54"/>
  <c r="X584" i="54"/>
  <c r="X484" i="54"/>
  <c r="X695" i="54"/>
  <c r="X305" i="54"/>
  <c r="X1065" i="54"/>
  <c r="X893" i="54"/>
  <c r="X811" i="54"/>
  <c r="X461" i="54"/>
  <c r="X835" i="54"/>
  <c r="X956" i="54"/>
  <c r="X61" i="54"/>
  <c r="X176" i="54"/>
  <c r="X457" i="54"/>
  <c r="X888" i="54"/>
  <c r="X482" i="54"/>
  <c r="X160" i="54"/>
  <c r="X393" i="54"/>
  <c r="X564" i="54"/>
  <c r="X721" i="54"/>
  <c r="X1101" i="54"/>
  <c r="X816" i="54"/>
  <c r="X585" i="54"/>
  <c r="X178" i="54"/>
  <c r="X475" i="54"/>
  <c r="X433" i="54"/>
  <c r="X217" i="54"/>
  <c r="X153" i="54"/>
  <c r="X89" i="54"/>
  <c r="X25" i="54"/>
  <c r="X402" i="54"/>
  <c r="X307" i="54"/>
  <c r="X1173" i="54"/>
  <c r="X1093" i="54"/>
  <c r="X1002" i="54"/>
  <c r="X1140" i="54"/>
  <c r="X900" i="54"/>
  <c r="X808" i="54"/>
  <c r="X789" i="54"/>
  <c r="X714" i="54"/>
  <c r="X707" i="54"/>
  <c r="X577" i="54"/>
  <c r="X320" i="54"/>
  <c r="X381" i="54"/>
  <c r="X236" i="54"/>
  <c r="X172" i="54"/>
  <c r="X108" i="54"/>
  <c r="X44" i="54"/>
  <c r="X478" i="54"/>
  <c r="X459" i="54"/>
  <c r="X327" i="54"/>
  <c r="X1136" i="54"/>
  <c r="X1013" i="54"/>
  <c r="X1082" i="54"/>
  <c r="X946" i="54"/>
  <c r="X837" i="54"/>
  <c r="X834" i="54"/>
  <c r="X758" i="54"/>
  <c r="X795" i="54"/>
  <c r="X626" i="54"/>
  <c r="X364" i="54"/>
  <c r="X441" i="54"/>
  <c r="X251" i="54"/>
  <c r="X187" i="54"/>
  <c r="X123" i="54"/>
  <c r="X59" i="54"/>
  <c r="X538" i="54"/>
  <c r="X282" i="54"/>
  <c r="X495" i="54"/>
  <c r="X1088" i="54"/>
  <c r="X1032" i="54"/>
  <c r="X968" i="54"/>
  <c r="X895" i="54"/>
  <c r="X913" i="54"/>
  <c r="X672" i="54"/>
  <c r="X937" i="54"/>
  <c r="X587" i="54"/>
  <c r="X675" i="54"/>
  <c r="X440" i="54"/>
  <c r="X517" i="54"/>
  <c r="X270" i="54"/>
  <c r="X206" i="54"/>
  <c r="X142" i="54"/>
  <c r="X78" i="54"/>
  <c r="X598" i="54"/>
  <c r="X342" i="54"/>
  <c r="X543" i="54"/>
  <c r="X1130" i="54"/>
  <c r="X1039" i="54"/>
  <c r="X975" i="54"/>
  <c r="X513" i="54"/>
  <c r="X780" i="54"/>
  <c r="X500" i="54"/>
  <c r="X610" i="54"/>
  <c r="X64" i="54"/>
  <c r="X207" i="54"/>
  <c r="X716" i="54"/>
  <c r="X1107" i="54"/>
  <c r="X491" i="54"/>
  <c r="X63" i="54"/>
  <c r="X777" i="54"/>
  <c r="X1054" i="54"/>
  <c r="X363" i="54"/>
  <c r="X47" i="54"/>
  <c r="X208" i="54"/>
  <c r="X791" i="54"/>
  <c r="X1004" i="54"/>
  <c r="X797" i="54"/>
  <c r="X328" i="54"/>
  <c r="X114" i="54"/>
  <c r="X359" i="54"/>
  <c r="X265" i="54"/>
  <c r="X201" i="54"/>
  <c r="X137" i="54"/>
  <c r="X73" i="54"/>
  <c r="X594" i="54"/>
  <c r="X338" i="54"/>
  <c r="X527" i="54"/>
  <c r="X1109" i="54"/>
  <c r="X1050" i="54"/>
  <c r="X986" i="54"/>
  <c r="X1135" i="54"/>
  <c r="X836" i="54"/>
  <c r="X744" i="54"/>
  <c r="X725" i="54"/>
  <c r="X659" i="54"/>
  <c r="X612" i="54"/>
  <c r="X512" i="54"/>
  <c r="X743" i="54"/>
  <c r="X317" i="54"/>
  <c r="X220" i="54"/>
  <c r="X156" i="54"/>
  <c r="X92" i="54"/>
  <c r="X28" i="54"/>
  <c r="X414" i="54"/>
  <c r="X331" i="54"/>
  <c r="X1153" i="54"/>
  <c r="X1073" i="54"/>
  <c r="X997" i="54"/>
  <c r="X955" i="54"/>
  <c r="X880" i="54"/>
  <c r="X788" i="54"/>
  <c r="X769" i="54"/>
  <c r="X694" i="54"/>
  <c r="X656" i="54"/>
  <c r="X557" i="54"/>
  <c r="X300" i="54"/>
  <c r="X377" i="54"/>
  <c r="X235" i="54"/>
  <c r="X171" i="54"/>
  <c r="X107" i="54"/>
  <c r="X43" i="54"/>
  <c r="X474" i="54"/>
  <c r="X451" i="54"/>
  <c r="X319" i="54"/>
  <c r="X1147" i="54"/>
  <c r="X1016" i="54"/>
  <c r="X1094" i="54"/>
  <c r="X957" i="54"/>
  <c r="X849" i="54"/>
  <c r="X846" i="54"/>
  <c r="X770" i="54"/>
  <c r="X819" i="54"/>
  <c r="X650" i="54"/>
  <c r="X376" i="54"/>
  <c r="X453" i="54"/>
  <c r="X254" i="54"/>
  <c r="X190" i="54"/>
  <c r="X126" i="54"/>
  <c r="X62" i="54"/>
  <c r="X534" i="54"/>
  <c r="X278" i="54"/>
  <c r="X479" i="54"/>
  <c r="X1176" i="54"/>
  <c r="X1023" i="54"/>
  <c r="X1091" i="54"/>
  <c r="X759" i="54"/>
  <c r="X339" i="54"/>
  <c r="X1151" i="54"/>
  <c r="X1092" i="54"/>
  <c r="X362" i="54"/>
  <c r="X631" i="54"/>
  <c r="X824" i="54"/>
  <c r="X1098" i="54"/>
  <c r="X1161" i="54"/>
  <c r="X683" i="54"/>
  <c r="X760" i="54"/>
  <c r="X1127" i="54"/>
  <c r="X1122" i="54"/>
  <c r="X366" i="54"/>
  <c r="X95" i="54"/>
  <c r="X1159" i="54"/>
  <c r="X722" i="54"/>
  <c r="X405" i="54"/>
  <c r="X50" i="54"/>
  <c r="X613" i="54"/>
  <c r="X249" i="54"/>
  <c r="X185" i="54"/>
  <c r="X121" i="54"/>
  <c r="X57" i="54"/>
  <c r="X530" i="54"/>
  <c r="X274" i="54"/>
  <c r="X463" i="54"/>
  <c r="X1096" i="54"/>
  <c r="X1034" i="54"/>
  <c r="X970" i="54"/>
  <c r="X903" i="54"/>
  <c r="X921" i="54"/>
  <c r="X680" i="54"/>
  <c r="X661" i="54"/>
  <c r="X595" i="54"/>
  <c r="X851" i="54"/>
  <c r="X448" i="54"/>
  <c r="X509" i="54"/>
  <c r="X268" i="54"/>
  <c r="X204" i="54"/>
  <c r="X140" i="54"/>
  <c r="X76" i="54"/>
  <c r="X606" i="54"/>
  <c r="X350" i="54"/>
  <c r="X735" i="54"/>
  <c r="X1170" i="54"/>
  <c r="X1045" i="54"/>
  <c r="X981" i="54"/>
  <c r="X1059" i="54"/>
  <c r="X1116" i="54"/>
  <c r="X724" i="54"/>
  <c r="X705" i="54"/>
  <c r="X639" i="54"/>
  <c r="X592" i="54"/>
  <c r="X492" i="54"/>
  <c r="X727" i="54"/>
  <c r="X313" i="54"/>
  <c r="X219" i="54"/>
  <c r="X155" i="54"/>
  <c r="X91" i="54"/>
  <c r="X27" i="54"/>
  <c r="X410" i="54"/>
  <c r="X323" i="54"/>
  <c r="X1165" i="54"/>
  <c r="X1085" i="54"/>
  <c r="X1000" i="54"/>
  <c r="X1110" i="54"/>
  <c r="X892" i="54"/>
  <c r="X800" i="54"/>
  <c r="X781" i="54"/>
  <c r="X706" i="54"/>
  <c r="X691" i="54"/>
  <c r="X569" i="54"/>
  <c r="X312" i="54"/>
  <c r="X389" i="54"/>
  <c r="X238" i="54"/>
  <c r="X174" i="54"/>
  <c r="X110" i="54"/>
  <c r="X46" i="54"/>
  <c r="X470" i="54"/>
  <c r="X443" i="54"/>
  <c r="X311" i="54"/>
  <c r="X1112" i="54"/>
  <c r="X1007" i="54"/>
  <c r="X794" i="54"/>
  <c r="X593" i="54"/>
  <c r="X528" i="54"/>
  <c r="X1181" i="54"/>
  <c r="X486" i="54"/>
  <c r="X105" i="54"/>
  <c r="X287" i="54"/>
  <c r="X1079" i="54"/>
  <c r="X839" i="54"/>
  <c r="X252" i="54"/>
  <c r="X542" i="54"/>
  <c r="X1029" i="54"/>
  <c r="X953" i="54"/>
  <c r="X428" i="54"/>
  <c r="X139" i="54"/>
  <c r="X703" i="54"/>
  <c r="X1143" i="54"/>
  <c r="X651" i="54"/>
  <c r="X325" i="54"/>
  <c r="X30" i="54"/>
  <c r="X1055" i="54"/>
  <c r="X931" i="54"/>
  <c r="X856" i="54"/>
  <c r="X764" i="54"/>
  <c r="X745" i="54"/>
  <c r="X843" i="54"/>
  <c r="X632" i="54"/>
  <c r="X532" i="54"/>
  <c r="X276" i="54"/>
  <c r="X353" i="54"/>
  <c r="X229" i="54"/>
  <c r="X165" i="54"/>
  <c r="X101" i="54"/>
  <c r="X37" i="54"/>
  <c r="X450" i="54"/>
  <c r="X403" i="54"/>
  <c r="X1157" i="54"/>
  <c r="X1077" i="54"/>
  <c r="X998" i="54"/>
  <c r="X959" i="54"/>
  <c r="X884" i="54"/>
  <c r="X792" i="54"/>
  <c r="X773" i="54"/>
  <c r="X698" i="54"/>
  <c r="X660" i="54"/>
  <c r="X561" i="54"/>
  <c r="X304" i="54"/>
  <c r="X365" i="54"/>
  <c r="X232" i="54"/>
  <c r="X168" i="54"/>
  <c r="X104" i="54"/>
  <c r="X40" i="54"/>
  <c r="X462" i="54"/>
  <c r="X427" i="54"/>
  <c r="X783" i="54"/>
  <c r="X1120" i="54"/>
  <c r="X1009" i="54"/>
  <c r="X1066" i="54"/>
  <c r="X930" i="54"/>
  <c r="X945" i="54"/>
  <c r="X817" i="54"/>
  <c r="X742" i="54"/>
  <c r="X763" i="54"/>
  <c r="X605" i="54"/>
  <c r="X348" i="54"/>
  <c r="X425" i="54"/>
  <c r="X247" i="54"/>
  <c r="X183" i="54"/>
  <c r="X119" i="54"/>
  <c r="X55" i="54"/>
  <c r="X522" i="54"/>
  <c r="X547" i="54"/>
  <c r="X447" i="54"/>
  <c r="X1072" i="54"/>
  <c r="X1028" i="54"/>
  <c r="X964" i="54"/>
  <c r="X879" i="54"/>
  <c r="X897" i="54"/>
  <c r="X942" i="54"/>
  <c r="X818" i="54"/>
  <c r="X571" i="54"/>
  <c r="X657" i="54"/>
  <c r="X424" i="54"/>
  <c r="X501" i="54"/>
  <c r="X266" i="54"/>
  <c r="X202" i="54"/>
  <c r="X138" i="54"/>
  <c r="X74" i="54"/>
  <c r="X582" i="54"/>
  <c r="X326" i="54"/>
  <c r="X471" i="54"/>
  <c r="X1100" i="54"/>
  <c r="X1035" i="54"/>
  <c r="X971" i="54"/>
  <c r="X907" i="54"/>
  <c r="X925" i="54"/>
  <c r="X684" i="54"/>
  <c r="X665" i="54"/>
  <c r="X599" i="54"/>
  <c r="X1087" i="54"/>
  <c r="X452" i="54"/>
  <c r="X529" i="54"/>
  <c r="X273" i="54"/>
  <c r="X209" i="54"/>
  <c r="X145" i="54"/>
  <c r="X81" i="54"/>
  <c r="X638" i="54"/>
  <c r="X370" i="54"/>
  <c r="X751" i="54"/>
  <c r="X1154" i="54"/>
  <c r="X1042" i="54"/>
  <c r="X978" i="54"/>
  <c r="X948" i="54"/>
  <c r="X1083" i="54"/>
  <c r="X712" i="54"/>
  <c r="X693" i="54"/>
  <c r="X627" i="54"/>
  <c r="X580" i="54"/>
  <c r="X480" i="54"/>
  <c r="X541" i="54"/>
  <c r="X285" i="54"/>
  <c r="X212" i="54"/>
  <c r="X148" i="54"/>
  <c r="X84" i="54"/>
  <c r="X847" i="54"/>
  <c r="X382" i="54"/>
  <c r="X399" i="54"/>
  <c r="X1121" i="54"/>
  <c r="X1053" i="54"/>
  <c r="X989" i="54"/>
  <c r="X1171" i="54"/>
  <c r="X848" i="54"/>
  <c r="X756" i="54"/>
  <c r="X737" i="54"/>
  <c r="X670" i="54"/>
  <c r="X624" i="54"/>
  <c r="X524" i="54"/>
  <c r="X898" i="54"/>
  <c r="X345" i="54"/>
  <c r="X227" i="54"/>
  <c r="X163" i="54"/>
  <c r="X99" i="54"/>
  <c r="X35" i="54"/>
  <c r="X442" i="54"/>
  <c r="X387" i="54"/>
  <c r="X1133" i="54"/>
  <c r="X1056" i="54"/>
  <c r="X992" i="54"/>
  <c r="X935" i="54"/>
  <c r="X860" i="54"/>
  <c r="X768" i="54"/>
  <c r="X749" i="54"/>
  <c r="X934" i="54"/>
  <c r="X636" i="54"/>
  <c r="X536" i="54"/>
  <c r="X280" i="54"/>
  <c r="X357" i="54"/>
  <c r="X230" i="54"/>
  <c r="X166" i="54"/>
  <c r="X102" i="54"/>
  <c r="X38" i="54"/>
  <c r="X438" i="54"/>
  <c r="X379" i="54"/>
  <c r="X607" i="54"/>
  <c r="X281" i="54"/>
  <c r="X147" i="54"/>
  <c r="X83" i="54"/>
  <c r="X378" i="54"/>
  <c r="X335" i="54"/>
  <c r="X1040" i="54"/>
  <c r="X1126" i="54"/>
  <c r="X917" i="54"/>
  <c r="X774" i="54"/>
  <c r="X710" i="54"/>
  <c r="X908" i="54"/>
  <c r="X356" i="54"/>
  <c r="X41" i="54"/>
  <c r="X1155" i="54"/>
  <c r="X857" i="54"/>
  <c r="X617" i="54"/>
  <c r="X188" i="54"/>
  <c r="X286" i="54"/>
  <c r="X965" i="54"/>
  <c r="X822" i="54"/>
  <c r="X505" i="54"/>
  <c r="X75" i="54"/>
  <c r="X1182" i="54"/>
  <c r="X1175" i="54"/>
  <c r="X604" i="54"/>
  <c r="X222" i="54"/>
  <c r="X406" i="54"/>
  <c r="X991" i="54"/>
  <c r="X923" i="54"/>
  <c r="X952" i="54"/>
  <c r="X700" i="54"/>
  <c r="X681" i="54"/>
  <c r="X615" i="54"/>
  <c r="X568" i="54"/>
  <c r="X468" i="54"/>
  <c r="X545" i="54"/>
  <c r="X289" i="54"/>
  <c r="X213" i="54"/>
  <c r="X149" i="54"/>
  <c r="X85" i="54"/>
  <c r="X950" i="54"/>
  <c r="X386" i="54"/>
  <c r="X275" i="54"/>
  <c r="X1174" i="54"/>
  <c r="X1046" i="54"/>
  <c r="X982" i="54"/>
  <c r="X1075" i="54"/>
  <c r="X1124" i="54"/>
  <c r="X728" i="54"/>
  <c r="X709" i="54"/>
  <c r="X643" i="54"/>
  <c r="X596" i="54"/>
  <c r="X496" i="54"/>
  <c r="X679" i="54"/>
  <c r="X301" i="54"/>
  <c r="X216" i="54"/>
  <c r="X152" i="54"/>
  <c r="X88" i="54"/>
  <c r="X24" i="54"/>
  <c r="X398" i="54"/>
  <c r="X299" i="54"/>
  <c r="X1137" i="54"/>
  <c r="X1057" i="54"/>
  <c r="X993" i="54"/>
  <c r="X939" i="54"/>
  <c r="X864" i="54"/>
  <c r="X772" i="54"/>
  <c r="X753" i="54"/>
  <c r="X678" i="54"/>
  <c r="X640" i="54"/>
  <c r="X540" i="54"/>
  <c r="X284" i="54"/>
  <c r="X361" i="54"/>
  <c r="X231" i="54"/>
  <c r="X167" i="54"/>
  <c r="X103" i="54"/>
  <c r="X39" i="54"/>
  <c r="X458" i="54"/>
  <c r="X419" i="54"/>
  <c r="X719" i="54"/>
  <c r="X1131" i="54"/>
  <c r="X1012" i="54"/>
  <c r="X1078" i="54"/>
  <c r="X941" i="54"/>
  <c r="X833" i="54"/>
  <c r="X829" i="54"/>
  <c r="X754" i="54"/>
  <c r="X787" i="54"/>
  <c r="X618" i="54"/>
  <c r="X360" i="54"/>
  <c r="X437" i="54"/>
  <c r="X250" i="54"/>
  <c r="X186" i="54"/>
  <c r="X122" i="54"/>
  <c r="X58" i="54"/>
  <c r="X518" i="54"/>
  <c r="X539" i="54"/>
  <c r="X439" i="54"/>
  <c r="X1160" i="54"/>
  <c r="X1019" i="54"/>
  <c r="X1119" i="54"/>
  <c r="X1095" i="54"/>
  <c r="X861" i="54"/>
  <c r="X862" i="54"/>
  <c r="X782" i="54"/>
  <c r="X858" i="54"/>
  <c r="X621" i="54"/>
  <c r="X388" i="54"/>
  <c r="X465" i="54"/>
  <c r="X257" i="54"/>
  <c r="X193" i="54"/>
  <c r="X129" i="54"/>
  <c r="X65" i="54"/>
  <c r="X562" i="54"/>
  <c r="X306" i="54"/>
  <c r="X279" i="54"/>
  <c r="X1064" i="54"/>
  <c r="X1026" i="54"/>
  <c r="X962" i="54"/>
  <c r="X871" i="54"/>
  <c r="X889" i="54"/>
  <c r="X918" i="54"/>
  <c r="X810" i="54"/>
  <c r="X563" i="54"/>
  <c r="X649" i="54"/>
  <c r="X416" i="54"/>
  <c r="X477" i="54"/>
  <c r="X260" i="54"/>
  <c r="X196" i="54"/>
  <c r="X132" i="54"/>
  <c r="X68" i="54"/>
  <c r="X574" i="54"/>
  <c r="X318" i="54"/>
  <c r="X343" i="54"/>
  <c r="X1114" i="54"/>
  <c r="X1037" i="54"/>
  <c r="X973" i="54"/>
  <c r="X915" i="54"/>
  <c r="X936" i="54"/>
  <c r="X692" i="54"/>
  <c r="X673" i="54"/>
  <c r="X560" i="54"/>
  <c r="X460" i="54"/>
  <c r="X537" i="54"/>
  <c r="X211" i="54"/>
  <c r="X654" i="54"/>
  <c r="X1138" i="54"/>
  <c r="X932" i="54"/>
  <c r="X1068" i="54"/>
  <c r="X1043" i="54"/>
  <c r="X999" i="54"/>
  <c r="X944" i="54"/>
  <c r="X723" i="54"/>
  <c r="X233" i="54"/>
  <c r="X466" i="54"/>
  <c r="X1018" i="54"/>
  <c r="X854" i="54"/>
  <c r="X384" i="54"/>
  <c r="X124" i="54"/>
  <c r="X503" i="54"/>
  <c r="X883" i="54"/>
  <c r="X575" i="54"/>
  <c r="X267" i="54"/>
  <c r="X602" i="54"/>
  <c r="X1048" i="54"/>
  <c r="X736" i="54"/>
  <c r="X504" i="54"/>
  <c r="X158" i="54"/>
  <c r="X315" i="54"/>
  <c r="X1164" i="54"/>
  <c r="X859" i="54"/>
  <c r="X877" i="54"/>
  <c r="X894" i="54"/>
  <c r="X798" i="54"/>
  <c r="X922" i="54"/>
  <c r="X637" i="54"/>
  <c r="X404" i="54"/>
  <c r="X481" i="54"/>
  <c r="X261" i="54"/>
  <c r="X197" i="54"/>
  <c r="X133" i="54"/>
  <c r="X69" i="54"/>
  <c r="X578" i="54"/>
  <c r="X322" i="54"/>
  <c r="X367" i="54"/>
  <c r="X1080" i="54"/>
  <c r="X1030" i="54"/>
  <c r="X966" i="54"/>
  <c r="X887" i="54"/>
  <c r="X905" i="54"/>
  <c r="X664" i="54"/>
  <c r="X826" i="54"/>
  <c r="X579" i="54"/>
  <c r="X667" i="54"/>
  <c r="X432" i="54"/>
  <c r="X493" i="54"/>
  <c r="X264" i="54"/>
  <c r="X985" i="54"/>
  <c r="X1102" i="54"/>
  <c r="X1076" i="54"/>
  <c r="X346" i="54"/>
  <c r="X94" i="54"/>
  <c r="X828" i="54"/>
  <c r="X597" i="54"/>
  <c r="X181" i="54"/>
  <c r="X531" i="54"/>
  <c r="X1086" i="54"/>
  <c r="X762" i="54"/>
  <c r="X429" i="54"/>
  <c r="X136" i="54"/>
  <c r="X590" i="54"/>
  <c r="X511" i="54"/>
  <c r="X1041" i="54"/>
  <c r="X940" i="54"/>
  <c r="X708" i="54"/>
  <c r="X623" i="54"/>
  <c r="X476" i="54"/>
  <c r="X297" i="54"/>
  <c r="X151" i="54"/>
  <c r="X23" i="54"/>
  <c r="X291" i="54"/>
  <c r="X1069" i="54"/>
  <c r="X951" i="54"/>
  <c r="X784" i="54"/>
  <c r="X690" i="54"/>
  <c r="X552" i="54"/>
  <c r="X373" i="54"/>
  <c r="X170" i="54"/>
  <c r="X42" i="54"/>
  <c r="X411" i="54"/>
  <c r="X1097" i="54"/>
  <c r="X1142" i="54"/>
  <c r="X812" i="54"/>
  <c r="X718" i="54"/>
  <c r="X581" i="54"/>
  <c r="X401" i="54"/>
  <c r="X177" i="54"/>
  <c r="X49" i="54"/>
  <c r="X499" i="54"/>
  <c r="X1123" i="54"/>
  <c r="X1070" i="54"/>
  <c r="X958" i="54"/>
  <c r="X746" i="54"/>
  <c r="X609" i="54"/>
  <c r="X413" i="54"/>
  <c r="X180" i="54"/>
  <c r="X52" i="54"/>
  <c r="X523" i="54"/>
  <c r="X1168" i="54"/>
  <c r="X1134" i="54"/>
  <c r="X869" i="54"/>
  <c r="X790" i="54"/>
  <c r="X629" i="54"/>
  <c r="X473" i="54"/>
  <c r="X195" i="54"/>
  <c r="X67" i="54"/>
  <c r="X314" i="54"/>
  <c r="X1184" i="54"/>
  <c r="X976" i="54"/>
  <c r="X924" i="54"/>
  <c r="X704" i="54"/>
  <c r="X802" i="54"/>
  <c r="X755" i="54"/>
  <c r="X472" i="54"/>
  <c r="X485" i="54"/>
  <c r="X246" i="54"/>
  <c r="X150" i="54"/>
  <c r="X70" i="54"/>
  <c r="X502" i="54"/>
  <c r="X815" i="54"/>
  <c r="X237" i="54"/>
  <c r="X203" i="54"/>
  <c r="X920" i="54"/>
  <c r="X747" i="54"/>
  <c r="X514" i="54"/>
  <c r="X838" i="54"/>
  <c r="X184" i="54"/>
  <c r="X882" i="54"/>
  <c r="X885" i="54"/>
  <c r="X645" i="54"/>
  <c r="X489" i="54"/>
  <c r="X199" i="54"/>
  <c r="X330" i="54"/>
  <c r="X980" i="54"/>
  <c r="X701" i="54"/>
  <c r="X711" i="54"/>
  <c r="X218" i="54"/>
  <c r="X390" i="54"/>
  <c r="X840" i="54"/>
  <c r="X616" i="54"/>
  <c r="X225" i="54"/>
  <c r="X434" i="54"/>
  <c r="X994" i="54"/>
  <c r="X757" i="54"/>
  <c r="X228" i="54"/>
  <c r="X446" i="54"/>
  <c r="X1005" i="54"/>
  <c r="X801" i="54"/>
  <c r="X332" i="54"/>
  <c r="X506" i="54"/>
  <c r="X863" i="54"/>
  <c r="X555" i="54"/>
  <c r="X262" i="54"/>
  <c r="X566" i="54"/>
  <c r="X954" i="54"/>
  <c r="X242" i="54"/>
  <c r="X778" i="54"/>
  <c r="X901" i="54"/>
  <c r="X984" i="54"/>
  <c r="X1129" i="54"/>
  <c r="X809" i="54"/>
  <c r="X340" i="54"/>
  <c r="X117" i="54"/>
  <c r="X431" i="54"/>
  <c r="X949" i="54"/>
  <c r="X803" i="54"/>
  <c r="X248" i="54"/>
  <c r="X120" i="54"/>
  <c r="X526" i="54"/>
  <c r="X455" i="54"/>
  <c r="X1025" i="54"/>
  <c r="X867" i="54"/>
  <c r="X910" i="54"/>
  <c r="X559" i="54"/>
  <c r="X412" i="54"/>
  <c r="X263" i="54"/>
  <c r="X135" i="54"/>
  <c r="X586" i="54"/>
  <c r="X487" i="54"/>
  <c r="X1044" i="54"/>
  <c r="X961" i="54"/>
  <c r="X720" i="54"/>
  <c r="X635" i="54"/>
  <c r="X488" i="54"/>
  <c r="X309" i="54"/>
  <c r="X154" i="54"/>
  <c r="X26" i="54"/>
  <c r="X283" i="54"/>
  <c r="X1051" i="54"/>
  <c r="X1148" i="54"/>
  <c r="X748" i="54"/>
  <c r="X662" i="54"/>
  <c r="X516" i="54"/>
  <c r="X337" i="54"/>
  <c r="X161" i="54"/>
  <c r="X33" i="54"/>
  <c r="X371" i="54"/>
  <c r="X1061" i="54"/>
  <c r="X943" i="54"/>
  <c r="X776" i="54"/>
  <c r="X682" i="54"/>
  <c r="X544" i="54"/>
  <c r="X349" i="54"/>
  <c r="X164" i="54"/>
  <c r="X36" i="54"/>
  <c r="X395" i="54"/>
  <c r="X1104" i="54"/>
  <c r="X1167" i="54"/>
  <c r="X820" i="54"/>
  <c r="X726" i="54"/>
  <c r="X589" i="54"/>
  <c r="X409" i="54"/>
  <c r="X179" i="54"/>
  <c r="X51" i="54"/>
  <c r="X515" i="54"/>
  <c r="X1115" i="54"/>
  <c r="X1166" i="54"/>
  <c r="X960" i="54"/>
  <c r="X902" i="54"/>
  <c r="X738" i="54"/>
  <c r="X572" i="54"/>
  <c r="X408" i="54"/>
  <c r="X421" i="54"/>
  <c r="X214" i="54"/>
  <c r="X134" i="54"/>
  <c r="X54" i="54"/>
  <c r="X374" i="54"/>
  <c r="X295" i="54"/>
  <c r="X118" i="54"/>
  <c r="X310" i="54"/>
  <c r="X435" i="54"/>
  <c r="X60" i="54"/>
  <c r="X775" i="54"/>
  <c r="X245" i="54"/>
  <c r="X1014" i="54"/>
  <c r="X368" i="54"/>
  <c r="X56" i="54"/>
  <c r="X1060" i="54"/>
  <c r="X1179" i="54"/>
  <c r="X806" i="54"/>
  <c r="X71" i="54"/>
  <c r="X1183" i="54"/>
  <c r="X1111" i="54"/>
  <c r="X588" i="54"/>
  <c r="X90" i="54"/>
  <c r="X987" i="54"/>
  <c r="X729" i="54"/>
  <c r="X823" i="54"/>
  <c r="X97" i="54"/>
  <c r="X1141" i="54"/>
  <c r="X868" i="54"/>
  <c r="X644" i="54"/>
  <c r="X100" i="54"/>
  <c r="X1185" i="54"/>
  <c r="X731" i="54"/>
  <c r="X115" i="54"/>
  <c r="X1008" i="54"/>
  <c r="X685" i="54"/>
  <c r="X549" i="54"/>
  <c r="X86" i="54"/>
  <c r="X449" i="54"/>
  <c r="X169" i="54"/>
  <c r="X445" i="54"/>
  <c r="X663" i="54"/>
  <c r="X717" i="54"/>
  <c r="X1058" i="54"/>
  <c r="X734" i="54"/>
  <c r="X417" i="54"/>
  <c r="X53" i="54"/>
  <c r="X1139" i="54"/>
  <c r="X841" i="54"/>
  <c r="X634" i="54"/>
  <c r="X200" i="54"/>
  <c r="X72" i="54"/>
  <c r="X334" i="54"/>
  <c r="X1146" i="54"/>
  <c r="X977" i="54"/>
  <c r="X1067" i="54"/>
  <c r="X689" i="54"/>
  <c r="X576" i="54"/>
  <c r="X553" i="54"/>
  <c r="X215" i="54"/>
  <c r="X87" i="54"/>
  <c r="X394" i="54"/>
  <c r="X1149" i="54"/>
  <c r="X996" i="54"/>
  <c r="X876" i="54"/>
  <c r="X765" i="54"/>
  <c r="X652" i="54"/>
  <c r="X296" i="54"/>
  <c r="X234" i="54"/>
  <c r="X106" i="54"/>
  <c r="X454" i="54"/>
  <c r="X1177" i="54"/>
  <c r="X1003" i="54"/>
  <c r="X904" i="54"/>
  <c r="X793" i="54"/>
  <c r="X715" i="54"/>
  <c r="X324" i="54"/>
  <c r="X241" i="54"/>
  <c r="X113" i="54"/>
  <c r="X498" i="54"/>
  <c r="X391" i="54"/>
  <c r="X1010" i="54"/>
  <c r="X933" i="54"/>
  <c r="X821" i="54"/>
  <c r="X771" i="54"/>
  <c r="X352" i="54"/>
  <c r="X244" i="54"/>
  <c r="X116" i="54"/>
  <c r="X510" i="54"/>
  <c r="X423" i="54"/>
  <c r="X1021" i="54"/>
  <c r="X1158" i="54"/>
  <c r="X878" i="54"/>
  <c r="X890" i="54"/>
  <c r="X396" i="54"/>
  <c r="X259" i="54"/>
  <c r="X131" i="54"/>
  <c r="X570" i="54"/>
  <c r="X303" i="54"/>
  <c r="X1024" i="54"/>
  <c r="X1062" i="54"/>
  <c r="X881" i="54"/>
  <c r="X813" i="54"/>
  <c r="X619" i="54"/>
  <c r="X641" i="54"/>
  <c r="X344" i="54"/>
  <c r="X293" i="54"/>
  <c r="X198" i="54"/>
  <c r="X646" i="54"/>
  <c r="X1113" i="54"/>
  <c r="X288" i="54"/>
  <c r="X912" i="54"/>
  <c r="X243" i="54"/>
  <c r="X415" i="54"/>
  <c r="X929" i="54"/>
  <c r="X601" i="54"/>
  <c r="X182" i="54"/>
  <c r="X507" i="54"/>
  <c r="AA480" i="44"/>
  <c r="AA668" i="44"/>
  <c r="AA914" i="44"/>
  <c r="AA662" i="44"/>
  <c r="AA426" i="44"/>
  <c r="AA381" i="44"/>
  <c r="AA99" i="44"/>
  <c r="AA973" i="44"/>
  <c r="AA1059" i="44"/>
  <c r="AA1091" i="44"/>
  <c r="AA398" i="44"/>
  <c r="AA199" i="44"/>
  <c r="AA205" i="44"/>
  <c r="AA220" i="44"/>
  <c r="AA32" i="44"/>
  <c r="AA835" i="44"/>
  <c r="AA1135" i="44"/>
  <c r="AA654" i="44"/>
  <c r="AA402" i="44"/>
  <c r="AA215" i="44"/>
  <c r="AA326" i="44"/>
  <c r="AA209" i="44"/>
  <c r="AA1005" i="44"/>
  <c r="AA1035" i="44"/>
  <c r="AA978" i="44"/>
  <c r="AA910" i="44"/>
  <c r="AA658" i="44"/>
  <c r="AA406" i="44"/>
  <c r="AA295" i="44"/>
  <c r="AA126" i="44"/>
  <c r="AA501" i="44"/>
  <c r="AA736" i="44"/>
  <c r="AA193" i="44"/>
  <c r="AA208" i="44"/>
  <c r="AA421" i="44"/>
  <c r="AA1080" i="44"/>
  <c r="AA851" i="44"/>
  <c r="AA1185" i="44"/>
  <c r="AA1151" i="44"/>
  <c r="AA782" i="44"/>
  <c r="AA530" i="44"/>
  <c r="AA340" i="44"/>
  <c r="AA250" i="44"/>
  <c r="AA337" i="44"/>
  <c r="AA415" i="44"/>
  <c r="AA651" i="44"/>
  <c r="AA379" i="44"/>
  <c r="AA472" i="44"/>
  <c r="AA593" i="44"/>
  <c r="AA874" i="44"/>
  <c r="AA670" i="44"/>
  <c r="AA418" i="44"/>
  <c r="AA389" i="44"/>
  <c r="AA368" i="44"/>
  <c r="AA266" i="44"/>
  <c r="AA78" i="44"/>
  <c r="AA229" i="44"/>
  <c r="AA260" i="44"/>
  <c r="AA829" i="44"/>
  <c r="AA1097" i="44"/>
  <c r="AA885" i="44"/>
  <c r="AA1134" i="44"/>
  <c r="AA792" i="44"/>
  <c r="AA468" i="44"/>
  <c r="AA611" i="44"/>
  <c r="AA796" i="44"/>
  <c r="AA545" i="44"/>
  <c r="AA886" i="44"/>
  <c r="AA322" i="44"/>
  <c r="AA285" i="44"/>
  <c r="AA97" i="44"/>
  <c r="AA176" i="44"/>
  <c r="AA403" i="44"/>
  <c r="AA722" i="44"/>
  <c r="AA470" i="44"/>
  <c r="AA393" i="44"/>
  <c r="AA316" i="44"/>
  <c r="AA190" i="44"/>
  <c r="AA544" i="44"/>
  <c r="AA1159" i="44"/>
  <c r="AA687" i="44"/>
  <c r="AA865" i="44"/>
  <c r="AA733" i="44"/>
  <c r="AA419" i="44"/>
  <c r="AA604" i="44"/>
  <c r="AA866" i="44"/>
  <c r="AA983" i="44"/>
  <c r="AA640" i="44"/>
  <c r="AA1137" i="44"/>
  <c r="AA1034" i="44"/>
  <c r="AA868" i="44"/>
  <c r="AA299" i="44"/>
  <c r="AA628" i="44"/>
  <c r="AA669" i="44"/>
  <c r="AA440" i="44"/>
  <c r="AA625" i="44"/>
  <c r="AA758" i="44"/>
  <c r="AA332" i="44"/>
  <c r="AA278" i="44"/>
  <c r="AA74" i="44"/>
  <c r="AA225" i="44"/>
  <c r="AA68" i="44"/>
  <c r="AA512" i="44"/>
  <c r="AA1033" i="44"/>
  <c r="AA624" i="44"/>
  <c r="AA1070" i="44"/>
  <c r="AA884" i="44"/>
  <c r="AA700" i="44"/>
  <c r="AA471" i="44"/>
  <c r="AA814" i="44"/>
  <c r="AA626" i="44"/>
  <c r="AA200" i="44"/>
  <c r="AA464" i="44"/>
  <c r="AA1104" i="44"/>
  <c r="AA1002" i="44"/>
  <c r="AA645" i="44"/>
  <c r="AA1090" i="44"/>
  <c r="AA740" i="44"/>
  <c r="AA523" i="44"/>
  <c r="AA59" i="44"/>
  <c r="AA178" i="44"/>
  <c r="AA281" i="44"/>
  <c r="AA92" i="44"/>
  <c r="AA923" i="44"/>
  <c r="AA1127" i="44"/>
  <c r="AA583" i="44"/>
  <c r="AA850" i="44"/>
  <c r="AA598" i="44"/>
  <c r="AA360" i="44"/>
  <c r="AA247" i="44"/>
  <c r="AA318" i="44"/>
  <c r="AA130" i="44"/>
  <c r="AA297" i="44"/>
  <c r="AA93" i="44"/>
  <c r="AA172" i="44"/>
  <c r="AA613" i="44"/>
  <c r="AA1068" i="44"/>
  <c r="AA1082" i="44"/>
  <c r="AA889" i="44"/>
  <c r="AA431" i="44"/>
  <c r="AA823" i="44"/>
  <c r="AA776" i="44"/>
  <c r="AA615" i="44"/>
  <c r="AA750" i="44"/>
  <c r="AA562" i="44"/>
  <c r="AA374" i="44"/>
  <c r="AA244" i="44"/>
  <c r="AA1011" i="44"/>
  <c r="AA448" i="44"/>
  <c r="AA637" i="44"/>
  <c r="AA759" i="44"/>
  <c r="AA423" i="44"/>
  <c r="AA746" i="44"/>
  <c r="AA542" i="44"/>
  <c r="AA587" i="44"/>
  <c r="AA957" i="44"/>
  <c r="AA453" i="44"/>
  <c r="AA1102" i="44"/>
  <c r="AA708" i="44"/>
  <c r="AA897" i="44"/>
  <c r="AA447" i="44"/>
  <c r="AA493" i="44"/>
  <c r="AA1047" i="44"/>
  <c r="AA61" i="44"/>
  <c r="AA959" i="44"/>
  <c r="AA597" i="44"/>
  <c r="AA1113" i="44"/>
  <c r="AA928" i="44"/>
  <c r="AA942" i="44"/>
  <c r="AA580" i="44"/>
  <c r="AA919" i="44"/>
  <c r="AA489" i="44"/>
  <c r="AA600" i="44"/>
  <c r="AA807" i="44"/>
  <c r="AA550" i="44"/>
  <c r="AA378" i="44"/>
  <c r="AA163" i="44"/>
  <c r="AA210" i="44"/>
  <c r="AA313" i="44"/>
  <c r="AA180" i="44"/>
  <c r="AA571" i="44"/>
  <c r="AA1076" i="44"/>
  <c r="AA789" i="44"/>
  <c r="AA1101" i="44"/>
  <c r="AA639" i="44"/>
  <c r="AA696" i="44"/>
  <c r="AA424" i="44"/>
  <c r="AA631" i="44"/>
  <c r="AA721" i="44"/>
  <c r="AA748" i="44"/>
  <c r="AA476" i="44"/>
  <c r="AA834" i="44"/>
  <c r="AA646" i="44"/>
  <c r="AA410" i="44"/>
  <c r="AA778" i="44"/>
  <c r="AA574" i="44"/>
  <c r="AA386" i="44"/>
  <c r="AA351" i="44"/>
  <c r="AA67" i="44"/>
  <c r="AA296" i="44"/>
  <c r="AA119" i="44"/>
  <c r="AA350" i="44"/>
  <c r="AA162" i="44"/>
  <c r="AA265" i="44"/>
  <c r="AA294" i="44"/>
  <c r="AA241" i="44"/>
  <c r="AA84" i="44"/>
  <c r="AA943" i="44"/>
  <c r="AA196" i="44"/>
  <c r="AA248" i="44"/>
  <c r="AA60" i="44"/>
  <c r="AA985" i="44"/>
  <c r="AA1180" i="44"/>
  <c r="AA1065" i="44"/>
  <c r="AA1048" i="44"/>
  <c r="AA725" i="44"/>
  <c r="AA1089" i="44"/>
  <c r="AA821" i="44"/>
  <c r="AA1158" i="44"/>
  <c r="AA1145" i="44"/>
  <c r="AA987" i="44"/>
  <c r="AA1182" i="44"/>
  <c r="AA665" i="44"/>
  <c r="AA876" i="44"/>
  <c r="AA911" i="44"/>
  <c r="AA473" i="44"/>
  <c r="AA844" i="44"/>
  <c r="AA239" i="44"/>
  <c r="AA483" i="44"/>
  <c r="AA1037" i="44"/>
  <c r="AA1017" i="44"/>
  <c r="AA539" i="44"/>
  <c r="AA1054" i="44"/>
  <c r="AA905" i="44"/>
  <c r="AA175" i="44"/>
  <c r="AA1110" i="44"/>
  <c r="AA805" i="44"/>
  <c r="AA996" i="44"/>
  <c r="AA724" i="44"/>
  <c r="AA653" i="44"/>
  <c r="AA940" i="44"/>
  <c r="AA532" i="44"/>
  <c r="AA621" i="44"/>
  <c r="AA95" i="44"/>
  <c r="AA513" i="44"/>
  <c r="AA547" i="44"/>
  <c r="AA732" i="44"/>
  <c r="AA481" i="44"/>
  <c r="AA838" i="44"/>
  <c r="AA602" i="44"/>
  <c r="AA452" i="44"/>
  <c r="AA505" i="44"/>
  <c r="AA839" i="44"/>
  <c r="AA541" i="44"/>
  <c r="AA684" i="44"/>
  <c r="AA717" i="44"/>
  <c r="AA445" i="44"/>
  <c r="AA652" i="44"/>
  <c r="AA371" i="44"/>
  <c r="AA730" i="44"/>
  <c r="AA577" i="44"/>
  <c r="AA894" i="44"/>
  <c r="AA706" i="44"/>
  <c r="AA518" i="44"/>
  <c r="AA650" i="44"/>
  <c r="AA446" i="44"/>
  <c r="AA417" i="44"/>
  <c r="AA380" i="44"/>
  <c r="AA246" i="44"/>
  <c r="AA1099" i="44"/>
  <c r="AA1139" i="44"/>
  <c r="AA916" i="44"/>
  <c r="AA1012" i="44"/>
  <c r="AA596" i="44"/>
  <c r="AA589" i="44"/>
  <c r="AA775" i="44"/>
  <c r="AA439" i="44"/>
  <c r="AA797" i="44"/>
  <c r="AA718" i="44"/>
  <c r="AA989" i="44"/>
  <c r="AA552" i="44"/>
  <c r="AA673" i="44"/>
  <c r="AA918" i="44"/>
  <c r="AA682" i="44"/>
  <c r="AA478" i="44"/>
  <c r="AA385" i="44"/>
  <c r="AA1155" i="44"/>
  <c r="AA1067" i="44"/>
  <c r="AA1019" i="44"/>
  <c r="AA575" i="44"/>
  <c r="AA557" i="44"/>
  <c r="AA679" i="44"/>
  <c r="AA938" i="44"/>
  <c r="AA734" i="44"/>
  <c r="AA482" i="44"/>
  <c r="AA1055" i="44"/>
  <c r="AA1143" i="44"/>
  <c r="AA1008" i="44"/>
  <c r="AA585" i="44"/>
  <c r="AA563" i="44"/>
  <c r="AA705" i="44"/>
  <c r="AA433" i="44"/>
  <c r="AA738" i="44"/>
  <c r="AA1015" i="44"/>
  <c r="AA466" i="44"/>
  <c r="AA373" i="44"/>
  <c r="AA131" i="44"/>
  <c r="AA186" i="44"/>
  <c r="AA273" i="44"/>
  <c r="AA899" i="44"/>
  <c r="AA877" i="44"/>
  <c r="AA860" i="44"/>
  <c r="AA728" i="44"/>
  <c r="AA323" i="44"/>
  <c r="AA535" i="44"/>
  <c r="AA862" i="44"/>
  <c r="AA610" i="44"/>
  <c r="AA672" i="44"/>
  <c r="AA1043" i="44"/>
  <c r="AA1141" i="44"/>
  <c r="AA1038" i="44"/>
  <c r="AA841" i="44"/>
  <c r="AA972" i="44"/>
  <c r="AA617" i="44"/>
  <c r="AA579" i="44"/>
  <c r="AA785" i="44"/>
  <c r="AA556" i="44"/>
  <c r="AA878" i="44"/>
  <c r="AA690" i="44"/>
  <c r="AA502" i="44"/>
  <c r="AA194" i="44"/>
  <c r="AA361" i="44"/>
  <c r="AA157" i="44"/>
  <c r="AA236" i="44"/>
  <c r="AA1001" i="44"/>
  <c r="AA1117" i="44"/>
  <c r="AA853" i="44"/>
  <c r="AA1138" i="44"/>
  <c r="AA783" i="44"/>
  <c r="AA984" i="44"/>
  <c r="AA934" i="44"/>
  <c r="AA762" i="44"/>
  <c r="AA558" i="44"/>
  <c r="AA370" i="44"/>
  <c r="AA319" i="44"/>
  <c r="AA516" i="44"/>
  <c r="AA756" i="44"/>
  <c r="AA648" i="44"/>
  <c r="AA791" i="44"/>
  <c r="AA519" i="44"/>
  <c r="AA802" i="44"/>
  <c r="AA965" i="44"/>
  <c r="AA1183" i="44"/>
  <c r="AA1044" i="44"/>
  <c r="AA883" i="44"/>
  <c r="AA399" i="44"/>
  <c r="AA1078" i="44"/>
  <c r="AA852" i="44"/>
  <c r="AA964" i="44"/>
  <c r="AA1119" i="44"/>
  <c r="AA234" i="44"/>
  <c r="AA321" i="44"/>
  <c r="AA69" i="44"/>
  <c r="AA100" i="44"/>
  <c r="AA901" i="44"/>
  <c r="AA1156" i="44"/>
  <c r="AA1057" i="44"/>
  <c r="AA667" i="44"/>
  <c r="AA1062" i="44"/>
  <c r="AA873" i="44"/>
  <c r="AA441" i="44"/>
  <c r="AA828" i="44"/>
  <c r="AA529" i="44"/>
  <c r="AA890" i="44"/>
  <c r="AA686" i="44"/>
  <c r="AA498" i="44"/>
  <c r="AA219" i="44"/>
  <c r="AA258" i="44"/>
  <c r="AA221" i="44"/>
  <c r="AA33" i="44"/>
  <c r="AA869" i="44"/>
  <c r="AA946" i="44"/>
  <c r="AA633" i="44"/>
  <c r="AA903" i="44"/>
  <c r="AA500" i="44"/>
  <c r="AA365" i="44"/>
  <c r="AA217" i="44"/>
  <c r="AA280" i="44"/>
  <c r="AA28" i="44"/>
  <c r="AA1024" i="44"/>
  <c r="AA565" i="44"/>
  <c r="AA223" i="44"/>
  <c r="AA503" i="44"/>
  <c r="AA790" i="44"/>
  <c r="AA554" i="44"/>
  <c r="AA336" i="44"/>
  <c r="AA408" i="44"/>
  <c r="AA1023" i="44"/>
  <c r="AA1051" i="44"/>
  <c r="AA831" i="44"/>
  <c r="AA948" i="44"/>
  <c r="AA425" i="44"/>
  <c r="AA504" i="44"/>
  <c r="AA689" i="44"/>
  <c r="AA930" i="44"/>
  <c r="AA742" i="44"/>
  <c r="AA570" i="44"/>
  <c r="AA366" i="44"/>
  <c r="AA311" i="44"/>
  <c r="AA179" i="44"/>
  <c r="AA859" i="44"/>
  <c r="AA1140" i="44"/>
  <c r="AA961" i="44"/>
  <c r="AA1165" i="44"/>
  <c r="AA863" i="44"/>
  <c r="AA463" i="44"/>
  <c r="AA816" i="44"/>
  <c r="AA771" i="44"/>
  <c r="AA520" i="44"/>
  <c r="AA422" i="44"/>
  <c r="AA409" i="44"/>
  <c r="AA348" i="44"/>
  <c r="AA82" i="44"/>
  <c r="AA793" i="44"/>
  <c r="AA1166" i="44"/>
  <c r="AA537" i="44"/>
  <c r="AA809" i="44"/>
  <c r="AA744" i="44"/>
  <c r="AA391" i="44"/>
  <c r="AA1031" i="44"/>
  <c r="AA253" i="44"/>
  <c r="AA1175" i="44"/>
  <c r="AA1036" i="44"/>
  <c r="AA819" i="44"/>
  <c r="AA1125" i="44"/>
  <c r="AA1022" i="44"/>
  <c r="AA1095" i="44"/>
  <c r="AA392" i="44"/>
  <c r="AA242" i="44"/>
  <c r="AA345" i="44"/>
  <c r="AA699" i="44"/>
  <c r="AA1084" i="44"/>
  <c r="AA747" i="44"/>
  <c r="AA1109" i="44"/>
  <c r="AA875" i="44"/>
  <c r="AA1130" i="44"/>
  <c r="AA755" i="44"/>
  <c r="AA525" i="44"/>
  <c r="AA711" i="44"/>
  <c r="AA460" i="44"/>
  <c r="AA822" i="44"/>
  <c r="AA352" i="44"/>
  <c r="AA327" i="44"/>
  <c r="AA147" i="44"/>
  <c r="AA206" i="44"/>
  <c r="AA357" i="44"/>
  <c r="AA1053" i="44"/>
  <c r="AA560" i="44"/>
  <c r="AA1074" i="44"/>
  <c r="AA879" i="44"/>
  <c r="AA962" i="44"/>
  <c r="AA1174" i="44"/>
  <c r="AA644" i="44"/>
  <c r="AA929" i="44"/>
  <c r="AA553" i="44"/>
  <c r="AA568" i="44"/>
  <c r="AA855" i="44"/>
  <c r="AA787" i="44"/>
  <c r="AA536" i="44"/>
  <c r="AA743" i="44"/>
  <c r="AA428" i="44"/>
  <c r="AA461" i="44"/>
  <c r="AA647" i="44"/>
  <c r="AA347" i="44"/>
  <c r="AA774" i="44"/>
  <c r="AA538" i="44"/>
  <c r="AA906" i="44"/>
  <c r="AA702" i="44"/>
  <c r="AA514" i="44"/>
  <c r="AA283" i="44"/>
  <c r="AA400" i="44"/>
  <c r="AA438" i="44"/>
  <c r="AA458" i="44"/>
  <c r="AA413" i="44"/>
  <c r="AA376" i="44"/>
  <c r="AA54" i="44"/>
  <c r="AA259" i="44"/>
  <c r="AA218" i="44"/>
  <c r="AA30" i="44"/>
  <c r="AA181" i="44"/>
  <c r="AA212" i="44"/>
  <c r="AA367" i="44"/>
  <c r="AA188" i="44"/>
  <c r="AA528" i="44"/>
  <c r="AA1052" i="44"/>
  <c r="AA861" i="44"/>
  <c r="AA815" i="44"/>
  <c r="AA1124" i="44"/>
  <c r="AA925" i="44"/>
  <c r="AA1149" i="44"/>
  <c r="AA1030" i="44"/>
  <c r="AA185" i="44"/>
  <c r="AA237" i="44"/>
  <c r="AA128" i="44"/>
  <c r="AA827" i="44"/>
  <c r="AA1160" i="44"/>
  <c r="AA56" i="44"/>
  <c r="AA1184" i="44"/>
  <c r="AA1021" i="44"/>
  <c r="AA731" i="44"/>
  <c r="AA661" i="44"/>
  <c r="AA1093" i="44"/>
  <c r="AA832" i="44"/>
  <c r="AA1114" i="44"/>
  <c r="AA719" i="44"/>
  <c r="AA971" i="44"/>
  <c r="AA970" i="44"/>
  <c r="AA655" i="44"/>
  <c r="AA935" i="44"/>
  <c r="AA436" i="44"/>
  <c r="AA1132" i="44"/>
  <c r="AA1112" i="44"/>
  <c r="AA936" i="44"/>
  <c r="AA1153" i="44"/>
  <c r="AA977" i="44"/>
  <c r="AA932" i="44"/>
  <c r="AA475" i="44"/>
  <c r="AA1058" i="44"/>
  <c r="AA900" i="44"/>
  <c r="AA495" i="44"/>
  <c r="AA777" i="44"/>
  <c r="AA825" i="44"/>
  <c r="AA713" i="44"/>
  <c r="AA712" i="44"/>
  <c r="AA355" i="44"/>
  <c r="AA564" i="44"/>
  <c r="AA616" i="44"/>
  <c r="AA31" i="44"/>
  <c r="AA572" i="44"/>
  <c r="AA858" i="44"/>
  <c r="AA1147" i="44"/>
  <c r="AA136" i="44"/>
  <c r="AA800" i="44"/>
  <c r="AA1168" i="44"/>
  <c r="AA1069" i="44"/>
  <c r="AA896" i="44"/>
  <c r="AA1154" i="44"/>
  <c r="AA569" i="44"/>
  <c r="AA1079" i="44"/>
  <c r="AA941" i="44"/>
  <c r="AA920" i="44"/>
  <c r="AA963" i="44"/>
  <c r="AA921" i="44"/>
  <c r="AA649" i="44"/>
  <c r="AA659" i="44"/>
  <c r="AA780" i="44"/>
  <c r="AA1087" i="44"/>
  <c r="AA1107" i="44"/>
  <c r="AA856" i="44"/>
  <c r="AA1077" i="44"/>
  <c r="AA955" i="44"/>
  <c r="AA927" i="44"/>
  <c r="AA420" i="44"/>
  <c r="AA788" i="44"/>
  <c r="AA664" i="44"/>
  <c r="AA437" i="44"/>
  <c r="AA1039" i="44"/>
  <c r="AA845" i="44"/>
  <c r="AA1172" i="44"/>
  <c r="AA1073" i="44"/>
  <c r="AA947" i="44"/>
  <c r="AA950" i="44"/>
  <c r="AA559" i="44"/>
  <c r="AA795" i="44"/>
  <c r="AA909" i="44"/>
  <c r="AA745" i="44"/>
  <c r="AA643" i="44"/>
  <c r="AA764" i="44"/>
  <c r="AA449" i="44"/>
  <c r="AA798" i="44"/>
  <c r="AA546" i="44"/>
  <c r="AA1083" i="44"/>
  <c r="AA893" i="44"/>
  <c r="AA432" i="44"/>
  <c r="AA1098" i="44"/>
  <c r="AA761" i="44"/>
  <c r="AA960" i="44"/>
  <c r="AA457" i="44"/>
  <c r="AA715" i="44"/>
  <c r="AA317" i="44"/>
  <c r="AA65" i="44"/>
  <c r="AA951" i="44"/>
  <c r="AA491" i="44"/>
  <c r="AA1061" i="44"/>
  <c r="AA917" i="44"/>
  <c r="AA1146" i="44"/>
  <c r="AA799" i="44"/>
  <c r="AA976" i="44"/>
  <c r="AA671" i="44"/>
  <c r="AA691" i="44"/>
  <c r="AA806" i="44"/>
  <c r="AA634" i="44"/>
  <c r="AA430" i="44"/>
  <c r="AA401" i="44"/>
  <c r="AA364" i="44"/>
  <c r="AA341" i="44"/>
  <c r="AA169" i="44"/>
  <c r="AA232" i="44"/>
  <c r="AA44" i="44"/>
  <c r="AA1006" i="44"/>
  <c r="AA427" i="44"/>
  <c r="AA395" i="44"/>
  <c r="AA833" i="44"/>
  <c r="AA765" i="44"/>
  <c r="AA515" i="44"/>
  <c r="AA888" i="44"/>
  <c r="AA1108" i="44"/>
  <c r="AA1007" i="44"/>
  <c r="AA752" i="44"/>
  <c r="AA1142" i="44"/>
  <c r="AA729" i="44"/>
  <c r="AA887" i="44"/>
  <c r="AA1103" i="44"/>
  <c r="AA275" i="44"/>
  <c r="AA174" i="44"/>
  <c r="AA261" i="44"/>
  <c r="AA88" i="44"/>
  <c r="AA933" i="44"/>
  <c r="AA533" i="44"/>
  <c r="AA779" i="44"/>
  <c r="AA846" i="44"/>
  <c r="AA594" i="44"/>
  <c r="AA320" i="44"/>
  <c r="AA314" i="44"/>
  <c r="AA62" i="44"/>
  <c r="AA213" i="44"/>
  <c r="AA104" i="44"/>
  <c r="AA891" i="44"/>
  <c r="AA1136" i="44"/>
  <c r="AA953" i="44"/>
  <c r="AA751" i="44"/>
  <c r="AA988" i="44"/>
  <c r="AA660" i="44"/>
  <c r="AA685" i="44"/>
  <c r="AA435" i="44"/>
  <c r="AA870" i="44"/>
  <c r="AA698" i="44"/>
  <c r="AA494" i="44"/>
  <c r="AA203" i="44"/>
  <c r="AA160" i="44"/>
  <c r="AA677" i="44"/>
  <c r="AA1064" i="44"/>
  <c r="AA804" i="44"/>
  <c r="AA1105" i="44"/>
  <c r="AA753" i="44"/>
  <c r="AA416" i="44"/>
  <c r="AA726" i="44"/>
  <c r="AA490" i="44"/>
  <c r="AA324" i="44"/>
  <c r="AA1115" i="44"/>
  <c r="AA1075" i="44"/>
  <c r="AA1106" i="44"/>
  <c r="AA697" i="44"/>
  <c r="AA871" i="44"/>
  <c r="AA760" i="44"/>
  <c r="AA488" i="44"/>
  <c r="AA609" i="44"/>
  <c r="AA824" i="44"/>
  <c r="AA967" i="44"/>
  <c r="AA619" i="44"/>
  <c r="AA1133" i="44"/>
  <c r="AA1014" i="44"/>
  <c r="AA937" i="44"/>
  <c r="AA363" i="44"/>
  <c r="AA803" i="44"/>
  <c r="AA781" i="44"/>
  <c r="AA509" i="44"/>
  <c r="AA716" i="44"/>
  <c r="AA465" i="44"/>
  <c r="AA103" i="44"/>
  <c r="AA330" i="44"/>
  <c r="AA293" i="44"/>
  <c r="AA57" i="44"/>
  <c r="AA912" i="44"/>
  <c r="AA1128" i="44"/>
  <c r="AA969" i="44"/>
  <c r="AA1169" i="44"/>
  <c r="AA998" i="44"/>
  <c r="AA584" i="44"/>
  <c r="AA812" i="44"/>
  <c r="AA540" i="44"/>
  <c r="AA882" i="44"/>
  <c r="AA189" i="44"/>
  <c r="AA204" i="44"/>
  <c r="AA443" i="44"/>
  <c r="AA1100" i="44"/>
  <c r="AA975" i="44"/>
  <c r="AA63" i="44"/>
  <c r="AA1086" i="44"/>
  <c r="AA949" i="44"/>
  <c r="AA526" i="44"/>
  <c r="AA75" i="44"/>
  <c r="AA300" i="44"/>
  <c r="AA198" i="44"/>
  <c r="AA333" i="44"/>
  <c r="AA127" i="44"/>
  <c r="AA467" i="44"/>
  <c r="AA588" i="44"/>
  <c r="AA854" i="44"/>
  <c r="AA618" i="44"/>
  <c r="AA414" i="44"/>
  <c r="AA263" i="44"/>
  <c r="AA214" i="44"/>
  <c r="AA349" i="44"/>
  <c r="AA161" i="44"/>
  <c r="AA240" i="44"/>
  <c r="AA1167" i="44"/>
  <c r="AA1181" i="44"/>
  <c r="AA954" i="44"/>
  <c r="AA612" i="44"/>
  <c r="AA913" i="44"/>
  <c r="AA499" i="44"/>
  <c r="AA727" i="44"/>
  <c r="AA455" i="44"/>
  <c r="AA818" i="44"/>
  <c r="AA630" i="44"/>
  <c r="AA66" i="44"/>
  <c r="AA233" i="44"/>
  <c r="AA29" i="44"/>
  <c r="AA880" i="44"/>
  <c r="AA592" i="44"/>
  <c r="AA485" i="44"/>
  <c r="AA1060" i="44"/>
  <c r="AA704" i="44"/>
  <c r="AA1085" i="44"/>
  <c r="AA939" i="44"/>
  <c r="AA904" i="44"/>
  <c r="AA1157" i="44"/>
  <c r="AA982" i="44"/>
  <c r="AA1178" i="44"/>
  <c r="AA548" i="44"/>
  <c r="AA1046" i="44"/>
  <c r="AA895" i="44"/>
  <c r="AA484" i="44"/>
  <c r="AA849" i="44"/>
  <c r="AA739" i="44"/>
  <c r="AA1004" i="44"/>
  <c r="AA703" i="44"/>
  <c r="AA707" i="44"/>
  <c r="AA456" i="44"/>
  <c r="AA599" i="44"/>
  <c r="AA605" i="44"/>
  <c r="AA632" i="44"/>
  <c r="AA817" i="44"/>
  <c r="AA567" i="44"/>
  <c r="AA902" i="44"/>
  <c r="AA666" i="44"/>
  <c r="AA492" i="44"/>
  <c r="AA830" i="44"/>
  <c r="AA642" i="44"/>
  <c r="AA454" i="44"/>
  <c r="AA377" i="44"/>
  <c r="AA586" i="44"/>
  <c r="AA382" i="44"/>
  <c r="AA343" i="44"/>
  <c r="AA243" i="44"/>
  <c r="AA182" i="44"/>
  <c r="AA167" i="44"/>
  <c r="AA346" i="44"/>
  <c r="AA158" i="44"/>
  <c r="AA694" i="44"/>
  <c r="AA714" i="44"/>
  <c r="AA510" i="44"/>
  <c r="AA267" i="44"/>
  <c r="AA310" i="44"/>
  <c r="AA372" i="44"/>
  <c r="AA98" i="44"/>
  <c r="AA201" i="44"/>
  <c r="AA230" i="44"/>
  <c r="AA26" i="44"/>
  <c r="AA177" i="44"/>
  <c r="AA256" i="44"/>
  <c r="AA1163" i="44"/>
  <c r="AA1032" i="44"/>
  <c r="AA184" i="44"/>
  <c r="AA549" i="44"/>
  <c r="AA1056" i="44"/>
  <c r="AA683" i="44"/>
  <c r="AA1129" i="44"/>
  <c r="AA358" i="44"/>
  <c r="AA117" i="44"/>
  <c r="AA148" i="44"/>
  <c r="AA741" i="44"/>
  <c r="AA45" i="44"/>
  <c r="AA837" i="44"/>
  <c r="AA1116" i="44"/>
  <c r="AA997" i="44"/>
  <c r="AA974" i="44"/>
  <c r="AA255" i="44"/>
  <c r="AA1025" i="44"/>
  <c r="AA496" i="44"/>
  <c r="AA1094" i="44"/>
  <c r="AA1081" i="44"/>
  <c r="AA843" i="44"/>
  <c r="AA1118" i="44"/>
  <c r="AA820" i="44"/>
  <c r="AA956" i="44"/>
  <c r="AA1063" i="44"/>
  <c r="AA183" i="44"/>
  <c r="AA216" i="44"/>
  <c r="AA191" i="44"/>
  <c r="AA1088" i="44"/>
  <c r="AA1010" i="44"/>
  <c r="AA1071" i="44"/>
  <c r="AA784" i="44"/>
  <c r="AA1164" i="44"/>
  <c r="AA1049" i="44"/>
  <c r="AA709" i="44"/>
  <c r="AA1150" i="44"/>
  <c r="AA1027" i="44"/>
  <c r="AA25" i="44"/>
  <c r="AA129" i="44"/>
  <c r="AA763" i="44"/>
  <c r="AA1144" i="44"/>
  <c r="AA688" i="44"/>
  <c r="AA693" i="44"/>
  <c r="AA867" i="44"/>
  <c r="AA298" i="44"/>
  <c r="AA46" i="44"/>
  <c r="AA133" i="44"/>
  <c r="AA164" i="44"/>
  <c r="AA656" i="44"/>
  <c r="AA1092" i="44"/>
  <c r="AA986" i="44"/>
  <c r="AA1111" i="44"/>
  <c r="AA1013" i="44"/>
  <c r="AA773" i="44"/>
  <c r="AA1162" i="44"/>
  <c r="AA591" i="44"/>
  <c r="AA881" i="44"/>
  <c r="AA749" i="44"/>
  <c r="AA459" i="44"/>
  <c r="AA170" i="44"/>
  <c r="AA257" i="44"/>
  <c r="AA272" i="44"/>
  <c r="AA1016" i="44"/>
  <c r="AA555" i="44"/>
  <c r="AA1121" i="44"/>
  <c r="AA931" i="44"/>
  <c r="AA590" i="44"/>
  <c r="AA312" i="44"/>
  <c r="AA396" i="44"/>
  <c r="AA262" i="44"/>
  <c r="AA58" i="44"/>
  <c r="AA145" i="44"/>
  <c r="AA224" i="44"/>
  <c r="AA995" i="44"/>
  <c r="AA469" i="44"/>
  <c r="AA1041" i="44"/>
  <c r="AA581" i="44"/>
  <c r="AA892" i="44"/>
  <c r="AA521" i="44"/>
  <c r="AA595" i="44"/>
  <c r="AA801" i="44"/>
  <c r="AA551" i="44"/>
  <c r="AA614" i="44"/>
  <c r="AA442" i="44"/>
  <c r="AA397" i="44"/>
  <c r="AA356" i="44"/>
  <c r="AA274" i="44"/>
  <c r="AA102" i="44"/>
  <c r="AA1148" i="44"/>
  <c r="AA945" i="44"/>
  <c r="AA1173" i="44"/>
  <c r="AA1003" i="44"/>
  <c r="AA362" i="44"/>
  <c r="AA197" i="44"/>
  <c r="AA228" i="44"/>
  <c r="AA1179" i="44"/>
  <c r="AA1028" i="44"/>
  <c r="AA840" i="44"/>
  <c r="AA999" i="44"/>
  <c r="AA497" i="44"/>
  <c r="AA786" i="44"/>
  <c r="AA534" i="44"/>
  <c r="AA171" i="44"/>
  <c r="AA404" i="44"/>
  <c r="AA254" i="44"/>
  <c r="AA629" i="44"/>
  <c r="AA1123" i="44"/>
  <c r="AA944" i="44"/>
  <c r="AA411" i="44"/>
  <c r="AA477" i="44"/>
  <c r="AA620" i="44"/>
  <c r="AA926" i="44"/>
  <c r="AA674" i="44"/>
  <c r="AA486" i="44"/>
  <c r="AA235" i="44"/>
  <c r="AA55" i="44"/>
  <c r="AA334" i="44"/>
  <c r="AA146" i="44"/>
  <c r="AA249" i="44"/>
  <c r="AA1020" i="44"/>
  <c r="AA383" i="44"/>
  <c r="AA1045" i="44"/>
  <c r="AA603" i="44"/>
  <c r="AA1066" i="44"/>
  <c r="AA968" i="44"/>
  <c r="AA692" i="44"/>
  <c r="AA680" i="44"/>
  <c r="AA429" i="44"/>
  <c r="AA636" i="44"/>
  <c r="AA279" i="44"/>
  <c r="AA195" i="44"/>
  <c r="AA202" i="44"/>
  <c r="AA353" i="44"/>
  <c r="AA165" i="44"/>
  <c r="AA1170" i="44"/>
  <c r="AA527" i="44"/>
  <c r="AA767" i="44"/>
  <c r="AA675" i="44"/>
  <c r="AA375" i="44"/>
  <c r="AA524" i="44"/>
  <c r="AA757" i="44"/>
  <c r="AA264" i="44"/>
  <c r="AA1171" i="44"/>
  <c r="AA1040" i="44"/>
  <c r="AA872" i="44"/>
  <c r="AA1177" i="44"/>
  <c r="AA1026" i="44"/>
  <c r="AA857" i="44"/>
  <c r="AA608" i="44"/>
  <c r="AA388" i="44"/>
  <c r="AA238" i="44"/>
  <c r="AA325" i="44"/>
  <c r="AA89" i="44"/>
  <c r="AA720" i="44"/>
  <c r="AA1152" i="44"/>
  <c r="AA981" i="44"/>
  <c r="AA1161" i="44"/>
  <c r="AA1009" i="44"/>
  <c r="AA958" i="44"/>
  <c r="AA623" i="44"/>
  <c r="AA407" i="44"/>
  <c r="AA641" i="44"/>
  <c r="AA754" i="44"/>
  <c r="AA566" i="44"/>
  <c r="AA412" i="44"/>
  <c r="AA342" i="44"/>
  <c r="AA101" i="44"/>
  <c r="AA132" i="44"/>
  <c r="AA907" i="44"/>
  <c r="AA1126" i="44"/>
  <c r="AA772" i="44"/>
  <c r="AA980" i="44"/>
  <c r="AA462" i="44"/>
  <c r="AA369" i="44"/>
  <c r="AA134" i="44"/>
  <c r="AA284" i="44"/>
  <c r="AA96" i="44"/>
  <c r="AA339" i="44"/>
  <c r="AA723" i="44"/>
  <c r="AA508" i="44"/>
  <c r="AA810" i="44"/>
  <c r="AA606" i="44"/>
  <c r="AA344" i="44"/>
  <c r="AA1131" i="44"/>
  <c r="AA811" i="44"/>
  <c r="AA1042" i="44"/>
  <c r="AA836" i="44"/>
  <c r="AA952" i="44"/>
  <c r="AA479" i="44"/>
  <c r="AA573" i="44"/>
  <c r="AA695" i="44"/>
  <c r="AA444" i="44"/>
  <c r="AA826" i="44"/>
  <c r="AA622" i="44"/>
  <c r="AA434" i="44"/>
  <c r="AA405" i="44"/>
  <c r="AA277" i="44"/>
  <c r="AA168" i="44"/>
  <c r="AA635" i="44"/>
  <c r="AA1072" i="44"/>
  <c r="AA768" i="44"/>
  <c r="AA1018" i="44"/>
  <c r="AA966" i="44"/>
  <c r="AA601" i="44"/>
  <c r="AA908" i="44"/>
  <c r="AA511" i="44"/>
  <c r="AA678" i="44"/>
  <c r="AA506" i="44"/>
  <c r="AA187" i="44"/>
  <c r="AA338" i="44"/>
  <c r="AA359" i="44"/>
  <c r="AA211" i="44"/>
  <c r="AA222" i="44"/>
  <c r="AA137" i="44"/>
  <c r="AA166" i="44"/>
  <c r="AA301" i="44"/>
  <c r="AA192" i="44"/>
  <c r="AA507" i="44"/>
  <c r="AA1096" i="44"/>
  <c r="AA848" i="44"/>
  <c r="AA1120" i="44"/>
  <c r="AA915" i="44"/>
  <c r="AA1176" i="44"/>
  <c r="AA1029" i="44"/>
  <c r="AA517" i="44"/>
  <c r="AA1050" i="44"/>
  <c r="AA847" i="44"/>
  <c r="AA864" i="44"/>
  <c r="AA808" i="44"/>
  <c r="AA1122" i="44"/>
  <c r="AA813" i="44"/>
  <c r="AA1000" i="44"/>
  <c r="AA607" i="44"/>
  <c r="AA676" i="44"/>
  <c r="AA924" i="44"/>
  <c r="AA543" i="44"/>
  <c r="AA627" i="44"/>
  <c r="AA769" i="44"/>
  <c r="AA331" i="44"/>
  <c r="AA531" i="44"/>
  <c r="AA737" i="44"/>
  <c r="AA487" i="44"/>
  <c r="AA794" i="44"/>
  <c r="AA663" i="44"/>
  <c r="AA315" i="44"/>
  <c r="AA770" i="44"/>
  <c r="AA582" i="44"/>
  <c r="AA328" i="44"/>
  <c r="AA681" i="44"/>
  <c r="AA735" i="44"/>
  <c r="AA701" i="44"/>
  <c r="AA451" i="44"/>
  <c r="AA657" i="44"/>
  <c r="AA922" i="44"/>
  <c r="AA159" i="44"/>
  <c r="AA561" i="44"/>
  <c r="AA898" i="44"/>
  <c r="AA710" i="44"/>
  <c r="AA474" i="44"/>
  <c r="AA842" i="44"/>
  <c r="AA638" i="44"/>
  <c r="AA450" i="44"/>
  <c r="AA27" i="44"/>
  <c r="AA394" i="44"/>
  <c r="AA335" i="44"/>
  <c r="AA227" i="44"/>
  <c r="AA226" i="44"/>
  <c r="AA329" i="44"/>
  <c r="AA207" i="44"/>
  <c r="AA387" i="44"/>
  <c r="AA766" i="44"/>
  <c r="AA578" i="44"/>
  <c r="AA390" i="44"/>
  <c r="AA231" i="44"/>
  <c r="AA522" i="44"/>
  <c r="AA251" i="44"/>
  <c r="AA135" i="44"/>
  <c r="AA354" i="44"/>
  <c r="AA118" i="44"/>
  <c r="AA384" i="44"/>
  <c r="AA282" i="44"/>
  <c r="AA94" i="44"/>
  <c r="AA245" i="44"/>
  <c r="AA276" i="44"/>
  <c r="AA173" i="44"/>
  <c r="AA252" i="44"/>
  <c r="AA64" i="44"/>
  <c r="AA979" i="44"/>
  <c r="AA576" i="44"/>
  <c r="K15" i="56"/>
  <c r="L15" i="56" s="1"/>
  <c r="J16" i="56"/>
  <c r="AP147" i="19"/>
  <c r="AP199" i="19"/>
  <c r="AP137" i="19"/>
  <c r="AP69" i="19"/>
  <c r="K6" i="17"/>
  <c r="L6" i="17" s="1"/>
  <c r="J7" i="17"/>
  <c r="AX22" i="19"/>
  <c r="AG15" i="42"/>
  <c r="AH15" i="42"/>
  <c r="AG13" i="42"/>
  <c r="BW8" i="42" s="1"/>
  <c r="CG7" i="42" s="1"/>
  <c r="AH13" i="42"/>
  <c r="BX8" i="42" s="1"/>
  <c r="CH7" i="42" s="1"/>
  <c r="AG14" i="42"/>
  <c r="AH14" i="42"/>
  <c r="AH3" i="42"/>
  <c r="AH4" i="42"/>
  <c r="AH5" i="42"/>
  <c r="AH6" i="42"/>
  <c r="AH7" i="42"/>
  <c r="AH8" i="42"/>
  <c r="AH9" i="42"/>
  <c r="AH10" i="42"/>
  <c r="AH11" i="42"/>
  <c r="AH12" i="42"/>
  <c r="AH2" i="42"/>
  <c r="N13" i="19"/>
  <c r="N14" i="19"/>
  <c r="N15" i="19"/>
  <c r="N12" i="19"/>
  <c r="AA107" i="53" l="1"/>
  <c r="AA114" i="53"/>
  <c r="AA1045" i="53"/>
  <c r="AA323" i="53"/>
  <c r="AA28" i="53"/>
  <c r="AA589" i="53"/>
  <c r="AA580" i="53"/>
  <c r="AA175" i="53"/>
  <c r="AA295" i="53"/>
  <c r="AA558" i="53"/>
  <c r="AA728" i="53"/>
  <c r="AA398" i="53"/>
  <c r="AA171" i="53"/>
  <c r="AA282" i="53"/>
  <c r="AA1031" i="53"/>
  <c r="AA630" i="53"/>
  <c r="AA1079" i="53"/>
  <c r="AA566" i="53"/>
  <c r="AA554" i="53"/>
  <c r="AA55" i="53"/>
  <c r="AA189" i="53"/>
  <c r="AA735" i="53"/>
  <c r="AA47" i="53"/>
  <c r="AA941" i="53"/>
  <c r="AA676" i="53"/>
  <c r="AA782" i="53"/>
  <c r="AA421" i="53"/>
  <c r="AA172" i="53"/>
  <c r="AA739" i="53"/>
  <c r="AA1068" i="53"/>
  <c r="AA91" i="53"/>
  <c r="AA1015" i="53"/>
  <c r="AA778" i="53"/>
  <c r="AA700" i="53"/>
  <c r="AA616" i="53"/>
  <c r="AA174" i="53"/>
  <c r="AA933" i="53"/>
  <c r="AA1107" i="53"/>
  <c r="AA455" i="53"/>
  <c r="AA217" i="53"/>
  <c r="AA801" i="53"/>
  <c r="AA453" i="53"/>
  <c r="AA610" i="53"/>
  <c r="AA615" i="53"/>
  <c r="AA485" i="53"/>
  <c r="AA1104" i="53"/>
  <c r="AA34" i="53"/>
  <c r="AA99" i="53"/>
  <c r="AA945" i="53"/>
  <c r="AA123" i="53"/>
  <c r="AA119" i="53"/>
  <c r="AA804" i="53"/>
  <c r="AA394" i="53"/>
  <c r="AA169" i="53"/>
  <c r="AA39" i="53"/>
  <c r="AA510" i="53"/>
  <c r="AA577" i="53"/>
  <c r="AA956" i="53"/>
  <c r="AA525" i="53"/>
  <c r="AA80" i="53"/>
  <c r="AA682" i="53"/>
  <c r="AA561" i="53"/>
  <c r="AA48" i="53"/>
  <c r="AA837" i="53"/>
  <c r="AA439" i="53"/>
  <c r="AA206" i="53"/>
  <c r="AA1088" i="53"/>
  <c r="AA31" i="53"/>
  <c r="AA372" i="53"/>
  <c r="AA1081" i="53"/>
  <c r="AA692" i="53"/>
  <c r="AA896" i="53"/>
  <c r="AA148" i="53"/>
  <c r="AA395" i="53"/>
  <c r="AA719" i="53"/>
  <c r="AA943" i="53"/>
  <c r="AA551" i="53"/>
  <c r="AA1010" i="53"/>
  <c r="AA326" i="53"/>
  <c r="AA643" i="53"/>
  <c r="AA756" i="53"/>
  <c r="AA312" i="53"/>
  <c r="AA1038" i="53"/>
  <c r="AA41" i="53"/>
  <c r="AA432" i="53"/>
  <c r="AA1014" i="53"/>
  <c r="AA659" i="53"/>
  <c r="AA64" i="53"/>
  <c r="AA457" i="53"/>
  <c r="AA954" i="53"/>
  <c r="AA419" i="53"/>
  <c r="AA501" i="53"/>
  <c r="AA483" i="53"/>
  <c r="AA199" i="53"/>
  <c r="AA550" i="53"/>
  <c r="AA162" i="53"/>
  <c r="AA800" i="53"/>
  <c r="AA798" i="53"/>
  <c r="AA714" i="53"/>
  <c r="AA209" i="53"/>
  <c r="AA836" i="53"/>
  <c r="AA366" i="53"/>
  <c r="AA660" i="53"/>
  <c r="AA112" i="53"/>
  <c r="AA122" i="53"/>
  <c r="AA216" i="53"/>
  <c r="AA555" i="53"/>
  <c r="AA197" i="53"/>
  <c r="AA459" i="53"/>
  <c r="AA746" i="53"/>
  <c r="AA1111" i="53"/>
  <c r="AA629" i="53"/>
  <c r="AA572" i="53"/>
  <c r="AA362" i="53"/>
  <c r="AA124" i="53"/>
  <c r="AA529" i="53"/>
  <c r="AA149" i="53"/>
  <c r="AA671" i="53"/>
  <c r="AA972" i="53"/>
  <c r="AA866" i="53"/>
  <c r="AA928" i="53"/>
  <c r="AA1066" i="53"/>
  <c r="AA89" i="53"/>
  <c r="AA1137" i="53"/>
  <c r="AA502" i="53"/>
  <c r="AA987" i="53"/>
  <c r="AA104" i="53"/>
  <c r="AA512" i="53"/>
  <c r="AA644" i="53"/>
  <c r="AA243" i="53"/>
  <c r="AA1022" i="53"/>
  <c r="AA294" i="53"/>
  <c r="AA548" i="53"/>
  <c r="AA770" i="53"/>
  <c r="AA414" i="53"/>
  <c r="AA409" i="53"/>
  <c r="AA791" i="53"/>
  <c r="AA422" i="53"/>
  <c r="AA891" i="53"/>
  <c r="AA193" i="53"/>
  <c r="AA274" i="53"/>
  <c r="AA882" i="53"/>
  <c r="AA84" i="53"/>
  <c r="AA874" i="53"/>
  <c r="AA1029" i="53"/>
  <c r="AA693" i="53"/>
  <c r="AA516" i="53"/>
  <c r="AA1033" i="53"/>
  <c r="AA469" i="53"/>
  <c r="AA755" i="53"/>
  <c r="AA725" i="53"/>
  <c r="AA403" i="53"/>
  <c r="AA85" i="53"/>
  <c r="AA759" i="53"/>
  <c r="AA669" i="53"/>
  <c r="AA699" i="53"/>
  <c r="AA465" i="53"/>
  <c r="AA855" i="53"/>
  <c r="AA62" i="53"/>
  <c r="AA873" i="53"/>
  <c r="AA595" i="53"/>
  <c r="AA918" i="53"/>
  <c r="AA815" i="53"/>
  <c r="AA541" i="53"/>
  <c r="AA749" i="53"/>
  <c r="AA911" i="53"/>
  <c r="AA698" i="53"/>
  <c r="AA232" i="53"/>
  <c r="AA164" i="53"/>
  <c r="AA875" i="53"/>
  <c r="AA883" i="53"/>
  <c r="AA988" i="53"/>
  <c r="AA847" i="53"/>
  <c r="AA63" i="53"/>
  <c r="AA648" i="53"/>
  <c r="AA985" i="53"/>
  <c r="AA397" i="53"/>
  <c r="AA354" i="53"/>
  <c r="AA963" i="53"/>
  <c r="AA133" i="53"/>
  <c r="AA1006" i="53"/>
  <c r="AA254" i="53"/>
  <c r="AA253" i="53"/>
  <c r="AA1170" i="53"/>
  <c r="AA145" i="53"/>
  <c r="AA745" i="53"/>
  <c r="AA519" i="53"/>
  <c r="AA1049" i="53"/>
  <c r="AA402" i="53"/>
  <c r="AA515" i="53"/>
  <c r="AA247" i="53"/>
  <c r="AA1023" i="53"/>
  <c r="AA262" i="53"/>
  <c r="AA1027" i="53"/>
  <c r="AA764" i="53"/>
  <c r="AA331" i="53"/>
  <c r="AA325" i="53"/>
  <c r="AA649" i="53"/>
  <c r="AA871" i="53"/>
  <c r="AA207" i="53"/>
  <c r="AA631" i="53"/>
  <c r="AA139" i="53"/>
  <c r="AA694" i="53"/>
  <c r="AA793" i="53"/>
  <c r="AA940" i="53"/>
  <c r="AA1080" i="53"/>
  <c r="AA1013" i="53"/>
  <c r="AA687" i="53"/>
  <c r="AA1005" i="53"/>
  <c r="AA489" i="53"/>
  <c r="AA273" i="53"/>
  <c r="AA1050" i="53"/>
  <c r="AA1173" i="53"/>
  <c r="AA565" i="53"/>
  <c r="AA590" i="53"/>
  <c r="AA150" i="53"/>
  <c r="AA607" i="53"/>
  <c r="AA975" i="53"/>
  <c r="AA538" i="53"/>
  <c r="AA72" i="53"/>
  <c r="AA716" i="53"/>
  <c r="AA1091" i="53"/>
  <c r="AA795" i="53"/>
  <c r="AA461" i="53"/>
  <c r="AA406" i="53"/>
  <c r="AA952" i="53"/>
  <c r="AA906" i="53"/>
  <c r="AA951" i="53"/>
  <c r="AA964" i="53"/>
  <c r="AA490" i="53"/>
  <c r="AA925" i="53"/>
  <c r="AA767" i="53"/>
  <c r="AA869" i="53"/>
  <c r="AA627" i="53"/>
  <c r="AA1032" i="53"/>
  <c r="AA527" i="53"/>
  <c r="AA23" i="53"/>
  <c r="AA917" i="53"/>
  <c r="AA1166" i="53"/>
  <c r="AA623" i="53"/>
  <c r="AA101" i="53"/>
  <c r="AA221" i="53"/>
  <c r="AA385" i="53"/>
  <c r="AA452" i="53"/>
  <c r="AA192" i="53"/>
  <c r="AA939" i="53"/>
  <c r="AA742" i="53"/>
  <c r="AA293" i="53"/>
  <c r="AA484" i="53"/>
  <c r="AA652" i="53"/>
  <c r="AA1008" i="53"/>
  <c r="AA238" i="53"/>
  <c r="AA59" i="53"/>
  <c r="AA816" i="53"/>
  <c r="AA741" i="53"/>
  <c r="AA491" i="53"/>
  <c r="AA275" i="53"/>
  <c r="AA774" i="53"/>
  <c r="AA365" i="53"/>
  <c r="AA562" i="53"/>
  <c r="AA724" i="53"/>
  <c r="AA569" i="53"/>
  <c r="AA571" i="53"/>
  <c r="AA888" i="53"/>
  <c r="AA654" i="53"/>
  <c r="AA769" i="53"/>
  <c r="AA451" i="53"/>
  <c r="AA603" i="53"/>
  <c r="AA762" i="53"/>
  <c r="AA82" i="53"/>
  <c r="AA976" i="53"/>
  <c r="AA1082" i="53"/>
  <c r="AA167" i="53"/>
  <c r="AA500" i="53"/>
  <c r="AA970" i="53"/>
  <c r="AA1061" i="53"/>
  <c r="AA1169" i="53"/>
  <c r="AA760" i="53"/>
  <c r="AA517" i="53"/>
  <c r="AA626" i="53"/>
  <c r="AA867" i="53"/>
  <c r="AA1036" i="53"/>
  <c r="AA821" i="53"/>
  <c r="AA393" i="53"/>
  <c r="AA136" i="53"/>
  <c r="AA1067" i="53"/>
  <c r="AA546" i="53"/>
  <c r="AA69" i="53"/>
  <c r="AA894" i="53"/>
  <c r="AA895" i="53"/>
  <c r="AA1047" i="53"/>
  <c r="AA950" i="53"/>
  <c r="AA808" i="53"/>
  <c r="AA250" i="53"/>
  <c r="AA536" i="53"/>
  <c r="AA543" i="53"/>
  <c r="AA386" i="53"/>
  <c r="AA1065" i="53"/>
  <c r="AA1122" i="53"/>
  <c r="AA1171" i="53"/>
  <c r="AA420" i="53"/>
  <c r="AA170" i="53"/>
  <c r="AA1099" i="53"/>
  <c r="AA667" i="53"/>
  <c r="AA646" i="53"/>
  <c r="AA266" i="53"/>
  <c r="AA106" i="53"/>
  <c r="AA440" i="53"/>
  <c r="AA90" i="53"/>
  <c r="AA1078" i="53"/>
  <c r="AA161" i="53"/>
  <c r="AA507" i="53"/>
  <c r="AA844" i="53"/>
  <c r="AA234" i="53"/>
  <c r="AA277" i="53"/>
  <c r="AA103" i="53"/>
  <c r="AA1011" i="53"/>
  <c r="AA989" i="53"/>
  <c r="AA301" i="53"/>
  <c r="AA224" i="53"/>
  <c r="AA915" i="53"/>
  <c r="AA824" i="53"/>
  <c r="AA802" i="53"/>
  <c r="AA732" i="53"/>
  <c r="AA1084" i="53"/>
  <c r="AA752" i="53"/>
  <c r="AA962" i="53"/>
  <c r="AA418" i="53"/>
  <c r="AA773" i="53"/>
  <c r="AA695" i="53"/>
  <c r="AA417" i="53"/>
  <c r="AA779" i="53"/>
  <c r="AA639" i="53"/>
  <c r="AA1044" i="53"/>
  <c r="AA722" i="53"/>
  <c r="AA751" i="53"/>
  <c r="AA1125" i="53"/>
  <c r="AA396" i="53"/>
  <c r="AA912" i="53"/>
  <c r="AA1026" i="53"/>
  <c r="AA153" i="53"/>
  <c r="AA1060" i="53"/>
  <c r="AA530" i="53"/>
  <c r="AA1109" i="53"/>
  <c r="AA473" i="53"/>
  <c r="AA971" i="53"/>
  <c r="AA567" i="53"/>
  <c r="AA215" i="53"/>
  <c r="AA105" i="53"/>
  <c r="AA1074" i="53"/>
  <c r="AA783" i="53"/>
  <c r="AA860" i="53"/>
  <c r="AA858" i="53"/>
  <c r="AA665" i="53"/>
  <c r="AA923" i="53"/>
  <c r="AA807" i="53"/>
  <c r="AA544" i="53"/>
  <c r="AA1185" i="53"/>
  <c r="AA833" i="53"/>
  <c r="AA822" i="53"/>
  <c r="AA635" i="53"/>
  <c r="AA955" i="53"/>
  <c r="AA838" i="53"/>
  <c r="AA298" i="53"/>
  <c r="AA934" i="53"/>
  <c r="AA983" i="53"/>
  <c r="AA938" i="53"/>
  <c r="AA390" i="53"/>
  <c r="AA1018" i="53"/>
  <c r="AA877" i="53"/>
  <c r="AA761" i="53"/>
  <c r="AA387" i="53"/>
  <c r="AA333" i="53"/>
  <c r="AA379" i="53"/>
  <c r="AA777" i="53"/>
  <c r="AA662" i="53"/>
  <c r="AA803" i="53"/>
  <c r="AA211" i="53"/>
  <c r="AA984" i="53"/>
  <c r="AA666" i="53"/>
  <c r="AA476" i="53"/>
  <c r="AA93" i="53"/>
  <c r="AA958" i="53"/>
  <c r="AA77" i="53"/>
  <c r="AA661" i="53"/>
  <c r="AA705" i="53"/>
  <c r="AA740" i="53"/>
  <c r="AA842" i="53"/>
  <c r="AA235" i="53"/>
  <c r="AA1089" i="53"/>
  <c r="AA134" i="53"/>
  <c r="AA1070" i="53"/>
  <c r="AA1046" i="53"/>
  <c r="AA959" i="53"/>
  <c r="AA138" i="53"/>
  <c r="AA259" i="53"/>
  <c r="AA144" i="53"/>
  <c r="AA514" i="53"/>
  <c r="AA708" i="53"/>
  <c r="AA542" i="53"/>
  <c r="AA531" i="53"/>
  <c r="AA1077" i="53"/>
  <c r="AA747" i="53"/>
  <c r="AA717" i="53"/>
  <c r="AA322" i="53"/>
  <c r="AA1110" i="53"/>
  <c r="AA757" i="53"/>
  <c r="AA1012" i="53"/>
  <c r="AA753" i="53"/>
  <c r="AA1030" i="53"/>
  <c r="AA430" i="53"/>
  <c r="AA470" i="53"/>
  <c r="AA1073" i="53"/>
  <c r="AA857" i="53"/>
  <c r="AA944" i="53"/>
  <c r="AA285" i="53"/>
  <c r="AA349" i="53"/>
  <c r="AA54" i="53"/>
  <c r="AA545" i="53"/>
  <c r="AA1100" i="53"/>
  <c r="AA1002" i="53"/>
  <c r="AA786" i="53"/>
  <c r="AA94" i="53"/>
  <c r="AA75" i="53"/>
  <c r="AA405" i="53"/>
  <c r="AA1075" i="53"/>
  <c r="AA281" i="53"/>
  <c r="AA521" i="53"/>
  <c r="AA651" i="53"/>
  <c r="AA311" i="53"/>
  <c r="AA431" i="53"/>
  <c r="AA182" i="53"/>
  <c r="AA1009" i="53"/>
  <c r="AA1121" i="53"/>
  <c r="AA467" i="53"/>
  <c r="AA353" i="53"/>
  <c r="AA1025" i="53"/>
  <c r="AA585" i="53"/>
  <c r="AA376" i="53"/>
  <c r="AA712" i="53"/>
  <c r="AA1093" i="53"/>
  <c r="AA634" i="53"/>
  <c r="AA258" i="53"/>
  <c r="AA881" i="53"/>
  <c r="AA410" i="53"/>
  <c r="AA109" i="53"/>
  <c r="AA391" i="53"/>
  <c r="AA1092" i="53"/>
  <c r="AA841" i="53"/>
  <c r="AA506" i="53"/>
  <c r="AA117" i="53"/>
  <c r="AA1072" i="53"/>
  <c r="AA897" i="53"/>
  <c r="AA219" i="53"/>
  <c r="AA854" i="53"/>
  <c r="AA300" i="53"/>
  <c r="AA481" i="53"/>
  <c r="AA729" i="53"/>
  <c r="AA797" i="53"/>
  <c r="AA1116" i="53"/>
  <c r="AA820" i="53"/>
  <c r="AA637" i="53"/>
  <c r="AA449" i="53"/>
  <c r="AA1124" i="53"/>
  <c r="AA49" i="53"/>
  <c r="AA829" i="53"/>
  <c r="AA251" i="53"/>
  <c r="AA201" i="53"/>
  <c r="AA435" i="53"/>
  <c r="AA68" i="53"/>
  <c r="AA937" i="53"/>
  <c r="AA806" i="53"/>
  <c r="AA953" i="53"/>
  <c r="AA825" i="53"/>
  <c r="AA845" i="53"/>
  <c r="AA520" i="53"/>
  <c r="AA1123" i="53"/>
  <c r="AA407" i="53"/>
  <c r="AA748" i="53"/>
  <c r="AA613" i="53"/>
  <c r="AA1016" i="53"/>
  <c r="AA50" i="53"/>
  <c r="AA404" i="53"/>
  <c r="AA1105" i="53"/>
  <c r="AA935" i="53"/>
  <c r="AA673" i="53"/>
  <c r="AA424" i="53"/>
  <c r="AA53" i="53"/>
  <c r="AA617" i="53"/>
  <c r="AA240" i="53"/>
  <c r="AA533" i="53"/>
  <c r="AA429" i="53"/>
  <c r="AA823" i="53"/>
  <c r="AA267" i="53"/>
  <c r="AA628" i="53"/>
  <c r="AA156" i="53"/>
  <c r="AA865" i="53"/>
  <c r="AA523" i="53"/>
  <c r="AA522" i="53"/>
  <c r="AA738" i="53"/>
  <c r="AA704" i="53"/>
  <c r="AA239" i="53"/>
  <c r="AA674" i="53"/>
  <c r="AA178" i="53"/>
  <c r="AA726" i="53"/>
  <c r="AA852" i="53"/>
  <c r="AA412" i="53"/>
  <c r="AA672" i="53"/>
  <c r="AA785" i="53"/>
  <c r="AA587" i="55"/>
  <c r="AA973" i="55"/>
  <c r="AA528" i="55"/>
  <c r="AA331" i="55"/>
  <c r="AA559" i="55"/>
  <c r="AA734" i="55"/>
  <c r="AA186" i="55"/>
  <c r="AA206" i="55"/>
  <c r="AA940" i="55"/>
  <c r="AA910" i="55"/>
  <c r="AA554" i="55"/>
  <c r="AA106" i="55"/>
  <c r="AA536" i="55"/>
  <c r="AA501" i="55"/>
  <c r="AA703" i="55"/>
  <c r="AA138" i="55"/>
  <c r="AA478" i="55"/>
  <c r="AA354" i="55"/>
  <c r="AA461" i="55"/>
  <c r="AA1079" i="55"/>
  <c r="AA351" i="55"/>
  <c r="AA843" i="55"/>
  <c r="AA575" i="55"/>
  <c r="AA310" i="55"/>
  <c r="AA1017" i="55"/>
  <c r="AA274" i="55"/>
  <c r="AA1099" i="55"/>
  <c r="AA200" i="55"/>
  <c r="AA735" i="55"/>
  <c r="AA212" i="55"/>
  <c r="AA668" i="55"/>
  <c r="AA398" i="55"/>
  <c r="AA1054" i="55"/>
  <c r="AA888" i="55"/>
  <c r="AA857" i="55"/>
  <c r="AA385" i="55"/>
  <c r="AA485" i="55"/>
  <c r="AA854" i="55"/>
  <c r="AA58" i="55"/>
  <c r="AA41" i="55"/>
  <c r="AA629" i="55"/>
  <c r="AA327" i="55"/>
  <c r="AA566" i="55"/>
  <c r="AA825" i="55"/>
  <c r="AA752" i="55"/>
  <c r="AA226" i="55"/>
  <c r="AA1024" i="55"/>
  <c r="AA736" i="55"/>
  <c r="AA959" i="55"/>
  <c r="AA1064" i="55"/>
  <c r="AA239" i="55"/>
  <c r="AA664" i="55"/>
  <c r="AA547" i="55"/>
  <c r="AA630" i="55"/>
  <c r="AA521" i="55"/>
  <c r="AA26" i="55"/>
  <c r="AA971" i="55"/>
  <c r="AA250" i="55"/>
  <c r="AA29" i="55"/>
  <c r="AA466" i="55"/>
  <c r="AA1123" i="55"/>
  <c r="AA660" i="55"/>
  <c r="AA249" i="55"/>
  <c r="AA805" i="55"/>
  <c r="AA801" i="55"/>
  <c r="AA930" i="55"/>
  <c r="AA865" i="55"/>
  <c r="AA797" i="55"/>
  <c r="AA775" i="55"/>
  <c r="AA867" i="55"/>
  <c r="AA117" i="55"/>
  <c r="AA750" i="55"/>
  <c r="AA374" i="55"/>
  <c r="AA508" i="55"/>
  <c r="AA806" i="55"/>
  <c r="AA878" i="55"/>
  <c r="AA248" i="55"/>
  <c r="AA568" i="55"/>
  <c r="AA928" i="55"/>
  <c r="AA958" i="55"/>
  <c r="AA439" i="55"/>
  <c r="AA847" i="55"/>
  <c r="AA258" i="55"/>
  <c r="AA897" i="55"/>
  <c r="AA569" i="55"/>
  <c r="AA1092" i="55"/>
  <c r="AA885" i="55"/>
  <c r="AA821" i="55"/>
  <c r="AA47" i="55"/>
  <c r="AA333" i="55"/>
  <c r="AA644" i="55"/>
  <c r="AA399" i="55"/>
  <c r="AA882" i="55"/>
  <c r="AA372" i="55"/>
  <c r="AA453" i="55"/>
  <c r="AA261" i="55"/>
  <c r="AA379" i="55"/>
  <c r="AA962" i="55"/>
  <c r="AA150" i="55"/>
  <c r="AA437" i="55"/>
  <c r="AA846" i="55"/>
  <c r="AA377" i="55"/>
  <c r="AA440" i="55"/>
  <c r="AA325" i="55"/>
  <c r="AA432" i="55"/>
  <c r="AA454" i="55"/>
  <c r="AA445" i="55"/>
  <c r="AA395" i="55"/>
  <c r="AA745" i="55"/>
  <c r="AA613" i="55"/>
  <c r="AA1008" i="55"/>
  <c r="AA131" i="55"/>
  <c r="AA241" i="55"/>
  <c r="AA1106" i="55"/>
  <c r="AA1166" i="55"/>
  <c r="AA856" i="55"/>
  <c r="AA34" i="55"/>
  <c r="AA540" i="55"/>
  <c r="AA756" i="55"/>
  <c r="AA763" i="55"/>
  <c r="AA112" i="55"/>
  <c r="AA1084" i="55"/>
  <c r="AA673" i="55"/>
  <c r="AA1010" i="55"/>
  <c r="AA692" i="55"/>
  <c r="AA159" i="55"/>
  <c r="AA364" i="55"/>
  <c r="AA1109" i="55"/>
  <c r="AA127" i="55"/>
  <c r="AA1112" i="55"/>
  <c r="AA705" i="55"/>
  <c r="AA460" i="55"/>
  <c r="AA711" i="55"/>
  <c r="AA77" i="55"/>
  <c r="AA407" i="55"/>
  <c r="AA836" i="55"/>
  <c r="AA1033" i="55"/>
  <c r="AA166" i="55"/>
  <c r="AA64" i="55"/>
  <c r="AA435" i="55"/>
  <c r="AA642" i="55"/>
  <c r="AA185" i="55"/>
  <c r="AA177" i="55"/>
  <c r="AA1168" i="55"/>
  <c r="AA78" i="55"/>
  <c r="AA197" i="55"/>
  <c r="AA574" i="55"/>
  <c r="AA654" i="55"/>
  <c r="AA119" i="55"/>
  <c r="AA1055" i="55"/>
  <c r="AA89" i="55"/>
  <c r="AA416" i="55"/>
  <c r="AA889" i="55"/>
  <c r="AA908" i="55"/>
  <c r="AA1026" i="55"/>
  <c r="AA393" i="55"/>
  <c r="AA524" i="55"/>
  <c r="AA608" i="55"/>
  <c r="AA828" i="55"/>
  <c r="AA582" i="55"/>
  <c r="AA960" i="55"/>
  <c r="AA845" i="55"/>
  <c r="AA515" i="55"/>
  <c r="AA215" i="55"/>
  <c r="AA742" i="55"/>
  <c r="AA482" i="55"/>
  <c r="AA975" i="55"/>
  <c r="AA989" i="55"/>
  <c r="AA1076" i="55"/>
  <c r="AA71" i="55"/>
  <c r="AA1080" i="55"/>
  <c r="AA121" i="55"/>
  <c r="AA631" i="55"/>
  <c r="AA39" i="55"/>
  <c r="AA367" i="55"/>
  <c r="AA726" i="55"/>
  <c r="AA1049" i="55"/>
  <c r="AA1103" i="55"/>
  <c r="AA1028" i="55"/>
  <c r="AA586" i="55"/>
  <c r="AA689" i="55"/>
  <c r="AA822" i="55"/>
  <c r="AA738" i="55"/>
  <c r="AA544" i="55"/>
  <c r="AA120" i="55"/>
  <c r="AA275" i="55"/>
  <c r="AA227" i="55"/>
  <c r="AA408" i="55"/>
  <c r="AA191" i="55"/>
  <c r="AA254" i="55"/>
  <c r="AA681" i="55"/>
  <c r="AA1116" i="55"/>
  <c r="AA1020" i="55"/>
  <c r="AA532" i="55"/>
  <c r="AA162" i="55"/>
  <c r="AA373" i="55"/>
  <c r="AA937" i="55"/>
  <c r="AA257" i="55"/>
  <c r="AA599" i="55"/>
  <c r="AA593" i="55"/>
  <c r="AA993" i="55"/>
  <c r="AA240" i="55"/>
  <c r="AA816" i="55"/>
  <c r="AA552" i="55"/>
  <c r="AA635" i="55"/>
  <c r="AA722" i="55"/>
  <c r="AA912" i="55"/>
  <c r="AA837" i="55"/>
  <c r="AA700" i="55"/>
  <c r="AA105" i="55"/>
  <c r="AA986" i="55"/>
  <c r="AA1118" i="55"/>
  <c r="AA737" i="55"/>
  <c r="AA715" i="55"/>
  <c r="AA322" i="55"/>
  <c r="AA378" i="55"/>
  <c r="AA362" i="55"/>
  <c r="AA795" i="55"/>
  <c r="AA1043" i="55"/>
  <c r="AA483" i="55"/>
  <c r="AA44" i="55"/>
  <c r="AA365" i="55"/>
  <c r="AA849" i="55"/>
  <c r="AA1120" i="55"/>
  <c r="AA855" i="55"/>
  <c r="AA697" i="55"/>
  <c r="AA413" i="55"/>
  <c r="AA688" i="55"/>
  <c r="AA145" i="55"/>
  <c r="AA663" i="55"/>
  <c r="AA163" i="55"/>
  <c r="AA591" i="55"/>
  <c r="AA670" i="55"/>
  <c r="AA225" i="55"/>
  <c r="AA1110" i="55"/>
  <c r="AA746" i="55"/>
  <c r="AA397" i="55"/>
  <c r="AA97" i="55"/>
  <c r="AA84" i="55"/>
  <c r="AA438" i="55"/>
  <c r="AA334" i="55"/>
  <c r="AA204" i="55"/>
  <c r="AA1125" i="55"/>
  <c r="AA571" i="55"/>
  <c r="AA219" i="55"/>
  <c r="AA132" i="55"/>
  <c r="AA919" i="55"/>
  <c r="AA479" i="55"/>
  <c r="AA214" i="55"/>
  <c r="AA420" i="55"/>
  <c r="AA406" i="55"/>
  <c r="AA824" i="55"/>
  <c r="AA972" i="55"/>
  <c r="AA51" i="55"/>
  <c r="AA381" i="55"/>
  <c r="AA196" i="55"/>
  <c r="AA352" i="55"/>
  <c r="AA79" i="55"/>
  <c r="AA915" i="55"/>
  <c r="AA280" i="55"/>
  <c r="AA558" i="55"/>
  <c r="AA418" i="55"/>
  <c r="AA619" i="55"/>
  <c r="AA620" i="55"/>
  <c r="AA356" i="55"/>
  <c r="AA791" i="55"/>
  <c r="AA503" i="55"/>
  <c r="AA708" i="55"/>
  <c r="AA242" i="55"/>
  <c r="AA115" i="55"/>
  <c r="AA835" i="55"/>
  <c r="AA181" i="55"/>
  <c r="AA495" i="55"/>
  <c r="AA1100" i="55"/>
  <c r="AA1077" i="55"/>
  <c r="AA63" i="55"/>
  <c r="AA230" i="55"/>
  <c r="AA615" i="55"/>
  <c r="AA126" i="55"/>
  <c r="AA506" i="55"/>
  <c r="AA789" i="55"/>
  <c r="AA955" i="55"/>
  <c r="AA85" i="55"/>
  <c r="AA73" i="55"/>
  <c r="AA48" i="55"/>
  <c r="AA165" i="55"/>
  <c r="AA69" i="55"/>
  <c r="AA594" i="55"/>
  <c r="AA387" i="55"/>
  <c r="AA539" i="55"/>
  <c r="AA86" i="55"/>
  <c r="AA349" i="55"/>
  <c r="AA72" i="55"/>
  <c r="AA45" i="55"/>
  <c r="AA471" i="55"/>
  <c r="AA266" i="55"/>
  <c r="AA769" i="55"/>
  <c r="AA1085" i="55"/>
  <c r="AA234" i="55"/>
  <c r="AA758" i="55"/>
  <c r="AA666" i="55"/>
  <c r="AA359" i="55"/>
  <c r="AA622" i="55"/>
  <c r="AA328" i="55"/>
  <c r="AA202" i="55"/>
  <c r="AA991" i="55"/>
  <c r="AA100" i="55"/>
  <c r="AA772" i="55"/>
  <c r="AA590" i="55"/>
  <c r="AA353" i="55"/>
  <c r="AA848" i="55"/>
  <c r="AA580" i="55"/>
  <c r="AA1052" i="55"/>
  <c r="AA28" i="55"/>
  <c r="AA652" i="55"/>
  <c r="AA194" i="55"/>
  <c r="AA565" i="55"/>
  <c r="AA672" i="55"/>
  <c r="AA1171" i="55"/>
  <c r="AA70" i="55"/>
  <c r="AA1098" i="55"/>
  <c r="AA402" i="55"/>
  <c r="AA499" i="55"/>
  <c r="AA877" i="55"/>
  <c r="AA231" i="55"/>
  <c r="AA229" i="55"/>
  <c r="AA988" i="55"/>
  <c r="AA677" i="55"/>
  <c r="AA1089" i="55"/>
  <c r="AA749" i="55"/>
  <c r="AA500" i="55"/>
  <c r="AA474" i="55"/>
  <c r="AA1114" i="55"/>
  <c r="AA909" i="55"/>
  <c r="AA38" i="55"/>
  <c r="AA777" i="55"/>
  <c r="AA62" i="55"/>
  <c r="AA442" i="55"/>
  <c r="AA803" i="55"/>
  <c r="AA180" i="55"/>
  <c r="AA183" i="55"/>
  <c r="AA1044" i="55"/>
  <c r="AA798" i="55"/>
  <c r="AA649" i="55"/>
  <c r="AA765" i="55"/>
  <c r="AA796" i="55"/>
  <c r="AA676" i="55"/>
  <c r="AA66" i="55"/>
  <c r="AA1040" i="55"/>
  <c r="AA1029" i="55"/>
  <c r="AA1014" i="55"/>
  <c r="AA927" i="55"/>
  <c r="AA380" i="55"/>
  <c r="AA695" i="55"/>
  <c r="AA603" i="55"/>
  <c r="AA892" i="55"/>
  <c r="AA551" i="55"/>
  <c r="AA1060" i="55"/>
  <c r="AA135" i="55"/>
  <c r="AA400" i="55"/>
  <c r="AA874" i="55"/>
  <c r="AA964" i="55"/>
  <c r="AA829" i="55"/>
  <c r="AA904" i="55"/>
  <c r="AA782" i="55"/>
  <c r="AA721" i="55"/>
  <c r="AA979" i="55"/>
  <c r="AA923" i="55"/>
  <c r="AA1038" i="55"/>
  <c r="AA158" i="55"/>
  <c r="AA146" i="55"/>
  <c r="AA690" i="55"/>
  <c r="AA1031" i="55"/>
  <c r="AA812" i="55"/>
  <c r="AA589" i="55"/>
  <c r="AA113" i="55"/>
  <c r="AA447" i="55"/>
  <c r="AA1102" i="55"/>
  <c r="AA90" i="55"/>
  <c r="AA1124" i="55"/>
  <c r="AA911" i="55"/>
  <c r="AA1115" i="55"/>
  <c r="AA696" i="55"/>
  <c r="AA895" i="55"/>
  <c r="AA534" i="55"/>
  <c r="AA203" i="55"/>
  <c r="AA530" i="55"/>
  <c r="AA188" i="55"/>
  <c r="AA235" i="55"/>
  <c r="AA232" i="55"/>
  <c r="AA529" i="55"/>
  <c r="AA662" i="55"/>
  <c r="AA458" i="55"/>
  <c r="AA1072" i="55"/>
  <c r="AA1097" i="55"/>
  <c r="AA1002" i="55"/>
  <c r="AA170" i="55"/>
  <c r="AA404" i="55"/>
  <c r="AA655" i="55"/>
  <c r="AA1173" i="55"/>
  <c r="AA1126" i="55"/>
  <c r="AA513" i="55"/>
  <c r="AA977" i="55"/>
  <c r="AA255" i="55"/>
  <c r="AA914" i="55"/>
  <c r="AA1013" i="55"/>
  <c r="AA543" i="55"/>
  <c r="AA451" i="55"/>
  <c r="AA553" i="55"/>
  <c r="AA740" i="55"/>
  <c r="AA423" i="55"/>
  <c r="AA694" i="55"/>
  <c r="AA567" i="55"/>
  <c r="AA719" i="55"/>
  <c r="AA326" i="55"/>
  <c r="AA448" i="55"/>
  <c r="AA477" i="55"/>
  <c r="AA947" i="55"/>
  <c r="AA324" i="55"/>
  <c r="AA953" i="55"/>
  <c r="AA256" i="55"/>
  <c r="AA510" i="55"/>
  <c r="AA253" i="55"/>
  <c r="AA609" i="55"/>
  <c r="AA24" i="55"/>
  <c r="AA507" i="55"/>
  <c r="AA579" i="55"/>
  <c r="AA706" i="55"/>
  <c r="AA260" i="55"/>
  <c r="AA195" i="55"/>
  <c r="AA160" i="55"/>
  <c r="AA717" i="55"/>
  <c r="AA944" i="55"/>
  <c r="AA279" i="55"/>
  <c r="AA1048" i="55"/>
  <c r="AA1016" i="55"/>
  <c r="AA861" i="55"/>
  <c r="AA59" i="55"/>
  <c r="AA678" i="55"/>
  <c r="AA992" i="55"/>
  <c r="AA1032" i="55"/>
  <c r="AA469" i="55"/>
  <c r="AA731" i="55"/>
  <c r="AA472" i="55"/>
  <c r="AA957" i="55"/>
  <c r="AA939" i="55"/>
  <c r="AA50" i="55"/>
  <c r="AA636" i="55"/>
  <c r="AA1071" i="55"/>
  <c r="AA802" i="55"/>
  <c r="AA1167" i="55"/>
  <c r="AA1075" i="55"/>
  <c r="AA832" i="55"/>
  <c r="AA527" i="55"/>
  <c r="AA723" i="55"/>
  <c r="AA1078" i="55"/>
  <c r="AA348" i="55"/>
  <c r="AA332" i="55"/>
  <c r="AA301" i="55"/>
  <c r="AA405" i="55"/>
  <c r="AA1082" i="55"/>
  <c r="AA626" i="55"/>
  <c r="AA484" i="55"/>
  <c r="AA43" i="55"/>
  <c r="AA233" i="55"/>
  <c r="AA49" i="55"/>
  <c r="AA426" i="55"/>
  <c r="AA628" i="55"/>
  <c r="AA216" i="55"/>
  <c r="AA1087" i="55"/>
  <c r="AA1059" i="55"/>
  <c r="AA817" i="55"/>
  <c r="AA533" i="55"/>
  <c r="AA263" i="55"/>
  <c r="AA1007" i="55"/>
  <c r="AA887" i="55"/>
  <c r="AA729" i="55"/>
  <c r="AA537" i="55"/>
  <c r="AA1036" i="55"/>
  <c r="AA713" i="55"/>
  <c r="AA602" i="55"/>
  <c r="AA134" i="55"/>
  <c r="AA346" i="55"/>
  <c r="AA913" i="55"/>
  <c r="AA74" i="55"/>
  <c r="AA841" i="55"/>
  <c r="AA920" i="55"/>
  <c r="AA1094" i="55"/>
  <c r="AA903" i="55"/>
  <c r="AA942" i="55"/>
  <c r="AA419" i="55"/>
  <c r="AA853" i="55"/>
  <c r="AA671" i="55"/>
  <c r="AA1012" i="55"/>
  <c r="AA840" i="55"/>
  <c r="AA614" i="55"/>
  <c r="AA1104" i="55"/>
  <c r="AA237" i="55"/>
  <c r="AA1070" i="55"/>
  <c r="AA330" i="55"/>
  <c r="AA820" i="55"/>
  <c r="AA808" i="55"/>
  <c r="AA148" i="55"/>
  <c r="AA946" i="55"/>
  <c r="AA905" i="55"/>
  <c r="AA1006" i="55"/>
  <c r="AA492" i="55"/>
  <c r="AA890" i="55"/>
  <c r="AA383" i="55"/>
  <c r="AA1121" i="55"/>
  <c r="AA679" i="55"/>
  <c r="AA538" i="55"/>
  <c r="AA770" i="55"/>
  <c r="AA1023" i="55"/>
  <c r="AA173" i="55"/>
  <c r="AA109" i="55"/>
  <c r="AA151" i="55"/>
  <c r="AA650" i="55"/>
  <c r="AA444" i="55"/>
  <c r="AA811" i="55"/>
  <c r="AA773" i="55"/>
  <c r="AA57" i="55"/>
  <c r="AA224" i="55"/>
  <c r="AA990" i="55"/>
  <c r="AA886" i="55"/>
  <c r="AA1137" i="55"/>
  <c r="AA981" i="55"/>
  <c r="AA366" i="55"/>
  <c r="AA23" i="55"/>
  <c r="AA488" i="55"/>
  <c r="AA659" i="55"/>
  <c r="AA612" i="55"/>
  <c r="AA295" i="55"/>
  <c r="AA223" i="55"/>
  <c r="AA951" i="55"/>
  <c r="AA108" i="55"/>
  <c r="AA624" i="55"/>
  <c r="AA961" i="55"/>
  <c r="AA76" i="55"/>
  <c r="AA573" i="55"/>
  <c r="AA980" i="55"/>
  <c r="AA683" i="55"/>
  <c r="AA633" i="55"/>
  <c r="AA164" i="55"/>
  <c r="AA75" i="55"/>
  <c r="AA680" i="55"/>
  <c r="AA456" i="55"/>
  <c r="AA761" i="55"/>
  <c r="AA433" i="55"/>
  <c r="AA282" i="55"/>
  <c r="AA1101" i="55"/>
  <c r="AA421" i="55"/>
  <c r="AA595" i="55"/>
  <c r="AA907" i="55"/>
  <c r="AA880" i="55"/>
  <c r="AA546" i="55"/>
  <c r="AA851" i="55"/>
  <c r="AA1042" i="55"/>
  <c r="AA409" i="55"/>
  <c r="AA505" i="55"/>
  <c r="AA388" i="55"/>
  <c r="AA743" i="55"/>
  <c r="AA60" i="55"/>
  <c r="AA168" i="55"/>
  <c r="AA264" i="55"/>
  <c r="AA422" i="55"/>
  <c r="AA1113" i="55"/>
  <c r="AA850" i="55"/>
  <c r="AA111" i="55"/>
  <c r="AA597" i="55"/>
  <c r="AA541" i="55"/>
  <c r="AA489" i="55"/>
  <c r="AA598" i="55"/>
  <c r="AA669" i="55"/>
  <c r="AA412" i="55"/>
  <c r="AA434" i="55"/>
  <c r="AA804" i="55"/>
  <c r="AA1045" i="55"/>
  <c r="AA190" i="55"/>
  <c r="AA192" i="55"/>
  <c r="AA246" i="55"/>
  <c r="AA950" i="55"/>
  <c r="AA864" i="55"/>
  <c r="AA1022" i="55"/>
  <c r="AA707" i="55"/>
  <c r="AA884" i="55"/>
  <c r="AA172" i="55"/>
  <c r="AA262" i="55"/>
  <c r="AA1074" i="55"/>
  <c r="AA687" i="55"/>
  <c r="AA31" i="55"/>
  <c r="AA952" i="55"/>
  <c r="AA313" i="55"/>
  <c r="AA386" i="55"/>
  <c r="AA1021" i="55"/>
  <c r="AA754" i="55"/>
  <c r="AA391" i="55"/>
  <c r="AA52" i="55"/>
  <c r="AA1019" i="55"/>
  <c r="AA411" i="55"/>
  <c r="AA80" i="55"/>
  <c r="AA83" i="55"/>
  <c r="AA596" i="55"/>
  <c r="AA252" i="55"/>
  <c r="AA1004" i="55"/>
  <c r="AA446" i="55"/>
  <c r="AA576" i="55"/>
  <c r="AA732" i="55"/>
  <c r="AA247" i="55"/>
  <c r="AA431" i="55"/>
  <c r="AA243" i="55"/>
  <c r="AA842" i="55"/>
  <c r="AA933" i="55"/>
  <c r="AA764" i="55"/>
  <c r="AA184" i="55"/>
  <c r="AA564" i="55"/>
  <c r="AA299" i="55"/>
  <c r="AA329" i="55"/>
  <c r="AA1037" i="55"/>
  <c r="AA1107" i="55"/>
  <c r="AA902" i="55"/>
  <c r="AA1172" i="55"/>
  <c r="AA244" i="55"/>
  <c r="AA193" i="55"/>
  <c r="AA872" i="55"/>
  <c r="AA178" i="55"/>
  <c r="AA490" i="55"/>
  <c r="AA733" i="55"/>
  <c r="AA512" i="55"/>
  <c r="AA493" i="55"/>
  <c r="AA1073" i="55"/>
  <c r="AA616" i="55"/>
  <c r="AA793" i="55"/>
  <c r="AA948" i="55"/>
  <c r="AA298" i="55"/>
  <c r="AA443" i="55"/>
  <c r="AA390" i="55"/>
  <c r="AA982" i="55"/>
  <c r="AA747" i="55"/>
  <c r="AA968" i="55"/>
  <c r="AA129" i="55"/>
  <c r="AA792" i="55"/>
  <c r="AA588" i="55"/>
  <c r="AA300" i="55"/>
  <c r="AA157" i="55"/>
  <c r="AA110" i="55"/>
  <c r="AA251" i="55"/>
  <c r="AA355" i="55"/>
  <c r="AA103" i="55"/>
  <c r="AA468" i="55"/>
  <c r="AA375" i="55"/>
  <c r="AA561" i="55"/>
  <c r="AA245" i="55"/>
  <c r="AA768" i="55"/>
  <c r="AA176" i="55"/>
  <c r="AA984" i="55"/>
  <c r="AA221" i="55"/>
  <c r="AA369" i="55"/>
  <c r="AA581" i="55"/>
  <c r="AA470" i="55"/>
  <c r="AA762" i="55"/>
  <c r="AA491" i="55"/>
  <c r="AA122" i="55"/>
  <c r="AA883" i="55"/>
  <c r="AA776" i="55"/>
  <c r="AA869" i="55"/>
  <c r="AA1027" i="55"/>
  <c r="AA906" i="55"/>
  <c r="AA978" i="55"/>
  <c r="AA410" i="55"/>
  <c r="AA592" i="55"/>
  <c r="AA1041" i="55"/>
  <c r="AA425" i="55"/>
  <c r="AA149" i="55"/>
  <c r="AA1111" i="55"/>
  <c r="AA873" i="55"/>
  <c r="AA943" i="55"/>
  <c r="AA32" i="55"/>
  <c r="AA449" i="55"/>
  <c r="AA557" i="55"/>
  <c r="AA130" i="55"/>
  <c r="AA970" i="55"/>
  <c r="AA901" i="55"/>
  <c r="AA858" i="55"/>
  <c r="AA427" i="55"/>
  <c r="AA891" i="55"/>
  <c r="AA760" i="55"/>
  <c r="AA459" i="55"/>
  <c r="AA428" i="55"/>
  <c r="AA941" i="55"/>
  <c r="AA647" i="55"/>
  <c r="AA1169" i="55"/>
  <c r="AA682" i="55"/>
  <c r="AA667" i="55"/>
  <c r="AA363" i="55"/>
  <c r="AA487" i="55"/>
  <c r="AA46" i="55"/>
  <c r="AA949" i="55"/>
  <c r="AA278" i="55"/>
  <c r="AA691" i="55"/>
  <c r="AA288" i="54"/>
  <c r="AA293" i="54"/>
  <c r="AA813" i="54"/>
  <c r="AA303" i="54"/>
  <c r="AA396" i="54"/>
  <c r="AA1021" i="54"/>
  <c r="AA244" i="54"/>
  <c r="AA933" i="54"/>
  <c r="AA113" i="54"/>
  <c r="AA793" i="54"/>
  <c r="AA454" i="54"/>
  <c r="AA652" i="54"/>
  <c r="AA553" i="54"/>
  <c r="AA977" i="54"/>
  <c r="AA200" i="54"/>
  <c r="AA53" i="54"/>
  <c r="AA717" i="54"/>
  <c r="AA449" i="54"/>
  <c r="AA1008" i="54"/>
  <c r="AA100" i="54"/>
  <c r="AA97" i="54"/>
  <c r="AA90" i="54"/>
  <c r="AA71" i="54"/>
  <c r="AA56" i="54"/>
  <c r="AA775" i="54"/>
  <c r="AA118" i="54"/>
  <c r="AA134" i="54"/>
  <c r="AA572" i="54"/>
  <c r="AA1166" i="54"/>
  <c r="AA179" i="54"/>
  <c r="AA820" i="54"/>
  <c r="AA36" i="54"/>
  <c r="AA682" i="54"/>
  <c r="AA371" i="54"/>
  <c r="AA516" i="54"/>
  <c r="AA1051" i="54"/>
  <c r="AA309" i="54"/>
  <c r="AA961" i="54"/>
  <c r="AA135" i="54"/>
  <c r="AA910" i="54"/>
  <c r="AA526" i="54"/>
  <c r="AA809" i="54"/>
  <c r="AA778" i="54"/>
  <c r="AA262" i="54"/>
  <c r="AA332" i="54"/>
  <c r="AA228" i="54"/>
  <c r="AA225" i="54"/>
  <c r="AA218" i="54"/>
  <c r="AA330" i="54"/>
  <c r="AA514" i="54"/>
  <c r="AA237" i="54"/>
  <c r="AA150" i="54"/>
  <c r="AA755" i="54"/>
  <c r="AA976" i="54"/>
  <c r="AA195" i="54"/>
  <c r="AA869" i="54"/>
  <c r="AA52" i="54"/>
  <c r="AA746" i="54"/>
  <c r="AA499" i="54"/>
  <c r="AA581" i="54"/>
  <c r="AA373" i="54"/>
  <c r="AA151" i="54"/>
  <c r="AA708" i="54"/>
  <c r="AA590" i="54"/>
  <c r="AA1086" i="54"/>
  <c r="AA828" i="54"/>
  <c r="AA1102" i="54"/>
  <c r="AA432" i="54"/>
  <c r="AA664" i="54"/>
  <c r="AA1030" i="54"/>
  <c r="AA261" i="54"/>
  <c r="AA859" i="54"/>
  <c r="AA504" i="54"/>
  <c r="AA267" i="54"/>
  <c r="AA124" i="54"/>
  <c r="AA466" i="54"/>
  <c r="AA460" i="54"/>
  <c r="AA936" i="54"/>
  <c r="AA1114" i="54"/>
  <c r="AA68" i="54"/>
  <c r="AA477" i="54"/>
  <c r="AA810" i="54"/>
  <c r="AA962" i="54"/>
  <c r="AA306" i="54"/>
  <c r="AA193" i="54"/>
  <c r="AA621" i="54"/>
  <c r="AA861" i="54"/>
  <c r="AA58" i="54"/>
  <c r="AA437" i="54"/>
  <c r="AA754" i="54"/>
  <c r="AA1078" i="54"/>
  <c r="AA419" i="54"/>
  <c r="AA167" i="54"/>
  <c r="AA540" i="54"/>
  <c r="AA772" i="54"/>
  <c r="AA24" i="54"/>
  <c r="AA301" i="54"/>
  <c r="AA643" i="54"/>
  <c r="AA1075" i="54"/>
  <c r="AA275" i="54"/>
  <c r="AA149" i="54"/>
  <c r="AA468" i="54"/>
  <c r="AA700" i="54"/>
  <c r="AA406" i="54"/>
  <c r="AA965" i="54"/>
  <c r="AA857" i="54"/>
  <c r="AA908" i="54"/>
  <c r="AA83" i="54"/>
  <c r="AA379" i="54"/>
  <c r="AA166" i="54"/>
  <c r="AA536" i="54"/>
  <c r="AA768" i="54"/>
  <c r="AA35" i="54"/>
  <c r="AA345" i="54"/>
  <c r="AA670" i="54"/>
  <c r="AA1171" i="54"/>
  <c r="AA399" i="54"/>
  <c r="AA148" i="54"/>
  <c r="AA480" i="54"/>
  <c r="AA712" i="54"/>
  <c r="AA1042" i="54"/>
  <c r="AA638" i="54"/>
  <c r="AA273" i="54"/>
  <c r="AA599" i="54"/>
  <c r="AA907" i="54"/>
  <c r="AA471" i="54"/>
  <c r="AA138" i="54"/>
  <c r="AA424" i="54"/>
  <c r="AA942" i="54"/>
  <c r="AA1028" i="54"/>
  <c r="AA522" i="54"/>
  <c r="AA247" i="54"/>
  <c r="AA763" i="54"/>
  <c r="AA783" i="54"/>
  <c r="AA104" i="54"/>
  <c r="AA304" i="54"/>
  <c r="AA773" i="54"/>
  <c r="AA450" i="54"/>
  <c r="AA229" i="54"/>
  <c r="AA632" i="54"/>
  <c r="AA856" i="54"/>
  <c r="AA325" i="54"/>
  <c r="AA139" i="54"/>
  <c r="AA542" i="54"/>
  <c r="AA287" i="54"/>
  <c r="AA528" i="54"/>
  <c r="AA1112" i="54"/>
  <c r="AA46" i="54"/>
  <c r="AA389" i="54"/>
  <c r="AA706" i="54"/>
  <c r="AA1110" i="54"/>
  <c r="AA323" i="54"/>
  <c r="AA155" i="54"/>
  <c r="AA492" i="54"/>
  <c r="AA724" i="54"/>
  <c r="AA1045" i="54"/>
  <c r="AA268" i="54"/>
  <c r="AA595" i="54"/>
  <c r="AA903" i="54"/>
  <c r="AA463" i="54"/>
  <c r="AA121" i="54"/>
  <c r="AA50" i="54"/>
  <c r="AA95" i="54"/>
  <c r="AA760" i="54"/>
  <c r="AA824" i="54"/>
  <c r="AA1023" i="54"/>
  <c r="AA534" i="54"/>
  <c r="AA254" i="54"/>
  <c r="AA819" i="54"/>
  <c r="AA957" i="54"/>
  <c r="AA319" i="54"/>
  <c r="AA107" i="54"/>
  <c r="AA300" i="54"/>
  <c r="AA769" i="54"/>
  <c r="AA414" i="54"/>
  <c r="AA220" i="54"/>
  <c r="AA836" i="54"/>
  <c r="AA1109" i="54"/>
  <c r="AA73" i="54"/>
  <c r="AA359" i="54"/>
  <c r="AA1004" i="54"/>
  <c r="AA363" i="54"/>
  <c r="AA491" i="54"/>
  <c r="AA64" i="54"/>
  <c r="AA513" i="54"/>
  <c r="AA543" i="54"/>
  <c r="AA142" i="54"/>
  <c r="AA440" i="54"/>
  <c r="AA672" i="54"/>
  <c r="AA1032" i="54"/>
  <c r="AA538" i="54"/>
  <c r="AA251" i="54"/>
  <c r="AA795" i="54"/>
  <c r="AA946" i="54"/>
  <c r="AA327" i="54"/>
  <c r="AA108" i="54"/>
  <c r="AA320" i="54"/>
  <c r="AA789" i="54"/>
  <c r="AA1002" i="54"/>
  <c r="AA402" i="54"/>
  <c r="AA217" i="54"/>
  <c r="AA585" i="54"/>
  <c r="AA564" i="54"/>
  <c r="AA888" i="54"/>
  <c r="AA956" i="54"/>
  <c r="AA484" i="54"/>
  <c r="AA277" i="54"/>
  <c r="AA603" i="54"/>
  <c r="AA911" i="54"/>
  <c r="AA426" i="54"/>
  <c r="AA1105" i="54"/>
  <c r="AA974" i="54"/>
  <c r="AA804" i="54"/>
  <c r="AA674" i="54"/>
  <c r="AA308" i="54"/>
  <c r="AA1081" i="54"/>
  <c r="AA853" i="54"/>
  <c r="AA730" i="54"/>
  <c r="AA642" i="54"/>
  <c r="AA969" i="54"/>
  <c r="AA873" i="54"/>
  <c r="AA1015" i="54"/>
  <c r="AA93" i="54"/>
  <c r="AA77" i="54"/>
  <c r="AA292" i="54"/>
  <c r="AA422" i="54"/>
  <c r="AA226" i="54"/>
  <c r="AA620" i="54"/>
  <c r="AA844" i="54"/>
  <c r="AA1117" i="54"/>
  <c r="AA1118" i="54"/>
  <c r="AA696" i="54"/>
  <c r="AA699" i="54"/>
  <c r="AA807" i="54"/>
  <c r="AA173" i="54"/>
  <c r="AA967" i="54"/>
  <c r="AA827" i="54"/>
  <c r="AA336" i="54"/>
  <c r="AA253" i="54"/>
  <c r="AA1011" i="54"/>
  <c r="AA676" i="54"/>
  <c r="AA906" i="54"/>
  <c r="AA845" i="54"/>
  <c r="AA1027" i="54"/>
  <c r="AA671" i="54"/>
  <c r="AA420" i="54"/>
  <c r="AA550" i="54"/>
  <c r="AA258" i="54"/>
  <c r="AA874" i="54"/>
  <c r="AA355" i="54"/>
  <c r="AA1049" i="54"/>
  <c r="AA785" i="54"/>
  <c r="AA628" i="54"/>
  <c r="AA385" i="54"/>
  <c r="AA1031" i="54"/>
  <c r="AA850" i="54"/>
  <c r="AA739" i="54"/>
  <c r="AA372" i="54"/>
  <c r="AA1128" i="54"/>
  <c r="AA418" i="54"/>
  <c r="AA507" i="54"/>
  <c r="AA415" i="54"/>
  <c r="AA1113" i="54"/>
  <c r="AA344" i="54"/>
  <c r="AA881" i="54"/>
  <c r="AA570" i="54"/>
  <c r="AA890" i="54"/>
  <c r="AA423" i="54"/>
  <c r="AA352" i="54"/>
  <c r="AA1010" i="54"/>
  <c r="AA241" i="54"/>
  <c r="AA904" i="54"/>
  <c r="AA106" i="54"/>
  <c r="AA765" i="54"/>
  <c r="AA394" i="54"/>
  <c r="AA634" i="54"/>
  <c r="AA417" i="54"/>
  <c r="AA663" i="54"/>
  <c r="AA86" i="54"/>
  <c r="AA115" i="54"/>
  <c r="AA644" i="54"/>
  <c r="AA823" i="54"/>
  <c r="AA806" i="54"/>
  <c r="AA368" i="54"/>
  <c r="AA60" i="54"/>
  <c r="AA295" i="54"/>
  <c r="AA214" i="54"/>
  <c r="AA738" i="54"/>
  <c r="AA1115" i="54"/>
  <c r="AA409" i="54"/>
  <c r="AA1167" i="54"/>
  <c r="AA164" i="54"/>
  <c r="AA776" i="54"/>
  <c r="AA33" i="54"/>
  <c r="AA662" i="54"/>
  <c r="AA283" i="54"/>
  <c r="AA488" i="54"/>
  <c r="AA1044" i="54"/>
  <c r="AA263" i="54"/>
  <c r="AA867" i="54"/>
  <c r="AA120" i="54"/>
  <c r="AA431" i="54"/>
  <c r="AA1129" i="54"/>
  <c r="AA242" i="54"/>
  <c r="AA555" i="54"/>
  <c r="AA801" i="54"/>
  <c r="AA757" i="54"/>
  <c r="AA616" i="54"/>
  <c r="AA711" i="54"/>
  <c r="AA199" i="54"/>
  <c r="AA882" i="54"/>
  <c r="AA747" i="54"/>
  <c r="AA815" i="54"/>
  <c r="AA246" i="54"/>
  <c r="AA802" i="54"/>
  <c r="AA473" i="54"/>
  <c r="AA180" i="54"/>
  <c r="AA958" i="54"/>
  <c r="AA49" i="54"/>
  <c r="AA718" i="54"/>
  <c r="AA411" i="54"/>
  <c r="AA552" i="54"/>
  <c r="AA1069" i="54"/>
  <c r="AA297" i="54"/>
  <c r="AA940" i="54"/>
  <c r="AA136" i="54"/>
  <c r="AA531" i="54"/>
  <c r="AA94" i="54"/>
  <c r="AA985" i="54"/>
  <c r="AA667" i="54"/>
  <c r="AA1080" i="54"/>
  <c r="AA69" i="54"/>
  <c r="AA481" i="54"/>
  <c r="AA798" i="54"/>
  <c r="AA736" i="54"/>
  <c r="AA575" i="54"/>
  <c r="AA384" i="54"/>
  <c r="AA233" i="54"/>
  <c r="AA1043" i="54"/>
  <c r="AA654" i="54"/>
  <c r="AA560" i="54"/>
  <c r="AA915" i="54"/>
  <c r="AA343" i="54"/>
  <c r="AA132" i="54"/>
  <c r="AA416" i="54"/>
  <c r="AA918" i="54"/>
  <c r="AA1026" i="54"/>
  <c r="AA562" i="54"/>
  <c r="AA257" i="54"/>
  <c r="AA858" i="54"/>
  <c r="AA439" i="54"/>
  <c r="AA122" i="54"/>
  <c r="AA360" i="54"/>
  <c r="AA829" i="54"/>
  <c r="AA1012" i="54"/>
  <c r="AA458" i="54"/>
  <c r="AA231" i="54"/>
  <c r="AA640" i="54"/>
  <c r="AA864" i="54"/>
  <c r="AA1137" i="54"/>
  <c r="AA88" i="54"/>
  <c r="AA679" i="54"/>
  <c r="AA709" i="54"/>
  <c r="AA386" i="54"/>
  <c r="AA213" i="54"/>
  <c r="AA568" i="54"/>
  <c r="AA222" i="54"/>
  <c r="AA75" i="54"/>
  <c r="AA286" i="54"/>
  <c r="AA710" i="54"/>
  <c r="AA1040" i="54"/>
  <c r="AA147" i="54"/>
  <c r="AA438" i="54"/>
  <c r="AA230" i="54"/>
  <c r="AA636" i="54"/>
  <c r="AA860" i="54"/>
  <c r="AA99" i="54"/>
  <c r="AA898" i="54"/>
  <c r="AA737" i="54"/>
  <c r="AA989" i="54"/>
  <c r="AA382" i="54"/>
  <c r="AA212" i="54"/>
  <c r="AA580" i="54"/>
  <c r="AA1083" i="54"/>
  <c r="AA81" i="54"/>
  <c r="AA529" i="54"/>
  <c r="AA665" i="54"/>
  <c r="AA971" i="54"/>
  <c r="AA326" i="54"/>
  <c r="AA202" i="54"/>
  <c r="AA657" i="54"/>
  <c r="AA897" i="54"/>
  <c r="AA1072" i="54"/>
  <c r="AA55" i="54"/>
  <c r="AA425" i="54"/>
  <c r="AA742" i="54"/>
  <c r="AA1066" i="54"/>
  <c r="AA427" i="54"/>
  <c r="AA168" i="54"/>
  <c r="AA561" i="54"/>
  <c r="AA792" i="54"/>
  <c r="AA1077" i="54"/>
  <c r="AA37" i="54"/>
  <c r="AA353" i="54"/>
  <c r="AA843" i="54"/>
  <c r="AA931" i="54"/>
  <c r="AA651" i="54"/>
  <c r="AA428" i="54"/>
  <c r="AA252" i="54"/>
  <c r="AA105" i="54"/>
  <c r="AA311" i="54"/>
  <c r="AA110" i="54"/>
  <c r="AA312" i="54"/>
  <c r="AA781" i="54"/>
  <c r="AA410" i="54"/>
  <c r="AA219" i="54"/>
  <c r="AA1116" i="54"/>
  <c r="AA1170" i="54"/>
  <c r="AA76" i="54"/>
  <c r="AA509" i="54"/>
  <c r="AA661" i="54"/>
  <c r="AA970" i="54"/>
  <c r="AA274" i="54"/>
  <c r="AA185" i="54"/>
  <c r="AA405" i="54"/>
  <c r="AA366" i="54"/>
  <c r="AA683" i="54"/>
  <c r="AA631" i="54"/>
  <c r="AA339" i="54"/>
  <c r="AA62" i="54"/>
  <c r="AA453" i="54"/>
  <c r="AA770" i="54"/>
  <c r="AA1094" i="54"/>
  <c r="AA451" i="54"/>
  <c r="AA171" i="54"/>
  <c r="AA557" i="54"/>
  <c r="AA788" i="54"/>
  <c r="AA1073" i="54"/>
  <c r="AA28" i="54"/>
  <c r="AA317" i="54"/>
  <c r="AA659" i="54"/>
  <c r="AA527" i="54"/>
  <c r="AA137" i="54"/>
  <c r="AA114" i="54"/>
  <c r="AA791" i="54"/>
  <c r="AA1107" i="54"/>
  <c r="AA610" i="54"/>
  <c r="AA975" i="54"/>
  <c r="AA206" i="54"/>
  <c r="AA675" i="54"/>
  <c r="AA913" i="54"/>
  <c r="AA59" i="54"/>
  <c r="AA441" i="54"/>
  <c r="AA758" i="54"/>
  <c r="AA1082" i="54"/>
  <c r="AA459" i="54"/>
  <c r="AA172" i="54"/>
  <c r="AA577" i="54"/>
  <c r="AA808" i="54"/>
  <c r="AA25" i="54"/>
  <c r="AA433" i="54"/>
  <c r="AA816" i="54"/>
  <c r="AA393" i="54"/>
  <c r="AA457" i="54"/>
  <c r="AA835" i="54"/>
  <c r="AA1065" i="54"/>
  <c r="AA82" i="54"/>
  <c r="AA533" i="54"/>
  <c r="AA669" i="54"/>
  <c r="AA972" i="54"/>
  <c r="AA223" i="54"/>
  <c r="AA80" i="54"/>
  <c r="AA483" i="54"/>
  <c r="AA1089" i="54"/>
  <c r="AA927" i="54"/>
  <c r="AA702" i="54"/>
  <c r="AA298" i="54"/>
  <c r="AA697" i="54"/>
  <c r="AA79" i="54"/>
  <c r="AA302" i="54"/>
  <c r="AA1172" i="54"/>
  <c r="AA157" i="54"/>
  <c r="AA686" i="54"/>
  <c r="AA713" i="54"/>
  <c r="AA548" i="54"/>
  <c r="AA34" i="54"/>
  <c r="AA341" i="54"/>
  <c r="AA666" i="54"/>
  <c r="AA31" i="54"/>
  <c r="AA687" i="54"/>
  <c r="AA1038" i="54"/>
  <c r="AA896" i="54"/>
  <c r="AA741" i="54"/>
  <c r="AA565" i="54"/>
  <c r="AA1084" i="54"/>
  <c r="AA1063" i="54"/>
  <c r="AA805" i="54"/>
  <c r="AA779" i="54"/>
  <c r="AA831" i="54"/>
  <c r="AA1033" i="54"/>
  <c r="AA855" i="54"/>
  <c r="AA221" i="54"/>
  <c r="AA647" i="54"/>
  <c r="AA653" i="54"/>
  <c r="AA66" i="54"/>
  <c r="AA469" i="54"/>
  <c r="AA786" i="54"/>
  <c r="AA1132" i="54"/>
  <c r="AA159" i="54"/>
  <c r="AA630" i="54"/>
  <c r="AA375" i="54"/>
  <c r="AA852" i="54"/>
  <c r="AA551" i="54"/>
  <c r="AA1017" i="54"/>
  <c r="AA750" i="54"/>
  <c r="AA622" i="54"/>
  <c r="AA1022" i="54"/>
  <c r="AA29" i="54"/>
  <c r="AA600" i="54"/>
  <c r="AA205" i="54"/>
  <c r="AA182" i="54"/>
  <c r="AA243" i="54"/>
  <c r="AA646" i="54"/>
  <c r="AA641" i="54"/>
  <c r="AA1062" i="54"/>
  <c r="AA131" i="54"/>
  <c r="AA878" i="54"/>
  <c r="AA510" i="54"/>
  <c r="AA771" i="54"/>
  <c r="AA391" i="54"/>
  <c r="AA324" i="54"/>
  <c r="AA1003" i="54"/>
  <c r="AA234" i="54"/>
  <c r="AA876" i="54"/>
  <c r="AA87" i="54"/>
  <c r="AA689" i="54"/>
  <c r="AA334" i="54"/>
  <c r="AA841" i="54"/>
  <c r="AA734" i="54"/>
  <c r="AA445" i="54"/>
  <c r="AA549" i="54"/>
  <c r="AA731" i="54"/>
  <c r="AA868" i="54"/>
  <c r="AA729" i="54"/>
  <c r="AA1111" i="54"/>
  <c r="AA1014" i="54"/>
  <c r="AA435" i="54"/>
  <c r="AA374" i="54"/>
  <c r="AA421" i="54"/>
  <c r="AA902" i="54"/>
  <c r="AA515" i="54"/>
  <c r="AA589" i="54"/>
  <c r="AA1104" i="54"/>
  <c r="AA349" i="54"/>
  <c r="AA943" i="54"/>
  <c r="AA161" i="54"/>
  <c r="AA748" i="54"/>
  <c r="AA26" i="54"/>
  <c r="AA635" i="54"/>
  <c r="AA487" i="54"/>
  <c r="AA412" i="54"/>
  <c r="AA1025" i="54"/>
  <c r="AA248" i="54"/>
  <c r="AA117" i="54"/>
  <c r="AA984" i="54"/>
  <c r="AA954" i="54"/>
  <c r="AA863" i="54"/>
  <c r="AA1005" i="54"/>
  <c r="AA840" i="54"/>
  <c r="AA701" i="54"/>
  <c r="AA489" i="54"/>
  <c r="AA184" i="54"/>
  <c r="AA920" i="54"/>
  <c r="AA502" i="54"/>
  <c r="AA485" i="54"/>
  <c r="AA704" i="54"/>
  <c r="AA314" i="54"/>
  <c r="AA629" i="54"/>
  <c r="AA1168" i="54"/>
  <c r="AA413" i="54"/>
  <c r="AA1070" i="54"/>
  <c r="AA177" i="54"/>
  <c r="AA812" i="54"/>
  <c r="AA42" i="54"/>
  <c r="AA690" i="54"/>
  <c r="AA291" i="54"/>
  <c r="AA476" i="54"/>
  <c r="AA1041" i="54"/>
  <c r="AA429" i="54"/>
  <c r="AA181" i="54"/>
  <c r="AA346" i="54"/>
  <c r="AA264" i="54"/>
  <c r="AA887" i="54"/>
  <c r="AA367" i="54"/>
  <c r="AA133" i="54"/>
  <c r="AA404" i="54"/>
  <c r="AA894" i="54"/>
  <c r="AA315" i="54"/>
  <c r="AA1048" i="54"/>
  <c r="AA883" i="54"/>
  <c r="AA854" i="54"/>
  <c r="AA723" i="54"/>
  <c r="AA1068" i="54"/>
  <c r="AA211" i="54"/>
  <c r="AA673" i="54"/>
  <c r="AA973" i="54"/>
  <c r="AA318" i="54"/>
  <c r="AA196" i="54"/>
  <c r="AA649" i="54"/>
  <c r="AA889" i="54"/>
  <c r="AA1064" i="54"/>
  <c r="AA65" i="54"/>
  <c r="AA465" i="54"/>
  <c r="AA782" i="54"/>
  <c r="AA1119" i="54"/>
  <c r="AA539" i="54"/>
  <c r="AA186" i="54"/>
  <c r="AA833" i="54"/>
  <c r="AA1131" i="54"/>
  <c r="AA39" i="54"/>
  <c r="AA361" i="54"/>
  <c r="AA678" i="54"/>
  <c r="AA939" i="54"/>
  <c r="AA299" i="54"/>
  <c r="AA152" i="54"/>
  <c r="AA496" i="54"/>
  <c r="AA728" i="54"/>
  <c r="AA1046" i="54"/>
  <c r="AA950" i="54"/>
  <c r="AA289" i="54"/>
  <c r="AA615" i="54"/>
  <c r="AA923" i="54"/>
  <c r="AA604" i="54"/>
  <c r="AA505" i="54"/>
  <c r="AA188" i="54"/>
  <c r="AA41" i="54"/>
  <c r="AA774" i="54"/>
  <c r="AA335" i="54"/>
  <c r="AA281" i="54"/>
  <c r="AA38" i="54"/>
  <c r="AA357" i="54"/>
  <c r="AA934" i="54"/>
  <c r="AA935" i="54"/>
  <c r="AA387" i="54"/>
  <c r="AA163" i="54"/>
  <c r="AA524" i="54"/>
  <c r="AA756" i="54"/>
  <c r="AA1053" i="54"/>
  <c r="AA847" i="54"/>
  <c r="AA285" i="54"/>
  <c r="AA627" i="54"/>
  <c r="AA751" i="54"/>
  <c r="AA145" i="54"/>
  <c r="AA452" i="54"/>
  <c r="AA684" i="54"/>
  <c r="AA1035" i="54"/>
  <c r="AA266" i="54"/>
  <c r="AA571" i="54"/>
  <c r="AA879" i="54"/>
  <c r="AA447" i="54"/>
  <c r="AA119" i="54"/>
  <c r="AA348" i="54"/>
  <c r="AA817" i="54"/>
  <c r="AA1009" i="54"/>
  <c r="AA462" i="54"/>
  <c r="AA232" i="54"/>
  <c r="AA660" i="54"/>
  <c r="AA884" i="54"/>
  <c r="AA101" i="54"/>
  <c r="AA276" i="54"/>
  <c r="AA745" i="54"/>
  <c r="AA839" i="54"/>
  <c r="AA486" i="54"/>
  <c r="AA794" i="54"/>
  <c r="AA443" i="54"/>
  <c r="AA174" i="54"/>
  <c r="AA569" i="54"/>
  <c r="AA800" i="54"/>
  <c r="AA1085" i="54"/>
  <c r="AA27" i="54"/>
  <c r="AA313" i="54"/>
  <c r="AA639" i="54"/>
  <c r="AA1059" i="54"/>
  <c r="AA735" i="54"/>
  <c r="AA140" i="54"/>
  <c r="AA448" i="54"/>
  <c r="AA680" i="54"/>
  <c r="AA1034" i="54"/>
  <c r="AA530" i="54"/>
  <c r="AA249" i="54"/>
  <c r="AA722" i="54"/>
  <c r="AA1122" i="54"/>
  <c r="AA362" i="54"/>
  <c r="AA759" i="54"/>
  <c r="AA479" i="54"/>
  <c r="AA126" i="54"/>
  <c r="AA376" i="54"/>
  <c r="AA846" i="54"/>
  <c r="AA1016" i="54"/>
  <c r="AA474" i="54"/>
  <c r="AA235" i="54"/>
  <c r="AA656" i="54"/>
  <c r="AA880" i="54"/>
  <c r="AA92" i="54"/>
  <c r="AA743" i="54"/>
  <c r="AA725" i="54"/>
  <c r="AA986" i="54"/>
  <c r="AA338" i="54"/>
  <c r="AA201" i="54"/>
  <c r="AA328" i="54"/>
  <c r="AA208" i="54"/>
  <c r="AA777" i="54"/>
  <c r="AA716" i="54"/>
  <c r="AA500" i="54"/>
  <c r="AA1039" i="54"/>
  <c r="AA598" i="54"/>
  <c r="AA270" i="54"/>
  <c r="AA587" i="54"/>
  <c r="AA895" i="54"/>
  <c r="AA495" i="54"/>
  <c r="AA123" i="54"/>
  <c r="AA364" i="54"/>
  <c r="AA834" i="54"/>
  <c r="AA1013" i="54"/>
  <c r="AA478" i="54"/>
  <c r="AA236" i="54"/>
  <c r="AA707" i="54"/>
  <c r="AA1173" i="54"/>
  <c r="AA89" i="54"/>
  <c r="AA475" i="54"/>
  <c r="AA160" i="54"/>
  <c r="AA176" i="54"/>
  <c r="AA461" i="54"/>
  <c r="AA305" i="54"/>
  <c r="AA799" i="54"/>
  <c r="AA146" i="54"/>
  <c r="AA456" i="54"/>
  <c r="AA688" i="54"/>
  <c r="AA1036" i="54"/>
  <c r="AA608" i="54"/>
  <c r="AA525" i="54"/>
  <c r="AA175" i="54"/>
  <c r="AA32" i="54"/>
  <c r="AA351" i="54"/>
  <c r="AA796" i="54"/>
  <c r="AA191" i="54"/>
  <c r="AA48" i="54"/>
  <c r="AA290" i="54"/>
  <c r="AA521" i="54"/>
  <c r="AA192" i="54"/>
  <c r="AA269" i="54"/>
  <c r="AA814" i="54"/>
  <c r="AA1047" i="54"/>
  <c r="AA648" i="54"/>
  <c r="AA98" i="54"/>
  <c r="AA866" i="54"/>
  <c r="AA733" i="54"/>
  <c r="AA988" i="54"/>
  <c r="AA329" i="54"/>
  <c r="AA144" i="54"/>
  <c r="AA490" i="54"/>
  <c r="AA1169" i="54"/>
  <c r="AA830" i="54"/>
  <c r="AA554" i="54"/>
  <c r="AA383" i="54"/>
  <c r="AA1006" i="54"/>
  <c r="AA825" i="54"/>
  <c r="AA143" i="54"/>
  <c r="AA558" i="54"/>
  <c r="AA767" i="54"/>
  <c r="AA321" i="54"/>
  <c r="AA761" i="54"/>
  <c r="AA983" i="54"/>
  <c r="AA535" i="54"/>
  <c r="AA130" i="54"/>
  <c r="AA392" i="54"/>
  <c r="AA870" i="54"/>
  <c r="AA1020" i="54"/>
  <c r="AA508" i="54"/>
  <c r="AA272" i="54"/>
  <c r="AA111" i="54"/>
  <c r="AA430" i="54"/>
  <c r="AA1125" i="54"/>
  <c r="AA668" i="54"/>
  <c r="AA127" i="54"/>
  <c r="AA494" i="54"/>
  <c r="AA519" i="54"/>
  <c r="AA1071" i="54"/>
  <c r="AA271" i="54"/>
  <c r="AA128" i="54"/>
  <c r="AA141" i="54"/>
  <c r="AA567" i="54"/>
  <c r="AA872" i="54"/>
  <c r="AA732" i="54"/>
  <c r="AA601" i="54"/>
  <c r="AA912" i="54"/>
  <c r="AA198" i="54"/>
  <c r="AA1024" i="54"/>
  <c r="AA259" i="54"/>
  <c r="AA116" i="54"/>
  <c r="AA821" i="54"/>
  <c r="AA498" i="54"/>
  <c r="AA715" i="54"/>
  <c r="AA296" i="54"/>
  <c r="AA215" i="54"/>
  <c r="AA1067" i="54"/>
  <c r="AA72" i="54"/>
  <c r="AA169" i="54"/>
  <c r="AA685" i="54"/>
  <c r="AA1185" i="54"/>
  <c r="AA987" i="54"/>
  <c r="AA1060" i="54"/>
  <c r="AA245" i="54"/>
  <c r="AA310" i="54"/>
  <c r="AA54" i="54"/>
  <c r="AA408" i="54"/>
  <c r="AA960" i="54"/>
  <c r="AA51" i="54"/>
  <c r="AA726" i="54"/>
  <c r="AA395" i="54"/>
  <c r="AA544" i="54"/>
  <c r="AA1061" i="54"/>
  <c r="AA337" i="54"/>
  <c r="AA154" i="54"/>
  <c r="AA720" i="54"/>
  <c r="AA559" i="54"/>
  <c r="AA455" i="54"/>
  <c r="AA803" i="54"/>
  <c r="AA340" i="54"/>
  <c r="AA901" i="54"/>
  <c r="AA566" i="54"/>
  <c r="AA506" i="54"/>
  <c r="AA446" i="54"/>
  <c r="AA434" i="54"/>
  <c r="AA390" i="54"/>
  <c r="AA645" i="54"/>
  <c r="AA838" i="54"/>
  <c r="AA203" i="54"/>
  <c r="AA70" i="54"/>
  <c r="AA472" i="54"/>
  <c r="AA67" i="54"/>
  <c r="AA790" i="54"/>
  <c r="AA523" i="54"/>
  <c r="AA1123" i="54"/>
  <c r="AA401" i="54"/>
  <c r="AA170" i="54"/>
  <c r="AA784" i="54"/>
  <c r="AA23" i="54"/>
  <c r="AA623" i="54"/>
  <c r="AA511" i="54"/>
  <c r="AA762" i="54"/>
  <c r="AA597" i="54"/>
  <c r="AA1076" i="54"/>
  <c r="AA493" i="54"/>
  <c r="AA826" i="54"/>
  <c r="AA966" i="54"/>
  <c r="AA322" i="54"/>
  <c r="AA197" i="54"/>
  <c r="AA637" i="54"/>
  <c r="AA877" i="54"/>
  <c r="AA158" i="54"/>
  <c r="AA602" i="54"/>
  <c r="AA503" i="54"/>
  <c r="AA1018" i="54"/>
  <c r="AA944" i="54"/>
  <c r="AA932" i="54"/>
  <c r="AA537" i="54"/>
  <c r="AA692" i="54"/>
  <c r="AA1037" i="54"/>
  <c r="AA574" i="54"/>
  <c r="AA260" i="54"/>
  <c r="AA563" i="54"/>
  <c r="AA871" i="54"/>
  <c r="AA279" i="54"/>
  <c r="AA129" i="54"/>
  <c r="AA388" i="54"/>
  <c r="AA862" i="54"/>
  <c r="AA1019" i="54"/>
  <c r="AA518" i="54"/>
  <c r="AA250" i="54"/>
  <c r="AA787" i="54"/>
  <c r="AA941" i="54"/>
  <c r="AA719" i="54"/>
  <c r="AA103" i="54"/>
  <c r="AA284" i="54"/>
  <c r="AA753" i="54"/>
  <c r="AA398" i="54"/>
  <c r="AA216" i="54"/>
  <c r="AA596" i="54"/>
  <c r="AA1124" i="54"/>
  <c r="AA85" i="54"/>
  <c r="AA545" i="54"/>
  <c r="AA681" i="54"/>
  <c r="AA822" i="54"/>
  <c r="AA617" i="54"/>
  <c r="AA356" i="54"/>
  <c r="AA917" i="54"/>
  <c r="AA378" i="54"/>
  <c r="AA607" i="54"/>
  <c r="AA102" i="54"/>
  <c r="AA280" i="54"/>
  <c r="AA749" i="54"/>
  <c r="AA442" i="54"/>
  <c r="AA227" i="54"/>
  <c r="AA624" i="54"/>
  <c r="AA848" i="54"/>
  <c r="AA1121" i="54"/>
  <c r="AA84" i="54"/>
  <c r="AA541" i="54"/>
  <c r="AA693" i="54"/>
  <c r="AA370" i="54"/>
  <c r="AA209" i="54"/>
  <c r="AA1087" i="54"/>
  <c r="AA925" i="54"/>
  <c r="AA1100" i="54"/>
  <c r="AA74" i="54"/>
  <c r="AA501" i="54"/>
  <c r="AA818" i="54"/>
  <c r="AA964" i="54"/>
  <c r="AA547" i="54"/>
  <c r="AA183" i="54"/>
  <c r="AA605" i="54"/>
  <c r="AA945" i="54"/>
  <c r="AA1120" i="54"/>
  <c r="AA40" i="54"/>
  <c r="AA365" i="54"/>
  <c r="AA698" i="54"/>
  <c r="AA959" i="54"/>
  <c r="AA403" i="54"/>
  <c r="AA165" i="54"/>
  <c r="AA532" i="54"/>
  <c r="AA764" i="54"/>
  <c r="AA30" i="54"/>
  <c r="AA703" i="54"/>
  <c r="AA1029" i="54"/>
  <c r="AA1079" i="54"/>
  <c r="AA1007" i="54"/>
  <c r="AA470" i="54"/>
  <c r="AA238" i="54"/>
  <c r="AA691" i="54"/>
  <c r="AA91" i="54"/>
  <c r="AA727" i="54"/>
  <c r="AA705" i="54"/>
  <c r="AA350" i="54"/>
  <c r="AA204" i="54"/>
  <c r="AA851" i="54"/>
  <c r="AA1096" i="54"/>
  <c r="AA57" i="54"/>
  <c r="AA613" i="54"/>
  <c r="AA1127" i="54"/>
  <c r="AA1098" i="54"/>
  <c r="AA1091" i="54"/>
  <c r="AA278" i="54"/>
  <c r="AA190" i="54"/>
  <c r="AA650" i="54"/>
  <c r="AA849" i="54"/>
  <c r="AA43" i="54"/>
  <c r="AA377" i="54"/>
  <c r="AA694" i="54"/>
  <c r="AA331" i="54"/>
  <c r="AA156" i="54"/>
  <c r="AA512" i="54"/>
  <c r="AA744" i="54"/>
  <c r="AA1050" i="54"/>
  <c r="AA265" i="54"/>
  <c r="AA797" i="54"/>
  <c r="AA47" i="54"/>
  <c r="AA63" i="54"/>
  <c r="AA207" i="54"/>
  <c r="AA780" i="54"/>
  <c r="AA1130" i="54"/>
  <c r="AA78" i="54"/>
  <c r="AA517" i="54"/>
  <c r="AA937" i="54"/>
  <c r="AA968" i="54"/>
  <c r="AA282" i="54"/>
  <c r="AA187" i="54"/>
  <c r="AA626" i="54"/>
  <c r="AA837" i="54"/>
  <c r="AA44" i="54"/>
  <c r="AA381" i="54"/>
  <c r="AA714" i="54"/>
  <c r="AA307" i="54"/>
  <c r="AA153" i="54"/>
  <c r="AA178" i="54"/>
  <c r="AA721" i="54"/>
  <c r="AA482" i="54"/>
  <c r="AA61" i="54"/>
  <c r="AA811" i="54"/>
  <c r="AA695" i="54"/>
  <c r="AA358" i="54"/>
  <c r="AA210" i="54"/>
  <c r="AA556" i="54"/>
  <c r="AA928" i="54"/>
  <c r="AA1106" i="54"/>
  <c r="AA832" i="54"/>
  <c r="AA677" i="54"/>
  <c r="AA573" i="54"/>
  <c r="AA333" i="54"/>
  <c r="AA109" i="54"/>
  <c r="AA1108" i="54"/>
  <c r="AA658" i="54"/>
  <c r="AA397" i="54"/>
  <c r="AA189" i="54"/>
  <c r="AA1103" i="54"/>
  <c r="AA633" i="54"/>
  <c r="AA842" i="54"/>
  <c r="AA963" i="54"/>
  <c r="AA354" i="54"/>
  <c r="AA369" i="54"/>
  <c r="AA347" i="54"/>
  <c r="AA162" i="54"/>
  <c r="AA520" i="54"/>
  <c r="AA752" i="54"/>
  <c r="AA1052" i="54"/>
  <c r="AA655" i="54"/>
  <c r="AA464" i="54"/>
  <c r="AA239" i="54"/>
  <c r="AA96" i="54"/>
  <c r="AA467" i="54"/>
  <c r="AA909" i="54"/>
  <c r="AA255" i="54"/>
  <c r="AA112" i="54"/>
  <c r="AA546" i="54"/>
  <c r="AA444" i="54"/>
  <c r="AA256" i="54"/>
  <c r="AA436" i="54"/>
  <c r="AA926" i="54"/>
  <c r="AA497" i="54"/>
  <c r="AA294" i="54"/>
  <c r="AA194" i="54"/>
  <c r="AA625" i="54"/>
  <c r="AA865" i="54"/>
  <c r="AA740" i="54"/>
  <c r="AA316" i="54"/>
  <c r="AA224" i="54"/>
  <c r="AA45" i="54"/>
  <c r="AA891" i="54"/>
  <c r="AA380" i="54"/>
  <c r="AA240" i="54"/>
  <c r="AA125" i="54"/>
  <c r="AA1074" i="54"/>
  <c r="AA591" i="54"/>
  <c r="AA400" i="54"/>
  <c r="AA766" i="54"/>
  <c r="AA875" i="54"/>
  <c r="AA407" i="54"/>
  <c r="K16" i="56"/>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B22" i="19"/>
  <c r="N22" i="19"/>
  <c r="O22" i="19"/>
  <c r="W17" i="19"/>
  <c r="L99" i="32"/>
  <c r="J99" i="32"/>
  <c r="H99" i="32"/>
  <c r="C99" i="32"/>
  <c r="B99" i="32"/>
  <c r="E99" i="32"/>
  <c r="G99" i="32"/>
  <c r="I99" i="32"/>
  <c r="K99" i="32"/>
  <c r="BC36" i="42"/>
  <c r="BC37" i="42"/>
  <c r="B13" i="57" l="1"/>
  <c r="B8" i="57"/>
  <c r="B6" i="57"/>
  <c r="B5" i="57"/>
  <c r="W283" i="19"/>
  <c r="W284" i="19"/>
  <c r="D1195" i="19"/>
  <c r="W285" i="19"/>
  <c r="AE1208" i="19"/>
  <c r="H17" i="19"/>
  <c r="AH18" i="19"/>
  <c r="AH1194" i="19" s="1"/>
  <c r="K25" i="56"/>
  <c r="L25" i="56" s="1"/>
  <c r="J26" i="56"/>
  <c r="B255" i="36"/>
  <c r="C255" i="36" s="1"/>
  <c r="A255" i="19" s="1"/>
  <c r="M16" i="19"/>
  <c r="S942" i="19"/>
  <c r="D1192" i="19"/>
  <c r="W942" i="19"/>
  <c r="B1003" i="36"/>
  <c r="B101" i="36"/>
  <c r="B102" i="36" s="1"/>
  <c r="B49" i="36"/>
  <c r="B50" i="36" s="1"/>
  <c r="B285" i="36"/>
  <c r="B183" i="36"/>
  <c r="B107" i="36"/>
  <c r="B105" i="36"/>
  <c r="B87" i="36"/>
  <c r="B71" i="36"/>
  <c r="B58" i="36"/>
  <c r="B27" i="36"/>
  <c r="B1039" i="36"/>
  <c r="B304" i="36"/>
  <c r="B201" i="36"/>
  <c r="B202" i="36" s="1"/>
  <c r="B198" i="36"/>
  <c r="B959" i="36"/>
  <c r="B490" i="36"/>
  <c r="B485" i="36"/>
  <c r="B368" i="36"/>
  <c r="B362" i="36"/>
  <c r="B39" i="36"/>
  <c r="B23" i="36"/>
  <c r="B24" i="36" s="1"/>
  <c r="B25" i="36" s="1"/>
  <c r="B42" i="36"/>
  <c r="B996" i="36"/>
  <c r="B997" i="36" s="1"/>
  <c r="B998" i="36" s="1"/>
  <c r="B1000" i="36"/>
  <c r="B1001" i="36" s="1"/>
  <c r="B110" i="36"/>
  <c r="B179" i="36"/>
  <c r="B709" i="36"/>
  <c r="B245" i="36"/>
  <c r="B112" i="36"/>
  <c r="B113" i="36" s="1"/>
  <c r="B114" i="36" s="1"/>
  <c r="B36" i="36"/>
  <c r="B294" i="36"/>
  <c r="B247" i="36"/>
  <c r="B248" i="36" s="1"/>
  <c r="B249" i="36" s="1"/>
  <c r="B250" i="36" s="1"/>
  <c r="C250" i="36" s="1"/>
  <c r="A250" i="19" s="1"/>
  <c r="B980" i="36"/>
  <c r="B981" i="36" s="1"/>
  <c r="B982" i="36" s="1"/>
  <c r="B268" i="36"/>
  <c r="B161" i="36"/>
  <c r="B162" i="36" s="1"/>
  <c r="B32" i="36"/>
  <c r="B728" i="36"/>
  <c r="B280" i="36"/>
  <c r="B992" i="36"/>
  <c r="B993" i="36" s="1"/>
  <c r="B994" i="36" s="1"/>
  <c r="B373" i="36"/>
  <c r="B634" i="36"/>
  <c r="B91" i="36"/>
  <c r="B92" i="36" s="1"/>
  <c r="B93" i="36" s="1"/>
  <c r="B840" i="36"/>
  <c r="B841" i="36" s="1"/>
  <c r="C841" i="36" s="1"/>
  <c r="A843" i="19" s="1"/>
  <c r="B440" i="36"/>
  <c r="S778" i="19"/>
  <c r="S1010" i="19"/>
  <c r="S1005" i="19"/>
  <c r="S1001" i="19"/>
  <c r="S997" i="19"/>
  <c r="S993" i="19"/>
  <c r="S989" i="19"/>
  <c r="S984" i="19"/>
  <c r="S980" i="19"/>
  <c r="S976" i="19"/>
  <c r="S968" i="19"/>
  <c r="S964" i="19"/>
  <c r="S927" i="19"/>
  <c r="S908" i="19"/>
  <c r="S845" i="19"/>
  <c r="S839" i="19"/>
  <c r="S828" i="19"/>
  <c r="S817" i="19"/>
  <c r="S799" i="19"/>
  <c r="S722" i="19"/>
  <c r="S715" i="19"/>
  <c r="S707" i="19"/>
  <c r="S702" i="19"/>
  <c r="S691" i="19"/>
  <c r="S681" i="19"/>
  <c r="S675" i="19"/>
  <c r="S668" i="19"/>
  <c r="S659" i="19"/>
  <c r="S648" i="19"/>
  <c r="S605" i="19"/>
  <c r="S598" i="19"/>
  <c r="S591" i="19"/>
  <c r="S586" i="19"/>
  <c r="S579" i="19"/>
  <c r="S572" i="19"/>
  <c r="S565" i="19"/>
  <c r="S560" i="19"/>
  <c r="S554" i="19"/>
  <c r="S489" i="19"/>
  <c r="S480" i="19"/>
  <c r="S470" i="19"/>
  <c r="S464" i="19"/>
  <c r="S458" i="19"/>
  <c r="S449" i="19"/>
  <c r="S443" i="19"/>
  <c r="S438" i="19"/>
  <c r="S433" i="19"/>
  <c r="S426" i="19"/>
  <c r="S420" i="19"/>
  <c r="S416" i="19"/>
  <c r="S408" i="19"/>
  <c r="S403" i="19"/>
  <c r="S399" i="19"/>
  <c r="S387" i="19"/>
  <c r="S930" i="19"/>
  <c r="S1014" i="19"/>
  <c r="S770" i="19"/>
  <c r="S1009" i="19"/>
  <c r="S1004" i="19"/>
  <c r="S1000" i="19"/>
  <c r="S996" i="19"/>
  <c r="S992" i="19"/>
  <c r="S987" i="19"/>
  <c r="S983" i="19"/>
  <c r="S979" i="19"/>
  <c r="S975" i="19"/>
  <c r="S967" i="19"/>
  <c r="S963" i="19"/>
  <c r="S919" i="19"/>
  <c r="S851" i="19"/>
  <c r="S844" i="19"/>
  <c r="S838" i="19"/>
  <c r="S826" i="19"/>
  <c r="S815" i="19"/>
  <c r="S794" i="19"/>
  <c r="S720" i="19"/>
  <c r="S714" i="19"/>
  <c r="S705" i="19"/>
  <c r="S696" i="19"/>
  <c r="S688" i="19"/>
  <c r="S680" i="19"/>
  <c r="S674" i="19"/>
  <c r="S665" i="19"/>
  <c r="S658" i="19"/>
  <c r="S647" i="19"/>
  <c r="S603" i="19"/>
  <c r="S597" i="19"/>
  <c r="S590" i="19"/>
  <c r="S585" i="19"/>
  <c r="S578" i="19"/>
  <c r="S571" i="19"/>
  <c r="S564" i="19"/>
  <c r="S559" i="19"/>
  <c r="S494" i="19"/>
  <c r="S488" i="19"/>
  <c r="S478" i="19"/>
  <c r="S469" i="19"/>
  <c r="S463" i="19"/>
  <c r="S457" i="19"/>
  <c r="S448" i="19"/>
  <c r="S442" i="19"/>
  <c r="S437" i="19"/>
  <c r="S432" i="19"/>
  <c r="S424" i="19"/>
  <c r="S419" i="19"/>
  <c r="S415" i="19"/>
  <c r="S407" i="19"/>
  <c r="S402" i="19"/>
  <c r="S398" i="19"/>
  <c r="S389" i="19"/>
  <c r="S922" i="19"/>
  <c r="S1013" i="19"/>
  <c r="S762" i="19"/>
  <c r="S1008" i="19"/>
  <c r="S1003" i="19"/>
  <c r="S999" i="19"/>
  <c r="S995" i="19"/>
  <c r="S991" i="19"/>
  <c r="S986" i="19"/>
  <c r="S982" i="19"/>
  <c r="S978" i="19"/>
  <c r="S971" i="19"/>
  <c r="S966" i="19"/>
  <c r="S962" i="19"/>
  <c r="S914" i="19"/>
  <c r="S850" i="19"/>
  <c r="S842" i="19"/>
  <c r="S834" i="19"/>
  <c r="S822" i="19"/>
  <c r="S813" i="19"/>
  <c r="S787" i="19"/>
  <c r="S719" i="19"/>
  <c r="S712" i="19"/>
  <c r="S704" i="19"/>
  <c r="S694" i="19"/>
  <c r="S686" i="19"/>
  <c r="S679" i="19"/>
  <c r="S672" i="19"/>
  <c r="S664" i="19"/>
  <c r="S652" i="19"/>
  <c r="S607" i="19"/>
  <c r="S601" i="19"/>
  <c r="S596" i="19"/>
  <c r="S589" i="19"/>
  <c r="S583" i="19"/>
  <c r="S577" i="19"/>
  <c r="S569" i="19"/>
  <c r="S563" i="19"/>
  <c r="S557" i="19"/>
  <c r="S493" i="19"/>
  <c r="S484" i="19"/>
  <c r="S475" i="19"/>
  <c r="S468" i="19"/>
  <c r="S461" i="19"/>
  <c r="S456" i="19"/>
  <c r="S446" i="19"/>
  <c r="S441" i="19"/>
  <c r="S435" i="19"/>
  <c r="S431" i="19"/>
  <c r="S423" i="19"/>
  <c r="S418" i="19"/>
  <c r="S412" i="19"/>
  <c r="S405" i="19"/>
  <c r="S401" i="19"/>
  <c r="S393" i="19"/>
  <c r="S939" i="19"/>
  <c r="S929" i="19"/>
  <c r="S1012" i="19"/>
  <c r="S761" i="19"/>
  <c r="S1006" i="19"/>
  <c r="S1002" i="19"/>
  <c r="S998" i="19"/>
  <c r="S994" i="19"/>
  <c r="S990" i="19"/>
  <c r="S985" i="19"/>
  <c r="S981" i="19"/>
  <c r="S977" i="19"/>
  <c r="S970" i="19"/>
  <c r="S965" i="19"/>
  <c r="S961" i="19"/>
  <c r="S912" i="19"/>
  <c r="S847" i="19"/>
  <c r="S841" i="19"/>
  <c r="S831" i="19"/>
  <c r="S820" i="19"/>
  <c r="S811" i="19"/>
  <c r="S725" i="19"/>
  <c r="S717" i="19"/>
  <c r="S711" i="19"/>
  <c r="S703" i="19"/>
  <c r="S692" i="19"/>
  <c r="S683" i="19"/>
  <c r="S677" i="19"/>
  <c r="S671" i="19"/>
  <c r="S661" i="19"/>
  <c r="S649" i="19"/>
  <c r="S606" i="19"/>
  <c r="S600" i="19"/>
  <c r="S595" i="19"/>
  <c r="S587" i="19"/>
  <c r="S582" i="19"/>
  <c r="S573" i="19"/>
  <c r="S567" i="19"/>
  <c r="S561" i="19"/>
  <c r="S556" i="19"/>
  <c r="S490" i="19"/>
  <c r="S481" i="19"/>
  <c r="S474" i="19"/>
  <c r="S465" i="19"/>
  <c r="S460" i="19"/>
  <c r="S453" i="19"/>
  <c r="S444" i="19"/>
  <c r="S439" i="19"/>
  <c r="S434" i="19"/>
  <c r="S430" i="19"/>
  <c r="S422" i="19"/>
  <c r="S417" i="19"/>
  <c r="S410" i="19"/>
  <c r="S404" i="19"/>
  <c r="S400" i="19"/>
  <c r="S391" i="19"/>
  <c r="S938" i="19"/>
  <c r="S1016" i="19"/>
  <c r="S1015" i="19"/>
  <c r="B946" i="36"/>
  <c r="S948" i="19"/>
  <c r="S943" i="19"/>
  <c r="S935" i="19"/>
  <c r="S931" i="19"/>
  <c r="S917" i="19"/>
  <c r="S904" i="19"/>
  <c r="S900" i="19"/>
  <c r="S895" i="19"/>
  <c r="S890" i="19"/>
  <c r="S886" i="19"/>
  <c r="S881" i="19"/>
  <c r="S877" i="19"/>
  <c r="S872" i="19"/>
  <c r="S868" i="19"/>
  <c r="S863" i="19"/>
  <c r="S859" i="19"/>
  <c r="S855" i="19"/>
  <c r="S836" i="19"/>
  <c r="S809" i="19"/>
  <c r="S804" i="19"/>
  <c r="S797" i="19"/>
  <c r="S789" i="19"/>
  <c r="S782" i="19"/>
  <c r="S777" i="19"/>
  <c r="S773" i="19"/>
  <c r="S767" i="19"/>
  <c r="S763" i="19"/>
  <c r="S757" i="19"/>
  <c r="S753" i="19"/>
  <c r="S748" i="19"/>
  <c r="S744" i="19"/>
  <c r="S740" i="19"/>
  <c r="S735" i="19"/>
  <c r="S731" i="19"/>
  <c r="S727" i="19"/>
  <c r="S709" i="19"/>
  <c r="S698" i="19"/>
  <c r="S690" i="19"/>
  <c r="S670" i="19"/>
  <c r="S660" i="19"/>
  <c r="S651" i="19"/>
  <c r="S643" i="19"/>
  <c r="S638" i="19"/>
  <c r="S634" i="19"/>
  <c r="S629" i="19"/>
  <c r="S624" i="19"/>
  <c r="S619" i="19"/>
  <c r="S614" i="19"/>
  <c r="S610" i="19"/>
  <c r="S581" i="19"/>
  <c r="S552" i="19"/>
  <c r="S548" i="19"/>
  <c r="S543" i="19"/>
  <c r="S539" i="19"/>
  <c r="S534" i="19"/>
  <c r="S530" i="19"/>
  <c r="S525" i="19"/>
  <c r="S521" i="19"/>
  <c r="S516" i="19"/>
  <c r="S512" i="19"/>
  <c r="S508" i="19"/>
  <c r="S503" i="19"/>
  <c r="S499" i="19"/>
  <c r="S492" i="19"/>
  <c r="S477" i="19"/>
  <c r="S454" i="19"/>
  <c r="S427" i="19"/>
  <c r="S395" i="19"/>
  <c r="S382" i="19"/>
  <c r="S973" i="19"/>
  <c r="S941" i="19"/>
  <c r="S933" i="19"/>
  <c r="S920" i="19"/>
  <c r="S903" i="19"/>
  <c r="S897" i="19"/>
  <c r="S891" i="19"/>
  <c r="S885" i="19"/>
  <c r="S879" i="19"/>
  <c r="S873" i="19"/>
  <c r="S867" i="19"/>
  <c r="S861" i="19"/>
  <c r="S856" i="19"/>
  <c r="S833" i="19"/>
  <c r="S807" i="19"/>
  <c r="S801" i="19"/>
  <c r="S788" i="19"/>
  <c r="S780" i="19"/>
  <c r="S947" i="19"/>
  <c r="S940" i="19"/>
  <c r="S932" i="19"/>
  <c r="S916" i="19"/>
  <c r="S902" i="19"/>
  <c r="S896" i="19"/>
  <c r="S889" i="19"/>
  <c r="S883" i="19"/>
  <c r="S878" i="19"/>
  <c r="S871" i="19"/>
  <c r="S866" i="19"/>
  <c r="S860" i="19"/>
  <c r="S854" i="19"/>
  <c r="S829" i="19"/>
  <c r="S806" i="19"/>
  <c r="S796" i="19"/>
  <c r="S785" i="19"/>
  <c r="S779" i="19"/>
  <c r="S772" i="19"/>
  <c r="S765" i="19"/>
  <c r="S758" i="19"/>
  <c r="S752" i="19"/>
  <c r="S746" i="19"/>
  <c r="S945" i="19"/>
  <c r="S936" i="19"/>
  <c r="S925" i="19"/>
  <c r="S910" i="19"/>
  <c r="S901" i="19"/>
  <c r="S894" i="19"/>
  <c r="S888" i="19"/>
  <c r="S882" i="19"/>
  <c r="S875" i="19"/>
  <c r="S870" i="19"/>
  <c r="S865" i="19"/>
  <c r="S858" i="19"/>
  <c r="S853" i="19"/>
  <c r="S824" i="19"/>
  <c r="S803" i="19"/>
  <c r="S793" i="19"/>
  <c r="S784" i="19"/>
  <c r="S776" i="19"/>
  <c r="S771" i="19"/>
  <c r="S764" i="19"/>
  <c r="S756" i="19"/>
  <c r="S751" i="19"/>
  <c r="S745" i="19"/>
  <c r="S739" i="19"/>
  <c r="S733" i="19"/>
  <c r="S728" i="19"/>
  <c r="S708" i="19"/>
  <c r="S695" i="19"/>
  <c r="S673" i="19"/>
  <c r="S657" i="19"/>
  <c r="S645" i="19"/>
  <c r="S640" i="19"/>
  <c r="S633" i="19"/>
  <c r="S626" i="19"/>
  <c r="S620" i="19"/>
  <c r="S613" i="19"/>
  <c r="S604" i="19"/>
  <c r="S555" i="19"/>
  <c r="S547" i="19"/>
  <c r="S541" i="19"/>
  <c r="S535" i="19"/>
  <c r="S529" i="19"/>
  <c r="S523" i="19"/>
  <c r="S518" i="19"/>
  <c r="S511" i="19"/>
  <c r="S505" i="19"/>
  <c r="S500" i="19"/>
  <c r="S487" i="19"/>
  <c r="S472" i="19"/>
  <c r="S428" i="19"/>
  <c r="S385" i="19"/>
  <c r="S238" i="19"/>
  <c r="S944" i="19"/>
  <c r="S934" i="19"/>
  <c r="S924" i="19"/>
  <c r="S905" i="19"/>
  <c r="S898" i="19"/>
  <c r="S893" i="19"/>
  <c r="S887" i="19"/>
  <c r="S880" i="19"/>
  <c r="S874" i="19"/>
  <c r="S869" i="19"/>
  <c r="S862" i="19"/>
  <c r="S857" i="19"/>
  <c r="S848" i="19"/>
  <c r="S808" i="19"/>
  <c r="S802" i="19"/>
  <c r="S791" i="19"/>
  <c r="S781" i="19"/>
  <c r="S775" i="19"/>
  <c r="S769" i="19"/>
  <c r="S760" i="19"/>
  <c r="S755" i="19"/>
  <c r="S750" i="19"/>
  <c r="S743" i="19"/>
  <c r="S737" i="19"/>
  <c r="S732" i="19"/>
  <c r="S724" i="19"/>
  <c r="S700" i="19"/>
  <c r="S693" i="19"/>
  <c r="S667" i="19"/>
  <c r="S655" i="19"/>
  <c r="S644" i="19"/>
  <c r="S637" i="19"/>
  <c r="S632" i="19"/>
  <c r="S625" i="19"/>
  <c r="S618" i="19"/>
  <c r="S612" i="19"/>
  <c r="S593" i="19"/>
  <c r="S551" i="19"/>
  <c r="S546" i="19"/>
  <c r="S540" i="19"/>
  <c r="S533" i="19"/>
  <c r="S528" i="19"/>
  <c r="S522" i="19"/>
  <c r="S515" i="19"/>
  <c r="S510" i="19"/>
  <c r="S504" i="19"/>
  <c r="S498" i="19"/>
  <c r="S485" i="19"/>
  <c r="S467" i="19"/>
  <c r="S421" i="19"/>
  <c r="S384" i="19"/>
  <c r="S409" i="19"/>
  <c r="S759" i="19"/>
  <c r="S741" i="19"/>
  <c r="S729" i="19"/>
  <c r="S697" i="19"/>
  <c r="S662" i="19"/>
  <c r="S641" i="19"/>
  <c r="S628" i="19"/>
  <c r="S615" i="19"/>
  <c r="S566" i="19"/>
  <c r="S542" i="19"/>
  <c r="S531" i="19"/>
  <c r="S519" i="19"/>
  <c r="S507" i="19"/>
  <c r="S496" i="19"/>
  <c r="S450" i="19"/>
  <c r="S240" i="19"/>
  <c r="S754" i="19"/>
  <c r="S736" i="19"/>
  <c r="S716" i="19"/>
  <c r="S685" i="19"/>
  <c r="S653" i="19"/>
  <c r="S636" i="19"/>
  <c r="S622" i="19"/>
  <c r="S611" i="19"/>
  <c r="S550" i="19"/>
  <c r="S538" i="19"/>
  <c r="S526" i="19"/>
  <c r="S514" i="19"/>
  <c r="S502" i="19"/>
  <c r="S482" i="19"/>
  <c r="S413" i="19"/>
  <c r="S774" i="19"/>
  <c r="S747" i="19"/>
  <c r="S734" i="19"/>
  <c r="S710" i="19"/>
  <c r="S684" i="19"/>
  <c r="S650" i="19"/>
  <c r="S635" i="19"/>
  <c r="S621" i="19"/>
  <c r="S609" i="19"/>
  <c r="S549" i="19"/>
  <c r="S537" i="19"/>
  <c r="S524" i="19"/>
  <c r="S513" i="19"/>
  <c r="S501" i="19"/>
  <c r="S473" i="19"/>
  <c r="S396" i="19"/>
  <c r="S766" i="19"/>
  <c r="S742" i="19"/>
  <c r="S730" i="19"/>
  <c r="S699" i="19"/>
  <c r="S666" i="19"/>
  <c r="S642" i="19"/>
  <c r="S630" i="19"/>
  <c r="S617" i="19"/>
  <c r="S575" i="19"/>
  <c r="S544" i="19"/>
  <c r="S532" i="19"/>
  <c r="S520" i="19"/>
  <c r="S509" i="19"/>
  <c r="S497" i="19"/>
  <c r="S451" i="19"/>
  <c r="S383" i="19"/>
  <c r="W1187" i="19"/>
  <c r="W1183" i="19"/>
  <c r="W1179" i="19"/>
  <c r="W1175" i="19"/>
  <c r="W1171" i="19"/>
  <c r="W1167" i="19"/>
  <c r="W1184" i="19"/>
  <c r="W1178" i="19"/>
  <c r="W1173" i="19"/>
  <c r="W1168" i="19"/>
  <c r="W1163" i="19"/>
  <c r="W1159" i="19"/>
  <c r="W1155" i="19"/>
  <c r="W1151" i="19"/>
  <c r="W1147" i="19"/>
  <c r="W1143" i="19"/>
  <c r="W1139" i="19"/>
  <c r="W1135" i="19"/>
  <c r="W1131" i="19"/>
  <c r="W1126" i="19"/>
  <c r="W1119" i="19"/>
  <c r="W1111" i="19"/>
  <c r="W1104" i="19"/>
  <c r="W1096" i="19"/>
  <c r="W1090" i="19"/>
  <c r="W1082" i="19"/>
  <c r="W1075" i="19"/>
  <c r="W1069" i="19"/>
  <c r="W1064" i="19"/>
  <c r="W1059" i="19"/>
  <c r="W1054" i="19"/>
  <c r="W1048" i="19"/>
  <c r="W1043" i="19"/>
  <c r="W1039" i="19"/>
  <c r="W1035" i="19"/>
  <c r="W1031" i="19"/>
  <c r="W1026" i="19"/>
  <c r="W1021" i="19"/>
  <c r="W1015" i="19"/>
  <c r="W1010" i="19"/>
  <c r="W1005" i="19"/>
  <c r="W1001" i="19"/>
  <c r="W997" i="19"/>
  <c r="W993" i="19"/>
  <c r="W989" i="19"/>
  <c r="W984" i="19"/>
  <c r="W980" i="19"/>
  <c r="W976" i="19"/>
  <c r="W970" i="19"/>
  <c r="W965" i="19"/>
  <c r="W961" i="19"/>
  <c r="W955" i="19"/>
  <c r="W950" i="19"/>
  <c r="W944" i="19"/>
  <c r="W939" i="19"/>
  <c r="W934" i="19"/>
  <c r="W930" i="19"/>
  <c r="W924" i="19"/>
  <c r="W917" i="19"/>
  <c r="W910" i="19"/>
  <c r="W903" i="19"/>
  <c r="W898" i="19"/>
  <c r="W894" i="19"/>
  <c r="W889" i="19"/>
  <c r="W885" i="19"/>
  <c r="W880" i="19"/>
  <c r="W875" i="19"/>
  <c r="W871" i="19"/>
  <c r="W867" i="19"/>
  <c r="W862" i="19"/>
  <c r="W858" i="19"/>
  <c r="W854" i="19"/>
  <c r="W848" i="19"/>
  <c r="W842" i="19"/>
  <c r="W836" i="19"/>
  <c r="W829" i="19"/>
  <c r="W822" i="19"/>
  <c r="W813" i="19"/>
  <c r="W807" i="19"/>
  <c r="W802" i="19"/>
  <c r="W796" i="19"/>
  <c r="W789" i="19"/>
  <c r="W784" i="19"/>
  <c r="W779" i="19"/>
  <c r="W775" i="19"/>
  <c r="W771" i="19"/>
  <c r="W766" i="19"/>
  <c r="W762" i="19"/>
  <c r="W758" i="19"/>
  <c r="W754" i="19"/>
  <c r="W750" i="19"/>
  <c r="W745" i="19"/>
  <c r="W741" i="19"/>
  <c r="W736" i="19"/>
  <c r="W732" i="19"/>
  <c r="W728" i="19"/>
  <c r="W722" i="19"/>
  <c r="W716" i="19"/>
  <c r="W711" i="19"/>
  <c r="W707" i="19"/>
  <c r="W702" i="19"/>
  <c r="W697" i="19"/>
  <c r="W693" i="19"/>
  <c r="W688" i="19"/>
  <c r="W683" i="19"/>
  <c r="W677" i="19"/>
  <c r="W672" i="19"/>
  <c r="W667" i="19"/>
  <c r="W662" i="19"/>
  <c r="W658" i="19"/>
  <c r="W652" i="19"/>
  <c r="W648" i="19"/>
  <c r="W643" i="19"/>
  <c r="W638" i="19"/>
  <c r="W634" i="19"/>
  <c r="W629" i="19"/>
  <c r="W624" i="19"/>
  <c r="W619" i="19"/>
  <c r="W614" i="19"/>
  <c r="W610" i="19"/>
  <c r="W605" i="19"/>
  <c r="W600" i="19"/>
  <c r="W595" i="19"/>
  <c r="W589" i="19"/>
  <c r="W583" i="19"/>
  <c r="W578" i="19"/>
  <c r="W572" i="19"/>
  <c r="W566" i="19"/>
  <c r="W561" i="19"/>
  <c r="W556" i="19"/>
  <c r="W551" i="19"/>
  <c r="W547" i="19"/>
  <c r="W542" i="19"/>
  <c r="W538" i="19"/>
  <c r="W533" i="19"/>
  <c r="W529" i="19"/>
  <c r="W524" i="19"/>
  <c r="W520" i="19"/>
  <c r="W515" i="19"/>
  <c r="W511" i="19"/>
  <c r="W507" i="19"/>
  <c r="W502" i="19"/>
  <c r="W498" i="19"/>
  <c r="W493" i="19"/>
  <c r="W488" i="19"/>
  <c r="W482" i="19"/>
  <c r="W477" i="19"/>
  <c r="W472" i="19"/>
  <c r="W467" i="19"/>
  <c r="W461" i="19"/>
  <c r="W456" i="19"/>
  <c r="W450" i="19"/>
  <c r="W444" i="19"/>
  <c r="W439" i="19"/>
  <c r="W434" i="19"/>
  <c r="W430" i="19"/>
  <c r="W1186" i="19"/>
  <c r="W1181" i="19"/>
  <c r="W1176" i="19"/>
  <c r="W1170" i="19"/>
  <c r="W1165" i="19"/>
  <c r="W1161" i="19"/>
  <c r="W1157" i="19"/>
  <c r="W1153" i="19"/>
  <c r="W1149" i="19"/>
  <c r="W1145" i="19"/>
  <c r="W1141" i="19"/>
  <c r="W1137" i="19"/>
  <c r="W1133" i="19"/>
  <c r="W1129" i="19"/>
  <c r="W1123" i="19"/>
  <c r="W1115" i="19"/>
  <c r="W1107" i="19"/>
  <c r="W1100" i="19"/>
  <c r="W1093" i="19"/>
  <c r="W1086" i="19"/>
  <c r="W1079" i="19"/>
  <c r="W1071" i="19"/>
  <c r="W1066" i="19"/>
  <c r="W1061" i="19"/>
  <c r="W1057" i="19"/>
  <c r="W1052" i="19"/>
  <c r="W1046" i="19"/>
  <c r="W1041" i="19"/>
  <c r="W1037" i="19"/>
  <c r="W1033" i="19"/>
  <c r="W1029" i="19"/>
  <c r="W1023" i="19"/>
  <c r="W1018" i="19"/>
  <c r="W1013" i="19"/>
  <c r="W1008" i="19"/>
  <c r="W1003" i="19"/>
  <c r="W999" i="19"/>
  <c r="W995" i="19"/>
  <c r="W991" i="19"/>
  <c r="W986" i="19"/>
  <c r="W982" i="19"/>
  <c r="W978" i="19"/>
  <c r="W973" i="19"/>
  <c r="W967" i="19"/>
  <c r="W963" i="19"/>
  <c r="W958" i="19"/>
  <c r="W952" i="19"/>
  <c r="W947" i="19"/>
  <c r="W941" i="19"/>
  <c r="W936" i="19"/>
  <c r="W932" i="19"/>
  <c r="W927" i="19"/>
  <c r="W920" i="19"/>
  <c r="W914" i="19"/>
  <c r="W905" i="19"/>
  <c r="W901" i="19"/>
  <c r="W896" i="19"/>
  <c r="W891" i="19"/>
  <c r="W887" i="19"/>
  <c r="W882" i="19"/>
  <c r="W878" i="19"/>
  <c r="W873" i="19"/>
  <c r="W869" i="19"/>
  <c r="W865" i="19"/>
  <c r="W860" i="19"/>
  <c r="W856" i="19"/>
  <c r="W851" i="19"/>
  <c r="W845" i="19"/>
  <c r="W839" i="19"/>
  <c r="W833" i="19"/>
  <c r="W826" i="19"/>
  <c r="W817" i="19"/>
  <c r="W809" i="19"/>
  <c r="W804" i="19"/>
  <c r="W799" i="19"/>
  <c r="W793" i="19"/>
  <c r="W787" i="19"/>
  <c r="W781" i="19"/>
  <c r="W777" i="19"/>
  <c r="W773" i="19"/>
  <c r="W769" i="19"/>
  <c r="W764" i="19"/>
  <c r="W760" i="19"/>
  <c r="W756" i="19"/>
  <c r="W752" i="19"/>
  <c r="W747" i="19"/>
  <c r="W743" i="19"/>
  <c r="W739" i="19"/>
  <c r="W734" i="19"/>
  <c r="W730" i="19"/>
  <c r="W725" i="19"/>
  <c r="W719" i="19"/>
  <c r="W714" i="19"/>
  <c r="W709" i="19"/>
  <c r="W704" i="19"/>
  <c r="W699" i="19"/>
  <c r="W695" i="19"/>
  <c r="W691" i="19"/>
  <c r="W685" i="19"/>
  <c r="W680" i="19"/>
  <c r="W674" i="19"/>
  <c r="W670" i="19"/>
  <c r="W665" i="19"/>
  <c r="W660" i="19"/>
  <c r="W655" i="19"/>
  <c r="W650" i="19"/>
  <c r="W645" i="19"/>
  <c r="W641" i="19"/>
  <c r="W636" i="19"/>
  <c r="W632" i="19"/>
  <c r="W626" i="19"/>
  <c r="W621" i="19"/>
  <c r="W617" i="19"/>
  <c r="W612" i="19"/>
  <c r="W607" i="19"/>
  <c r="W603" i="19"/>
  <c r="W597" i="19"/>
  <c r="W591" i="19"/>
  <c r="W586" i="19"/>
  <c r="W581" i="19"/>
  <c r="W575" i="19"/>
  <c r="W569" i="19"/>
  <c r="W564" i="19"/>
  <c r="W559" i="19"/>
  <c r="W554" i="19"/>
  <c r="W549" i="19"/>
  <c r="W544" i="19"/>
  <c r="W540" i="19"/>
  <c r="W535" i="19"/>
  <c r="W531" i="19"/>
  <c r="W526" i="19"/>
  <c r="W522" i="19"/>
  <c r="W518" i="19"/>
  <c r="W513" i="19"/>
  <c r="W509" i="19"/>
  <c r="W504" i="19"/>
  <c r="W500" i="19"/>
  <c r="W496" i="19"/>
  <c r="W490" i="19"/>
  <c r="W485" i="19"/>
  <c r="W480" i="19"/>
  <c r="W474" i="19"/>
  <c r="W469" i="19"/>
  <c r="W464" i="19"/>
  <c r="W458" i="19"/>
  <c r="W453" i="19"/>
  <c r="W448" i="19"/>
  <c r="W442" i="19"/>
  <c r="W437" i="19"/>
  <c r="W432" i="19"/>
  <c r="W427" i="19"/>
  <c r="W422" i="19"/>
  <c r="W418" i="19"/>
  <c r="W413" i="19"/>
  <c r="W408" i="19"/>
  <c r="W403" i="19"/>
  <c r="W399" i="19"/>
  <c r="W393" i="19"/>
  <c r="W385" i="19"/>
  <c r="W380" i="19"/>
  <c r="W375" i="19"/>
  <c r="W371" i="19"/>
  <c r="W367" i="19"/>
  <c r="W362" i="19"/>
  <c r="W358" i="19"/>
  <c r="W354" i="19"/>
  <c r="W350" i="19"/>
  <c r="W346" i="19"/>
  <c r="W342" i="19"/>
  <c r="W338" i="19"/>
  <c r="W1180" i="19"/>
  <c r="W1169" i="19"/>
  <c r="W1160" i="19"/>
  <c r="W1152" i="19"/>
  <c r="W1144" i="19"/>
  <c r="W1136" i="19"/>
  <c r="W1128" i="19"/>
  <c r="W1113" i="19"/>
  <c r="W1098" i="19"/>
  <c r="W1084" i="19"/>
  <c r="W1070" i="19"/>
  <c r="W1060" i="19"/>
  <c r="W1050" i="19"/>
  <c r="W1040" i="19"/>
  <c r="W1032" i="19"/>
  <c r="W1022" i="19"/>
  <c r="W1012" i="19"/>
  <c r="W1002" i="19"/>
  <c r="W994" i="19"/>
  <c r="W985" i="19"/>
  <c r="W977" i="19"/>
  <c r="W966" i="19"/>
  <c r="W956" i="19"/>
  <c r="W945" i="19"/>
  <c r="W935" i="19"/>
  <c r="W925" i="19"/>
  <c r="W912" i="19"/>
  <c r="W900" i="19"/>
  <c r="W890" i="19"/>
  <c r="W881" i="19"/>
  <c r="W872" i="19"/>
  <c r="W863" i="19"/>
  <c r="W855" i="19"/>
  <c r="W844" i="19"/>
  <c r="W831" i="19"/>
  <c r="W815" i="19"/>
  <c r="W803" i="19"/>
  <c r="W791" i="19"/>
  <c r="W780" i="19"/>
  <c r="W772" i="19"/>
  <c r="W763" i="19"/>
  <c r="W755" i="19"/>
  <c r="W746" i="19"/>
  <c r="W737" i="19"/>
  <c r="W729" i="19"/>
  <c r="W717" i="19"/>
  <c r="W708" i="19"/>
  <c r="W698" i="19"/>
  <c r="W690" i="19"/>
  <c r="W679" i="19"/>
  <c r="W668" i="19"/>
  <c r="W659" i="19"/>
  <c r="W649" i="19"/>
  <c r="W640" i="19"/>
  <c r="W630" i="19"/>
  <c r="W620" i="19"/>
  <c r="W611" i="19"/>
  <c r="W601" i="19"/>
  <c r="W590" i="19"/>
  <c r="W579" i="19"/>
  <c r="W567" i="19"/>
  <c r="W557" i="19"/>
  <c r="W548" i="19"/>
  <c r="W539" i="19"/>
  <c r="W530" i="19"/>
  <c r="W521" i="19"/>
  <c r="W512" i="19"/>
  <c r="W503" i="19"/>
  <c r="W494" i="19"/>
  <c r="W484" i="19"/>
  <c r="W473" i="19"/>
  <c r="W463" i="19"/>
  <c r="W451" i="19"/>
  <c r="W441" i="19"/>
  <c r="W431" i="19"/>
  <c r="W423" i="19"/>
  <c r="W417" i="19"/>
  <c r="W410" i="19"/>
  <c r="W404" i="19"/>
  <c r="W398" i="19"/>
  <c r="W389" i="19"/>
  <c r="W382" i="19"/>
  <c r="W374" i="19"/>
  <c r="W369" i="19"/>
  <c r="W364" i="19"/>
  <c r="W357" i="19"/>
  <c r="W352" i="19"/>
  <c r="W347" i="19"/>
  <c r="W341" i="19"/>
  <c r="W335" i="19"/>
  <c r="W331" i="19"/>
  <c r="W326" i="19"/>
  <c r="W322" i="19"/>
  <c r="W318" i="19"/>
  <c r="W313" i="19"/>
  <c r="W309" i="19"/>
  <c r="W305" i="19"/>
  <c r="W301" i="19"/>
  <c r="W296" i="19"/>
  <c r="W292" i="19"/>
  <c r="W288" i="19"/>
  <c r="W279" i="19"/>
  <c r="W275" i="19"/>
  <c r="W271" i="19"/>
  <c r="W267" i="19"/>
  <c r="W262" i="19"/>
  <c r="W258" i="19"/>
  <c r="W253" i="19"/>
  <c r="W248" i="19"/>
  <c r="W244" i="19"/>
  <c r="W236" i="19"/>
  <c r="W231" i="19"/>
  <c r="W225" i="19"/>
  <c r="W220" i="19"/>
  <c r="W216" i="19"/>
  <c r="W211" i="19"/>
  <c r="W206" i="19"/>
  <c r="W201" i="19"/>
  <c r="W196" i="19"/>
  <c r="W191" i="19"/>
  <c r="W187" i="19"/>
  <c r="W183" i="19"/>
  <c r="W178" i="19"/>
  <c r="W174" i="19"/>
  <c r="W170" i="19"/>
  <c r="W164" i="19"/>
  <c r="W160" i="19"/>
  <c r="W155" i="19"/>
  <c r="W151" i="19"/>
  <c r="W146" i="19"/>
  <c r="W142" i="19"/>
  <c r="W138" i="19"/>
  <c r="W133" i="19"/>
  <c r="W129" i="19"/>
  <c r="W124" i="19"/>
  <c r="W120" i="19"/>
  <c r="W115" i="19"/>
  <c r="W111" i="19"/>
  <c r="W107" i="19"/>
  <c r="W103" i="19"/>
  <c r="W99" i="19"/>
  <c r="W94" i="19"/>
  <c r="W90" i="19"/>
  <c r="W85" i="19"/>
  <c r="W81" i="19"/>
  <c r="W76" i="19"/>
  <c r="W71" i="19"/>
  <c r="W66" i="19"/>
  <c r="W62" i="19"/>
  <c r="W58" i="19"/>
  <c r="W53" i="19"/>
  <c r="W49" i="19"/>
  <c r="W45" i="19"/>
  <c r="W41" i="19"/>
  <c r="W37" i="19"/>
  <c r="W33" i="19"/>
  <c r="W29" i="19"/>
  <c r="W25" i="19"/>
  <c r="W1188" i="19"/>
  <c r="W1177" i="19"/>
  <c r="W1166" i="19"/>
  <c r="W1158" i="19"/>
  <c r="W1150" i="19"/>
  <c r="W1142" i="19"/>
  <c r="W1134" i="19"/>
  <c r="W1124" i="19"/>
  <c r="W1109" i="19"/>
  <c r="W1095" i="19"/>
  <c r="W1080" i="19"/>
  <c r="W1068" i="19"/>
  <c r="W1058" i="19"/>
  <c r="W1047" i="19"/>
  <c r="W1038" i="19"/>
  <c r="W1030" i="19"/>
  <c r="W1020" i="19"/>
  <c r="W1009" i="19"/>
  <c r="W1000" i="19"/>
  <c r="W992" i="19"/>
  <c r="W983" i="19"/>
  <c r="W975" i="19"/>
  <c r="W964" i="19"/>
  <c r="W954" i="19"/>
  <c r="W943" i="19"/>
  <c r="W933" i="19"/>
  <c r="W922" i="19"/>
  <c r="W908" i="19"/>
  <c r="W897" i="19"/>
  <c r="W888" i="19"/>
  <c r="W879" i="19"/>
  <c r="W870" i="19"/>
  <c r="W861" i="19"/>
  <c r="W853" i="19"/>
  <c r="W841" i="19"/>
  <c r="W828" i="19"/>
  <c r="W811" i="19"/>
  <c r="W801" i="19"/>
  <c r="W788" i="19"/>
  <c r="W778" i="19"/>
  <c r="W770" i="19"/>
  <c r="W761" i="19"/>
  <c r="W753" i="19"/>
  <c r="W744" i="19"/>
  <c r="W735" i="19"/>
  <c r="W727" i="19"/>
  <c r="W715" i="19"/>
  <c r="W705" i="19"/>
  <c r="W696" i="19"/>
  <c r="W686" i="19"/>
  <c r="W675" i="19"/>
  <c r="W666" i="19"/>
  <c r="W657" i="19"/>
  <c r="W647" i="19"/>
  <c r="W637" i="19"/>
  <c r="W628" i="19"/>
  <c r="W618" i="19"/>
  <c r="W609" i="19"/>
  <c r="W598" i="19"/>
  <c r="W587" i="19"/>
  <c r="W577" i="19"/>
  <c r="W565" i="19"/>
  <c r="W555" i="19"/>
  <c r="W546" i="19"/>
  <c r="W537" i="19"/>
  <c r="W528" i="19"/>
  <c r="W519" i="19"/>
  <c r="W510" i="19"/>
  <c r="W501" i="19"/>
  <c r="W492" i="19"/>
  <c r="W481" i="19"/>
  <c r="W470" i="19"/>
  <c r="W460" i="19"/>
  <c r="W449" i="19"/>
  <c r="W438" i="19"/>
  <c r="W428" i="19"/>
  <c r="W421" i="19"/>
  <c r="W416" i="19"/>
  <c r="W409" i="19"/>
  <c r="W402" i="19"/>
  <c r="W396" i="19"/>
  <c r="W387" i="19"/>
  <c r="W379" i="19"/>
  <c r="W373" i="19"/>
  <c r="W368" i="19"/>
  <c r="W361" i="19"/>
  <c r="W356" i="19"/>
  <c r="W351" i="19"/>
  <c r="W345" i="19"/>
  <c r="W340" i="19"/>
  <c r="W334" i="19"/>
  <c r="W329" i="19"/>
  <c r="W325" i="19"/>
  <c r="W321" i="19"/>
  <c r="W317" i="19"/>
  <c r="W312" i="19"/>
  <c r="W308" i="19"/>
  <c r="W304" i="19"/>
  <c r="W300" i="19"/>
  <c r="W295" i="19"/>
  <c r="W291" i="19"/>
  <c r="W287" i="19"/>
  <c r="W278" i="19"/>
  <c r="W274" i="19"/>
  <c r="W270" i="19"/>
  <c r="W266" i="19"/>
  <c r="W261" i="19"/>
  <c r="W257" i="19"/>
  <c r="W252" i="19"/>
  <c r="W247" i="19"/>
  <c r="W242" i="19"/>
  <c r="W235" i="19"/>
  <c r="W230" i="19"/>
  <c r="W224" i="19"/>
  <c r="W219" i="19"/>
  <c r="W214" i="19"/>
  <c r="W210" i="19"/>
  <c r="W205" i="19"/>
  <c r="W200" i="19"/>
  <c r="W195" i="19"/>
  <c r="W190" i="19"/>
  <c r="W186" i="19"/>
  <c r="W182" i="19"/>
  <c r="W177" i="19"/>
  <c r="W173" i="19"/>
  <c r="W169" i="19"/>
  <c r="W163" i="19"/>
  <c r="W159" i="19"/>
  <c r="W154" i="19"/>
  <c r="W150" i="19"/>
  <c r="W145" i="19"/>
  <c r="W141" i="19"/>
  <c r="W136" i="19"/>
  <c r="W132" i="19"/>
  <c r="W127" i="19"/>
  <c r="W123" i="19"/>
  <c r="W119" i="19"/>
  <c r="W114" i="19"/>
  <c r="W110" i="19"/>
  <c r="W106" i="19"/>
  <c r="W102" i="19"/>
  <c r="W98" i="19"/>
  <c r="W93" i="19"/>
  <c r="W89" i="19"/>
  <c r="W84" i="19"/>
  <c r="W80" i="19"/>
  <c r="W75" i="19"/>
  <c r="W70" i="19"/>
  <c r="W65" i="19"/>
  <c r="W61" i="19"/>
  <c r="W57" i="19"/>
  <c r="W52" i="19"/>
  <c r="W48" i="19"/>
  <c r="W44" i="19"/>
  <c r="W40" i="19"/>
  <c r="W36" i="19"/>
  <c r="W1185" i="19"/>
  <c r="W1174" i="19"/>
  <c r="W1164" i="19"/>
  <c r="W1156" i="19"/>
  <c r="W1148" i="19"/>
  <c r="W1140" i="19"/>
  <c r="W1132" i="19"/>
  <c r="W1121" i="19"/>
  <c r="W1105" i="19"/>
  <c r="W1091" i="19"/>
  <c r="W1077" i="19"/>
  <c r="W1065" i="19"/>
  <c r="W1055" i="19"/>
  <c r="W1045" i="19"/>
  <c r="W1036" i="19"/>
  <c r="W1028" i="19"/>
  <c r="W1016" i="19"/>
  <c r="W1006" i="19"/>
  <c r="W998" i="19"/>
  <c r="W990" i="19"/>
  <c r="W981" i="19"/>
  <c r="W971" i="19"/>
  <c r="W962" i="19"/>
  <c r="W951" i="19"/>
  <c r="W940" i="19"/>
  <c r="W931" i="19"/>
  <c r="W919" i="19"/>
  <c r="W904" i="19"/>
  <c r="W895" i="19"/>
  <c r="W886" i="19"/>
  <c r="W877" i="19"/>
  <c r="W868" i="19"/>
  <c r="W859" i="19"/>
  <c r="W850" i="19"/>
  <c r="W838" i="19"/>
  <c r="W824" i="19"/>
  <c r="W808" i="19"/>
  <c r="W797" i="19"/>
  <c r="W785" i="19"/>
  <c r="W776" i="19"/>
  <c r="W767" i="19"/>
  <c r="W759" i="19"/>
  <c r="W751" i="19"/>
  <c r="W742" i="19"/>
  <c r="W733" i="19"/>
  <c r="W724" i="19"/>
  <c r="W712" i="19"/>
  <c r="W703" i="19"/>
  <c r="W694" i="19"/>
  <c r="W684" i="19"/>
  <c r="W673" i="19"/>
  <c r="W664" i="19"/>
  <c r="W653" i="19"/>
  <c r="W644" i="19"/>
  <c r="W635" i="19"/>
  <c r="W625" i="19"/>
  <c r="W615" i="19"/>
  <c r="W606" i="19"/>
  <c r="W596" i="19"/>
  <c r="W585" i="19"/>
  <c r="W573" i="19"/>
  <c r="W563" i="19"/>
  <c r="W552" i="19"/>
  <c r="W543" i="19"/>
  <c r="W534" i="19"/>
  <c r="W525" i="19"/>
  <c r="W516" i="19"/>
  <c r="W508" i="19"/>
  <c r="W499" i="19"/>
  <c r="W489" i="19"/>
  <c r="W478" i="19"/>
  <c r="W468" i="19"/>
  <c r="W457" i="19"/>
  <c r="W446" i="19"/>
  <c r="W435" i="19"/>
  <c r="W426" i="19"/>
  <c r="W420" i="19"/>
  <c r="W415" i="19"/>
  <c r="W407" i="19"/>
  <c r="W401" i="19"/>
  <c r="W395" i="19"/>
  <c r="W384" i="19"/>
  <c r="W377" i="19"/>
  <c r="W372" i="19"/>
  <c r="W366" i="19"/>
  <c r="W360" i="19"/>
  <c r="W355" i="19"/>
  <c r="W349" i="19"/>
  <c r="W344" i="19"/>
  <c r="W339" i="19"/>
  <c r="W333" i="19"/>
  <c r="W328" i="19"/>
  <c r="W324" i="19"/>
  <c r="W320" i="19"/>
  <c r="W315" i="19"/>
  <c r="W311" i="19"/>
  <c r="W307" i="19"/>
  <c r="W303" i="19"/>
  <c r="W298" i="19"/>
  <c r="W294" i="19"/>
  <c r="W290" i="19"/>
  <c r="W282" i="19"/>
  <c r="W277" i="19"/>
  <c r="W273" i="19"/>
  <c r="W269" i="19"/>
  <c r="W265" i="19"/>
  <c r="W260" i="19"/>
  <c r="W256" i="19"/>
  <c r="W251" i="19"/>
  <c r="W246" i="19"/>
  <c r="W240" i="19"/>
  <c r="W234" i="19"/>
  <c r="W229" i="19"/>
  <c r="W223" i="19"/>
  <c r="W218" i="19"/>
  <c r="W213" i="19"/>
  <c r="W209" i="19"/>
  <c r="W203" i="19"/>
  <c r="W198" i="19"/>
  <c r="W194" i="19"/>
  <c r="W189" i="19"/>
  <c r="W185" i="19"/>
  <c r="W181" i="19"/>
  <c r="W176" i="19"/>
  <c r="W172" i="19"/>
  <c r="W167" i="19"/>
  <c r="W162" i="19"/>
  <c r="W157" i="19"/>
  <c r="W153" i="19"/>
  <c r="W149" i="19"/>
  <c r="W144" i="19"/>
  <c r="W140" i="19"/>
  <c r="W135" i="19"/>
  <c r="W131" i="19"/>
  <c r="W126" i="19"/>
  <c r="W122" i="19"/>
  <c r="W117" i="19"/>
  <c r="W113" i="19"/>
  <c r="W109" i="19"/>
  <c r="W105" i="19"/>
  <c r="W101" i="19"/>
  <c r="W97" i="19"/>
  <c r="W92" i="19"/>
  <c r="W87" i="19"/>
  <c r="W83" i="19"/>
  <c r="W79" i="19"/>
  <c r="W73" i="19"/>
  <c r="W68" i="19"/>
  <c r="W64" i="19"/>
  <c r="W60" i="19"/>
  <c r="W55" i="19"/>
  <c r="W51" i="19"/>
  <c r="W47" i="19"/>
  <c r="W43" i="19"/>
  <c r="W39" i="19"/>
  <c r="W35" i="19"/>
  <c r="W31" i="19"/>
  <c r="W27" i="19"/>
  <c r="W23" i="19"/>
  <c r="W1182" i="19"/>
  <c r="W1172" i="19"/>
  <c r="W1162" i="19"/>
  <c r="W1154" i="19"/>
  <c r="W1146" i="19"/>
  <c r="W1138" i="19"/>
  <c r="W1130" i="19"/>
  <c r="W1117" i="19"/>
  <c r="W1102" i="19"/>
  <c r="W1088" i="19"/>
  <c r="W1072" i="19"/>
  <c r="W1063" i="19"/>
  <c r="W1053" i="19"/>
  <c r="W1042" i="19"/>
  <c r="W1034" i="19"/>
  <c r="W1024" i="19"/>
  <c r="W1014" i="19"/>
  <c r="W1004" i="19"/>
  <c r="W996" i="19"/>
  <c r="W987" i="19"/>
  <c r="W979" i="19"/>
  <c r="W968" i="19"/>
  <c r="W959" i="19"/>
  <c r="W948" i="19"/>
  <c r="W938" i="19"/>
  <c r="W929" i="19"/>
  <c r="W916" i="19"/>
  <c r="W902" i="19"/>
  <c r="W893" i="19"/>
  <c r="W883" i="19"/>
  <c r="W874" i="19"/>
  <c r="W866" i="19"/>
  <c r="W857" i="19"/>
  <c r="W847" i="19"/>
  <c r="W834" i="19"/>
  <c r="W820" i="19"/>
  <c r="W806" i="19"/>
  <c r="W794" i="19"/>
  <c r="W782" i="19"/>
  <c r="W774" i="19"/>
  <c r="W765" i="19"/>
  <c r="W757" i="19"/>
  <c r="W748" i="19"/>
  <c r="W740" i="19"/>
  <c r="W731" i="19"/>
  <c r="W720" i="19"/>
  <c r="W710" i="19"/>
  <c r="W700" i="19"/>
  <c r="W692" i="19"/>
  <c r="W681" i="19"/>
  <c r="W671" i="19"/>
  <c r="W661" i="19"/>
  <c r="W651" i="19"/>
  <c r="W642" i="19"/>
  <c r="W633" i="19"/>
  <c r="W622" i="19"/>
  <c r="W613" i="19"/>
  <c r="W604" i="19"/>
  <c r="W593" i="19"/>
  <c r="W582" i="19"/>
  <c r="W571" i="19"/>
  <c r="W560" i="19"/>
  <c r="W550" i="19"/>
  <c r="W541" i="19"/>
  <c r="W532" i="19"/>
  <c r="W523" i="19"/>
  <c r="W514" i="19"/>
  <c r="W505" i="19"/>
  <c r="W497" i="19"/>
  <c r="W487" i="19"/>
  <c r="W475" i="19"/>
  <c r="W465" i="19"/>
  <c r="W454" i="19"/>
  <c r="W443" i="19"/>
  <c r="W433" i="19"/>
  <c r="W424" i="19"/>
  <c r="W419" i="19"/>
  <c r="W412" i="19"/>
  <c r="W405" i="19"/>
  <c r="W400" i="19"/>
  <c r="W391" i="19"/>
  <c r="W383" i="19"/>
  <c r="W376" i="19"/>
  <c r="W370" i="19"/>
  <c r="W365" i="19"/>
  <c r="W359" i="19"/>
  <c r="W353" i="19"/>
  <c r="W348" i="19"/>
  <c r="W343" i="19"/>
  <c r="W337" i="19"/>
  <c r="W332" i="19"/>
  <c r="W327" i="19"/>
  <c r="W323" i="19"/>
  <c r="W319" i="19"/>
  <c r="W314" i="19"/>
  <c r="W310" i="19"/>
  <c r="W306" i="19"/>
  <c r="W302" i="19"/>
  <c r="W297" i="19"/>
  <c r="W293" i="19"/>
  <c r="W289" i="19"/>
  <c r="W280" i="19"/>
  <c r="W276" i="19"/>
  <c r="W272" i="19"/>
  <c r="W268" i="19"/>
  <c r="W263" i="19"/>
  <c r="W259" i="19"/>
  <c r="W254" i="19"/>
  <c r="W249" i="19"/>
  <c r="W245" i="19"/>
  <c r="W238" i="19"/>
  <c r="W233" i="19"/>
  <c r="W227" i="19"/>
  <c r="W221" i="19"/>
  <c r="W217" i="19"/>
  <c r="W212" i="19"/>
  <c r="W208" i="19"/>
  <c r="W202" i="19"/>
  <c r="W197" i="19"/>
  <c r="W192" i="19"/>
  <c r="W188" i="19"/>
  <c r="W184" i="19"/>
  <c r="W179" i="19"/>
  <c r="W175" i="19"/>
  <c r="W171" i="19"/>
  <c r="W166" i="19"/>
  <c r="W161" i="19"/>
  <c r="W156" i="19"/>
  <c r="W152" i="19"/>
  <c r="W148" i="19"/>
  <c r="W143" i="19"/>
  <c r="W139" i="19"/>
  <c r="W134" i="19"/>
  <c r="W130" i="19"/>
  <c r="W125" i="19"/>
  <c r="W121" i="19"/>
  <c r="W116" i="19"/>
  <c r="W112" i="19"/>
  <c r="W108" i="19"/>
  <c r="W104" i="19"/>
  <c r="W100" i="19"/>
  <c r="W95" i="19"/>
  <c r="W91" i="19"/>
  <c r="W86" i="19"/>
  <c r="W82" i="19"/>
  <c r="W77" i="19"/>
  <c r="W72" i="19"/>
  <c r="W67" i="19"/>
  <c r="W63" i="19"/>
  <c r="W59" i="19"/>
  <c r="W54" i="19"/>
  <c r="W50" i="19"/>
  <c r="W46" i="19"/>
  <c r="W42" i="19"/>
  <c r="W38" i="19"/>
  <c r="W34" i="19"/>
  <c r="W30" i="19"/>
  <c r="W26" i="19"/>
  <c r="W32" i="19"/>
  <c r="W28" i="19"/>
  <c r="W24" i="19"/>
  <c r="B1089" i="36"/>
  <c r="C1089" i="36" s="1"/>
  <c r="A1092" i="19" s="1"/>
  <c r="B1064" i="36"/>
  <c r="C1064" i="36" s="1"/>
  <c r="A1067" i="19" s="1"/>
  <c r="B1048" i="36"/>
  <c r="C1048" i="36" s="1"/>
  <c r="A1051" i="19" s="1"/>
  <c r="B765" i="36"/>
  <c r="C765" i="36" s="1"/>
  <c r="A768" i="19" s="1"/>
  <c r="B943" i="36"/>
  <c r="C943" i="36" s="1"/>
  <c r="A946" i="19" s="1"/>
  <c r="B882" i="36"/>
  <c r="C882" i="36" s="1"/>
  <c r="A884" i="19" s="1"/>
  <c r="B780" i="36"/>
  <c r="C780" i="36" s="1"/>
  <c r="A783" i="19" s="1"/>
  <c r="B1041" i="36"/>
  <c r="C1041" i="36" s="1"/>
  <c r="A1044" i="19" s="1"/>
  <c r="B926" i="36"/>
  <c r="C926" i="36" s="1"/>
  <c r="A928" i="19" s="1"/>
  <c r="B862" i="36"/>
  <c r="C862" i="36" s="1"/>
  <c r="A864" i="19" s="1"/>
  <c r="B797" i="36"/>
  <c r="C797" i="36" s="1"/>
  <c r="A800" i="19" s="1"/>
  <c r="B1059" i="36"/>
  <c r="C1059" i="36" s="1"/>
  <c r="A1062" i="19" s="1"/>
  <c r="B1046" i="36"/>
  <c r="C1046" i="36" s="1"/>
  <c r="A1049" i="19" s="1"/>
  <c r="B746" i="36"/>
  <c r="C746" i="36" s="1"/>
  <c r="A749" i="19" s="1"/>
  <c r="B802" i="36"/>
  <c r="C802" i="36" s="1"/>
  <c r="A805" i="19" s="1"/>
  <c r="B935" i="36"/>
  <c r="C935" i="36" s="1"/>
  <c r="A937" i="19" s="1"/>
  <c r="B890" i="36"/>
  <c r="C890" i="36" s="1"/>
  <c r="A892" i="19" s="1"/>
  <c r="B1070" i="36"/>
  <c r="C1070" i="36" s="1"/>
  <c r="A1073" i="19" s="1"/>
  <c r="B1024" i="36"/>
  <c r="C1024" i="36" s="1"/>
  <c r="A1027" i="19" s="1"/>
  <c r="B809" i="36"/>
  <c r="C809" i="36" s="1"/>
  <c r="A812" i="19" s="1"/>
  <c r="B904" i="36"/>
  <c r="C904" i="36" s="1"/>
  <c r="A906" i="19" s="1"/>
  <c r="B1022" i="36"/>
  <c r="C1022" i="36" s="1"/>
  <c r="A1025" i="19" s="1"/>
  <c r="B1094" i="36"/>
  <c r="C1094" i="36" s="1"/>
  <c r="A1097" i="19" s="1"/>
  <c r="B966" i="36"/>
  <c r="C966" i="36" s="1"/>
  <c r="A969" i="19" s="1"/>
  <c r="B1080" i="36"/>
  <c r="C1080" i="36" s="1"/>
  <c r="A1083" i="19" s="1"/>
  <c r="B807" i="36"/>
  <c r="C807" i="36" s="1"/>
  <c r="A810" i="19" s="1"/>
  <c r="B789" i="36"/>
  <c r="C789" i="36" s="1"/>
  <c r="A792" i="19" s="1"/>
  <c r="B985" i="36"/>
  <c r="C985" i="36" s="1"/>
  <c r="A988" i="19" s="1"/>
  <c r="B874" i="36"/>
  <c r="C874" i="36" s="1"/>
  <c r="A876" i="19" s="1"/>
  <c r="B1004" i="36"/>
  <c r="B1053" i="36"/>
  <c r="C1053" i="36" s="1"/>
  <c r="A1056" i="19" s="1"/>
  <c r="B897" i="36"/>
  <c r="C897" i="36" s="1"/>
  <c r="A899" i="19" s="1"/>
  <c r="B1016" i="36"/>
  <c r="C1016" i="36" s="1"/>
  <c r="A1019" i="19" s="1"/>
  <c r="B1124" i="36"/>
  <c r="C1124" i="36" s="1"/>
  <c r="A1127" i="19" s="1"/>
  <c r="B1081" i="36"/>
  <c r="B1095" i="36"/>
  <c r="B1103" i="36"/>
  <c r="C1103" i="36" s="1"/>
  <c r="A1106" i="19" s="1"/>
  <c r="B1111" i="36"/>
  <c r="C1111" i="36" s="1"/>
  <c r="A1114" i="19" s="1"/>
  <c r="B1119" i="36"/>
  <c r="C1119" i="36" s="1"/>
  <c r="A1122" i="19" s="1"/>
  <c r="B1087" i="36"/>
  <c r="C1087" i="36" s="1"/>
  <c r="A1090" i="19" s="1"/>
  <c r="B1101" i="36"/>
  <c r="C1101" i="36" s="1"/>
  <c r="A1104" i="19" s="1"/>
  <c r="B1109" i="36"/>
  <c r="C1109" i="36" s="1"/>
  <c r="A1112" i="19" s="1"/>
  <c r="B1117" i="36"/>
  <c r="C1117" i="36" s="1"/>
  <c r="A1120" i="19" s="1"/>
  <c r="B1085" i="36"/>
  <c r="B1099" i="36"/>
  <c r="B1107" i="36"/>
  <c r="C1107" i="36" s="1"/>
  <c r="A1110" i="19" s="1"/>
  <c r="B1115" i="36"/>
  <c r="C1115" i="36" s="1"/>
  <c r="A1118" i="19" s="1"/>
  <c r="B1073" i="36"/>
  <c r="C1073" i="36" s="1"/>
  <c r="A1076" i="19" s="1"/>
  <c r="B1083" i="36"/>
  <c r="B1097" i="36"/>
  <c r="B1105" i="36"/>
  <c r="C1105" i="36" s="1"/>
  <c r="A1108" i="19" s="1"/>
  <c r="B1113" i="36"/>
  <c r="C1113" i="36" s="1"/>
  <c r="A1116" i="19" s="1"/>
  <c r="B1122" i="36"/>
  <c r="C1122" i="36" s="1"/>
  <c r="A1125" i="19" s="1"/>
  <c r="B1076" i="36"/>
  <c r="C1076" i="36" s="1"/>
  <c r="A1079" i="19" s="1"/>
  <c r="B1092" i="36"/>
  <c r="C1092" i="36" s="1"/>
  <c r="A1095" i="19" s="1"/>
  <c r="B1074" i="36"/>
  <c r="B1078" i="36"/>
  <c r="C1078" i="36" s="1"/>
  <c r="A1081" i="19" s="1"/>
  <c r="B1090" i="36"/>
  <c r="B1049" i="36"/>
  <c r="C1049" i="36" s="1"/>
  <c r="A1052" i="19" s="1"/>
  <c r="B1025" i="36"/>
  <c r="C1025" i="36" s="1"/>
  <c r="A1028" i="19" s="1"/>
  <c r="B922" i="36"/>
  <c r="B914" i="36"/>
  <c r="B838" i="36"/>
  <c r="C838" i="36" s="1"/>
  <c r="A840" i="19" s="1"/>
  <c r="B698" i="36"/>
  <c r="C698" i="36" s="1"/>
  <c r="A701" i="19" s="1"/>
  <c r="B620" i="36"/>
  <c r="C620" i="36" s="1"/>
  <c r="A623" i="19" s="1"/>
  <c r="B444" i="36"/>
  <c r="B313" i="36"/>
  <c r="C313" i="36" s="1"/>
  <c r="A316" i="19" s="1"/>
  <c r="B281" i="36"/>
  <c r="C281" i="36" s="1"/>
  <c r="A281" i="19" s="1"/>
  <c r="B215" i="36"/>
  <c r="C215" i="36" s="1"/>
  <c r="A215" i="19" s="1"/>
  <c r="B207" i="36"/>
  <c r="C207" i="36" s="1"/>
  <c r="A207" i="19" s="1"/>
  <c r="B193" i="36"/>
  <c r="B1051" i="36"/>
  <c r="C1051" i="36" s="1"/>
  <c r="A1054" i="19" s="1"/>
  <c r="B1027" i="36"/>
  <c r="C1027" i="36" s="1"/>
  <c r="A1030" i="19" s="1"/>
  <c r="B969" i="36"/>
  <c r="B900" i="36"/>
  <c r="C900" i="36" s="1"/>
  <c r="A902" i="19" s="1"/>
  <c r="B826" i="36"/>
  <c r="C826" i="36" s="1"/>
  <c r="A828" i="19" s="1"/>
  <c r="B816" i="36"/>
  <c r="C816" i="36" s="1"/>
  <c r="A818" i="19" s="1"/>
  <c r="B786" i="36"/>
  <c r="B624" i="36"/>
  <c r="C624" i="36" s="1"/>
  <c r="A627" i="19" s="1"/>
  <c r="B596" i="36"/>
  <c r="C596" i="36" s="1"/>
  <c r="A599" i="19" s="1"/>
  <c r="B542" i="36"/>
  <c r="C542" i="36" s="1"/>
  <c r="A545" i="19" s="1"/>
  <c r="B514" i="36"/>
  <c r="C514" i="36" s="1"/>
  <c r="A517" i="19" s="1"/>
  <c r="B488" i="36"/>
  <c r="C488" i="36" s="1"/>
  <c r="A491" i="19" s="1"/>
  <c r="B476" i="36"/>
  <c r="C476" i="36" s="1"/>
  <c r="A479" i="19" s="1"/>
  <c r="B426" i="36"/>
  <c r="C426" i="36" s="1"/>
  <c r="A429" i="19" s="1"/>
  <c r="B422" i="36"/>
  <c r="C422" i="36" s="1"/>
  <c r="A425" i="19" s="1"/>
  <c r="B360" i="36"/>
  <c r="C360" i="36" s="1"/>
  <c r="A363" i="19" s="1"/>
  <c r="B327" i="36"/>
  <c r="B283" i="36"/>
  <c r="C283" i="36" s="1"/>
  <c r="A286" i="19" s="1"/>
  <c r="B199" i="36"/>
  <c r="C199" i="36" s="1"/>
  <c r="A199" i="19" s="1"/>
  <c r="B165" i="36"/>
  <c r="C165" i="36" s="1"/>
  <c r="A165" i="19" s="1"/>
  <c r="B69" i="36"/>
  <c r="C69" i="36" s="1"/>
  <c r="A69" i="19" s="1"/>
  <c r="B1067" i="36"/>
  <c r="C1067" i="36" s="1"/>
  <c r="A1070" i="19" s="1"/>
  <c r="B1017" i="36"/>
  <c r="C1017" i="36" s="1"/>
  <c r="A1020" i="19" s="1"/>
  <c r="B938" i="36"/>
  <c r="C938" i="36" s="1"/>
  <c r="A940" i="19" s="1"/>
  <c r="B910" i="36"/>
  <c r="B850" i="36"/>
  <c r="C850" i="36" s="1"/>
  <c r="A852" i="19" s="1"/>
  <c r="B828" i="36"/>
  <c r="B810" i="36"/>
  <c r="B798" i="36"/>
  <c r="C798" i="36" s="1"/>
  <c r="A801" i="19" s="1"/>
  <c r="B790" i="36"/>
  <c r="C790" i="36" s="1"/>
  <c r="A793" i="19" s="1"/>
  <c r="B766" i="36"/>
  <c r="C766" i="36" s="1"/>
  <c r="A769" i="19" s="1"/>
  <c r="B718" i="36"/>
  <c r="C718" i="36" s="1"/>
  <c r="A721" i="19" s="1"/>
  <c r="B684" i="36"/>
  <c r="C684" i="36" s="1"/>
  <c r="A687" i="19" s="1"/>
  <c r="B660" i="36"/>
  <c r="C660" i="36" s="1"/>
  <c r="A663" i="19" s="1"/>
  <c r="B628" i="36"/>
  <c r="B550" i="36"/>
  <c r="C550" i="36" s="1"/>
  <c r="A553" i="19" s="1"/>
  <c r="B524" i="36"/>
  <c r="C524" i="36" s="1"/>
  <c r="A527" i="19" s="1"/>
  <c r="B492" i="36"/>
  <c r="C492" i="36" s="1"/>
  <c r="A495" i="19" s="1"/>
  <c r="B480" i="36"/>
  <c r="C480" i="36" s="1"/>
  <c r="A483" i="19" s="1"/>
  <c r="B468" i="36"/>
  <c r="B452" i="36"/>
  <c r="C452" i="36" s="1"/>
  <c r="A455" i="19" s="1"/>
  <c r="B408" i="36"/>
  <c r="C408" i="36" s="1"/>
  <c r="A411" i="19" s="1"/>
  <c r="B378" i="36"/>
  <c r="C378" i="36" s="1"/>
  <c r="A381" i="19" s="1"/>
  <c r="B243" i="36"/>
  <c r="C243" i="36" s="1"/>
  <c r="A243" i="19" s="1"/>
  <c r="B241" i="36"/>
  <c r="C241" i="36" s="1"/>
  <c r="A241" i="19" s="1"/>
  <c r="B239" i="36"/>
  <c r="C239" i="36" s="1"/>
  <c r="A239" i="19" s="1"/>
  <c r="B237" i="36"/>
  <c r="C237" i="36" s="1"/>
  <c r="A237" i="19" s="1"/>
  <c r="B1019" i="36"/>
  <c r="C1019" i="36" s="1"/>
  <c r="A1022" i="19" s="1"/>
  <c r="B912" i="36"/>
  <c r="B844" i="36"/>
  <c r="C844" i="36" s="1"/>
  <c r="A846" i="19" s="1"/>
  <c r="B836" i="36"/>
  <c r="C836" i="36" s="1"/>
  <c r="A838" i="19" s="1"/>
  <c r="B822" i="36"/>
  <c r="B812" i="36"/>
  <c r="B800" i="36"/>
  <c r="C800" i="36" s="1"/>
  <c r="A803" i="19" s="1"/>
  <c r="B792" i="36"/>
  <c r="C792" i="36" s="1"/>
  <c r="A795" i="19" s="1"/>
  <c r="B720" i="36"/>
  <c r="C720" i="36" s="1"/>
  <c r="A723" i="19" s="1"/>
  <c r="B710" i="36"/>
  <c r="C710" i="36" s="1"/>
  <c r="A713" i="19" s="1"/>
  <c r="B686" i="36"/>
  <c r="C686" i="36" s="1"/>
  <c r="A689" i="19" s="1"/>
  <c r="B666" i="36"/>
  <c r="C666" i="36" s="1"/>
  <c r="A669" i="19" s="1"/>
  <c r="B636" i="36"/>
  <c r="C636" i="36" s="1"/>
  <c r="A639" i="19" s="1"/>
  <c r="B456" i="36"/>
  <c r="C456" i="36" s="1"/>
  <c r="A459" i="19" s="1"/>
  <c r="B442" i="36"/>
  <c r="C442" i="36" s="1"/>
  <c r="A445" i="19" s="1"/>
  <c r="B394" i="36"/>
  <c r="C394" i="36" s="1"/>
  <c r="A397" i="19" s="1"/>
  <c r="B21" i="36"/>
  <c r="B96" i="36"/>
  <c r="C96" i="36" s="1"/>
  <c r="A96" i="19" s="1"/>
  <c r="B411" i="36"/>
  <c r="C411" i="36" s="1"/>
  <c r="A414" i="19" s="1"/>
  <c r="B533" i="36"/>
  <c r="C533" i="36" s="1"/>
  <c r="A536" i="19" s="1"/>
  <c r="B577" i="36"/>
  <c r="C577" i="36" s="1"/>
  <c r="A580" i="19" s="1"/>
  <c r="B831" i="36"/>
  <c r="C831" i="36" s="1"/>
  <c r="A833" i="19" s="1"/>
  <c r="B960" i="36"/>
  <c r="C960" i="36" s="1"/>
  <c r="A963" i="19" s="1"/>
  <c r="B74" i="36"/>
  <c r="C74" i="36" s="1"/>
  <c r="A74" i="19" s="1"/>
  <c r="B204" i="36"/>
  <c r="C204" i="36" s="1"/>
  <c r="A204" i="19" s="1"/>
  <c r="B391" i="36"/>
  <c r="C391" i="36" s="1"/>
  <c r="A394" i="19" s="1"/>
  <c r="B651" i="36"/>
  <c r="C651" i="36" s="1"/>
  <c r="A654" i="19" s="1"/>
  <c r="B919" i="36"/>
  <c r="B1044" i="36"/>
  <c r="C1044" i="36" s="1"/>
  <c r="A1047" i="19" s="1"/>
  <c r="B375" i="36"/>
  <c r="C375" i="36" s="1"/>
  <c r="A378" i="19" s="1"/>
  <c r="B449" i="36"/>
  <c r="C449" i="36" s="1"/>
  <c r="A452" i="19" s="1"/>
  <c r="B833" i="36"/>
  <c r="B118" i="36"/>
  <c r="B403" i="36"/>
  <c r="C403" i="36" s="1"/>
  <c r="A406" i="19" s="1"/>
  <c r="B653" i="36"/>
  <c r="B723" i="36"/>
  <c r="C723" i="36" s="1"/>
  <c r="A726" i="19" s="1"/>
  <c r="B819" i="36"/>
  <c r="C819" i="36" s="1"/>
  <c r="A821" i="19" s="1"/>
  <c r="B1062" i="36"/>
  <c r="C1062" i="36" s="1"/>
  <c r="A1065" i="19" s="1"/>
  <c r="B264" i="36"/>
  <c r="C264" i="36" s="1"/>
  <c r="A264" i="19" s="1"/>
  <c r="B473" i="36"/>
  <c r="C473" i="36" s="1"/>
  <c r="A476" i="19" s="1"/>
  <c r="B555" i="36"/>
  <c r="C555" i="36" s="1"/>
  <c r="A558" i="19" s="1"/>
  <c r="B585" i="36"/>
  <c r="C585" i="36" s="1"/>
  <c r="A588" i="19" s="1"/>
  <c r="B853" i="36"/>
  <c r="C853" i="36" s="1"/>
  <c r="A855" i="19" s="1"/>
  <c r="B88" i="36"/>
  <c r="C88" i="36" s="1"/>
  <c r="A88" i="19" s="1"/>
  <c r="B228" i="36"/>
  <c r="C228" i="36" s="1"/>
  <c r="A228" i="19" s="1"/>
  <c r="B437" i="36"/>
  <c r="C437" i="36" s="1"/>
  <c r="A440" i="19" s="1"/>
  <c r="B675" i="36"/>
  <c r="C675" i="36" s="1"/>
  <c r="A678" i="19" s="1"/>
  <c r="B927" i="36"/>
  <c r="C927" i="36" s="1"/>
  <c r="A929" i="19" s="1"/>
  <c r="B1056" i="36"/>
  <c r="C1056" i="36" s="1"/>
  <c r="A1059" i="19" s="1"/>
  <c r="B385" i="36"/>
  <c r="C385" i="36" s="1"/>
  <c r="A388" i="19" s="1"/>
  <c r="B463" i="36"/>
  <c r="C463" i="36" s="1"/>
  <c r="A466" i="19" s="1"/>
  <c r="B581" i="36"/>
  <c r="C581" i="36" s="1"/>
  <c r="A584" i="19" s="1"/>
  <c r="B158" i="36"/>
  <c r="C158" i="36" s="1"/>
  <c r="A158" i="19" s="1"/>
  <c r="B459" i="36"/>
  <c r="C459" i="36" s="1"/>
  <c r="A462" i="19" s="1"/>
  <c r="B673" i="36"/>
  <c r="C673" i="36" s="1"/>
  <c r="A676" i="19" s="1"/>
  <c r="B747" i="36"/>
  <c r="B847" i="36"/>
  <c r="C847" i="36" s="1"/>
  <c r="A849" i="19" s="1"/>
  <c r="B383" i="36"/>
  <c r="C383" i="36" s="1"/>
  <c r="A386" i="19" s="1"/>
  <c r="B483" i="36"/>
  <c r="C483" i="36" s="1"/>
  <c r="A486" i="19" s="1"/>
  <c r="B565" i="36"/>
  <c r="C565" i="36" s="1"/>
  <c r="A568" i="19" s="1"/>
  <c r="B591" i="36"/>
  <c r="C591" i="36" s="1"/>
  <c r="A594" i="19" s="1"/>
  <c r="B877" i="36"/>
  <c r="C877" i="36" s="1"/>
  <c r="A879" i="19" s="1"/>
  <c r="B599" i="36"/>
  <c r="C599" i="36" s="1"/>
  <c r="A602" i="19" s="1"/>
  <c r="B735" i="36"/>
  <c r="C735" i="36" s="1"/>
  <c r="A738" i="19" s="1"/>
  <c r="B972" i="36"/>
  <c r="C972" i="36" s="1"/>
  <c r="A975" i="19" s="1"/>
  <c r="B168" i="36"/>
  <c r="C168" i="36" s="1"/>
  <c r="A168" i="19" s="1"/>
  <c r="B389" i="36"/>
  <c r="C389" i="36" s="1"/>
  <c r="A392" i="19" s="1"/>
  <c r="B559" i="36"/>
  <c r="C559" i="36" s="1"/>
  <c r="A562" i="19" s="1"/>
  <c r="B589" i="36"/>
  <c r="C589" i="36" s="1"/>
  <c r="A592" i="19" s="1"/>
  <c r="B865" i="36"/>
  <c r="C865" i="36" s="1"/>
  <c r="A867" i="19" s="1"/>
  <c r="B56" i="36"/>
  <c r="C56" i="36" s="1"/>
  <c r="A56" i="19" s="1"/>
  <c r="B222" i="36"/>
  <c r="C222" i="36" s="1"/>
  <c r="A222" i="19" s="1"/>
  <c r="B605" i="36"/>
  <c r="B679" i="36"/>
  <c r="C679" i="36" s="1"/>
  <c r="A682" i="19" s="1"/>
  <c r="B795" i="36"/>
  <c r="C795" i="36" s="1"/>
  <c r="A798" i="19" s="1"/>
  <c r="B929" i="36"/>
  <c r="C929" i="36" s="1"/>
  <c r="A931" i="19" s="1"/>
  <c r="B387" i="36"/>
  <c r="C387" i="36" s="1"/>
  <c r="A390" i="19" s="1"/>
  <c r="B503" i="36"/>
  <c r="C503" i="36" s="1"/>
  <c r="A506" i="19" s="1"/>
  <c r="B571" i="36"/>
  <c r="B783" i="36"/>
  <c r="C783" i="36" s="1"/>
  <c r="A786" i="19" s="1"/>
  <c r="B893" i="36"/>
  <c r="C893" i="36" s="1"/>
  <c r="A895" i="19" s="1"/>
  <c r="B180" i="36"/>
  <c r="C180" i="36" s="1"/>
  <c r="A180" i="19" s="1"/>
  <c r="B296" i="36"/>
  <c r="C296" i="36" s="1"/>
  <c r="A299" i="19" s="1"/>
  <c r="B613" i="36"/>
  <c r="C613" i="36" s="1"/>
  <c r="A616" i="19" s="1"/>
  <c r="B907" i="36"/>
  <c r="C907" i="36" s="1"/>
  <c r="A909" i="19" s="1"/>
  <c r="B988" i="36"/>
  <c r="B226" i="36"/>
  <c r="C226" i="36" s="1"/>
  <c r="A226" i="19" s="1"/>
  <c r="B433" i="36"/>
  <c r="C433" i="36" s="1"/>
  <c r="A436" i="19" s="1"/>
  <c r="B567" i="36"/>
  <c r="C567" i="36" s="1"/>
  <c r="A570" i="19" s="1"/>
  <c r="B703" i="36"/>
  <c r="C703" i="36" s="1"/>
  <c r="A706" i="19" s="1"/>
  <c r="B885" i="36"/>
  <c r="C885" i="36" s="1"/>
  <c r="A887" i="19" s="1"/>
  <c r="B78" i="36"/>
  <c r="C78" i="36" s="1"/>
  <c r="A78" i="19" s="1"/>
  <c r="B232" i="36"/>
  <c r="C232" i="36" s="1"/>
  <c r="A232" i="19" s="1"/>
  <c r="B643" i="36"/>
  <c r="C643" i="36" s="1"/>
  <c r="A646" i="19" s="1"/>
  <c r="B715" i="36"/>
  <c r="C715" i="36" s="1"/>
  <c r="A718" i="19" s="1"/>
  <c r="B805" i="36"/>
  <c r="C805" i="36" s="1"/>
  <c r="A808" i="19" s="1"/>
  <c r="B974" i="36"/>
  <c r="C974" i="36" s="1"/>
  <c r="A977" i="19" s="1"/>
  <c r="U18" i="19"/>
  <c r="V17" i="19"/>
  <c r="U17" i="19"/>
  <c r="J17" i="17"/>
  <c r="K16" i="17"/>
  <c r="L16" i="17" s="1"/>
  <c r="L18" i="19"/>
  <c r="L17" i="19"/>
  <c r="AC4" i="19"/>
  <c r="W1189" i="19"/>
  <c r="W16" i="19"/>
  <c r="B143" i="43"/>
  <c r="B139" i="43"/>
  <c r="B131" i="43"/>
  <c r="B127" i="43"/>
  <c r="B110" i="43"/>
  <c r="B106" i="43"/>
  <c r="B93" i="43"/>
  <c r="B89" i="43"/>
  <c r="B85" i="43"/>
  <c r="B81" i="43"/>
  <c r="B77" i="43"/>
  <c r="B69" i="43"/>
  <c r="B61" i="43"/>
  <c r="B57" i="43"/>
  <c r="B53" i="43"/>
  <c r="B49" i="43"/>
  <c r="B45" i="43"/>
  <c r="B41" i="43"/>
  <c r="B32" i="43"/>
  <c r="B28" i="43"/>
  <c r="B7" i="43"/>
  <c r="B3" i="43"/>
  <c r="B22" i="43"/>
  <c r="B18" i="43"/>
  <c r="B14" i="43"/>
  <c r="B141" i="43"/>
  <c r="B137" i="43"/>
  <c r="B133" i="43"/>
  <c r="B129" i="43"/>
  <c r="B121" i="43"/>
  <c r="B108" i="43"/>
  <c r="B103" i="43"/>
  <c r="B91" i="43"/>
  <c r="B87" i="43"/>
  <c r="B83" i="43"/>
  <c r="B75" i="43"/>
  <c r="B71" i="43"/>
  <c r="B67" i="43"/>
  <c r="B63" i="43"/>
  <c r="B59" i="43"/>
  <c r="B55" i="43"/>
  <c r="B51" i="43"/>
  <c r="B47" i="43"/>
  <c r="B43" i="43"/>
  <c r="B39" i="43"/>
  <c r="B34" i="43"/>
  <c r="B30" i="43"/>
  <c r="B9" i="43"/>
  <c r="B5" i="43"/>
  <c r="B1" i="43"/>
  <c r="B20" i="43"/>
  <c r="B16" i="43"/>
  <c r="B12" i="43"/>
  <c r="B140" i="43"/>
  <c r="B136" i="43"/>
  <c r="B128" i="43"/>
  <c r="B124" i="43"/>
  <c r="B120" i="43"/>
  <c r="B116" i="43"/>
  <c r="B111" i="43"/>
  <c r="B102" i="43"/>
  <c r="B98" i="43"/>
  <c r="B94" i="43"/>
  <c r="B90" i="43"/>
  <c r="B86" i="43"/>
  <c r="B82" i="43"/>
  <c r="B78" i="43"/>
  <c r="B74" i="43"/>
  <c r="B70" i="43"/>
  <c r="B142" i="43"/>
  <c r="B138" i="43"/>
  <c r="B134" i="43"/>
  <c r="B130" i="43"/>
  <c r="B126" i="43"/>
  <c r="B122" i="43"/>
  <c r="B118" i="43"/>
  <c r="B113" i="43"/>
  <c r="B104" i="43"/>
  <c r="B100" i="43"/>
  <c r="B96" i="43"/>
  <c r="B92" i="43"/>
  <c r="B88" i="43"/>
  <c r="B84" i="43"/>
  <c r="B80" i="43"/>
  <c r="B76" i="43"/>
  <c r="B72" i="43"/>
  <c r="B68" i="43"/>
  <c r="B64" i="43"/>
  <c r="B60" i="43"/>
  <c r="B56" i="43"/>
  <c r="B52" i="43"/>
  <c r="B48" i="43"/>
  <c r="B35" i="43"/>
  <c r="B31" i="43"/>
  <c r="B6" i="43"/>
  <c r="B2" i="43"/>
  <c r="B21" i="43"/>
  <c r="B17" i="43"/>
  <c r="B13" i="43"/>
  <c r="B132" i="43"/>
  <c r="B54" i="43"/>
  <c r="B37" i="43"/>
  <c r="B4" i="43"/>
  <c r="B11" i="43"/>
  <c r="B42" i="43"/>
  <c r="B8" i="43"/>
  <c r="B66" i="43"/>
  <c r="B50" i="43"/>
  <c r="B33" i="43"/>
  <c r="B23" i="43"/>
  <c r="B15" i="43"/>
  <c r="B62" i="43"/>
  <c r="B46" i="43"/>
  <c r="B29" i="43"/>
  <c r="B19" i="43"/>
  <c r="B58" i="43"/>
  <c r="B25" i="43"/>
  <c r="B26" i="43"/>
  <c r="B24" i="43"/>
  <c r="B114" i="43"/>
  <c r="A17" i="19"/>
  <c r="D1191" i="19"/>
  <c r="D1194" i="19"/>
  <c r="D1193" i="19"/>
  <c r="AE17" i="19"/>
  <c r="S18" i="19"/>
  <c r="S17" i="19"/>
  <c r="J17" i="19"/>
  <c r="V4" i="19"/>
  <c r="BC29" i="42" s="1"/>
  <c r="E1" i="19"/>
  <c r="AB1195" i="19"/>
  <c r="AG18" i="19"/>
  <c r="J27" i="56" l="1"/>
  <c r="K26" i="56"/>
  <c r="L26" i="56" s="1"/>
  <c r="C628" i="36"/>
  <c r="A631" i="19" s="1"/>
  <c r="B629" i="36"/>
  <c r="C988" i="36"/>
  <c r="A991" i="19" s="1"/>
  <c r="B989" i="36"/>
  <c r="C747" i="36"/>
  <c r="A750" i="19" s="1"/>
  <c r="B748" i="36"/>
  <c r="C118" i="36"/>
  <c r="A118" i="19" s="1"/>
  <c r="B119" i="36"/>
  <c r="B120" i="36" s="1"/>
  <c r="B121" i="36" s="1"/>
  <c r="B122" i="36" s="1"/>
  <c r="B123" i="36" s="1"/>
  <c r="B124" i="36" s="1"/>
  <c r="B125" i="36" s="1"/>
  <c r="B126" i="36" s="1"/>
  <c r="B127" i="36" s="1"/>
  <c r="B128" i="36" s="1"/>
  <c r="C922" i="36"/>
  <c r="A924" i="19" s="1"/>
  <c r="B923" i="36"/>
  <c r="B924" i="36" s="1"/>
  <c r="C924" i="36" s="1"/>
  <c r="A926" i="19" s="1"/>
  <c r="C571" i="36"/>
  <c r="A574" i="19" s="1"/>
  <c r="B572" i="36"/>
  <c r="B573" i="36" s="1"/>
  <c r="C573" i="36" s="1"/>
  <c r="A576" i="19" s="1"/>
  <c r="C969" i="36"/>
  <c r="A972" i="19" s="1"/>
  <c r="B970" i="36"/>
  <c r="B971" i="36" s="1"/>
  <c r="C971" i="36" s="1"/>
  <c r="A974" i="19" s="1"/>
  <c r="C914" i="36"/>
  <c r="A916" i="19" s="1"/>
  <c r="B915" i="36"/>
  <c r="B916" i="36" s="1"/>
  <c r="C916" i="36" s="1"/>
  <c r="A918" i="19" s="1"/>
  <c r="C605" i="36"/>
  <c r="A608" i="19" s="1"/>
  <c r="B606" i="36"/>
  <c r="C833" i="36"/>
  <c r="A835" i="19" s="1"/>
  <c r="B834" i="36"/>
  <c r="B835" i="36" s="1"/>
  <c r="C835" i="36" s="1"/>
  <c r="A837" i="19" s="1"/>
  <c r="C193" i="36"/>
  <c r="A193" i="19" s="1"/>
  <c r="B194" i="36"/>
  <c r="C828" i="36"/>
  <c r="A830" i="19" s="1"/>
  <c r="B829" i="36"/>
  <c r="B830" i="36" s="1"/>
  <c r="C830" i="36" s="1"/>
  <c r="A832" i="19" s="1"/>
  <c r="C653" i="36"/>
  <c r="A656" i="19" s="1"/>
  <c r="B654" i="36"/>
  <c r="C919" i="36"/>
  <c r="A921" i="19" s="1"/>
  <c r="B920" i="36"/>
  <c r="B921" i="36" s="1"/>
  <c r="C921" i="36" s="1"/>
  <c r="A923" i="19" s="1"/>
  <c r="C468" i="36"/>
  <c r="A471" i="19" s="1"/>
  <c r="B469" i="36"/>
  <c r="C327" i="36"/>
  <c r="A330" i="19" s="1"/>
  <c r="B328" i="36"/>
  <c r="B329" i="36" s="1"/>
  <c r="B330" i="36" s="1"/>
  <c r="B331" i="36" s="1"/>
  <c r="B332" i="36" s="1"/>
  <c r="B333" i="36" s="1"/>
  <c r="C333" i="36" s="1"/>
  <c r="A336" i="19" s="1"/>
  <c r="C444" i="36"/>
  <c r="A447" i="19" s="1"/>
  <c r="B445" i="36"/>
  <c r="C1004" i="36"/>
  <c r="A1007" i="19" s="1"/>
  <c r="B1005" i="36"/>
  <c r="B1006" i="36" s="1"/>
  <c r="B1007" i="36" s="1"/>
  <c r="B1008" i="36" s="1"/>
  <c r="C946" i="36"/>
  <c r="A949" i="19" s="1"/>
  <c r="B947" i="36"/>
  <c r="B948" i="36" s="1"/>
  <c r="B949" i="36" s="1"/>
  <c r="B950" i="36" s="1"/>
  <c r="B817" i="36"/>
  <c r="C817" i="36" s="1"/>
  <c r="A819" i="19" s="1"/>
  <c r="B905" i="36"/>
  <c r="C905" i="36" s="1"/>
  <c r="A907" i="19" s="1"/>
  <c r="B1071" i="36"/>
  <c r="C1071" i="36" s="1"/>
  <c r="A1074" i="19" s="1"/>
  <c r="C786" i="36"/>
  <c r="A789" i="19" s="1"/>
  <c r="B787" i="36"/>
  <c r="C787" i="36" s="1"/>
  <c r="A790" i="19" s="1"/>
  <c r="C1095" i="36"/>
  <c r="A1098" i="19" s="1"/>
  <c r="B1096" i="36"/>
  <c r="C1096" i="36" s="1"/>
  <c r="A1099" i="19" s="1"/>
  <c r="C1090" i="36"/>
  <c r="A1093" i="19" s="1"/>
  <c r="B1091" i="36"/>
  <c r="C1091" i="36" s="1"/>
  <c r="A1094" i="19" s="1"/>
  <c r="C1097" i="36"/>
  <c r="A1100" i="19" s="1"/>
  <c r="B1098" i="36"/>
  <c r="C1098" i="36" s="1"/>
  <c r="A1101" i="19" s="1"/>
  <c r="C1081" i="36"/>
  <c r="A1084" i="19" s="1"/>
  <c r="B1082" i="36"/>
  <c r="C1082" i="36" s="1"/>
  <c r="A1085" i="19" s="1"/>
  <c r="C812" i="36"/>
  <c r="A815" i="19" s="1"/>
  <c r="B813" i="36"/>
  <c r="C912" i="36"/>
  <c r="A914" i="19" s="1"/>
  <c r="B913" i="36"/>
  <c r="C913" i="36" s="1"/>
  <c r="A915" i="19" s="1"/>
  <c r="C910" i="36"/>
  <c r="A912" i="19" s="1"/>
  <c r="B911" i="36"/>
  <c r="C911" i="36" s="1"/>
  <c r="A913" i="19" s="1"/>
  <c r="C953" i="36"/>
  <c r="A956" i="19" s="1"/>
  <c r="C824" i="36"/>
  <c r="A826" i="19" s="1"/>
  <c r="C949" i="36"/>
  <c r="A952" i="19" s="1"/>
  <c r="C1083" i="36"/>
  <c r="A1086" i="19" s="1"/>
  <c r="B1084" i="36"/>
  <c r="C1084" i="36" s="1"/>
  <c r="A1087" i="19" s="1"/>
  <c r="C1099" i="36"/>
  <c r="A1102" i="19" s="1"/>
  <c r="B1100" i="36"/>
  <c r="C1100" i="36" s="1"/>
  <c r="A1103" i="19" s="1"/>
  <c r="C822" i="36"/>
  <c r="A824" i="19" s="1"/>
  <c r="B823" i="36"/>
  <c r="C810" i="36"/>
  <c r="A813" i="19" s="1"/>
  <c r="B811" i="36"/>
  <c r="C811" i="36" s="1"/>
  <c r="A814" i="19" s="1"/>
  <c r="C1007" i="36"/>
  <c r="A1010" i="19" s="1"/>
  <c r="C1074" i="36"/>
  <c r="A1077" i="19" s="1"/>
  <c r="B1075" i="36"/>
  <c r="C1075" i="36" s="1"/>
  <c r="A1078" i="19" s="1"/>
  <c r="C1085" i="36"/>
  <c r="A1088" i="19" s="1"/>
  <c r="B1086" i="36"/>
  <c r="C1086" i="36" s="1"/>
  <c r="A1089" i="19" s="1"/>
  <c r="B908" i="36"/>
  <c r="B820" i="36"/>
  <c r="K17" i="17"/>
  <c r="L17" i="17" s="1"/>
  <c r="J18" i="17"/>
  <c r="J28" i="56" l="1"/>
  <c r="K27" i="56"/>
  <c r="L27" i="56" s="1"/>
  <c r="C1008" i="36"/>
  <c r="A1011" i="19" s="1"/>
  <c r="B1009" i="36"/>
  <c r="B1010" i="36" s="1"/>
  <c r="B1011" i="36" s="1"/>
  <c r="C950" i="36"/>
  <c r="A953" i="19" s="1"/>
  <c r="B951" i="36"/>
  <c r="B952" i="36" s="1"/>
  <c r="B953" i="36" s="1"/>
  <c r="B954" i="36" s="1"/>
  <c r="C128" i="36"/>
  <c r="A128" i="19" s="1"/>
  <c r="B129" i="36"/>
  <c r="B130" i="36" s="1"/>
  <c r="B131" i="36" s="1"/>
  <c r="B132" i="36" s="1"/>
  <c r="B133" i="36" s="1"/>
  <c r="B134" i="36" s="1"/>
  <c r="B135" i="36" s="1"/>
  <c r="B136" i="36" s="1"/>
  <c r="B137" i="36" s="1"/>
  <c r="C823" i="36"/>
  <c r="A825" i="19" s="1"/>
  <c r="B824" i="36"/>
  <c r="B825" i="36" s="1"/>
  <c r="C825" i="36" s="1"/>
  <c r="A827" i="19" s="1"/>
  <c r="C820" i="36"/>
  <c r="A822" i="19" s="1"/>
  <c r="B821" i="36"/>
  <c r="C821" i="36" s="1"/>
  <c r="A823" i="19" s="1"/>
  <c r="C813" i="36"/>
  <c r="B814" i="36"/>
  <c r="C814" i="36" s="1"/>
  <c r="A816" i="19" s="1"/>
  <c r="C908" i="36"/>
  <c r="A910" i="19" s="1"/>
  <c r="B909" i="36"/>
  <c r="C909" i="36" s="1"/>
  <c r="A911" i="19" s="1"/>
  <c r="K18" i="17"/>
  <c r="L18" i="17" s="1"/>
  <c r="J19" i="17"/>
  <c r="BU14" i="42"/>
  <c r="BV14" i="42"/>
  <c r="BJ43" i="42"/>
  <c r="BJ44" i="42"/>
  <c r="K28" i="56" l="1"/>
  <c r="L28" i="56" s="1"/>
  <c r="J29" i="56"/>
  <c r="C954" i="36"/>
  <c r="A957" i="19" s="1"/>
  <c r="B955" i="36"/>
  <c r="B956" i="36" s="1"/>
  <c r="B957" i="36" s="1"/>
  <c r="C957" i="36" s="1"/>
  <c r="A960" i="19" s="1"/>
  <c r="C1011" i="36"/>
  <c r="A1014" i="19" s="1"/>
  <c r="B1012" i="36"/>
  <c r="B1013" i="36" s="1"/>
  <c r="B1014" i="36" s="1"/>
  <c r="C1014" i="36" s="1"/>
  <c r="A1017" i="19" s="1"/>
  <c r="C137" i="36"/>
  <c r="A137" i="19" s="1"/>
  <c r="B138" i="36"/>
  <c r="B139" i="36" s="1"/>
  <c r="B140" i="36" s="1"/>
  <c r="B141" i="36" s="1"/>
  <c r="B142" i="36" s="1"/>
  <c r="B143" i="36" s="1"/>
  <c r="B144" i="36" s="1"/>
  <c r="B145" i="36" s="1"/>
  <c r="B146" i="36" s="1"/>
  <c r="B147" i="36" s="1"/>
  <c r="K19" i="17"/>
  <c r="L19" i="17" s="1"/>
  <c r="J20" i="17"/>
  <c r="M1348" i="33"/>
  <c r="M1305" i="33"/>
  <c r="M1304" i="33"/>
  <c r="M1293" i="33"/>
  <c r="M1254" i="33"/>
  <c r="M1252" i="33"/>
  <c r="L1348"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K29" i="56" l="1"/>
  <c r="L29" i="56" s="1"/>
  <c r="J30" i="56"/>
  <c r="C147" i="36"/>
  <c r="A147" i="19" s="1"/>
  <c r="B148" i="36"/>
  <c r="B149" i="36" s="1"/>
  <c r="B150" i="36" s="1"/>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AG11" i="42"/>
  <c r="BW6" i="42" s="1"/>
  <c r="CG5" i="42" s="1"/>
  <c r="BX7" i="42"/>
  <c r="CH6" i="42" s="1"/>
  <c r="R19" i="19"/>
  <c r="AG12" i="42"/>
  <c r="BW7" i="42" s="1"/>
  <c r="CG6" i="42" s="1"/>
  <c r="BV3" i="42"/>
  <c r="CB5" i="42" s="1"/>
  <c r="BV4" i="42"/>
  <c r="CB6" i="42" s="1"/>
  <c r="BV5" i="42"/>
  <c r="CB7" i="42" s="1"/>
  <c r="BV6" i="42"/>
  <c r="CD5" i="42" s="1"/>
  <c r="BV7" i="42"/>
  <c r="CD6" i="42" s="1"/>
  <c r="BV8" i="42"/>
  <c r="CD7" i="42" s="1"/>
  <c r="BX3" i="42"/>
  <c r="BX6" i="42"/>
  <c r="CH5" i="42" s="1"/>
  <c r="AG2" i="42"/>
  <c r="BU3" i="42" s="1"/>
  <c r="CA5" i="42" s="1"/>
  <c r="AG3" i="42"/>
  <c r="BU4" i="42" s="1"/>
  <c r="CA6" i="42" s="1"/>
  <c r="AG4" i="42"/>
  <c r="BU5" i="42" s="1"/>
  <c r="CA7" i="42" s="1"/>
  <c r="AG5" i="42"/>
  <c r="BU6" i="42" s="1"/>
  <c r="CC5" i="42" s="1"/>
  <c r="AG6" i="42"/>
  <c r="BU7" i="42" s="1"/>
  <c r="CC6" i="42" s="1"/>
  <c r="AG7" i="42"/>
  <c r="BU8" i="42" s="1"/>
  <c r="CC7" i="42" s="1"/>
  <c r="AG8" i="42"/>
  <c r="BW3" i="42" s="1"/>
  <c r="CE5" i="42" s="1"/>
  <c r="AG9" i="42"/>
  <c r="BW4" i="42" s="1"/>
  <c r="CE6" i="42" s="1"/>
  <c r="AG10" i="42"/>
  <c r="BW5" i="42" s="1"/>
  <c r="CE7" i="42" s="1"/>
  <c r="J31" i="56" l="1"/>
  <c r="K30" i="56"/>
  <c r="L30" i="56" s="1"/>
  <c r="K21" i="17"/>
  <c r="L21" i="17" s="1"/>
  <c r="J22" i="17"/>
  <c r="CF5" i="42"/>
  <c r="M139" i="38"/>
  <c r="L139" i="38"/>
  <c r="M129" i="38"/>
  <c r="L129" i="38"/>
  <c r="M127" i="38"/>
  <c r="L127" i="38"/>
  <c r="M123" i="38"/>
  <c r="L123" i="38"/>
  <c r="M121" i="38"/>
  <c r="L121" i="38"/>
  <c r="M119" i="38"/>
  <c r="L119" i="38"/>
  <c r="M116" i="38"/>
  <c r="L116" i="38"/>
  <c r="M113" i="38"/>
  <c r="L113" i="38"/>
  <c r="M111" i="38"/>
  <c r="L111" i="38"/>
  <c r="M109" i="38"/>
  <c r="L109" i="38"/>
  <c r="M105" i="38"/>
  <c r="L105" i="38"/>
  <c r="M103" i="38"/>
  <c r="L103" i="38"/>
  <c r="M101" i="38"/>
  <c r="L101" i="38"/>
  <c r="M99" i="38"/>
  <c r="L99" i="38"/>
  <c r="M83" i="38"/>
  <c r="L83" i="38"/>
  <c r="M77" i="38"/>
  <c r="L77" i="38"/>
  <c r="M48" i="38"/>
  <c r="L48" i="38"/>
  <c r="M44" i="38"/>
  <c r="L44" i="38"/>
  <c r="M31" i="38"/>
  <c r="L31" i="38"/>
  <c r="C73" i="32"/>
  <c r="D73" i="32"/>
  <c r="E73" i="32"/>
  <c r="F73" i="32"/>
  <c r="G73" i="32"/>
  <c r="H73" i="32"/>
  <c r="I73" i="32"/>
  <c r="J73" i="32"/>
  <c r="K73" i="32"/>
  <c r="L73" i="32"/>
  <c r="M73" i="32"/>
  <c r="B73" i="32"/>
  <c r="J32" i="56" l="1"/>
  <c r="K31" i="56"/>
  <c r="L31" i="56" s="1"/>
  <c r="J23" i="17"/>
  <c r="K22" i="17"/>
  <c r="L22" i="17" s="1"/>
  <c r="Z5" i="34"/>
  <c r="E8" i="19"/>
  <c r="K32" i="56" l="1"/>
  <c r="L32" i="56" s="1"/>
  <c r="J33" i="56"/>
  <c r="K23" i="17"/>
  <c r="L23" i="17" s="1"/>
  <c r="J24" i="17"/>
  <c r="G16" i="19"/>
  <c r="AS49" i="42"/>
  <c r="AL2" i="19"/>
  <c r="C16" i="19"/>
  <c r="W5" i="19"/>
  <c r="BE19" i="42" s="1"/>
  <c r="V5" i="19"/>
  <c r="D1206" i="19"/>
  <c r="J1" i="19"/>
  <c r="AG1" i="42" s="1"/>
  <c r="BU2" i="42" s="1"/>
  <c r="AE1193" i="19"/>
  <c r="D7" i="19"/>
  <c r="D16" i="19" s="1"/>
  <c r="D13" i="19"/>
  <c r="D10" i="19"/>
  <c r="D9" i="19"/>
  <c r="D11" i="19"/>
  <c r="AP3" i="42"/>
  <c r="D12" i="19"/>
  <c r="C19" i="19"/>
  <c r="F17" i="19"/>
  <c r="E19" i="19"/>
  <c r="V9" i="19"/>
  <c r="Q18" i="19"/>
  <c r="G17" i="19"/>
  <c r="F18" i="19"/>
  <c r="V10" i="19"/>
  <c r="R18" i="19"/>
  <c r="D17" i="19"/>
  <c r="G18" i="19"/>
  <c r="H19" i="19"/>
  <c r="Q17" i="19"/>
  <c r="T18" i="19"/>
  <c r="E17" i="19"/>
  <c r="H18" i="19"/>
  <c r="M19" i="19"/>
  <c r="T17" i="19"/>
  <c r="W10" i="19"/>
  <c r="W9" i="19"/>
  <c r="BE20" i="42" s="1"/>
  <c r="W8" i="19"/>
  <c r="W6" i="19"/>
  <c r="W7" i="19"/>
  <c r="BE18" i="42" s="1"/>
  <c r="D1" i="19"/>
  <c r="AA17" i="19"/>
  <c r="AG17" i="19"/>
  <c r="AN17" i="19"/>
  <c r="AH17" i="19"/>
  <c r="AI17" i="19"/>
  <c r="AJ17" i="19"/>
  <c r="AC9" i="19"/>
  <c r="AB17" i="19"/>
  <c r="W22" i="19"/>
  <c r="AD17" i="19"/>
  <c r="AG1196" i="19"/>
  <c r="AN1199" i="19" s="1"/>
  <c r="W1192" i="19"/>
  <c r="C17" i="19"/>
  <c r="AB1193" i="19"/>
  <c r="D1196" i="19"/>
  <c r="D1199" i="19"/>
  <c r="D1200" i="19"/>
  <c r="D1190" i="19"/>
  <c r="D1197" i="19"/>
  <c r="D1198" i="19"/>
  <c r="D1" i="36"/>
  <c r="W21" i="35"/>
  <c r="S18" i="35" s="1"/>
  <c r="AC1123" i="19" l="1"/>
  <c r="AC1117" i="19"/>
  <c r="AC1098" i="19"/>
  <c r="Z22" i="53"/>
  <c r="Z401" i="53"/>
  <c r="Z415" i="53"/>
  <c r="Z961" i="53"/>
  <c r="Z79" i="53"/>
  <c r="Z210" i="53"/>
  <c r="Z241" i="53"/>
  <c r="Z163" i="53"/>
  <c r="Z706" i="53"/>
  <c r="Z1132" i="53"/>
  <c r="Z982" i="53"/>
  <c r="Z819" i="53"/>
  <c r="Z703" i="53"/>
  <c r="Z276" i="53"/>
  <c r="Z638" i="53"/>
  <c r="Z497" i="53"/>
  <c r="Z83" i="53"/>
  <c r="Z1133" i="53"/>
  <c r="Z1069" i="53"/>
  <c r="Z960" i="53"/>
  <c r="Z587" i="53"/>
  <c r="Z980" i="53"/>
  <c r="Z909" i="53"/>
  <c r="Z1178" i="53"/>
  <c r="Z131" i="53"/>
  <c r="Z205" i="53"/>
  <c r="Z570" i="53"/>
  <c r="Z835" i="53"/>
  <c r="Z809" i="53"/>
  <c r="Z227" i="53"/>
  <c r="Z324" i="53"/>
  <c r="Z147" i="53"/>
  <c r="Z1149" i="53"/>
  <c r="Z88" i="53"/>
  <c r="Z367" i="53"/>
  <c r="Z1001" i="53"/>
  <c r="Z1106" i="53"/>
  <c r="Z495" i="53"/>
  <c r="Z997" i="53"/>
  <c r="Z194" i="53"/>
  <c r="Z540" i="53"/>
  <c r="Z246" i="53"/>
  <c r="Z218" i="53"/>
  <c r="Z1113" i="53"/>
  <c r="Z499" i="53"/>
  <c r="Z930" i="53"/>
  <c r="Z689" i="53"/>
  <c r="Z878" i="53"/>
  <c r="Z1181" i="53"/>
  <c r="Z780" i="53"/>
  <c r="Z968" i="53"/>
  <c r="Z180" i="53"/>
  <c r="Z128" i="53"/>
  <c r="Z252" i="53"/>
  <c r="Z957" i="53"/>
  <c r="Z789" i="53"/>
  <c r="Z493" i="53"/>
  <c r="Z685" i="53"/>
  <c r="Z306" i="53"/>
  <c r="Z225" i="53"/>
  <c r="Z203" i="53"/>
  <c r="Z901" i="53"/>
  <c r="Z723" i="53"/>
  <c r="Z279" i="53"/>
  <c r="Z632" i="53"/>
  <c r="Z1098" i="53"/>
  <c r="Z320" i="53"/>
  <c r="Z890" i="53"/>
  <c r="Z574" i="53"/>
  <c r="Z884" i="53"/>
  <c r="Z146" i="53"/>
  <c r="Z711" i="53"/>
  <c r="Z98" i="53"/>
  <c r="Z721" i="53"/>
  <c r="Z307" i="53"/>
  <c r="Z848" i="53"/>
  <c r="Z814" i="53"/>
  <c r="Z478" i="53"/>
  <c r="Z1000" i="53"/>
  <c r="Z173" i="53"/>
  <c r="Z96" i="53"/>
  <c r="Z382" i="53"/>
  <c r="Z37" i="53"/>
  <c r="Z155" i="53"/>
  <c r="Z920" i="53"/>
  <c r="Z443" i="53"/>
  <c r="Z1108" i="53"/>
  <c r="Z932" i="53"/>
  <c r="Z428" i="53"/>
  <c r="Z58" i="53"/>
  <c r="Z584" i="53"/>
  <c r="Z450" i="53"/>
  <c r="Z622" i="53"/>
  <c r="Z263" i="53"/>
  <c r="Z25" i="53"/>
  <c r="Z591" i="53"/>
  <c r="Z583" i="53"/>
  <c r="Z265" i="53"/>
  <c r="Z202" i="53"/>
  <c r="Z378" i="53"/>
  <c r="Z843" i="53"/>
  <c r="Z1051" i="53"/>
  <c r="Z827" i="53"/>
  <c r="Z549" i="53"/>
  <c r="Z979" i="53"/>
  <c r="Z444" i="53"/>
  <c r="Z568" i="53"/>
  <c r="Z159" i="53"/>
  <c r="Z966" i="53"/>
  <c r="Z1004" i="53"/>
  <c r="Z488" i="53"/>
  <c r="Z97" i="53"/>
  <c r="Z1083" i="53"/>
  <c r="Z680" i="53"/>
  <c r="Z318" i="53"/>
  <c r="Z475" i="53"/>
  <c r="Z160" i="53"/>
  <c r="Z371" i="53"/>
  <c r="Z1184" i="53"/>
  <c r="Z1096" i="53"/>
  <c r="Z220" i="53"/>
  <c r="Z686" i="53"/>
  <c r="Z45" i="53"/>
  <c r="Z796" i="53"/>
  <c r="Z600" i="53"/>
  <c r="Z734" i="53"/>
  <c r="Z851" i="53"/>
  <c r="Z1162" i="53"/>
  <c r="Z636" i="53"/>
  <c r="Z472" i="53"/>
  <c r="Z458" i="53"/>
  <c r="Z1048" i="53"/>
  <c r="Z66" i="53"/>
  <c r="Z358" i="53"/>
  <c r="Z605" i="53"/>
  <c r="Z157" i="53"/>
  <c r="Z893" i="53"/>
  <c r="Z898" i="53"/>
  <c r="Z598" i="53"/>
  <c r="Z347" i="53"/>
  <c r="Z392" i="53"/>
  <c r="Z679" i="53"/>
  <c r="Z356" i="53"/>
  <c r="Z1117" i="53"/>
  <c r="Z456" i="53"/>
  <c r="Z100" i="53"/>
  <c r="Z582" i="53"/>
  <c r="Z1071" i="53"/>
  <c r="Z305" i="53"/>
  <c r="Z1095" i="53"/>
  <c r="Z664" i="53"/>
  <c r="Z640" i="53"/>
  <c r="Z313" i="53"/>
  <c r="Z604" i="53"/>
  <c r="Z351" i="53"/>
  <c r="Z1020" i="53"/>
  <c r="Z482" i="53"/>
  <c r="Z1167" i="53"/>
  <c r="Z434" i="53"/>
  <c r="Z454" i="53"/>
  <c r="Z108" i="53"/>
  <c r="Z921" i="53"/>
  <c r="Z863" i="53"/>
  <c r="Z426" i="53"/>
  <c r="Z319" i="53"/>
  <c r="Z212" i="53"/>
  <c r="Z625" i="53"/>
  <c r="Z1052" i="53"/>
  <c r="Z1118" i="53"/>
  <c r="Z339" i="53"/>
  <c r="Z377" i="53"/>
  <c r="Z384" i="53"/>
  <c r="Z750" i="53"/>
  <c r="Z236" i="53"/>
  <c r="Z388" i="53"/>
  <c r="Z296" i="53"/>
  <c r="Z204" i="53"/>
  <c r="Z688" i="53"/>
  <c r="Z286" i="53"/>
  <c r="Z334" i="53"/>
  <c r="Z1017" i="53"/>
  <c r="Z678" i="53"/>
  <c r="Z237" i="53"/>
  <c r="Z427" i="53"/>
  <c r="Z304" i="53"/>
  <c r="Z61" i="53"/>
  <c r="Z448" i="53"/>
  <c r="Z576" i="53"/>
  <c r="Z233" i="53"/>
  <c r="Z245" i="53"/>
  <c r="Z849" i="53"/>
  <c r="Z1076" i="53"/>
  <c r="Z839" i="53"/>
  <c r="Z1179" i="53"/>
  <c r="Z416" i="53"/>
  <c r="Z43" i="53"/>
  <c r="Z196" i="53"/>
  <c r="Z120" i="53"/>
  <c r="Z463" i="53"/>
  <c r="Z902" i="53"/>
  <c r="Z332" i="53"/>
  <c r="Z185" i="53"/>
  <c r="Z438" i="53"/>
  <c r="Z718" i="53"/>
  <c r="Z71" i="53"/>
  <c r="Z518" i="53"/>
  <c r="Z110" i="53"/>
  <c r="Z352" i="53"/>
  <c r="Z411" i="53"/>
  <c r="Z1024" i="53"/>
  <c r="Z190" i="53"/>
  <c r="Z102" i="53"/>
  <c r="Z900" i="53"/>
  <c r="Z1064" i="53"/>
  <c r="Z826" i="53"/>
  <c r="Z998" i="53"/>
  <c r="Z677" i="53"/>
  <c r="Z327" i="53"/>
  <c r="Z936" i="53"/>
  <c r="Z329" i="53"/>
  <c r="Z369" i="53"/>
  <c r="Z337" i="53"/>
  <c r="Z437" i="53"/>
  <c r="Z601" i="53"/>
  <c r="Z303" i="53"/>
  <c r="Z973" i="53"/>
  <c r="Z374" i="53"/>
  <c r="Z710" i="53"/>
  <c r="Z309" i="53"/>
  <c r="Z524" i="53"/>
  <c r="Z1003" i="53"/>
  <c r="Z195" i="53"/>
  <c r="Z830" i="53"/>
  <c r="Z503" i="53"/>
  <c r="Z926" i="53"/>
  <c r="Z26" i="53"/>
  <c r="Z868" i="53"/>
  <c r="Z255" i="53"/>
  <c r="Z532" i="53"/>
  <c r="Z57" i="53"/>
  <c r="Z969" i="53"/>
  <c r="Z36" i="53"/>
  <c r="Z494" i="53"/>
  <c r="Z1129" i="53"/>
  <c r="Z226" i="53"/>
  <c r="Z137" i="53"/>
  <c r="Z787" i="53"/>
  <c r="Z44" i="53"/>
  <c r="Z399" i="53"/>
  <c r="Z592" i="53"/>
  <c r="Z370" i="53"/>
  <c r="Z179" i="53"/>
  <c r="Z299" i="53"/>
  <c r="Z229" i="53"/>
  <c r="Z1159" i="53"/>
  <c r="Z1127" i="53"/>
  <c r="Z727" i="53"/>
  <c r="Z168" i="53"/>
  <c r="Z899" i="53"/>
  <c r="Z223" i="53"/>
  <c r="Z612" i="53"/>
  <c r="Z143" i="53"/>
  <c r="Z132" i="53"/>
  <c r="Z781" i="53"/>
  <c r="Z1019" i="53"/>
  <c r="Z597" i="53"/>
  <c r="Z772" i="53"/>
  <c r="Z176" i="53"/>
  <c r="Z1087" i="53"/>
  <c r="Z373" i="53"/>
  <c r="Z315" i="53"/>
  <c r="Z135" i="53"/>
  <c r="Z846" i="53"/>
  <c r="Z297" i="53"/>
  <c r="Z910" i="53"/>
  <c r="Z539" i="53"/>
  <c r="Z186" i="53"/>
  <c r="Z913" i="53"/>
  <c r="Z213" i="53"/>
  <c r="Z880" i="53"/>
  <c r="Z832" i="53"/>
  <c r="Z553" i="53"/>
  <c r="Z441" i="53"/>
  <c r="Z283" i="53"/>
  <c r="Z1112" i="53"/>
  <c r="Z986" i="53"/>
  <c r="Z487" i="53"/>
  <c r="Z633" i="53"/>
  <c r="Z278" i="53"/>
  <c r="Z504" i="53"/>
  <c r="Z496" i="53"/>
  <c r="Z383" i="53"/>
  <c r="Z675" i="53"/>
  <c r="Z65" i="53"/>
  <c r="Z663" i="53"/>
  <c r="Z442" i="53"/>
  <c r="Z181" i="53"/>
  <c r="Z608" i="53"/>
  <c r="Z792" i="53"/>
  <c r="Z924" i="53"/>
  <c r="Z892" i="53"/>
  <c r="Z946" i="53"/>
  <c r="Z200" i="53"/>
  <c r="Z129" i="53"/>
  <c r="Z931" i="53"/>
  <c r="Z151" i="53"/>
  <c r="Z345" i="53"/>
  <c r="Z462" i="53"/>
  <c r="Z1145" i="53"/>
  <c r="Z557" i="53"/>
  <c r="Z380" i="53"/>
  <c r="Z446" i="53"/>
  <c r="Z696" i="53"/>
  <c r="Z86" i="53"/>
  <c r="Z1120" i="53"/>
  <c r="Z766" i="53"/>
  <c r="Z141" i="53"/>
  <c r="Z60" i="53"/>
  <c r="Z1086" i="53"/>
  <c r="Z198" i="53"/>
  <c r="Z690" i="53"/>
  <c r="Z737" i="53"/>
  <c r="Z645" i="53"/>
  <c r="Z683" i="53"/>
  <c r="Z977" i="53"/>
  <c r="Z471" i="53"/>
  <c r="Z261" i="53"/>
  <c r="Z684" i="53"/>
  <c r="Z177" i="53"/>
  <c r="Z799" i="53"/>
  <c r="Z776" i="53"/>
  <c r="Z231" i="53"/>
  <c r="Z948" i="53"/>
  <c r="Z24" i="53"/>
  <c r="Z733" i="53"/>
  <c r="Z208" i="53"/>
  <c r="Z1131" i="53"/>
  <c r="Z614" i="53"/>
  <c r="Z27" i="53"/>
  <c r="Z1101" i="53"/>
  <c r="Z620" i="53"/>
  <c r="Z256" i="53"/>
  <c r="Z268" i="53"/>
  <c r="Z1059" i="53"/>
  <c r="Z1135" i="53"/>
  <c r="Z856" i="53"/>
  <c r="Z364" i="53"/>
  <c r="Z642" i="53"/>
  <c r="Z754" i="53"/>
  <c r="Z1119" i="53"/>
  <c r="Z707" i="53"/>
  <c r="Z1164" i="53"/>
  <c r="Z222" i="53"/>
  <c r="Z357" i="53"/>
  <c r="Z40" i="53"/>
  <c r="Z813" i="53"/>
  <c r="Z681" i="53"/>
  <c r="Z284" i="53"/>
  <c r="Z818" i="53"/>
  <c r="Z346" i="53"/>
  <c r="Z730" i="53"/>
  <c r="Z658" i="53"/>
  <c r="Z302" i="53"/>
  <c r="Z35" i="53"/>
  <c r="Z768" i="53"/>
  <c r="Z552" i="53"/>
  <c r="Z492" i="53"/>
  <c r="Z78" i="53"/>
  <c r="Z889" i="53"/>
  <c r="Z70" i="53"/>
  <c r="Z142" i="53"/>
  <c r="Z30" i="53"/>
  <c r="Z859" i="53"/>
  <c r="Z942" i="53"/>
  <c r="Z887" i="53"/>
  <c r="Z447" i="53"/>
  <c r="Z1034" i="53"/>
  <c r="Z56" i="53"/>
  <c r="Z111" i="53"/>
  <c r="Z861" i="53"/>
  <c r="Z535" i="53"/>
  <c r="Z811" i="53"/>
  <c r="Z76" i="53"/>
  <c r="Z308" i="53"/>
  <c r="Z52" i="53"/>
  <c r="Z713" i="53"/>
  <c r="Z641" i="53"/>
  <c r="Z464" i="53"/>
  <c r="Z668" i="53"/>
  <c r="Z166" i="53"/>
  <c r="Z621" i="53"/>
  <c r="Z828" i="53"/>
  <c r="Z1085" i="53"/>
  <c r="Z423" i="53"/>
  <c r="Z991" i="53"/>
  <c r="Z650" i="53"/>
  <c r="Z653" i="53"/>
  <c r="Z701" i="53"/>
  <c r="Z702" i="53"/>
  <c r="Z474" i="53"/>
  <c r="Z903" i="53"/>
  <c r="Z1160" i="53"/>
  <c r="Z547" i="53"/>
  <c r="Z967" i="53"/>
  <c r="Z264" i="53"/>
  <c r="Z624" i="53"/>
  <c r="Z763" i="53"/>
  <c r="Z817" i="53"/>
  <c r="Z360" i="53"/>
  <c r="Z1053" i="53"/>
  <c r="Z1039" i="53"/>
  <c r="Z249" i="53"/>
  <c r="Z130" i="53"/>
  <c r="Z1168" i="53"/>
  <c r="Z1094" i="53"/>
  <c r="Z870" i="53"/>
  <c r="Z46" i="53"/>
  <c r="Z1040" i="53"/>
  <c r="Z805" i="53"/>
  <c r="Z425" i="53"/>
  <c r="Z765" i="53"/>
  <c r="Z908" i="53"/>
  <c r="Z350" i="53"/>
  <c r="Z743" i="53"/>
  <c r="Z511" i="53"/>
  <c r="Z606" i="53"/>
  <c r="Z480" i="53"/>
  <c r="Z758" i="53"/>
  <c r="Z611" i="53"/>
  <c r="Z1007" i="53"/>
  <c r="Z974" i="53"/>
  <c r="Z214" i="53"/>
  <c r="Z436" i="53"/>
  <c r="Z95" i="53"/>
  <c r="Z790" i="53"/>
  <c r="Z165" i="53"/>
  <c r="Z879" i="53"/>
  <c r="Z581" i="53"/>
  <c r="Z158" i="53"/>
  <c r="Z1102" i="53"/>
  <c r="Z731" i="53"/>
  <c r="Z126" i="53"/>
  <c r="Z647" i="53"/>
  <c r="Z116" i="53"/>
  <c r="Z1028" i="53"/>
  <c r="Z1115" i="53"/>
  <c r="Z248" i="53"/>
  <c r="Z127" i="53"/>
  <c r="Z599" i="53"/>
  <c r="Z1172" i="53"/>
  <c r="Z775" i="53"/>
  <c r="Z433" i="53"/>
  <c r="Z876" i="53"/>
  <c r="Z42" i="53"/>
  <c r="Z361" i="53"/>
  <c r="Z91" i="53"/>
  <c r="Z1058" i="53"/>
  <c r="Z566" i="53"/>
  <c r="Z700" i="53"/>
  <c r="Z739" i="53"/>
  <c r="Z172" i="53"/>
  <c r="Z28" i="53"/>
  <c r="Z609" i="53"/>
  <c r="Z1068" i="53"/>
  <c r="Z580" i="53"/>
  <c r="Z55" i="53"/>
  <c r="Z945" i="53"/>
  <c r="Z174" i="53"/>
  <c r="Z175" i="53"/>
  <c r="Z1136" i="53"/>
  <c r="Z343" i="53"/>
  <c r="Z1045" i="53"/>
  <c r="Z375" i="53"/>
  <c r="Z872" i="53"/>
  <c r="Z1037" i="53"/>
  <c r="Z92" i="53"/>
  <c r="Z670" i="53"/>
  <c r="Z432" i="53"/>
  <c r="Z1138" i="53"/>
  <c r="Z419" i="53"/>
  <c r="Z1088" i="53"/>
  <c r="Z551" i="53"/>
  <c r="Z692" i="53"/>
  <c r="Z326" i="53"/>
  <c r="Z1081" i="53"/>
  <c r="Z1177" i="53"/>
  <c r="Z896" i="53"/>
  <c r="Z113" i="53"/>
  <c r="Z526" i="53"/>
  <c r="Z564" i="53"/>
  <c r="Z509" i="53"/>
  <c r="Z51" i="53"/>
  <c r="Z1043" i="53"/>
  <c r="Z534" i="53"/>
  <c r="Z1062" i="53"/>
  <c r="Z947" i="53"/>
  <c r="Z850" i="53"/>
  <c r="Z154" i="53"/>
  <c r="Z187" i="53"/>
  <c r="Z1107" i="53"/>
  <c r="Z709" i="53"/>
  <c r="Z862" i="53"/>
  <c r="Z381" i="53"/>
  <c r="Z577" i="53"/>
  <c r="Z525" i="53"/>
  <c r="Z48" i="53"/>
  <c r="Z563" i="53"/>
  <c r="Z244" i="53"/>
  <c r="Z853" i="53"/>
  <c r="Z596" i="53"/>
  <c r="Z840" i="53"/>
  <c r="Z559" i="53"/>
  <c r="Z121" i="53"/>
  <c r="Z272" i="53"/>
  <c r="Z125" i="53"/>
  <c r="Z550" i="53"/>
  <c r="Z800" i="53"/>
  <c r="Z714" i="53"/>
  <c r="Z836" i="53"/>
  <c r="Z660" i="53"/>
  <c r="Z746" i="53"/>
  <c r="Z629" i="53"/>
  <c r="Z529" i="53"/>
  <c r="Z149" i="53"/>
  <c r="Z928" i="53"/>
  <c r="Z104" i="53"/>
  <c r="Z294" i="53"/>
  <c r="Z995" i="53"/>
  <c r="Z414" i="53"/>
  <c r="Z791" i="53"/>
  <c r="Z891" i="53"/>
  <c r="Z929" i="53"/>
  <c r="Z874" i="53"/>
  <c r="Z693" i="53"/>
  <c r="Z516" i="53"/>
  <c r="Z85" i="53"/>
  <c r="Z873" i="53"/>
  <c r="Z918" i="53"/>
  <c r="Z594" i="53"/>
  <c r="Z698" i="53"/>
  <c r="Z1156" i="53"/>
  <c r="Z453" i="53"/>
  <c r="Z554" i="53"/>
  <c r="Z485" i="53"/>
  <c r="Z735" i="53"/>
  <c r="Z1079" i="53"/>
  <c r="Z189" i="53"/>
  <c r="Z455" i="53"/>
  <c r="Z99" i="53"/>
  <c r="Z335" i="53"/>
  <c r="Z615" i="53"/>
  <c r="Z941" i="53"/>
  <c r="Z47" i="53"/>
  <c r="Z114" i="53"/>
  <c r="Z328" i="53"/>
  <c r="Z87" i="53"/>
  <c r="Z1153" i="53"/>
  <c r="Z1035" i="53"/>
  <c r="Z949" i="53"/>
  <c r="Z152" i="53"/>
  <c r="Z837" i="53"/>
  <c r="Z1038" i="53"/>
  <c r="Z1014" i="53"/>
  <c r="Z457" i="53"/>
  <c r="Z501" i="53"/>
  <c r="Z1010" i="53"/>
  <c r="Z1146" i="53"/>
  <c r="Z31" i="53"/>
  <c r="Z289" i="53"/>
  <c r="Z1126" i="53"/>
  <c r="Z575" i="53"/>
  <c r="Z719" i="53"/>
  <c r="Z744" i="53"/>
  <c r="Z148" i="53"/>
  <c r="Z993" i="53"/>
  <c r="Z413" i="53"/>
  <c r="Z602" i="53"/>
  <c r="Z228" i="53"/>
  <c r="Z486" i="53"/>
  <c r="Z363" i="53"/>
  <c r="Z927" i="53"/>
  <c r="Z864" i="53"/>
  <c r="Z394" i="53"/>
  <c r="Z39" i="53"/>
  <c r="Z682" i="53"/>
  <c r="Z477" i="53"/>
  <c r="Z38" i="53"/>
  <c r="Z29" i="53"/>
  <c r="Z468" i="53"/>
  <c r="Z1021" i="53"/>
  <c r="Z1055" i="53"/>
  <c r="Z162" i="53"/>
  <c r="Z209" i="53"/>
  <c r="Z112" i="53"/>
  <c r="Z1180" i="53"/>
  <c r="Z459" i="53"/>
  <c r="Z362" i="53"/>
  <c r="Z671" i="53"/>
  <c r="Z89" i="53"/>
  <c r="Z502" i="53"/>
  <c r="Z644" i="53"/>
  <c r="Z1022" i="53"/>
  <c r="Z409" i="53"/>
  <c r="Z274" i="53"/>
  <c r="Z755" i="53"/>
  <c r="Z403" i="53"/>
  <c r="Z759" i="53"/>
  <c r="Z669" i="53"/>
  <c r="Z616" i="53"/>
  <c r="Z610" i="53"/>
  <c r="Z676" i="53"/>
  <c r="Z804" i="53"/>
  <c r="Z630" i="53"/>
  <c r="Z336" i="53"/>
  <c r="Z398" i="53"/>
  <c r="Z421" i="53"/>
  <c r="Z34" i="53"/>
  <c r="Z1104" i="53"/>
  <c r="Z291" i="53"/>
  <c r="Z778" i="53"/>
  <c r="Z589" i="53"/>
  <c r="Z460" i="53"/>
  <c r="Z119" i="53"/>
  <c r="Z528" i="53"/>
  <c r="Z720" i="53"/>
  <c r="Z355" i="53"/>
  <c r="Z330" i="53"/>
  <c r="Z981" i="53"/>
  <c r="Z904" i="53"/>
  <c r="Z312" i="53"/>
  <c r="Z659" i="53"/>
  <c r="Z199" i="53"/>
  <c r="Z483" i="53"/>
  <c r="Z1151" i="53"/>
  <c r="Z395" i="53"/>
  <c r="Z206" i="53"/>
  <c r="Z1165" i="53"/>
  <c r="Z619" i="53"/>
  <c r="Z756" i="53"/>
  <c r="Z573" i="53"/>
  <c r="Z812" i="53"/>
  <c r="Z715" i="53"/>
  <c r="Z73" i="53"/>
  <c r="Z965" i="53"/>
  <c r="Z479" i="53"/>
  <c r="Z691" i="53"/>
  <c r="Z32" i="53"/>
  <c r="Z310" i="53"/>
  <c r="Z1090" i="53"/>
  <c r="Z513" i="53"/>
  <c r="Z771" i="53"/>
  <c r="Z556" i="53"/>
  <c r="Z118" i="53"/>
  <c r="Z115" i="53"/>
  <c r="Z466" i="53"/>
  <c r="Z81" i="53"/>
  <c r="Z1041" i="53"/>
  <c r="Z1103" i="53"/>
  <c r="Z956" i="53"/>
  <c r="Z80" i="53"/>
  <c r="Z561" i="53"/>
  <c r="Z140" i="53"/>
  <c r="Z537" i="53"/>
  <c r="Z242" i="53"/>
  <c r="Z508" i="53"/>
  <c r="Z67" i="53"/>
  <c r="Z498" i="53"/>
  <c r="Z905" i="53"/>
  <c r="Z655" i="53"/>
  <c r="Z400" i="53"/>
  <c r="Z656" i="53"/>
  <c r="Z1063" i="53"/>
  <c r="Z183" i="53"/>
  <c r="Z798" i="53"/>
  <c r="Z366" i="53"/>
  <c r="Z216" i="53"/>
  <c r="Z1163" i="53"/>
  <c r="Z1111" i="53"/>
  <c r="Z124" i="53"/>
  <c r="Z579" i="53"/>
  <c r="Z866" i="53"/>
  <c r="Z1066" i="53"/>
  <c r="Z317" i="53"/>
  <c r="Z548" i="53"/>
  <c r="Z770" i="53"/>
  <c r="Z193" i="53"/>
  <c r="Z171" i="53"/>
  <c r="Z1015" i="53"/>
  <c r="Z933" i="53"/>
  <c r="Z1148" i="53"/>
  <c r="Z558" i="53"/>
  <c r="Z217" i="53"/>
  <c r="Z782" i="53"/>
  <c r="Z728" i="53"/>
  <c r="Z593" i="53"/>
  <c r="Z801" i="53"/>
  <c r="Z282" i="53"/>
  <c r="Z123" i="53"/>
  <c r="Z295" i="53"/>
  <c r="Z1134" i="53"/>
  <c r="Z1097" i="53"/>
  <c r="Z323" i="53"/>
  <c r="Z280" i="53"/>
  <c r="Z257" i="53"/>
  <c r="Z408" i="53"/>
  <c r="Z907" i="53"/>
  <c r="Z794" i="53"/>
  <c r="Z41" i="53"/>
  <c r="Z64" i="53"/>
  <c r="Z1054" i="53"/>
  <c r="Z321" i="53"/>
  <c r="Z643" i="53"/>
  <c r="Z1031" i="53"/>
  <c r="Z372" i="53"/>
  <c r="Z439" i="53"/>
  <c r="Z954" i="53"/>
  <c r="Z107" i="53"/>
  <c r="Z943" i="53"/>
  <c r="Z348" i="53"/>
  <c r="Z657" i="53"/>
  <c r="Z33" i="53"/>
  <c r="Z505" i="53"/>
  <c r="Z1114" i="53"/>
  <c r="Z784" i="53"/>
  <c r="Z260" i="53"/>
  <c r="Z389" i="53"/>
  <c r="Z810" i="53"/>
  <c r="Z834" i="53"/>
  <c r="Z359" i="53"/>
  <c r="Z74" i="53"/>
  <c r="Z368" i="53"/>
  <c r="Z788" i="53"/>
  <c r="Z1042" i="53"/>
  <c r="Z230" i="53"/>
  <c r="Z169" i="53"/>
  <c r="Z510" i="53"/>
  <c r="Z831" i="53"/>
  <c r="Z445" i="53"/>
  <c r="Z191" i="53"/>
  <c r="Z697" i="53"/>
  <c r="Z736" i="53"/>
  <c r="Z560" i="53"/>
  <c r="Z122" i="53"/>
  <c r="Z555" i="53"/>
  <c r="Z197" i="53"/>
  <c r="Z1158" i="53"/>
  <c r="Z572" i="53"/>
  <c r="Z972" i="53"/>
  <c r="Z1152" i="53"/>
  <c r="Z1137" i="53"/>
  <c r="Z987" i="53"/>
  <c r="Z512" i="53"/>
  <c r="Z243" i="53"/>
  <c r="Z1182" i="53"/>
  <c r="Z1155" i="53"/>
  <c r="Z422" i="53"/>
  <c r="Z1029" i="53"/>
  <c r="Z469" i="53"/>
  <c r="Z725" i="53"/>
  <c r="Z184" i="53"/>
  <c r="Z699" i="53"/>
  <c r="Z855" i="53"/>
  <c r="Z164" i="53"/>
  <c r="Z883" i="53"/>
  <c r="Z847" i="53"/>
  <c r="Z340" i="53"/>
  <c r="Z354" i="53"/>
  <c r="Z133" i="53"/>
  <c r="Z254" i="53"/>
  <c r="Z745" i="53"/>
  <c r="Z515" i="53"/>
  <c r="Z764" i="53"/>
  <c r="Z270" i="53"/>
  <c r="Z139" i="53"/>
  <c r="Z72" i="53"/>
  <c r="Z461" i="53"/>
  <c r="Z952" i="53"/>
  <c r="Z951" i="53"/>
  <c r="Z767" i="53"/>
  <c r="Z627" i="53"/>
  <c r="Z527" i="53"/>
  <c r="Z917" i="53"/>
  <c r="Z623" i="53"/>
  <c r="Z1161" i="53"/>
  <c r="Z742" i="53"/>
  <c r="Z484" i="53"/>
  <c r="Z652" i="53"/>
  <c r="Z238" i="53"/>
  <c r="Z816" i="53"/>
  <c r="Z1174" i="53"/>
  <c r="Z724" i="53"/>
  <c r="Z654" i="53"/>
  <c r="Z762" i="53"/>
  <c r="Z167" i="53"/>
  <c r="Z970" i="53"/>
  <c r="Z517" i="53"/>
  <c r="Z886" i="53"/>
  <c r="Z1067" i="53"/>
  <c r="Z69" i="53"/>
  <c r="Z536" i="53"/>
  <c r="Z386" i="53"/>
  <c r="Z106" i="53"/>
  <c r="Z90" i="53"/>
  <c r="Z277" i="53"/>
  <c r="Z301" i="53"/>
  <c r="Z915" i="53"/>
  <c r="Z578" i="53"/>
  <c r="Z732" i="53"/>
  <c r="Z752" i="53"/>
  <c r="Z418" i="53"/>
  <c r="Z751" i="53"/>
  <c r="Z1026" i="53"/>
  <c r="Z153" i="53"/>
  <c r="Z473" i="53"/>
  <c r="Z1176" i="53"/>
  <c r="Z860" i="53"/>
  <c r="Z665" i="53"/>
  <c r="Z807" i="53"/>
  <c r="Z983" i="53"/>
  <c r="Z390" i="53"/>
  <c r="Z877" i="53"/>
  <c r="Z476" i="53"/>
  <c r="Z235" i="53"/>
  <c r="Z342" i="53"/>
  <c r="Z542" i="53"/>
  <c r="Z717" i="53"/>
  <c r="Z1110" i="53"/>
  <c r="Z1012" i="53"/>
  <c r="Z1030" i="53"/>
  <c r="Z470" i="53"/>
  <c r="Z1144" i="53"/>
  <c r="Z944" i="53"/>
  <c r="Z349" i="53"/>
  <c r="Z545" i="53"/>
  <c r="Z1002" i="53"/>
  <c r="Z292" i="53"/>
  <c r="Z1009" i="53"/>
  <c r="Z1025" i="53"/>
  <c r="Z999" i="53"/>
  <c r="Z109" i="53"/>
  <c r="Z506" i="53"/>
  <c r="Z219" i="53"/>
  <c r="Z729" i="53"/>
  <c r="Z1116" i="53"/>
  <c r="Z84" i="53"/>
  <c r="Z1033" i="53"/>
  <c r="Z815" i="53"/>
  <c r="Z749" i="53"/>
  <c r="Z648" i="53"/>
  <c r="Z397" i="53"/>
  <c r="Z1006" i="53"/>
  <c r="Z253" i="53"/>
  <c r="Z1142" i="53"/>
  <c r="Z1049" i="53"/>
  <c r="Z1023" i="53"/>
  <c r="Z1027" i="53"/>
  <c r="Z331" i="53"/>
  <c r="Z649" i="53"/>
  <c r="Z207" i="53"/>
  <c r="Z631" i="53"/>
  <c r="Z940" i="53"/>
  <c r="Z273" i="53"/>
  <c r="Z607" i="53"/>
  <c r="Z975" i="53"/>
  <c r="Z1091" i="53"/>
  <c r="Z490" i="53"/>
  <c r="Z221" i="53"/>
  <c r="Z939" i="53"/>
  <c r="Z293" i="53"/>
  <c r="Z919" i="53"/>
  <c r="Z1008" i="53"/>
  <c r="Z741" i="53"/>
  <c r="Z275" i="53"/>
  <c r="Z569" i="53"/>
  <c r="Z888" i="53"/>
  <c r="Z769" i="53"/>
  <c r="Z603" i="53"/>
  <c r="Z82" i="53"/>
  <c r="Z1082" i="53"/>
  <c r="Z1169" i="53"/>
  <c r="Z867" i="53"/>
  <c r="Z821" i="53"/>
  <c r="Z136" i="53"/>
  <c r="Z894" i="53"/>
  <c r="Z543" i="53"/>
  <c r="Z420" i="53"/>
  <c r="Z1099" i="53"/>
  <c r="Z646" i="53"/>
  <c r="Z161" i="53"/>
  <c r="Z844" i="53"/>
  <c r="Z1011" i="53"/>
  <c r="Z1084" i="53"/>
  <c r="Z962" i="53"/>
  <c r="Z773" i="53"/>
  <c r="Z417" i="53"/>
  <c r="Z639" i="53"/>
  <c r="Z396" i="53"/>
  <c r="Z885" i="53"/>
  <c r="Z530" i="53"/>
  <c r="Z567" i="53"/>
  <c r="Z783" i="53"/>
  <c r="Z1185" i="53"/>
  <c r="Z822" i="53"/>
  <c r="Z955" i="53"/>
  <c r="Z298" i="53"/>
  <c r="Z269" i="53"/>
  <c r="Z938" i="53"/>
  <c r="Z1018" i="53"/>
  <c r="Z387" i="53"/>
  <c r="Z379" i="53"/>
  <c r="Z211" i="53"/>
  <c r="Z287" i="53"/>
  <c r="Z740" i="53"/>
  <c r="Z134" i="53"/>
  <c r="Z916" i="53"/>
  <c r="Z259" i="53"/>
  <c r="Z1175" i="53"/>
  <c r="Z1077" i="53"/>
  <c r="Z1057" i="53"/>
  <c r="Z857" i="53"/>
  <c r="Z94" i="53"/>
  <c r="Z75" i="53"/>
  <c r="Z1075" i="53"/>
  <c r="Z521" i="53"/>
  <c r="Z311" i="53"/>
  <c r="Z182" i="53"/>
  <c r="Z353" i="53"/>
  <c r="Z588" i="53"/>
  <c r="Z376" i="53"/>
  <c r="Z882" i="53"/>
  <c r="Z1150" i="53"/>
  <c r="Z996" i="53"/>
  <c r="Z595" i="53"/>
  <c r="Z875" i="53"/>
  <c r="Z988" i="53"/>
  <c r="Z963" i="53"/>
  <c r="Z519" i="53"/>
  <c r="Z247" i="53"/>
  <c r="Z1154" i="53"/>
  <c r="Z694" i="53"/>
  <c r="Z1013" i="53"/>
  <c r="Z1005" i="53"/>
  <c r="Z1173" i="53"/>
  <c r="Z590" i="53"/>
  <c r="Z795" i="53"/>
  <c r="Z906" i="53"/>
  <c r="Z964" i="53"/>
  <c r="Z925" i="53"/>
  <c r="Z869" i="53"/>
  <c r="Z1032" i="53"/>
  <c r="Z1166" i="53"/>
  <c r="Z452" i="53"/>
  <c r="Z59" i="53"/>
  <c r="Z774" i="53"/>
  <c r="Z562" i="53"/>
  <c r="Z500" i="53"/>
  <c r="Z546" i="53"/>
  <c r="Z1047" i="53"/>
  <c r="Z808" i="53"/>
  <c r="Z250" i="53"/>
  <c r="Z1065" i="53"/>
  <c r="Z1171" i="53"/>
  <c r="Z170" i="53"/>
  <c r="Z667" i="53"/>
  <c r="Z1078" i="53"/>
  <c r="Z507" i="53"/>
  <c r="Z802" i="53"/>
  <c r="Z722" i="53"/>
  <c r="Z912" i="53"/>
  <c r="Z314" i="53"/>
  <c r="Z1060" i="53"/>
  <c r="Z105" i="53"/>
  <c r="Z858" i="53"/>
  <c r="Z923" i="53"/>
  <c r="Z833" i="53"/>
  <c r="Z635" i="53"/>
  <c r="Z1140" i="53"/>
  <c r="Z992" i="53"/>
  <c r="Z662" i="53"/>
  <c r="Z666" i="53"/>
  <c r="Z93" i="53"/>
  <c r="Z77" i="53"/>
  <c r="Z705" i="53"/>
  <c r="Z959" i="53"/>
  <c r="Z514" i="53"/>
  <c r="Z708" i="53"/>
  <c r="Z531" i="53"/>
  <c r="Z747" i="53"/>
  <c r="Z757" i="53"/>
  <c r="Z753" i="53"/>
  <c r="Z1147" i="53"/>
  <c r="Z430" i="53"/>
  <c r="Z285" i="53"/>
  <c r="Z54" i="53"/>
  <c r="Z1100" i="53"/>
  <c r="Z405" i="53"/>
  <c r="Z978" i="53"/>
  <c r="Z1121" i="53"/>
  <c r="Z585" i="53"/>
  <c r="Z881" i="53"/>
  <c r="Z410" i="53"/>
  <c r="Z465" i="53"/>
  <c r="Z62" i="53"/>
  <c r="Z541" i="53"/>
  <c r="Z911" i="53"/>
  <c r="Z232" i="53"/>
  <c r="Z63" i="53"/>
  <c r="Z985" i="53"/>
  <c r="Z1170" i="53"/>
  <c r="Z145" i="53"/>
  <c r="Z402" i="53"/>
  <c r="Z262" i="53"/>
  <c r="Z325" i="53"/>
  <c r="Z871" i="53"/>
  <c r="Z793" i="53"/>
  <c r="Z1080" i="53"/>
  <c r="Z687" i="53"/>
  <c r="Z489" i="53"/>
  <c r="Z1050" i="53"/>
  <c r="Z565" i="53"/>
  <c r="Z150" i="53"/>
  <c r="Z990" i="53"/>
  <c r="Z538" i="53"/>
  <c r="Z716" i="53"/>
  <c r="Z406" i="53"/>
  <c r="Z23" i="53"/>
  <c r="Z101" i="53"/>
  <c r="Z385" i="53"/>
  <c r="Z192" i="53"/>
  <c r="Z491" i="53"/>
  <c r="Z1157" i="53"/>
  <c r="Z365" i="53"/>
  <c r="Z571" i="53"/>
  <c r="Z451" i="53"/>
  <c r="Z976" i="53"/>
  <c r="Z316" i="53"/>
  <c r="Z1061" i="53"/>
  <c r="Z760" i="53"/>
  <c r="Z626" i="53"/>
  <c r="Z1036" i="53"/>
  <c r="Z393" i="53"/>
  <c r="Z895" i="53"/>
  <c r="Z950" i="53"/>
  <c r="Z914" i="53"/>
  <c r="Z1122" i="53"/>
  <c r="Z618" i="53"/>
  <c r="Z266" i="53"/>
  <c r="Z440" i="53"/>
  <c r="Z234" i="53"/>
  <c r="Z103" i="53"/>
  <c r="Z989" i="53"/>
  <c r="Z224" i="53"/>
  <c r="Z824" i="53"/>
  <c r="Z695" i="53"/>
  <c r="Z779" i="53"/>
  <c r="Z1044" i="53"/>
  <c r="Z1143" i="53"/>
  <c r="Z1125" i="53"/>
  <c r="Z1109" i="53"/>
  <c r="Z971" i="53"/>
  <c r="Z215" i="53"/>
  <c r="Z1074" i="53"/>
  <c r="Z1130" i="53"/>
  <c r="Z544" i="53"/>
  <c r="Z838" i="53"/>
  <c r="Z934" i="53"/>
  <c r="Z994" i="53"/>
  <c r="Z761" i="53"/>
  <c r="Z333" i="53"/>
  <c r="Z777" i="53"/>
  <c r="Z803" i="53"/>
  <c r="Z984" i="53"/>
  <c r="Z958" i="53"/>
  <c r="Z661" i="53"/>
  <c r="Z842" i="53"/>
  <c r="Z1089" i="53"/>
  <c r="Z1070" i="53"/>
  <c r="Z1046" i="53"/>
  <c r="Z138" i="53"/>
  <c r="Z144" i="53"/>
  <c r="Z188" i="53"/>
  <c r="Z322" i="53"/>
  <c r="Z922" i="53"/>
  <c r="Z1073" i="53"/>
  <c r="Z344" i="53"/>
  <c r="Z786" i="53"/>
  <c r="Z290" i="53"/>
  <c r="Z281" i="53"/>
  <c r="Z651" i="53"/>
  <c r="Z431" i="53"/>
  <c r="Z712" i="53"/>
  <c r="Z634" i="53"/>
  <c r="Z1092" i="53"/>
  <c r="Z300" i="53"/>
  <c r="Z797" i="53"/>
  <c r="Z341" i="53"/>
  <c r="Z49" i="53"/>
  <c r="Z586" i="53"/>
  <c r="Z520" i="53"/>
  <c r="Z1128" i="53"/>
  <c r="Z424" i="53"/>
  <c r="Z628" i="53"/>
  <c r="Z522" i="53"/>
  <c r="Z852" i="53"/>
  <c r="Z672" i="53"/>
  <c r="Z467" i="53"/>
  <c r="Z338" i="53"/>
  <c r="Z481" i="53"/>
  <c r="Z820" i="53"/>
  <c r="Z449" i="53"/>
  <c r="Z271" i="53"/>
  <c r="Z829" i="53"/>
  <c r="Z201" i="53"/>
  <c r="Z68" i="53"/>
  <c r="Z1141" i="53"/>
  <c r="Z953" i="53"/>
  <c r="Z845" i="53"/>
  <c r="Z1016" i="53"/>
  <c r="Z1056" i="53"/>
  <c r="Z673" i="53"/>
  <c r="Z429" i="53"/>
  <c r="Z267" i="53"/>
  <c r="Z156" i="53"/>
  <c r="Z523" i="53"/>
  <c r="Z1183" i="53"/>
  <c r="Z704" i="53"/>
  <c r="Z785" i="53"/>
  <c r="Z1093" i="53"/>
  <c r="Z258" i="53"/>
  <c r="Z391" i="53"/>
  <c r="Z841" i="53"/>
  <c r="Z117" i="53"/>
  <c r="Z897" i="53"/>
  <c r="Z854" i="53"/>
  <c r="Z637" i="53"/>
  <c r="Z1123" i="53"/>
  <c r="Z748" i="53"/>
  <c r="Z1105" i="53"/>
  <c r="Z53" i="53"/>
  <c r="Z240" i="53"/>
  <c r="Z1139" i="53"/>
  <c r="Z674" i="53"/>
  <c r="Z726" i="53"/>
  <c r="Z412" i="53"/>
  <c r="Z1072" i="53"/>
  <c r="Z288" i="53"/>
  <c r="Z1124" i="53"/>
  <c r="Z251" i="53"/>
  <c r="Z435" i="53"/>
  <c r="Z937" i="53"/>
  <c r="Z806" i="53"/>
  <c r="Z825" i="53"/>
  <c r="Z407" i="53"/>
  <c r="Z613" i="53"/>
  <c r="Z50" i="53"/>
  <c r="Z404" i="53"/>
  <c r="Z935" i="53"/>
  <c r="Z617" i="53"/>
  <c r="Z533" i="53"/>
  <c r="Z823" i="53"/>
  <c r="Z865" i="53"/>
  <c r="Z738" i="53"/>
  <c r="Z239" i="53"/>
  <c r="Z178" i="53"/>
  <c r="Z22" i="55"/>
  <c r="Z22" i="52"/>
  <c r="Z22" i="54"/>
  <c r="Z22" i="44"/>
  <c r="Z246" i="52"/>
  <c r="Z1070" i="52"/>
  <c r="Z893" i="52"/>
  <c r="Z499" i="52"/>
  <c r="Z231" i="52"/>
  <c r="Z90" i="52"/>
  <c r="Z708" i="52"/>
  <c r="Z400" i="52"/>
  <c r="Z80" i="52"/>
  <c r="Z686" i="52"/>
  <c r="Z453" i="52"/>
  <c r="Z34" i="52"/>
  <c r="Z925" i="52"/>
  <c r="Z844" i="52"/>
  <c r="Z455" i="52"/>
  <c r="Z502" i="52"/>
  <c r="Z890" i="52"/>
  <c r="Z383" i="52"/>
  <c r="Z740" i="52"/>
  <c r="Z320" i="52"/>
  <c r="Z849" i="52"/>
  <c r="Z862" i="52"/>
  <c r="Z428" i="52"/>
  <c r="Z76" i="52"/>
  <c r="Z998" i="52"/>
  <c r="Z944" i="52"/>
  <c r="Z643" i="52"/>
  <c r="Z325" i="52"/>
  <c r="Z162" i="52"/>
  <c r="Z880" i="52"/>
  <c r="Z714" i="52"/>
  <c r="Z1098" i="52"/>
  <c r="Z805" i="52"/>
  <c r="Z651" i="52"/>
  <c r="Z397" i="52"/>
  <c r="Z74" i="52"/>
  <c r="Z949" i="52"/>
  <c r="Z1119" i="52"/>
  <c r="Z72" i="52"/>
  <c r="Z1066" i="52"/>
  <c r="Z706" i="52"/>
  <c r="Z634" i="52"/>
  <c r="Z992" i="52"/>
  <c r="Z504" i="52"/>
  <c r="Z430" i="52"/>
  <c r="Z190" i="52"/>
  <c r="Z936" i="52"/>
  <c r="Z613" i="52"/>
  <c r="Z272" i="52"/>
  <c r="Z721" i="52"/>
  <c r="Z475" i="52"/>
  <c r="Z814" i="52"/>
  <c r="Z552" i="52"/>
  <c r="Z237" i="52"/>
  <c r="Z161" i="52"/>
  <c r="Z1026" i="52"/>
  <c r="Z498" i="52"/>
  <c r="Z887" i="52"/>
  <c r="Z624" i="52"/>
  <c r="Z189" i="52"/>
  <c r="Z996" i="52"/>
  <c r="Z968" i="52"/>
  <c r="Z577" i="52"/>
  <c r="Z431" i="52"/>
  <c r="Z41" i="52"/>
  <c r="Z813" i="52"/>
  <c r="Z638" i="52"/>
  <c r="Z469" i="52"/>
  <c r="Z366" i="52"/>
  <c r="Z165" i="52"/>
  <c r="Z257" i="52"/>
  <c r="Z33" i="52"/>
  <c r="Z911" i="52"/>
  <c r="Z617" i="52"/>
  <c r="Z306" i="52"/>
  <c r="Z600" i="52"/>
  <c r="Z233" i="52"/>
  <c r="Z77" i="52"/>
  <c r="Z825" i="52"/>
  <c r="Z637" i="52"/>
  <c r="Z548" i="52"/>
  <c r="Z1059" i="52"/>
  <c r="Z1158" i="52"/>
  <c r="Z219" i="52"/>
  <c r="Z149" i="52"/>
  <c r="Z521" i="52"/>
  <c r="Z958" i="52"/>
  <c r="Z685" i="52"/>
  <c r="Z248" i="52"/>
  <c r="Z169" i="52"/>
  <c r="Z810" i="52"/>
  <c r="Z547" i="52"/>
  <c r="Z220" i="52"/>
  <c r="Z81" i="52"/>
  <c r="Z678" i="52"/>
  <c r="Z891" i="52"/>
  <c r="Z1027" i="52"/>
  <c r="Z1120" i="52"/>
  <c r="Z693" i="52"/>
  <c r="Z1151" i="52"/>
  <c r="Z1153" i="52"/>
  <c r="Z1182" i="52"/>
  <c r="Z923" i="52"/>
  <c r="Z154" i="52"/>
  <c r="Z578" i="52"/>
  <c r="Z30" i="52"/>
  <c r="Z913" i="52"/>
  <c r="Z752" i="52"/>
  <c r="Z380" i="52"/>
  <c r="Z156" i="52"/>
  <c r="Z188" i="52"/>
  <c r="Z876" i="52"/>
  <c r="Z681" i="52"/>
  <c r="Z993" i="52"/>
  <c r="Z370" i="52"/>
  <c r="Z758" i="52"/>
  <c r="Z543" i="52"/>
  <c r="Z29" i="52"/>
  <c r="Z857" i="52"/>
  <c r="Z331" i="52"/>
  <c r="Z394" i="52"/>
  <c r="Z830" i="52"/>
  <c r="Z536" i="52"/>
  <c r="Z591" i="52"/>
  <c r="Z87" i="52"/>
  <c r="Z1069" i="52"/>
  <c r="Z886" i="52"/>
  <c r="Z806" i="52"/>
  <c r="Z527" i="52"/>
  <c r="Z1076" i="52"/>
  <c r="Z106" i="52"/>
  <c r="Z604" i="52"/>
  <c r="Z238" i="52"/>
  <c r="Z25" i="52"/>
  <c r="Z927" i="52"/>
  <c r="Z843" i="52"/>
  <c r="Z555" i="52"/>
  <c r="Z266" i="52"/>
  <c r="Z720" i="52"/>
  <c r="Z872" i="52"/>
  <c r="Z783" i="52"/>
  <c r="Z731" i="52"/>
  <c r="Z587" i="52"/>
  <c r="Z322" i="52"/>
  <c r="Z309" i="52"/>
  <c r="Z1117" i="52"/>
  <c r="Z867" i="52"/>
  <c r="Z448" i="52"/>
  <c r="Z182" i="52"/>
  <c r="Z910" i="52"/>
  <c r="Z69" i="52"/>
  <c r="Z967" i="52"/>
  <c r="Z680" i="52"/>
  <c r="Z775" i="52"/>
  <c r="Z24" i="52"/>
  <c r="Z1050" i="52"/>
  <c r="Z885" i="52"/>
  <c r="Z415" i="52"/>
  <c r="Z193" i="52"/>
  <c r="Z94" i="52"/>
  <c r="Z966" i="52"/>
  <c r="Z707" i="52"/>
  <c r="Z316" i="52"/>
  <c r="Z973" i="52"/>
  <c r="Z764" i="52"/>
  <c r="Z376" i="52"/>
  <c r="Z48" i="52"/>
  <c r="Z368" i="52"/>
  <c r="Z445" i="52"/>
  <c r="Z107" i="52"/>
  <c r="Z982" i="52"/>
  <c r="Z820" i="52"/>
  <c r="Z528" i="52"/>
  <c r="Z202" i="52"/>
  <c r="Z684" i="52"/>
  <c r="Z425" i="52"/>
  <c r="Z739" i="52"/>
  <c r="Z755" i="52"/>
  <c r="Z283" i="52"/>
  <c r="Z474" i="52"/>
  <c r="Z457" i="52"/>
  <c r="Z484" i="52"/>
  <c r="Z84" i="52"/>
  <c r="Z1006" i="52"/>
  <c r="Z811" i="52"/>
  <c r="Z435" i="52"/>
  <c r="Z215" i="52"/>
  <c r="Z718" i="52"/>
  <c r="Z479" i="52"/>
  <c r="Z234" i="52"/>
  <c r="Z898" i="52"/>
  <c r="Z620" i="52"/>
  <c r="Z361" i="52"/>
  <c r="Z748" i="52"/>
  <c r="Z1056" i="52"/>
  <c r="Z645" i="52"/>
  <c r="Z424" i="52"/>
  <c r="Z128" i="52"/>
  <c r="Z994" i="52"/>
  <c r="Z815" i="52"/>
  <c r="Z354" i="52"/>
  <c r="Z321" i="52"/>
  <c r="Z1121" i="52"/>
  <c r="Z1139" i="52"/>
  <c r="Z181" i="52"/>
  <c r="Z1107" i="52"/>
  <c r="Z1125" i="52"/>
  <c r="Z120" i="52"/>
  <c r="Z1021" i="52"/>
  <c r="Z471" i="52"/>
  <c r="Z595" i="52"/>
  <c r="Z125" i="52"/>
  <c r="Z969" i="52"/>
  <c r="Z744" i="52"/>
  <c r="Z372" i="52"/>
  <c r="Z132" i="52"/>
  <c r="Z1022" i="52"/>
  <c r="Z952" i="52"/>
  <c r="Z608" i="52"/>
  <c r="Z269" i="52"/>
  <c r="Z1183" i="52"/>
  <c r="Z226" i="52"/>
  <c r="Z339" i="52"/>
  <c r="Z1184" i="52"/>
  <c r="Z1003" i="52"/>
  <c r="Z1095" i="52"/>
  <c r="Z1105" i="52"/>
  <c r="Z1000" i="52"/>
  <c r="Z770" i="52"/>
  <c r="Z539" i="52"/>
  <c r="Z242" i="52"/>
  <c r="Z1170" i="52"/>
  <c r="Z1168" i="52"/>
  <c r="Z987" i="52"/>
  <c r="Z341" i="52"/>
  <c r="Z1091" i="52"/>
  <c r="Z1146" i="52"/>
  <c r="Z336" i="52"/>
  <c r="Z47" i="52"/>
  <c r="Z209" i="52"/>
  <c r="Z346" i="52"/>
  <c r="Z250" i="52"/>
  <c r="Z860" i="52"/>
  <c r="Z694" i="52"/>
  <c r="Z525" i="52"/>
  <c r="Z91" i="52"/>
  <c r="Z1097" i="52"/>
  <c r="Z1092" i="52"/>
  <c r="Z158" i="52"/>
  <c r="Z868" i="52"/>
  <c r="Z673" i="52"/>
  <c r="Z252" i="52"/>
  <c r="Z328" i="52"/>
  <c r="Z750" i="52"/>
  <c r="Z535" i="52"/>
  <c r="Z221" i="52"/>
  <c r="Z61" i="52"/>
  <c r="Z1053" i="52"/>
  <c r="Z808" i="52"/>
  <c r="Z436" i="52"/>
  <c r="Z68" i="52"/>
  <c r="Z1086" i="52"/>
  <c r="Z239" i="52"/>
  <c r="Z1052" i="52"/>
  <c r="Z951" i="52"/>
  <c r="Z571" i="52"/>
  <c r="Z1130" i="52"/>
  <c r="Z386" i="52"/>
  <c r="Z1141" i="52"/>
  <c r="Z955" i="52"/>
  <c r="Z199" i="52"/>
  <c r="Z812" i="52"/>
  <c r="Z1041" i="52"/>
  <c r="Z357" i="52"/>
  <c r="Z586" i="52"/>
  <c r="Z842" i="52"/>
  <c r="Z1082" i="52"/>
  <c r="Z583" i="52"/>
  <c r="Z854" i="52"/>
  <c r="Z904" i="52"/>
  <c r="Z198" i="52"/>
  <c r="Z129" i="52"/>
  <c r="Z597" i="52"/>
  <c r="Z700" i="52"/>
  <c r="Z402" i="52"/>
  <c r="Z490" i="52"/>
  <c r="Z427" i="52"/>
  <c r="Z319" i="52"/>
  <c r="Z1045" i="52"/>
  <c r="Z63" i="52"/>
  <c r="Z28" i="52"/>
  <c r="Z540" i="52"/>
  <c r="Z584" i="52"/>
  <c r="Z178" i="52"/>
  <c r="Z293" i="52"/>
  <c r="Z677" i="52"/>
  <c r="Z1136" i="52"/>
  <c r="Z801" i="52"/>
  <c r="Z508" i="52"/>
  <c r="Z659" i="52"/>
  <c r="Z405" i="52"/>
  <c r="Z722" i="52"/>
  <c r="Z1042" i="52"/>
  <c r="Z799" i="52"/>
  <c r="Z343" i="52"/>
  <c r="Z454" i="52"/>
  <c r="Z735" i="52"/>
  <c r="Z279" i="52"/>
  <c r="Z390" i="52"/>
  <c r="Z1135" i="52"/>
  <c r="Z70" i="52"/>
  <c r="Z798" i="52"/>
  <c r="Z795" i="52"/>
  <c r="Z291" i="52"/>
  <c r="Z1033" i="52"/>
  <c r="Z1005" i="52"/>
  <c r="Z399" i="52"/>
  <c r="Z510" i="52"/>
  <c r="Z1047" i="52"/>
  <c r="Z733" i="52"/>
  <c r="Z121" i="52"/>
  <c r="Z114" i="52"/>
  <c r="Z437" i="52"/>
  <c r="Z1075" i="52"/>
  <c r="Z674" i="52"/>
  <c r="Z143" i="52"/>
  <c r="Z712" i="52"/>
  <c r="Z265" i="52"/>
  <c r="Z201" i="52"/>
  <c r="Z258" i="52"/>
  <c r="Z419" i="52"/>
  <c r="Z327" i="52"/>
  <c r="Z324" i="52"/>
  <c r="Z230" i="52"/>
  <c r="Z572" i="52"/>
  <c r="Z532" i="52"/>
  <c r="Z906" i="52"/>
  <c r="Z1020" i="52"/>
  <c r="Z831" i="52"/>
  <c r="Z533" i="52"/>
  <c r="Z345" i="52"/>
  <c r="Z627" i="52"/>
  <c r="Z1031" i="52"/>
  <c r="Z137" i="52"/>
  <c r="Z116" i="52"/>
  <c r="Z1068" i="52"/>
  <c r="Z232" i="52"/>
  <c r="Z988" i="52"/>
  <c r="Z541" i="52"/>
  <c r="Z31" i="52"/>
  <c r="Z330" i="52"/>
  <c r="Z523" i="52"/>
  <c r="Z275" i="52"/>
  <c r="Z779" i="52"/>
  <c r="Z615" i="52"/>
  <c r="Z482" i="52"/>
  <c r="Z253" i="52"/>
  <c r="Z656" i="52"/>
  <c r="Z1063" i="52"/>
  <c r="Z44" i="52"/>
  <c r="Z894" i="52"/>
  <c r="Z362" i="52"/>
  <c r="Z472" i="52"/>
  <c r="Z295" i="52"/>
  <c r="Z157" i="52"/>
  <c r="Z213" i="52"/>
  <c r="Z888" i="52"/>
  <c r="Z878" i="52"/>
  <c r="Z749" i="52"/>
  <c r="Z465" i="52"/>
  <c r="Z71" i="52"/>
  <c r="Z551" i="52"/>
  <c r="Z797" i="52"/>
  <c r="Z861" i="52"/>
  <c r="Z355" i="52"/>
  <c r="Z655" i="52"/>
  <c r="Z753" i="52"/>
  <c r="Z912" i="52"/>
  <c r="Z411" i="52"/>
  <c r="Z210" i="52"/>
  <c r="Z432" i="52"/>
  <c r="Z909" i="52"/>
  <c r="Z710" i="52"/>
  <c r="Z312" i="52"/>
  <c r="Z112" i="52"/>
  <c r="Z874" i="52"/>
  <c r="Z564" i="52"/>
  <c r="Z236" i="52"/>
  <c r="Z180" i="52"/>
  <c r="Z531" i="52"/>
  <c r="Z39" i="52"/>
  <c r="Z745" i="52"/>
  <c r="Z692" i="52"/>
  <c r="Z337" i="52"/>
  <c r="Z155" i="52"/>
  <c r="Z1156" i="52"/>
  <c r="Z711" i="52"/>
  <c r="Z863" i="52"/>
  <c r="Z404" i="52"/>
  <c r="Z776" i="52"/>
  <c r="Z985" i="52"/>
  <c r="Z66" i="52"/>
  <c r="Z788" i="52"/>
  <c r="Z417" i="52"/>
  <c r="Z1034" i="52"/>
  <c r="Z40" i="52"/>
  <c r="Z494" i="52"/>
  <c r="Z447" i="52"/>
  <c r="Z726" i="52"/>
  <c r="Z67" i="52"/>
  <c r="Z549" i="52"/>
  <c r="Z689" i="52"/>
  <c r="Z882" i="52"/>
  <c r="Z845" i="52"/>
  <c r="Z329" i="52"/>
  <c r="Z631" i="52"/>
  <c r="Z32" i="52"/>
  <c r="Z520" i="52"/>
  <c r="Z772" i="52"/>
  <c r="Z840" i="52"/>
  <c r="Z218" i="52"/>
  <c r="Z573" i="52"/>
  <c r="Z892" i="52"/>
  <c r="Z865" i="52"/>
  <c r="Z200" i="52"/>
  <c r="Z311" i="52"/>
  <c r="Z767" i="52"/>
  <c r="Z1010" i="52"/>
  <c r="Z365" i="52"/>
  <c r="Z470" i="52"/>
  <c r="Z423" i="52"/>
  <c r="Z288" i="52"/>
  <c r="Z1099" i="52"/>
  <c r="Z1167" i="52"/>
  <c r="Z1087" i="52"/>
  <c r="Z452" i="52"/>
  <c r="Z1137" i="52"/>
  <c r="Z1106" i="52"/>
  <c r="Z760" i="52"/>
  <c r="Z1061" i="52"/>
  <c r="Z105" i="52"/>
  <c r="Z574" i="52"/>
  <c r="Z410" i="52"/>
  <c r="Z506" i="52"/>
  <c r="Z889" i="52"/>
  <c r="Z650" i="52"/>
  <c r="Z809" i="52"/>
  <c r="Z671" i="52"/>
  <c r="Z401" i="52"/>
  <c r="Z135" i="52"/>
  <c r="Z450" i="52"/>
  <c r="Z1157" i="52"/>
  <c r="Z1104" i="52"/>
  <c r="Z1181" i="52"/>
  <c r="Z326" i="52"/>
  <c r="Z881" i="52"/>
  <c r="Z630" i="52"/>
  <c r="Z461" i="52"/>
  <c r="Z575" i="52"/>
  <c r="Z661" i="52"/>
  <c r="Z537" i="52"/>
  <c r="Z95" i="52"/>
  <c r="Z1077" i="52"/>
  <c r="Z1040" i="52"/>
  <c r="Z524" i="52"/>
  <c r="Z378" i="52"/>
  <c r="Z315" i="52"/>
  <c r="Z1163" i="52"/>
  <c r="Z1145" i="52"/>
  <c r="Z784" i="52"/>
  <c r="Z1164" i="52"/>
  <c r="Z1159" i="52"/>
  <c r="Z1116" i="52"/>
  <c r="Z1150" i="52"/>
  <c r="Z495" i="52"/>
  <c r="Z774" i="52"/>
  <c r="Z621" i="52"/>
  <c r="Z940" i="52"/>
  <c r="Z1071" i="52"/>
  <c r="Z108" i="52"/>
  <c r="Z396" i="52"/>
  <c r="Z832" i="52"/>
  <c r="Z660" i="52"/>
  <c r="Z375" i="52"/>
  <c r="Z351" i="52"/>
  <c r="Z616" i="52"/>
  <c r="Z897" i="52"/>
  <c r="Z444" i="52"/>
  <c r="Z186" i="52"/>
  <c r="Z1024" i="52"/>
  <c r="Z175" i="52"/>
  <c r="Z65" i="52"/>
  <c r="Z240" i="52"/>
  <c r="Z360" i="52"/>
  <c r="Z1037" i="52"/>
  <c r="Z560" i="52"/>
  <c r="Z821" i="52"/>
  <c r="Z762" i="52"/>
  <c r="Z704" i="52"/>
  <c r="Z858" i="52"/>
  <c r="Z766" i="52"/>
  <c r="Z153" i="52"/>
  <c r="Z614" i="52"/>
  <c r="Z853" i="52"/>
  <c r="Z981" i="52"/>
  <c r="Z123" i="52"/>
  <c r="Z553" i="52"/>
  <c r="Z496" i="52"/>
  <c r="Z922" i="52"/>
  <c r="Z593" i="52"/>
  <c r="Z249" i="52"/>
  <c r="Z636" i="52"/>
  <c r="Z174" i="52"/>
  <c r="Z245" i="52"/>
  <c r="Z669" i="52"/>
  <c r="Z926" i="52"/>
  <c r="Z171" i="52"/>
  <c r="Z185" i="52"/>
  <c r="Z344" i="52"/>
  <c r="Z1177" i="52"/>
  <c r="Z1127" i="52"/>
  <c r="Z1113" i="52"/>
  <c r="Z227" i="52"/>
  <c r="Z1089" i="52"/>
  <c r="Z914" i="52"/>
  <c r="Z562" i="52"/>
  <c r="Z618" i="52"/>
  <c r="Z119" i="52"/>
  <c r="Z931" i="52"/>
  <c r="Z500" i="52"/>
  <c r="Z1162" i="52"/>
  <c r="Z1149" i="52"/>
  <c r="Z1115" i="52"/>
  <c r="Z203" i="52"/>
  <c r="Z503" i="52"/>
  <c r="Z462" i="52"/>
  <c r="Z1122" i="52"/>
  <c r="Z338" i="52"/>
  <c r="Z899" i="52"/>
  <c r="Z915" i="52"/>
  <c r="Z350" i="52"/>
  <c r="Z603" i="52"/>
  <c r="Z759" i="52"/>
  <c r="Z833" i="52"/>
  <c r="Z1057" i="52"/>
  <c r="Z754" i="52"/>
  <c r="Z538" i="52"/>
  <c r="Z429" i="52"/>
  <c r="Z683" i="52"/>
  <c r="Z837" i="52"/>
  <c r="Z851" i="52"/>
  <c r="Z1078" i="52"/>
  <c r="Z270" i="52"/>
  <c r="Z1172" i="52"/>
  <c r="Z1185" i="52"/>
  <c r="Z103" i="52"/>
  <c r="Z800" i="52"/>
  <c r="Z364" i="52"/>
  <c r="Z487" i="52"/>
  <c r="Z348" i="52"/>
  <c r="Z640" i="52"/>
  <c r="Z398" i="52"/>
  <c r="Z1019" i="52"/>
  <c r="Z466" i="52"/>
  <c r="Z111" i="52"/>
  <c r="Z460" i="52"/>
  <c r="Z1118" i="52"/>
  <c r="Z963" i="52"/>
  <c r="Z901" i="52"/>
  <c r="Z984" i="52"/>
  <c r="Z486" i="52"/>
  <c r="Z802" i="52"/>
  <c r="Z676" i="52"/>
  <c r="Z729" i="52"/>
  <c r="Z1014" i="52"/>
  <c r="Z102" i="52"/>
  <c r="Z433" i="52"/>
  <c r="Z83" i="52"/>
  <c r="Z794" i="52"/>
  <c r="Z49" i="52"/>
  <c r="Z244" i="52"/>
  <c r="Z509" i="52"/>
  <c r="Z649" i="52"/>
  <c r="Z918" i="52"/>
  <c r="Z478" i="52"/>
  <c r="Z367" i="52"/>
  <c r="Z919" i="52"/>
  <c r="Z544" i="52"/>
  <c r="Z601" i="52"/>
  <c r="Z160" i="52"/>
  <c r="Z392" i="52"/>
  <c r="Z138" i="52"/>
  <c r="Z606" i="52"/>
  <c r="Z124" i="52"/>
  <c r="Z204" i="52"/>
  <c r="Z289" i="52"/>
  <c r="Z1051" i="52"/>
  <c r="Z217" i="52"/>
  <c r="Z381" i="52"/>
  <c r="Z747" i="52"/>
  <c r="Z727" i="52"/>
  <c r="Z622" i="52"/>
  <c r="Z780" i="52"/>
  <c r="Z1008" i="52"/>
  <c r="Z647" i="52"/>
  <c r="Z623" i="52"/>
  <c r="Z356" i="52"/>
  <c r="Z187" i="52"/>
  <c r="Z1016" i="52"/>
  <c r="Z972" i="52"/>
  <c r="Z307" i="52"/>
  <c r="Z709" i="52"/>
  <c r="Z1054" i="52"/>
  <c r="Z280" i="52"/>
  <c r="Z513" i="52"/>
  <c r="Z151" i="52"/>
  <c r="Z1147" i="52"/>
  <c r="Z43" i="52"/>
  <c r="Z1081" i="52"/>
  <c r="Z611" i="52"/>
  <c r="Z115" i="52"/>
  <c r="Z50" i="52"/>
  <c r="Z501" i="52"/>
  <c r="Z286" i="52"/>
  <c r="Z875" i="52"/>
  <c r="Z170" i="52"/>
  <c r="Z118" i="52"/>
  <c r="Z304" i="52"/>
  <c r="Z1083" i="52"/>
  <c r="Z1180" i="52"/>
  <c r="Z255" i="52"/>
  <c r="Z670" i="52"/>
  <c r="Z818" i="52"/>
  <c r="Z846" i="52"/>
  <c r="Z732" i="52"/>
  <c r="Z941" i="52"/>
  <c r="Z352" i="52"/>
  <c r="Z412" i="52"/>
  <c r="Z877" i="52"/>
  <c r="Z1094" i="52"/>
  <c r="Z633" i="52"/>
  <c r="Z579" i="52"/>
  <c r="Z507" i="52"/>
  <c r="Z191" i="52"/>
  <c r="Z1030" i="52"/>
  <c r="Z96" i="52"/>
  <c r="Z211" i="52"/>
  <c r="Z1108" i="52"/>
  <c r="Z607" i="52"/>
  <c r="Z122" i="52"/>
  <c r="Z838" i="52"/>
  <c r="Z907" i="52"/>
  <c r="Z939" i="52"/>
  <c r="Z1176" i="52"/>
  <c r="Z1103" i="52"/>
  <c r="Z1178" i="52"/>
  <c r="Z1126" i="52"/>
  <c r="Z516" i="52"/>
  <c r="Z377" i="52"/>
  <c r="Z679" i="52"/>
  <c r="Z92" i="52"/>
  <c r="Z559" i="52"/>
  <c r="Z440" i="52"/>
  <c r="Z819" i="52"/>
  <c r="Z449" i="52"/>
  <c r="Z696" i="52"/>
  <c r="Z259" i="52"/>
  <c r="Z763" i="52"/>
  <c r="Z641" i="52"/>
  <c r="Z960" i="52"/>
  <c r="Z176" i="52"/>
  <c r="Z464" i="52"/>
  <c r="Z1175" i="52"/>
  <c r="Z463" i="52"/>
  <c r="Z117" i="52"/>
  <c r="Z599" i="52"/>
  <c r="Z222" i="52"/>
  <c r="Z89" i="52"/>
  <c r="Z829" i="52"/>
  <c r="Z852" i="52"/>
  <c r="Z488" i="52"/>
  <c r="Z64" i="52"/>
  <c r="Z1058" i="52"/>
  <c r="Z903" i="52"/>
  <c r="Z212" i="52"/>
  <c r="Z385" i="52"/>
  <c r="Z150" i="52"/>
  <c r="Z1035" i="52"/>
  <c r="Z826" i="52"/>
  <c r="Z644" i="52"/>
  <c r="Z292" i="52"/>
  <c r="Z883" i="52"/>
  <c r="Z1060" i="52"/>
  <c r="Z743" i="52"/>
  <c r="Z287" i="52"/>
  <c r="Z989" i="52"/>
  <c r="Z932" i="52"/>
  <c r="Z251" i="52"/>
  <c r="Z675" i="52"/>
  <c r="Z172" i="52"/>
  <c r="Z353" i="52"/>
  <c r="Z274" i="52"/>
  <c r="Z166" i="52"/>
  <c r="Z511" i="52"/>
  <c r="Z790" i="52"/>
  <c r="Z817" i="52"/>
  <c r="Z53" i="52"/>
  <c r="Z1055" i="52"/>
  <c r="Z1088" i="52"/>
  <c r="Z702" i="52"/>
  <c r="Z980" i="52"/>
  <c r="Z197" i="52"/>
  <c r="Z302" i="52"/>
  <c r="Z1148" i="52"/>
  <c r="Z468" i="52"/>
  <c r="Z1011" i="52"/>
  <c r="Z456" i="52"/>
  <c r="Z110" i="52"/>
  <c r="Z803" i="52"/>
  <c r="Z841" i="52"/>
  <c r="Z545" i="52"/>
  <c r="Z1173" i="52"/>
  <c r="Z477" i="52"/>
  <c r="Z139" i="52"/>
  <c r="Z565" i="52"/>
  <c r="Z924" i="52"/>
  <c r="Z1036" i="52"/>
  <c r="Z358" i="52"/>
  <c r="Z796" i="52"/>
  <c r="Z942" i="52"/>
  <c r="Z953" i="52"/>
  <c r="Z990" i="52"/>
  <c r="Z100" i="52"/>
  <c r="Z387" i="52"/>
  <c r="Z403" i="52"/>
  <c r="Z959" i="52"/>
  <c r="Z505" i="52"/>
  <c r="Z629" i="52"/>
  <c r="Z241" i="52"/>
  <c r="Z1093" i="52"/>
  <c r="Z205" i="52"/>
  <c r="Z109" i="52"/>
  <c r="Z225" i="52"/>
  <c r="Z568" i="52"/>
  <c r="Z407" i="52"/>
  <c r="Z672" i="52"/>
  <c r="Z950" i="52"/>
  <c r="Z1032" i="52"/>
  <c r="Z628" i="52"/>
  <c r="Z1038" i="52"/>
  <c r="Z52" i="52"/>
  <c r="Z761" i="52"/>
  <c r="Z933" i="52"/>
  <c r="Z148" i="52"/>
  <c r="Z834" i="52"/>
  <c r="Z273" i="52"/>
  <c r="Z207" i="52"/>
  <c r="Z98" i="52"/>
  <c r="Z300" i="52"/>
  <c r="Z816" i="52"/>
  <c r="Z870" i="52"/>
  <c r="Z57" i="52"/>
  <c r="Z216" i="52"/>
  <c r="Z757" i="52"/>
  <c r="Z667" i="52"/>
  <c r="Z1154" i="52"/>
  <c r="Z719" i="52"/>
  <c r="Z567" i="52"/>
  <c r="Z196" i="52"/>
  <c r="Z391" i="52"/>
  <c r="Z438" i="52"/>
  <c r="Z1142" i="52"/>
  <c r="Z566" i="52"/>
  <c r="Z975" i="52"/>
  <c r="Z688" i="52"/>
  <c r="Z542" i="52"/>
  <c r="Z152" i="52"/>
  <c r="Z489" i="52"/>
  <c r="Z442" i="52"/>
  <c r="Z379" i="52"/>
  <c r="Z1179" i="52"/>
  <c r="Z314" i="52"/>
  <c r="Z563" i="52"/>
  <c r="Z1129" i="52"/>
  <c r="Z393" i="52"/>
  <c r="Z695" i="52"/>
  <c r="Z208" i="52"/>
  <c r="Z961" i="52"/>
  <c r="Z127" i="52"/>
  <c r="Z570" i="52"/>
  <c r="Z782" i="52"/>
  <c r="Z648" i="52"/>
  <c r="Z588" i="52"/>
  <c r="Z1085" i="52"/>
  <c r="Z1009" i="52"/>
  <c r="Z168" i="52"/>
  <c r="Z51" i="52"/>
  <c r="Z284" i="52"/>
  <c r="Z301" i="52"/>
  <c r="Z534" i="52"/>
  <c r="Z223" i="52"/>
  <c r="Z619" i="52"/>
  <c r="Z639" i="52"/>
  <c r="Z777" i="52"/>
  <c r="Z839" i="52"/>
  <c r="Z1018" i="52"/>
  <c r="Z56" i="52"/>
  <c r="Z864" i="52"/>
  <c r="Z792" i="52"/>
  <c r="Z514" i="52"/>
  <c r="Z580" i="52"/>
  <c r="Z699" i="52"/>
  <c r="Z902" i="52"/>
  <c r="Z126" i="52"/>
  <c r="Z406" i="52"/>
  <c r="Z1072" i="52"/>
  <c r="Z194" i="52"/>
  <c r="Z310" i="52"/>
  <c r="Z769" i="52"/>
  <c r="Z268" i="52"/>
  <c r="Z1102" i="52"/>
  <c r="Z290" i="52"/>
  <c r="Z716" i="52"/>
  <c r="Z104" i="52"/>
  <c r="Z82" i="52"/>
  <c r="Z285" i="52"/>
  <c r="Z1134" i="52"/>
  <c r="Z481" i="52"/>
  <c r="Z88" i="52"/>
  <c r="Z277" i="52"/>
  <c r="Z609" i="52"/>
  <c r="Z921" i="52"/>
  <c r="Z413" i="52"/>
  <c r="Z426" i="52"/>
  <c r="Z363" i="52"/>
  <c r="Z276" i="52"/>
  <c r="Z697" i="52"/>
  <c r="Z177" i="52"/>
  <c r="Z434" i="52"/>
  <c r="Z46" i="52"/>
  <c r="Z646" i="52"/>
  <c r="Z318" i="52"/>
  <c r="Z1132" i="52"/>
  <c r="Z473" i="52"/>
  <c r="Z159" i="52"/>
  <c r="Z977" i="52"/>
  <c r="Z459" i="52"/>
  <c r="Z522" i="52"/>
  <c r="Z1044" i="52"/>
  <c r="Z746" i="52"/>
  <c r="Z483" i="52"/>
  <c r="Z382" i="52"/>
  <c r="Z850" i="52"/>
  <c r="Z657" i="52"/>
  <c r="Z517" i="52"/>
  <c r="Z99" i="52"/>
  <c r="Z974" i="52"/>
  <c r="Z908" i="52"/>
  <c r="Z519" i="52"/>
  <c r="Z569" i="52"/>
  <c r="Z983" i="52"/>
  <c r="Z687" i="52"/>
  <c r="Z546" i="52"/>
  <c r="Z317" i="52"/>
  <c r="Z1128" i="52"/>
  <c r="Z1131" i="52"/>
  <c r="Z144" i="52"/>
  <c r="Z1144" i="52"/>
  <c r="Z596" i="52"/>
  <c r="Z467" i="52"/>
  <c r="Z730" i="52"/>
  <c r="Z928" i="52"/>
  <c r="Z113" i="52"/>
  <c r="Z228" i="52"/>
  <c r="Z1015" i="52"/>
  <c r="Z1028" i="52"/>
  <c r="Z173" i="52"/>
  <c r="Z632" i="52"/>
  <c r="Z414" i="52"/>
  <c r="Z303" i="52"/>
  <c r="Z713" i="52"/>
  <c r="Z937" i="52"/>
  <c r="Z866" i="52"/>
  <c r="Z526" i="52"/>
  <c r="Z642" i="52"/>
  <c r="Z828" i="52"/>
  <c r="Z1046" i="52"/>
  <c r="Z978" i="52"/>
  <c r="Z956" i="52"/>
  <c r="Z1049" i="52"/>
  <c r="Z75" i="52"/>
  <c r="Z260" i="52"/>
  <c r="Z214" i="52"/>
  <c r="Z554" i="52"/>
  <c r="Z589" i="52"/>
  <c r="Z666" i="52"/>
  <c r="Z756" i="52"/>
  <c r="Z1080" i="52"/>
  <c r="Z140" i="52"/>
  <c r="Z261" i="52"/>
  <c r="Z263" i="52"/>
  <c r="Z1169" i="52"/>
  <c r="Z101" i="52"/>
  <c r="Z976" i="52"/>
  <c r="Z130" i="52"/>
  <c r="Z421" i="52"/>
  <c r="Z73" i="52"/>
  <c r="Z945" i="52"/>
  <c r="Z1166" i="52"/>
  <c r="Z264" i="52"/>
  <c r="Z999" i="52"/>
  <c r="Z206" i="52"/>
  <c r="Z1109" i="52"/>
  <c r="Z1114" i="52"/>
  <c r="Z334" i="52"/>
  <c r="Z54" i="52"/>
  <c r="Z947" i="52"/>
  <c r="Z1067" i="52"/>
  <c r="Z991" i="52"/>
  <c r="Z476" i="52"/>
  <c r="Z1012" i="52"/>
  <c r="Z598" i="52"/>
  <c r="Z369" i="52"/>
  <c r="Z1074" i="52"/>
  <c r="Z690" i="52"/>
  <c r="Z1079" i="52"/>
  <c r="Z1171" i="52"/>
  <c r="Z995" i="52"/>
  <c r="Z971" i="52"/>
  <c r="Z179" i="52"/>
  <c r="Z1096" i="52"/>
  <c r="Z871" i="52"/>
  <c r="Z602" i="52"/>
  <c r="Z235" i="52"/>
  <c r="Z85" i="52"/>
  <c r="Z964" i="52"/>
  <c r="Z938" i="52"/>
  <c r="Z492" i="52"/>
  <c r="Z254" i="52"/>
  <c r="Z1062" i="52"/>
  <c r="Z725" i="52"/>
  <c r="Z728" i="52"/>
  <c r="Z791" i="52"/>
  <c r="Z271" i="52"/>
  <c r="Z1124" i="52"/>
  <c r="Z1174" i="52"/>
  <c r="Z1165" i="52"/>
  <c r="Z561" i="52"/>
  <c r="Z1023" i="52"/>
  <c r="Z491" i="52"/>
  <c r="Z418" i="52"/>
  <c r="Z715" i="52"/>
  <c r="Z946" i="52"/>
  <c r="Z62" i="52"/>
  <c r="Z349" i="52"/>
  <c r="Z970" i="52"/>
  <c r="Z342" i="52"/>
  <c r="Z229" i="52"/>
  <c r="Z1048" i="52"/>
  <c r="Z605" i="52"/>
  <c r="Z1001" i="52"/>
  <c r="Z58" i="52"/>
  <c r="Z323" i="52"/>
  <c r="Z827" i="52"/>
  <c r="Z724" i="52"/>
  <c r="Z1039" i="52"/>
  <c r="Z1100" i="52"/>
  <c r="Z422" i="52"/>
  <c r="Z787" i="52"/>
  <c r="Z612" i="52"/>
  <c r="Z930" i="52"/>
  <c r="Z1025" i="52"/>
  <c r="Z416" i="52"/>
  <c r="Z836" i="52"/>
  <c r="Z557" i="52"/>
  <c r="Z36" i="52"/>
  <c r="Z658" i="52"/>
  <c r="Z439" i="52"/>
  <c r="Z935" i="52"/>
  <c r="Z869" i="52"/>
  <c r="Z741" i="52"/>
  <c r="Z954" i="52"/>
  <c r="Z27" i="52"/>
  <c r="Z558" i="52"/>
  <c r="Z340" i="52"/>
  <c r="Z1160" i="52"/>
  <c r="Z1043" i="52"/>
  <c r="Z664" i="52"/>
  <c r="Z698" i="52"/>
  <c r="Z824" i="52"/>
  <c r="Z373" i="52"/>
  <c r="Z948" i="52"/>
  <c r="Z781" i="52"/>
  <c r="Z1143" i="52"/>
  <c r="Z55" i="52"/>
  <c r="Z247" i="52"/>
  <c r="Z873" i="52"/>
  <c r="Z512" i="52"/>
  <c r="Z1013" i="52"/>
  <c r="Z1152" i="52"/>
  <c r="Z359" i="52"/>
  <c r="Z807" i="52"/>
  <c r="Z879" i="52"/>
  <c r="Z192" i="52"/>
  <c r="Z682" i="52"/>
  <c r="Z134" i="52"/>
  <c r="Z131" i="52"/>
  <c r="Z485" i="52"/>
  <c r="Z625" i="52"/>
  <c r="Z451" i="52"/>
  <c r="Z723" i="52"/>
  <c r="Z652" i="52"/>
  <c r="Z751" i="52"/>
  <c r="Z822" i="52"/>
  <c r="Z97" i="52"/>
  <c r="Z297" i="52"/>
  <c r="Z1123" i="52"/>
  <c r="Z446" i="52"/>
  <c r="Z916" i="52"/>
  <c r="Z703" i="52"/>
  <c r="Z594" i="52"/>
  <c r="Z35" i="52"/>
  <c r="Z1073" i="52"/>
  <c r="Z1007" i="52"/>
  <c r="Z934" i="52"/>
  <c r="Z905" i="52"/>
  <c r="Z705" i="52"/>
  <c r="Z308" i="52"/>
  <c r="Z409" i="52"/>
  <c r="Z78" i="52"/>
  <c r="Z929" i="52"/>
  <c r="Z957" i="52"/>
  <c r="Z395" i="52"/>
  <c r="Z895" i="52"/>
  <c r="Z443" i="52"/>
  <c r="Z296" i="52"/>
  <c r="Z23" i="52"/>
  <c r="Z1004" i="52"/>
  <c r="Z1065" i="52"/>
  <c r="Z59" i="52"/>
  <c r="Z313" i="52"/>
  <c r="Z1133" i="52"/>
  <c r="Z93" i="52"/>
  <c r="Z1138" i="52"/>
  <c r="Z581" i="52"/>
  <c r="Z701" i="52"/>
  <c r="Z962" i="52"/>
  <c r="Z1064" i="52"/>
  <c r="Z163" i="52"/>
  <c r="Z480" i="52"/>
  <c r="Z737" i="52"/>
  <c r="Z133" i="52"/>
  <c r="Z45" i="52"/>
  <c r="Z590" i="52"/>
  <c r="Z441" i="52"/>
  <c r="Z1111" i="52"/>
  <c r="Z515" i="52"/>
  <c r="Z778" i="52"/>
  <c r="Z848" i="52"/>
  <c r="Z1029" i="52"/>
  <c r="Z79" i="52"/>
  <c r="Z37" i="52"/>
  <c r="Z610" i="52"/>
  <c r="Z282" i="52"/>
  <c r="Z835" i="52"/>
  <c r="Z920" i="52"/>
  <c r="Z1110" i="52"/>
  <c r="Z986" i="52"/>
  <c r="Z663" i="52"/>
  <c r="Z278" i="52"/>
  <c r="Z224" i="52"/>
  <c r="Z691" i="52"/>
  <c r="Z1084" i="52"/>
  <c r="Z529" i="52"/>
  <c r="Z997" i="52"/>
  <c r="Z1112" i="52"/>
  <c r="Z773" i="52"/>
  <c r="Z256" i="52"/>
  <c r="Z267" i="52"/>
  <c r="Z765" i="52"/>
  <c r="Z142" i="52"/>
  <c r="Z855" i="52"/>
  <c r="Z335" i="52"/>
  <c r="Z1140" i="52"/>
  <c r="Z585" i="52"/>
  <c r="Z145" i="52"/>
  <c r="Z592" i="52"/>
  <c r="Z804" i="52"/>
  <c r="Z384" i="52"/>
  <c r="Z136" i="52"/>
  <c r="Z1002" i="52"/>
  <c r="Z195" i="52"/>
  <c r="Z668" i="52"/>
  <c r="Z281" i="52"/>
  <c r="Z184" i="52"/>
  <c r="Z884" i="52"/>
  <c r="Z717" i="52"/>
  <c r="Z550" i="52"/>
  <c r="Z626" i="52"/>
  <c r="Z458" i="52"/>
  <c r="Z1155" i="52"/>
  <c r="Z979" i="52"/>
  <c r="Z635" i="52"/>
  <c r="Z789" i="52"/>
  <c r="Z917" i="52"/>
  <c r="Z42" i="52"/>
  <c r="Z298" i="52"/>
  <c r="Z738" i="52"/>
  <c r="Z1017" i="52"/>
  <c r="Z734" i="52"/>
  <c r="Z408" i="52"/>
  <c r="Z388" i="52"/>
  <c r="Z847" i="52"/>
  <c r="Z1090" i="52"/>
  <c r="Z493" i="52"/>
  <c r="Z662" i="52"/>
  <c r="Z943" i="52"/>
  <c r="Z965" i="52"/>
  <c r="Z793" i="52"/>
  <c r="Z38" i="52"/>
  <c r="Z497" i="52"/>
  <c r="Z60" i="52"/>
  <c r="Z856" i="52"/>
  <c r="Z1101" i="52"/>
  <c r="Z243" i="52"/>
  <c r="Z576" i="52"/>
  <c r="Z900" i="52"/>
  <c r="Z859" i="52"/>
  <c r="Z305" i="52"/>
  <c r="Z823" i="52"/>
  <c r="Z653" i="52"/>
  <c r="Z896" i="52"/>
  <c r="Z146" i="52"/>
  <c r="Z518" i="52"/>
  <c r="Z333" i="52"/>
  <c r="Z665" i="52"/>
  <c r="Z556" i="52"/>
  <c r="Z262" i="52"/>
  <c r="Z1161" i="52"/>
  <c r="Z332" i="52"/>
  <c r="Z420" i="52"/>
  <c r="Z183" i="52"/>
  <c r="Z86" i="52"/>
  <c r="Z601" i="55"/>
  <c r="Z480" i="44"/>
  <c r="Z99" i="44"/>
  <c r="Z1059" i="44"/>
  <c r="Z70" i="44"/>
  <c r="Z220" i="44"/>
  <c r="Z835" i="44"/>
  <c r="Z215" i="44"/>
  <c r="Z910" i="44"/>
  <c r="Z83" i="44"/>
  <c r="Z501" i="44"/>
  <c r="Z193" i="44"/>
  <c r="Z421" i="44"/>
  <c r="Z851" i="44"/>
  <c r="Z1151" i="44"/>
  <c r="Z250" i="44"/>
  <c r="Z670" i="44"/>
  <c r="Z266" i="44"/>
  <c r="Z829" i="44"/>
  <c r="Z322" i="44"/>
  <c r="Z285" i="44"/>
  <c r="Z176" i="44"/>
  <c r="Z393" i="44"/>
  <c r="Z1159" i="44"/>
  <c r="Z865" i="44"/>
  <c r="Z419" i="44"/>
  <c r="Z1034" i="44"/>
  <c r="Z278" i="44"/>
  <c r="Z225" i="44"/>
  <c r="Z626" i="44"/>
  <c r="Z1002" i="44"/>
  <c r="Z1090" i="44"/>
  <c r="Z147" i="52"/>
  <c r="Z167" i="52"/>
  <c r="Z26" i="52"/>
  <c r="Z374" i="52"/>
  <c r="Z299" i="52"/>
  <c r="Z742" i="52"/>
  <c r="Z785" i="52"/>
  <c r="Z973" i="44"/>
  <c r="Z1091" i="44"/>
  <c r="Z402" i="44"/>
  <c r="Z209" i="44"/>
  <c r="Z1035" i="44"/>
  <c r="Z406" i="44"/>
  <c r="Z126" i="44"/>
  <c r="Z1185" i="44"/>
  <c r="Z782" i="44"/>
  <c r="Z91" i="44"/>
  <c r="Z415" i="44"/>
  <c r="Z379" i="44"/>
  <c r="Z593" i="44"/>
  <c r="Z389" i="44"/>
  <c r="Z229" i="44"/>
  <c r="Z885" i="44"/>
  <c r="Z792" i="44"/>
  <c r="Z611" i="44"/>
  <c r="Z545" i="44"/>
  <c r="Z23" i="44"/>
  <c r="Z640" i="44"/>
  <c r="Z299" i="44"/>
  <c r="Z669" i="44"/>
  <c r="Z625" i="44"/>
  <c r="Z37" i="44"/>
  <c r="Z512" i="44"/>
  <c r="Z624" i="44"/>
  <c r="Z884" i="44"/>
  <c r="Z471" i="44"/>
  <c r="Z464" i="44"/>
  <c r="Z294" i="52"/>
  <c r="Z530" i="52"/>
  <c r="Z141" i="52"/>
  <c r="Z736" i="52"/>
  <c r="Z771" i="52"/>
  <c r="Z164" i="52"/>
  <c r="Z312" i="55"/>
  <c r="Z668" i="44"/>
  <c r="Z662" i="44"/>
  <c r="Z381" i="44"/>
  <c r="Z199" i="44"/>
  <c r="Z205" i="44"/>
  <c r="Z32" i="44"/>
  <c r="Z1135" i="44"/>
  <c r="Z326" i="44"/>
  <c r="Z978" i="44"/>
  <c r="Z658" i="44"/>
  <c r="Z347" i="52"/>
  <c r="Z768" i="52"/>
  <c r="Z371" i="52"/>
  <c r="Z786" i="52"/>
  <c r="Z654" i="52"/>
  <c r="Z582" i="52"/>
  <c r="Z389" i="52"/>
  <c r="Z914" i="44"/>
  <c r="Z426" i="44"/>
  <c r="Z398" i="44"/>
  <c r="Z306" i="44"/>
  <c r="Z654" i="44"/>
  <c r="Z122" i="44"/>
  <c r="Z1005" i="44"/>
  <c r="Z295" i="44"/>
  <c r="Z530" i="44"/>
  <c r="Z340" i="44"/>
  <c r="Z337" i="44"/>
  <c r="Z651" i="44"/>
  <c r="Z472" i="44"/>
  <c r="Z368" i="44"/>
  <c r="Z78" i="44"/>
  <c r="Z260" i="44"/>
  <c r="Z1097" i="44"/>
  <c r="Z1134" i="44"/>
  <c r="Z468" i="44"/>
  <c r="Z796" i="44"/>
  <c r="Z722" i="44"/>
  <c r="Z190" i="44"/>
  <c r="Z866" i="44"/>
  <c r="Z983" i="44"/>
  <c r="Z1137" i="44"/>
  <c r="Z868" i="44"/>
  <c r="Z628" i="44"/>
  <c r="Z440" i="44"/>
  <c r="Z758" i="44"/>
  <c r="Z68" i="44"/>
  <c r="Z1033" i="44"/>
  <c r="Z700" i="44"/>
  <c r="Z200" i="44"/>
  <c r="Z1104" i="44"/>
  <c r="Z645" i="44"/>
  <c r="Z208" i="44"/>
  <c r="Z418" i="44"/>
  <c r="Z150" i="44"/>
  <c r="Z316" i="44"/>
  <c r="Z604" i="44"/>
  <c r="Z143" i="44"/>
  <c r="Z1070" i="44"/>
  <c r="Z291" i="44"/>
  <c r="Z281" i="44"/>
  <c r="Z130" i="44"/>
  <c r="Z1082" i="44"/>
  <c r="Z271" i="44"/>
  <c r="Z1011" i="44"/>
  <c r="Z637" i="44"/>
  <c r="Z423" i="44"/>
  <c r="Z959" i="44"/>
  <c r="Z919" i="44"/>
  <c r="Z600" i="44"/>
  <c r="Z550" i="44"/>
  <c r="Z789" i="44"/>
  <c r="Z778" i="44"/>
  <c r="Z386" i="44"/>
  <c r="Z162" i="44"/>
  <c r="Z241" i="44"/>
  <c r="Z725" i="44"/>
  <c r="Z602" i="44"/>
  <c r="Z111" i="44"/>
  <c r="Z684" i="44"/>
  <c r="Z445" i="44"/>
  <c r="Z371" i="44"/>
  <c r="Z577" i="44"/>
  <c r="Z650" i="44"/>
  <c r="Z718" i="44"/>
  <c r="Z918" i="44"/>
  <c r="Z478" i="44"/>
  <c r="Z938" i="44"/>
  <c r="Z482" i="44"/>
  <c r="Z24" i="44"/>
  <c r="Z1008" i="44"/>
  <c r="Z563" i="44"/>
  <c r="Z433" i="44"/>
  <c r="Z1015" i="44"/>
  <c r="Z186" i="44"/>
  <c r="Z862" i="44"/>
  <c r="Z878" i="44"/>
  <c r="Z1001" i="44"/>
  <c r="Z783" i="44"/>
  <c r="Z319" i="44"/>
  <c r="Z756" i="44"/>
  <c r="Z791" i="44"/>
  <c r="Z1183" i="44"/>
  <c r="Z883" i="44"/>
  <c r="Z964" i="44"/>
  <c r="Z69" i="44"/>
  <c r="Z1057" i="44"/>
  <c r="Z441" i="44"/>
  <c r="Z529" i="44"/>
  <c r="Z219" i="44"/>
  <c r="Z112" i="44"/>
  <c r="Z903" i="44"/>
  <c r="Z365" i="44"/>
  <c r="Z217" i="44"/>
  <c r="Z28" i="44"/>
  <c r="Z565" i="44"/>
  <c r="Z503" i="44"/>
  <c r="Z408" i="44"/>
  <c r="Z1051" i="44"/>
  <c r="Z948" i="44"/>
  <c r="Z504" i="44"/>
  <c r="Z311" i="44"/>
  <c r="Z116" i="44"/>
  <c r="Z1140" i="44"/>
  <c r="Z1165" i="44"/>
  <c r="Z463" i="44"/>
  <c r="Z771" i="44"/>
  <c r="Z422" i="44"/>
  <c r="Z348" i="44"/>
  <c r="Z268" i="44"/>
  <c r="Z1036" i="44"/>
  <c r="Z1125" i="44"/>
  <c r="Z1095" i="44"/>
  <c r="Z242" i="44"/>
  <c r="Z141" i="44"/>
  <c r="Z644" i="44"/>
  <c r="Z553" i="44"/>
  <c r="Z855" i="44"/>
  <c r="Z536" i="44"/>
  <c r="Z428" i="44"/>
  <c r="Z647" i="44"/>
  <c r="Z400" i="44"/>
  <c r="Z376" i="44"/>
  <c r="Z109" i="44"/>
  <c r="Z528" i="44"/>
  <c r="Z861" i="44"/>
  <c r="Z1124" i="44"/>
  <c r="Z1149" i="44"/>
  <c r="Z185" i="44"/>
  <c r="Z990" i="44"/>
  <c r="Z1021" i="44"/>
  <c r="Z661" i="44"/>
  <c r="Z832" i="44"/>
  <c r="Z719" i="44"/>
  <c r="Z935" i="44"/>
  <c r="Z1132" i="44"/>
  <c r="Z936" i="44"/>
  <c r="Z977" i="44"/>
  <c r="Z475" i="44"/>
  <c r="Z900" i="44"/>
  <c r="Z777" i="44"/>
  <c r="Z1069" i="44"/>
  <c r="Z649" i="44"/>
  <c r="Z780" i="44"/>
  <c r="Z1107" i="44"/>
  <c r="Z927" i="44"/>
  <c r="Z788" i="44"/>
  <c r="Z437" i="44"/>
  <c r="Z1073" i="44"/>
  <c r="Z795" i="44"/>
  <c r="Z745" i="44"/>
  <c r="Z764" i="44"/>
  <c r="Z80" i="44"/>
  <c r="Z491" i="44"/>
  <c r="Z799" i="44"/>
  <c r="Z671" i="44"/>
  <c r="Z364" i="44"/>
  <c r="Z169" i="44"/>
  <c r="Z44" i="44"/>
  <c r="Z427" i="44"/>
  <c r="Z833" i="44"/>
  <c r="Z515" i="44"/>
  <c r="Z1108" i="44"/>
  <c r="Z752" i="44"/>
  <c r="Z729" i="44"/>
  <c r="Z1103" i="44"/>
  <c r="Z846" i="44"/>
  <c r="Z213" i="44"/>
  <c r="Z870" i="44"/>
  <c r="Z494" i="44"/>
  <c r="Z87" i="44"/>
  <c r="Z677" i="44"/>
  <c r="Z804" i="44"/>
  <c r="Z753" i="44"/>
  <c r="Z72" i="44"/>
  <c r="Z619" i="44"/>
  <c r="Z363" i="44"/>
  <c r="Z716" i="44"/>
  <c r="Z142" i="44"/>
  <c r="Z57" i="44"/>
  <c r="Z1128" i="44"/>
  <c r="Z1169" i="44"/>
  <c r="Z584" i="44"/>
  <c r="Z540" i="44"/>
  <c r="Z189" i="44"/>
  <c r="Z443" i="44"/>
  <c r="Z975" i="44"/>
  <c r="Z300" i="44"/>
  <c r="Z333" i="44"/>
  <c r="Z127" i="44"/>
  <c r="Z588" i="44"/>
  <c r="Z736" i="44"/>
  <c r="Z874" i="44"/>
  <c r="Z886" i="44"/>
  <c r="Z470" i="44"/>
  <c r="Z733" i="44"/>
  <c r="Z814" i="44"/>
  <c r="Z523" i="44"/>
  <c r="Z178" i="44"/>
  <c r="Z77" i="44"/>
  <c r="Z923" i="44"/>
  <c r="Z583" i="44"/>
  <c r="Z598" i="44"/>
  <c r="Z247" i="44"/>
  <c r="Z93" i="44"/>
  <c r="Z613" i="44"/>
  <c r="Z431" i="44"/>
  <c r="Z776" i="44"/>
  <c r="Z750" i="44"/>
  <c r="Z244" i="44"/>
  <c r="Z746" i="44"/>
  <c r="Z139" i="44"/>
  <c r="Z957" i="44"/>
  <c r="Z1102" i="44"/>
  <c r="Z897" i="44"/>
  <c r="Z493" i="44"/>
  <c r="Z61" i="44"/>
  <c r="Z378" i="44"/>
  <c r="Z163" i="44"/>
  <c r="Z313" i="44"/>
  <c r="Z571" i="44"/>
  <c r="Z639" i="44"/>
  <c r="Z424" i="44"/>
  <c r="Z721" i="44"/>
  <c r="Z476" i="44"/>
  <c r="Z646" i="44"/>
  <c r="Z67" i="44"/>
  <c r="Z119" i="44"/>
  <c r="Z294" i="44"/>
  <c r="Z53" i="44"/>
  <c r="Z943" i="44"/>
  <c r="Z248" i="44"/>
  <c r="Z985" i="44"/>
  <c r="Z1065" i="44"/>
  <c r="Z821" i="44"/>
  <c r="Z1145" i="44"/>
  <c r="Z1182" i="44"/>
  <c r="Z876" i="44"/>
  <c r="Z473" i="44"/>
  <c r="Z239" i="44"/>
  <c r="Z1037" i="44"/>
  <c r="Z539" i="44"/>
  <c r="Z905" i="44"/>
  <c r="Z1110" i="44"/>
  <c r="Z996" i="44"/>
  <c r="Z653" i="44"/>
  <c r="Z532" i="44"/>
  <c r="Z95" i="44"/>
  <c r="Z547" i="44"/>
  <c r="Z481" i="44"/>
  <c r="Z505" i="44"/>
  <c r="Z717" i="44"/>
  <c r="Z730" i="44"/>
  <c r="Z894" i="44"/>
  <c r="Z417" i="44"/>
  <c r="Z246" i="44"/>
  <c r="Z1139" i="44"/>
  <c r="Z1012" i="44"/>
  <c r="Z589" i="44"/>
  <c r="Z439" i="44"/>
  <c r="Z552" i="44"/>
  <c r="Z1155" i="44"/>
  <c r="Z1019" i="44"/>
  <c r="Z557" i="44"/>
  <c r="Z738" i="44"/>
  <c r="Z106" i="44"/>
  <c r="Z373" i="44"/>
  <c r="Z899" i="44"/>
  <c r="Z860" i="44"/>
  <c r="Z323" i="44"/>
  <c r="Z672" i="44"/>
  <c r="Z1141" i="44"/>
  <c r="Z841" i="44"/>
  <c r="Z617" i="44"/>
  <c r="Z785" i="44"/>
  <c r="Z502" i="44"/>
  <c r="Z361" i="44"/>
  <c r="Z236" i="44"/>
  <c r="Z762" i="44"/>
  <c r="Z370" i="44"/>
  <c r="Z965" i="44"/>
  <c r="Z890" i="44"/>
  <c r="Z498" i="44"/>
  <c r="Z258" i="44"/>
  <c r="Z221" i="44"/>
  <c r="Z869" i="44"/>
  <c r="Z35" i="44"/>
  <c r="Z790" i="44"/>
  <c r="Z742" i="44"/>
  <c r="Z366" i="44"/>
  <c r="Z270" i="44"/>
  <c r="Z793" i="44"/>
  <c r="Z537" i="44"/>
  <c r="Z744" i="44"/>
  <c r="Z1031" i="44"/>
  <c r="Z1022" i="44"/>
  <c r="Z304" i="44"/>
  <c r="Z156" i="44"/>
  <c r="Z1084" i="44"/>
  <c r="Z1109" i="44"/>
  <c r="Z1130" i="44"/>
  <c r="Z525" i="44"/>
  <c r="Z460" i="44"/>
  <c r="Z352" i="44"/>
  <c r="Z147" i="44"/>
  <c r="Z357" i="44"/>
  <c r="Z538" i="44"/>
  <c r="Z702" i="44"/>
  <c r="Z290" i="44"/>
  <c r="Z259" i="44"/>
  <c r="Z30" i="44"/>
  <c r="Z212" i="44"/>
  <c r="Z925" i="44"/>
  <c r="Z1030" i="44"/>
  <c r="Z128" i="44"/>
  <c r="Z1160" i="44"/>
  <c r="Z1153" i="44"/>
  <c r="Z1058" i="44"/>
  <c r="Z713" i="44"/>
  <c r="Z355" i="44"/>
  <c r="Z616" i="44"/>
  <c r="Z572" i="44"/>
  <c r="Z1147" i="44"/>
  <c r="Z800" i="44"/>
  <c r="Z1154" i="44"/>
  <c r="Z1079" i="44"/>
  <c r="Z920" i="44"/>
  <c r="Z921" i="44"/>
  <c r="Z546" i="44"/>
  <c r="Z1083" i="44"/>
  <c r="Z432" i="44"/>
  <c r="Z761" i="44"/>
  <c r="Z457" i="44"/>
  <c r="Z317" i="44"/>
  <c r="Z634" i="44"/>
  <c r="Z1006" i="44"/>
  <c r="Z88" i="44"/>
  <c r="Z533" i="44"/>
  <c r="Z320" i="44"/>
  <c r="Z41" i="44"/>
  <c r="Z891" i="44"/>
  <c r="Z953" i="44"/>
  <c r="Z988" i="44"/>
  <c r="Z685" i="44"/>
  <c r="Z490" i="44"/>
  <c r="Z324" i="44"/>
  <c r="Z1075" i="44"/>
  <c r="Z697" i="44"/>
  <c r="Z760" i="44"/>
  <c r="Z609" i="44"/>
  <c r="Z103" i="44"/>
  <c r="Z998" i="44"/>
  <c r="Z882" i="44"/>
  <c r="Z949" i="44"/>
  <c r="Z81" i="44"/>
  <c r="Z854" i="44"/>
  <c r="Z414" i="44"/>
  <c r="Z115" i="44"/>
  <c r="Z349" i="44"/>
  <c r="Z240" i="44"/>
  <c r="Z1181" i="44"/>
  <c r="Z403" i="44"/>
  <c r="Z687" i="44"/>
  <c r="Z74" i="44"/>
  <c r="Z850" i="44"/>
  <c r="Z318" i="44"/>
  <c r="Z374" i="44"/>
  <c r="Z40" i="44"/>
  <c r="Z448" i="44"/>
  <c r="Z759" i="44"/>
  <c r="Z76" i="44"/>
  <c r="Z597" i="44"/>
  <c r="Z928" i="44"/>
  <c r="Z580" i="44"/>
  <c r="Z489" i="44"/>
  <c r="Z807" i="44"/>
  <c r="Z210" i="44"/>
  <c r="Z1101" i="44"/>
  <c r="Z834" i="44"/>
  <c r="Z410" i="44"/>
  <c r="Z574" i="44"/>
  <c r="Z350" i="44"/>
  <c r="Z90" i="44"/>
  <c r="Z1054" i="44"/>
  <c r="Z805" i="44"/>
  <c r="Z838" i="44"/>
  <c r="Z541" i="44"/>
  <c r="Z652" i="44"/>
  <c r="Z518" i="44"/>
  <c r="Z446" i="44"/>
  <c r="Z989" i="44"/>
  <c r="Z682" i="44"/>
  <c r="Z734" i="44"/>
  <c r="Z1143" i="44"/>
  <c r="Z585" i="44"/>
  <c r="Z705" i="44"/>
  <c r="Z466" i="44"/>
  <c r="Z877" i="44"/>
  <c r="Z610" i="44"/>
  <c r="Z1038" i="44"/>
  <c r="Z690" i="44"/>
  <c r="Z194" i="44"/>
  <c r="Z48" i="44"/>
  <c r="Z1117" i="44"/>
  <c r="Z1138" i="44"/>
  <c r="Z984" i="44"/>
  <c r="Z516" i="44"/>
  <c r="Z648" i="44"/>
  <c r="Z519" i="44"/>
  <c r="Z1044" i="44"/>
  <c r="Z399" i="44"/>
  <c r="Z852" i="44"/>
  <c r="Z1119" i="44"/>
  <c r="Z321" i="44"/>
  <c r="Z100" i="44"/>
  <c r="Z1156" i="44"/>
  <c r="Z667" i="44"/>
  <c r="Z873" i="44"/>
  <c r="Z828" i="44"/>
  <c r="Z633" i="44"/>
  <c r="Z500" i="44"/>
  <c r="Z114" i="44"/>
  <c r="Z280" i="44"/>
  <c r="Z1024" i="44"/>
  <c r="Z223" i="44"/>
  <c r="Z336" i="44"/>
  <c r="Z1023" i="44"/>
  <c r="Z831" i="44"/>
  <c r="Z425" i="44"/>
  <c r="Z689" i="44"/>
  <c r="Z179" i="44"/>
  <c r="Z859" i="44"/>
  <c r="Z961" i="44"/>
  <c r="Z863" i="44"/>
  <c r="Z816" i="44"/>
  <c r="Z520" i="44"/>
  <c r="Z409" i="44"/>
  <c r="Z1175" i="44"/>
  <c r="Z819" i="44"/>
  <c r="Z822" i="44"/>
  <c r="Z206" i="44"/>
  <c r="Z121" i="44"/>
  <c r="Z560" i="44"/>
  <c r="Z879" i="44"/>
  <c r="Z1174" i="44"/>
  <c r="Z929" i="44"/>
  <c r="Z568" i="44"/>
  <c r="Z787" i="44"/>
  <c r="Z743" i="44"/>
  <c r="Z461" i="44"/>
  <c r="Z347" i="44"/>
  <c r="Z283" i="44"/>
  <c r="Z438" i="44"/>
  <c r="Z413" i="44"/>
  <c r="Z218" i="44"/>
  <c r="Z188" i="44"/>
  <c r="Z1052" i="44"/>
  <c r="Z815" i="44"/>
  <c r="Z237" i="44"/>
  <c r="Z1184" i="44"/>
  <c r="Z731" i="44"/>
  <c r="Z1093" i="44"/>
  <c r="Z1114" i="44"/>
  <c r="Z971" i="44"/>
  <c r="Z655" i="44"/>
  <c r="Z436" i="44"/>
  <c r="Z1112" i="44"/>
  <c r="Z932" i="44"/>
  <c r="Z495" i="44"/>
  <c r="Z825" i="44"/>
  <c r="Z858" i="44"/>
  <c r="Z941" i="44"/>
  <c r="Z47" i="44"/>
  <c r="Z659" i="44"/>
  <c r="Z1087" i="44"/>
  <c r="Z856" i="44"/>
  <c r="Z955" i="44"/>
  <c r="Z420" i="44"/>
  <c r="Z664" i="44"/>
  <c r="Z1039" i="44"/>
  <c r="Z1172" i="44"/>
  <c r="Z947" i="44"/>
  <c r="Z559" i="44"/>
  <c r="Z909" i="44"/>
  <c r="Z643" i="44"/>
  <c r="Z449" i="44"/>
  <c r="Z893" i="44"/>
  <c r="Z65" i="44"/>
  <c r="Z951" i="44"/>
  <c r="Z1061" i="44"/>
  <c r="Z1146" i="44"/>
  <c r="Z976" i="44"/>
  <c r="Z691" i="44"/>
  <c r="Z401" i="44"/>
  <c r="Z341" i="44"/>
  <c r="Z232" i="44"/>
  <c r="Z395" i="44"/>
  <c r="Z765" i="44"/>
  <c r="Z888" i="44"/>
  <c r="Z1007" i="44"/>
  <c r="Z1142" i="44"/>
  <c r="Z887" i="44"/>
  <c r="Z275" i="44"/>
  <c r="Z261" i="44"/>
  <c r="Z594" i="44"/>
  <c r="Z39" i="44"/>
  <c r="Z62" i="44"/>
  <c r="Z698" i="44"/>
  <c r="Z160" i="44"/>
  <c r="Z1064" i="44"/>
  <c r="Z1105" i="44"/>
  <c r="Z416" i="44"/>
  <c r="Z967" i="44"/>
  <c r="Z1133" i="44"/>
  <c r="Z937" i="44"/>
  <c r="Z803" i="44"/>
  <c r="Z509" i="44"/>
  <c r="Z465" i="44"/>
  <c r="Z330" i="44"/>
  <c r="Z293" i="44"/>
  <c r="Z912" i="44"/>
  <c r="Z969" i="44"/>
  <c r="Z812" i="44"/>
  <c r="Z204" i="44"/>
  <c r="Z1100" i="44"/>
  <c r="Z63" i="44"/>
  <c r="Z75" i="44"/>
  <c r="Z198" i="44"/>
  <c r="Z85" i="44"/>
  <c r="Z467" i="44"/>
  <c r="Z993" i="44"/>
  <c r="Z1080" i="44"/>
  <c r="Z97" i="44"/>
  <c r="Z544" i="44"/>
  <c r="Z332" i="44"/>
  <c r="Z740" i="44"/>
  <c r="Z59" i="44"/>
  <c r="Z92" i="44"/>
  <c r="Z1127" i="44"/>
  <c r="Z360" i="44"/>
  <c r="Z297" i="44"/>
  <c r="Z172" i="44"/>
  <c r="Z1068" i="44"/>
  <c r="Z889" i="44"/>
  <c r="Z823" i="44"/>
  <c r="Z615" i="44"/>
  <c r="Z562" i="44"/>
  <c r="Z149" i="44"/>
  <c r="Z542" i="44"/>
  <c r="Z587" i="44"/>
  <c r="Z453" i="44"/>
  <c r="Z708" i="44"/>
  <c r="Z447" i="44"/>
  <c r="Z1047" i="44"/>
  <c r="Z1113" i="44"/>
  <c r="Z942" i="44"/>
  <c r="Z303" i="44"/>
  <c r="Z180" i="44"/>
  <c r="Z1076" i="44"/>
  <c r="Z696" i="44"/>
  <c r="Z631" i="44"/>
  <c r="Z748" i="44"/>
  <c r="Z351" i="44"/>
  <c r="Z296" i="44"/>
  <c r="Z265" i="44"/>
  <c r="Z84" i="44"/>
  <c r="Z196" i="44"/>
  <c r="Z60" i="44"/>
  <c r="Z1180" i="44"/>
  <c r="Z1048" i="44"/>
  <c r="Z1089" i="44"/>
  <c r="Z1158" i="44"/>
  <c r="Z987" i="44"/>
  <c r="Z665" i="44"/>
  <c r="Z911" i="44"/>
  <c r="Z844" i="44"/>
  <c r="Z483" i="44"/>
  <c r="Z1017" i="44"/>
  <c r="Z175" i="44"/>
  <c r="Z724" i="44"/>
  <c r="Z940" i="44"/>
  <c r="Z621" i="44"/>
  <c r="Z513" i="44"/>
  <c r="Z732" i="44"/>
  <c r="Z452" i="44"/>
  <c r="Z839" i="44"/>
  <c r="Z706" i="44"/>
  <c r="Z107" i="44"/>
  <c r="Z380" i="44"/>
  <c r="Z1099" i="44"/>
  <c r="Z916" i="44"/>
  <c r="Z596" i="44"/>
  <c r="Z775" i="44"/>
  <c r="Z797" i="44"/>
  <c r="Z673" i="44"/>
  <c r="Z385" i="44"/>
  <c r="Z1067" i="44"/>
  <c r="Z575" i="44"/>
  <c r="Z679" i="44"/>
  <c r="Z1055" i="44"/>
  <c r="Z131" i="44"/>
  <c r="Z273" i="44"/>
  <c r="Z728" i="44"/>
  <c r="Z535" i="44"/>
  <c r="Z1043" i="44"/>
  <c r="Z972" i="44"/>
  <c r="Z579" i="44"/>
  <c r="Z556" i="44"/>
  <c r="Z157" i="44"/>
  <c r="Z853" i="44"/>
  <c r="Z934" i="44"/>
  <c r="Z558" i="44"/>
  <c r="Z802" i="44"/>
  <c r="Z1078" i="44"/>
  <c r="Z234" i="44"/>
  <c r="Z901" i="44"/>
  <c r="Z1062" i="44"/>
  <c r="Z686" i="44"/>
  <c r="Z86" i="44"/>
  <c r="Z33" i="44"/>
  <c r="Z946" i="44"/>
  <c r="Z554" i="44"/>
  <c r="Z930" i="44"/>
  <c r="Z570" i="44"/>
  <c r="Z288" i="44"/>
  <c r="Z82" i="44"/>
  <c r="Z1166" i="44"/>
  <c r="Z809" i="44"/>
  <c r="Z391" i="44"/>
  <c r="Z253" i="44"/>
  <c r="Z392" i="44"/>
  <c r="Z345" i="44"/>
  <c r="Z699" i="44"/>
  <c r="Z747" i="44"/>
  <c r="Z875" i="44"/>
  <c r="Z755" i="44"/>
  <c r="Z711" i="44"/>
  <c r="Z327" i="44"/>
  <c r="Z1053" i="44"/>
  <c r="Z1074" i="44"/>
  <c r="Z962" i="44"/>
  <c r="Z774" i="44"/>
  <c r="Z906" i="44"/>
  <c r="Z514" i="44"/>
  <c r="Z458" i="44"/>
  <c r="Z54" i="44"/>
  <c r="Z181" i="44"/>
  <c r="Z367" i="44"/>
  <c r="Z49" i="44"/>
  <c r="Z827" i="44"/>
  <c r="Z56" i="44"/>
  <c r="Z970" i="44"/>
  <c r="Z992" i="44"/>
  <c r="Z712" i="44"/>
  <c r="Z564" i="44"/>
  <c r="Z31" i="44"/>
  <c r="Z136" i="44"/>
  <c r="Z1168" i="44"/>
  <c r="Z896" i="44"/>
  <c r="Z569" i="44"/>
  <c r="Z963" i="44"/>
  <c r="Z1077" i="44"/>
  <c r="Z845" i="44"/>
  <c r="Z950" i="44"/>
  <c r="Z798" i="44"/>
  <c r="Z994" i="44"/>
  <c r="Z1098" i="44"/>
  <c r="Z960" i="44"/>
  <c r="Z715" i="44"/>
  <c r="Z917" i="44"/>
  <c r="Z806" i="44"/>
  <c r="Z430" i="44"/>
  <c r="Z174" i="44"/>
  <c r="Z292" i="44"/>
  <c r="Z933" i="44"/>
  <c r="Z779" i="44"/>
  <c r="Z314" i="44"/>
  <c r="Z104" i="44"/>
  <c r="Z1136" i="44"/>
  <c r="Z751" i="44"/>
  <c r="Z660" i="44"/>
  <c r="Z435" i="44"/>
  <c r="Z203" i="44"/>
  <c r="Z726" i="44"/>
  <c r="Z123" i="44"/>
  <c r="Z1115" i="44"/>
  <c r="Z1106" i="44"/>
  <c r="Z871" i="44"/>
  <c r="Z488" i="44"/>
  <c r="Z824" i="44"/>
  <c r="Z1014" i="44"/>
  <c r="Z781" i="44"/>
  <c r="Z155" i="44"/>
  <c r="Z1086" i="44"/>
  <c r="Z526" i="44"/>
  <c r="Z618" i="44"/>
  <c r="Z214" i="44"/>
  <c r="Z161" i="44"/>
  <c r="Z1167" i="44"/>
  <c r="Z954" i="44"/>
  <c r="Z818" i="44"/>
  <c r="Z880" i="44"/>
  <c r="Z485" i="44"/>
  <c r="Z704" i="44"/>
  <c r="Z939" i="44"/>
  <c r="Z1157" i="44"/>
  <c r="Z1178" i="44"/>
  <c r="Z484" i="44"/>
  <c r="Z739" i="44"/>
  <c r="Z703" i="44"/>
  <c r="Z456" i="44"/>
  <c r="Z605" i="44"/>
  <c r="Z817" i="44"/>
  <c r="Z492" i="44"/>
  <c r="Z913" i="44"/>
  <c r="Z727" i="44"/>
  <c r="Z108" i="44"/>
  <c r="Z904" i="44"/>
  <c r="Z1004" i="44"/>
  <c r="Z567" i="44"/>
  <c r="Z642" i="44"/>
  <c r="Z382" i="44"/>
  <c r="Z158" i="44"/>
  <c r="Z510" i="44"/>
  <c r="Z151" i="44"/>
  <c r="Z98" i="44"/>
  <c r="Z230" i="44"/>
  <c r="Z177" i="44"/>
  <c r="Z1163" i="44"/>
  <c r="Z184" i="44"/>
  <c r="Z1056" i="44"/>
  <c r="Z305" i="44"/>
  <c r="Z148" i="44"/>
  <c r="Z45" i="44"/>
  <c r="Z974" i="44"/>
  <c r="Z302" i="44"/>
  <c r="Z216" i="44"/>
  <c r="Z1088" i="44"/>
  <c r="Z1071" i="44"/>
  <c r="Z784" i="44"/>
  <c r="Z1049" i="44"/>
  <c r="Z1150" i="44"/>
  <c r="Z25" i="44"/>
  <c r="Z144" i="44"/>
  <c r="Z1144" i="44"/>
  <c r="Z298" i="44"/>
  <c r="Z986" i="44"/>
  <c r="Z1013" i="44"/>
  <c r="Z36" i="44"/>
  <c r="Z555" i="44"/>
  <c r="Z931" i="44"/>
  <c r="Z312" i="44"/>
  <c r="Z262" i="44"/>
  <c r="Z145" i="44"/>
  <c r="Z442" i="44"/>
  <c r="Z102" i="44"/>
  <c r="Z110" i="44"/>
  <c r="Z228" i="44"/>
  <c r="Z1028" i="44"/>
  <c r="Z999" i="44"/>
  <c r="Z171" i="44"/>
  <c r="Z1123" i="44"/>
  <c r="Z411" i="44"/>
  <c r="Z620" i="44"/>
  <c r="Z235" i="44"/>
  <c r="Z249" i="44"/>
  <c r="Z383" i="44"/>
  <c r="Z603" i="44"/>
  <c r="Z968" i="44"/>
  <c r="Z680" i="44"/>
  <c r="Z636" i="44"/>
  <c r="Z195" i="44"/>
  <c r="Z353" i="44"/>
  <c r="Z1170" i="44"/>
  <c r="Z767" i="44"/>
  <c r="Z375" i="44"/>
  <c r="Z1171" i="44"/>
  <c r="Z872" i="44"/>
  <c r="Z608" i="44"/>
  <c r="Z89" i="44"/>
  <c r="Z958" i="44"/>
  <c r="Z79" i="44"/>
  <c r="Z566" i="44"/>
  <c r="Z342" i="44"/>
  <c r="Z101" i="44"/>
  <c r="Z907" i="44"/>
  <c r="Z772" i="44"/>
  <c r="Z284" i="44"/>
  <c r="Z339" i="44"/>
  <c r="Z606" i="44"/>
  <c r="Z1042" i="44"/>
  <c r="Z622" i="44"/>
  <c r="Z105" i="44"/>
  <c r="Z635" i="44"/>
  <c r="Z768" i="44"/>
  <c r="Z908" i="44"/>
  <c r="Z678" i="44"/>
  <c r="Z187" i="44"/>
  <c r="Z222" i="44"/>
  <c r="Z137" i="44"/>
  <c r="Z301" i="44"/>
  <c r="Z120" i="44"/>
  <c r="Z1120" i="44"/>
  <c r="Z813" i="44"/>
  <c r="Z794" i="44"/>
  <c r="Z898" i="44"/>
  <c r="Z474" i="44"/>
  <c r="Z638" i="44"/>
  <c r="Z27" i="44"/>
  <c r="Z227" i="44"/>
  <c r="Z329" i="44"/>
  <c r="Z387" i="44"/>
  <c r="Z231" i="44"/>
  <c r="Z251" i="44"/>
  <c r="Z384" i="44"/>
  <c r="Z94" i="44"/>
  <c r="Z276" i="44"/>
  <c r="Z263" i="44"/>
  <c r="Z630" i="44"/>
  <c r="Z233" i="44"/>
  <c r="Z1085" i="44"/>
  <c r="Z849" i="44"/>
  <c r="Z632" i="44"/>
  <c r="Z902" i="44"/>
  <c r="Z377" i="44"/>
  <c r="Z243" i="44"/>
  <c r="Z167" i="44"/>
  <c r="Z694" i="44"/>
  <c r="Z372" i="44"/>
  <c r="Z124" i="44"/>
  <c r="Z1116" i="44"/>
  <c r="Z1025" i="44"/>
  <c r="Z1094" i="44"/>
  <c r="Z843" i="44"/>
  <c r="Z820" i="44"/>
  <c r="Z1063" i="44"/>
  <c r="Z50" i="44"/>
  <c r="Z1010" i="44"/>
  <c r="Z125" i="44"/>
  <c r="Z42" i="44"/>
  <c r="Z991" i="44"/>
  <c r="Z693" i="44"/>
  <c r="Z133" i="44"/>
  <c r="Z656" i="44"/>
  <c r="Z1162" i="44"/>
  <c r="Z881" i="44"/>
  <c r="Z459" i="44"/>
  <c r="Z257" i="44"/>
  <c r="Z590" i="44"/>
  <c r="Z995" i="44"/>
  <c r="Z1041" i="44"/>
  <c r="Z892" i="44"/>
  <c r="Z595" i="44"/>
  <c r="Z551" i="44"/>
  <c r="Z356" i="44"/>
  <c r="Z945" i="44"/>
  <c r="Z1003" i="44"/>
  <c r="Z926" i="44"/>
  <c r="Z146" i="44"/>
  <c r="Z1045" i="44"/>
  <c r="Z1066" i="44"/>
  <c r="Z202" i="44"/>
  <c r="Z152" i="44"/>
  <c r="Z1152" i="44"/>
  <c r="Z1161" i="44"/>
  <c r="Z407" i="44"/>
  <c r="Z754" i="44"/>
  <c r="Z138" i="44"/>
  <c r="Z134" i="44"/>
  <c r="Z508" i="44"/>
  <c r="Z1131" i="44"/>
  <c r="Z952" i="44"/>
  <c r="Z573" i="44"/>
  <c r="Z444" i="44"/>
  <c r="Z405" i="44"/>
  <c r="Z1018" i="44"/>
  <c r="Z506" i="44"/>
  <c r="Z71" i="44"/>
  <c r="Z359" i="44"/>
  <c r="Z113" i="44"/>
  <c r="Z507" i="44"/>
  <c r="Z1176" i="44"/>
  <c r="Z517" i="44"/>
  <c r="Z847" i="44"/>
  <c r="Z808" i="44"/>
  <c r="Z607" i="44"/>
  <c r="Z924" i="44"/>
  <c r="Z627" i="44"/>
  <c r="Z331" i="44"/>
  <c r="Z737" i="44"/>
  <c r="Z315" i="44"/>
  <c r="Z582" i="44"/>
  <c r="Z681" i="44"/>
  <c r="Z701" i="44"/>
  <c r="Z657" i="44"/>
  <c r="Z159" i="44"/>
  <c r="Z226" i="44"/>
  <c r="Z766" i="44"/>
  <c r="Z522" i="44"/>
  <c r="Z282" i="44"/>
  <c r="Z38" i="44"/>
  <c r="Z252" i="44"/>
  <c r="Z979" i="44"/>
  <c r="Z612" i="44"/>
  <c r="Z499" i="44"/>
  <c r="Z455" i="44"/>
  <c r="Z1060" i="44"/>
  <c r="Z982" i="44"/>
  <c r="Z548" i="44"/>
  <c r="Z895" i="44"/>
  <c r="Z599" i="44"/>
  <c r="Z830" i="44"/>
  <c r="Z586" i="44"/>
  <c r="Z346" i="44"/>
  <c r="Z309" i="44"/>
  <c r="Z714" i="44"/>
  <c r="Z310" i="44"/>
  <c r="Z286" i="44"/>
  <c r="Z201" i="44"/>
  <c r="Z26" i="44"/>
  <c r="Z256" i="44"/>
  <c r="Z1032" i="44"/>
  <c r="Z549" i="44"/>
  <c r="Z683" i="44"/>
  <c r="Z358" i="44"/>
  <c r="Z117" i="44"/>
  <c r="Z741" i="44"/>
  <c r="Z997" i="44"/>
  <c r="Z153" i="44"/>
  <c r="Z191" i="44"/>
  <c r="Z140" i="44"/>
  <c r="Z1164" i="44"/>
  <c r="Z709" i="44"/>
  <c r="Z1027" i="44"/>
  <c r="Z763" i="44"/>
  <c r="Z749" i="44"/>
  <c r="Z170" i="44"/>
  <c r="Z1016" i="44"/>
  <c r="Z1121" i="44"/>
  <c r="Z396" i="44"/>
  <c r="Z58" i="44"/>
  <c r="Z224" i="44"/>
  <c r="Z274" i="44"/>
  <c r="Z1173" i="44"/>
  <c r="Z362" i="44"/>
  <c r="Z197" i="44"/>
  <c r="Z1179" i="44"/>
  <c r="Z840" i="44"/>
  <c r="Z497" i="44"/>
  <c r="Z534" i="44"/>
  <c r="Z404" i="44"/>
  <c r="Z629" i="44"/>
  <c r="Z944" i="44"/>
  <c r="Z477" i="44"/>
  <c r="Z486" i="44"/>
  <c r="Z55" i="44"/>
  <c r="Z1020" i="44"/>
  <c r="Z692" i="44"/>
  <c r="Z429" i="44"/>
  <c r="Z279" i="44"/>
  <c r="Z165" i="44"/>
  <c r="Z527" i="44"/>
  <c r="Z675" i="44"/>
  <c r="Z524" i="44"/>
  <c r="Z264" i="44"/>
  <c r="Z1040" i="44"/>
  <c r="Z1177" i="44"/>
  <c r="Z857" i="44"/>
  <c r="Z388" i="44"/>
  <c r="Z325" i="44"/>
  <c r="Z412" i="44"/>
  <c r="Z289" i="44"/>
  <c r="Z132" i="44"/>
  <c r="Z1126" i="44"/>
  <c r="Z980" i="44"/>
  <c r="Z369" i="44"/>
  <c r="Z269" i="44"/>
  <c r="Z96" i="44"/>
  <c r="Z723" i="44"/>
  <c r="Z810" i="44"/>
  <c r="Z826" i="44"/>
  <c r="Z434" i="44"/>
  <c r="Z168" i="44"/>
  <c r="Z1072" i="44"/>
  <c r="Z601" i="44"/>
  <c r="Z511" i="44"/>
  <c r="Z338" i="44"/>
  <c r="Z34" i="44"/>
  <c r="Z166" i="44"/>
  <c r="Z848" i="44"/>
  <c r="Z915" i="44"/>
  <c r="Z1029" i="44"/>
  <c r="Z1050" i="44"/>
  <c r="Z770" i="44"/>
  <c r="Z922" i="44"/>
  <c r="Z842" i="44"/>
  <c r="Z450" i="44"/>
  <c r="Z308" i="44"/>
  <c r="Z335" i="44"/>
  <c r="Z207" i="44"/>
  <c r="Z390" i="44"/>
  <c r="Z135" i="44"/>
  <c r="Z118" i="44"/>
  <c r="Z245" i="44"/>
  <c r="Z66" i="44"/>
  <c r="Z29" i="44"/>
  <c r="Z592" i="44"/>
  <c r="Z1046" i="44"/>
  <c r="Z707" i="44"/>
  <c r="Z666" i="44"/>
  <c r="Z454" i="44"/>
  <c r="Z343" i="44"/>
  <c r="Z182" i="44"/>
  <c r="Z73" i="44"/>
  <c r="Z267" i="44"/>
  <c r="Z43" i="44"/>
  <c r="Z1129" i="44"/>
  <c r="Z154" i="44"/>
  <c r="Z837" i="44"/>
  <c r="Z255" i="44"/>
  <c r="Z496" i="44"/>
  <c r="Z1081" i="44"/>
  <c r="Z1118" i="44"/>
  <c r="Z956" i="44"/>
  <c r="Z183" i="44"/>
  <c r="Z129" i="44"/>
  <c r="Z688" i="44"/>
  <c r="Z867" i="44"/>
  <c r="Z46" i="44"/>
  <c r="Z164" i="44"/>
  <c r="Z1092" i="44"/>
  <c r="Z1111" i="44"/>
  <c r="Z773" i="44"/>
  <c r="Z591" i="44"/>
  <c r="Z272" i="44"/>
  <c r="Z52" i="44"/>
  <c r="Z469" i="44"/>
  <c r="Z581" i="44"/>
  <c r="Z521" i="44"/>
  <c r="Z801" i="44"/>
  <c r="Z614" i="44"/>
  <c r="Z397" i="44"/>
  <c r="Z1148" i="44"/>
  <c r="Z786" i="44"/>
  <c r="Z254" i="44"/>
  <c r="Z674" i="44"/>
  <c r="Z334" i="44"/>
  <c r="Z757" i="44"/>
  <c r="Z1026" i="44"/>
  <c r="Z238" i="44"/>
  <c r="Z720" i="44"/>
  <c r="Z981" i="44"/>
  <c r="Z1009" i="44"/>
  <c r="Z623" i="44"/>
  <c r="Z641" i="44"/>
  <c r="Z462" i="44"/>
  <c r="Z51" i="44"/>
  <c r="Z287" i="44"/>
  <c r="Z344" i="44"/>
  <c r="Z811" i="44"/>
  <c r="Z836" i="44"/>
  <c r="Z479" i="44"/>
  <c r="Z695" i="44"/>
  <c r="Z277" i="44"/>
  <c r="Z966" i="44"/>
  <c r="Z211" i="44"/>
  <c r="Z192" i="44"/>
  <c r="Z1096" i="44"/>
  <c r="Z307" i="44"/>
  <c r="Z864" i="44"/>
  <c r="Z1122" i="44"/>
  <c r="Z1000" i="44"/>
  <c r="Z676" i="44"/>
  <c r="Z543" i="44"/>
  <c r="Z769" i="44"/>
  <c r="Z531" i="44"/>
  <c r="Z487" i="44"/>
  <c r="Z663" i="44"/>
  <c r="Z328" i="44"/>
  <c r="Z735" i="44"/>
  <c r="Z451" i="44"/>
  <c r="Z561" i="44"/>
  <c r="Z710" i="44"/>
  <c r="Z394" i="44"/>
  <c r="Z578" i="44"/>
  <c r="Z354" i="44"/>
  <c r="Z173" i="44"/>
  <c r="Z64" i="44"/>
  <c r="Z576" i="44"/>
  <c r="Z448" i="55"/>
  <c r="Z694" i="55"/>
  <c r="Z326" i="55"/>
  <c r="Z670" i="55"/>
  <c r="Z418" i="55"/>
  <c r="Z399" i="55"/>
  <c r="Z1145" i="55"/>
  <c r="Z309" i="55"/>
  <c r="Z986" i="55"/>
  <c r="Z289" i="55"/>
  <c r="Z620" i="55"/>
  <c r="Z543" i="55"/>
  <c r="Z163" i="55"/>
  <c r="Z379" i="55"/>
  <c r="Z1110" i="55"/>
  <c r="Z1118" i="55"/>
  <c r="Z292" i="55"/>
  <c r="Z256" i="55"/>
  <c r="Z1075" i="55"/>
  <c r="Z802" i="55"/>
  <c r="Z269" i="55"/>
  <c r="Z181" i="55"/>
  <c r="Z835" i="55"/>
  <c r="Z664" i="55"/>
  <c r="Z406" i="55"/>
  <c r="Z644" i="55"/>
  <c r="Z204" i="55"/>
  <c r="Z125" i="55"/>
  <c r="Z413" i="55"/>
  <c r="Z855" i="55"/>
  <c r="Z377" i="55"/>
  <c r="Z708" i="55"/>
  <c r="Z586" i="55"/>
  <c r="Z304" i="55"/>
  <c r="Z856" i="55"/>
  <c r="Z867" i="55"/>
  <c r="Z865" i="55"/>
  <c r="Z515" i="55"/>
  <c r="Z478" i="55"/>
  <c r="Z1008" i="55"/>
  <c r="Z660" i="55"/>
  <c r="Z1010" i="55"/>
  <c r="Z249" i="55"/>
  <c r="Z958" i="55"/>
  <c r="Z1106" i="55"/>
  <c r="Z275" i="55"/>
  <c r="Z745" i="55"/>
  <c r="Z1084" i="55"/>
  <c r="Z845" i="55"/>
  <c r="Z828" i="55"/>
  <c r="Z1166" i="55"/>
  <c r="Z254" i="55"/>
  <c r="Z797" i="55"/>
  <c r="Z307" i="55"/>
  <c r="Z631" i="55"/>
  <c r="Z1080" i="55"/>
  <c r="Z857" i="55"/>
  <c r="Z989" i="55"/>
  <c r="Z897" i="55"/>
  <c r="Z1151" i="55"/>
  <c r="Z528" i="55"/>
  <c r="Z888" i="55"/>
  <c r="Z928" i="55"/>
  <c r="Z206" i="55"/>
  <c r="Z608" i="55"/>
  <c r="Z186" i="55"/>
  <c r="Z703" i="55"/>
  <c r="Z331" i="55"/>
  <c r="Z1162" i="55"/>
  <c r="Z26" i="55"/>
  <c r="Z383" i="55"/>
  <c r="Z154" i="55"/>
  <c r="Z1147" i="55"/>
  <c r="Z372" i="55"/>
  <c r="Z335" i="55"/>
  <c r="Z587" i="55"/>
  <c r="Z942" i="55"/>
  <c r="Z1006" i="55"/>
  <c r="Z887" i="55"/>
  <c r="Z449" i="55"/>
  <c r="Z318" i="55"/>
  <c r="Z321" i="55"/>
  <c r="Z1036" i="55"/>
  <c r="Z920" i="55"/>
  <c r="Z346" i="55"/>
  <c r="Z959" i="55"/>
  <c r="Z148" i="55"/>
  <c r="Z628" i="55"/>
  <c r="Z891" i="55"/>
  <c r="Z1085" i="55"/>
  <c r="Z1077" i="55"/>
  <c r="Z341" i="55"/>
  <c r="Z317" i="55"/>
  <c r="Z459" i="55"/>
  <c r="Z817" i="55"/>
  <c r="Z112" i="55"/>
  <c r="Z692" i="55"/>
  <c r="Z302" i="55"/>
  <c r="Z49" i="55"/>
  <c r="Z278" i="55"/>
  <c r="Z363" i="55"/>
  <c r="Z647" i="55"/>
  <c r="Z995" i="55"/>
  <c r="Z758" i="55"/>
  <c r="Z230" i="55"/>
  <c r="Z239" i="55"/>
  <c r="Z73" i="55"/>
  <c r="Z385" i="55"/>
  <c r="Z237" i="55"/>
  <c r="Z542" i="55"/>
  <c r="Z182" i="55"/>
  <c r="Z368" i="55"/>
  <c r="Z1056" i="55"/>
  <c r="Z548" i="55"/>
  <c r="Z985" i="55"/>
  <c r="Z778" i="55"/>
  <c r="Z1122" i="55"/>
  <c r="Z702" i="55"/>
  <c r="Z881" i="55"/>
  <c r="Z665" i="55"/>
  <c r="Z1018" i="55"/>
  <c r="Z210" i="55"/>
  <c r="Z95" i="55"/>
  <c r="Z555" i="55"/>
  <c r="Z739" i="55"/>
  <c r="Z921" i="55"/>
  <c r="Z727" i="55"/>
  <c r="Z1039" i="55"/>
  <c r="Z465" i="55"/>
  <c r="Z604" i="55"/>
  <c r="Z462" i="55"/>
  <c r="Z899" i="55"/>
  <c r="Z424" i="55"/>
  <c r="Z94" i="55"/>
  <c r="Z1053" i="55"/>
  <c r="Z893" i="55"/>
  <c r="Z394" i="55"/>
  <c r="Z627" i="55"/>
  <c r="Z358" i="55"/>
  <c r="Z831" i="55"/>
  <c r="Z407" i="55"/>
  <c r="Z435" i="55"/>
  <c r="Z185" i="55"/>
  <c r="Z654" i="55"/>
  <c r="Z1055" i="55"/>
  <c r="Z1183" i="55"/>
  <c r="Z814" i="55"/>
  <c r="Z104" i="55"/>
  <c r="Z935" i="55"/>
  <c r="Z1069" i="55"/>
  <c r="Z211" i="55"/>
  <c r="Z1046" i="55"/>
  <c r="Z1158" i="55"/>
  <c r="Z894" i="55"/>
  <c r="Z556" i="55"/>
  <c r="Z452" i="55"/>
  <c r="Z267" i="55"/>
  <c r="Z681" i="55"/>
  <c r="Z1020" i="55"/>
  <c r="Z937" i="55"/>
  <c r="Z599" i="55"/>
  <c r="Z993" i="55"/>
  <c r="Z635" i="55"/>
  <c r="Z917" i="55"/>
  <c r="Z744" i="55"/>
  <c r="Z651" i="55"/>
  <c r="Z415" i="55"/>
  <c r="Z396" i="55"/>
  <c r="Z175" i="55"/>
  <c r="Z815" i="55"/>
  <c r="Z740" i="55"/>
  <c r="Z960" i="55"/>
  <c r="Z261" i="55"/>
  <c r="Z1049" i="55"/>
  <c r="Z746" i="55"/>
  <c r="Z663" i="55"/>
  <c r="Z105" i="55"/>
  <c r="Z553" i="55"/>
  <c r="Z270" i="55"/>
  <c r="Z914" i="55"/>
  <c r="Z132" i="55"/>
  <c r="Z1013" i="55"/>
  <c r="Z145" i="55"/>
  <c r="Z39" i="55"/>
  <c r="Z962" i="55"/>
  <c r="Z919" i="55"/>
  <c r="Z849" i="55"/>
  <c r="Z953" i="55"/>
  <c r="Z527" i="55"/>
  <c r="Z143" i="55"/>
  <c r="Z1129" i="55"/>
  <c r="Z288" i="55"/>
  <c r="Z58" i="55"/>
  <c r="Z437" i="55"/>
  <c r="Z242" i="55"/>
  <c r="Z219" i="55"/>
  <c r="Z334" i="55"/>
  <c r="Z1000" i="55"/>
  <c r="Z337" i="55"/>
  <c r="Z1120" i="55"/>
  <c r="Z1164" i="55"/>
  <c r="Z619" i="55"/>
  <c r="Z1155" i="55"/>
  <c r="Z524" i="55"/>
  <c r="Z582" i="55"/>
  <c r="Z1109" i="55"/>
  <c r="Z71" i="55"/>
  <c r="Z878" i="55"/>
  <c r="Z726" i="55"/>
  <c r="Z756" i="55"/>
  <c r="Z1103" i="55"/>
  <c r="Z319" i="55"/>
  <c r="Z568" i="55"/>
  <c r="Z1079" i="55"/>
  <c r="Z121" i="55"/>
  <c r="Z1141" i="55"/>
  <c r="Z843" i="55"/>
  <c r="Z806" i="55"/>
  <c r="Z131" i="55"/>
  <c r="Z306" i="55"/>
  <c r="Z822" i="55"/>
  <c r="Z332" i="55"/>
  <c r="Z333" i="55"/>
  <c r="Z191" i="55"/>
  <c r="Z47" i="55"/>
  <c r="Z735" i="55"/>
  <c r="Z930" i="55"/>
  <c r="Z315" i="55"/>
  <c r="Z975" i="55"/>
  <c r="Z482" i="55"/>
  <c r="Z1180" i="55"/>
  <c r="Z1099" i="55"/>
  <c r="Z1054" i="55"/>
  <c r="Z1017" i="55"/>
  <c r="Z501" i="55"/>
  <c r="Z508" i="55"/>
  <c r="Z910" i="55"/>
  <c r="Z212" i="55"/>
  <c r="Z398" i="55"/>
  <c r="Z303" i="55"/>
  <c r="Z557" i="55"/>
  <c r="Z1152" i="55"/>
  <c r="Z946" i="55"/>
  <c r="Z808" i="55"/>
  <c r="Z1012" i="55"/>
  <c r="Z853" i="55"/>
  <c r="Z547" i="55"/>
  <c r="Z905" i="55"/>
  <c r="Z820" i="55"/>
  <c r="Z250" i="55"/>
  <c r="Z32" i="55"/>
  <c r="Z973" i="55"/>
  <c r="Z729" i="55"/>
  <c r="Z841" i="55"/>
  <c r="Z134" i="55"/>
  <c r="Z320" i="55"/>
  <c r="Z426" i="55"/>
  <c r="Z405" i="55"/>
  <c r="Z760" i="55"/>
  <c r="Z234" i="55"/>
  <c r="Z268" i="55"/>
  <c r="Z858" i="55"/>
  <c r="Z454" i="55"/>
  <c r="Z484" i="55"/>
  <c r="Z1157" i="55"/>
  <c r="Z1100" i="55"/>
  <c r="Z72" i="55"/>
  <c r="Z994" i="55"/>
  <c r="Z305" i="55"/>
  <c r="Z949" i="55"/>
  <c r="Z667" i="55"/>
  <c r="Z941" i="55"/>
  <c r="Z45" i="55"/>
  <c r="Z308" i="55"/>
  <c r="Z86" i="55"/>
  <c r="Z286" i="55"/>
  <c r="Z1149" i="55"/>
  <c r="Z387" i="55"/>
  <c r="Z1104" i="55"/>
  <c r="Z417" i="55"/>
  <c r="Z693" i="55"/>
  <c r="Z1003" i="55"/>
  <c r="Z862" i="55"/>
  <c r="Z572" i="55"/>
  <c r="Z350" i="55"/>
  <c r="Z293" i="55"/>
  <c r="Z436" i="55"/>
  <c r="Z967" i="55"/>
  <c r="Z450" i="55"/>
  <c r="Z430" i="55"/>
  <c r="Z924" i="55"/>
  <c r="Z898" i="55"/>
  <c r="Z956" i="55"/>
  <c r="Z53" i="55"/>
  <c r="Z403" i="55"/>
  <c r="Z562" i="55"/>
  <c r="Z1030" i="55"/>
  <c r="Z27" i="55"/>
  <c r="Z504" i="55"/>
  <c r="Z174" i="55"/>
  <c r="Z82" i="55"/>
  <c r="Z810" i="55"/>
  <c r="Z161" i="55"/>
  <c r="Z610" i="55"/>
  <c r="Z1058" i="55"/>
  <c r="Z457" i="55"/>
  <c r="Z464" i="55"/>
  <c r="Z1185" i="55"/>
  <c r="Z265" i="55"/>
  <c r="Z384" i="55"/>
  <c r="Z639" i="55"/>
  <c r="Z498" i="55"/>
  <c r="Z460" i="55"/>
  <c r="Z77" i="55"/>
  <c r="Z1135" i="55"/>
  <c r="Z642" i="55"/>
  <c r="Z177" i="55"/>
  <c r="Z78" i="55"/>
  <c r="Z574" i="55"/>
  <c r="Z89" i="55"/>
  <c r="Z1034" i="55"/>
  <c r="Z675" i="55"/>
  <c r="Z480" i="55"/>
  <c r="Z916" i="55"/>
  <c r="Z128" i="55"/>
  <c r="Z284" i="55"/>
  <c r="Z545" i="55"/>
  <c r="Z147" i="55"/>
  <c r="Z790" i="55"/>
  <c r="Z392" i="55"/>
  <c r="Z757" i="55"/>
  <c r="Z879" i="55"/>
  <c r="Z40" i="55"/>
  <c r="Z584" i="55"/>
  <c r="Z1150" i="55"/>
  <c r="Z257" i="55"/>
  <c r="Z593" i="55"/>
  <c r="Z240" i="55"/>
  <c r="Z552" i="55"/>
  <c r="Z65" i="55"/>
  <c r="Z1011" i="55"/>
  <c r="Z699" i="55"/>
  <c r="Z795" i="55"/>
  <c r="Z1144" i="55"/>
  <c r="Z794" i="55"/>
  <c r="Z98" i="55"/>
  <c r="Z720" i="55"/>
  <c r="Z323" i="55"/>
  <c r="Z976" i="55"/>
  <c r="Z977" i="55"/>
  <c r="Z214" i="55"/>
  <c r="Z688" i="55"/>
  <c r="Z280" i="55"/>
  <c r="Z397" i="55"/>
  <c r="Z1161" i="55"/>
  <c r="Z719" i="55"/>
  <c r="Z196" i="55"/>
  <c r="Z477" i="55"/>
  <c r="Z255" i="55"/>
  <c r="Z44" i="55"/>
  <c r="Z567" i="55"/>
  <c r="Z445" i="55"/>
  <c r="Z356" i="55"/>
  <c r="Z225" i="55"/>
  <c r="Z150" i="55"/>
  <c r="Z144" i="55"/>
  <c r="Z832" i="55"/>
  <c r="Z378" i="55"/>
  <c r="Z453" i="55"/>
  <c r="Z381" i="55"/>
  <c r="Z51" i="55"/>
  <c r="Z1078" i="55"/>
  <c r="Z972" i="55"/>
  <c r="Z420" i="55"/>
  <c r="Z571" i="55"/>
  <c r="Z438" i="55"/>
  <c r="Z84" i="55"/>
  <c r="Z1064" i="55"/>
  <c r="Z722" i="55"/>
  <c r="Z365" i="55"/>
  <c r="Z342" i="55"/>
  <c r="Z97" i="55"/>
  <c r="Z738" i="55"/>
  <c r="Z479" i="55"/>
  <c r="Z327" i="55"/>
  <c r="Z316" i="55"/>
  <c r="Z1123" i="55"/>
  <c r="Z629" i="55"/>
  <c r="Z41" i="55"/>
  <c r="Z1028" i="55"/>
  <c r="Z153" i="55"/>
  <c r="Z775" i="55"/>
  <c r="Z140" i="55"/>
  <c r="Z1076" i="55"/>
  <c r="Z127" i="55"/>
  <c r="Z1026" i="55"/>
  <c r="Z34" i="55"/>
  <c r="Z575" i="55"/>
  <c r="Z1132" i="55"/>
  <c r="Z997" i="55"/>
  <c r="Z287" i="55"/>
  <c r="Z142" i="55"/>
  <c r="Z117" i="55"/>
  <c r="Z227" i="55"/>
  <c r="Z750" i="55"/>
  <c r="Z1092" i="55"/>
  <c r="Z120" i="55"/>
  <c r="Z258" i="55"/>
  <c r="Z742" i="55"/>
  <c r="Z200" i="55"/>
  <c r="Z461" i="55"/>
  <c r="Z274" i="55"/>
  <c r="Z689" i="55"/>
  <c r="Z940" i="55"/>
  <c r="Z106" i="55"/>
  <c r="Z668" i="55"/>
  <c r="Z351" i="55"/>
  <c r="Z554" i="55"/>
  <c r="Z1070" i="55"/>
  <c r="Z1121" i="55"/>
  <c r="Z419" i="55"/>
  <c r="Z971" i="55"/>
  <c r="Z1130" i="55"/>
  <c r="Z671" i="55"/>
  <c r="Z630" i="55"/>
  <c r="Z873" i="55"/>
  <c r="Z130" i="55"/>
  <c r="Z340" i="55"/>
  <c r="Z152" i="55"/>
  <c r="Z537" i="55"/>
  <c r="Z943" i="55"/>
  <c r="Z903" i="55"/>
  <c r="Z74" i="55"/>
  <c r="Z602" i="55"/>
  <c r="Z736" i="55"/>
  <c r="Z301" i="55"/>
  <c r="Z1087" i="55"/>
  <c r="Z626" i="55"/>
  <c r="Z63" i="55"/>
  <c r="Z1127" i="55"/>
  <c r="Z901" i="55"/>
  <c r="Z216" i="55"/>
  <c r="Z314" i="55"/>
  <c r="Z594" i="55"/>
  <c r="Z854" i="55"/>
  <c r="Z428" i="55"/>
  <c r="Z344" i="55"/>
  <c r="Z156" i="55"/>
  <c r="Z46" i="55"/>
  <c r="Z682" i="55"/>
  <c r="Z126" i="55"/>
  <c r="Z615" i="55"/>
  <c r="Z349" i="55"/>
  <c r="Z769" i="55"/>
  <c r="Z48" i="55"/>
  <c r="Z159" i="55"/>
  <c r="Z837" i="55"/>
  <c r="Z429" i="55"/>
  <c r="Z1050" i="55"/>
  <c r="Z502" i="55"/>
  <c r="Z852" i="55"/>
  <c r="Z55" i="55"/>
  <c r="Z1093" i="55"/>
  <c r="Z228" i="55"/>
  <c r="Z133" i="55"/>
  <c r="Z208" i="55"/>
  <c r="Z207" i="55"/>
  <c r="Z863" i="55"/>
  <c r="Z577" i="55"/>
  <c r="Z222" i="55"/>
  <c r="Z205" i="55"/>
  <c r="Z766" i="55"/>
  <c r="Z606" i="55"/>
  <c r="Z1091" i="55"/>
  <c r="Z870" i="55"/>
  <c r="Z1065" i="55"/>
  <c r="Z92" i="55"/>
  <c r="Z640" i="55"/>
  <c r="Z643" i="55"/>
  <c r="Z813" i="55"/>
  <c r="Z361" i="55"/>
  <c r="Z658" i="55"/>
  <c r="Z401" i="55"/>
  <c r="Z531" i="55"/>
  <c r="Z550" i="55"/>
  <c r="Z1033" i="55"/>
  <c r="Z64" i="55"/>
  <c r="Z119" i="55"/>
  <c r="Z889" i="55"/>
  <c r="Z54" i="55"/>
  <c r="Z522" i="55"/>
  <c r="Z33" i="55"/>
  <c r="Z549" i="55"/>
  <c r="Z1063" i="55"/>
  <c r="Z1068" i="55"/>
  <c r="Z1134" i="55"/>
  <c r="Z563" i="55"/>
  <c r="Z712" i="55"/>
  <c r="Z347" i="55"/>
  <c r="Z1116" i="55"/>
  <c r="Z532" i="55"/>
  <c r="Z373" i="55"/>
  <c r="Z1105" i="55"/>
  <c r="Z875" i="55"/>
  <c r="Z725" i="55"/>
  <c r="Z799" i="55"/>
  <c r="Z611" i="55"/>
  <c r="Z294" i="55"/>
  <c r="Z1043" i="55"/>
  <c r="Z483" i="55"/>
  <c r="Z463" i="55"/>
  <c r="Z370" i="55"/>
  <c r="Z859" i="55"/>
  <c r="Z1143" i="55"/>
  <c r="Z495" i="55"/>
  <c r="Z81" i="55"/>
  <c r="Z607" i="55"/>
  <c r="Z1139" i="55"/>
  <c r="Z155" i="55"/>
  <c r="Z700" i="55"/>
  <c r="Z503" i="55"/>
  <c r="Z737" i="55"/>
  <c r="Z591" i="55"/>
  <c r="Z352" i="55"/>
  <c r="Z558" i="55"/>
  <c r="Z423" i="55"/>
  <c r="Z338" i="55"/>
  <c r="Z947" i="55"/>
  <c r="Z141" i="55"/>
  <c r="Z912" i="55"/>
  <c r="Z846" i="55"/>
  <c r="Z271" i="55"/>
  <c r="Z324" i="55"/>
  <c r="Z451" i="55"/>
  <c r="Z723" i="55"/>
  <c r="Z1167" i="55"/>
  <c r="Z322" i="55"/>
  <c r="Z348" i="55"/>
  <c r="Z715" i="55"/>
  <c r="Z115" i="55"/>
  <c r="Z824" i="55"/>
  <c r="Z882" i="55"/>
  <c r="Z1125" i="55"/>
  <c r="Z432" i="55"/>
  <c r="Z1140" i="55"/>
  <c r="Z697" i="55"/>
  <c r="Z440" i="55"/>
  <c r="Z791" i="55"/>
  <c r="Z325" i="55"/>
  <c r="Z825" i="55"/>
  <c r="Z364" i="55"/>
  <c r="Z540" i="55"/>
  <c r="Z79" i="55"/>
  <c r="Z915" i="55"/>
  <c r="Z673" i="55"/>
  <c r="Z248" i="55"/>
  <c r="Z536" i="55"/>
  <c r="Z1148" i="55"/>
  <c r="Z821" i="55"/>
  <c r="Z801" i="55"/>
  <c r="Z124" i="55"/>
  <c r="Z1112" i="55"/>
  <c r="Z613" i="55"/>
  <c r="Z566" i="55"/>
  <c r="Z847" i="55"/>
  <c r="Z393" i="55"/>
  <c r="Z805" i="55"/>
  <c r="Z466" i="55"/>
  <c r="Z999" i="55"/>
  <c r="Z705" i="55"/>
  <c r="Z408" i="55"/>
  <c r="Z996" i="55"/>
  <c r="Z885" i="55"/>
  <c r="Z752" i="55"/>
  <c r="Z569" i="55"/>
  <c r="Z544" i="55"/>
  <c r="Z215" i="55"/>
  <c r="Z439" i="55"/>
  <c r="Z1146" i="55"/>
  <c r="Z354" i="55"/>
  <c r="Z998" i="55"/>
  <c r="Z138" i="55"/>
  <c r="Z374" i="55"/>
  <c r="Z734" i="55"/>
  <c r="Z367" i="55"/>
  <c r="Z310" i="55"/>
  <c r="Z330" i="55"/>
  <c r="Z614" i="55"/>
  <c r="Z226" i="55"/>
  <c r="Z290" i="55"/>
  <c r="Z29" i="55"/>
  <c r="Z521" i="55"/>
  <c r="Z559" i="55"/>
  <c r="Z291" i="55"/>
  <c r="Z970" i="55"/>
  <c r="Z890" i="55"/>
  <c r="Z492" i="55"/>
  <c r="Z336" i="55"/>
  <c r="Z1024" i="55"/>
  <c r="Z1094" i="55"/>
  <c r="Z913" i="55"/>
  <c r="Z713" i="55"/>
  <c r="Z840" i="55"/>
  <c r="Z539" i="55"/>
  <c r="Z427" i="55"/>
  <c r="Z165" i="55"/>
  <c r="Z763" i="55"/>
  <c r="Z533" i="55"/>
  <c r="Z233" i="55"/>
  <c r="Z339" i="55"/>
  <c r="Z1082" i="55"/>
  <c r="Z395" i="55"/>
  <c r="Z1059" i="55"/>
  <c r="Z1001" i="55"/>
  <c r="Z43" i="55"/>
  <c r="Z691" i="55"/>
  <c r="Z487" i="55"/>
  <c r="Z1169" i="55"/>
  <c r="Z263" i="55"/>
  <c r="Z343" i="55"/>
  <c r="Z241" i="55"/>
  <c r="Z85" i="55"/>
  <c r="Z485" i="55"/>
  <c r="Z69" i="55"/>
  <c r="Z1007" i="55"/>
  <c r="Z1015" i="55"/>
  <c r="Z860" i="55"/>
  <c r="Z645" i="55"/>
  <c r="Z497" i="55"/>
  <c r="Z714" i="55"/>
  <c r="Z389" i="55"/>
  <c r="Z99" i="55"/>
  <c r="Z638" i="55"/>
  <c r="Z657" i="55"/>
  <c r="Z926" i="55"/>
  <c r="Z674" i="55"/>
  <c r="Z481" i="55"/>
  <c r="Z514" i="55"/>
  <c r="Z101" i="55"/>
  <c r="Z88" i="55"/>
  <c r="Z1083" i="55"/>
  <c r="Z755" i="55"/>
  <c r="Z809" i="55"/>
  <c r="Z357" i="55"/>
  <c r="Z834" i="55"/>
  <c r="Z187" i="55"/>
  <c r="Z281" i="55"/>
  <c r="Z189" i="55"/>
  <c r="Z516" i="55"/>
  <c r="Z728" i="55"/>
  <c r="Z118" i="55"/>
  <c r="Z517" i="55"/>
  <c r="Z936" i="55"/>
  <c r="Z925" i="55"/>
  <c r="Z1133" i="55"/>
  <c r="Z1086" i="55"/>
  <c r="Z617" i="55"/>
  <c r="Z711" i="55"/>
  <c r="Z836" i="55"/>
  <c r="Z166" i="55"/>
  <c r="Z1168" i="55"/>
  <c r="Z197" i="55"/>
  <c r="Z416" i="55"/>
  <c r="Z908" i="55"/>
  <c r="Z966" i="55"/>
  <c r="Z217" i="55"/>
  <c r="Z965" i="55"/>
  <c r="Z1047" i="55"/>
  <c r="Z1025" i="55"/>
  <c r="Z509" i="55"/>
  <c r="Z932" i="55"/>
  <c r="Z209" i="55"/>
  <c r="Z201" i="55"/>
  <c r="Z441" i="55"/>
  <c r="Z535" i="55"/>
  <c r="Z36" i="55"/>
  <c r="Z1128" i="55"/>
  <c r="Z162" i="55"/>
  <c r="Z816" i="55"/>
  <c r="Z171" i="55"/>
  <c r="Z818" i="55"/>
  <c r="Z511" i="55"/>
  <c r="Z938" i="55"/>
  <c r="Z774" i="55"/>
  <c r="Z136" i="55"/>
  <c r="Z362" i="55"/>
  <c r="Z963" i="55"/>
  <c r="Z167" i="55"/>
  <c r="Z91" i="55"/>
  <c r="Z277" i="55"/>
  <c r="Z623" i="55"/>
  <c r="Z1117" i="55"/>
  <c r="Z276" i="55"/>
  <c r="Z518" i="55"/>
  <c r="Z718" i="55"/>
  <c r="Z220" i="55"/>
  <c r="Z56" i="55"/>
  <c r="Z273" i="55"/>
  <c r="Z618" i="55"/>
  <c r="Z28" i="55"/>
  <c r="Z565" i="55"/>
  <c r="Z520" i="55"/>
  <c r="Z819" i="55"/>
  <c r="Z661" i="55"/>
  <c r="Z199" i="55"/>
  <c r="Z266" i="55"/>
  <c r="Z345" i="55"/>
  <c r="Z600" i="55"/>
  <c r="Z496" i="55"/>
  <c r="Z194" i="55"/>
  <c r="Z672" i="55"/>
  <c r="Z877" i="55"/>
  <c r="Z229" i="55"/>
  <c r="Z677" i="55"/>
  <c r="Z474" i="55"/>
  <c r="Z909" i="55"/>
  <c r="Z180" i="55"/>
  <c r="Z1044" i="55"/>
  <c r="Z676" i="55"/>
  <c r="Z1040" i="55"/>
  <c r="Z380" i="55"/>
  <c r="Z603" i="55"/>
  <c r="Z135" i="55"/>
  <c r="Z874" i="55"/>
  <c r="Z829" i="55"/>
  <c r="Z782" i="55"/>
  <c r="Z979" i="55"/>
  <c r="Z1038" i="55"/>
  <c r="Z146" i="55"/>
  <c r="Z1031" i="55"/>
  <c r="Z589" i="55"/>
  <c r="Z1102" i="55"/>
  <c r="Z1124" i="55"/>
  <c r="Z895" i="55"/>
  <c r="Z232" i="55"/>
  <c r="Z662" i="55"/>
  <c r="Z1072" i="55"/>
  <c r="Z1002" i="55"/>
  <c r="Z1173" i="55"/>
  <c r="Z513" i="55"/>
  <c r="Z560" i="55"/>
  <c r="Z360" i="55"/>
  <c r="Z987" i="55"/>
  <c r="Z871" i="55"/>
  <c r="Z25" i="55"/>
  <c r="Z685" i="55"/>
  <c r="Z526" i="55"/>
  <c r="Z609" i="55"/>
  <c r="Z195" i="55"/>
  <c r="Z717" i="55"/>
  <c r="Z279" i="55"/>
  <c r="Z1163" i="55"/>
  <c r="Z1032" i="55"/>
  <c r="Z957" i="55"/>
  <c r="Z67" i="55"/>
  <c r="Z61" i="55"/>
  <c r="Z783" i="55"/>
  <c r="Z844" i="55"/>
  <c r="Z876" i="55"/>
  <c r="Z730" i="55"/>
  <c r="Z1170" i="55"/>
  <c r="Z371" i="55"/>
  <c r="Z918" i="55"/>
  <c r="Z709" i="55"/>
  <c r="Z1062" i="55"/>
  <c r="Z701" i="55"/>
  <c r="Z788" i="55"/>
  <c r="Z96" i="55"/>
  <c r="Z1119" i="55"/>
  <c r="Z679" i="55"/>
  <c r="Z770" i="55"/>
  <c r="Z173" i="55"/>
  <c r="Z151" i="55"/>
  <c r="Z811" i="55"/>
  <c r="Z57" i="55"/>
  <c r="Z659" i="55"/>
  <c r="Z295" i="55"/>
  <c r="Z951" i="55"/>
  <c r="Z624" i="55"/>
  <c r="Z573" i="55"/>
  <c r="Z164" i="55"/>
  <c r="Z75" i="55"/>
  <c r="Z433" i="55"/>
  <c r="Z595" i="55"/>
  <c r="Z880" i="55"/>
  <c r="Z851" i="55"/>
  <c r="Z388" i="55"/>
  <c r="Z60" i="55"/>
  <c r="Z412" i="55"/>
  <c r="Z190" i="55"/>
  <c r="Z172" i="55"/>
  <c r="Z1074" i="55"/>
  <c r="Z31" i="55"/>
  <c r="Z1136" i="55"/>
  <c r="Z52" i="55"/>
  <c r="Z83" i="55"/>
  <c r="Z252" i="55"/>
  <c r="Z1184" i="55"/>
  <c r="Z576" i="55"/>
  <c r="Z247" i="55"/>
  <c r="Z564" i="55"/>
  <c r="Z329" i="55"/>
  <c r="Z1172" i="55"/>
  <c r="Z733" i="55"/>
  <c r="Z493" i="55"/>
  <c r="Z443" i="55"/>
  <c r="Z792" i="55"/>
  <c r="Z157" i="55"/>
  <c r="Z375" i="55"/>
  <c r="Z768" i="55"/>
  <c r="Z369" i="55"/>
  <c r="Z491" i="55"/>
  <c r="Z869" i="55"/>
  <c r="Z410" i="55"/>
  <c r="Z149" i="55"/>
  <c r="Z1005" i="55"/>
  <c r="Z931" i="55"/>
  <c r="Z826" i="55"/>
  <c r="Z784" i="55"/>
  <c r="Z838" i="55"/>
  <c r="Z296" i="55"/>
  <c r="Z396" i="54"/>
  <c r="Z244" i="54"/>
  <c r="Z113" i="54"/>
  <c r="Z454" i="54"/>
  <c r="Z977" i="54"/>
  <c r="Z53" i="54"/>
  <c r="Z118" i="54"/>
  <c r="Z572" i="54"/>
  <c r="Z36" i="54"/>
  <c r="Z371" i="54"/>
  <c r="Z961" i="54"/>
  <c r="Z910" i="54"/>
  <c r="Z949" i="54"/>
  <c r="Z332" i="54"/>
  <c r="Z225" i="54"/>
  <c r="Z330" i="54"/>
  <c r="Z150" i="54"/>
  <c r="Z869" i="54"/>
  <c r="Z746" i="54"/>
  <c r="Z581" i="54"/>
  <c r="Z151" i="54"/>
  <c r="Z432" i="54"/>
  <c r="Z267" i="54"/>
  <c r="Z437" i="54"/>
  <c r="Z167" i="54"/>
  <c r="Z468" i="54"/>
  <c r="Z908" i="54"/>
  <c r="Z83" i="54"/>
  <c r="Z166" i="54"/>
  <c r="Z35" i="54"/>
  <c r="Z1042" i="54"/>
  <c r="Z273" i="54"/>
  <c r="Z907" i="54"/>
  <c r="Z138" i="54"/>
  <c r="Z942" i="54"/>
  <c r="Z763" i="54"/>
  <c r="Z783" i="54"/>
  <c r="Z304" i="54"/>
  <c r="Z998" i="54"/>
  <c r="Z229" i="54"/>
  <c r="Z856" i="54"/>
  <c r="Z287" i="54"/>
  <c r="Z389" i="54"/>
  <c r="Z724" i="54"/>
  <c r="Z606" i="54"/>
  <c r="Z595" i="54"/>
  <c r="Z463" i="54"/>
  <c r="Z534" i="54"/>
  <c r="Z220" i="54"/>
  <c r="Z73" i="54"/>
  <c r="Z1004" i="54"/>
  <c r="Z491" i="54"/>
  <c r="Z142" i="54"/>
  <c r="Z538" i="54"/>
  <c r="Z564" i="54"/>
  <c r="Z484" i="54"/>
  <c r="Z77" i="54"/>
  <c r="Z620" i="54"/>
  <c r="Z1117" i="54"/>
  <c r="Z336" i="54"/>
  <c r="Z420" i="54"/>
  <c r="Z385" i="54"/>
  <c r="Z372" i="54"/>
  <c r="Z1178" i="54"/>
  <c r="Z344" i="54"/>
  <c r="Z576" i="54"/>
  <c r="Z115" i="54"/>
  <c r="Z823" i="54"/>
  <c r="Z214" i="54"/>
  <c r="Z1115" i="54"/>
  <c r="Z1167" i="54"/>
  <c r="Z776" i="54"/>
  <c r="Z263" i="54"/>
  <c r="Z120" i="54"/>
  <c r="Z1129" i="54"/>
  <c r="Z180" i="54"/>
  <c r="Z411" i="54"/>
  <c r="Z1069" i="54"/>
  <c r="Z985" i="54"/>
  <c r="Z905" i="54"/>
  <c r="Z798" i="54"/>
  <c r="Z736" i="54"/>
  <c r="Z1043" i="54"/>
  <c r="Z560" i="54"/>
  <c r="Z416" i="54"/>
  <c r="Z458" i="54"/>
  <c r="Z75" i="54"/>
  <c r="Z438" i="54"/>
  <c r="Z212" i="54"/>
  <c r="Z81" i="54"/>
  <c r="Z326" i="54"/>
  <c r="Z425" i="54"/>
  <c r="Z37" i="54"/>
  <c r="Z651" i="54"/>
  <c r="Z252" i="54"/>
  <c r="Z593" i="54"/>
  <c r="Z781" i="54"/>
  <c r="Z509" i="54"/>
  <c r="Z185" i="54"/>
  <c r="Z366" i="54"/>
  <c r="Z1176" i="54"/>
  <c r="Z114" i="54"/>
  <c r="Z1054" i="54"/>
  <c r="Z610" i="54"/>
  <c r="Z342" i="54"/>
  <c r="Z441" i="54"/>
  <c r="Z25" i="54"/>
  <c r="Z457" i="54"/>
  <c r="Z223" i="54"/>
  <c r="Z79" i="54"/>
  <c r="Z548" i="54"/>
  <c r="Z687" i="54"/>
  <c r="Z896" i="54"/>
  <c r="Z1063" i="54"/>
  <c r="Z779" i="54"/>
  <c r="Z1033" i="54"/>
  <c r="Z1144" i="54"/>
  <c r="Z647" i="54"/>
  <c r="Z551" i="54"/>
  <c r="Z1022" i="54"/>
  <c r="Z1062" i="54"/>
  <c r="Z324" i="54"/>
  <c r="Z234" i="54"/>
  <c r="Z549" i="54"/>
  <c r="Z1014" i="54"/>
  <c r="Z374" i="54"/>
  <c r="Z589" i="54"/>
  <c r="Z349" i="54"/>
  <c r="Z161" i="54"/>
  <c r="Z487" i="54"/>
  <c r="Z1025" i="54"/>
  <c r="Z954" i="54"/>
  <c r="Z840" i="54"/>
  <c r="Z489" i="54"/>
  <c r="Z920" i="54"/>
  <c r="Z1168" i="54"/>
  <c r="Z1070" i="54"/>
  <c r="Z812" i="54"/>
  <c r="Z690" i="54"/>
  <c r="Z476" i="54"/>
  <c r="Z429" i="54"/>
  <c r="Z346" i="54"/>
  <c r="Z404" i="54"/>
  <c r="Z883" i="54"/>
  <c r="Z723" i="54"/>
  <c r="Z211" i="54"/>
  <c r="Z196" i="54"/>
  <c r="Z65" i="54"/>
  <c r="Z361" i="54"/>
  <c r="Z774" i="54"/>
  <c r="Z163" i="54"/>
  <c r="Z627" i="54"/>
  <c r="Z751" i="54"/>
  <c r="Z1035" i="54"/>
  <c r="Z266" i="54"/>
  <c r="Z879" i="54"/>
  <c r="Z817" i="54"/>
  <c r="Z660" i="54"/>
  <c r="Z1157" i="54"/>
  <c r="Z276" i="54"/>
  <c r="Z953" i="54"/>
  <c r="Z569" i="54"/>
  <c r="Z313" i="54"/>
  <c r="Z1059" i="54"/>
  <c r="Z140" i="54"/>
  <c r="Z680" i="54"/>
  <c r="Z846" i="54"/>
  <c r="Z474" i="54"/>
  <c r="Z743" i="54"/>
  <c r="Z986" i="54"/>
  <c r="Z716" i="54"/>
  <c r="Z123" i="54"/>
  <c r="Z478" i="54"/>
  <c r="Z461" i="54"/>
  <c r="Z456" i="54"/>
  <c r="Z781" i="55"/>
  <c r="Z767" i="55"/>
  <c r="Z656" i="55"/>
  <c r="Z634" i="55"/>
  <c r="Z123" i="55"/>
  <c r="Z955" i="55"/>
  <c r="Z945" i="55"/>
  <c r="Z114" i="55"/>
  <c r="Z716" i="55"/>
  <c r="Z823" i="55"/>
  <c r="Z1095" i="55"/>
  <c r="Z311" i="55"/>
  <c r="Z359" i="55"/>
  <c r="Z328" i="55"/>
  <c r="Z991" i="55"/>
  <c r="Z772" i="55"/>
  <c r="Z353" i="55"/>
  <c r="Z580" i="55"/>
  <c r="Z652" i="55"/>
  <c r="Z70" i="55"/>
  <c r="Z402" i="55"/>
  <c r="Z749" i="55"/>
  <c r="Z1138" i="55"/>
  <c r="Z777" i="55"/>
  <c r="Z442" i="55"/>
  <c r="Z649" i="55"/>
  <c r="Z796" i="55"/>
  <c r="Z1014" i="55"/>
  <c r="Z551" i="55"/>
  <c r="Z447" i="55"/>
  <c r="Z1115" i="55"/>
  <c r="Z203" i="55"/>
  <c r="Z188" i="55"/>
  <c r="Z404" i="55"/>
  <c r="Z1035" i="55"/>
  <c r="Z969" i="55"/>
  <c r="Z605" i="55"/>
  <c r="Z1096" i="55"/>
  <c r="Z213" i="55"/>
  <c r="Z579" i="55"/>
  <c r="Z260" i="55"/>
  <c r="Z160" i="55"/>
  <c r="Z1016" i="55"/>
  <c r="Z636" i="55"/>
  <c r="Z116" i="55"/>
  <c r="Z476" i="55"/>
  <c r="Z648" i="55"/>
  <c r="Z748" i="55"/>
  <c r="Z87" i="55"/>
  <c r="Z1066" i="55"/>
  <c r="Z621" i="55"/>
  <c r="Z1179" i="55"/>
  <c r="Z93" i="55"/>
  <c r="Z179" i="55"/>
  <c r="Z698" i="55"/>
  <c r="Z68" i="55"/>
  <c r="Z646" i="55"/>
  <c r="Z868" i="55"/>
  <c r="Z934" i="55"/>
  <c r="Z578" i="55"/>
  <c r="Z974" i="55"/>
  <c r="Z494" i="55"/>
  <c r="Z741" i="55"/>
  <c r="Z1131" i="55"/>
  <c r="Z585" i="55"/>
  <c r="Z1156" i="55"/>
  <c r="Z990" i="55"/>
  <c r="Z1137" i="55"/>
  <c r="Z366" i="55"/>
  <c r="Z488" i="55"/>
  <c r="Z1159" i="55"/>
  <c r="Z683" i="55"/>
  <c r="Z456" i="55"/>
  <c r="Z1101" i="55"/>
  <c r="Z409" i="55"/>
  <c r="Z264" i="55"/>
  <c r="Z1113" i="55"/>
  <c r="Z111" i="55"/>
  <c r="Z541" i="55"/>
  <c r="Z598" i="55"/>
  <c r="Z804" i="55"/>
  <c r="Z246" i="55"/>
  <c r="Z864" i="55"/>
  <c r="Z707" i="55"/>
  <c r="Z386" i="55"/>
  <c r="Z754" i="55"/>
  <c r="Z411" i="55"/>
  <c r="Z431" i="55"/>
  <c r="Z842" i="55"/>
  <c r="Z764" i="55"/>
  <c r="Z1107" i="55"/>
  <c r="Z193" i="55"/>
  <c r="Z178" i="55"/>
  <c r="Z616" i="55"/>
  <c r="Z948" i="55"/>
  <c r="Z982" i="55"/>
  <c r="Z968" i="55"/>
  <c r="Z300" i="55"/>
  <c r="Z251" i="55"/>
  <c r="Z103" i="55"/>
  <c r="Z561" i="55"/>
  <c r="Z984" i="55"/>
  <c r="Z470" i="55"/>
  <c r="Z883" i="55"/>
  <c r="Z906" i="55"/>
  <c r="Z1041" i="55"/>
  <c r="Z236" i="55"/>
  <c r="Z283" i="55"/>
  <c r="Z759" i="55"/>
  <c r="Z382" i="55"/>
  <c r="Z787" i="55"/>
  <c r="Z293" i="54"/>
  <c r="Z303" i="54"/>
  <c r="Z1021" i="54"/>
  <c r="Z933" i="54"/>
  <c r="Z793" i="54"/>
  <c r="Z652" i="54"/>
  <c r="Z553" i="54"/>
  <c r="Z717" i="54"/>
  <c r="Z1008" i="54"/>
  <c r="Z97" i="54"/>
  <c r="Z775" i="54"/>
  <c r="Z135" i="54"/>
  <c r="Z526" i="54"/>
  <c r="Z885" i="54"/>
  <c r="Z755" i="54"/>
  <c r="Z195" i="54"/>
  <c r="Z708" i="54"/>
  <c r="Z1086" i="54"/>
  <c r="Z1102" i="54"/>
  <c r="Z664" i="54"/>
  <c r="Z578" i="54"/>
  <c r="Z922" i="54"/>
  <c r="Z504" i="54"/>
  <c r="Z1114" i="54"/>
  <c r="Z962" i="54"/>
  <c r="Z861" i="54"/>
  <c r="Z58" i="54"/>
  <c r="Z754" i="54"/>
  <c r="Z419" i="54"/>
  <c r="Z1057" i="54"/>
  <c r="Z301" i="54"/>
  <c r="Z1075" i="54"/>
  <c r="Z700" i="54"/>
  <c r="Z1182" i="54"/>
  <c r="Z857" i="54"/>
  <c r="Z379" i="54"/>
  <c r="Z1056" i="54"/>
  <c r="Z345" i="54"/>
  <c r="Z1171" i="54"/>
  <c r="Z148" i="54"/>
  <c r="Z424" i="54"/>
  <c r="Z450" i="54"/>
  <c r="Z542" i="54"/>
  <c r="Z528" i="54"/>
  <c r="Z706" i="54"/>
  <c r="Z323" i="54"/>
  <c r="Z492" i="54"/>
  <c r="Z121" i="54"/>
  <c r="Z824" i="54"/>
  <c r="Z1023" i="54"/>
  <c r="Z254" i="54"/>
  <c r="Z769" i="54"/>
  <c r="Z612" i="54"/>
  <c r="Z1109" i="54"/>
  <c r="Z543" i="54"/>
  <c r="Z1032" i="54"/>
  <c r="Z251" i="54"/>
  <c r="Z946" i="54"/>
  <c r="Z108" i="54"/>
  <c r="Z789" i="54"/>
  <c r="Z585" i="54"/>
  <c r="Z888" i="54"/>
  <c r="Z893" i="54"/>
  <c r="Z614" i="54"/>
  <c r="Z603" i="54"/>
  <c r="Z974" i="54"/>
  <c r="Z674" i="54"/>
  <c r="Z1081" i="54"/>
  <c r="Z730" i="54"/>
  <c r="Z1162" i="54"/>
  <c r="Z873" i="54"/>
  <c r="Z226" i="54"/>
  <c r="Z1118" i="54"/>
  <c r="Z699" i="54"/>
  <c r="Z827" i="54"/>
  <c r="Z253" i="54"/>
  <c r="Z676" i="54"/>
  <c r="Z845" i="54"/>
  <c r="Z671" i="54"/>
  <c r="Z874" i="54"/>
  <c r="Z355" i="54"/>
  <c r="Z919" i="54"/>
  <c r="Z628" i="54"/>
  <c r="Z1031" i="54"/>
  <c r="Z739" i="54"/>
  <c r="Z1128" i="54"/>
  <c r="Z886" i="54"/>
  <c r="Z418" i="54"/>
  <c r="Z890" i="54"/>
  <c r="Z241" i="54"/>
  <c r="Z106" i="54"/>
  <c r="Z644" i="54"/>
  <c r="Z588" i="54"/>
  <c r="Z368" i="54"/>
  <c r="Z409" i="54"/>
  <c r="Z283" i="54"/>
  <c r="Z242" i="54"/>
  <c r="Z801" i="54"/>
  <c r="Z246" i="54"/>
  <c r="Z1184" i="54"/>
  <c r="Z552" i="54"/>
  <c r="Z297" i="54"/>
  <c r="Z136" i="54"/>
  <c r="Z481" i="54"/>
  <c r="Z654" i="54"/>
  <c r="Z915" i="54"/>
  <c r="Z132" i="54"/>
  <c r="Z918" i="54"/>
  <c r="Z858" i="54"/>
  <c r="Z439" i="54"/>
  <c r="Z1012" i="54"/>
  <c r="Z864" i="54"/>
  <c r="Z88" i="54"/>
  <c r="Z709" i="54"/>
  <c r="Z286" i="54"/>
  <c r="Z860" i="54"/>
  <c r="Z737" i="54"/>
  <c r="Z580" i="54"/>
  <c r="Z1154" i="54"/>
  <c r="Z971" i="54"/>
  <c r="Z202" i="54"/>
  <c r="Z897" i="54"/>
  <c r="Z742" i="54"/>
  <c r="Z427" i="54"/>
  <c r="Z1077" i="54"/>
  <c r="Z353" i="54"/>
  <c r="Z931" i="54"/>
  <c r="Z428" i="54"/>
  <c r="Z105" i="54"/>
  <c r="Z1116" i="54"/>
  <c r="Z76" i="54"/>
  <c r="Z661" i="54"/>
  <c r="Z274" i="54"/>
  <c r="Z683" i="54"/>
  <c r="Z339" i="54"/>
  <c r="Z62" i="54"/>
  <c r="Z557" i="54"/>
  <c r="Z317" i="54"/>
  <c r="Z1135" i="54"/>
  <c r="Z975" i="54"/>
  <c r="Z913" i="54"/>
  <c r="Z758" i="54"/>
  <c r="Z459" i="54"/>
  <c r="Z577" i="54"/>
  <c r="Z1093" i="54"/>
  <c r="Z835" i="54"/>
  <c r="Z584" i="54"/>
  <c r="Z972" i="54"/>
  <c r="Z80" i="54"/>
  <c r="Z1089" i="54"/>
  <c r="Z702" i="54"/>
  <c r="Z1152" i="54"/>
  <c r="Z697" i="54"/>
  <c r="Z302" i="54"/>
  <c r="Z713" i="54"/>
  <c r="Z34" i="54"/>
  <c r="Z666" i="54"/>
  <c r="Z31" i="54"/>
  <c r="Z653" i="54"/>
  <c r="Z469" i="54"/>
  <c r="Z1132" i="54"/>
  <c r="Z630" i="54"/>
  <c r="Z583" i="54"/>
  <c r="Z750" i="54"/>
  <c r="Z914" i="54"/>
  <c r="Z29" i="54"/>
  <c r="Z205" i="54"/>
  <c r="Z641" i="54"/>
  <c r="Z391" i="54"/>
  <c r="Z1003" i="54"/>
  <c r="Z876" i="54"/>
  <c r="Z841" i="54"/>
  <c r="Z731" i="54"/>
  <c r="Z1179" i="54"/>
  <c r="Z435" i="54"/>
  <c r="Z421" i="54"/>
  <c r="Z748" i="54"/>
  <c r="Z412" i="54"/>
  <c r="Z984" i="54"/>
  <c r="Z863" i="54"/>
  <c r="Z994" i="54"/>
  <c r="Z701" i="54"/>
  <c r="Z184" i="54"/>
  <c r="Z704" i="54"/>
  <c r="Z413" i="54"/>
  <c r="Z177" i="54"/>
  <c r="Z1041" i="54"/>
  <c r="Z264" i="54"/>
  <c r="Z887" i="54"/>
  <c r="Z894" i="54"/>
  <c r="Z673" i="54"/>
  <c r="Z318" i="54"/>
  <c r="Z649" i="54"/>
  <c r="Z1064" i="54"/>
  <c r="Z1119" i="54"/>
  <c r="Z186" i="54"/>
  <c r="Z833" i="54"/>
  <c r="Z678" i="54"/>
  <c r="Z299" i="54"/>
  <c r="Z1046" i="54"/>
  <c r="Z289" i="54"/>
  <c r="Z923" i="54"/>
  <c r="Z335" i="54"/>
  <c r="Z934" i="54"/>
  <c r="Z387" i="54"/>
  <c r="Z1053" i="54"/>
  <c r="Z285" i="54"/>
  <c r="Z145" i="54"/>
  <c r="Z348" i="54"/>
  <c r="Z232" i="54"/>
  <c r="Z101" i="54"/>
  <c r="Z800" i="54"/>
  <c r="Z27" i="54"/>
  <c r="Z448" i="54"/>
  <c r="Z1122" i="54"/>
  <c r="Z785" i="55"/>
  <c r="Z771" i="55"/>
  <c r="Z1081" i="55"/>
  <c r="Z710" i="55"/>
  <c r="Z525" i="55"/>
  <c r="Z506" i="55"/>
  <c r="Z839" i="55"/>
  <c r="Z471" i="55"/>
  <c r="Z1009" i="55"/>
  <c r="Z922" i="55"/>
  <c r="Z666" i="55"/>
  <c r="Z202" i="55"/>
  <c r="Z100" i="55"/>
  <c r="Z848" i="55"/>
  <c r="Z1176" i="55"/>
  <c r="Z499" i="55"/>
  <c r="Z231" i="55"/>
  <c r="Z1153" i="55"/>
  <c r="Z500" i="55"/>
  <c r="Z927" i="55"/>
  <c r="Z892" i="55"/>
  <c r="Z1060" i="55"/>
  <c r="Z964" i="55"/>
  <c r="Z904" i="55"/>
  <c r="Z721" i="55"/>
  <c r="Z158" i="55"/>
  <c r="Z690" i="55"/>
  <c r="Z911" i="55"/>
  <c r="Z530" i="55"/>
  <c r="Z235" i="55"/>
  <c r="Z529" i="55"/>
  <c r="Z458" i="55"/>
  <c r="Z170" i="55"/>
  <c r="Z655" i="55"/>
  <c r="Z900" i="55"/>
  <c r="Z800" i="55"/>
  <c r="Z455" i="55"/>
  <c r="Z253" i="55"/>
  <c r="Z24" i="55"/>
  <c r="Z944" i="55"/>
  <c r="Z1048" i="55"/>
  <c r="Z59" i="55"/>
  <c r="Z992" i="55"/>
  <c r="Z469" i="55"/>
  <c r="Z472" i="55"/>
  <c r="Z939" i="55"/>
  <c r="Z827" i="55"/>
  <c r="Z779" i="55"/>
  <c r="Z1061" i="55"/>
  <c r="Z35" i="55"/>
  <c r="Z30" i="55"/>
  <c r="Z753" i="55"/>
  <c r="Z198" i="55"/>
  <c r="Z1067" i="55"/>
  <c r="Z583" i="55"/>
  <c r="Z954" i="55"/>
  <c r="Z376" i="55"/>
  <c r="Z1057" i="55"/>
  <c r="Z1108" i="55"/>
  <c r="Z983" i="55"/>
  <c r="Z780" i="55"/>
  <c r="Z37" i="55"/>
  <c r="Z538" i="55"/>
  <c r="Z109" i="55"/>
  <c r="Z650" i="55"/>
  <c r="Z773" i="55"/>
  <c r="Z224" i="55"/>
  <c r="Z981" i="55"/>
  <c r="Z23" i="55"/>
  <c r="Z612" i="55"/>
  <c r="Z108" i="55"/>
  <c r="Z961" i="55"/>
  <c r="Z980" i="55"/>
  <c r="Z680" i="55"/>
  <c r="Z421" i="55"/>
  <c r="Z907" i="55"/>
  <c r="Z546" i="55"/>
  <c r="Z1042" i="55"/>
  <c r="Z505" i="55"/>
  <c r="Z422" i="55"/>
  <c r="Z850" i="55"/>
  <c r="Z669" i="55"/>
  <c r="Z434" i="55"/>
  <c r="Z1045" i="55"/>
  <c r="Z192" i="55"/>
  <c r="Z1022" i="55"/>
  <c r="Z884" i="55"/>
  <c r="Z687" i="55"/>
  <c r="Z952" i="55"/>
  <c r="Z313" i="55"/>
  <c r="Z391" i="55"/>
  <c r="Z1019" i="55"/>
  <c r="Z596" i="55"/>
  <c r="Z732" i="55"/>
  <c r="Z243" i="55"/>
  <c r="Z184" i="55"/>
  <c r="Z299" i="55"/>
  <c r="Z902" i="55"/>
  <c r="Z872" i="55"/>
  <c r="Z512" i="55"/>
  <c r="Z298" i="55"/>
  <c r="Z129" i="55"/>
  <c r="Z1174" i="55"/>
  <c r="Z355" i="55"/>
  <c r="Z468" i="55"/>
  <c r="Z245" i="55"/>
  <c r="Z176" i="55"/>
  <c r="Z221" i="55"/>
  <c r="Z762" i="55"/>
  <c r="Z122" i="55"/>
  <c r="Z776" i="55"/>
  <c r="Z1027" i="55"/>
  <c r="Z978" i="55"/>
  <c r="Z1154" i="55"/>
  <c r="Z751" i="55"/>
  <c r="Z786" i="55"/>
  <c r="Z637" i="55"/>
  <c r="Z929" i="54"/>
  <c r="Z200" i="54"/>
  <c r="Z71" i="54"/>
  <c r="Z134" i="54"/>
  <c r="Z1166" i="54"/>
  <c r="Z820" i="54"/>
  <c r="Z682" i="54"/>
  <c r="Z516" i="54"/>
  <c r="Z309" i="54"/>
  <c r="Z809" i="54"/>
  <c r="Z262" i="54"/>
  <c r="Z228" i="54"/>
  <c r="Z218" i="54"/>
  <c r="Z237" i="54"/>
  <c r="Z52" i="54"/>
  <c r="Z499" i="54"/>
  <c r="Z1097" i="54"/>
  <c r="Z951" i="54"/>
  <c r="Z124" i="54"/>
  <c r="Z999" i="54"/>
  <c r="Z460" i="54"/>
  <c r="Z477" i="54"/>
  <c r="Z193" i="54"/>
  <c r="Z540" i="54"/>
  <c r="Z149" i="54"/>
  <c r="Z1126" i="54"/>
  <c r="Z536" i="54"/>
  <c r="Z712" i="54"/>
  <c r="Z638" i="54"/>
  <c r="Z599" i="54"/>
  <c r="Z471" i="54"/>
  <c r="Z1028" i="54"/>
  <c r="Z247" i="54"/>
  <c r="Z930" i="54"/>
  <c r="Z104" i="54"/>
  <c r="Z773" i="54"/>
  <c r="Z632" i="54"/>
  <c r="Z325" i="54"/>
  <c r="Z46" i="54"/>
  <c r="Z1045" i="54"/>
  <c r="Z268" i="54"/>
  <c r="Z903" i="54"/>
  <c r="Z95" i="54"/>
  <c r="Z957" i="54"/>
  <c r="Z107" i="54"/>
  <c r="Z414" i="54"/>
  <c r="Z359" i="54"/>
  <c r="Z363" i="54"/>
  <c r="Z64" i="54"/>
  <c r="Z440" i="54"/>
  <c r="Z402" i="54"/>
  <c r="Z426" i="54"/>
  <c r="Z93" i="54"/>
  <c r="Z292" i="54"/>
  <c r="Z844" i="54"/>
  <c r="Z173" i="54"/>
  <c r="Z550" i="54"/>
  <c r="Z507" i="54"/>
  <c r="Z1113" i="54"/>
  <c r="Z881" i="54"/>
  <c r="Z352" i="54"/>
  <c r="Z394" i="54"/>
  <c r="Z1146" i="54"/>
  <c r="Z417" i="54"/>
  <c r="Z86" i="54"/>
  <c r="Z295" i="54"/>
  <c r="Z738" i="54"/>
  <c r="Z164" i="54"/>
  <c r="Z33" i="54"/>
  <c r="Z1044" i="54"/>
  <c r="Z867" i="54"/>
  <c r="Z431" i="54"/>
  <c r="Z616" i="54"/>
  <c r="Z199" i="54"/>
  <c r="Z747" i="54"/>
  <c r="Z1134" i="54"/>
  <c r="Z958" i="54"/>
  <c r="Z718" i="54"/>
  <c r="Z94" i="54"/>
  <c r="Z667" i="54"/>
  <c r="Z1080" i="54"/>
  <c r="Z1164" i="54"/>
  <c r="Z575" i="54"/>
  <c r="Z233" i="54"/>
  <c r="Z562" i="54"/>
  <c r="Z360" i="54"/>
  <c r="Z231" i="54"/>
  <c r="Z386" i="54"/>
  <c r="Z568" i="54"/>
  <c r="Z222" i="54"/>
  <c r="Z710" i="54"/>
  <c r="Z147" i="54"/>
  <c r="Z230" i="54"/>
  <c r="Z99" i="54"/>
  <c r="Z382" i="54"/>
  <c r="Z529" i="54"/>
  <c r="Z55" i="54"/>
  <c r="Z561" i="54"/>
  <c r="Z311" i="54"/>
  <c r="Z312" i="54"/>
  <c r="Z1000" i="54"/>
  <c r="Z219" i="54"/>
  <c r="Z405" i="54"/>
  <c r="Z770" i="54"/>
  <c r="Z451" i="54"/>
  <c r="Z1073" i="54"/>
  <c r="Z137" i="54"/>
  <c r="Z791" i="54"/>
  <c r="Z1107" i="54"/>
  <c r="Z206" i="54"/>
  <c r="Z59" i="54"/>
  <c r="Z433" i="54"/>
  <c r="Z393" i="54"/>
  <c r="Z533" i="54"/>
  <c r="Z157" i="54"/>
  <c r="Z1038" i="54"/>
  <c r="Z741" i="54"/>
  <c r="Z1084" i="54"/>
  <c r="Z805" i="54"/>
  <c r="Z831" i="54"/>
  <c r="Z855" i="54"/>
  <c r="Z221" i="54"/>
  <c r="Z1001" i="54"/>
  <c r="Z1017" i="54"/>
  <c r="Z243" i="54"/>
  <c r="Z131" i="54"/>
  <c r="Z510" i="54"/>
  <c r="Z689" i="54"/>
  <c r="Z445" i="54"/>
  <c r="Z729" i="54"/>
  <c r="Z515" i="54"/>
  <c r="Z1104" i="54"/>
  <c r="Z943" i="54"/>
  <c r="Z635" i="54"/>
  <c r="Z248" i="54"/>
  <c r="Z502" i="54"/>
  <c r="Z629" i="54"/>
  <c r="Z42" i="54"/>
  <c r="Z291" i="54"/>
  <c r="Z181" i="54"/>
  <c r="Z133" i="54"/>
  <c r="Z1048" i="54"/>
  <c r="Z854" i="54"/>
  <c r="Z1068" i="54"/>
  <c r="Z465" i="54"/>
  <c r="Z39" i="54"/>
  <c r="Z496" i="54"/>
  <c r="Z505" i="54"/>
  <c r="Z41" i="54"/>
  <c r="Z38" i="54"/>
  <c r="Z524" i="54"/>
  <c r="Z948" i="54"/>
  <c r="Z684" i="54"/>
  <c r="Z582" i="54"/>
  <c r="Z571" i="54"/>
  <c r="Z447" i="54"/>
  <c r="Z1009" i="54"/>
  <c r="Z884" i="54"/>
  <c r="Z745" i="54"/>
  <c r="Z1143" i="54"/>
  <c r="Z839" i="54"/>
  <c r="Z794" i="54"/>
  <c r="Z174" i="54"/>
  <c r="Z639" i="54"/>
  <c r="Z735" i="54"/>
  <c r="Z1034" i="54"/>
  <c r="Z249" i="54"/>
  <c r="Z362" i="54"/>
  <c r="Z235" i="54"/>
  <c r="Z725" i="54"/>
  <c r="Z777" i="54"/>
  <c r="Z364" i="54"/>
  <c r="Z236" i="54"/>
  <c r="Z89" i="54"/>
  <c r="Z175" i="54"/>
  <c r="Z191" i="54"/>
  <c r="Z259" i="55"/>
  <c r="Z866" i="55"/>
  <c r="Z102" i="55"/>
  <c r="Z139" i="55"/>
  <c r="Z1088" i="55"/>
  <c r="Z272" i="55"/>
  <c r="Z789" i="55"/>
  <c r="Z107" i="55"/>
  <c r="Z686" i="55"/>
  <c r="Z570" i="55"/>
  <c r="Z414" i="55"/>
  <c r="Z622" i="55"/>
  <c r="Z590" i="55"/>
  <c r="Z1052" i="55"/>
  <c r="Z1171" i="55"/>
  <c r="Z1098" i="55"/>
  <c r="Z988" i="55"/>
  <c r="Z1089" i="55"/>
  <c r="Z1114" i="55"/>
  <c r="Z38" i="55"/>
  <c r="Z62" i="55"/>
  <c r="Z803" i="55"/>
  <c r="Z183" i="55"/>
  <c r="Z798" i="55"/>
  <c r="Z765" i="55"/>
  <c r="Z1165" i="55"/>
  <c r="Z66" i="55"/>
  <c r="Z1029" i="55"/>
  <c r="Z695" i="55"/>
  <c r="Z400" i="55"/>
  <c r="Z923" i="55"/>
  <c r="Z812" i="55"/>
  <c r="Z113" i="55"/>
  <c r="Z1160" i="55"/>
  <c r="Z90" i="55"/>
  <c r="Z696" i="55"/>
  <c r="Z534" i="55"/>
  <c r="Z1097" i="55"/>
  <c r="Z1126" i="55"/>
  <c r="Z1142" i="55"/>
  <c r="Z473" i="55"/>
  <c r="Z169" i="55"/>
  <c r="Z285" i="55"/>
  <c r="Z1090" i="55"/>
  <c r="Z510" i="55"/>
  <c r="Z507" i="55"/>
  <c r="Z706" i="55"/>
  <c r="Z861" i="55"/>
  <c r="Z678" i="55"/>
  <c r="Z731" i="55"/>
  <c r="Z50" i="55"/>
  <c r="Z1071" i="55"/>
  <c r="Z1177" i="55"/>
  <c r="Z807" i="55"/>
  <c r="Z238" i="55"/>
  <c r="Z523" i="55"/>
  <c r="Z833" i="55"/>
  <c r="Z467" i="55"/>
  <c r="Z137" i="55"/>
  <c r="Z519" i="55"/>
  <c r="Z475" i="55"/>
  <c r="Z632" i="55"/>
  <c r="Z625" i="55"/>
  <c r="Z42" i="55"/>
  <c r="Z486" i="55"/>
  <c r="Z830" i="55"/>
  <c r="Z929" i="55"/>
  <c r="Z704" i="55"/>
  <c r="Z653" i="55"/>
  <c r="Z297" i="55"/>
  <c r="Z684" i="55"/>
  <c r="Z1023" i="55"/>
  <c r="Z444" i="55"/>
  <c r="Z886" i="55"/>
  <c r="Z1178" i="55"/>
  <c r="Z223" i="55"/>
  <c r="Z76" i="55"/>
  <c r="Z633" i="55"/>
  <c r="Z1181" i="55"/>
  <c r="Z761" i="55"/>
  <c r="Z282" i="55"/>
  <c r="Z743" i="55"/>
  <c r="Z168" i="55"/>
  <c r="Z597" i="55"/>
  <c r="Z489" i="55"/>
  <c r="Z950" i="55"/>
  <c r="Z262" i="55"/>
  <c r="Z1021" i="55"/>
  <c r="Z80" i="55"/>
  <c r="Z1004" i="55"/>
  <c r="Z446" i="55"/>
  <c r="Z1175" i="55"/>
  <c r="Z933" i="55"/>
  <c r="Z1037" i="55"/>
  <c r="Z244" i="55"/>
  <c r="Z490" i="55"/>
  <c r="Z1073" i="55"/>
  <c r="Z793" i="55"/>
  <c r="Z390" i="55"/>
  <c r="Z747" i="55"/>
  <c r="Z588" i="55"/>
  <c r="Z110" i="55"/>
  <c r="Z1182" i="55"/>
  <c r="Z581" i="55"/>
  <c r="Z592" i="55"/>
  <c r="Z425" i="55"/>
  <c r="Z1111" i="55"/>
  <c r="Z896" i="55"/>
  <c r="Z218" i="55"/>
  <c r="Z724" i="55"/>
  <c r="Z641" i="55"/>
  <c r="Z1051" i="55"/>
  <c r="Z288" i="54"/>
  <c r="Z813" i="54"/>
  <c r="Z1149" i="54"/>
  <c r="Z449" i="54"/>
  <c r="Z100" i="54"/>
  <c r="Z90" i="54"/>
  <c r="Z56" i="54"/>
  <c r="Z179" i="54"/>
  <c r="Z1051" i="54"/>
  <c r="Z778" i="54"/>
  <c r="Z514" i="54"/>
  <c r="Z976" i="54"/>
  <c r="Z373" i="54"/>
  <c r="Z590" i="54"/>
  <c r="Z828" i="54"/>
  <c r="Z1030" i="54"/>
  <c r="Z261" i="54"/>
  <c r="Z859" i="54"/>
  <c r="Z466" i="54"/>
  <c r="Z1138" i="54"/>
  <c r="Z936" i="54"/>
  <c r="Z68" i="54"/>
  <c r="Z810" i="54"/>
  <c r="Z306" i="54"/>
  <c r="Z621" i="54"/>
  <c r="Z1160" i="54"/>
  <c r="Z1078" i="54"/>
  <c r="Z772" i="54"/>
  <c r="Z24" i="54"/>
  <c r="Z643" i="54"/>
  <c r="Z275" i="54"/>
  <c r="Z406" i="54"/>
  <c r="Z965" i="54"/>
  <c r="Z768" i="54"/>
  <c r="Z670" i="54"/>
  <c r="Z399" i="54"/>
  <c r="Z480" i="54"/>
  <c r="Z522" i="54"/>
  <c r="Z139" i="54"/>
  <c r="Z1112" i="54"/>
  <c r="Z1110" i="54"/>
  <c r="Z155" i="54"/>
  <c r="Z50" i="54"/>
  <c r="Z760" i="54"/>
  <c r="Z1151" i="54"/>
  <c r="Z819" i="54"/>
  <c r="Z319" i="54"/>
  <c r="Z300" i="54"/>
  <c r="Z997" i="54"/>
  <c r="Z836" i="54"/>
  <c r="Z513" i="54"/>
  <c r="Z672" i="54"/>
  <c r="Z795" i="54"/>
  <c r="Z327" i="54"/>
  <c r="Z320" i="54"/>
  <c r="Z1002" i="54"/>
  <c r="Z217" i="54"/>
  <c r="Z956" i="54"/>
  <c r="Z277" i="54"/>
  <c r="Z911" i="54"/>
  <c r="Z1105" i="54"/>
  <c r="Z804" i="54"/>
  <c r="Z308" i="54"/>
  <c r="Z853" i="54"/>
  <c r="Z642" i="54"/>
  <c r="Z969" i="54"/>
  <c r="Z1015" i="54"/>
  <c r="Z422" i="54"/>
  <c r="Z696" i="54"/>
  <c r="Z807" i="54"/>
  <c r="Z967" i="54"/>
  <c r="Z1011" i="54"/>
  <c r="Z906" i="54"/>
  <c r="Z1027" i="54"/>
  <c r="Z258" i="54"/>
  <c r="Z1156" i="54"/>
  <c r="Z1049" i="54"/>
  <c r="Z785" i="54"/>
  <c r="Z850" i="54"/>
  <c r="Z899" i="54"/>
  <c r="Z1090" i="54"/>
  <c r="Z415" i="54"/>
  <c r="Z570" i="54"/>
  <c r="Z423" i="54"/>
  <c r="Z1010" i="54"/>
  <c r="Z904" i="54"/>
  <c r="Z765" i="54"/>
  <c r="Z634" i="54"/>
  <c r="Z663" i="54"/>
  <c r="Z806" i="54"/>
  <c r="Z60" i="54"/>
  <c r="Z662" i="54"/>
  <c r="Z488" i="54"/>
  <c r="Z555" i="54"/>
  <c r="Z757" i="54"/>
  <c r="Z711" i="54"/>
  <c r="Z882" i="54"/>
  <c r="Z815" i="54"/>
  <c r="Z802" i="54"/>
  <c r="Z473" i="54"/>
  <c r="Z49" i="54"/>
  <c r="Z940" i="54"/>
  <c r="Z531" i="54"/>
  <c r="Z69" i="54"/>
  <c r="Z384" i="54"/>
  <c r="Z343" i="54"/>
  <c r="Z1026" i="54"/>
  <c r="Z257" i="54"/>
  <c r="Z1095" i="54"/>
  <c r="Z122" i="54"/>
  <c r="Z829" i="54"/>
  <c r="Z640" i="54"/>
  <c r="Z1137" i="54"/>
  <c r="Z679" i="54"/>
  <c r="Z982" i="54"/>
  <c r="Z213" i="54"/>
  <c r="Z952" i="54"/>
  <c r="Z1155" i="54"/>
  <c r="Z1040" i="54"/>
  <c r="Z636" i="54"/>
  <c r="Z1133" i="54"/>
  <c r="Z898" i="54"/>
  <c r="Z989" i="54"/>
  <c r="Z1083" i="54"/>
  <c r="Z665" i="54"/>
  <c r="Z657" i="54"/>
  <c r="Z1072" i="54"/>
  <c r="Z1066" i="54"/>
  <c r="Z168" i="54"/>
  <c r="Z792" i="54"/>
  <c r="Z843" i="54"/>
  <c r="Z110" i="54"/>
  <c r="Z410" i="54"/>
  <c r="Z592" i="54"/>
  <c r="Z1170" i="54"/>
  <c r="Z970" i="54"/>
  <c r="Z631" i="54"/>
  <c r="Z453" i="54"/>
  <c r="Z1094" i="54"/>
  <c r="Z171" i="54"/>
  <c r="Z788" i="54"/>
  <c r="Z28" i="54"/>
  <c r="Z659" i="54"/>
  <c r="Z527" i="54"/>
  <c r="Z675" i="54"/>
  <c r="Z1088" i="54"/>
  <c r="Z1082" i="54"/>
  <c r="Z172" i="54"/>
  <c r="Z808" i="54"/>
  <c r="Z816" i="54"/>
  <c r="Z1065" i="54"/>
  <c r="Z82" i="54"/>
  <c r="Z669" i="54"/>
  <c r="Z483" i="54"/>
  <c r="Z927" i="54"/>
  <c r="Z298" i="54"/>
  <c r="Z1180" i="54"/>
  <c r="Z1172" i="54"/>
  <c r="Z686" i="54"/>
  <c r="Z341" i="54"/>
  <c r="Z1150" i="54"/>
  <c r="Z565" i="54"/>
  <c r="Z66" i="54"/>
  <c r="Z786" i="54"/>
  <c r="Z159" i="54"/>
  <c r="Z375" i="54"/>
  <c r="Z852" i="54"/>
  <c r="Z916" i="54"/>
  <c r="Z622" i="54"/>
  <c r="Z600" i="54"/>
  <c r="Z182" i="54"/>
  <c r="Z646" i="54"/>
  <c r="Z878" i="54"/>
  <c r="Z771" i="54"/>
  <c r="Z87" i="54"/>
  <c r="Z334" i="54"/>
  <c r="Z734" i="54"/>
  <c r="Z868" i="54"/>
  <c r="Z1111" i="54"/>
  <c r="Z902" i="54"/>
  <c r="Z26" i="54"/>
  <c r="Z117" i="54"/>
  <c r="Z1005" i="54"/>
  <c r="Z485" i="54"/>
  <c r="Z314" i="54"/>
  <c r="Z579" i="54"/>
  <c r="Z367" i="54"/>
  <c r="Z315" i="54"/>
  <c r="Z973" i="54"/>
  <c r="Z889" i="54"/>
  <c r="Z782" i="54"/>
  <c r="Z539" i="54"/>
  <c r="Z618" i="54"/>
  <c r="Z1131" i="54"/>
  <c r="Z939" i="54"/>
  <c r="Z152" i="54"/>
  <c r="Z728" i="54"/>
  <c r="Z950" i="54"/>
  <c r="Z615" i="54"/>
  <c r="Z604" i="54"/>
  <c r="Z188" i="54"/>
  <c r="Z281" i="54"/>
  <c r="Z357" i="54"/>
  <c r="Z935" i="54"/>
  <c r="Z756" i="54"/>
  <c r="Z847" i="54"/>
  <c r="Z452" i="54"/>
  <c r="Z119" i="54"/>
  <c r="Z462" i="54"/>
  <c r="Z1055" i="54"/>
  <c r="Z486" i="54"/>
  <c r="Z443" i="54"/>
  <c r="Z1085" i="54"/>
  <c r="Z530" i="54"/>
  <c r="Z722" i="54"/>
  <c r="Z1161" i="54"/>
  <c r="Z759" i="54"/>
  <c r="Z126" i="54"/>
  <c r="Z656" i="54"/>
  <c r="Z1153" i="54"/>
  <c r="Z201" i="54"/>
  <c r="Z208" i="54"/>
  <c r="Z1039" i="54"/>
  <c r="Z270" i="54"/>
  <c r="Z895" i="54"/>
  <c r="Z834" i="54"/>
  <c r="Z707" i="54"/>
  <c r="Z1173" i="54"/>
  <c r="Z475" i="54"/>
  <c r="Z587" i="54"/>
  <c r="Z1013" i="54"/>
  <c r="Z160" i="54"/>
  <c r="Z688" i="54"/>
  <c r="Z608" i="54"/>
  <c r="Z48" i="54"/>
  <c r="Z1099" i="54"/>
  <c r="Z192" i="54"/>
  <c r="Z814" i="54"/>
  <c r="Z1047" i="54"/>
  <c r="Z329" i="54"/>
  <c r="Z990" i="54"/>
  <c r="Z1006" i="54"/>
  <c r="Z767" i="54"/>
  <c r="Z761" i="54"/>
  <c r="Z535" i="54"/>
  <c r="Z1020" i="54"/>
  <c r="Z272" i="54"/>
  <c r="Z668" i="54"/>
  <c r="Z1071" i="54"/>
  <c r="Z128" i="54"/>
  <c r="Z567" i="54"/>
  <c r="Z732" i="54"/>
  <c r="Z912" i="54"/>
  <c r="Z619" i="54"/>
  <c r="Z259" i="54"/>
  <c r="Z116" i="54"/>
  <c r="Z1177" i="54"/>
  <c r="Z996" i="54"/>
  <c r="Z1139" i="54"/>
  <c r="Z1185" i="54"/>
  <c r="Z1060" i="54"/>
  <c r="Z310" i="54"/>
  <c r="Z51" i="54"/>
  <c r="Z1148" i="54"/>
  <c r="Z901" i="54"/>
  <c r="Z980" i="54"/>
  <c r="Z924" i="54"/>
  <c r="Z401" i="54"/>
  <c r="Z23" i="54"/>
  <c r="Z511" i="54"/>
  <c r="Z597" i="54"/>
  <c r="Z493" i="54"/>
  <c r="Z197" i="54"/>
  <c r="Z932" i="54"/>
  <c r="Z692" i="54"/>
  <c r="Z563" i="54"/>
  <c r="Z279" i="54"/>
  <c r="Z1019" i="54"/>
  <c r="Z250" i="54"/>
  <c r="Z941" i="54"/>
  <c r="Z753" i="54"/>
  <c r="Z596" i="54"/>
  <c r="Z1174" i="54"/>
  <c r="Z822" i="54"/>
  <c r="Z356" i="54"/>
  <c r="Z749" i="54"/>
  <c r="Z624" i="54"/>
  <c r="Z1121" i="54"/>
  <c r="Z978" i="54"/>
  <c r="Z209" i="54"/>
  <c r="Z925" i="54"/>
  <c r="Z74" i="54"/>
  <c r="Z818" i="54"/>
  <c r="Z547" i="54"/>
  <c r="Z605" i="54"/>
  <c r="Z1120" i="54"/>
  <c r="Z959" i="54"/>
  <c r="Z764" i="54"/>
  <c r="Z238" i="54"/>
  <c r="Z705" i="54"/>
  <c r="Z851" i="54"/>
  <c r="Z1096" i="54"/>
  <c r="Z613" i="54"/>
  <c r="Z1127" i="54"/>
  <c r="Z1092" i="54"/>
  <c r="Z1147" i="54"/>
  <c r="Z377" i="54"/>
  <c r="Z955" i="54"/>
  <c r="Z156" i="54"/>
  <c r="Z744" i="54"/>
  <c r="Z594" i="54"/>
  <c r="Z63" i="54"/>
  <c r="Z937" i="54"/>
  <c r="Z626" i="54"/>
  <c r="Z695" i="54"/>
  <c r="Z928" i="54"/>
  <c r="Z842" i="54"/>
  <c r="Z1052" i="54"/>
  <c r="Z194" i="54"/>
  <c r="Z316" i="54"/>
  <c r="Z1145" i="54"/>
  <c r="Z865" i="54"/>
  <c r="Z436" i="54"/>
  <c r="Z407" i="54"/>
  <c r="Z1016" i="54"/>
  <c r="Z92" i="54"/>
  <c r="Z328" i="54"/>
  <c r="Z598" i="54"/>
  <c r="Z900" i="54"/>
  <c r="Z305" i="54"/>
  <c r="Z146" i="54"/>
  <c r="Z32" i="54"/>
  <c r="Z796" i="54"/>
  <c r="Z98" i="54"/>
  <c r="Z733" i="54"/>
  <c r="Z490" i="54"/>
  <c r="Z554" i="54"/>
  <c r="Z143" i="54"/>
  <c r="Z392" i="54"/>
  <c r="Z430" i="54"/>
  <c r="Z494" i="54"/>
  <c r="Z498" i="54"/>
  <c r="Z1067" i="54"/>
  <c r="Z169" i="54"/>
  <c r="Z987" i="54"/>
  <c r="Z408" i="54"/>
  <c r="Z395" i="54"/>
  <c r="Z1061" i="54"/>
  <c r="Z720" i="54"/>
  <c r="Z559" i="54"/>
  <c r="Z803" i="54"/>
  <c r="Z506" i="54"/>
  <c r="Z434" i="54"/>
  <c r="Z838" i="54"/>
  <c r="Z70" i="54"/>
  <c r="Z790" i="54"/>
  <c r="Z609" i="54"/>
  <c r="Z170" i="54"/>
  <c r="Z966" i="54"/>
  <c r="Z877" i="54"/>
  <c r="Z602" i="54"/>
  <c r="Z1018" i="54"/>
  <c r="Z574" i="54"/>
  <c r="Z388" i="54"/>
  <c r="Z103" i="54"/>
  <c r="Z398" i="54"/>
  <c r="Z545" i="54"/>
  <c r="Z991" i="54"/>
  <c r="Z378" i="54"/>
  <c r="Z102" i="54"/>
  <c r="Z442" i="54"/>
  <c r="Z541" i="54"/>
  <c r="Z365" i="54"/>
  <c r="Z165" i="54"/>
  <c r="Z703" i="54"/>
  <c r="Z1079" i="54"/>
  <c r="Z1007" i="54"/>
  <c r="Z892" i="54"/>
  <c r="Z91" i="54"/>
  <c r="Z350" i="54"/>
  <c r="Z278" i="54"/>
  <c r="Z650" i="54"/>
  <c r="Z797" i="54"/>
  <c r="Z780" i="54"/>
  <c r="Z78" i="54"/>
  <c r="Z381" i="54"/>
  <c r="Z153" i="54"/>
  <c r="Z61" i="54"/>
  <c r="Z210" i="54"/>
  <c r="Z573" i="54"/>
  <c r="Z109" i="54"/>
  <c r="Z189" i="54"/>
  <c r="Z354" i="54"/>
  <c r="Z520" i="54"/>
  <c r="Z96" i="54"/>
  <c r="Z909" i="54"/>
  <c r="Z112" i="54"/>
  <c r="Z938" i="54"/>
  <c r="Z256" i="54"/>
  <c r="Z926" i="54"/>
  <c r="Z497" i="54"/>
  <c r="Z591" i="54"/>
  <c r="Z625" i="54"/>
  <c r="Z875" i="54"/>
  <c r="Z376" i="54"/>
  <c r="Z880" i="54"/>
  <c r="Z338" i="54"/>
  <c r="Z500" i="54"/>
  <c r="Z1101" i="54"/>
  <c r="Z176" i="54"/>
  <c r="Z1036" i="54"/>
  <c r="Z290" i="54"/>
  <c r="Z269" i="54"/>
  <c r="Z947" i="54"/>
  <c r="Z144" i="54"/>
  <c r="Z1169" i="54"/>
  <c r="Z830" i="54"/>
  <c r="Z383" i="54"/>
  <c r="Z825" i="54"/>
  <c r="Z321" i="54"/>
  <c r="Z983" i="54"/>
  <c r="Z130" i="54"/>
  <c r="Z870" i="54"/>
  <c r="Z1125" i="54"/>
  <c r="Z519" i="54"/>
  <c r="Z271" i="54"/>
  <c r="Z872" i="54"/>
  <c r="Z198" i="54"/>
  <c r="Z1024" i="54"/>
  <c r="Z1158" i="54"/>
  <c r="Z821" i="54"/>
  <c r="Z715" i="54"/>
  <c r="Z296" i="54"/>
  <c r="Z215" i="54"/>
  <c r="Z1058" i="54"/>
  <c r="Z685" i="54"/>
  <c r="Z1141" i="54"/>
  <c r="Z1183" i="54"/>
  <c r="Z54" i="54"/>
  <c r="Z960" i="54"/>
  <c r="Z544" i="54"/>
  <c r="Z337" i="54"/>
  <c r="Z340" i="54"/>
  <c r="Z390" i="54"/>
  <c r="Z645" i="54"/>
  <c r="Z623" i="54"/>
  <c r="Z762" i="54"/>
  <c r="Z1076" i="54"/>
  <c r="Z322" i="54"/>
  <c r="Z158" i="54"/>
  <c r="Z1037" i="54"/>
  <c r="Z260" i="54"/>
  <c r="Z871" i="54"/>
  <c r="Z862" i="54"/>
  <c r="Z787" i="54"/>
  <c r="Z719" i="54"/>
  <c r="Z284" i="54"/>
  <c r="Z993" i="54"/>
  <c r="Z1124" i="54"/>
  <c r="Z681" i="54"/>
  <c r="Z1175" i="54"/>
  <c r="Z617" i="54"/>
  <c r="Z607" i="54"/>
  <c r="Z280" i="54"/>
  <c r="Z992" i="54"/>
  <c r="Z848" i="54"/>
  <c r="Z84" i="54"/>
  <c r="Z693" i="54"/>
  <c r="Z1087" i="54"/>
  <c r="Z1100" i="54"/>
  <c r="Z964" i="54"/>
  <c r="Z945" i="54"/>
  <c r="Z40" i="54"/>
  <c r="Z698" i="54"/>
  <c r="Z403" i="54"/>
  <c r="Z30" i="54"/>
  <c r="Z470" i="54"/>
  <c r="Z727" i="54"/>
  <c r="Z981" i="54"/>
  <c r="Z921" i="54"/>
  <c r="Z1159" i="54"/>
  <c r="Z1098" i="54"/>
  <c r="Z1091" i="54"/>
  <c r="Z190" i="54"/>
  <c r="Z43" i="54"/>
  <c r="Z1050" i="54"/>
  <c r="Z265" i="54"/>
  <c r="Z47" i="54"/>
  <c r="Z207" i="54"/>
  <c r="Z1130" i="54"/>
  <c r="Z968" i="54"/>
  <c r="Z837" i="54"/>
  <c r="Z44" i="54"/>
  <c r="Z714" i="54"/>
  <c r="Z307" i="54"/>
  <c r="Z178" i="54"/>
  <c r="Z811" i="54"/>
  <c r="Z1106" i="54"/>
  <c r="Z677" i="54"/>
  <c r="Z333" i="54"/>
  <c r="Z1108" i="54"/>
  <c r="Z979" i="54"/>
  <c r="Z633" i="54"/>
  <c r="Z963" i="54"/>
  <c r="Z162" i="54"/>
  <c r="Z752" i="54"/>
  <c r="Z239" i="54"/>
  <c r="Z546" i="54"/>
  <c r="Z444" i="54"/>
  <c r="Z891" i="54"/>
  <c r="Z479" i="54"/>
  <c r="Z495" i="54"/>
  <c r="Z799" i="54"/>
  <c r="Z525" i="54"/>
  <c r="Z351" i="54"/>
  <c r="Z521" i="54"/>
  <c r="Z648" i="54"/>
  <c r="Z866" i="54"/>
  <c r="Z988" i="54"/>
  <c r="Z558" i="54"/>
  <c r="Z508" i="54"/>
  <c r="Z111" i="54"/>
  <c r="Z127" i="54"/>
  <c r="Z141" i="54"/>
  <c r="Z601" i="54"/>
  <c r="Z72" i="54"/>
  <c r="Z245" i="54"/>
  <c r="Z726" i="54"/>
  <c r="Z154" i="54"/>
  <c r="Z586" i="54"/>
  <c r="Z455" i="54"/>
  <c r="Z566" i="54"/>
  <c r="Z446" i="54"/>
  <c r="Z203" i="54"/>
  <c r="Z472" i="54"/>
  <c r="Z67" i="54"/>
  <c r="Z523" i="54"/>
  <c r="Z1123" i="54"/>
  <c r="Z1142" i="54"/>
  <c r="Z784" i="54"/>
  <c r="Z826" i="54"/>
  <c r="Z637" i="54"/>
  <c r="Z503" i="54"/>
  <c r="Z944" i="54"/>
  <c r="Z537" i="54"/>
  <c r="Z129" i="54"/>
  <c r="Z518" i="54"/>
  <c r="Z216" i="54"/>
  <c r="Z85" i="54"/>
  <c r="Z917" i="54"/>
  <c r="Z227" i="54"/>
  <c r="Z370" i="54"/>
  <c r="Z501" i="54"/>
  <c r="Z183" i="54"/>
  <c r="Z532" i="54"/>
  <c r="Z1029" i="54"/>
  <c r="Z1181" i="54"/>
  <c r="Z691" i="54"/>
  <c r="Z1165" i="54"/>
  <c r="Z204" i="54"/>
  <c r="Z57" i="54"/>
  <c r="Z849" i="54"/>
  <c r="Z694" i="54"/>
  <c r="Z331" i="54"/>
  <c r="Z512" i="54"/>
  <c r="Z517" i="54"/>
  <c r="Z187" i="54"/>
  <c r="Z482" i="54"/>
  <c r="Z358" i="54"/>
  <c r="Z556" i="54"/>
  <c r="Z397" i="54"/>
  <c r="Z369" i="54"/>
  <c r="Z655" i="54"/>
  <c r="Z467" i="54"/>
  <c r="Z255" i="54"/>
  <c r="Z995" i="54"/>
  <c r="Z294" i="54"/>
  <c r="Z611" i="54"/>
  <c r="Z224" i="54"/>
  <c r="Z240" i="54"/>
  <c r="Z400" i="54"/>
  <c r="Z282" i="54"/>
  <c r="Z1136" i="54"/>
  <c r="Z1140" i="54"/>
  <c r="Z721" i="54"/>
  <c r="Z832" i="54"/>
  <c r="Z658" i="54"/>
  <c r="Z1103" i="54"/>
  <c r="Z347" i="54"/>
  <c r="Z464" i="54"/>
  <c r="Z740" i="54"/>
  <c r="Z45" i="54"/>
  <c r="Z125" i="54"/>
  <c r="Z766" i="54"/>
  <c r="Z380" i="54"/>
  <c r="Z1163" i="54"/>
  <c r="Z1074" i="54"/>
  <c r="AC1124" i="19"/>
  <c r="AC1172" i="19"/>
  <c r="K33" i="56"/>
  <c r="L33" i="56" s="1"/>
  <c r="J34" i="56"/>
  <c r="AC398" i="19"/>
  <c r="AC548" i="19"/>
  <c r="AC653" i="19"/>
  <c r="AC861" i="19"/>
  <c r="AC1029" i="19"/>
  <c r="AC44" i="19"/>
  <c r="AC104" i="19"/>
  <c r="AC245" i="19"/>
  <c r="AC377" i="19"/>
  <c r="AC395" i="19"/>
  <c r="AC590" i="19"/>
  <c r="AC664" i="19"/>
  <c r="AC780" i="19"/>
  <c r="AC811" i="19"/>
  <c r="AC966" i="19"/>
  <c r="AC1026" i="19"/>
  <c r="AC1064" i="19"/>
  <c r="AC61" i="19"/>
  <c r="AC259" i="19"/>
  <c r="AC424" i="19"/>
  <c r="AC470" i="19"/>
  <c r="AC539" i="19"/>
  <c r="AC583" i="19"/>
  <c r="AC625" i="19"/>
  <c r="AC629" i="19"/>
  <c r="AC651" i="19"/>
  <c r="AC912" i="19"/>
  <c r="AC967" i="19"/>
  <c r="AC1052" i="19"/>
  <c r="AC272" i="19"/>
  <c r="AC301" i="19"/>
  <c r="AC652" i="19"/>
  <c r="AC692" i="19"/>
  <c r="AC764" i="19"/>
  <c r="AC873" i="19"/>
  <c r="AC959" i="19"/>
  <c r="AC359" i="19"/>
  <c r="AC360" i="19"/>
  <c r="AC357" i="19"/>
  <c r="AC353" i="19"/>
  <c r="AC371" i="19"/>
  <c r="AC418" i="19"/>
  <c r="AC354" i="19"/>
  <c r="AC569" i="19"/>
  <c r="AC351" i="19"/>
  <c r="AC298" i="19"/>
  <c r="AC393" i="19"/>
  <c r="AC936" i="19"/>
  <c r="AC945" i="19"/>
  <c r="AC1068" i="19"/>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21" i="19" s="1"/>
  <c r="AQ14" i="42"/>
  <c r="BP42" i="42"/>
  <c r="AQ24" i="42"/>
  <c r="K24" i="17"/>
  <c r="L24" i="17" s="1"/>
  <c r="J25" i="17"/>
  <c r="C78" i="42"/>
  <c r="E76" i="42"/>
  <c r="F77" i="42"/>
  <c r="AP5" i="42"/>
  <c r="BW2" i="42"/>
  <c r="CC4" i="42" s="1"/>
  <c r="CE4" i="42" s="1"/>
  <c r="CG4" i="42" s="1"/>
  <c r="CA4" i="42"/>
  <c r="BC71" i="42"/>
  <c r="AR67" i="42"/>
  <c r="BC35" i="42"/>
  <c r="BK49" i="42"/>
  <c r="AL1" i="19"/>
  <c r="BC19" i="42"/>
  <c r="BC30" i="42"/>
  <c r="BC20" i="42"/>
  <c r="BC34" i="42"/>
  <c r="AL49" i="42"/>
  <c r="D1205" i="19"/>
  <c r="D1203" i="19"/>
  <c r="D1201" i="19"/>
  <c r="D1204" i="19"/>
  <c r="D1202" i="19"/>
  <c r="BP40" i="42"/>
  <c r="BP44" i="42"/>
  <c r="AM28" i="42"/>
  <c r="AM24" i="42"/>
  <c r="AN26" i="42"/>
  <c r="AN29" i="42"/>
  <c r="AU29" i="42"/>
  <c r="AJ28" i="42"/>
  <c r="AT28" i="42"/>
  <c r="AR28" i="42"/>
  <c r="AR29" i="42"/>
  <c r="AK29" i="42"/>
  <c r="AI39" i="35"/>
  <c r="AI38" i="35"/>
  <c r="AI37" i="35"/>
  <c r="AI36" i="35"/>
  <c r="AI35" i="35"/>
  <c r="AI34" i="35"/>
  <c r="AI33" i="35"/>
  <c r="AI32" i="35"/>
  <c r="AI31" i="35"/>
  <c r="AI30" i="35"/>
  <c r="AI29" i="35"/>
  <c r="AI28" i="35"/>
  <c r="AI27" i="35"/>
  <c r="AI26" i="35"/>
  <c r="W19" i="35"/>
  <c r="U19" i="35"/>
  <c r="W18" i="35"/>
  <c r="U18" i="35"/>
  <c r="J35" i="56" l="1"/>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I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H961" i="35" s="1"/>
  <c r="E904" i="35"/>
  <c r="H904" i="35" s="1"/>
  <c r="E872" i="35"/>
  <c r="E796" i="35"/>
  <c r="E613" i="35"/>
  <c r="F613" i="35" s="1"/>
  <c r="E984" i="35"/>
  <c r="F984" i="35" s="1"/>
  <c r="I984" i="35" s="1"/>
  <c r="E744" i="35"/>
  <c r="F744" i="35" s="1"/>
  <c r="E677" i="35"/>
  <c r="E913" i="35"/>
  <c r="E817" i="35"/>
  <c r="E563" i="35"/>
  <c r="F563" i="35" s="1"/>
  <c r="E985" i="35"/>
  <c r="F985" i="35" s="1"/>
  <c r="I985" i="35" s="1"/>
  <c r="AC12" i="19"/>
  <c r="AC11" i="19"/>
  <c r="AC10" i="19"/>
  <c r="AC8" i="19"/>
  <c r="J36" i="56" l="1"/>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J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J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J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J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J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J311" i="35" s="1"/>
  <c r="H763" i="35"/>
  <c r="G763" i="35" s="1"/>
  <c r="J763" i="35" s="1"/>
  <c r="H19" i="35"/>
  <c r="G19" i="35" s="1"/>
  <c r="J19" i="35" s="1"/>
  <c r="F459" i="35"/>
  <c r="H307" i="35"/>
  <c r="G307" i="35" s="1"/>
  <c r="J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J312" i="35" s="1"/>
  <c r="H392" i="35"/>
  <c r="G392" i="35" s="1"/>
  <c r="J392" i="35" s="1"/>
  <c r="F347" i="35"/>
  <c r="F525" i="35"/>
  <c r="F253" i="35"/>
  <c r="H325" i="35"/>
  <c r="G325" i="35" s="1"/>
  <c r="J325" i="35" s="1"/>
  <c r="F584" i="35"/>
  <c r="H584" i="35" s="1"/>
  <c r="F604" i="35"/>
  <c r="F641" i="35"/>
  <c r="F42" i="35"/>
  <c r="F94" i="35"/>
  <c r="H946" i="35"/>
  <c r="G946" i="35" s="1"/>
  <c r="J946" i="35" s="1"/>
  <c r="H134" i="35"/>
  <c r="G134" i="35" s="1"/>
  <c r="J134" i="35" s="1"/>
  <c r="H309" i="35"/>
  <c r="G309" i="35" s="1"/>
  <c r="J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J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J304" i="35" s="1"/>
  <c r="F799" i="35"/>
  <c r="F647" i="35"/>
  <c r="H938" i="35"/>
  <c r="G938" i="35" s="1"/>
  <c r="J938" i="35" s="1"/>
  <c r="H708" i="35"/>
  <c r="G708" i="35" s="1"/>
  <c r="J708" i="35" s="1"/>
  <c r="H795" i="35"/>
  <c r="G795" i="35" s="1"/>
  <c r="J795" i="35" s="1"/>
  <c r="H797" i="35"/>
  <c r="G797" i="35" s="1"/>
  <c r="J797" i="35" s="1"/>
  <c r="H305" i="35"/>
  <c r="G305" i="35" s="1"/>
  <c r="J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J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J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J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J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J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J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J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J939" i="35" s="1"/>
  <c r="F283" i="35"/>
  <c r="H283" i="35" s="1"/>
  <c r="H240" i="35"/>
  <c r="G240" i="35" s="1"/>
  <c r="J240" i="35" s="1"/>
  <c r="H60" i="35"/>
  <c r="G60" i="35" s="1"/>
  <c r="J60" i="35" s="1"/>
  <c r="F206" i="35"/>
  <c r="H206" i="35" s="1"/>
  <c r="H345" i="35"/>
  <c r="G345" i="35" s="1"/>
  <c r="J345" i="35" s="1"/>
  <c r="H780" i="35"/>
  <c r="G780" i="35" s="1"/>
  <c r="J780" i="35" s="1"/>
  <c r="F980" i="35"/>
  <c r="H825" i="35"/>
  <c r="G825" i="35" s="1"/>
  <c r="J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J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J955" i="35" s="1"/>
  <c r="H341" i="35"/>
  <c r="G341" i="35" s="1"/>
  <c r="J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J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J985" i="35" s="1"/>
  <c r="F913" i="35"/>
  <c r="H913" i="35" s="1"/>
  <c r="H865" i="35"/>
  <c r="G865" i="35" s="1"/>
  <c r="J865" i="35" s="1"/>
  <c r="H972" i="35"/>
  <c r="G972" i="35" s="1"/>
  <c r="J972" i="35" s="1"/>
  <c r="H744" i="35"/>
  <c r="G744" i="35" s="1"/>
  <c r="J744" i="35" s="1"/>
  <c r="F765" i="35"/>
  <c r="H909" i="35"/>
  <c r="G909" i="35" s="1"/>
  <c r="J909" i="35" s="1"/>
  <c r="F581" i="35"/>
  <c r="H581" i="35" s="1"/>
  <c r="F748" i="35"/>
  <c r="H748" i="35" s="1"/>
  <c r="F717" i="35"/>
  <c r="H717" i="35" s="1"/>
  <c r="F974" i="35"/>
  <c r="I974" i="35" s="1"/>
  <c r="H884" i="35"/>
  <c r="G884" i="35" s="1"/>
  <c r="J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F696" i="35"/>
  <c r="H696" i="35" s="1"/>
  <c r="F888" i="35"/>
  <c r="H888" i="35" s="1"/>
  <c r="H982" i="35"/>
  <c r="G982" i="35" s="1"/>
  <c r="J982" i="35" s="1"/>
  <c r="F689" i="35"/>
  <c r="H689" i="35" s="1"/>
  <c r="H967" i="35"/>
  <c r="G967" i="35" s="1"/>
  <c r="J967" i="35" s="1"/>
  <c r="H711" i="35"/>
  <c r="G711" i="35" s="1"/>
  <c r="J711" i="35" s="1"/>
  <c r="H970" i="35"/>
  <c r="G970" i="35" s="1"/>
  <c r="J970" i="35" s="1"/>
  <c r="G125" i="35"/>
  <c r="J125" i="35" s="1"/>
  <c r="G6" i="35"/>
  <c r="J6" i="35" s="1"/>
  <c r="AG1198" i="19"/>
  <c r="AN1193" i="19"/>
  <c r="AG1194" i="19"/>
  <c r="AJ1193" i="19"/>
  <c r="AI1193" i="19"/>
  <c r="AH1193" i="19"/>
  <c r="AG1193" i="19"/>
  <c r="AC5" i="19"/>
  <c r="AC1" i="19"/>
  <c r="H326" i="35" l="1"/>
  <c r="H328" i="35"/>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J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J403" i="35" s="1"/>
  <c r="H886" i="35"/>
  <c r="G886" i="35" s="1"/>
  <c r="J886" i="35" s="1"/>
  <c r="H789" i="35"/>
  <c r="G789" i="35" s="1"/>
  <c r="J789" i="35" s="1"/>
  <c r="I355" i="35"/>
  <c r="H875" i="35"/>
  <c r="G875" i="35" s="1"/>
  <c r="J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J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J890" i="35" s="1"/>
  <c r="H383" i="35"/>
  <c r="G383" i="35" s="1"/>
  <c r="J383" i="35" s="1"/>
  <c r="H777" i="35"/>
  <c r="G777" i="35" s="1"/>
  <c r="J777" i="35" s="1"/>
  <c r="I32" i="35"/>
  <c r="I450" i="35"/>
  <c r="I446" i="35"/>
  <c r="H979" i="35"/>
  <c r="G979" i="35" s="1"/>
  <c r="J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J826" i="35" s="1"/>
  <c r="I451" i="35"/>
  <c r="I591" i="35"/>
  <c r="H133" i="35"/>
  <c r="G133" i="35" s="1"/>
  <c r="J133" i="35" s="1"/>
  <c r="I156" i="35"/>
  <c r="H882" i="35"/>
  <c r="G882" i="35" s="1"/>
  <c r="J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J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J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J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326" i="35"/>
  <c r="J326" i="35" s="1"/>
  <c r="G962" i="35"/>
  <c r="J962" i="35" s="1"/>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J317" i="35" s="1"/>
  <c r="G811" i="35"/>
  <c r="J811" i="35" s="1"/>
  <c r="G291" i="35"/>
  <c r="J291" i="35" s="1"/>
  <c r="G243" i="35"/>
  <c r="J243" i="35" s="1"/>
  <c r="G182" i="35"/>
  <c r="J182" i="35" s="1"/>
  <c r="G899" i="35"/>
  <c r="J899" i="35" s="1"/>
  <c r="G150" i="35"/>
  <c r="J150" i="35" s="1"/>
  <c r="G43" i="35"/>
  <c r="J43" i="35" s="1"/>
  <c r="G413" i="35"/>
  <c r="J413" i="35" s="1"/>
  <c r="G918" i="35"/>
  <c r="J918" i="35" s="1"/>
  <c r="G328" i="35"/>
  <c r="J32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J292" i="35" s="1"/>
  <c r="G788" i="35"/>
  <c r="J788" i="35" s="1"/>
  <c r="G195" i="35"/>
  <c r="J195" i="35" s="1"/>
  <c r="G394" i="35"/>
  <c r="J394" i="35" s="1"/>
  <c r="G822" i="35"/>
  <c r="J822" i="35" s="1"/>
  <c r="G664" i="35"/>
  <c r="J664" i="35" s="1"/>
  <c r="G55" i="35"/>
  <c r="J55" i="35" s="1"/>
  <c r="G559" i="35"/>
  <c r="J559" i="35" s="1"/>
  <c r="G296" i="35"/>
  <c r="J296" i="35" s="1"/>
  <c r="G506" i="35"/>
  <c r="J506" i="35" s="1"/>
  <c r="G51" i="35"/>
  <c r="J51" i="35" s="1"/>
  <c r="G959" i="35"/>
  <c r="J959" i="35" s="1"/>
  <c r="G308" i="35"/>
  <c r="J308" i="35" s="1"/>
  <c r="G508" i="35"/>
  <c r="J508" i="35" s="1"/>
  <c r="G914" i="35"/>
  <c r="J914" i="35" s="1"/>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J300" i="35" s="1"/>
  <c r="G87" i="35"/>
  <c r="J87" i="35" s="1"/>
  <c r="G690" i="35"/>
  <c r="J690" i="35" s="1"/>
  <c r="G964" i="35"/>
  <c r="J964" i="35" s="1"/>
  <c r="G148" i="35"/>
  <c r="J148" i="35" s="1"/>
  <c r="G298" i="35"/>
  <c r="J298" i="35" s="1"/>
  <c r="G987" i="35"/>
  <c r="J987" i="35" s="1"/>
  <c r="G696" i="35"/>
  <c r="J696" i="35" s="1"/>
  <c r="G961" i="35"/>
  <c r="J961" i="35" s="1"/>
  <c r="I961" i="35"/>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J295" i="35" s="1"/>
  <c r="I295" i="35"/>
  <c r="G717" i="35"/>
  <c r="J717" i="35" s="1"/>
  <c r="G824" i="35"/>
  <c r="J824" i="35" s="1"/>
  <c r="G627" i="35"/>
  <c r="J627" i="35" s="1"/>
  <c r="G781" i="35"/>
  <c r="J781" i="35" s="1"/>
  <c r="G110" i="35"/>
  <c r="J110" i="35" s="1"/>
  <c r="G761" i="35"/>
  <c r="J761" i="35" s="1"/>
  <c r="G635" i="35"/>
  <c r="J635" i="35" s="1"/>
  <c r="G917" i="35"/>
  <c r="J917" i="35" s="1"/>
  <c r="I917" i="35"/>
  <c r="G200" i="35"/>
  <c r="J200" i="35" s="1"/>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J314" i="35" s="1"/>
  <c r="G96" i="35"/>
  <c r="J96" i="35" s="1"/>
  <c r="G359" i="35"/>
  <c r="J359" i="35" s="1"/>
  <c r="I359" i="35"/>
  <c r="G980" i="35"/>
  <c r="J980" i="35" s="1"/>
  <c r="I980" i="35"/>
  <c r="G283" i="35"/>
  <c r="J283" i="35" s="1"/>
  <c r="G486" i="35"/>
  <c r="J486" i="35" s="1"/>
  <c r="G172" i="35"/>
  <c r="J172" i="35" s="1"/>
  <c r="G704" i="35"/>
  <c r="J704" i="35" s="1"/>
  <c r="G983" i="35"/>
  <c r="J983" i="35" s="1"/>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J299" i="35" s="1"/>
  <c r="I299" i="35"/>
  <c r="G489" i="35"/>
  <c r="J489" i="35" s="1"/>
  <c r="G692" i="35"/>
  <c r="J692" i="35" s="1"/>
  <c r="G46" i="35"/>
  <c r="J46" i="35" s="1"/>
  <c r="G272" i="35"/>
  <c r="J272" i="35" s="1"/>
  <c r="G206" i="35"/>
  <c r="J206" i="35" s="1"/>
  <c r="G75" i="35"/>
  <c r="J75" i="35" s="1"/>
  <c r="G922" i="35"/>
  <c r="J922" i="35" s="1"/>
  <c r="I922" i="35"/>
  <c r="G315" i="35"/>
  <c r="J315" i="35" s="1"/>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94" i="19" s="1"/>
  <c r="AF17" i="19"/>
  <c r="AC1042" i="19" l="1"/>
  <c r="B1042" i="19" s="1"/>
  <c r="Y1042" i="19" s="1"/>
  <c r="AL1042" i="19" s="1"/>
  <c r="AC645" i="19"/>
  <c r="AC638" i="19"/>
  <c r="AC789" i="19"/>
  <c r="B789" i="19" s="1"/>
  <c r="AC1035" i="19"/>
  <c r="B1035" i="19" s="1"/>
  <c r="Y1035" i="19" s="1"/>
  <c r="AC684" i="19"/>
  <c r="B684" i="19" s="1"/>
  <c r="AC785" i="19"/>
  <c r="B785" i="19" s="1"/>
  <c r="AM1042" i="19"/>
  <c r="AQ283" i="19"/>
  <c r="AQ285" i="19"/>
  <c r="AQ284" i="19"/>
  <c r="AD284" i="19"/>
  <c r="AD285" i="19"/>
  <c r="B283" i="19"/>
  <c r="B284" i="19"/>
  <c r="B285" i="19"/>
  <c r="AC993" i="19"/>
  <c r="B993" i="19" s="1"/>
  <c r="AC1050" i="19"/>
  <c r="B1050" i="19" s="1"/>
  <c r="Y1050" i="19" s="1"/>
  <c r="AC777" i="19"/>
  <c r="AC968" i="19"/>
  <c r="B968" i="19" s="1"/>
  <c r="AC760" i="19"/>
  <c r="AC975" i="19"/>
  <c r="B975" i="19" s="1"/>
  <c r="AC375" i="19"/>
  <c r="B375" i="19" s="1"/>
  <c r="AC426" i="19"/>
  <c r="B426" i="19" s="1"/>
  <c r="AC71" i="19"/>
  <c r="B71" i="19" s="1"/>
  <c r="AC251" i="19"/>
  <c r="B251" i="19" s="1"/>
  <c r="AC488" i="19"/>
  <c r="AC595" i="19"/>
  <c r="B595" i="19" s="1"/>
  <c r="B1098" i="19"/>
  <c r="B1117" i="19"/>
  <c r="B1123" i="19"/>
  <c r="B1047" i="19"/>
  <c r="Y1047" i="19" s="1"/>
  <c r="B799" i="19"/>
  <c r="AC442" i="19"/>
  <c r="AC52" i="19"/>
  <c r="B52" i="19" s="1"/>
  <c r="AC43" i="19"/>
  <c r="B43" i="19" s="1"/>
  <c r="AC288" i="19"/>
  <c r="B288" i="19" s="1"/>
  <c r="AC344" i="19"/>
  <c r="B344" i="19" s="1"/>
  <c r="AC341" i="19"/>
  <c r="B341" i="19" s="1"/>
  <c r="AC384" i="19"/>
  <c r="B384" i="19" s="1"/>
  <c r="AC261" i="19"/>
  <c r="AC485" i="19"/>
  <c r="B485" i="19" s="1"/>
  <c r="K37" i="56"/>
  <c r="L37" i="56" s="1"/>
  <c r="J38" i="56"/>
  <c r="AC793" i="19"/>
  <c r="B793" i="19" s="1"/>
  <c r="AC186" i="19"/>
  <c r="B186" i="19" s="1"/>
  <c r="AC1037" i="19"/>
  <c r="B1037" i="19" s="1"/>
  <c r="Y1037" i="19" s="1"/>
  <c r="B938" i="19"/>
  <c r="B929" i="19"/>
  <c r="B1124" i="19"/>
  <c r="AC292" i="19"/>
  <c r="B292" i="19" s="1"/>
  <c r="AC317" i="19"/>
  <c r="B317" i="19" s="1"/>
  <c r="AC421" i="19"/>
  <c r="AC581" i="19"/>
  <c r="B581" i="19" s="1"/>
  <c r="AC611" i="19"/>
  <c r="B611" i="19" s="1"/>
  <c r="AC619" i="19"/>
  <c r="AQ619" i="19" s="1"/>
  <c r="AC649" i="19"/>
  <c r="B649" i="19" s="1"/>
  <c r="AC680" i="19"/>
  <c r="B680" i="19" s="1"/>
  <c r="AC694" i="19"/>
  <c r="AC702" i="19"/>
  <c r="B702" i="19" s="1"/>
  <c r="AC707" i="19"/>
  <c r="B707" i="19" s="1"/>
  <c r="AC802" i="19"/>
  <c r="B802" i="19" s="1"/>
  <c r="AC905" i="19"/>
  <c r="AC944" i="19"/>
  <c r="AQ944" i="19" s="1"/>
  <c r="AC1058" i="19"/>
  <c r="B1058" i="19" s="1"/>
  <c r="AC195" i="19"/>
  <c r="B195" i="19" s="1"/>
  <c r="AC233" i="19"/>
  <c r="AQ233" i="19" s="1"/>
  <c r="AC274" i="19"/>
  <c r="B274" i="19" s="1"/>
  <c r="AC278" i="19"/>
  <c r="AQ278" i="19" s="1"/>
  <c r="AC314" i="19"/>
  <c r="AQ314" i="19" s="1"/>
  <c r="AC413" i="19"/>
  <c r="AQ413" i="19" s="1"/>
  <c r="AC427" i="19"/>
  <c r="AQ427" i="19" s="1"/>
  <c r="AC435" i="19"/>
  <c r="B435" i="19" s="1"/>
  <c r="AC465" i="19"/>
  <c r="B465" i="19" s="1"/>
  <c r="AC469" i="19"/>
  <c r="B469" i="19" s="1"/>
  <c r="AC565" i="19"/>
  <c r="B565" i="19" s="1"/>
  <c r="AC668" i="19"/>
  <c r="B668" i="19" s="1"/>
  <c r="AC739" i="19"/>
  <c r="B739" i="19" s="1"/>
  <c r="AC807" i="19"/>
  <c r="B807" i="19" s="1"/>
  <c r="AC898" i="19"/>
  <c r="B898" i="19" s="1"/>
  <c r="AC1039" i="19"/>
  <c r="AC176" i="19"/>
  <c r="AQ176" i="19" s="1"/>
  <c r="AC242" i="19"/>
  <c r="AQ242" i="19" s="1"/>
  <c r="AC267" i="19"/>
  <c r="B267" i="19" s="1"/>
  <c r="AC300" i="19"/>
  <c r="AQ300" i="19" s="1"/>
  <c r="AC327" i="19"/>
  <c r="B327" i="19" s="1"/>
  <c r="AC457" i="19"/>
  <c r="AQ457" i="19" s="1"/>
  <c r="AC851" i="19"/>
  <c r="B851" i="19" s="1"/>
  <c r="AC891" i="19"/>
  <c r="B891" i="19" s="1"/>
  <c r="AC935" i="19"/>
  <c r="AQ935" i="19" s="1"/>
  <c r="AC940" i="19"/>
  <c r="B940" i="19" s="1"/>
  <c r="AC1040" i="19"/>
  <c r="B1040" i="19" s="1"/>
  <c r="Y1040" i="19" s="1"/>
  <c r="AC214" i="19"/>
  <c r="B214" i="19" s="1"/>
  <c r="AC383" i="19"/>
  <c r="B383" i="19" s="1"/>
  <c r="AC454" i="19"/>
  <c r="B454" i="19" s="1"/>
  <c r="AC601" i="19"/>
  <c r="B601" i="19" s="1"/>
  <c r="AC679" i="19"/>
  <c r="B679" i="19" s="1"/>
  <c r="AC719" i="19"/>
  <c r="AQ719" i="19" s="1"/>
  <c r="AC727" i="19"/>
  <c r="B727" i="19" s="1"/>
  <c r="AC834" i="19"/>
  <c r="B834" i="19" s="1"/>
  <c r="AC931" i="19"/>
  <c r="B931" i="19" s="1"/>
  <c r="AC948" i="19"/>
  <c r="AQ948" i="19" s="1"/>
  <c r="AC1041" i="19"/>
  <c r="B1041" i="19" s="1"/>
  <c r="Y1041" i="19" s="1"/>
  <c r="AC1045" i="19"/>
  <c r="B1045" i="19" s="1"/>
  <c r="Y1045" i="19" s="1"/>
  <c r="AC1057" i="19"/>
  <c r="B1057" i="19" s="1"/>
  <c r="B750" i="19"/>
  <c r="B522" i="19"/>
  <c r="B441" i="19"/>
  <c r="B328" i="19"/>
  <c r="B231" i="19"/>
  <c r="B829" i="19"/>
  <c r="B566" i="19"/>
  <c r="B449" i="19"/>
  <c r="B263" i="19"/>
  <c r="B858" i="19"/>
  <c r="B650" i="19"/>
  <c r="B443" i="19"/>
  <c r="B258" i="19"/>
  <c r="B961" i="19"/>
  <c r="B775" i="19"/>
  <c r="B645" i="19"/>
  <c r="B451" i="19"/>
  <c r="B261" i="19"/>
  <c r="B97" i="19"/>
  <c r="B869" i="19"/>
  <c r="B697" i="19"/>
  <c r="B509" i="19"/>
  <c r="B437" i="19"/>
  <c r="B320" i="19"/>
  <c r="B210" i="19"/>
  <c r="B777" i="19"/>
  <c r="B530" i="19"/>
  <c r="B444" i="19"/>
  <c r="B246" i="19"/>
  <c r="B842" i="19"/>
  <c r="B550" i="19"/>
  <c r="B405" i="19"/>
  <c r="B98" i="19"/>
  <c r="B870" i="19"/>
  <c r="B769" i="19"/>
  <c r="B497" i="19"/>
  <c r="B442" i="19"/>
  <c r="B244" i="19"/>
  <c r="B39" i="19"/>
  <c r="B865" i="19"/>
  <c r="B541" i="19"/>
  <c r="B501" i="19"/>
  <c r="B415" i="19"/>
  <c r="B306" i="19"/>
  <c r="B206" i="19"/>
  <c r="B714" i="19"/>
  <c r="B521" i="19"/>
  <c r="B368" i="19"/>
  <c r="B205" i="19"/>
  <c r="B784" i="19"/>
  <c r="B512" i="19"/>
  <c r="B322" i="19"/>
  <c r="B32" i="19"/>
  <c r="B857" i="19"/>
  <c r="B720" i="19"/>
  <c r="B480" i="19"/>
  <c r="B438" i="19"/>
  <c r="B211" i="19"/>
  <c r="B760" i="19"/>
  <c r="B531" i="19"/>
  <c r="B467" i="19"/>
  <c r="B402" i="19"/>
  <c r="B256" i="19"/>
  <c r="B106" i="19"/>
  <c r="B638" i="19"/>
  <c r="B508" i="19"/>
  <c r="B315" i="19"/>
  <c r="B192" i="19"/>
  <c r="B758" i="19"/>
  <c r="B498" i="19"/>
  <c r="B310" i="19"/>
  <c r="B1063" i="19"/>
  <c r="B853" i="19"/>
  <c r="B675" i="19"/>
  <c r="B464" i="19"/>
  <c r="B308" i="19"/>
  <c r="B108" i="19"/>
  <c r="AC200" i="19"/>
  <c r="B200" i="19" s="1"/>
  <c r="AC352" i="19"/>
  <c r="B352" i="19" s="1"/>
  <c r="B377" i="19"/>
  <c r="AQ255" i="19"/>
  <c r="AC828" i="19"/>
  <c r="B828" i="19" s="1"/>
  <c r="AC542" i="19"/>
  <c r="B542" i="19" s="1"/>
  <c r="AC551" i="19"/>
  <c r="B551" i="19" s="1"/>
  <c r="AC797" i="19"/>
  <c r="B797" i="19" s="1"/>
  <c r="AC543" i="19"/>
  <c r="B543" i="19" s="1"/>
  <c r="AC552" i="19"/>
  <c r="B552" i="19" s="1"/>
  <c r="AC879" i="19"/>
  <c r="B879" i="19" s="1"/>
  <c r="AC887" i="19"/>
  <c r="B887" i="19" s="1"/>
  <c r="B1172" i="19"/>
  <c r="AC916" i="19"/>
  <c r="B916" i="19" s="1"/>
  <c r="AQ942" i="19"/>
  <c r="B942" i="19"/>
  <c r="B1052" i="19"/>
  <c r="Y1052" i="19" s="1"/>
  <c r="B1023" i="19"/>
  <c r="Y1023" i="19" s="1"/>
  <c r="B1026" i="19"/>
  <c r="Y1026" i="19" s="1"/>
  <c r="B1054" i="19"/>
  <c r="Y1054" i="19" s="1"/>
  <c r="B817" i="19"/>
  <c r="Y817" i="19" s="1"/>
  <c r="B1020" i="19"/>
  <c r="Y1020" i="19" s="1"/>
  <c r="B1048" i="19"/>
  <c r="Y1048" i="19" s="1"/>
  <c r="B1055" i="19"/>
  <c r="Y1055" i="19" s="1"/>
  <c r="B1022" i="19"/>
  <c r="Y1022" i="19" s="1"/>
  <c r="B1046" i="19"/>
  <c r="Y1046" i="19" s="1"/>
  <c r="B282" i="19"/>
  <c r="Y282" i="19" s="1"/>
  <c r="B948" i="19"/>
  <c r="Y948" i="19" s="1"/>
  <c r="B1043" i="19"/>
  <c r="Y1043" i="19" s="1"/>
  <c r="B1018" i="19"/>
  <c r="Y1018" i="19" s="1"/>
  <c r="B1038" i="19"/>
  <c r="Y1038" i="19" s="1"/>
  <c r="B813" i="19"/>
  <c r="Y813" i="19" s="1"/>
  <c r="B1032" i="19"/>
  <c r="Y1032" i="19" s="1"/>
  <c r="B1039" i="19"/>
  <c r="Y1039" i="19" s="1"/>
  <c r="B1029" i="19"/>
  <c r="Y1029" i="19" s="1"/>
  <c r="B296" i="19"/>
  <c r="Y296" i="19" s="1"/>
  <c r="AC1065" i="19"/>
  <c r="B1065" i="19" s="1"/>
  <c r="B959" i="19"/>
  <c r="B1189" i="19"/>
  <c r="B966" i="19"/>
  <c r="Y966" i="19" s="1"/>
  <c r="B912" i="19"/>
  <c r="Y912" i="19" s="1"/>
  <c r="B791" i="19"/>
  <c r="Y791" i="19" s="1"/>
  <c r="B715" i="19"/>
  <c r="Y715" i="19" s="1"/>
  <c r="B674" i="19"/>
  <c r="B648" i="19"/>
  <c r="Y648" i="19" s="1"/>
  <c r="B626" i="19"/>
  <c r="B488" i="19"/>
  <c r="B238" i="19"/>
  <c r="Y238" i="19" s="1"/>
  <c r="B29" i="19"/>
  <c r="B700" i="19"/>
  <c r="Y700" i="19" s="1"/>
  <c r="B539" i="19"/>
  <c r="Y539" i="19" s="1"/>
  <c r="B424" i="19"/>
  <c r="Y424" i="19" s="1"/>
  <c r="B245" i="19"/>
  <c r="Y245" i="19" s="1"/>
  <c r="B167" i="19"/>
  <c r="B991" i="19"/>
  <c r="Y991" i="19" s="1"/>
  <c r="B771" i="19"/>
  <c r="Y771" i="19" s="1"/>
  <c r="B544" i="19"/>
  <c r="B780" i="19"/>
  <c r="Y780" i="19" s="1"/>
  <c r="B624" i="19"/>
  <c r="B507" i="19"/>
  <c r="Y507" i="19" s="1"/>
  <c r="B359" i="19"/>
  <c r="Y359" i="19" s="1"/>
  <c r="B166" i="19"/>
  <c r="Y166" i="19" s="1"/>
  <c r="B939" i="19"/>
  <c r="B763" i="19"/>
  <c r="Y763" i="19" s="1"/>
  <c r="B613" i="19"/>
  <c r="Y613" i="19" s="1"/>
  <c r="B944" i="19"/>
  <c r="B855" i="19"/>
  <c r="Y855" i="19" s="1"/>
  <c r="B704" i="19"/>
  <c r="Y704" i="19" s="1"/>
  <c r="B664" i="19"/>
  <c r="Y664" i="19" s="1"/>
  <c r="B604" i="19"/>
  <c r="B399" i="19"/>
  <c r="Y399" i="19" s="1"/>
  <c r="B252" i="19"/>
  <c r="Y252" i="19" s="1"/>
  <c r="B904" i="19"/>
  <c r="B809" i="19"/>
  <c r="Y809" i="19" s="1"/>
  <c r="B765" i="19"/>
  <c r="B694" i="19"/>
  <c r="B659" i="19"/>
  <c r="B398" i="19"/>
  <c r="Y398" i="19" s="1"/>
  <c r="B287" i="19"/>
  <c r="B235" i="19"/>
  <c r="B46" i="19"/>
  <c r="Y46" i="19" s="1"/>
  <c r="B1064" i="19"/>
  <c r="Y1064" i="19" s="1"/>
  <c r="B861" i="19"/>
  <c r="Y861" i="19" s="1"/>
  <c r="B764" i="19"/>
  <c r="Y764" i="19" s="1"/>
  <c r="B692" i="19"/>
  <c r="Y692" i="19" s="1"/>
  <c r="B666" i="19"/>
  <c r="Y666" i="19" s="1"/>
  <c r="B644" i="19"/>
  <c r="Y644" i="19" s="1"/>
  <c r="B618" i="19"/>
  <c r="Y618" i="19" s="1"/>
  <c r="B518" i="19"/>
  <c r="Y518" i="19" s="1"/>
  <c r="B458" i="19"/>
  <c r="B234" i="19"/>
  <c r="Y234" i="19" s="1"/>
  <c r="B65" i="19"/>
  <c r="Y65" i="19" s="1"/>
  <c r="B987" i="19"/>
  <c r="B811" i="19"/>
  <c r="Y811" i="19" s="1"/>
  <c r="B673" i="19"/>
  <c r="Y673" i="19" s="1"/>
  <c r="B470" i="19"/>
  <c r="Y470" i="19" s="1"/>
  <c r="B396" i="19"/>
  <c r="Y396" i="19" s="1"/>
  <c r="B233" i="19"/>
  <c r="B104" i="19"/>
  <c r="Y104" i="19" s="1"/>
  <c r="B894" i="19"/>
  <c r="B642" i="19"/>
  <c r="Y642" i="19" s="1"/>
  <c r="B901" i="19"/>
  <c r="B681" i="19"/>
  <c r="Y681" i="19" s="1"/>
  <c r="B439" i="19"/>
  <c r="Y439" i="19" s="1"/>
  <c r="B321" i="19"/>
  <c r="B59" i="19"/>
  <c r="Y59" i="19" s="1"/>
  <c r="B878" i="19"/>
  <c r="Y878" i="19" s="1"/>
  <c r="B745" i="19"/>
  <c r="Y745" i="19" s="1"/>
  <c r="B583" i="19"/>
  <c r="Y583" i="19" s="1"/>
  <c r="B905" i="19"/>
  <c r="B806" i="19"/>
  <c r="B695" i="19"/>
  <c r="B637" i="19"/>
  <c r="Y637" i="19" s="1"/>
  <c r="B590" i="19"/>
  <c r="Y590" i="19" s="1"/>
  <c r="B385" i="19"/>
  <c r="Y385" i="19" s="1"/>
  <c r="B236" i="19"/>
  <c r="Y236" i="19" s="1"/>
  <c r="B900" i="19"/>
  <c r="B801" i="19"/>
  <c r="B733" i="19"/>
  <c r="Y733" i="19" s="1"/>
  <c r="B685" i="19"/>
  <c r="B653" i="19"/>
  <c r="Y653" i="19" s="1"/>
  <c r="B389" i="19"/>
  <c r="Y389" i="19" s="1"/>
  <c r="B272" i="19"/>
  <c r="Y272" i="19" s="1"/>
  <c r="B197" i="19"/>
  <c r="Y197" i="19" s="1"/>
  <c r="B26" i="19"/>
  <c r="Y26" i="19" s="1"/>
  <c r="B980" i="19"/>
  <c r="Y980" i="19" s="1"/>
  <c r="B808" i="19"/>
  <c r="B741" i="19"/>
  <c r="Y741" i="19" s="1"/>
  <c r="B688" i="19"/>
  <c r="Y688" i="19" s="1"/>
  <c r="B662" i="19"/>
  <c r="B634" i="19"/>
  <c r="Y634" i="19" s="1"/>
  <c r="B610" i="19"/>
  <c r="Y610" i="19" s="1"/>
  <c r="B505" i="19"/>
  <c r="B259" i="19"/>
  <c r="Y259" i="19" s="1"/>
  <c r="B229" i="19"/>
  <c r="Y229" i="19" s="1"/>
  <c r="B61" i="19"/>
  <c r="Y61" i="19" s="1"/>
  <c r="B803" i="19"/>
  <c r="B651" i="19"/>
  <c r="Y651" i="19" s="1"/>
  <c r="B360" i="19"/>
  <c r="Y360" i="19" s="1"/>
  <c r="B266" i="19"/>
  <c r="Y266" i="19" s="1"/>
  <c r="B208" i="19"/>
  <c r="Y208" i="19" s="1"/>
  <c r="B60" i="19"/>
  <c r="B873" i="19"/>
  <c r="Y873" i="19" s="1"/>
  <c r="B629" i="19"/>
  <c r="Y629" i="19" s="1"/>
  <c r="B893" i="19"/>
  <c r="B240" i="19"/>
  <c r="Y240" i="19" s="1"/>
  <c r="B31" i="19"/>
  <c r="Y31" i="19" s="1"/>
  <c r="B696" i="19"/>
  <c r="Y696" i="19" s="1"/>
  <c r="B986" i="19"/>
  <c r="Y986" i="19" s="1"/>
  <c r="B897" i="19"/>
  <c r="B729" i="19"/>
  <c r="Y729" i="19" s="1"/>
  <c r="B686" i="19"/>
  <c r="B628" i="19"/>
  <c r="B325" i="19"/>
  <c r="Y325" i="19" s="1"/>
  <c r="B967" i="19"/>
  <c r="Y967" i="19" s="1"/>
  <c r="B867" i="19"/>
  <c r="Y867" i="19" s="1"/>
  <c r="B716" i="19"/>
  <c r="Y716" i="19" s="1"/>
  <c r="B489" i="19"/>
  <c r="B358" i="19"/>
  <c r="B260" i="19"/>
  <c r="Y260" i="19" s="1"/>
  <c r="B185" i="19"/>
  <c r="B971" i="19"/>
  <c r="B930" i="19"/>
  <c r="B883" i="19"/>
  <c r="B804" i="19"/>
  <c r="Y804" i="19" s="1"/>
  <c r="B652" i="19"/>
  <c r="Y652" i="19" s="1"/>
  <c r="B630" i="19"/>
  <c r="B606" i="19"/>
  <c r="Y606" i="19" s="1"/>
  <c r="B496" i="19"/>
  <c r="Y496" i="19" s="1"/>
  <c r="B357" i="19"/>
  <c r="Y357" i="19" s="1"/>
  <c r="B254" i="19"/>
  <c r="Y254" i="19" s="1"/>
  <c r="B217" i="19"/>
  <c r="Y217" i="19" s="1"/>
  <c r="B33" i="19"/>
  <c r="Y33" i="19" s="1"/>
  <c r="B886" i="19"/>
  <c r="Y886" i="19" s="1"/>
  <c r="B753" i="19"/>
  <c r="Y753" i="19" s="1"/>
  <c r="B548" i="19"/>
  <c r="Y548" i="19" s="1"/>
  <c r="B432" i="19"/>
  <c r="Y432" i="19" s="1"/>
  <c r="B253" i="19"/>
  <c r="Y253" i="19" s="1"/>
  <c r="B44" i="19"/>
  <c r="Y44" i="19" s="1"/>
  <c r="B860" i="19"/>
  <c r="B605" i="19"/>
  <c r="Y605" i="19" s="1"/>
  <c r="B660" i="19"/>
  <c r="B516" i="19"/>
  <c r="B395" i="19"/>
  <c r="Y395" i="19" s="1"/>
  <c r="B227" i="19"/>
  <c r="Y227" i="19" s="1"/>
  <c r="B27" i="19"/>
  <c r="Y27" i="19" s="1"/>
  <c r="B794" i="19"/>
  <c r="B625" i="19"/>
  <c r="Y625" i="19" s="1"/>
  <c r="B978" i="19"/>
  <c r="Y978" i="19" s="1"/>
  <c r="B872" i="19"/>
  <c r="B717" i="19"/>
  <c r="Y717" i="19" s="1"/>
  <c r="B672" i="19"/>
  <c r="B620" i="19"/>
  <c r="Y620" i="19" s="1"/>
  <c r="B427" i="19"/>
  <c r="B265" i="19"/>
  <c r="Y265" i="19" s="1"/>
  <c r="B779" i="19"/>
  <c r="Y779" i="19" s="1"/>
  <c r="B667" i="19"/>
  <c r="Y667" i="19" s="1"/>
  <c r="B421" i="19"/>
  <c r="B301" i="19"/>
  <c r="Y301" i="19" s="1"/>
  <c r="B177" i="19"/>
  <c r="B936" i="19"/>
  <c r="B351" i="19"/>
  <c r="B569" i="19"/>
  <c r="B298" i="19"/>
  <c r="Y298" i="19" s="1"/>
  <c r="B418" i="19"/>
  <c r="Y418" i="19" s="1"/>
  <c r="B371" i="19"/>
  <c r="Y371" i="19" s="1"/>
  <c r="B353" i="19"/>
  <c r="B354" i="19"/>
  <c r="Y354" i="19" s="1"/>
  <c r="B1068" i="19"/>
  <c r="Y1068" i="19" s="1"/>
  <c r="B945" i="19"/>
  <c r="B393" i="19"/>
  <c r="Y393" i="19" s="1"/>
  <c r="AC66" i="19"/>
  <c r="B66" i="19" s="1"/>
  <c r="AC82" i="19"/>
  <c r="B82" i="19" s="1"/>
  <c r="AC114" i="19"/>
  <c r="B114" i="19" s="1"/>
  <c r="AC122" i="19"/>
  <c r="B122" i="19" s="1"/>
  <c r="AC138" i="19"/>
  <c r="B138" i="19" s="1"/>
  <c r="AC150" i="19"/>
  <c r="B150" i="19" s="1"/>
  <c r="AC162" i="19"/>
  <c r="B162" i="19" s="1"/>
  <c r="AC230" i="19"/>
  <c r="B230" i="19" s="1"/>
  <c r="AC297" i="19"/>
  <c r="B297" i="19" s="1"/>
  <c r="AC309" i="19"/>
  <c r="B309" i="19" s="1"/>
  <c r="AC329" i="19"/>
  <c r="B329" i="19" s="1"/>
  <c r="AC350" i="19"/>
  <c r="B350" i="19" s="1"/>
  <c r="AC387" i="19"/>
  <c r="B387" i="19" s="1"/>
  <c r="AC423" i="19"/>
  <c r="B423" i="19" s="1"/>
  <c r="AC463" i="19"/>
  <c r="B463" i="19" s="1"/>
  <c r="AC487" i="19"/>
  <c r="B487" i="19" s="1"/>
  <c r="AC511" i="19"/>
  <c r="B511" i="19" s="1"/>
  <c r="AC535" i="19"/>
  <c r="B535" i="19" s="1"/>
  <c r="AC603" i="19"/>
  <c r="B603" i="19" s="1"/>
  <c r="AC643" i="19"/>
  <c r="B643" i="19" s="1"/>
  <c r="AC655" i="19"/>
  <c r="B655" i="19" s="1"/>
  <c r="AC683" i="19"/>
  <c r="B683" i="19" s="1"/>
  <c r="AC703" i="19"/>
  <c r="B703" i="19" s="1"/>
  <c r="AC711" i="19"/>
  <c r="B711" i="19" s="1"/>
  <c r="AC731" i="19"/>
  <c r="B731" i="19" s="1"/>
  <c r="AC743" i="19"/>
  <c r="B743" i="19" s="1"/>
  <c r="AC755" i="19"/>
  <c r="B755" i="19" s="1"/>
  <c r="AC99" i="19"/>
  <c r="B99" i="19" s="1"/>
  <c r="AC107" i="19"/>
  <c r="B107" i="19" s="1"/>
  <c r="AC119" i="19"/>
  <c r="B119" i="19" s="1"/>
  <c r="AC123" i="19"/>
  <c r="B123" i="19" s="1"/>
  <c r="AC127" i="19"/>
  <c r="B127" i="19" s="1"/>
  <c r="AC24" i="19"/>
  <c r="B24" i="19" s="1"/>
  <c r="AC101" i="19"/>
  <c r="B101" i="19" s="1"/>
  <c r="AC121" i="19"/>
  <c r="B121" i="19" s="1"/>
  <c r="AC125" i="19"/>
  <c r="B125" i="19" s="1"/>
  <c r="AC157" i="19"/>
  <c r="B157" i="19" s="1"/>
  <c r="AC304" i="19"/>
  <c r="B304" i="19" s="1"/>
  <c r="AC349" i="19"/>
  <c r="B349" i="19" s="1"/>
  <c r="AC356" i="19"/>
  <c r="B356" i="19" s="1"/>
  <c r="AC140" i="19"/>
  <c r="B140" i="19" s="1"/>
  <c r="AC549" i="19"/>
  <c r="B549" i="19" s="1"/>
  <c r="AC557" i="19"/>
  <c r="B557" i="19" s="1"/>
  <c r="AC593" i="19"/>
  <c r="B593" i="19" s="1"/>
  <c r="AC355" i="19"/>
  <c r="B355" i="19" s="1"/>
  <c r="AC400" i="19"/>
  <c r="B400" i="19" s="1"/>
  <c r="AC404" i="19"/>
  <c r="B404" i="19" s="1"/>
  <c r="AC446" i="19"/>
  <c r="B446" i="19" s="1"/>
  <c r="AC500" i="19"/>
  <c r="B500" i="19" s="1"/>
  <c r="AC677" i="19"/>
  <c r="B677" i="19" s="1"/>
  <c r="AC120" i="19"/>
  <c r="B120" i="19" s="1"/>
  <c r="AC307" i="19"/>
  <c r="B307" i="19" s="1"/>
  <c r="AC526" i="19"/>
  <c r="B526" i="19" s="1"/>
  <c r="AC636" i="19"/>
  <c r="B636" i="19" s="1"/>
  <c r="AC658" i="19"/>
  <c r="B658" i="19" s="1"/>
  <c r="AC734" i="19"/>
  <c r="B734" i="19" s="1"/>
  <c r="AC756" i="19"/>
  <c r="B756" i="19" s="1"/>
  <c r="AC772" i="19"/>
  <c r="B772" i="19" s="1"/>
  <c r="AC788" i="19"/>
  <c r="B788" i="19" s="1"/>
  <c r="AC796" i="19"/>
  <c r="B796" i="19" s="1"/>
  <c r="AC839" i="19"/>
  <c r="B839" i="19" s="1"/>
  <c r="AC124" i="19"/>
  <c r="B124" i="19" s="1"/>
  <c r="AC334" i="19"/>
  <c r="B334" i="19" s="1"/>
  <c r="AC373" i="19"/>
  <c r="B373" i="19" s="1"/>
  <c r="AC973" i="19"/>
  <c r="B973" i="19" s="1"/>
  <c r="AC540" i="19"/>
  <c r="B540" i="19" s="1"/>
  <c r="AC841" i="19"/>
  <c r="B841" i="19" s="1"/>
  <c r="AC958" i="19"/>
  <c r="B958" i="19" s="1"/>
  <c r="AC970" i="19"/>
  <c r="B970" i="19" s="1"/>
  <c r="AC862" i="19"/>
  <c r="B862" i="19" s="1"/>
  <c r="AC874" i="19"/>
  <c r="B874" i="19" s="1"/>
  <c r="AC910" i="19"/>
  <c r="B910" i="19" s="1"/>
  <c r="AC914" i="19"/>
  <c r="B914" i="19" s="1"/>
  <c r="AC934" i="19"/>
  <c r="B934" i="19" s="1"/>
  <c r="AC943" i="19"/>
  <c r="B943" i="19" s="1"/>
  <c r="AC951" i="19"/>
  <c r="B951" i="19" s="1"/>
  <c r="AC1015" i="19"/>
  <c r="B1015" i="19" s="1"/>
  <c r="AC1031" i="19"/>
  <c r="B1031" i="19" s="1"/>
  <c r="Y1031" i="19" s="1"/>
  <c r="AC1059" i="19"/>
  <c r="B1059" i="19" s="1"/>
  <c r="AQ1107" i="19"/>
  <c r="Y1107" i="19" s="1"/>
  <c r="AC693" i="19"/>
  <c r="B693" i="19" s="1"/>
  <c r="AC773" i="19"/>
  <c r="B773" i="19" s="1"/>
  <c r="AC956" i="19"/>
  <c r="B956" i="19" s="1"/>
  <c r="AC992" i="19"/>
  <c r="B992" i="19" s="1"/>
  <c r="AC1004" i="19"/>
  <c r="B1004" i="19" s="1"/>
  <c r="AC1012" i="19"/>
  <c r="B1012" i="19" s="1"/>
  <c r="AC1016" i="19"/>
  <c r="B1016" i="19" s="1"/>
  <c r="AC1014" i="19"/>
  <c r="B1014" i="19" s="1"/>
  <c r="AQ1082" i="19"/>
  <c r="Y1082" i="19" s="1"/>
  <c r="AQ1023" i="19"/>
  <c r="AQ919" i="19"/>
  <c r="Y919" i="19" s="1"/>
  <c r="AQ858" i="19"/>
  <c r="AQ807" i="19"/>
  <c r="AQ744" i="19"/>
  <c r="Y744" i="19" s="1"/>
  <c r="AQ692" i="19"/>
  <c r="AQ600" i="19"/>
  <c r="Y600" i="19" s="1"/>
  <c r="AQ561" i="19"/>
  <c r="Y561" i="19" s="1"/>
  <c r="AQ543" i="19"/>
  <c r="AQ515" i="19"/>
  <c r="Y515" i="19" s="1"/>
  <c r="AQ472" i="19"/>
  <c r="Y472" i="19" s="1"/>
  <c r="AQ456" i="19"/>
  <c r="Y456" i="19" s="1"/>
  <c r="AQ431" i="19"/>
  <c r="Y431" i="19" s="1"/>
  <c r="AQ415" i="19"/>
  <c r="AQ395" i="19"/>
  <c r="AQ372" i="19"/>
  <c r="Y372" i="19" s="1"/>
  <c r="AQ333" i="19"/>
  <c r="Y333" i="19" s="1"/>
  <c r="AQ321" i="19"/>
  <c r="AQ313" i="19"/>
  <c r="Y313" i="19" s="1"/>
  <c r="AQ302" i="19"/>
  <c r="Y302" i="19" s="1"/>
  <c r="AQ293" i="19"/>
  <c r="Y293" i="19" s="1"/>
  <c r="AQ279" i="19"/>
  <c r="Y279" i="19" s="1"/>
  <c r="AQ271" i="19"/>
  <c r="Y271" i="19" s="1"/>
  <c r="AQ263" i="19"/>
  <c r="AQ247" i="19"/>
  <c r="Y247" i="19" s="1"/>
  <c r="AQ234" i="19"/>
  <c r="AQ223" i="19"/>
  <c r="Y223" i="19" s="1"/>
  <c r="AQ211" i="19"/>
  <c r="AQ202" i="19"/>
  <c r="Y202" i="19" s="1"/>
  <c r="AQ192" i="19"/>
  <c r="AQ179" i="19"/>
  <c r="Y179" i="19" s="1"/>
  <c r="AQ174" i="19"/>
  <c r="Y174" i="19" s="1"/>
  <c r="AQ166" i="19"/>
  <c r="AQ155" i="19"/>
  <c r="Y155" i="19" s="1"/>
  <c r="AQ146" i="19"/>
  <c r="Y146" i="19" s="1"/>
  <c r="AQ130" i="19"/>
  <c r="Y130" i="19" s="1"/>
  <c r="AQ106" i="19"/>
  <c r="AQ91" i="19"/>
  <c r="Y91" i="19" s="1"/>
  <c r="AQ86" i="19"/>
  <c r="Y86" i="19" s="1"/>
  <c r="AQ76" i="19"/>
  <c r="Y76" i="19" s="1"/>
  <c r="AQ70" i="19"/>
  <c r="Y70" i="19" s="1"/>
  <c r="AQ62" i="19"/>
  <c r="Y62" i="19" s="1"/>
  <c r="AQ54" i="19"/>
  <c r="Y54" i="19" s="1"/>
  <c r="AQ49" i="19"/>
  <c r="Y49" i="19" s="1"/>
  <c r="AQ45" i="19"/>
  <c r="Y45" i="19" s="1"/>
  <c r="AQ41" i="19"/>
  <c r="Y41" i="19" s="1"/>
  <c r="AQ37" i="19"/>
  <c r="Y37" i="19" s="1"/>
  <c r="AQ33" i="19"/>
  <c r="AQ29" i="19"/>
  <c r="AQ25" i="19"/>
  <c r="Y25" i="19" s="1"/>
  <c r="AQ1079" i="19"/>
  <c r="Y1079" i="19" s="1"/>
  <c r="AQ978" i="19"/>
  <c r="AQ895" i="19"/>
  <c r="Y895" i="19" s="1"/>
  <c r="AQ854" i="19"/>
  <c r="Y854" i="19" s="1"/>
  <c r="AQ791" i="19"/>
  <c r="AQ672" i="19"/>
  <c r="AQ587" i="19"/>
  <c r="Y587" i="19" s="1"/>
  <c r="AQ559" i="19"/>
  <c r="Y559" i="19" s="1"/>
  <c r="AQ541" i="19"/>
  <c r="AQ504" i="19"/>
  <c r="Y504" i="19" s="1"/>
  <c r="AQ468" i="19"/>
  <c r="Y468" i="19" s="1"/>
  <c r="AQ444" i="19"/>
  <c r="AQ408" i="19"/>
  <c r="Y408" i="19" s="1"/>
  <c r="AQ389" i="19"/>
  <c r="AQ368" i="19"/>
  <c r="AQ347" i="19"/>
  <c r="Y347" i="19" s="1"/>
  <c r="AQ326" i="19"/>
  <c r="Y326" i="19" s="1"/>
  <c r="AQ318" i="19"/>
  <c r="Y318" i="19" s="1"/>
  <c r="AQ310" i="19"/>
  <c r="AQ290" i="19"/>
  <c r="Y290" i="19" s="1"/>
  <c r="AQ276" i="19"/>
  <c r="Y276" i="19" s="1"/>
  <c r="AQ270" i="19"/>
  <c r="Y270" i="19" s="1"/>
  <c r="AQ259" i="19"/>
  <c r="AQ231" i="19"/>
  <c r="AQ219" i="19"/>
  <c r="Y219" i="19" s="1"/>
  <c r="AQ210" i="19"/>
  <c r="AQ198" i="19"/>
  <c r="Y198" i="19" s="1"/>
  <c r="AQ191" i="19"/>
  <c r="Y191" i="19" s="1"/>
  <c r="AQ184" i="19"/>
  <c r="Y184" i="19" s="1"/>
  <c r="AQ178" i="19"/>
  <c r="Y178" i="19" s="1"/>
  <c r="AQ171" i="19"/>
  <c r="Y171" i="19" s="1"/>
  <c r="AQ163" i="19"/>
  <c r="Y163" i="19" s="1"/>
  <c r="AQ154" i="19"/>
  <c r="Y154" i="19" s="1"/>
  <c r="AQ143" i="19"/>
  <c r="Y143" i="19" s="1"/>
  <c r="AQ135" i="19"/>
  <c r="Y135" i="19" s="1"/>
  <c r="AQ111" i="19"/>
  <c r="Y111" i="19" s="1"/>
  <c r="AQ103" i="19"/>
  <c r="Y103" i="19" s="1"/>
  <c r="AQ98" i="19"/>
  <c r="AQ90" i="19"/>
  <c r="Y90" i="19" s="1"/>
  <c r="AQ83" i="19"/>
  <c r="Y83" i="19" s="1"/>
  <c r="AQ75" i="19"/>
  <c r="Y75" i="19" s="1"/>
  <c r="AQ67" i="19"/>
  <c r="Y67" i="19" s="1"/>
  <c r="AQ59" i="19"/>
  <c r="AQ52" i="19"/>
  <c r="Y52" i="19" s="1"/>
  <c r="AQ48" i="19"/>
  <c r="Y48" i="19" s="1"/>
  <c r="AQ44" i="19"/>
  <c r="AQ40" i="19"/>
  <c r="Y40" i="19" s="1"/>
  <c r="AQ36" i="19"/>
  <c r="Y36" i="19" s="1"/>
  <c r="AQ32" i="19"/>
  <c r="AQ28" i="19"/>
  <c r="Y28" i="19" s="1"/>
  <c r="AQ1189" i="19"/>
  <c r="AQ1071" i="19"/>
  <c r="Y1071" i="19" s="1"/>
  <c r="AQ967" i="19"/>
  <c r="AQ890" i="19"/>
  <c r="Y890" i="19" s="1"/>
  <c r="AQ831" i="19"/>
  <c r="Y831" i="19" s="1"/>
  <c r="AQ779" i="19"/>
  <c r="AQ735" i="19"/>
  <c r="Y735" i="19" s="1"/>
  <c r="AQ635" i="19"/>
  <c r="Y635" i="19" s="1"/>
  <c r="AQ579" i="19"/>
  <c r="Y579" i="19" s="1"/>
  <c r="AQ528" i="19"/>
  <c r="Y528" i="19" s="1"/>
  <c r="AQ484" i="19"/>
  <c r="Y484" i="19" s="1"/>
  <c r="AQ464" i="19"/>
  <c r="AQ443" i="19"/>
  <c r="AQ424" i="19"/>
  <c r="AQ376" i="19"/>
  <c r="Y376" i="19" s="1"/>
  <c r="AQ364" i="19"/>
  <c r="Y364" i="19" s="1"/>
  <c r="AQ325" i="19"/>
  <c r="AQ289" i="19"/>
  <c r="Y289" i="19" s="1"/>
  <c r="AQ275" i="19"/>
  <c r="Y275" i="19" s="1"/>
  <c r="AQ267" i="19"/>
  <c r="AQ254" i="19"/>
  <c r="AQ238" i="19"/>
  <c r="AQ218" i="19"/>
  <c r="Y218" i="19" s="1"/>
  <c r="AQ206" i="19"/>
  <c r="AQ190" i="19"/>
  <c r="Y190" i="19" s="1"/>
  <c r="AQ183" i="19"/>
  <c r="Y183" i="19" s="1"/>
  <c r="AQ170" i="19"/>
  <c r="Y170" i="19" s="1"/>
  <c r="AQ151" i="19"/>
  <c r="Y151" i="19" s="1"/>
  <c r="AQ142" i="19"/>
  <c r="Y142" i="19" s="1"/>
  <c r="AQ134" i="19"/>
  <c r="Y134" i="19" s="1"/>
  <c r="AQ126" i="19"/>
  <c r="Y126" i="19" s="1"/>
  <c r="AQ116" i="19"/>
  <c r="Y116" i="19" s="1"/>
  <c r="AQ110" i="19"/>
  <c r="Y110" i="19" s="1"/>
  <c r="AQ102" i="19"/>
  <c r="Y102" i="19" s="1"/>
  <c r="AQ95" i="19"/>
  <c r="Y95" i="19" s="1"/>
  <c r="AQ89" i="19"/>
  <c r="Y89" i="19" s="1"/>
  <c r="AQ72" i="19"/>
  <c r="Y72" i="19" s="1"/>
  <c r="AQ58" i="19"/>
  <c r="Y58" i="19" s="1"/>
  <c r="AQ51" i="19"/>
  <c r="Y51" i="19" s="1"/>
  <c r="AQ47" i="19"/>
  <c r="Y47" i="19" s="1"/>
  <c r="AQ39" i="19"/>
  <c r="AQ35" i="19"/>
  <c r="Y35" i="19" s="1"/>
  <c r="AQ31" i="19"/>
  <c r="AQ27" i="19"/>
  <c r="AQ1119" i="19"/>
  <c r="Y1119" i="19" s="1"/>
  <c r="AQ1026" i="19"/>
  <c r="AQ938" i="19"/>
  <c r="Y938" i="19" s="1"/>
  <c r="AQ822" i="19"/>
  <c r="Y822" i="19" s="1"/>
  <c r="AQ771" i="19"/>
  <c r="AQ712" i="19"/>
  <c r="Y712" i="19" s="1"/>
  <c r="AQ615" i="19"/>
  <c r="Y615" i="19" s="1"/>
  <c r="AQ567" i="19"/>
  <c r="Y567" i="19" s="1"/>
  <c r="AQ547" i="19"/>
  <c r="Y547" i="19" s="1"/>
  <c r="AQ519" i="19"/>
  <c r="Y519" i="19" s="1"/>
  <c r="AQ480" i="19"/>
  <c r="AQ439" i="19"/>
  <c r="AQ416" i="19"/>
  <c r="Y416" i="19" s="1"/>
  <c r="AQ396" i="19"/>
  <c r="AQ375" i="19"/>
  <c r="Y375" i="19" s="1"/>
  <c r="AQ357" i="19"/>
  <c r="AQ322" i="19"/>
  <c r="AQ306" i="19"/>
  <c r="AQ294" i="19"/>
  <c r="Y294" i="19" s="1"/>
  <c r="AQ282" i="19"/>
  <c r="AQ266" i="19"/>
  <c r="AQ235" i="19"/>
  <c r="AQ227" i="19"/>
  <c r="AQ203" i="19"/>
  <c r="Y203" i="19" s="1"/>
  <c r="AQ194" i="19"/>
  <c r="Y194" i="19" s="1"/>
  <c r="AQ187" i="19"/>
  <c r="Y187" i="19" s="1"/>
  <c r="AQ182" i="19"/>
  <c r="Y182" i="19" s="1"/>
  <c r="AQ175" i="19"/>
  <c r="Y175" i="19" s="1"/>
  <c r="AQ167" i="19"/>
  <c r="AQ159" i="19"/>
  <c r="Y159" i="19" s="1"/>
  <c r="AQ139" i="19"/>
  <c r="Y139" i="19" s="1"/>
  <c r="AQ131" i="19"/>
  <c r="Y131" i="19" s="1"/>
  <c r="AQ115" i="19"/>
  <c r="Y115" i="19" s="1"/>
  <c r="AQ94" i="19"/>
  <c r="Y94" i="19" s="1"/>
  <c r="AQ87" i="19"/>
  <c r="Y87" i="19" s="1"/>
  <c r="AQ79" i="19"/>
  <c r="Y79" i="19" s="1"/>
  <c r="AQ71" i="19"/>
  <c r="Y71" i="19" s="1"/>
  <c r="AQ63" i="19"/>
  <c r="Y63" i="19" s="1"/>
  <c r="AQ55" i="19"/>
  <c r="Y55" i="19" s="1"/>
  <c r="AQ50" i="19"/>
  <c r="Y50" i="19" s="1"/>
  <c r="AQ46" i="19"/>
  <c r="AQ42" i="19"/>
  <c r="Y42" i="19" s="1"/>
  <c r="AQ38" i="19"/>
  <c r="Y38" i="19" s="1"/>
  <c r="AQ34" i="19"/>
  <c r="Y34" i="19" s="1"/>
  <c r="AQ30" i="19"/>
  <c r="Y30" i="19" s="1"/>
  <c r="AQ26" i="19"/>
  <c r="AQ1186" i="19"/>
  <c r="Y1186" i="19" s="1"/>
  <c r="AQ1170" i="19"/>
  <c r="Y1170" i="19" s="1"/>
  <c r="AQ1154" i="19"/>
  <c r="Y1154" i="19" s="1"/>
  <c r="AQ1138" i="19"/>
  <c r="Y1138" i="19" s="1"/>
  <c r="AQ1102" i="19"/>
  <c r="Y1102" i="19" s="1"/>
  <c r="AQ1070" i="19"/>
  <c r="Y1070" i="19" s="1"/>
  <c r="AQ1177" i="19"/>
  <c r="Y1177" i="19" s="1"/>
  <c r="AQ1022" i="19"/>
  <c r="AQ994" i="19"/>
  <c r="Y994" i="19" s="1"/>
  <c r="AQ1176" i="19"/>
  <c r="Y1176" i="19" s="1"/>
  <c r="AQ1050" i="19"/>
  <c r="AQ1034" i="19"/>
  <c r="AQ1168" i="19"/>
  <c r="Y1168" i="19" s="1"/>
  <c r="AQ1152" i="19"/>
  <c r="Y1152" i="19" s="1"/>
  <c r="AQ1136" i="19"/>
  <c r="Y1136" i="19" s="1"/>
  <c r="AQ1104" i="19"/>
  <c r="Y1104" i="19" s="1"/>
  <c r="AQ1084" i="19"/>
  <c r="Y1084" i="19" s="1"/>
  <c r="AQ1060" i="19"/>
  <c r="Y1060" i="19" s="1"/>
  <c r="AQ1036" i="19"/>
  <c r="AQ1020" i="19"/>
  <c r="AQ984" i="19"/>
  <c r="Y984" i="19" s="1"/>
  <c r="AQ964" i="19"/>
  <c r="Y964" i="19" s="1"/>
  <c r="AQ939" i="19"/>
  <c r="AQ903" i="19"/>
  <c r="Y903" i="19" s="1"/>
  <c r="AQ781" i="19"/>
  <c r="Y781" i="19" s="1"/>
  <c r="AQ697" i="19"/>
  <c r="AQ560" i="19"/>
  <c r="Y560" i="19" s="1"/>
  <c r="AQ1175" i="19"/>
  <c r="Y1175" i="19" s="1"/>
  <c r="AQ1159" i="19"/>
  <c r="Y1159" i="19" s="1"/>
  <c r="AQ1143" i="19"/>
  <c r="Y1143" i="19" s="1"/>
  <c r="AQ1123" i="19"/>
  <c r="Y1123" i="19" s="1"/>
  <c r="AQ1091" i="19"/>
  <c r="Y1091" i="19" s="1"/>
  <c r="AQ1047" i="19"/>
  <c r="AQ1003" i="19"/>
  <c r="Y1003" i="19" s="1"/>
  <c r="AQ987" i="19"/>
  <c r="AQ971" i="19"/>
  <c r="AQ947" i="19"/>
  <c r="AQ878" i="19"/>
  <c r="AQ842" i="19"/>
  <c r="AQ806" i="19"/>
  <c r="AQ753" i="19"/>
  <c r="AQ730" i="19"/>
  <c r="Y730" i="19" s="1"/>
  <c r="AQ705" i="19"/>
  <c r="Y705" i="19" s="1"/>
  <c r="AQ684" i="19"/>
  <c r="Y684" i="19" s="1"/>
  <c r="AQ982" i="19"/>
  <c r="Y982" i="19" s="1"/>
  <c r="AQ950" i="19"/>
  <c r="Y950" i="19" s="1"/>
  <c r="AQ925" i="19"/>
  <c r="Y925" i="19" s="1"/>
  <c r="AQ897" i="19"/>
  <c r="AQ881" i="19"/>
  <c r="Y881" i="19" s="1"/>
  <c r="AQ865" i="19"/>
  <c r="AQ845" i="19"/>
  <c r="Y845" i="19" s="1"/>
  <c r="AQ820" i="19"/>
  <c r="Y820" i="19" s="1"/>
  <c r="AQ758" i="19"/>
  <c r="AQ633" i="19"/>
  <c r="Y633" i="19" s="1"/>
  <c r="AQ617" i="19"/>
  <c r="Y617" i="19" s="1"/>
  <c r="AQ596" i="19"/>
  <c r="Y596" i="19" s="1"/>
  <c r="AQ1161" i="19"/>
  <c r="Y1161" i="19" s="1"/>
  <c r="AQ1145" i="19"/>
  <c r="Y1145" i="19" s="1"/>
  <c r="AQ1129" i="19"/>
  <c r="Y1129" i="19" s="1"/>
  <c r="AQ1109" i="19"/>
  <c r="Y1109" i="19" s="1"/>
  <c r="AQ1069" i="19"/>
  <c r="Y1069" i="19" s="1"/>
  <c r="AQ1053" i="19"/>
  <c r="AQ1033" i="19"/>
  <c r="AQ1009" i="19"/>
  <c r="Y1009" i="19" s="1"/>
  <c r="AQ993" i="19"/>
  <c r="Y993" i="19" s="1"/>
  <c r="AQ977" i="19"/>
  <c r="Y977" i="19" s="1"/>
  <c r="AQ932" i="19"/>
  <c r="Y932" i="19" s="1"/>
  <c r="AQ908" i="19"/>
  <c r="Y908" i="19" s="1"/>
  <c r="AQ888" i="19"/>
  <c r="Y888" i="19" s="1"/>
  <c r="AQ860" i="19"/>
  <c r="AQ782" i="19"/>
  <c r="Y782" i="19" s="1"/>
  <c r="AQ765" i="19"/>
  <c r="AQ664" i="19"/>
  <c r="AQ637" i="19"/>
  <c r="AQ498" i="19"/>
  <c r="AQ481" i="19"/>
  <c r="Y481" i="19" s="1"/>
  <c r="AQ428" i="19"/>
  <c r="Y428" i="19" s="1"/>
  <c r="AQ341" i="19"/>
  <c r="Y341" i="19" s="1"/>
  <c r="AQ152" i="19"/>
  <c r="Y152" i="19" s="1"/>
  <c r="AQ863" i="19"/>
  <c r="Y863" i="19" s="1"/>
  <c r="AQ847" i="19"/>
  <c r="Y847" i="19" s="1"/>
  <c r="AQ780" i="19"/>
  <c r="AQ742" i="19"/>
  <c r="Y742" i="19" s="1"/>
  <c r="AQ708" i="19"/>
  <c r="Y708" i="19" s="1"/>
  <c r="AQ666" i="19"/>
  <c r="AQ645" i="19"/>
  <c r="AQ624" i="19"/>
  <c r="AQ534" i="19"/>
  <c r="Y534" i="19" s="1"/>
  <c r="AQ514" i="19"/>
  <c r="Y514" i="19" s="1"/>
  <c r="AQ497" i="19"/>
  <c r="AQ417" i="19"/>
  <c r="Y417" i="19" s="1"/>
  <c r="AQ401" i="19"/>
  <c r="Y401" i="19" s="1"/>
  <c r="AQ100" i="19"/>
  <c r="Y100" i="19" s="1"/>
  <c r="AQ799" i="19"/>
  <c r="AQ746" i="19"/>
  <c r="Y746" i="19" s="1"/>
  <c r="AQ728" i="19"/>
  <c r="Y728" i="19" s="1"/>
  <c r="AQ686" i="19"/>
  <c r="AQ661" i="19"/>
  <c r="Y661" i="19" s="1"/>
  <c r="AQ644" i="19"/>
  <c r="AQ582" i="19"/>
  <c r="Y582" i="19" s="1"/>
  <c r="AQ550" i="19"/>
  <c r="AQ533" i="19"/>
  <c r="Y533" i="19" s="1"/>
  <c r="AQ513" i="19"/>
  <c r="Y513" i="19" s="1"/>
  <c r="AQ488" i="19"/>
  <c r="AQ442" i="19"/>
  <c r="AQ323" i="19"/>
  <c r="Y323" i="19" s="1"/>
  <c r="AQ224" i="19"/>
  <c r="Y224" i="19" s="1"/>
  <c r="AQ208" i="19"/>
  <c r="AQ164" i="19"/>
  <c r="Y164" i="19" s="1"/>
  <c r="AQ64" i="19"/>
  <c r="Y64" i="19" s="1"/>
  <c r="AQ630" i="19"/>
  <c r="AQ614" i="19"/>
  <c r="Y614" i="19" s="1"/>
  <c r="AQ597" i="19"/>
  <c r="Y597" i="19" s="1"/>
  <c r="AQ577" i="19"/>
  <c r="Y577" i="19" s="1"/>
  <c r="AQ532" i="19"/>
  <c r="Y532" i="19" s="1"/>
  <c r="AQ512" i="19"/>
  <c r="AQ470" i="19"/>
  <c r="AQ449" i="19"/>
  <c r="AQ420" i="19"/>
  <c r="Y420" i="19" s="1"/>
  <c r="AQ358" i="19"/>
  <c r="AQ335" i="19"/>
  <c r="Y335" i="19" s="1"/>
  <c r="AQ287" i="19"/>
  <c r="AQ260" i="19"/>
  <c r="AQ244" i="19"/>
  <c r="AQ144" i="19"/>
  <c r="Y144" i="19" s="1"/>
  <c r="AQ68" i="19"/>
  <c r="Y68" i="19" s="1"/>
  <c r="AQ382" i="19"/>
  <c r="Y382" i="19" s="1"/>
  <c r="AQ362" i="19"/>
  <c r="Y362" i="19" s="1"/>
  <c r="AQ340" i="19"/>
  <c r="Y340" i="19" s="1"/>
  <c r="AQ320" i="19"/>
  <c r="AQ296" i="19"/>
  <c r="AQ273" i="19"/>
  <c r="Y273" i="19" s="1"/>
  <c r="AQ257" i="19"/>
  <c r="Y257" i="19" s="1"/>
  <c r="AQ217" i="19"/>
  <c r="AQ201" i="19"/>
  <c r="Y201" i="19" s="1"/>
  <c r="AQ181" i="19"/>
  <c r="Y181" i="19" s="1"/>
  <c r="AQ161" i="19"/>
  <c r="Y161" i="19" s="1"/>
  <c r="AQ141" i="19"/>
  <c r="Y141" i="19" s="1"/>
  <c r="AQ113" i="19"/>
  <c r="Y113" i="19" s="1"/>
  <c r="AQ93" i="19"/>
  <c r="Y93" i="19" s="1"/>
  <c r="AQ73" i="19"/>
  <c r="Y73" i="19" s="1"/>
  <c r="AQ53" i="19"/>
  <c r="Y53" i="19" s="1"/>
  <c r="AQ759" i="19"/>
  <c r="Y759" i="19" s="1"/>
  <c r="AQ695" i="19"/>
  <c r="AQ671" i="19"/>
  <c r="Y671" i="19" s="1"/>
  <c r="AQ647" i="19"/>
  <c r="Y647" i="19" s="1"/>
  <c r="AQ571" i="19"/>
  <c r="Y571" i="19" s="1"/>
  <c r="AQ531" i="19"/>
  <c r="AQ499" i="19"/>
  <c r="Y499" i="19" s="1"/>
  <c r="AQ435" i="19"/>
  <c r="AQ399" i="19"/>
  <c r="AQ1182" i="19"/>
  <c r="Y1182" i="19" s="1"/>
  <c r="AQ1166" i="19"/>
  <c r="Y1166" i="19" s="1"/>
  <c r="AQ1150" i="19"/>
  <c r="Y1150" i="19" s="1"/>
  <c r="AQ1134" i="19"/>
  <c r="Y1134" i="19" s="1"/>
  <c r="AQ1098" i="19"/>
  <c r="Y1098" i="19" s="1"/>
  <c r="AQ990" i="19"/>
  <c r="Y990" i="19" s="1"/>
  <c r="AQ1173" i="19"/>
  <c r="Y1173" i="19" s="1"/>
  <c r="AQ1018" i="19"/>
  <c r="AQ1188" i="19"/>
  <c r="Y1188" i="19" s="1"/>
  <c r="AQ1172" i="19"/>
  <c r="AQ1046" i="19"/>
  <c r="AQ1010" i="19"/>
  <c r="Y1010" i="19" s="1"/>
  <c r="AQ1164" i="19"/>
  <c r="Y1164" i="19" s="1"/>
  <c r="AQ1148" i="19"/>
  <c r="Y1148" i="19" s="1"/>
  <c r="AQ1132" i="19"/>
  <c r="Y1132" i="19" s="1"/>
  <c r="AQ1100" i="19"/>
  <c r="Y1100" i="19" s="1"/>
  <c r="AQ1080" i="19"/>
  <c r="Y1080" i="19" s="1"/>
  <c r="AQ1052" i="19"/>
  <c r="AQ1032" i="19"/>
  <c r="AQ1008" i="19"/>
  <c r="Y1008" i="19" s="1"/>
  <c r="AQ980" i="19"/>
  <c r="AQ952" i="19"/>
  <c r="Y952" i="19" s="1"/>
  <c r="AQ875" i="19"/>
  <c r="Y875" i="19" s="1"/>
  <c r="AQ826" i="19"/>
  <c r="Y826" i="19" s="1"/>
  <c r="AQ777" i="19"/>
  <c r="AQ685" i="19"/>
  <c r="AQ1187" i="19"/>
  <c r="Y1187" i="19" s="1"/>
  <c r="AQ1171" i="19"/>
  <c r="Y1171" i="19" s="1"/>
  <c r="AQ1155" i="19"/>
  <c r="Y1155" i="19" s="1"/>
  <c r="AQ1139" i="19"/>
  <c r="Y1139" i="19" s="1"/>
  <c r="AQ1115" i="19"/>
  <c r="Y1115" i="19" s="1"/>
  <c r="AQ1075" i="19"/>
  <c r="Y1075" i="19" s="1"/>
  <c r="AQ1043" i="19"/>
  <c r="AQ999" i="19"/>
  <c r="Y999" i="19" s="1"/>
  <c r="AQ983" i="19"/>
  <c r="Y983" i="19" s="1"/>
  <c r="AQ963" i="19"/>
  <c r="Y963" i="19" s="1"/>
  <c r="AQ930" i="19"/>
  <c r="AQ894" i="19"/>
  <c r="AQ870" i="19"/>
  <c r="AQ833" i="19"/>
  <c r="Y833" i="19" s="1"/>
  <c r="AQ745" i="19"/>
  <c r="AQ722" i="19"/>
  <c r="Y722" i="19" s="1"/>
  <c r="AQ700" i="19"/>
  <c r="AQ572" i="19"/>
  <c r="Y572" i="19" s="1"/>
  <c r="AQ966" i="19"/>
  <c r="AQ941" i="19"/>
  <c r="Y941" i="19" s="1"/>
  <c r="AQ917" i="19"/>
  <c r="Y917" i="19" s="1"/>
  <c r="AQ893" i="19"/>
  <c r="AQ877" i="19"/>
  <c r="Y877" i="19" s="1"/>
  <c r="AQ861" i="19"/>
  <c r="AQ836" i="19"/>
  <c r="Y836" i="19" s="1"/>
  <c r="AQ813" i="19"/>
  <c r="AQ770" i="19"/>
  <c r="Y770" i="19" s="1"/>
  <c r="AQ752" i="19"/>
  <c r="Y752" i="19" s="1"/>
  <c r="AQ629" i="19"/>
  <c r="AQ613" i="19"/>
  <c r="AQ548" i="19"/>
  <c r="AQ1157" i="19"/>
  <c r="Y1157" i="19" s="1"/>
  <c r="AQ1141" i="19"/>
  <c r="Y1141" i="19" s="1"/>
  <c r="AQ1121" i="19"/>
  <c r="Y1121" i="19" s="1"/>
  <c r="AQ1105" i="19"/>
  <c r="Y1105" i="19" s="1"/>
  <c r="AQ1029" i="19"/>
  <c r="AQ1005" i="19"/>
  <c r="Y1005" i="19" s="1"/>
  <c r="AQ989" i="19"/>
  <c r="Y989" i="19" s="1"/>
  <c r="AQ965" i="19"/>
  <c r="Y965" i="19" s="1"/>
  <c r="AQ924" i="19"/>
  <c r="Y924" i="19" s="1"/>
  <c r="AQ904" i="19"/>
  <c r="AQ880" i="19"/>
  <c r="Y880" i="19" s="1"/>
  <c r="AQ856" i="19"/>
  <c r="Y856" i="19" s="1"/>
  <c r="AQ778" i="19"/>
  <c r="Y778" i="19" s="1"/>
  <c r="AQ761" i="19"/>
  <c r="Y761" i="19" s="1"/>
  <c r="AQ660" i="19"/>
  <c r="AQ556" i="19"/>
  <c r="Y556" i="19" s="1"/>
  <c r="AQ494" i="19"/>
  <c r="Y494" i="19" s="1"/>
  <c r="AQ477" i="19"/>
  <c r="Y477" i="19" s="1"/>
  <c r="AQ460" i="19"/>
  <c r="Y460" i="19" s="1"/>
  <c r="AQ385" i="19"/>
  <c r="AQ338" i="19"/>
  <c r="Y338" i="19" s="1"/>
  <c r="AQ92" i="19"/>
  <c r="Y92" i="19" s="1"/>
  <c r="AQ859" i="19"/>
  <c r="Y859" i="19" s="1"/>
  <c r="AQ808" i="19"/>
  <c r="AQ776" i="19"/>
  <c r="Y776" i="19" s="1"/>
  <c r="AQ729" i="19"/>
  <c r="AQ704" i="19"/>
  <c r="AQ662" i="19"/>
  <c r="AQ640" i="19"/>
  <c r="Y640" i="19" s="1"/>
  <c r="AQ620" i="19"/>
  <c r="AQ530" i="19"/>
  <c r="AQ509" i="19"/>
  <c r="AQ493" i="19"/>
  <c r="Y493" i="19" s="1"/>
  <c r="AQ384" i="19"/>
  <c r="Y384" i="19" s="1"/>
  <c r="AQ815" i="19"/>
  <c r="AQ787" i="19"/>
  <c r="Y787" i="19" s="1"/>
  <c r="AQ741" i="19"/>
  <c r="AQ724" i="19"/>
  <c r="Y724" i="19" s="1"/>
  <c r="AQ698" i="19"/>
  <c r="Y698" i="19" s="1"/>
  <c r="AQ681" i="19"/>
  <c r="AQ657" i="19"/>
  <c r="Y657" i="19" s="1"/>
  <c r="AQ598" i="19"/>
  <c r="Y598" i="19" s="1"/>
  <c r="AQ578" i="19"/>
  <c r="Y578" i="19" s="1"/>
  <c r="AQ546" i="19"/>
  <c r="Y546" i="19" s="1"/>
  <c r="AQ529" i="19"/>
  <c r="Y529" i="19" s="1"/>
  <c r="AQ508" i="19"/>
  <c r="AQ458" i="19"/>
  <c r="AQ438" i="19"/>
  <c r="AQ421" i="19"/>
  <c r="AQ319" i="19"/>
  <c r="Y319" i="19" s="1"/>
  <c r="AQ220" i="19"/>
  <c r="Y220" i="19" s="1"/>
  <c r="AQ196" i="19"/>
  <c r="Y196" i="19" s="1"/>
  <c r="AQ136" i="19"/>
  <c r="Y136" i="19" s="1"/>
  <c r="AQ60" i="19"/>
  <c r="AQ626" i="19"/>
  <c r="AQ610" i="19"/>
  <c r="AQ589" i="19"/>
  <c r="Y589" i="19" s="1"/>
  <c r="AQ573" i="19"/>
  <c r="Y573" i="19" s="1"/>
  <c r="AQ524" i="19"/>
  <c r="Y524" i="19" s="1"/>
  <c r="AQ482" i="19"/>
  <c r="Y482" i="19" s="1"/>
  <c r="AQ461" i="19"/>
  <c r="Y461" i="19" s="1"/>
  <c r="AQ441" i="19"/>
  <c r="AQ369" i="19"/>
  <c r="Y369" i="19" s="1"/>
  <c r="AQ345" i="19"/>
  <c r="Y345" i="19" s="1"/>
  <c r="AQ331" i="19"/>
  <c r="Y331" i="19" s="1"/>
  <c r="AQ280" i="19"/>
  <c r="Y280" i="19" s="1"/>
  <c r="AQ256" i="19"/>
  <c r="AQ240" i="19"/>
  <c r="AQ112" i="19"/>
  <c r="Y112" i="19" s="1"/>
  <c r="AQ410" i="19"/>
  <c r="Y410" i="19" s="1"/>
  <c r="AQ374" i="19"/>
  <c r="Y374" i="19" s="1"/>
  <c r="AQ359" i="19"/>
  <c r="AQ332" i="19"/>
  <c r="Y332" i="19" s="1"/>
  <c r="AQ312" i="19"/>
  <c r="Y312" i="19" s="1"/>
  <c r="AQ292" i="19"/>
  <c r="AQ269" i="19"/>
  <c r="Y269" i="19" s="1"/>
  <c r="AQ253" i="19"/>
  <c r="AQ229" i="19"/>
  <c r="AQ213" i="19"/>
  <c r="Y213" i="19" s="1"/>
  <c r="AQ197" i="19"/>
  <c r="AQ177" i="19"/>
  <c r="AQ153" i="19"/>
  <c r="Y153" i="19" s="1"/>
  <c r="AQ133" i="19"/>
  <c r="Y133" i="19" s="1"/>
  <c r="AQ109" i="19"/>
  <c r="Y109" i="19" s="1"/>
  <c r="AQ85" i="19"/>
  <c r="Y85" i="19" s="1"/>
  <c r="AQ65" i="19"/>
  <c r="AQ775" i="19"/>
  <c r="AQ751" i="19"/>
  <c r="Y751" i="19" s="1"/>
  <c r="AQ715" i="19"/>
  <c r="AQ691" i="19"/>
  <c r="Y691" i="19" s="1"/>
  <c r="AQ667" i="19"/>
  <c r="AQ591" i="19"/>
  <c r="Y591" i="19" s="1"/>
  <c r="AQ563" i="19"/>
  <c r="Y563" i="19" s="1"/>
  <c r="AQ523" i="19"/>
  <c r="Y523" i="19" s="1"/>
  <c r="AQ475" i="19"/>
  <c r="Y475" i="19" s="1"/>
  <c r="AQ419" i="19"/>
  <c r="Y419" i="19" s="1"/>
  <c r="AQ1178" i="19"/>
  <c r="Y1178" i="19" s="1"/>
  <c r="AQ1162" i="19"/>
  <c r="Y1162" i="19" s="1"/>
  <c r="AQ1146" i="19"/>
  <c r="Y1146" i="19" s="1"/>
  <c r="AQ1130" i="19"/>
  <c r="Y1130" i="19" s="1"/>
  <c r="AQ1090" i="19"/>
  <c r="Y1090" i="19" s="1"/>
  <c r="AQ1185" i="19"/>
  <c r="Y1185" i="19" s="1"/>
  <c r="AQ1169" i="19"/>
  <c r="Y1169" i="19" s="1"/>
  <c r="AQ1002" i="19"/>
  <c r="Y1002" i="19" s="1"/>
  <c r="AQ1184" i="19"/>
  <c r="Y1184" i="19" s="1"/>
  <c r="AQ1042" i="19"/>
  <c r="AQ1006" i="19"/>
  <c r="Y1006" i="19" s="1"/>
  <c r="AQ1160" i="19"/>
  <c r="Y1160" i="19" s="1"/>
  <c r="AQ1144" i="19"/>
  <c r="Y1144" i="19" s="1"/>
  <c r="AQ1128" i="19"/>
  <c r="Y1128" i="19" s="1"/>
  <c r="AQ1096" i="19"/>
  <c r="Y1096" i="19" s="1"/>
  <c r="AQ1072" i="19"/>
  <c r="Y1072" i="19" s="1"/>
  <c r="AQ1048" i="19"/>
  <c r="AQ1028" i="19"/>
  <c r="AQ1000" i="19"/>
  <c r="Y1000" i="19" s="1"/>
  <c r="AQ976" i="19"/>
  <c r="Y976" i="19" s="1"/>
  <c r="AQ931" i="19"/>
  <c r="AQ871" i="19"/>
  <c r="Y871" i="19" s="1"/>
  <c r="AQ794" i="19"/>
  <c r="AQ732" i="19"/>
  <c r="Y732" i="19" s="1"/>
  <c r="AQ1183" i="19"/>
  <c r="Y1183" i="19" s="1"/>
  <c r="AQ1167" i="19"/>
  <c r="Y1167" i="19" s="1"/>
  <c r="AQ1151" i="19"/>
  <c r="Y1151" i="19" s="1"/>
  <c r="AQ1135" i="19"/>
  <c r="Y1135" i="19" s="1"/>
  <c r="AQ1111" i="19"/>
  <c r="Y1111" i="19" s="1"/>
  <c r="AQ1063" i="19"/>
  <c r="AQ1039" i="19"/>
  <c r="AQ995" i="19"/>
  <c r="Y995" i="19" s="1"/>
  <c r="AQ979" i="19"/>
  <c r="Y979" i="19" s="1"/>
  <c r="AQ959" i="19"/>
  <c r="AQ922" i="19"/>
  <c r="Y922" i="19" s="1"/>
  <c r="AQ886" i="19"/>
  <c r="AQ866" i="19"/>
  <c r="Y866" i="19" s="1"/>
  <c r="AQ829" i="19"/>
  <c r="AQ793" i="19"/>
  <c r="Y793" i="19" s="1"/>
  <c r="AQ740" i="19"/>
  <c r="Y740" i="19" s="1"/>
  <c r="AQ714" i="19"/>
  <c r="AQ696" i="19"/>
  <c r="AQ510" i="19"/>
  <c r="Y510" i="19" s="1"/>
  <c r="AQ962" i="19"/>
  <c r="Y962" i="19" s="1"/>
  <c r="AQ933" i="19"/>
  <c r="Y933" i="19" s="1"/>
  <c r="AQ905" i="19"/>
  <c r="AQ889" i="19"/>
  <c r="Y889" i="19" s="1"/>
  <c r="AQ873" i="19"/>
  <c r="AQ857" i="19"/>
  <c r="AQ828" i="19"/>
  <c r="AQ809" i="19"/>
  <c r="AQ766" i="19"/>
  <c r="Y766" i="19" s="1"/>
  <c r="AQ748" i="19"/>
  <c r="Y748" i="19" s="1"/>
  <c r="AQ625" i="19"/>
  <c r="AQ609" i="19"/>
  <c r="Y609" i="19" s="1"/>
  <c r="AQ544" i="19"/>
  <c r="AQ1153" i="19"/>
  <c r="Y1153" i="19" s="1"/>
  <c r="AQ1137" i="19"/>
  <c r="Y1137" i="19" s="1"/>
  <c r="AQ1117" i="19"/>
  <c r="Y1117" i="19" s="1"/>
  <c r="AQ1093" i="19"/>
  <c r="Y1093" i="19" s="1"/>
  <c r="AQ1061" i="19"/>
  <c r="Y1061" i="19" s="1"/>
  <c r="AQ1041" i="19"/>
  <c r="AQ1021" i="19"/>
  <c r="AQ1001" i="19"/>
  <c r="Y1001" i="19" s="1"/>
  <c r="AQ985" i="19"/>
  <c r="Y985" i="19" s="1"/>
  <c r="AQ961" i="19"/>
  <c r="AQ920" i="19"/>
  <c r="Y920" i="19" s="1"/>
  <c r="AQ900" i="19"/>
  <c r="AQ872" i="19"/>
  <c r="AQ848" i="19"/>
  <c r="Y848" i="19" s="1"/>
  <c r="AQ774" i="19"/>
  <c r="Y774" i="19" s="1"/>
  <c r="AQ757" i="19"/>
  <c r="Y757" i="19" s="1"/>
  <c r="AQ650" i="19"/>
  <c r="AQ490" i="19"/>
  <c r="Y490" i="19" s="1"/>
  <c r="AQ473" i="19"/>
  <c r="Y473" i="19" s="1"/>
  <c r="AQ448" i="19"/>
  <c r="Y448" i="19" s="1"/>
  <c r="AQ377" i="19"/>
  <c r="AQ303" i="19"/>
  <c r="Y303" i="19" s="1"/>
  <c r="AQ84" i="19"/>
  <c r="Y84" i="19" s="1"/>
  <c r="AQ855" i="19"/>
  <c r="AQ804" i="19"/>
  <c r="AQ764" i="19"/>
  <c r="AQ725" i="19"/>
  <c r="Y725" i="19" s="1"/>
  <c r="AQ674" i="19"/>
  <c r="AQ653" i="19"/>
  <c r="AQ632" i="19"/>
  <c r="Y632" i="19" s="1"/>
  <c r="AQ612" i="19"/>
  <c r="Y612" i="19" s="1"/>
  <c r="AQ522" i="19"/>
  <c r="AQ505" i="19"/>
  <c r="AQ489" i="19"/>
  <c r="AQ409" i="19"/>
  <c r="Y409" i="19" s="1"/>
  <c r="AQ380" i="19"/>
  <c r="Y380" i="19" s="1"/>
  <c r="AQ811" i="19"/>
  <c r="AQ754" i="19"/>
  <c r="Y754" i="19" s="1"/>
  <c r="AQ737" i="19"/>
  <c r="Y737" i="19" s="1"/>
  <c r="AQ720" i="19"/>
  <c r="AQ694" i="19"/>
  <c r="AQ673" i="19"/>
  <c r="AQ652" i="19"/>
  <c r="AQ590" i="19"/>
  <c r="AQ566" i="19"/>
  <c r="AQ525" i="19"/>
  <c r="Y525" i="19" s="1"/>
  <c r="AQ496" i="19"/>
  <c r="AQ454" i="19"/>
  <c r="AQ434" i="19"/>
  <c r="Y434" i="19" s="1"/>
  <c r="AQ412" i="19"/>
  <c r="Y412" i="19" s="1"/>
  <c r="AQ315" i="19"/>
  <c r="AQ216" i="19"/>
  <c r="Y216" i="19" s="1"/>
  <c r="AQ188" i="19"/>
  <c r="Y188" i="19" s="1"/>
  <c r="AQ132" i="19"/>
  <c r="Y132" i="19" s="1"/>
  <c r="AQ638" i="19"/>
  <c r="AQ622" i="19"/>
  <c r="Y622" i="19" s="1"/>
  <c r="AQ606" i="19"/>
  <c r="AQ585" i="19"/>
  <c r="Y585" i="19" s="1"/>
  <c r="AQ565" i="19"/>
  <c r="AQ520" i="19"/>
  <c r="Y520" i="19" s="1"/>
  <c r="AQ478" i="19"/>
  <c r="Y478" i="19" s="1"/>
  <c r="AQ437" i="19"/>
  <c r="AQ365" i="19"/>
  <c r="Y365" i="19" s="1"/>
  <c r="AQ342" i="19"/>
  <c r="Y342" i="19" s="1"/>
  <c r="AQ295" i="19"/>
  <c r="Y295" i="19" s="1"/>
  <c r="AQ272" i="19"/>
  <c r="AQ252" i="19"/>
  <c r="AQ236" i="19"/>
  <c r="AQ108" i="19"/>
  <c r="AQ402" i="19"/>
  <c r="AQ370" i="19"/>
  <c r="Y370" i="19" s="1"/>
  <c r="AQ346" i="19"/>
  <c r="Y346" i="19" s="1"/>
  <c r="AQ328" i="19"/>
  <c r="AQ308" i="19"/>
  <c r="AQ288" i="19"/>
  <c r="Y288" i="19" s="1"/>
  <c r="AQ265" i="19"/>
  <c r="AQ249" i="19"/>
  <c r="Y249" i="19" s="1"/>
  <c r="AQ225" i="19"/>
  <c r="Y225" i="19" s="1"/>
  <c r="AQ209" i="19"/>
  <c r="Y209" i="19" s="1"/>
  <c r="AQ189" i="19"/>
  <c r="Y189" i="19" s="1"/>
  <c r="AQ173" i="19"/>
  <c r="Y173" i="19" s="1"/>
  <c r="AQ149" i="19"/>
  <c r="Y149" i="19" s="1"/>
  <c r="AQ129" i="19"/>
  <c r="Y129" i="19" s="1"/>
  <c r="AQ105" i="19"/>
  <c r="Y105" i="19" s="1"/>
  <c r="AQ81" i="19"/>
  <c r="Y81" i="19" s="1"/>
  <c r="AQ61" i="19"/>
  <c r="AQ767" i="19"/>
  <c r="Y767" i="19" s="1"/>
  <c r="AQ747" i="19"/>
  <c r="Y747" i="19" s="1"/>
  <c r="AQ659" i="19"/>
  <c r="AQ583" i="19"/>
  <c r="AQ555" i="19"/>
  <c r="Y555" i="19" s="1"/>
  <c r="AQ507" i="19"/>
  <c r="AQ467" i="19"/>
  <c r="AQ407" i="19"/>
  <c r="Y407" i="19" s="1"/>
  <c r="AQ337" i="19"/>
  <c r="Y337" i="19" s="1"/>
  <c r="AQ262" i="19"/>
  <c r="Y262" i="19" s="1"/>
  <c r="AQ1174" i="19"/>
  <c r="Y1174" i="19" s="1"/>
  <c r="AQ1158" i="19"/>
  <c r="Y1158" i="19" s="1"/>
  <c r="AQ1142" i="19"/>
  <c r="Y1142" i="19" s="1"/>
  <c r="AQ1126" i="19"/>
  <c r="Y1126" i="19" s="1"/>
  <c r="AQ1086" i="19"/>
  <c r="Y1086" i="19" s="1"/>
  <c r="AQ1181" i="19"/>
  <c r="Y1181" i="19" s="1"/>
  <c r="AQ1030" i="19"/>
  <c r="AQ998" i="19"/>
  <c r="Y998" i="19" s="1"/>
  <c r="AQ1180" i="19"/>
  <c r="Y1180" i="19" s="1"/>
  <c r="AQ1054" i="19"/>
  <c r="AQ1038" i="19"/>
  <c r="AQ1066" i="19"/>
  <c r="Y1066" i="19" s="1"/>
  <c r="AQ1156" i="19"/>
  <c r="Y1156" i="19" s="1"/>
  <c r="AQ1140" i="19"/>
  <c r="Y1140" i="19" s="1"/>
  <c r="AQ1124" i="19"/>
  <c r="Y1124" i="19" s="1"/>
  <c r="AQ1088" i="19"/>
  <c r="Y1088" i="19" s="1"/>
  <c r="AQ1064" i="19"/>
  <c r="AQ1024" i="19"/>
  <c r="AQ996" i="19"/>
  <c r="Y996" i="19" s="1"/>
  <c r="AQ927" i="19"/>
  <c r="Y927" i="19" s="1"/>
  <c r="AQ883" i="19"/>
  <c r="AQ838" i="19"/>
  <c r="Y838" i="19" s="1"/>
  <c r="AQ785" i="19"/>
  <c r="Y785" i="19" s="1"/>
  <c r="AQ710" i="19"/>
  <c r="Y710" i="19" s="1"/>
  <c r="AQ564" i="19"/>
  <c r="Y564" i="19" s="1"/>
  <c r="AQ1179" i="19"/>
  <c r="Y1179" i="19" s="1"/>
  <c r="AQ1163" i="19"/>
  <c r="Y1163" i="19" s="1"/>
  <c r="AQ1147" i="19"/>
  <c r="Y1147" i="19" s="1"/>
  <c r="AQ1131" i="19"/>
  <c r="Y1131" i="19" s="1"/>
  <c r="AQ1095" i="19"/>
  <c r="Y1095" i="19" s="1"/>
  <c r="AQ1055" i="19"/>
  <c r="AQ1035" i="19"/>
  <c r="AQ991" i="19"/>
  <c r="AQ975" i="19"/>
  <c r="Y975" i="19" s="1"/>
  <c r="AQ955" i="19"/>
  <c r="Y955" i="19" s="1"/>
  <c r="AQ902" i="19"/>
  <c r="Y902" i="19" s="1"/>
  <c r="AQ882" i="19"/>
  <c r="Y882" i="19" s="1"/>
  <c r="AQ850" i="19"/>
  <c r="Y850" i="19" s="1"/>
  <c r="AQ817" i="19"/>
  <c r="AQ789" i="19"/>
  <c r="Y789" i="19" s="1"/>
  <c r="AQ736" i="19"/>
  <c r="Y736" i="19" s="1"/>
  <c r="AQ709" i="19"/>
  <c r="Y709" i="19" s="1"/>
  <c r="AQ688" i="19"/>
  <c r="AQ986" i="19"/>
  <c r="AQ954" i="19"/>
  <c r="Y954" i="19" s="1"/>
  <c r="AQ929" i="19"/>
  <c r="Y929" i="19" s="1"/>
  <c r="AQ901" i="19"/>
  <c r="AQ885" i="19"/>
  <c r="Y885" i="19" s="1"/>
  <c r="AQ869" i="19"/>
  <c r="AQ853" i="19"/>
  <c r="AQ824" i="19"/>
  <c r="Y824" i="19" s="1"/>
  <c r="AQ801" i="19"/>
  <c r="AQ762" i="19"/>
  <c r="Y762" i="19" s="1"/>
  <c r="AQ642" i="19"/>
  <c r="AQ621" i="19"/>
  <c r="Y621" i="19" s="1"/>
  <c r="AQ605" i="19"/>
  <c r="AQ1165" i="19"/>
  <c r="Y1165" i="19" s="1"/>
  <c r="AQ1149" i="19"/>
  <c r="Y1149" i="19" s="1"/>
  <c r="AQ1133" i="19"/>
  <c r="Y1133" i="19" s="1"/>
  <c r="AQ1113" i="19"/>
  <c r="Y1113" i="19" s="1"/>
  <c r="AQ1077" i="19"/>
  <c r="Y1077" i="19" s="1"/>
  <c r="AQ1013" i="19"/>
  <c r="Y1013" i="19" s="1"/>
  <c r="AQ997" i="19"/>
  <c r="Y997" i="19" s="1"/>
  <c r="AQ981" i="19"/>
  <c r="Y981" i="19" s="1"/>
  <c r="AQ912" i="19"/>
  <c r="AQ896" i="19"/>
  <c r="Y896" i="19" s="1"/>
  <c r="AQ868" i="19"/>
  <c r="Y868" i="19" s="1"/>
  <c r="AQ844" i="19"/>
  <c r="Y844" i="19" s="1"/>
  <c r="AQ769" i="19"/>
  <c r="AQ668" i="19"/>
  <c r="AQ641" i="19"/>
  <c r="Y641" i="19" s="1"/>
  <c r="AQ502" i="19"/>
  <c r="Y502" i="19" s="1"/>
  <c r="AQ485" i="19"/>
  <c r="AQ469" i="19"/>
  <c r="AQ432" i="19"/>
  <c r="AQ348" i="19"/>
  <c r="Y348" i="19" s="1"/>
  <c r="AQ156" i="19"/>
  <c r="Y156" i="19" s="1"/>
  <c r="AQ867" i="19"/>
  <c r="AQ784" i="19"/>
  <c r="AQ760" i="19"/>
  <c r="AQ717" i="19"/>
  <c r="AQ670" i="19"/>
  <c r="Y670" i="19" s="1"/>
  <c r="AQ628" i="19"/>
  <c r="AQ604" i="19"/>
  <c r="AQ518" i="19"/>
  <c r="AQ501" i="19"/>
  <c r="AQ422" i="19"/>
  <c r="Y422" i="19" s="1"/>
  <c r="AQ405" i="19"/>
  <c r="AQ160" i="19"/>
  <c r="Y160" i="19" s="1"/>
  <c r="AQ803" i="19"/>
  <c r="AQ750" i="19"/>
  <c r="AQ733" i="19"/>
  <c r="AQ716" i="19"/>
  <c r="AQ690" i="19"/>
  <c r="Y690" i="19" s="1"/>
  <c r="AQ665" i="19"/>
  <c r="Y665" i="19" s="1"/>
  <c r="AQ648" i="19"/>
  <c r="AQ586" i="19"/>
  <c r="Y586" i="19" s="1"/>
  <c r="AQ554" i="19"/>
  <c r="Y554" i="19" s="1"/>
  <c r="AQ538" i="19"/>
  <c r="Y538" i="19" s="1"/>
  <c r="AQ521" i="19"/>
  <c r="AQ492" i="19"/>
  <c r="Y492" i="19" s="1"/>
  <c r="AQ450" i="19"/>
  <c r="Y450" i="19" s="1"/>
  <c r="AQ430" i="19"/>
  <c r="Y430" i="19" s="1"/>
  <c r="AQ311" i="19"/>
  <c r="Y311" i="19" s="1"/>
  <c r="AQ212" i="19"/>
  <c r="Y212" i="19" s="1"/>
  <c r="AQ172" i="19"/>
  <c r="Y172" i="19" s="1"/>
  <c r="AQ104" i="19"/>
  <c r="AQ634" i="19"/>
  <c r="AQ618" i="19"/>
  <c r="AQ537" i="19"/>
  <c r="Y537" i="19" s="1"/>
  <c r="AQ516" i="19"/>
  <c r="AQ474" i="19"/>
  <c r="Y474" i="19" s="1"/>
  <c r="AQ453" i="19"/>
  <c r="Y453" i="19" s="1"/>
  <c r="AQ433" i="19"/>
  <c r="Y433" i="19" s="1"/>
  <c r="AQ361" i="19"/>
  <c r="Y361" i="19" s="1"/>
  <c r="AQ339" i="19"/>
  <c r="Y339" i="19" s="1"/>
  <c r="AQ291" i="19"/>
  <c r="Y291" i="19" s="1"/>
  <c r="AQ268" i="19"/>
  <c r="Y268" i="19" s="1"/>
  <c r="AQ248" i="19"/>
  <c r="Y248" i="19" s="1"/>
  <c r="AQ148" i="19"/>
  <c r="Y148" i="19" s="1"/>
  <c r="AQ80" i="19"/>
  <c r="Y80" i="19" s="1"/>
  <c r="AQ398" i="19"/>
  <c r="AQ366" i="19"/>
  <c r="Y366" i="19" s="1"/>
  <c r="AQ343" i="19"/>
  <c r="Y343" i="19" s="1"/>
  <c r="AQ324" i="19"/>
  <c r="Y324" i="19" s="1"/>
  <c r="AQ277" i="19"/>
  <c r="Y277" i="19" s="1"/>
  <c r="AQ261" i="19"/>
  <c r="AQ245" i="19"/>
  <c r="AQ221" i="19"/>
  <c r="Y221" i="19" s="1"/>
  <c r="AQ205" i="19"/>
  <c r="AQ185" i="19"/>
  <c r="AQ169" i="19"/>
  <c r="Y169" i="19" s="1"/>
  <c r="AQ145" i="19"/>
  <c r="Y145" i="19" s="1"/>
  <c r="AQ117" i="19"/>
  <c r="Y117" i="19" s="1"/>
  <c r="AQ97" i="19"/>
  <c r="AQ77" i="19"/>
  <c r="Y77" i="19" s="1"/>
  <c r="AQ57" i="19"/>
  <c r="Y57" i="19" s="1"/>
  <c r="AQ763" i="19"/>
  <c r="AQ727" i="19"/>
  <c r="AQ699" i="19"/>
  <c r="Y699" i="19" s="1"/>
  <c r="AQ675" i="19"/>
  <c r="AQ651" i="19"/>
  <c r="AQ607" i="19"/>
  <c r="Y607" i="19" s="1"/>
  <c r="AQ575" i="19"/>
  <c r="Y575" i="19" s="1"/>
  <c r="AQ539" i="19"/>
  <c r="AQ503" i="19"/>
  <c r="Y503" i="19" s="1"/>
  <c r="AQ451" i="19"/>
  <c r="AQ403" i="19"/>
  <c r="Y403" i="19" s="1"/>
  <c r="AQ391" i="19"/>
  <c r="Y391" i="19" s="1"/>
  <c r="AQ305" i="19"/>
  <c r="Y305" i="19" s="1"/>
  <c r="AQ246" i="19"/>
  <c r="AQ379" i="19"/>
  <c r="Y379" i="19" s="1"/>
  <c r="AQ301" i="19"/>
  <c r="AQ367" i="19"/>
  <c r="Y367" i="19" s="1"/>
  <c r="AD1021" i="19"/>
  <c r="AQ360" i="19"/>
  <c r="AQ258" i="19"/>
  <c r="AD799" i="19"/>
  <c r="AD1030" i="19"/>
  <c r="AD1053" i="19"/>
  <c r="AD815" i="19"/>
  <c r="AD1028" i="19"/>
  <c r="AD1033" i="19"/>
  <c r="AD1034" i="19"/>
  <c r="AD1024" i="19"/>
  <c r="AD1036" i="19"/>
  <c r="AD947" i="19"/>
  <c r="AQ936" i="19"/>
  <c r="AQ354" i="19"/>
  <c r="AQ351" i="19"/>
  <c r="AQ1068" i="19"/>
  <c r="AQ200" i="19"/>
  <c r="AQ945" i="19"/>
  <c r="AQ569" i="19"/>
  <c r="AQ298" i="19"/>
  <c r="AQ916" i="19"/>
  <c r="AQ418" i="19"/>
  <c r="AQ393" i="19"/>
  <c r="AQ371" i="19"/>
  <c r="AQ352" i="19"/>
  <c r="AQ353" i="19"/>
  <c r="AQ946" i="19"/>
  <c r="AQ436" i="19"/>
  <c r="AQ429" i="19"/>
  <c r="AQ798" i="19"/>
  <c r="AQ239" i="19"/>
  <c r="AQ558"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118" i="19"/>
  <c r="AQ1081" i="19"/>
  <c r="AQ1076" i="19"/>
  <c r="AQ821" i="19"/>
  <c r="AQ816" i="19"/>
  <c r="AQ812" i="19"/>
  <c r="AQ639" i="19"/>
  <c r="AQ1125" i="19"/>
  <c r="AQ1122" i="19"/>
  <c r="AQ1120" i="19"/>
  <c r="AQ1114" i="19"/>
  <c r="AQ1083" i="19"/>
  <c r="AQ928" i="19"/>
  <c r="AQ915" i="19"/>
  <c r="AQ892" i="19"/>
  <c r="AQ843" i="19"/>
  <c r="AQ835" i="19"/>
  <c r="AQ800" i="19"/>
  <c r="AQ726" i="19"/>
  <c r="AQ701" i="19"/>
  <c r="AQ654" i="19"/>
  <c r="AQ588" i="19"/>
  <c r="AQ570" i="19"/>
  <c r="AQ1116" i="19"/>
  <c r="AQ969" i="19"/>
  <c r="AQ783" i="19"/>
  <c r="AQ631" i="19"/>
  <c r="AQ1106" i="19"/>
  <c r="AQ1056" i="19"/>
  <c r="AQ974" i="19"/>
  <c r="AQ926" i="19"/>
  <c r="AQ846" i="19"/>
  <c r="AQ584" i="19"/>
  <c r="AQ241" i="19"/>
  <c r="AQ78" i="19"/>
  <c r="AQ592" i="19"/>
  <c r="AQ394" i="19"/>
  <c r="AQ392" i="19"/>
  <c r="AQ837" i="19"/>
  <c r="AQ689" i="19"/>
  <c r="AQ616" i="19"/>
  <c r="AQ576" i="19"/>
  <c r="AQ165" i="19"/>
  <c r="AQ602" i="19"/>
  <c r="AQ56" i="19"/>
  <c r="AQ193" i="19"/>
  <c r="AQ222" i="19"/>
  <c r="AQ381" i="19"/>
  <c r="AQ147" i="19"/>
  <c r="AQ168" i="19"/>
  <c r="AQ228" i="19"/>
  <c r="AQ580" i="19"/>
  <c r="AQ608" i="19"/>
  <c r="AQ574" i="19"/>
  <c r="AQ849" i="19"/>
  <c r="AQ390" i="19"/>
  <c r="AQ137" i="19"/>
  <c r="AQ207" i="19"/>
  <c r="AQ960" i="19"/>
  <c r="AQ1094" i="19"/>
  <c r="AQ1103" i="19"/>
  <c r="AQ656" i="19"/>
  <c r="AQ790" i="19"/>
  <c r="AQ199" i="19"/>
  <c r="AQ388" i="19"/>
  <c r="AQ316" i="19"/>
  <c r="AQ682" i="19"/>
  <c r="AQ721" i="19"/>
  <c r="AQ749" i="19"/>
  <c r="AQ972" i="19"/>
  <c r="AQ1017" i="19"/>
  <c r="AQ397" i="19"/>
  <c r="AQ517" i="19"/>
  <c r="AQ88" i="19"/>
  <c r="AQ1110" i="19"/>
  <c r="AQ864" i="19"/>
  <c r="AQ884" i="19"/>
  <c r="AQ180" i="19"/>
  <c r="AQ204" i="19"/>
  <c r="AQ299" i="19"/>
  <c r="AQ486" i="19"/>
  <c r="AQ506" i="19"/>
  <c r="AQ706" i="19"/>
  <c r="AQ832" i="19"/>
  <c r="AQ957" i="19"/>
  <c r="AQ1073" i="19"/>
  <c r="AQ483" i="19"/>
  <c r="AQ768" i="19"/>
  <c r="AQ1108" i="19"/>
  <c r="AQ911" i="19"/>
  <c r="AQ1007" i="19"/>
  <c r="AQ440" i="19"/>
  <c r="AQ495" i="19"/>
  <c r="AQ1097" i="19"/>
  <c r="AQ286" i="19"/>
  <c r="AQ455" i="19"/>
  <c r="AQ553" i="19"/>
  <c r="AQ459" i="19"/>
  <c r="AQ627" i="19"/>
  <c r="AQ669" i="19"/>
  <c r="AQ738" i="19"/>
  <c r="AQ840" i="19"/>
  <c r="AQ1025" i="19"/>
  <c r="AQ414" i="19"/>
  <c r="AQ466" i="19"/>
  <c r="AQ568" i="19"/>
  <c r="AQ599" i="19"/>
  <c r="AQ623" i="19"/>
  <c r="AQ118" i="19"/>
  <c r="AQ226" i="19"/>
  <c r="AQ792" i="19"/>
  <c r="AQ825" i="19"/>
  <c r="AQ810" i="19"/>
  <c r="AQ363" i="19"/>
  <c r="AQ425" i="19"/>
  <c r="AQ445" i="19"/>
  <c r="AQ536" i="19"/>
  <c r="AQ718" i="19"/>
  <c r="AQ921" i="19"/>
  <c r="AQ723" i="19"/>
  <c r="AQ646" i="19"/>
  <c r="AQ1092" i="19"/>
  <c r="AQ411" i="19"/>
  <c r="AQ96" i="19"/>
  <c r="AQ1027" i="19"/>
  <c r="AQ281" i="19"/>
  <c r="AQ378" i="19"/>
  <c r="AQ479" i="19"/>
  <c r="AQ852" i="19"/>
  <c r="AQ876" i="19"/>
  <c r="AQ918" i="19"/>
  <c r="AQ527" i="19"/>
  <c r="AQ1112" i="19"/>
  <c r="AQ386" i="19"/>
  <c r="AQ74" i="19"/>
  <c r="AQ23" i="19"/>
  <c r="Y23" i="19" s="1"/>
  <c r="AP23" i="19" s="1"/>
  <c r="AQ406" i="19"/>
  <c r="AQ830" i="19"/>
  <c r="AQ1087" i="19"/>
  <c r="J29" i="17"/>
  <c r="K28" i="17"/>
  <c r="L28" i="17" s="1"/>
  <c r="AQ1085" i="19"/>
  <c r="AQ1049" i="19"/>
  <c r="I174" i="35"/>
  <c r="I489" i="35"/>
  <c r="I647" i="35"/>
  <c r="I648" i="35"/>
  <c r="AQ215" i="19"/>
  <c r="AQ795" i="19"/>
  <c r="AQ462" i="19"/>
  <c r="AQ786" i="19"/>
  <c r="AQ330" i="19"/>
  <c r="AQ953" i="19"/>
  <c r="AQ1101" i="19"/>
  <c r="AQ594" i="19"/>
  <c r="AQ1099" i="19"/>
  <c r="AQ923" i="19"/>
  <c r="AQ819" i="19"/>
  <c r="AQ232" i="19"/>
  <c r="I564" i="35"/>
  <c r="I898" i="35"/>
  <c r="I895" i="35"/>
  <c r="I861" i="35"/>
  <c r="AT22" i="19"/>
  <c r="AS22" i="19" s="1"/>
  <c r="AU21" i="19"/>
  <c r="BC28" i="42"/>
  <c r="BC17" i="42"/>
  <c r="BC31" i="42"/>
  <c r="M1" i="19"/>
  <c r="AH1" i="42" s="1"/>
  <c r="BV2" i="42" s="1"/>
  <c r="BE17" i="42"/>
  <c r="V7" i="19"/>
  <c r="BC18" i="42" s="1"/>
  <c r="N3" i="19"/>
  <c r="N4" i="19"/>
  <c r="N5" i="19"/>
  <c r="N6" i="19"/>
  <c r="N7" i="19"/>
  <c r="N8" i="19"/>
  <c r="N2" i="19"/>
  <c r="AP1042" i="19" l="1"/>
  <c r="AD1042" i="19" s="1"/>
  <c r="AJ1042" i="19"/>
  <c r="AK1042" i="19"/>
  <c r="AI1042" i="19"/>
  <c r="AM1035" i="19"/>
  <c r="AJ1035" i="19"/>
  <c r="AP1035" i="19"/>
  <c r="AD1035" i="19" s="1"/>
  <c r="AL1035" i="19"/>
  <c r="AI1035" i="19"/>
  <c r="AK1035" i="19"/>
  <c r="AN1042" i="19"/>
  <c r="AQ601" i="19"/>
  <c r="AQ1040" i="19"/>
  <c r="AQ595" i="19"/>
  <c r="Y595" i="19" s="1"/>
  <c r="AQ702" i="19"/>
  <c r="AQ898" i="19"/>
  <c r="B619" i="19"/>
  <c r="AQ968" i="19"/>
  <c r="Y968" i="19" s="1"/>
  <c r="AM968" i="19" s="1"/>
  <c r="AQ542" i="19"/>
  <c r="AQ1045" i="19"/>
  <c r="AQ274" i="19"/>
  <c r="AQ851" i="19"/>
  <c r="AQ552" i="19"/>
  <c r="AQ426" i="19"/>
  <c r="Y426" i="19" s="1"/>
  <c r="AQ834" i="19"/>
  <c r="AQ43" i="19"/>
  <c r="Y43" i="19" s="1"/>
  <c r="AQ317" i="19"/>
  <c r="B242" i="19"/>
  <c r="Y242" i="19" s="1"/>
  <c r="Y283" i="19"/>
  <c r="AK283" i="19" s="1"/>
  <c r="AM1050" i="19"/>
  <c r="AJ1050" i="19"/>
  <c r="AL1050" i="19"/>
  <c r="AK1050" i="19"/>
  <c r="AI1050" i="19"/>
  <c r="AP1050" i="19"/>
  <c r="AD1050" i="19" s="1"/>
  <c r="AQ251" i="19"/>
  <c r="AQ940" i="19"/>
  <c r="AQ1037" i="19"/>
  <c r="AQ611" i="19"/>
  <c r="AQ1065" i="19"/>
  <c r="B413" i="19"/>
  <c r="B457" i="19"/>
  <c r="AM1047" i="19"/>
  <c r="AP1047" i="19"/>
  <c r="AD1047" i="19" s="1"/>
  <c r="AL1047" i="19"/>
  <c r="AJ1047" i="19"/>
  <c r="AK1047" i="19"/>
  <c r="AI1047" i="19"/>
  <c r="B300" i="19"/>
  <c r="B278" i="19"/>
  <c r="AQ802" i="19"/>
  <c r="AQ344" i="19"/>
  <c r="Y344" i="19" s="1"/>
  <c r="B314" i="19"/>
  <c r="AQ680" i="19"/>
  <c r="AQ887" i="19"/>
  <c r="AQ186" i="19"/>
  <c r="Y186" i="19" s="1"/>
  <c r="AL186" i="19" s="1"/>
  <c r="B176" i="19"/>
  <c r="Y321" i="19"/>
  <c r="Y485" i="19"/>
  <c r="AK485" i="19" s="1"/>
  <c r="J39" i="56"/>
  <c r="K38" i="56"/>
  <c r="L38" i="56" s="1"/>
  <c r="AP1037" i="19"/>
  <c r="AD1037" i="19" s="1"/>
  <c r="AL1037" i="19"/>
  <c r="AJ1037" i="19"/>
  <c r="AK1037" i="19"/>
  <c r="AI1037" i="19"/>
  <c r="AM1037" i="19"/>
  <c r="AQ581" i="19"/>
  <c r="AQ327" i="19"/>
  <c r="AQ383" i="19"/>
  <c r="AQ195" i="19"/>
  <c r="B719" i="19"/>
  <c r="AQ465" i="19"/>
  <c r="B935" i="19"/>
  <c r="AQ797" i="19"/>
  <c r="AQ739" i="19"/>
  <c r="AQ1057" i="19"/>
  <c r="AQ707" i="19"/>
  <c r="AQ891" i="19"/>
  <c r="AQ879" i="19"/>
  <c r="Y879" i="19" s="1"/>
  <c r="AQ214" i="19"/>
  <c r="AQ1058" i="19"/>
  <c r="AQ649" i="19"/>
  <c r="AQ679" i="19"/>
  <c r="AQ551" i="19"/>
  <c r="Y828" i="19"/>
  <c r="AP828" i="19" s="1"/>
  <c r="AD828" i="19" s="1"/>
  <c r="Y797" i="19"/>
  <c r="AP797" i="19" s="1"/>
  <c r="AD797" i="19" s="1"/>
  <c r="Y108" i="19"/>
  <c r="AP108" i="19" s="1"/>
  <c r="AD108" i="19" s="1"/>
  <c r="Y853" i="19"/>
  <c r="AP853" i="19" s="1"/>
  <c r="AD853" i="19" s="1"/>
  <c r="Y758" i="19"/>
  <c r="AK758" i="19" s="1"/>
  <c r="Y638" i="19"/>
  <c r="AI638" i="19" s="1"/>
  <c r="Y467" i="19"/>
  <c r="AM467" i="19" s="1"/>
  <c r="Y438" i="19"/>
  <c r="AP438" i="19" s="1"/>
  <c r="AD438" i="19" s="1"/>
  <c r="Y32" i="19"/>
  <c r="AM32" i="19" s="1"/>
  <c r="Y205" i="19"/>
  <c r="AK205" i="19" s="1"/>
  <c r="Y206" i="19"/>
  <c r="AK206" i="19" s="1"/>
  <c r="Y541" i="19"/>
  <c r="AP541" i="19" s="1"/>
  <c r="AD541" i="19" s="1"/>
  <c r="Y442" i="19"/>
  <c r="AL442" i="19" s="1"/>
  <c r="Y98" i="19"/>
  <c r="AK98" i="19" s="1"/>
  <c r="Y246" i="19"/>
  <c r="AI246" i="19" s="1"/>
  <c r="Y210" i="19"/>
  <c r="AI210" i="19" s="1"/>
  <c r="Y697" i="19"/>
  <c r="AP697" i="19" s="1"/>
  <c r="AD697" i="19" s="1"/>
  <c r="Y451" i="19"/>
  <c r="AK451" i="19" s="1"/>
  <c r="Y258" i="19"/>
  <c r="AK258" i="19" s="1"/>
  <c r="Y263" i="19"/>
  <c r="AP263" i="19" s="1"/>
  <c r="AD263" i="19" s="1"/>
  <c r="Y231" i="19"/>
  <c r="AP231" i="19" s="1"/>
  <c r="AD231" i="19" s="1"/>
  <c r="Y750" i="19"/>
  <c r="AJ750" i="19" s="1"/>
  <c r="Y377" i="19"/>
  <c r="AI377" i="19" s="1"/>
  <c r="Y308" i="19"/>
  <c r="AJ308" i="19" s="1"/>
  <c r="Y1063" i="19"/>
  <c r="AI1063" i="19" s="1"/>
  <c r="Y192" i="19"/>
  <c r="AJ192" i="19" s="1"/>
  <c r="Y106" i="19"/>
  <c r="AP106" i="19" s="1"/>
  <c r="AD106" i="19" s="1"/>
  <c r="Y531" i="19"/>
  <c r="AM531" i="19" s="1"/>
  <c r="Y480" i="19"/>
  <c r="AK480" i="19" s="1"/>
  <c r="Y322" i="19"/>
  <c r="AP322" i="19" s="1"/>
  <c r="AD322" i="19" s="1"/>
  <c r="Y368" i="19"/>
  <c r="AJ368" i="19" s="1"/>
  <c r="Y306" i="19"/>
  <c r="AM306" i="19" s="1"/>
  <c r="Y865" i="19"/>
  <c r="AI865" i="19" s="1"/>
  <c r="Y497" i="19"/>
  <c r="AL497" i="19" s="1"/>
  <c r="Y405" i="19"/>
  <c r="AM405" i="19" s="1"/>
  <c r="Y444" i="19"/>
  <c r="AL444" i="19" s="1"/>
  <c r="Y320" i="19"/>
  <c r="AM320" i="19" s="1"/>
  <c r="Y869" i="19"/>
  <c r="AJ869" i="19" s="1"/>
  <c r="Y645" i="19"/>
  <c r="AM645" i="19" s="1"/>
  <c r="Y443" i="19"/>
  <c r="AM443" i="19" s="1"/>
  <c r="Y449" i="19"/>
  <c r="AP449" i="19" s="1"/>
  <c r="AD449" i="19" s="1"/>
  <c r="Y328" i="19"/>
  <c r="AM328" i="19" s="1"/>
  <c r="Y916" i="19"/>
  <c r="AI916" i="19" s="1"/>
  <c r="Y887" i="19"/>
  <c r="AI887" i="19" s="1"/>
  <c r="Y464" i="19"/>
  <c r="AJ464" i="19" s="1"/>
  <c r="Y310" i="19"/>
  <c r="AP310" i="19" s="1"/>
  <c r="AD310" i="19" s="1"/>
  <c r="Y315" i="19"/>
  <c r="AM315" i="19" s="1"/>
  <c r="Y256" i="19"/>
  <c r="AK256" i="19" s="1"/>
  <c r="Y760" i="19"/>
  <c r="AK760" i="19" s="1"/>
  <c r="Y720" i="19"/>
  <c r="AK720" i="19" s="1"/>
  <c r="Y512" i="19"/>
  <c r="AL512" i="19" s="1"/>
  <c r="Y521" i="19"/>
  <c r="AJ521" i="19" s="1"/>
  <c r="Y415" i="19"/>
  <c r="AP415" i="19" s="1"/>
  <c r="AD415" i="19" s="1"/>
  <c r="Y39" i="19"/>
  <c r="AM39" i="19" s="1"/>
  <c r="Y769" i="19"/>
  <c r="AM769" i="19" s="1"/>
  <c r="Y550" i="19"/>
  <c r="AK550" i="19" s="1"/>
  <c r="Y530" i="19"/>
  <c r="AM530" i="19" s="1"/>
  <c r="Y437" i="19"/>
  <c r="AK437" i="19" s="1"/>
  <c r="Y97" i="19"/>
  <c r="AP97" i="19" s="1"/>
  <c r="AD97" i="19" s="1"/>
  <c r="Y775" i="19"/>
  <c r="AP775" i="19" s="1"/>
  <c r="AD775" i="19" s="1"/>
  <c r="Y650" i="19"/>
  <c r="AI650" i="19" s="1"/>
  <c r="Y566" i="19"/>
  <c r="AK566" i="19" s="1"/>
  <c r="Y441" i="19"/>
  <c r="AL441" i="19" s="1"/>
  <c r="Y675" i="19"/>
  <c r="AJ675" i="19" s="1"/>
  <c r="Y498" i="19"/>
  <c r="AK498" i="19" s="1"/>
  <c r="Y508" i="19"/>
  <c r="AL508" i="19" s="1"/>
  <c r="Y402" i="19"/>
  <c r="AP402" i="19" s="1"/>
  <c r="AD402" i="19" s="1"/>
  <c r="Y211" i="19"/>
  <c r="AP211" i="19" s="1"/>
  <c r="AD211" i="19" s="1"/>
  <c r="Y857" i="19"/>
  <c r="AJ857" i="19" s="1"/>
  <c r="Y784" i="19"/>
  <c r="AM784" i="19" s="1"/>
  <c r="Y714" i="19"/>
  <c r="AJ714" i="19" s="1"/>
  <c r="Y501" i="19"/>
  <c r="AL501" i="19" s="1"/>
  <c r="Y244" i="19"/>
  <c r="AJ244" i="19" s="1"/>
  <c r="Y870" i="19"/>
  <c r="AM870" i="19" s="1"/>
  <c r="Y842" i="19"/>
  <c r="AI842" i="19" s="1"/>
  <c r="Y777" i="19"/>
  <c r="AP777" i="19" s="1"/>
  <c r="AD777" i="19" s="1"/>
  <c r="Y509" i="19"/>
  <c r="AI509" i="19" s="1"/>
  <c r="Y261" i="19"/>
  <c r="AJ261" i="19" s="1"/>
  <c r="Y961" i="19"/>
  <c r="AL961" i="19" s="1"/>
  <c r="Y858" i="19"/>
  <c r="AP858" i="19" s="1"/>
  <c r="AD858" i="19" s="1"/>
  <c r="Y829" i="19"/>
  <c r="AM829" i="19" s="1"/>
  <c r="Y522" i="19"/>
  <c r="AL522" i="19" s="1"/>
  <c r="AL391" i="19"/>
  <c r="AM391" i="19"/>
  <c r="AJ391" i="19"/>
  <c r="AK391" i="19"/>
  <c r="AI391" i="19"/>
  <c r="AP391" i="19"/>
  <c r="AD391" i="19" s="1"/>
  <c r="AI57" i="19"/>
  <c r="AM57" i="19"/>
  <c r="AP57" i="19"/>
  <c r="AD57" i="19" s="1"/>
  <c r="AL57" i="19"/>
  <c r="AK57" i="19"/>
  <c r="AJ57" i="19"/>
  <c r="AM145" i="19"/>
  <c r="AP145" i="19"/>
  <c r="AD145" i="19" s="1"/>
  <c r="AI145" i="19"/>
  <c r="AA145" i="52" s="1"/>
  <c r="AL145" i="19"/>
  <c r="AJ145" i="19"/>
  <c r="AK145" i="19"/>
  <c r="AL221" i="19"/>
  <c r="AJ221" i="19"/>
  <c r="AP221" i="19"/>
  <c r="AD221" i="19" s="1"/>
  <c r="AI221" i="19"/>
  <c r="AM221" i="19"/>
  <c r="AK221" i="19"/>
  <c r="AL268" i="19"/>
  <c r="AJ268" i="19"/>
  <c r="AP268" i="19"/>
  <c r="AD268" i="19" s="1"/>
  <c r="AM268" i="19"/>
  <c r="AI268" i="19"/>
  <c r="AK268" i="19"/>
  <c r="AJ433" i="19"/>
  <c r="AP433" i="19"/>
  <c r="AD433" i="19" s="1"/>
  <c r="AL433" i="19"/>
  <c r="AI433" i="19"/>
  <c r="AK433" i="19"/>
  <c r="AM433" i="19"/>
  <c r="AP537" i="19"/>
  <c r="AD537" i="19" s="1"/>
  <c r="AL537" i="19"/>
  <c r="AJ537" i="19"/>
  <c r="AK537" i="19"/>
  <c r="AI537" i="19"/>
  <c r="AM537" i="19"/>
  <c r="AK311" i="19"/>
  <c r="AJ311" i="19"/>
  <c r="AL311" i="19"/>
  <c r="AM311" i="19"/>
  <c r="AP311" i="19"/>
  <c r="AD311" i="19" s="1"/>
  <c r="AI311" i="19"/>
  <c r="AJ492" i="19"/>
  <c r="AP492" i="19"/>
  <c r="AD492" i="19" s="1"/>
  <c r="AI492" i="19"/>
  <c r="AM492" i="19"/>
  <c r="AK492" i="19"/>
  <c r="AL492" i="19"/>
  <c r="AM586" i="19"/>
  <c r="AK586" i="19"/>
  <c r="AL586" i="19"/>
  <c r="AP586" i="19"/>
  <c r="AD586" i="19" s="1"/>
  <c r="AI586" i="19"/>
  <c r="AJ586" i="19"/>
  <c r="AM160" i="19"/>
  <c r="AP160" i="19"/>
  <c r="AD160" i="19" s="1"/>
  <c r="AL160" i="19"/>
  <c r="AI160" i="19"/>
  <c r="AA160" i="52" s="1"/>
  <c r="AJ160" i="19"/>
  <c r="AK160" i="19"/>
  <c r="AM670" i="19"/>
  <c r="AK670" i="19"/>
  <c r="AP670" i="19"/>
  <c r="AD670" i="19" s="1"/>
  <c r="AL670" i="19"/>
  <c r="AJ670" i="19"/>
  <c r="AI670" i="19"/>
  <c r="AL641" i="19"/>
  <c r="AP641" i="19"/>
  <c r="AD641" i="19" s="1"/>
  <c r="AM641" i="19"/>
  <c r="AJ641" i="19"/>
  <c r="AI641" i="19"/>
  <c r="AK641" i="19"/>
  <c r="AP868" i="19"/>
  <c r="AD868" i="19" s="1"/>
  <c r="AM868" i="19"/>
  <c r="AL868" i="19"/>
  <c r="AI868" i="19"/>
  <c r="AJ868" i="19"/>
  <c r="AK868" i="19"/>
  <c r="AM981" i="19"/>
  <c r="AK981" i="19"/>
  <c r="AI981" i="19"/>
  <c r="AL981" i="19"/>
  <c r="AJ981" i="19"/>
  <c r="AP981" i="19"/>
  <c r="AD981" i="19" s="1"/>
  <c r="AI1149" i="19"/>
  <c r="AA1146" i="55" s="1"/>
  <c r="AL1149" i="19"/>
  <c r="AM1149" i="19"/>
  <c r="AP1149" i="19"/>
  <c r="AD1149" i="19" s="1"/>
  <c r="AJ1149" i="19"/>
  <c r="AK1149" i="19"/>
  <c r="AP929" i="19"/>
  <c r="AD929" i="19" s="1"/>
  <c r="AL929" i="19"/>
  <c r="AM929" i="19"/>
  <c r="AJ929" i="19"/>
  <c r="AK929" i="19"/>
  <c r="AI929" i="19"/>
  <c r="AP709" i="19"/>
  <c r="AD709" i="19" s="1"/>
  <c r="AL709" i="19"/>
  <c r="AI709" i="19"/>
  <c r="AJ709" i="19"/>
  <c r="AM709" i="19"/>
  <c r="AK709" i="19"/>
  <c r="AM850" i="19"/>
  <c r="AJ850" i="19"/>
  <c r="AK850" i="19"/>
  <c r="AP850" i="19"/>
  <c r="AD850" i="19" s="1"/>
  <c r="AI850" i="19"/>
  <c r="AL850" i="19"/>
  <c r="AM975" i="19"/>
  <c r="AJ975" i="19"/>
  <c r="AL975" i="19"/>
  <c r="AI975" i="19"/>
  <c r="AP975" i="19"/>
  <c r="AD975" i="19" s="1"/>
  <c r="AK975" i="19"/>
  <c r="AM1095" i="19"/>
  <c r="AK1095" i="19"/>
  <c r="AP1095" i="19"/>
  <c r="AD1095" i="19" s="1"/>
  <c r="AJ1095" i="19"/>
  <c r="AL1095" i="19"/>
  <c r="AI1095" i="19"/>
  <c r="AA1092" i="54" s="1"/>
  <c r="AM838" i="19"/>
  <c r="AL838" i="19"/>
  <c r="AK838" i="19"/>
  <c r="AJ838" i="19"/>
  <c r="AP838" i="19"/>
  <c r="AD838" i="19" s="1"/>
  <c r="AI838" i="19"/>
  <c r="AL968" i="19"/>
  <c r="AJ968" i="19"/>
  <c r="AI968" i="19"/>
  <c r="AL1156" i="19"/>
  <c r="AI1156" i="19"/>
  <c r="AA1153" i="55" s="1"/>
  <c r="AP1156" i="19"/>
  <c r="AD1156" i="19" s="1"/>
  <c r="AJ1156" i="19"/>
  <c r="AK1156" i="19"/>
  <c r="AM1156" i="19"/>
  <c r="AJ1181" i="19"/>
  <c r="AL1181" i="19"/>
  <c r="AM1181" i="19"/>
  <c r="AP1181" i="19"/>
  <c r="AD1181" i="19" s="1"/>
  <c r="AI1181" i="19"/>
  <c r="AA1178" i="55" s="1"/>
  <c r="AK1181" i="19"/>
  <c r="AP1158" i="19"/>
  <c r="AD1158" i="19" s="1"/>
  <c r="AK1158" i="19"/>
  <c r="AM1158" i="19"/>
  <c r="AL1158" i="19"/>
  <c r="AI1158" i="19"/>
  <c r="AA1155" i="55" s="1"/>
  <c r="AJ1158" i="19"/>
  <c r="AP407" i="19"/>
  <c r="AD407" i="19" s="1"/>
  <c r="AM407" i="19"/>
  <c r="AL407" i="19"/>
  <c r="AJ407" i="19"/>
  <c r="AI407" i="19"/>
  <c r="AK407" i="19"/>
  <c r="AJ81" i="19"/>
  <c r="AP81" i="19"/>
  <c r="AD81" i="19" s="1"/>
  <c r="AL81" i="19"/>
  <c r="AI81" i="19"/>
  <c r="AA81" i="44" s="1"/>
  <c r="AK81" i="19"/>
  <c r="AM81" i="19"/>
  <c r="AP173" i="19"/>
  <c r="AD173" i="19" s="1"/>
  <c r="AJ173" i="19"/>
  <c r="AL173" i="19"/>
  <c r="AI173" i="19"/>
  <c r="AA173" i="52" s="1"/>
  <c r="AK173" i="19"/>
  <c r="AM173" i="19"/>
  <c r="AL249" i="19"/>
  <c r="AM249" i="19"/>
  <c r="AJ249" i="19"/>
  <c r="AK249" i="19"/>
  <c r="AI249" i="19"/>
  <c r="AP249" i="19"/>
  <c r="AD249" i="19" s="1"/>
  <c r="AJ295" i="19"/>
  <c r="AM295" i="19"/>
  <c r="AP295" i="19"/>
  <c r="AD295" i="19" s="1"/>
  <c r="AI295" i="19"/>
  <c r="AK295" i="19"/>
  <c r="AL295" i="19"/>
  <c r="AJ585" i="19"/>
  <c r="AL585" i="19"/>
  <c r="AM585" i="19"/>
  <c r="AP585" i="19"/>
  <c r="AD585" i="19" s="1"/>
  <c r="AK585" i="19"/>
  <c r="AI585" i="19"/>
  <c r="AM412" i="19"/>
  <c r="AK412" i="19"/>
  <c r="AJ412" i="19"/>
  <c r="AP412" i="19"/>
  <c r="AD412" i="19" s="1"/>
  <c r="AI412" i="19"/>
  <c r="AL412" i="19"/>
  <c r="AM525" i="19"/>
  <c r="AJ525" i="19"/>
  <c r="AL525" i="19"/>
  <c r="AK525" i="19"/>
  <c r="AP525" i="19"/>
  <c r="AD525" i="19" s="1"/>
  <c r="AI525" i="19"/>
  <c r="AL737" i="19"/>
  <c r="AJ737" i="19"/>
  <c r="AI737" i="19"/>
  <c r="AK737" i="19"/>
  <c r="AM737" i="19"/>
  <c r="AP737" i="19"/>
  <c r="AD737" i="19" s="1"/>
  <c r="AM409" i="19"/>
  <c r="AJ409" i="19"/>
  <c r="AL409" i="19"/>
  <c r="AI409" i="19"/>
  <c r="AK409" i="19"/>
  <c r="AP409" i="19"/>
  <c r="AD409" i="19" s="1"/>
  <c r="AP612" i="19"/>
  <c r="AD612" i="19" s="1"/>
  <c r="AI612" i="19"/>
  <c r="AJ612" i="19"/>
  <c r="AM612" i="19"/>
  <c r="AL612" i="19"/>
  <c r="AK612" i="19"/>
  <c r="AL725" i="19"/>
  <c r="AM725" i="19"/>
  <c r="AJ725" i="19"/>
  <c r="AI725" i="19"/>
  <c r="AK725" i="19"/>
  <c r="AP725" i="19"/>
  <c r="AD725" i="19" s="1"/>
  <c r="AP84" i="19"/>
  <c r="AD84" i="19" s="1"/>
  <c r="AI84" i="19"/>
  <c r="AL84" i="19"/>
  <c r="AM84" i="19"/>
  <c r="AJ84" i="19"/>
  <c r="AK84" i="19"/>
  <c r="AJ473" i="19"/>
  <c r="AK473" i="19"/>
  <c r="AL473" i="19"/>
  <c r="AP473" i="19"/>
  <c r="AD473" i="19" s="1"/>
  <c r="AI473" i="19"/>
  <c r="AM473" i="19"/>
  <c r="AJ757" i="19"/>
  <c r="AL757" i="19"/>
  <c r="AK757" i="19"/>
  <c r="AP757" i="19"/>
  <c r="AD757" i="19" s="1"/>
  <c r="AI757" i="19"/>
  <c r="AM757" i="19"/>
  <c r="AJ1001" i="19"/>
  <c r="AI1001" i="19"/>
  <c r="AL1001" i="19"/>
  <c r="AP1001" i="19"/>
  <c r="AD1001" i="19" s="1"/>
  <c r="AM1001" i="19"/>
  <c r="AK1001" i="19"/>
  <c r="AL1093" i="19"/>
  <c r="AJ1093" i="19"/>
  <c r="AI1093" i="19"/>
  <c r="AA1090" i="54" s="1"/>
  <c r="AM1093" i="19"/>
  <c r="AK1093" i="19"/>
  <c r="AP1093" i="19"/>
  <c r="AD1093" i="19" s="1"/>
  <c r="AM766" i="19"/>
  <c r="AL766" i="19"/>
  <c r="AJ766" i="19"/>
  <c r="AK766" i="19"/>
  <c r="AP766" i="19"/>
  <c r="AD766" i="19" s="1"/>
  <c r="AI766" i="19"/>
  <c r="AJ962" i="19"/>
  <c r="AL962" i="19"/>
  <c r="AP962" i="19"/>
  <c r="AD962" i="19" s="1"/>
  <c r="AI962" i="19"/>
  <c r="AK962" i="19"/>
  <c r="AM962" i="19"/>
  <c r="AP740" i="19"/>
  <c r="AD740" i="19" s="1"/>
  <c r="AI740" i="19"/>
  <c r="AK740" i="19"/>
  <c r="AJ740" i="19"/>
  <c r="AL740" i="19"/>
  <c r="AM740" i="19"/>
  <c r="AM995" i="19"/>
  <c r="AJ995" i="19"/>
  <c r="AL995" i="19"/>
  <c r="AP995" i="19"/>
  <c r="AD995" i="19" s="1"/>
  <c r="AI995" i="19"/>
  <c r="AK995" i="19"/>
  <c r="AP1135" i="19"/>
  <c r="AD1135" i="19" s="1"/>
  <c r="AI1135" i="19"/>
  <c r="AJ1135" i="19"/>
  <c r="AM1135" i="19"/>
  <c r="AL1135" i="19"/>
  <c r="AK1135" i="19"/>
  <c r="AJ1000" i="19"/>
  <c r="AL1000" i="19"/>
  <c r="AK1000" i="19"/>
  <c r="AI1000" i="19"/>
  <c r="AM1000" i="19"/>
  <c r="AP1000" i="19"/>
  <c r="AD1000" i="19" s="1"/>
  <c r="AL1096" i="19"/>
  <c r="AK1096" i="19"/>
  <c r="AP1096" i="19"/>
  <c r="AD1096" i="19" s="1"/>
  <c r="AI1096" i="19"/>
  <c r="AA1093" i="54" s="1"/>
  <c r="AJ1096" i="19"/>
  <c r="AM1096" i="19"/>
  <c r="AJ1185" i="19"/>
  <c r="AL1185" i="19"/>
  <c r="AI1185" i="19"/>
  <c r="AA1182" i="55" s="1"/>
  <c r="AP1185" i="19"/>
  <c r="AD1185" i="19" s="1"/>
  <c r="AM1185" i="19"/>
  <c r="AK1185" i="19"/>
  <c r="AL563" i="19"/>
  <c r="AI563" i="19"/>
  <c r="AM563" i="19"/>
  <c r="AK563" i="19"/>
  <c r="AJ563" i="19"/>
  <c r="AP563" i="19"/>
  <c r="AD563" i="19" s="1"/>
  <c r="AM691" i="19"/>
  <c r="AK691" i="19"/>
  <c r="AP691" i="19"/>
  <c r="AD691" i="19" s="1"/>
  <c r="AI691" i="19"/>
  <c r="AL691" i="19"/>
  <c r="AJ691" i="19"/>
  <c r="AP153" i="19"/>
  <c r="AD153" i="19" s="1"/>
  <c r="AI153" i="19"/>
  <c r="AA153" i="52" s="1"/>
  <c r="AL153" i="19"/>
  <c r="AJ153" i="19"/>
  <c r="AM153" i="19"/>
  <c r="AK153" i="19"/>
  <c r="AP312" i="19"/>
  <c r="AD312" i="19" s="1"/>
  <c r="AJ312" i="19"/>
  <c r="AK312" i="19"/>
  <c r="AI312" i="19"/>
  <c r="AL312" i="19"/>
  <c r="AM312" i="19"/>
  <c r="AL410" i="19"/>
  <c r="AJ410" i="19"/>
  <c r="AI410" i="19"/>
  <c r="AK410" i="19"/>
  <c r="AM410" i="19"/>
  <c r="AP410" i="19"/>
  <c r="AD410" i="19" s="1"/>
  <c r="AL280" i="19"/>
  <c r="AI280" i="19"/>
  <c r="AK280" i="19"/>
  <c r="AM280" i="19"/>
  <c r="AJ280" i="19"/>
  <c r="AP280" i="19"/>
  <c r="AD280" i="19" s="1"/>
  <c r="AL573" i="19"/>
  <c r="AP573" i="19"/>
  <c r="AD573" i="19" s="1"/>
  <c r="AM573" i="19"/>
  <c r="AJ573" i="19"/>
  <c r="AI573" i="19"/>
  <c r="AK573" i="19"/>
  <c r="AM319" i="19"/>
  <c r="AJ319" i="19"/>
  <c r="AK319" i="19"/>
  <c r="AP319" i="19"/>
  <c r="AD319" i="19" s="1"/>
  <c r="AI319" i="19"/>
  <c r="AA316" i="53" s="1"/>
  <c r="AL319" i="19"/>
  <c r="AL598" i="19"/>
  <c r="AK598" i="19"/>
  <c r="AI598" i="19"/>
  <c r="AJ598" i="19"/>
  <c r="AP598" i="19"/>
  <c r="AD598" i="19" s="1"/>
  <c r="AM598" i="19"/>
  <c r="AM724" i="19"/>
  <c r="AJ724" i="19"/>
  <c r="AL724" i="19"/>
  <c r="AI724" i="19"/>
  <c r="AK724" i="19"/>
  <c r="AP724" i="19"/>
  <c r="AD724" i="19" s="1"/>
  <c r="AM384" i="19"/>
  <c r="AP384" i="19"/>
  <c r="AD384" i="19" s="1"/>
  <c r="AJ384" i="19"/>
  <c r="AL384" i="19"/>
  <c r="AI384" i="19"/>
  <c r="AK384" i="19"/>
  <c r="AL859" i="19"/>
  <c r="AI859" i="19"/>
  <c r="AJ859" i="19"/>
  <c r="AK859" i="19"/>
  <c r="AM859" i="19"/>
  <c r="AP859" i="19"/>
  <c r="AD859" i="19" s="1"/>
  <c r="AM460" i="19"/>
  <c r="AJ460" i="19"/>
  <c r="AK460" i="19"/>
  <c r="AL460" i="19"/>
  <c r="AI460" i="19"/>
  <c r="AP460" i="19"/>
  <c r="AD460" i="19" s="1"/>
  <c r="AP880" i="19"/>
  <c r="AD880" i="19" s="1"/>
  <c r="AJ880" i="19"/>
  <c r="AL880" i="19"/>
  <c r="AI880" i="19"/>
  <c r="AM880" i="19"/>
  <c r="AK880" i="19"/>
  <c r="AK989" i="19"/>
  <c r="AM989" i="19"/>
  <c r="AP989" i="19"/>
  <c r="AD989" i="19" s="1"/>
  <c r="AI989" i="19"/>
  <c r="AJ989" i="19"/>
  <c r="AL989" i="19"/>
  <c r="AM1157" i="19"/>
  <c r="AJ1157" i="19"/>
  <c r="AK1157" i="19"/>
  <c r="AL1157" i="19"/>
  <c r="AI1157" i="19"/>
  <c r="AA1154" i="55" s="1"/>
  <c r="AP1157" i="19"/>
  <c r="AD1157" i="19" s="1"/>
  <c r="AP752" i="19"/>
  <c r="AD752" i="19" s="1"/>
  <c r="AL752" i="19"/>
  <c r="AI752" i="19"/>
  <c r="AK752" i="19"/>
  <c r="AM752" i="19"/>
  <c r="AJ752" i="19"/>
  <c r="AP941" i="19"/>
  <c r="AD941" i="19" s="1"/>
  <c r="AK941" i="19"/>
  <c r="AI941" i="19"/>
  <c r="AA938" i="54" s="1"/>
  <c r="AM941" i="19"/>
  <c r="AJ941" i="19"/>
  <c r="AL941" i="19"/>
  <c r="AL722" i="19"/>
  <c r="AI722" i="19"/>
  <c r="AJ722" i="19"/>
  <c r="AK722" i="19"/>
  <c r="AP722" i="19"/>
  <c r="AD722" i="19" s="1"/>
  <c r="AM722" i="19"/>
  <c r="AJ983" i="19"/>
  <c r="AL983" i="19"/>
  <c r="AM983" i="19"/>
  <c r="AP983" i="19"/>
  <c r="AD983" i="19" s="1"/>
  <c r="AI983" i="19"/>
  <c r="AK983" i="19"/>
  <c r="AL1115" i="19"/>
  <c r="AP1115" i="19"/>
  <c r="AD1115" i="19" s="1"/>
  <c r="AM1115" i="19"/>
  <c r="AJ1115" i="19"/>
  <c r="AI1115" i="19"/>
  <c r="AK1115" i="19"/>
  <c r="AM1187" i="19"/>
  <c r="AP1187" i="19"/>
  <c r="AD1187" i="19" s="1"/>
  <c r="AI1187" i="19"/>
  <c r="AA1184" i="55" s="1"/>
  <c r="AL1187" i="19"/>
  <c r="AJ1187" i="19"/>
  <c r="AK1187" i="19"/>
  <c r="AL875" i="19"/>
  <c r="AM875" i="19"/>
  <c r="AJ875" i="19"/>
  <c r="AP875" i="19"/>
  <c r="AD875" i="19" s="1"/>
  <c r="AI875" i="19"/>
  <c r="AK875" i="19"/>
  <c r="AL1080" i="19"/>
  <c r="AK1080" i="19"/>
  <c r="AI1080" i="19"/>
  <c r="AM1080" i="19"/>
  <c r="AP1080" i="19"/>
  <c r="AD1080" i="19" s="1"/>
  <c r="AJ1080" i="19"/>
  <c r="AL1173" i="19"/>
  <c r="AK1173" i="19"/>
  <c r="AJ1173" i="19"/>
  <c r="AP1173" i="19"/>
  <c r="AD1173" i="19" s="1"/>
  <c r="AI1173" i="19"/>
  <c r="AM1173" i="19"/>
  <c r="AM1150" i="19"/>
  <c r="AL1150" i="19"/>
  <c r="AP1150" i="19"/>
  <c r="AD1150" i="19" s="1"/>
  <c r="AJ1150" i="19"/>
  <c r="AI1150" i="19"/>
  <c r="AA1147" i="55" s="1"/>
  <c r="AK1150" i="19"/>
  <c r="AJ499" i="19"/>
  <c r="AP499" i="19"/>
  <c r="AD499" i="19" s="1"/>
  <c r="AL499" i="19"/>
  <c r="AI499" i="19"/>
  <c r="AM499" i="19"/>
  <c r="AK499" i="19"/>
  <c r="AJ647" i="19"/>
  <c r="AK647" i="19"/>
  <c r="AL647" i="19"/>
  <c r="AI647" i="19"/>
  <c r="AP647" i="19"/>
  <c r="AD647" i="19" s="1"/>
  <c r="AM647" i="19"/>
  <c r="AL759" i="19"/>
  <c r="AI759" i="19"/>
  <c r="AK759" i="19"/>
  <c r="AP759" i="19"/>
  <c r="AD759" i="19" s="1"/>
  <c r="AM759" i="19"/>
  <c r="AJ759" i="19"/>
  <c r="AM113" i="19"/>
  <c r="AK113" i="19"/>
  <c r="AJ113" i="19"/>
  <c r="AL113" i="19"/>
  <c r="AI113" i="19"/>
  <c r="AP113" i="19"/>
  <c r="AD113" i="19" s="1"/>
  <c r="AJ201" i="19"/>
  <c r="AL201" i="19"/>
  <c r="AK201" i="19"/>
  <c r="AI201" i="19"/>
  <c r="AP201" i="19"/>
  <c r="AD201" i="19" s="1"/>
  <c r="AM201" i="19"/>
  <c r="AP273" i="19"/>
  <c r="AD273" i="19" s="1"/>
  <c r="AM273" i="19"/>
  <c r="AK273" i="19"/>
  <c r="AL273" i="19"/>
  <c r="AI273" i="19"/>
  <c r="AJ273" i="19"/>
  <c r="AL362" i="19"/>
  <c r="AM362" i="19"/>
  <c r="AK362" i="19"/>
  <c r="AP362" i="19"/>
  <c r="AD362" i="19" s="1"/>
  <c r="AI362" i="19"/>
  <c r="AJ362" i="19"/>
  <c r="AM614" i="19"/>
  <c r="AP614" i="19"/>
  <c r="AD614" i="19" s="1"/>
  <c r="AI614" i="19"/>
  <c r="AJ614" i="19"/>
  <c r="AK614" i="19"/>
  <c r="AL614" i="19"/>
  <c r="AP341" i="19"/>
  <c r="AD341" i="19" s="1"/>
  <c r="AI341" i="19"/>
  <c r="AA338" i="53" s="1"/>
  <c r="AK341" i="19"/>
  <c r="AL341" i="19"/>
  <c r="AM341" i="19"/>
  <c r="AJ341" i="19"/>
  <c r="AL782" i="19"/>
  <c r="AI782" i="19"/>
  <c r="AM782" i="19"/>
  <c r="AJ782" i="19"/>
  <c r="AK782" i="19"/>
  <c r="AP782" i="19"/>
  <c r="AD782" i="19" s="1"/>
  <c r="AL932" i="19"/>
  <c r="AI932" i="19"/>
  <c r="AJ932" i="19"/>
  <c r="AK932" i="19"/>
  <c r="AM932" i="19"/>
  <c r="AP932" i="19"/>
  <c r="AD932" i="19" s="1"/>
  <c r="AI1129" i="19"/>
  <c r="AL1129" i="19"/>
  <c r="AP1129" i="19"/>
  <c r="AD1129" i="19" s="1"/>
  <c r="AJ1129" i="19"/>
  <c r="AM1129" i="19"/>
  <c r="AK1129" i="19"/>
  <c r="AM617" i="19"/>
  <c r="AJ617" i="19"/>
  <c r="AP617" i="19"/>
  <c r="AD617" i="19" s="1"/>
  <c r="AI617" i="19"/>
  <c r="AK617" i="19"/>
  <c r="AL617" i="19"/>
  <c r="AL820" i="19"/>
  <c r="AM820" i="19"/>
  <c r="AP820" i="19"/>
  <c r="AD820" i="19" s="1"/>
  <c r="AJ820" i="19"/>
  <c r="AI820" i="19"/>
  <c r="AK820" i="19"/>
  <c r="AJ684" i="19"/>
  <c r="AI684" i="19"/>
  <c r="AK684" i="19"/>
  <c r="AM684" i="19"/>
  <c r="AP684" i="19"/>
  <c r="AD684" i="19" s="1"/>
  <c r="AL684" i="19"/>
  <c r="AM781" i="19"/>
  <c r="AK781" i="19"/>
  <c r="AP781" i="19"/>
  <c r="AD781" i="19" s="1"/>
  <c r="AL781" i="19"/>
  <c r="AI781" i="19"/>
  <c r="AJ781" i="19"/>
  <c r="AJ1136" i="19"/>
  <c r="AM1136" i="19"/>
  <c r="AI1136" i="19"/>
  <c r="AA1133" i="55" s="1"/>
  <c r="AP1136" i="19"/>
  <c r="AD1136" i="19" s="1"/>
  <c r="AL1136" i="19"/>
  <c r="AK1136" i="19"/>
  <c r="AL994" i="19"/>
  <c r="AP994" i="19"/>
  <c r="AD994" i="19" s="1"/>
  <c r="AI994" i="19"/>
  <c r="AM994" i="19"/>
  <c r="AJ994" i="19"/>
  <c r="AK994" i="19"/>
  <c r="AL1102" i="19"/>
  <c r="AM1102" i="19"/>
  <c r="AI1102" i="19"/>
  <c r="AA1099" i="54" s="1"/>
  <c r="AP1102" i="19"/>
  <c r="AD1102" i="19" s="1"/>
  <c r="AJ1102" i="19"/>
  <c r="AK1102" i="19"/>
  <c r="AP1186" i="19"/>
  <c r="AD1186" i="19" s="1"/>
  <c r="AI1186" i="19"/>
  <c r="AK1186" i="19"/>
  <c r="AL1186" i="19"/>
  <c r="AJ1186" i="19"/>
  <c r="AM1186" i="19"/>
  <c r="AJ71" i="19"/>
  <c r="AI71" i="19"/>
  <c r="AA71" i="44" s="1"/>
  <c r="AL71" i="19"/>
  <c r="AM71" i="19"/>
  <c r="AK71" i="19"/>
  <c r="AP71" i="19"/>
  <c r="AD71" i="19" s="1"/>
  <c r="AL194" i="19"/>
  <c r="AI194" i="19"/>
  <c r="AK194" i="19"/>
  <c r="AM194" i="19"/>
  <c r="AJ194" i="19"/>
  <c r="AP194" i="19"/>
  <c r="AD194" i="19" s="1"/>
  <c r="AL416" i="19"/>
  <c r="AI416" i="19"/>
  <c r="AJ416" i="19"/>
  <c r="AK416" i="19"/>
  <c r="AM416" i="19"/>
  <c r="AP416" i="19"/>
  <c r="AD416" i="19" s="1"/>
  <c r="AM547" i="19"/>
  <c r="AP547" i="19"/>
  <c r="AD547" i="19" s="1"/>
  <c r="AI547" i="19"/>
  <c r="AJ547" i="19"/>
  <c r="AK547" i="19"/>
  <c r="AL547" i="19"/>
  <c r="AL1119" i="19"/>
  <c r="AM1119" i="19"/>
  <c r="AK1119" i="19"/>
  <c r="AP1119" i="19"/>
  <c r="AD1119" i="19" s="1"/>
  <c r="AJ1119" i="19"/>
  <c r="AI1119" i="19"/>
  <c r="AP58" i="19"/>
  <c r="AD58" i="19" s="1"/>
  <c r="AJ58" i="19"/>
  <c r="AK58" i="19"/>
  <c r="AL58" i="19"/>
  <c r="AM58" i="19"/>
  <c r="AI58" i="19"/>
  <c r="AM102" i="19"/>
  <c r="AP102" i="19"/>
  <c r="AD102" i="19" s="1"/>
  <c r="AK102" i="19"/>
  <c r="AJ102" i="19"/>
  <c r="AI102" i="19"/>
  <c r="AL102" i="19"/>
  <c r="AP528" i="19"/>
  <c r="AD528" i="19" s="1"/>
  <c r="AL528" i="19"/>
  <c r="AI528" i="19"/>
  <c r="AM528" i="19"/>
  <c r="AJ528" i="19"/>
  <c r="AK528" i="19"/>
  <c r="AJ735" i="19"/>
  <c r="AL735" i="19"/>
  <c r="AP735" i="19"/>
  <c r="AD735" i="19" s="1"/>
  <c r="AI735" i="19"/>
  <c r="AK735" i="19"/>
  <c r="AM735" i="19"/>
  <c r="AL48" i="19"/>
  <c r="AJ48" i="19"/>
  <c r="AI48" i="19"/>
  <c r="AA48" i="44" s="1"/>
  <c r="AP48" i="19"/>
  <c r="AD48" i="19" s="1"/>
  <c r="AK48" i="19"/>
  <c r="AM48" i="19"/>
  <c r="AJ75" i="19"/>
  <c r="AL75" i="19"/>
  <c r="AI75" i="19"/>
  <c r="AK75" i="19"/>
  <c r="AM75" i="19"/>
  <c r="AP75" i="19"/>
  <c r="AD75" i="19" s="1"/>
  <c r="AP103" i="19"/>
  <c r="AD103" i="19" s="1"/>
  <c r="AJ103" i="19"/>
  <c r="AK103" i="19"/>
  <c r="AM103" i="19"/>
  <c r="AI103" i="19"/>
  <c r="AL103" i="19"/>
  <c r="AP154" i="19"/>
  <c r="AD154" i="19" s="1"/>
  <c r="AI154" i="19"/>
  <c r="AA154" i="52" s="1"/>
  <c r="AL154" i="19"/>
  <c r="AM154" i="19"/>
  <c r="AK154" i="19"/>
  <c r="AJ154" i="19"/>
  <c r="AP184" i="19"/>
  <c r="AD184" i="19" s="1"/>
  <c r="AK184" i="19"/>
  <c r="AJ184" i="19"/>
  <c r="AL184" i="19"/>
  <c r="AI184" i="19"/>
  <c r="AM184" i="19"/>
  <c r="AJ219" i="19"/>
  <c r="AI219" i="19"/>
  <c r="AL219" i="19"/>
  <c r="AM219" i="19"/>
  <c r="AK219" i="19"/>
  <c r="AP219" i="19"/>
  <c r="AD219" i="19" s="1"/>
  <c r="AJ270" i="19"/>
  <c r="AK270" i="19"/>
  <c r="AP270" i="19"/>
  <c r="AD270" i="19" s="1"/>
  <c r="AI270" i="19"/>
  <c r="AL270" i="19"/>
  <c r="AM270" i="19"/>
  <c r="AP318" i="19"/>
  <c r="AD318" i="19" s="1"/>
  <c r="AL318" i="19"/>
  <c r="AI318" i="19"/>
  <c r="AA315" i="53" s="1"/>
  <c r="AJ318" i="19"/>
  <c r="AK318" i="19"/>
  <c r="AM318" i="19"/>
  <c r="AJ468" i="19"/>
  <c r="AP468" i="19"/>
  <c r="AD468" i="19" s="1"/>
  <c r="AL468" i="19"/>
  <c r="AI468" i="19"/>
  <c r="AM468" i="19"/>
  <c r="AK468" i="19"/>
  <c r="AL587" i="19"/>
  <c r="AM587" i="19"/>
  <c r="AI587" i="19"/>
  <c r="AK587" i="19"/>
  <c r="AJ587" i="19"/>
  <c r="AP587" i="19"/>
  <c r="AD587" i="19" s="1"/>
  <c r="AM854" i="19"/>
  <c r="AJ854" i="19"/>
  <c r="AP854" i="19"/>
  <c r="AD854" i="19" s="1"/>
  <c r="AK854" i="19"/>
  <c r="AI854" i="19"/>
  <c r="AL854" i="19"/>
  <c r="AJ62" i="19"/>
  <c r="AM62" i="19"/>
  <c r="AK62" i="19"/>
  <c r="AI62" i="19"/>
  <c r="AL62" i="19"/>
  <c r="AP62" i="19"/>
  <c r="AD62" i="19" s="1"/>
  <c r="AL91" i="19"/>
  <c r="AP91" i="19"/>
  <c r="AD91" i="19" s="1"/>
  <c r="AI91" i="19"/>
  <c r="AA91" i="44" s="1"/>
  <c r="AJ91" i="19"/>
  <c r="AM91" i="19"/>
  <c r="AK91" i="19"/>
  <c r="AM155" i="19"/>
  <c r="AI155" i="19"/>
  <c r="AA155" i="52" s="1"/>
  <c r="AK155" i="19"/>
  <c r="AJ155" i="19"/>
  <c r="AP155" i="19"/>
  <c r="AD155" i="19" s="1"/>
  <c r="AL155" i="19"/>
  <c r="AJ223" i="19"/>
  <c r="AL223" i="19"/>
  <c r="AM223" i="19"/>
  <c r="AK223" i="19"/>
  <c r="AP223" i="19"/>
  <c r="AD223" i="19" s="1"/>
  <c r="AI223" i="19"/>
  <c r="AM271" i="19"/>
  <c r="AK271" i="19"/>
  <c r="AL271" i="19"/>
  <c r="AP271" i="19"/>
  <c r="AD271" i="19" s="1"/>
  <c r="AJ271" i="19"/>
  <c r="AI271" i="19"/>
  <c r="AJ313" i="19"/>
  <c r="AP313" i="19"/>
  <c r="AD313" i="19" s="1"/>
  <c r="AM313" i="19"/>
  <c r="AK313" i="19"/>
  <c r="AI313" i="19"/>
  <c r="AL313" i="19"/>
  <c r="AP472" i="19"/>
  <c r="AD472" i="19" s="1"/>
  <c r="AL472" i="19"/>
  <c r="AM472" i="19"/>
  <c r="AJ472" i="19"/>
  <c r="AI472" i="19"/>
  <c r="AK472" i="19"/>
  <c r="AM600" i="19"/>
  <c r="AP600" i="19"/>
  <c r="AD600" i="19" s="1"/>
  <c r="AL600" i="19"/>
  <c r="AJ600" i="19"/>
  <c r="AI600" i="19"/>
  <c r="AK600" i="19"/>
  <c r="AL1107" i="19"/>
  <c r="AJ1107" i="19"/>
  <c r="AI1107" i="19"/>
  <c r="AM1107" i="19"/>
  <c r="AK1107" i="19"/>
  <c r="AP1107" i="19"/>
  <c r="AD1107" i="19" s="1"/>
  <c r="AJ354" i="19"/>
  <c r="AK354" i="19"/>
  <c r="AP354" i="19"/>
  <c r="AD354" i="19" s="1"/>
  <c r="AI354" i="19"/>
  <c r="AL354" i="19"/>
  <c r="AM354" i="19"/>
  <c r="AJ418" i="19"/>
  <c r="AK418" i="19"/>
  <c r="AL418" i="19"/>
  <c r="AI418" i="19"/>
  <c r="AP418" i="19"/>
  <c r="AD418" i="19" s="1"/>
  <c r="AM418" i="19"/>
  <c r="Y351" i="19"/>
  <c r="AL301" i="19"/>
  <c r="AJ301" i="19"/>
  <c r="AM301" i="19"/>
  <c r="AK301" i="19"/>
  <c r="AP301" i="19"/>
  <c r="AD301" i="19" s="1"/>
  <c r="AI301" i="19"/>
  <c r="Y707" i="19"/>
  <c r="AP265" i="19"/>
  <c r="AD265" i="19" s="1"/>
  <c r="AM265" i="19"/>
  <c r="AK265" i="19"/>
  <c r="AL265" i="19"/>
  <c r="AI265" i="19"/>
  <c r="AJ265" i="19"/>
  <c r="AL717" i="19"/>
  <c r="AM717" i="19"/>
  <c r="AK717" i="19"/>
  <c r="AP717" i="19"/>
  <c r="AD717" i="19" s="1"/>
  <c r="AI717" i="19"/>
  <c r="AJ717" i="19"/>
  <c r="Y794" i="19"/>
  <c r="Y516" i="19"/>
  <c r="Y860" i="19"/>
  <c r="Y314" i="19"/>
  <c r="AM886" i="19"/>
  <c r="AK886" i="19"/>
  <c r="AP886" i="19"/>
  <c r="AD886" i="19" s="1"/>
  <c r="AL886" i="19"/>
  <c r="AJ886" i="19"/>
  <c r="AI886" i="19"/>
  <c r="AP357" i="19"/>
  <c r="AD357" i="19" s="1"/>
  <c r="AL357" i="19"/>
  <c r="AI357" i="19"/>
  <c r="AM357" i="19"/>
  <c r="AK357" i="19"/>
  <c r="AJ357" i="19"/>
  <c r="AM652" i="19"/>
  <c r="AK652" i="19"/>
  <c r="AJ652" i="19"/>
  <c r="AP652" i="19"/>
  <c r="AD652" i="19" s="1"/>
  <c r="AL652" i="19"/>
  <c r="AI652" i="19"/>
  <c r="Y883" i="19"/>
  <c r="AP260" i="19"/>
  <c r="AD260" i="19" s="1"/>
  <c r="AM260" i="19"/>
  <c r="AJ260" i="19"/>
  <c r="AK260" i="19"/>
  <c r="AL260" i="19"/>
  <c r="AI260" i="19"/>
  <c r="Y680" i="19"/>
  <c r="AM967" i="19"/>
  <c r="AP967" i="19"/>
  <c r="AD967" i="19" s="1"/>
  <c r="AL967" i="19"/>
  <c r="AI967" i="19"/>
  <c r="AJ967" i="19"/>
  <c r="AK967" i="19"/>
  <c r="Y686" i="19"/>
  <c r="AL696" i="19"/>
  <c r="AJ696" i="19"/>
  <c r="AI696" i="19"/>
  <c r="AK696" i="19"/>
  <c r="AM696" i="19"/>
  <c r="AP696" i="19"/>
  <c r="AD696" i="19" s="1"/>
  <c r="Y413" i="19"/>
  <c r="AM629" i="19"/>
  <c r="AL629" i="19"/>
  <c r="AI629" i="19"/>
  <c r="AK629" i="19"/>
  <c r="AJ629" i="19"/>
  <c r="AP629" i="19"/>
  <c r="AD629" i="19" s="1"/>
  <c r="AJ266" i="19"/>
  <c r="AI266" i="19"/>
  <c r="AL266" i="19"/>
  <c r="AM266" i="19"/>
  <c r="AK266" i="19"/>
  <c r="AP266" i="19"/>
  <c r="AD266" i="19" s="1"/>
  <c r="Y803" i="19"/>
  <c r="AL259" i="19"/>
  <c r="AI259" i="19"/>
  <c r="AJ259" i="19"/>
  <c r="AK259" i="19"/>
  <c r="AM259" i="19"/>
  <c r="AP259" i="19"/>
  <c r="AD259" i="19" s="1"/>
  <c r="AL634" i="19"/>
  <c r="AI634" i="19"/>
  <c r="AM634" i="19"/>
  <c r="AK634" i="19"/>
  <c r="AJ634" i="19"/>
  <c r="AP634" i="19"/>
  <c r="AD634" i="19" s="1"/>
  <c r="Y808" i="19"/>
  <c r="AP26" i="19"/>
  <c r="AD26" i="19" s="1"/>
  <c r="AI26" i="19"/>
  <c r="AL26" i="19"/>
  <c r="AM26" i="19"/>
  <c r="AJ26" i="19"/>
  <c r="AK26" i="19"/>
  <c r="Y542" i="19"/>
  <c r="Y801" i="19"/>
  <c r="AM590" i="19"/>
  <c r="AJ590" i="19"/>
  <c r="AL590" i="19"/>
  <c r="AI590" i="19"/>
  <c r="AK590" i="19"/>
  <c r="AP590" i="19"/>
  <c r="AD590" i="19" s="1"/>
  <c r="Y905" i="19"/>
  <c r="AJ59" i="19"/>
  <c r="AI59" i="19"/>
  <c r="AL59" i="19"/>
  <c r="AP59" i="19"/>
  <c r="AD59" i="19" s="1"/>
  <c r="AM59" i="19"/>
  <c r="AK59" i="19"/>
  <c r="AL681" i="19"/>
  <c r="AI681" i="19"/>
  <c r="AJ681" i="19"/>
  <c r="AK681" i="19"/>
  <c r="AM681" i="19"/>
  <c r="AP681" i="19"/>
  <c r="AD681" i="19" s="1"/>
  <c r="AP104" i="19"/>
  <c r="AD104" i="19" s="1"/>
  <c r="AI104" i="19"/>
  <c r="AL104" i="19"/>
  <c r="AJ104" i="19"/>
  <c r="AK104" i="19"/>
  <c r="AM104" i="19"/>
  <c r="AL470" i="19"/>
  <c r="AJ470" i="19"/>
  <c r="AK470" i="19"/>
  <c r="AP470" i="19"/>
  <c r="AD470" i="19" s="1"/>
  <c r="AI470" i="19"/>
  <c r="AM470" i="19"/>
  <c r="AL65" i="19"/>
  <c r="AJ65" i="19"/>
  <c r="AM65" i="19"/>
  <c r="AP65" i="19"/>
  <c r="AD65" i="19" s="1"/>
  <c r="AI65" i="19"/>
  <c r="AK65" i="19"/>
  <c r="AL518" i="19"/>
  <c r="AI518" i="19"/>
  <c r="AM518" i="19"/>
  <c r="AJ518" i="19"/>
  <c r="AK518" i="19"/>
  <c r="AP518" i="19"/>
  <c r="AD518" i="19" s="1"/>
  <c r="AL692" i="19"/>
  <c r="AP692" i="19"/>
  <c r="AD692" i="19" s="1"/>
  <c r="AI692" i="19"/>
  <c r="AM692" i="19"/>
  <c r="AJ692" i="19"/>
  <c r="AK692" i="19"/>
  <c r="Y940" i="19"/>
  <c r="Y287" i="19"/>
  <c r="Y694" i="19"/>
  <c r="AJ252" i="19"/>
  <c r="AL252" i="19"/>
  <c r="AP252" i="19"/>
  <c r="AD252" i="19" s="1"/>
  <c r="AI252" i="19"/>
  <c r="AK252" i="19"/>
  <c r="AM252" i="19"/>
  <c r="AM704" i="19"/>
  <c r="AK704" i="19"/>
  <c r="AL704" i="19"/>
  <c r="AJ704" i="19"/>
  <c r="AP704" i="19"/>
  <c r="AD704" i="19" s="1"/>
  <c r="AI704" i="19"/>
  <c r="AL763" i="19"/>
  <c r="AP763" i="19"/>
  <c r="AD763" i="19" s="1"/>
  <c r="AJ763" i="19"/>
  <c r="AI763" i="19"/>
  <c r="AM763" i="19"/>
  <c r="AK763" i="19"/>
  <c r="AM507" i="19"/>
  <c r="AJ507" i="19"/>
  <c r="AL507" i="19"/>
  <c r="AK507" i="19"/>
  <c r="AP507" i="19"/>
  <c r="AD507" i="19" s="1"/>
  <c r="AI507" i="19"/>
  <c r="AP771" i="19"/>
  <c r="AD771" i="19" s="1"/>
  <c r="AK771" i="19"/>
  <c r="AI771" i="19"/>
  <c r="AL771" i="19"/>
  <c r="AM771" i="19"/>
  <c r="AJ771" i="19"/>
  <c r="Y278" i="19"/>
  <c r="Y834" i="19"/>
  <c r="Y300" i="19"/>
  <c r="AM648" i="19"/>
  <c r="AI648" i="19"/>
  <c r="AJ648" i="19"/>
  <c r="AK648" i="19"/>
  <c r="AP648" i="19"/>
  <c r="AD648" i="19" s="1"/>
  <c r="AL648" i="19"/>
  <c r="Y959" i="19"/>
  <c r="AJ1029" i="19"/>
  <c r="AP1029" i="19"/>
  <c r="AD1029" i="19" s="1"/>
  <c r="AK1029" i="19"/>
  <c r="AM1029" i="19"/>
  <c r="AL1029" i="19"/>
  <c r="AI1029" i="19"/>
  <c r="AL813" i="19"/>
  <c r="AP813" i="19"/>
  <c r="AD813" i="19" s="1"/>
  <c r="AJ813" i="19"/>
  <c r="AM813" i="19"/>
  <c r="AI813" i="19"/>
  <c r="AK813" i="19"/>
  <c r="AL1043" i="19"/>
  <c r="AM1043" i="19"/>
  <c r="AI1043" i="19"/>
  <c r="AK1043" i="19"/>
  <c r="AJ1043" i="19"/>
  <c r="AP1043" i="19"/>
  <c r="AD1043" i="19" s="1"/>
  <c r="AM1046" i="19"/>
  <c r="AJ1046" i="19"/>
  <c r="AL1046" i="19"/>
  <c r="AK1046" i="19"/>
  <c r="AP1046" i="19"/>
  <c r="AD1046" i="19" s="1"/>
  <c r="AI1046" i="19"/>
  <c r="AL1020" i="19"/>
  <c r="AI1020" i="19"/>
  <c r="AJ1020" i="19"/>
  <c r="AP1020" i="19"/>
  <c r="AD1020" i="19" s="1"/>
  <c r="AM1020" i="19"/>
  <c r="AK1020" i="19"/>
  <c r="AM1023" i="19"/>
  <c r="AK1023" i="19"/>
  <c r="AL1023" i="19"/>
  <c r="AI1023" i="19"/>
  <c r="AP1023" i="19"/>
  <c r="AD1023" i="19" s="1"/>
  <c r="AJ1023" i="19"/>
  <c r="AI108" i="19"/>
  <c r="AA108" i="44" s="1"/>
  <c r="AM758" i="19"/>
  <c r="AK467" i="19"/>
  <c r="AK32" i="19"/>
  <c r="AJ206" i="19"/>
  <c r="AP442" i="19"/>
  <c r="AD442" i="19" s="1"/>
  <c r="AM258" i="19"/>
  <c r="AI258" i="19"/>
  <c r="AL231" i="19"/>
  <c r="Y383" i="19"/>
  <c r="Y327" i="19"/>
  <c r="Y739" i="19"/>
  <c r="Y465" i="19"/>
  <c r="Y581" i="19"/>
  <c r="AM379" i="19"/>
  <c r="AJ379" i="19"/>
  <c r="AP379" i="19"/>
  <c r="AD379" i="19" s="1"/>
  <c r="AI379" i="19"/>
  <c r="AL379" i="19"/>
  <c r="AK379" i="19"/>
  <c r="AJ403" i="19"/>
  <c r="AK403" i="19"/>
  <c r="AI403" i="19"/>
  <c r="AP403" i="19"/>
  <c r="AD403" i="19" s="1"/>
  <c r="AL403" i="19"/>
  <c r="AM403" i="19"/>
  <c r="AL575" i="19"/>
  <c r="AM575" i="19"/>
  <c r="AP575" i="19"/>
  <c r="AD575" i="19" s="1"/>
  <c r="AI575" i="19"/>
  <c r="AJ575" i="19"/>
  <c r="AK575" i="19"/>
  <c r="AM699" i="19"/>
  <c r="AK699" i="19"/>
  <c r="AJ699" i="19"/>
  <c r="AP699" i="19"/>
  <c r="AD699" i="19" s="1"/>
  <c r="AI699" i="19"/>
  <c r="AL699" i="19"/>
  <c r="AL77" i="19"/>
  <c r="AM77" i="19"/>
  <c r="AK77" i="19"/>
  <c r="AP77" i="19"/>
  <c r="AD77" i="19" s="1"/>
  <c r="AI77" i="19"/>
  <c r="AA77" i="44" s="1"/>
  <c r="AJ77" i="19"/>
  <c r="AJ169" i="19"/>
  <c r="AM169" i="19"/>
  <c r="AK169" i="19"/>
  <c r="AP169" i="19"/>
  <c r="AD169" i="19" s="1"/>
  <c r="AL169" i="19"/>
  <c r="AI169" i="19"/>
  <c r="AA169" i="52" s="1"/>
  <c r="AM324" i="19"/>
  <c r="AI324" i="19"/>
  <c r="AA321" i="53" s="1"/>
  <c r="AJ324" i="19"/>
  <c r="AK324" i="19"/>
  <c r="AP324" i="19"/>
  <c r="AD324" i="19" s="1"/>
  <c r="AL324" i="19"/>
  <c r="AP80" i="19"/>
  <c r="AD80" i="19" s="1"/>
  <c r="AJ80" i="19"/>
  <c r="AK80" i="19"/>
  <c r="AI80" i="19"/>
  <c r="AA80" i="44" s="1"/>
  <c r="AL80" i="19"/>
  <c r="AM80" i="19"/>
  <c r="AK291" i="19"/>
  <c r="AJ291" i="19"/>
  <c r="AM291" i="19"/>
  <c r="AP291" i="19"/>
  <c r="AD291" i="19" s="1"/>
  <c r="AI291" i="19"/>
  <c r="AL291" i="19"/>
  <c r="AM453" i="19"/>
  <c r="AK453" i="19"/>
  <c r="AJ453" i="19"/>
  <c r="AP453" i="19"/>
  <c r="AD453" i="19" s="1"/>
  <c r="AI453" i="19"/>
  <c r="AL453" i="19"/>
  <c r="AJ896" i="19"/>
  <c r="AI896" i="19"/>
  <c r="AP896" i="19"/>
  <c r="AD896" i="19" s="1"/>
  <c r="AM896" i="19"/>
  <c r="AK896" i="19"/>
  <c r="AL896" i="19"/>
  <c r="AK997" i="19"/>
  <c r="AJ997" i="19"/>
  <c r="AM997" i="19"/>
  <c r="AI997" i="19"/>
  <c r="AA994" i="54" s="1"/>
  <c r="AL997" i="19"/>
  <c r="AP997" i="19"/>
  <c r="AD997" i="19" s="1"/>
  <c r="AL1077" i="19"/>
  <c r="AJ1077" i="19"/>
  <c r="AI1077" i="19"/>
  <c r="AK1077" i="19"/>
  <c r="AM1077" i="19"/>
  <c r="AP1077" i="19"/>
  <c r="AD1077" i="19" s="1"/>
  <c r="AM762" i="19"/>
  <c r="AP762" i="19"/>
  <c r="AD762" i="19" s="1"/>
  <c r="AJ762" i="19"/>
  <c r="AI762" i="19"/>
  <c r="AL762" i="19"/>
  <c r="AK762" i="19"/>
  <c r="AM954" i="19"/>
  <c r="AL954" i="19"/>
  <c r="AI954" i="19"/>
  <c r="AA951" i="54" s="1"/>
  <c r="AP954" i="19"/>
  <c r="AD954" i="19" s="1"/>
  <c r="AK954" i="19"/>
  <c r="AJ954" i="19"/>
  <c r="AJ736" i="19"/>
  <c r="AL736" i="19"/>
  <c r="AI736" i="19"/>
  <c r="AK736" i="19"/>
  <c r="AM736" i="19"/>
  <c r="AP736" i="19"/>
  <c r="AD736" i="19" s="1"/>
  <c r="AM882" i="19"/>
  <c r="AJ882" i="19"/>
  <c r="AL882" i="19"/>
  <c r="AI882" i="19"/>
  <c r="AK882" i="19"/>
  <c r="AP882" i="19"/>
  <c r="AD882" i="19" s="1"/>
  <c r="AK1131" i="19"/>
  <c r="AM1131" i="19"/>
  <c r="AP1131" i="19"/>
  <c r="AD1131" i="19" s="1"/>
  <c r="AJ1131" i="19"/>
  <c r="AI1131" i="19"/>
  <c r="AL1131" i="19"/>
  <c r="AP564" i="19"/>
  <c r="AD564" i="19" s="1"/>
  <c r="AI564" i="19"/>
  <c r="AJ564" i="19"/>
  <c r="AL564" i="19"/>
  <c r="AM564" i="19"/>
  <c r="AK564" i="19"/>
  <c r="AJ996" i="19"/>
  <c r="AL996" i="19"/>
  <c r="AI996" i="19"/>
  <c r="AM996" i="19"/>
  <c r="AP996" i="19"/>
  <c r="AD996" i="19" s="1"/>
  <c r="AK996" i="19"/>
  <c r="AL1088" i="19"/>
  <c r="AI1088" i="19"/>
  <c r="AP1088" i="19"/>
  <c r="AD1088" i="19" s="1"/>
  <c r="AJ1088" i="19"/>
  <c r="AM1088" i="19"/>
  <c r="AK1088" i="19"/>
  <c r="AL1066" i="19"/>
  <c r="AI1066" i="19"/>
  <c r="AM1066" i="19"/>
  <c r="AJ1066" i="19"/>
  <c r="AK1066" i="19"/>
  <c r="AP1066" i="19"/>
  <c r="AD1066" i="19" s="1"/>
  <c r="AL1086" i="19"/>
  <c r="AP1086" i="19"/>
  <c r="AD1086" i="19" s="1"/>
  <c r="AM1086" i="19"/>
  <c r="AJ1086" i="19"/>
  <c r="AI1086" i="19"/>
  <c r="AK1086" i="19"/>
  <c r="AM262" i="19"/>
  <c r="AJ262" i="19"/>
  <c r="AK262" i="19"/>
  <c r="AP262" i="19"/>
  <c r="AD262" i="19" s="1"/>
  <c r="AL262" i="19"/>
  <c r="AI262" i="19"/>
  <c r="AP747" i="19"/>
  <c r="AD747" i="19" s="1"/>
  <c r="AM747" i="19"/>
  <c r="AK747" i="19"/>
  <c r="AI747" i="19"/>
  <c r="AJ747" i="19"/>
  <c r="AL747" i="19"/>
  <c r="AJ105" i="19"/>
  <c r="AI105" i="19"/>
  <c r="AA105" i="44" s="1"/>
  <c r="AM105" i="19"/>
  <c r="AP105" i="19"/>
  <c r="AD105" i="19" s="1"/>
  <c r="AK105" i="19"/>
  <c r="AL105" i="19"/>
  <c r="AK189" i="19"/>
  <c r="AL189" i="19"/>
  <c r="AJ189" i="19"/>
  <c r="AM189" i="19"/>
  <c r="AP189" i="19"/>
  <c r="AD189" i="19" s="1"/>
  <c r="AI189" i="19"/>
  <c r="AJ346" i="19"/>
  <c r="AP346" i="19"/>
  <c r="AD346" i="19" s="1"/>
  <c r="AI346" i="19"/>
  <c r="AA343" i="53" s="1"/>
  <c r="AM346" i="19"/>
  <c r="AK346" i="19"/>
  <c r="AL346" i="19"/>
  <c r="AJ342" i="19"/>
  <c r="AI342" i="19"/>
  <c r="AA339" i="53" s="1"/>
  <c r="AP342" i="19"/>
  <c r="AD342" i="19" s="1"/>
  <c r="AM342" i="19"/>
  <c r="AK342" i="19"/>
  <c r="AL342" i="19"/>
  <c r="AL478" i="19"/>
  <c r="AK478" i="19"/>
  <c r="AM478" i="19"/>
  <c r="AJ478" i="19"/>
  <c r="AP478" i="19"/>
  <c r="AD478" i="19" s="1"/>
  <c r="AI478" i="19"/>
  <c r="AJ188" i="19"/>
  <c r="AL188" i="19"/>
  <c r="AM188" i="19"/>
  <c r="AP188" i="19"/>
  <c r="AD188" i="19" s="1"/>
  <c r="AI188" i="19"/>
  <c r="AK188" i="19"/>
  <c r="AM434" i="19"/>
  <c r="AJ434" i="19"/>
  <c r="AL434" i="19"/>
  <c r="AK434" i="19"/>
  <c r="AI434" i="19"/>
  <c r="AP434" i="19"/>
  <c r="AD434" i="19" s="1"/>
  <c r="AM754" i="19"/>
  <c r="AJ754" i="19"/>
  <c r="AP754" i="19"/>
  <c r="AD754" i="19" s="1"/>
  <c r="AI754" i="19"/>
  <c r="AL754" i="19"/>
  <c r="AK754" i="19"/>
  <c r="AJ632" i="19"/>
  <c r="AK632" i="19"/>
  <c r="AP632" i="19"/>
  <c r="AD632" i="19" s="1"/>
  <c r="AL632" i="19"/>
  <c r="AM632" i="19"/>
  <c r="AI632" i="19"/>
  <c r="AM303" i="19"/>
  <c r="AL303" i="19"/>
  <c r="AP303" i="19"/>
  <c r="AD303" i="19" s="1"/>
  <c r="AK303" i="19"/>
  <c r="AI303" i="19"/>
  <c r="AJ303" i="19"/>
  <c r="AL490" i="19"/>
  <c r="AP490" i="19"/>
  <c r="AD490" i="19" s="1"/>
  <c r="AM490" i="19"/>
  <c r="AJ490" i="19"/>
  <c r="AI490" i="19"/>
  <c r="AK490" i="19"/>
  <c r="AL774" i="19"/>
  <c r="AM774" i="19"/>
  <c r="AJ774" i="19"/>
  <c r="AK774" i="19"/>
  <c r="AI774" i="19"/>
  <c r="AP774" i="19"/>
  <c r="AD774" i="19" s="1"/>
  <c r="AL920" i="19"/>
  <c r="AM920" i="19"/>
  <c r="AK920" i="19"/>
  <c r="AI920" i="19"/>
  <c r="AP920" i="19"/>
  <c r="AD920" i="19" s="1"/>
  <c r="AJ920" i="19"/>
  <c r="AL1117" i="19"/>
  <c r="AP1117" i="19"/>
  <c r="AD1117" i="19" s="1"/>
  <c r="AM1117" i="19"/>
  <c r="AI1117" i="19"/>
  <c r="AJ1117" i="19"/>
  <c r="AK1117" i="19"/>
  <c r="AJ609" i="19"/>
  <c r="AP609" i="19"/>
  <c r="AD609" i="19" s="1"/>
  <c r="AL609" i="19"/>
  <c r="AM609" i="19"/>
  <c r="AK609" i="19"/>
  <c r="AI609" i="19"/>
  <c r="AJ889" i="19"/>
  <c r="AK889" i="19"/>
  <c r="AL889" i="19"/>
  <c r="AI889" i="19"/>
  <c r="AP889" i="19"/>
  <c r="AD889" i="19" s="1"/>
  <c r="AM889" i="19"/>
  <c r="AJ510" i="19"/>
  <c r="AP510" i="19"/>
  <c r="AD510" i="19" s="1"/>
  <c r="AI510" i="19"/>
  <c r="AK510" i="19"/>
  <c r="AM510" i="19"/>
  <c r="AL510" i="19"/>
  <c r="AM793" i="19"/>
  <c r="AJ793" i="19"/>
  <c r="AI793" i="19"/>
  <c r="AK793" i="19"/>
  <c r="AP793" i="19"/>
  <c r="AD793" i="19" s="1"/>
  <c r="AL793" i="19"/>
  <c r="AL922" i="19"/>
  <c r="AI922" i="19"/>
  <c r="AJ922" i="19"/>
  <c r="AK922" i="19"/>
  <c r="AM922" i="19"/>
  <c r="AP922" i="19"/>
  <c r="AD922" i="19" s="1"/>
  <c r="AK1151" i="19"/>
  <c r="AP1151" i="19"/>
  <c r="AD1151" i="19" s="1"/>
  <c r="AJ1151" i="19"/>
  <c r="AI1151" i="19"/>
  <c r="AA1148" i="55" s="1"/>
  <c r="AL1151" i="19"/>
  <c r="AM1151" i="19"/>
  <c r="AJ732" i="19"/>
  <c r="AK732" i="19"/>
  <c r="AP732" i="19"/>
  <c r="AD732" i="19" s="1"/>
  <c r="AL732" i="19"/>
  <c r="AM732" i="19"/>
  <c r="AI732" i="19"/>
  <c r="AM1128" i="19"/>
  <c r="AL1128" i="19"/>
  <c r="AI1128" i="19"/>
  <c r="AJ1128" i="19"/>
  <c r="AP1128" i="19"/>
  <c r="AD1128" i="19" s="1"/>
  <c r="AK1128" i="19"/>
  <c r="AL1184" i="19"/>
  <c r="AP1184" i="19"/>
  <c r="AD1184" i="19" s="1"/>
  <c r="AM1184" i="19"/>
  <c r="AK1184" i="19"/>
  <c r="AI1184" i="19"/>
  <c r="AA1181" i="55" s="1"/>
  <c r="AJ1184" i="19"/>
  <c r="AM1090" i="19"/>
  <c r="AJ1090" i="19"/>
  <c r="AL1090" i="19"/>
  <c r="AI1090" i="19"/>
  <c r="AK1090" i="19"/>
  <c r="AP1090" i="19"/>
  <c r="AD1090" i="19" s="1"/>
  <c r="AM419" i="19"/>
  <c r="AI419" i="19"/>
  <c r="AK419" i="19"/>
  <c r="AJ419" i="19"/>
  <c r="AP419" i="19"/>
  <c r="AD419" i="19" s="1"/>
  <c r="AL419" i="19"/>
  <c r="AL591" i="19"/>
  <c r="AJ591" i="19"/>
  <c r="AM591" i="19"/>
  <c r="AK591" i="19"/>
  <c r="AI591" i="19"/>
  <c r="AP591" i="19"/>
  <c r="AD591" i="19" s="1"/>
  <c r="AJ85" i="19"/>
  <c r="AI85" i="19"/>
  <c r="AA85" i="44" s="1"/>
  <c r="AK85" i="19"/>
  <c r="AM85" i="19"/>
  <c r="AP85" i="19"/>
  <c r="AD85" i="19" s="1"/>
  <c r="AL85" i="19"/>
  <c r="AP332" i="19"/>
  <c r="AD332" i="19" s="1"/>
  <c r="AL332" i="19"/>
  <c r="AK332" i="19"/>
  <c r="AI332" i="19"/>
  <c r="AM332" i="19"/>
  <c r="AJ332" i="19"/>
  <c r="AI112" i="19"/>
  <c r="AL112" i="19"/>
  <c r="AJ112" i="19"/>
  <c r="AP112" i="19"/>
  <c r="AD112" i="19" s="1"/>
  <c r="AM112" i="19"/>
  <c r="AK112" i="19"/>
  <c r="AL331" i="19"/>
  <c r="AJ331" i="19"/>
  <c r="AK331" i="19"/>
  <c r="AI331" i="19"/>
  <c r="AP331" i="19"/>
  <c r="AD331" i="19" s="1"/>
  <c r="AM331" i="19"/>
  <c r="AL461" i="19"/>
  <c r="AM461" i="19"/>
  <c r="AJ461" i="19"/>
  <c r="AP461" i="19"/>
  <c r="AD461" i="19" s="1"/>
  <c r="AI461" i="19"/>
  <c r="AK461" i="19"/>
  <c r="AJ589" i="19"/>
  <c r="AL589" i="19"/>
  <c r="AP589" i="19"/>
  <c r="AD589" i="19" s="1"/>
  <c r="AI589" i="19"/>
  <c r="AK589" i="19"/>
  <c r="AM589" i="19"/>
  <c r="AL136" i="19"/>
  <c r="AI136" i="19"/>
  <c r="AP136" i="19"/>
  <c r="AD136" i="19" s="1"/>
  <c r="AM136" i="19"/>
  <c r="AJ136" i="19"/>
  <c r="AK136" i="19"/>
  <c r="AJ529" i="19"/>
  <c r="AM529" i="19"/>
  <c r="AP529" i="19"/>
  <c r="AD529" i="19" s="1"/>
  <c r="AK529" i="19"/>
  <c r="AL529" i="19"/>
  <c r="AI529" i="19"/>
  <c r="AM657" i="19"/>
  <c r="AJ657" i="19"/>
  <c r="AP657" i="19"/>
  <c r="AD657" i="19" s="1"/>
  <c r="AL657" i="19"/>
  <c r="AI657" i="19"/>
  <c r="AK657" i="19"/>
  <c r="AP92" i="19"/>
  <c r="AD92" i="19" s="1"/>
  <c r="AL92" i="19"/>
  <c r="AM92" i="19"/>
  <c r="AJ92" i="19"/>
  <c r="AI92" i="19"/>
  <c r="AK92" i="19"/>
  <c r="AM477" i="19"/>
  <c r="AP477" i="19"/>
  <c r="AD477" i="19" s="1"/>
  <c r="AJ477" i="19"/>
  <c r="AK477" i="19"/>
  <c r="AL477" i="19"/>
  <c r="AI477" i="19"/>
  <c r="AJ761" i="19"/>
  <c r="AK761" i="19"/>
  <c r="AI761" i="19"/>
  <c r="AM761" i="19"/>
  <c r="AP761" i="19"/>
  <c r="AD761" i="19" s="1"/>
  <c r="AL761" i="19"/>
  <c r="AP1005" i="19"/>
  <c r="AD1005" i="19" s="1"/>
  <c r="AM1005" i="19"/>
  <c r="AK1005" i="19"/>
  <c r="AI1005" i="19"/>
  <c r="AL1005" i="19"/>
  <c r="AJ1005" i="19"/>
  <c r="AL1105" i="19"/>
  <c r="AJ1105" i="19"/>
  <c r="AI1105" i="19"/>
  <c r="AK1105" i="19"/>
  <c r="AM1105" i="19"/>
  <c r="AP1105" i="19"/>
  <c r="AD1105" i="19" s="1"/>
  <c r="AL770" i="19"/>
  <c r="AJ770" i="19"/>
  <c r="AK770" i="19"/>
  <c r="AI770" i="19"/>
  <c r="AM770" i="19"/>
  <c r="AP770" i="19"/>
  <c r="AD770" i="19" s="1"/>
  <c r="AJ877" i="19"/>
  <c r="AI877" i="19"/>
  <c r="AP877" i="19"/>
  <c r="AD877" i="19" s="1"/>
  <c r="AM877" i="19"/>
  <c r="AK877" i="19"/>
  <c r="AL877" i="19"/>
  <c r="AM999" i="19"/>
  <c r="AP999" i="19"/>
  <c r="AD999" i="19" s="1"/>
  <c r="AL999" i="19"/>
  <c r="AK999" i="19"/>
  <c r="AI999" i="19"/>
  <c r="AJ999" i="19"/>
  <c r="AK1139" i="19"/>
  <c r="AI1139" i="19"/>
  <c r="AA1136" i="55" s="1"/>
  <c r="AL1139" i="19"/>
  <c r="AP1139" i="19"/>
  <c r="AD1139" i="19" s="1"/>
  <c r="AJ1139" i="19"/>
  <c r="AM1139" i="19"/>
  <c r="AJ1008" i="19"/>
  <c r="AK1008" i="19"/>
  <c r="AP1008" i="19"/>
  <c r="AD1008" i="19" s="1"/>
  <c r="AI1008" i="19"/>
  <c r="AM1008" i="19"/>
  <c r="AL1008" i="19"/>
  <c r="AL1100" i="19"/>
  <c r="AM1100" i="19"/>
  <c r="AJ1100" i="19"/>
  <c r="AK1100" i="19"/>
  <c r="AP1100" i="19"/>
  <c r="AD1100" i="19" s="1"/>
  <c r="AI1100" i="19"/>
  <c r="AA1097" i="54" s="1"/>
  <c r="AL990" i="19"/>
  <c r="AM990" i="19"/>
  <c r="AI990" i="19"/>
  <c r="AP990" i="19"/>
  <c r="AD990" i="19" s="1"/>
  <c r="AJ990" i="19"/>
  <c r="AK990" i="19"/>
  <c r="AL671" i="19"/>
  <c r="AI671" i="19"/>
  <c r="AJ671" i="19"/>
  <c r="AK671" i="19"/>
  <c r="AM671" i="19"/>
  <c r="AP671" i="19"/>
  <c r="AD671" i="19" s="1"/>
  <c r="AP53" i="19"/>
  <c r="AD53" i="19" s="1"/>
  <c r="AJ53" i="19"/>
  <c r="AK53" i="19"/>
  <c r="AM53" i="19"/>
  <c r="AL53" i="19"/>
  <c r="AI53" i="19"/>
  <c r="AA53" i="44" s="1"/>
  <c r="AM141" i="19"/>
  <c r="AK141" i="19"/>
  <c r="AP141" i="19"/>
  <c r="AD141" i="19" s="1"/>
  <c r="AJ141" i="19"/>
  <c r="AI141" i="19"/>
  <c r="AA141" i="52" s="1"/>
  <c r="AL141" i="19"/>
  <c r="AP382" i="19"/>
  <c r="AD382" i="19" s="1"/>
  <c r="AI382" i="19"/>
  <c r="AK382" i="19"/>
  <c r="AM382" i="19"/>
  <c r="AL382" i="19"/>
  <c r="AJ382" i="19"/>
  <c r="AL420" i="19"/>
  <c r="AI420" i="19"/>
  <c r="AJ420" i="19"/>
  <c r="AK420" i="19"/>
  <c r="AM420" i="19"/>
  <c r="AP420" i="19"/>
  <c r="AD420" i="19" s="1"/>
  <c r="AP532" i="19"/>
  <c r="AD532" i="19" s="1"/>
  <c r="AL532" i="19"/>
  <c r="AM532" i="19"/>
  <c r="AJ532" i="19"/>
  <c r="AK532" i="19"/>
  <c r="AI532" i="19"/>
  <c r="AM224" i="19"/>
  <c r="AK224" i="19"/>
  <c r="AL224" i="19"/>
  <c r="AP224" i="19"/>
  <c r="AD224" i="19" s="1"/>
  <c r="AJ224" i="19"/>
  <c r="AI224" i="19"/>
  <c r="AM582" i="19"/>
  <c r="AJ582" i="19"/>
  <c r="AL582" i="19"/>
  <c r="AI582" i="19"/>
  <c r="AK582" i="19"/>
  <c r="AP582" i="19"/>
  <c r="AD582" i="19" s="1"/>
  <c r="AM100" i="19"/>
  <c r="AP100" i="19"/>
  <c r="AD100" i="19" s="1"/>
  <c r="AJ100" i="19"/>
  <c r="AK100" i="19"/>
  <c r="AL100" i="19"/>
  <c r="AI100" i="19"/>
  <c r="AJ514" i="19"/>
  <c r="AL514" i="19"/>
  <c r="AP514" i="19"/>
  <c r="AD514" i="19" s="1"/>
  <c r="AI514" i="19"/>
  <c r="AK514" i="19"/>
  <c r="AM514" i="19"/>
  <c r="AM847" i="19"/>
  <c r="AP847" i="19"/>
  <c r="AD847" i="19" s="1"/>
  <c r="AI847" i="19"/>
  <c r="AL847" i="19"/>
  <c r="AJ847" i="19"/>
  <c r="AK847" i="19"/>
  <c r="AL428" i="19"/>
  <c r="AJ428" i="19"/>
  <c r="AK428" i="19"/>
  <c r="AP428" i="19"/>
  <c r="AD428" i="19" s="1"/>
  <c r="AM428" i="19"/>
  <c r="AI428" i="19"/>
  <c r="AP977" i="19"/>
  <c r="AD977" i="19" s="1"/>
  <c r="AL977" i="19"/>
  <c r="AJ977" i="19"/>
  <c r="AK977" i="19"/>
  <c r="AM977" i="19"/>
  <c r="AI977" i="19"/>
  <c r="AK1145" i="19"/>
  <c r="AP1145" i="19"/>
  <c r="AD1145" i="19" s="1"/>
  <c r="AJ1145" i="19"/>
  <c r="AI1145" i="19"/>
  <c r="AA1142" i="55" s="1"/>
  <c r="AL1145" i="19"/>
  <c r="AM1145" i="19"/>
  <c r="AM633" i="19"/>
  <c r="AJ633" i="19"/>
  <c r="AK633" i="19"/>
  <c r="AL633" i="19"/>
  <c r="AP633" i="19"/>
  <c r="AD633" i="19" s="1"/>
  <c r="AI633" i="19"/>
  <c r="AL845" i="19"/>
  <c r="AM845" i="19"/>
  <c r="AK845" i="19"/>
  <c r="AP845" i="19"/>
  <c r="AD845" i="19" s="1"/>
  <c r="AI845" i="19"/>
  <c r="AJ845" i="19"/>
  <c r="AL925" i="19"/>
  <c r="AI925" i="19"/>
  <c r="AJ925" i="19"/>
  <c r="AM925" i="19"/>
  <c r="AK925" i="19"/>
  <c r="AP925" i="19"/>
  <c r="AD925" i="19" s="1"/>
  <c r="AL705" i="19"/>
  <c r="AI705" i="19"/>
  <c r="AK705" i="19"/>
  <c r="AJ705" i="19"/>
  <c r="AP705" i="19"/>
  <c r="AD705" i="19" s="1"/>
  <c r="AM705" i="19"/>
  <c r="AL1091" i="19"/>
  <c r="AJ1091" i="19"/>
  <c r="AI1091" i="19"/>
  <c r="AA1088" i="54" s="1"/>
  <c r="AK1091" i="19"/>
  <c r="AM1091" i="19"/>
  <c r="AP1091" i="19"/>
  <c r="AD1091" i="19" s="1"/>
  <c r="AL964" i="19"/>
  <c r="AM964" i="19"/>
  <c r="AK964" i="19"/>
  <c r="AP964" i="19"/>
  <c r="AD964" i="19" s="1"/>
  <c r="AI964" i="19"/>
  <c r="AJ964" i="19"/>
  <c r="AM1060" i="19"/>
  <c r="AK1060" i="19"/>
  <c r="AI1060" i="19"/>
  <c r="AP1060" i="19"/>
  <c r="AD1060" i="19" s="1"/>
  <c r="AJ1060" i="19"/>
  <c r="AL1060" i="19"/>
  <c r="AL1152" i="19"/>
  <c r="AI1152" i="19"/>
  <c r="AA1149" i="55" s="1"/>
  <c r="AK1152" i="19"/>
  <c r="AP1152" i="19"/>
  <c r="AD1152" i="19" s="1"/>
  <c r="AM1152" i="19"/>
  <c r="AJ1152" i="19"/>
  <c r="AL1138" i="19"/>
  <c r="AP1138" i="19"/>
  <c r="AD1138" i="19" s="1"/>
  <c r="AI1138" i="19"/>
  <c r="AA1135" i="55" s="1"/>
  <c r="AK1138" i="19"/>
  <c r="AJ1138" i="19"/>
  <c r="AM1138" i="19"/>
  <c r="AL79" i="19"/>
  <c r="AP79" i="19"/>
  <c r="AD79" i="19" s="1"/>
  <c r="AI79" i="19"/>
  <c r="AA79" i="44" s="1"/>
  <c r="AJ79" i="19"/>
  <c r="AM79" i="19"/>
  <c r="AK79" i="19"/>
  <c r="AM131" i="19"/>
  <c r="AL131" i="19"/>
  <c r="AI131" i="19"/>
  <c r="AJ131" i="19"/>
  <c r="AK131" i="19"/>
  <c r="AP131" i="19"/>
  <c r="AD131" i="19" s="1"/>
  <c r="AM175" i="19"/>
  <c r="AJ175" i="19"/>
  <c r="AK175" i="19"/>
  <c r="AI175" i="19"/>
  <c r="AA175" i="52" s="1"/>
  <c r="AP175" i="19"/>
  <c r="AD175" i="19" s="1"/>
  <c r="AL175" i="19"/>
  <c r="AL203" i="19"/>
  <c r="AJ203" i="19"/>
  <c r="AI203" i="19"/>
  <c r="AK203" i="19"/>
  <c r="AM203" i="19"/>
  <c r="AP203" i="19"/>
  <c r="AD203" i="19" s="1"/>
  <c r="AJ294" i="19"/>
  <c r="AL294" i="19"/>
  <c r="AM294" i="19"/>
  <c r="AP294" i="19"/>
  <c r="AD294" i="19" s="1"/>
  <c r="AI294" i="19"/>
  <c r="AK294" i="19"/>
  <c r="AL567" i="19"/>
  <c r="AI567" i="19"/>
  <c r="AK567" i="19"/>
  <c r="AJ567" i="19"/>
  <c r="AP567" i="19"/>
  <c r="AD567" i="19" s="1"/>
  <c r="AM567" i="19"/>
  <c r="AL822" i="19"/>
  <c r="AI822" i="19"/>
  <c r="AK822" i="19"/>
  <c r="AP822" i="19"/>
  <c r="AD822" i="19" s="1"/>
  <c r="AM822" i="19"/>
  <c r="AJ822" i="19"/>
  <c r="AM72" i="19"/>
  <c r="AJ72" i="19"/>
  <c r="AK72" i="19"/>
  <c r="AL72" i="19"/>
  <c r="AP72" i="19"/>
  <c r="AD72" i="19" s="1"/>
  <c r="AI72" i="19"/>
  <c r="AA72" i="44" s="1"/>
  <c r="AL110" i="19"/>
  <c r="AJ110" i="19"/>
  <c r="AM110" i="19"/>
  <c r="AP110" i="19"/>
  <c r="AD110" i="19" s="1"/>
  <c r="AI110" i="19"/>
  <c r="AA110" i="44" s="1"/>
  <c r="AK110" i="19"/>
  <c r="AL142" i="19"/>
  <c r="AI142" i="19"/>
  <c r="AA142" i="52" s="1"/>
  <c r="AK142" i="19"/>
  <c r="AP142" i="19"/>
  <c r="AD142" i="19" s="1"/>
  <c r="AM142" i="19"/>
  <c r="AJ142" i="19"/>
  <c r="AJ183" i="19"/>
  <c r="AL183" i="19"/>
  <c r="AP183" i="19"/>
  <c r="AD183" i="19" s="1"/>
  <c r="AM183" i="19"/>
  <c r="AK183" i="19"/>
  <c r="AI183" i="19"/>
  <c r="AP218" i="19"/>
  <c r="AD218" i="19" s="1"/>
  <c r="AM218" i="19"/>
  <c r="AK218" i="19"/>
  <c r="AL218" i="19"/>
  <c r="AI218" i="19"/>
  <c r="AJ218" i="19"/>
  <c r="AM275" i="19"/>
  <c r="AJ275" i="19"/>
  <c r="AI275" i="19"/>
  <c r="AK275" i="19"/>
  <c r="AL275" i="19"/>
  <c r="AP275" i="19"/>
  <c r="AD275" i="19" s="1"/>
  <c r="AL344" i="19"/>
  <c r="AI344" i="19"/>
  <c r="AA341" i="53" s="1"/>
  <c r="AP344" i="19"/>
  <c r="AD344" i="19" s="1"/>
  <c r="AJ344" i="19"/>
  <c r="AM344" i="19"/>
  <c r="AK344" i="19"/>
  <c r="AM1071" i="19"/>
  <c r="AJ1071" i="19"/>
  <c r="AK1071" i="19"/>
  <c r="AP1071" i="19"/>
  <c r="AD1071" i="19" s="1"/>
  <c r="AL1071" i="19"/>
  <c r="AI1071" i="19"/>
  <c r="AL36" i="19"/>
  <c r="AP36" i="19"/>
  <c r="AD36" i="19" s="1"/>
  <c r="AM36" i="19"/>
  <c r="AK36" i="19"/>
  <c r="AJ36" i="19"/>
  <c r="AI36" i="19"/>
  <c r="AA36" i="44" s="1"/>
  <c r="AL83" i="19"/>
  <c r="AM83" i="19"/>
  <c r="AK83" i="19"/>
  <c r="AI83" i="19"/>
  <c r="AA83" i="44" s="1"/>
  <c r="AP83" i="19"/>
  <c r="AD83" i="19" s="1"/>
  <c r="AJ83" i="19"/>
  <c r="AP111" i="19"/>
  <c r="AD111" i="19" s="1"/>
  <c r="AI111" i="19"/>
  <c r="AK111" i="19"/>
  <c r="AL111" i="19"/>
  <c r="AJ111" i="19"/>
  <c r="AM111" i="19"/>
  <c r="AM163" i="19"/>
  <c r="AP163" i="19"/>
  <c r="AD163" i="19" s="1"/>
  <c r="AJ163" i="19"/>
  <c r="AL163" i="19"/>
  <c r="AI163" i="19"/>
  <c r="AA163" i="52" s="1"/>
  <c r="AK163" i="19"/>
  <c r="AP191" i="19"/>
  <c r="AD191" i="19" s="1"/>
  <c r="AM191" i="19"/>
  <c r="AK191" i="19"/>
  <c r="AI191" i="19"/>
  <c r="AJ191" i="19"/>
  <c r="AL191" i="19"/>
  <c r="AL276" i="19"/>
  <c r="AJ276" i="19"/>
  <c r="AP276" i="19"/>
  <c r="AD276" i="19" s="1"/>
  <c r="AI276" i="19"/>
  <c r="AM276" i="19"/>
  <c r="AK276" i="19"/>
  <c r="AP326" i="19"/>
  <c r="AD326" i="19" s="1"/>
  <c r="AL326" i="19"/>
  <c r="AI326" i="19"/>
  <c r="AJ326" i="19"/>
  <c r="AK326" i="19"/>
  <c r="AM326" i="19"/>
  <c r="AJ408" i="19"/>
  <c r="AL408" i="19"/>
  <c r="AK408" i="19"/>
  <c r="AI408" i="19"/>
  <c r="AP408" i="19"/>
  <c r="AD408" i="19" s="1"/>
  <c r="AM408" i="19"/>
  <c r="AM504" i="19"/>
  <c r="AK504" i="19"/>
  <c r="AP504" i="19"/>
  <c r="AD504" i="19" s="1"/>
  <c r="AL504" i="19"/>
  <c r="AJ504" i="19"/>
  <c r="AI504" i="19"/>
  <c r="AP895" i="19"/>
  <c r="AD895" i="19" s="1"/>
  <c r="AI895" i="19"/>
  <c r="AM895" i="19"/>
  <c r="AL895" i="19"/>
  <c r="AJ895" i="19"/>
  <c r="AK895" i="19"/>
  <c r="AP45" i="19"/>
  <c r="AD45" i="19" s="1"/>
  <c r="AM45" i="19"/>
  <c r="AI45" i="19"/>
  <c r="AK45" i="19"/>
  <c r="AL45" i="19"/>
  <c r="AJ45" i="19"/>
  <c r="AP70" i="19"/>
  <c r="AD70" i="19" s="1"/>
  <c r="AM70" i="19"/>
  <c r="AL70" i="19"/>
  <c r="AK70" i="19"/>
  <c r="AI70" i="19"/>
  <c r="AA70" i="44" s="1"/>
  <c r="AJ70" i="19"/>
  <c r="AM279" i="19"/>
  <c r="AJ279" i="19"/>
  <c r="AK279" i="19"/>
  <c r="AL279" i="19"/>
  <c r="AP279" i="19"/>
  <c r="AD279" i="19" s="1"/>
  <c r="AI279" i="19"/>
  <c r="AM515" i="19"/>
  <c r="AJ515" i="19"/>
  <c r="AL515" i="19"/>
  <c r="AK515" i="19"/>
  <c r="AP515" i="19"/>
  <c r="AD515" i="19" s="1"/>
  <c r="AI515" i="19"/>
  <c r="AM919" i="19"/>
  <c r="AK919" i="19"/>
  <c r="AP919" i="19"/>
  <c r="AD919" i="19" s="1"/>
  <c r="AJ919" i="19"/>
  <c r="AL919" i="19"/>
  <c r="AI919" i="19"/>
  <c r="AL393" i="19"/>
  <c r="AI393" i="19"/>
  <c r="AJ393" i="19"/>
  <c r="AM393" i="19"/>
  <c r="AK393" i="19"/>
  <c r="AP393" i="19"/>
  <c r="AD393" i="19" s="1"/>
  <c r="Y352" i="19"/>
  <c r="AP298" i="19"/>
  <c r="AD298" i="19" s="1"/>
  <c r="AI298" i="19"/>
  <c r="AK298" i="19"/>
  <c r="AJ298" i="19"/>
  <c r="AL298" i="19"/>
  <c r="AM298" i="19"/>
  <c r="Y936" i="19"/>
  <c r="Y421" i="19"/>
  <c r="AP779" i="19"/>
  <c r="AD779" i="19" s="1"/>
  <c r="AL779" i="19"/>
  <c r="AK779" i="19"/>
  <c r="AI779" i="19"/>
  <c r="AM779" i="19"/>
  <c r="AJ779" i="19"/>
  <c r="Y427" i="19"/>
  <c r="Y872" i="19"/>
  <c r="AJ27" i="19"/>
  <c r="AP27" i="19"/>
  <c r="AD27" i="19" s="1"/>
  <c r="AL27" i="19"/>
  <c r="AI27" i="19"/>
  <c r="AK27" i="19"/>
  <c r="AM27" i="19"/>
  <c r="Y660" i="19"/>
  <c r="AL44" i="19"/>
  <c r="AP44" i="19"/>
  <c r="AD44" i="19" s="1"/>
  <c r="AK44" i="19"/>
  <c r="AJ44" i="19"/>
  <c r="AM44" i="19"/>
  <c r="AI44" i="19"/>
  <c r="AP432" i="19"/>
  <c r="AD432" i="19" s="1"/>
  <c r="AM432" i="19"/>
  <c r="AJ432" i="19"/>
  <c r="AK432" i="19"/>
  <c r="AL432" i="19"/>
  <c r="AI432" i="19"/>
  <c r="AL33" i="19"/>
  <c r="AK33" i="19"/>
  <c r="AP33" i="19"/>
  <c r="AD33" i="19" s="1"/>
  <c r="AM33" i="19"/>
  <c r="AI33" i="19"/>
  <c r="AJ33" i="19"/>
  <c r="AM496" i="19"/>
  <c r="AK496" i="19"/>
  <c r="AP496" i="19"/>
  <c r="AD496" i="19" s="1"/>
  <c r="AL496" i="19"/>
  <c r="AJ496" i="19"/>
  <c r="AI496" i="19"/>
  <c r="Y679" i="19"/>
  <c r="Y930" i="19"/>
  <c r="Y358" i="19"/>
  <c r="AM716" i="19"/>
  <c r="AI716" i="19"/>
  <c r="AK716" i="19"/>
  <c r="AJ716" i="19"/>
  <c r="AP716" i="19"/>
  <c r="AD716" i="19" s="1"/>
  <c r="AL716" i="19"/>
  <c r="AP325" i="19"/>
  <c r="AD325" i="19" s="1"/>
  <c r="AI325" i="19"/>
  <c r="AJ325" i="19"/>
  <c r="AK325" i="19"/>
  <c r="AL325" i="19"/>
  <c r="AM325" i="19"/>
  <c r="AJ729" i="19"/>
  <c r="AL729" i="19"/>
  <c r="AK729" i="19"/>
  <c r="AM729" i="19"/>
  <c r="AP729" i="19"/>
  <c r="AD729" i="19" s="1"/>
  <c r="AI729" i="19"/>
  <c r="Y807" i="19"/>
  <c r="Y543" i="19"/>
  <c r="AJ873" i="19"/>
  <c r="AP873" i="19"/>
  <c r="AD873" i="19" s="1"/>
  <c r="AK873" i="19"/>
  <c r="AI873" i="19"/>
  <c r="AL873" i="19"/>
  <c r="AM873" i="19"/>
  <c r="AL360" i="19"/>
  <c r="AI360" i="19"/>
  <c r="AP360" i="19"/>
  <c r="AD360" i="19" s="1"/>
  <c r="AM360" i="19"/>
  <c r="AJ360" i="19"/>
  <c r="AK360" i="19"/>
  <c r="Y898" i="19"/>
  <c r="Y454" i="19"/>
  <c r="Y662" i="19"/>
  <c r="AM197" i="19"/>
  <c r="AJ197" i="19"/>
  <c r="AK197" i="19"/>
  <c r="AL197" i="19"/>
  <c r="AP197" i="19"/>
  <c r="AD197" i="19" s="1"/>
  <c r="AI197" i="19"/>
  <c r="AL653" i="19"/>
  <c r="AJ653" i="19"/>
  <c r="AK653" i="19"/>
  <c r="AI653" i="19"/>
  <c r="AM653" i="19"/>
  <c r="AP653" i="19"/>
  <c r="AD653" i="19" s="1"/>
  <c r="Y900" i="19"/>
  <c r="AM637" i="19"/>
  <c r="AI637" i="19"/>
  <c r="AK637" i="19"/>
  <c r="AJ637" i="19"/>
  <c r="AP637" i="19"/>
  <c r="AD637" i="19" s="1"/>
  <c r="AL637" i="19"/>
  <c r="AL583" i="19"/>
  <c r="AJ583" i="19"/>
  <c r="AM583" i="19"/>
  <c r="AI583" i="19"/>
  <c r="AK583" i="19"/>
  <c r="AP583" i="19"/>
  <c r="AD583" i="19" s="1"/>
  <c r="AP321" i="19"/>
  <c r="AD321" i="19" s="1"/>
  <c r="AK321" i="19"/>
  <c r="AL321" i="19"/>
  <c r="AJ321" i="19"/>
  <c r="AM321" i="19"/>
  <c r="AI321" i="19"/>
  <c r="AA318" i="53" s="1"/>
  <c r="Y901" i="19"/>
  <c r="Y233" i="19"/>
  <c r="AJ673" i="19"/>
  <c r="AK673" i="19"/>
  <c r="AP673" i="19"/>
  <c r="AD673" i="19" s="1"/>
  <c r="AL673" i="19"/>
  <c r="AI673" i="19"/>
  <c r="AM673" i="19"/>
  <c r="AJ234" i="19"/>
  <c r="AK234" i="19"/>
  <c r="AM234" i="19"/>
  <c r="AP234" i="19"/>
  <c r="AD234" i="19" s="1"/>
  <c r="AL234" i="19"/>
  <c r="AI234" i="19"/>
  <c r="AL618" i="19"/>
  <c r="AK618" i="19"/>
  <c r="AJ618" i="19"/>
  <c r="AP618" i="19"/>
  <c r="AD618" i="19" s="1"/>
  <c r="AI618" i="19"/>
  <c r="AM618" i="19"/>
  <c r="AP764" i="19"/>
  <c r="AD764" i="19" s="1"/>
  <c r="AL764" i="19"/>
  <c r="AJ764" i="19"/>
  <c r="AI764" i="19"/>
  <c r="AK764" i="19"/>
  <c r="AM764" i="19"/>
  <c r="AJ1064" i="19"/>
  <c r="AP1064" i="19"/>
  <c r="AD1064" i="19" s="1"/>
  <c r="AM1064" i="19"/>
  <c r="AK1064" i="19"/>
  <c r="AL1064" i="19"/>
  <c r="AI1064" i="19"/>
  <c r="AP398" i="19"/>
  <c r="AD398" i="19" s="1"/>
  <c r="AL398" i="19"/>
  <c r="AI398" i="19"/>
  <c r="AJ398" i="19"/>
  <c r="AK398" i="19"/>
  <c r="AM398" i="19"/>
  <c r="Y765" i="19"/>
  <c r="AJ399" i="19"/>
  <c r="AK399" i="19"/>
  <c r="AI399" i="19"/>
  <c r="AP399" i="19"/>
  <c r="AD399" i="19" s="1"/>
  <c r="AL399" i="19"/>
  <c r="AM399" i="19"/>
  <c r="AL855" i="19"/>
  <c r="AI855" i="19"/>
  <c r="AM855" i="19"/>
  <c r="AK855" i="19"/>
  <c r="AP855" i="19"/>
  <c r="AD855" i="19" s="1"/>
  <c r="AJ855" i="19"/>
  <c r="Y939" i="19"/>
  <c r="Y624" i="19"/>
  <c r="AM991" i="19"/>
  <c r="AP991" i="19"/>
  <c r="AD991" i="19" s="1"/>
  <c r="AL991" i="19"/>
  <c r="AK991" i="19"/>
  <c r="AJ991" i="19"/>
  <c r="AI991" i="19"/>
  <c r="AL424" i="19"/>
  <c r="AP424" i="19"/>
  <c r="AD424" i="19" s="1"/>
  <c r="AI424" i="19"/>
  <c r="AJ424" i="19"/>
  <c r="AM424" i="19"/>
  <c r="AK424" i="19"/>
  <c r="Y29" i="19"/>
  <c r="Y488" i="19"/>
  <c r="Y674" i="19"/>
  <c r="AL912" i="19"/>
  <c r="AI912" i="19"/>
  <c r="AJ912" i="19"/>
  <c r="AM912" i="19"/>
  <c r="AK912" i="19"/>
  <c r="AP912" i="19"/>
  <c r="AD912" i="19" s="1"/>
  <c r="Y1065" i="19"/>
  <c r="AL242" i="19"/>
  <c r="AM242" i="19"/>
  <c r="AK242" i="19"/>
  <c r="AJ242" i="19"/>
  <c r="AP242" i="19"/>
  <c r="AD242" i="19" s="1"/>
  <c r="AI242" i="19"/>
  <c r="AP1045" i="19"/>
  <c r="AD1045" i="19" s="1"/>
  <c r="AL1045" i="19"/>
  <c r="AM1045" i="19"/>
  <c r="AJ1045" i="19"/>
  <c r="AI1045" i="19"/>
  <c r="AK1045" i="19"/>
  <c r="AJ1040" i="19"/>
  <c r="AP1040" i="19"/>
  <c r="AD1040" i="19" s="1"/>
  <c r="AM1040" i="19"/>
  <c r="AI1040" i="19"/>
  <c r="AL1040" i="19"/>
  <c r="AK1040" i="19"/>
  <c r="AJ1022" i="19"/>
  <c r="AK1022" i="19"/>
  <c r="AI1022" i="19"/>
  <c r="AP1022" i="19"/>
  <c r="AD1022" i="19" s="1"/>
  <c r="AL1022" i="19"/>
  <c r="AM1022" i="19"/>
  <c r="AL817" i="19"/>
  <c r="AP817" i="19"/>
  <c r="AD817" i="19" s="1"/>
  <c r="AJ817" i="19"/>
  <c r="AM817" i="19"/>
  <c r="AI817" i="19"/>
  <c r="AK817" i="19"/>
  <c r="AP1052" i="19"/>
  <c r="AD1052" i="19" s="1"/>
  <c r="AI1052" i="19"/>
  <c r="AJ1052" i="19"/>
  <c r="AM1052" i="19"/>
  <c r="AK1052" i="19"/>
  <c r="AL1052" i="19"/>
  <c r="AP377" i="19"/>
  <c r="AD377" i="19" s="1"/>
  <c r="AJ377" i="19"/>
  <c r="AL377" i="19"/>
  <c r="AM1063" i="19"/>
  <c r="AI106" i="19"/>
  <c r="AA106" i="44" s="1"/>
  <c r="AK106" i="19"/>
  <c r="AP480" i="19"/>
  <c r="AD480" i="19" s="1"/>
  <c r="AM368" i="19"/>
  <c r="AL368" i="19"/>
  <c r="AK368" i="19"/>
  <c r="AI368" i="19"/>
  <c r="AM865" i="19"/>
  <c r="AL405" i="19"/>
  <c r="AP405" i="19"/>
  <c r="AD405" i="19" s="1"/>
  <c r="AI405" i="19"/>
  <c r="AL645" i="19"/>
  <c r="AI645" i="19"/>
  <c r="AK645" i="19"/>
  <c r="AP645" i="19"/>
  <c r="AD645" i="19" s="1"/>
  <c r="AJ449" i="19"/>
  <c r="Y1057" i="19"/>
  <c r="Y214" i="19"/>
  <c r="Y435" i="19"/>
  <c r="Y1058" i="19"/>
  <c r="Y649" i="19"/>
  <c r="AL607" i="19"/>
  <c r="AI607" i="19"/>
  <c r="AM607" i="19"/>
  <c r="AJ607" i="19"/>
  <c r="AK607" i="19"/>
  <c r="AP607" i="19"/>
  <c r="AD607" i="19" s="1"/>
  <c r="AM343" i="19"/>
  <c r="AJ343" i="19"/>
  <c r="AK343" i="19"/>
  <c r="AP343" i="19"/>
  <c r="AD343" i="19" s="1"/>
  <c r="AL343" i="19"/>
  <c r="AI343" i="19"/>
  <c r="AA340" i="53" s="1"/>
  <c r="AM148" i="19"/>
  <c r="AK148" i="19"/>
  <c r="AJ148" i="19"/>
  <c r="AP148" i="19"/>
  <c r="AD148" i="19" s="1"/>
  <c r="AL148" i="19"/>
  <c r="AI148" i="19"/>
  <c r="AA148" i="52" s="1"/>
  <c r="AM339" i="19"/>
  <c r="AJ339" i="19"/>
  <c r="AL339" i="19"/>
  <c r="AI339" i="19"/>
  <c r="AA336" i="53" s="1"/>
  <c r="AK339" i="19"/>
  <c r="AP339" i="19"/>
  <c r="AD339" i="19" s="1"/>
  <c r="AM474" i="19"/>
  <c r="AL474" i="19"/>
  <c r="AI474" i="19"/>
  <c r="AJ474" i="19"/>
  <c r="AK474" i="19"/>
  <c r="AP474" i="19"/>
  <c r="AD474" i="19" s="1"/>
  <c r="AP172" i="19"/>
  <c r="AD172" i="19" s="1"/>
  <c r="AL172" i="19"/>
  <c r="AM172" i="19"/>
  <c r="AJ172" i="19"/>
  <c r="AK172" i="19"/>
  <c r="AI172" i="19"/>
  <c r="AM430" i="19"/>
  <c r="AJ430" i="19"/>
  <c r="AK430" i="19"/>
  <c r="AI430" i="19"/>
  <c r="AP430" i="19"/>
  <c r="AD430" i="19" s="1"/>
  <c r="AL430" i="19"/>
  <c r="AM538" i="19"/>
  <c r="AL538" i="19"/>
  <c r="AK538" i="19"/>
  <c r="AI538" i="19"/>
  <c r="AP538" i="19"/>
  <c r="AD538" i="19" s="1"/>
  <c r="AJ538" i="19"/>
  <c r="AP665" i="19"/>
  <c r="AD665" i="19" s="1"/>
  <c r="AI665" i="19"/>
  <c r="AL665" i="19"/>
  <c r="AM665" i="19"/>
  <c r="AK665" i="19"/>
  <c r="AJ665" i="19"/>
  <c r="AJ422" i="19"/>
  <c r="AP422" i="19"/>
  <c r="AD422" i="19" s="1"/>
  <c r="AM422" i="19"/>
  <c r="AK422" i="19"/>
  <c r="AL422" i="19"/>
  <c r="AI422" i="19"/>
  <c r="AM156" i="19"/>
  <c r="AK156" i="19"/>
  <c r="AP156" i="19"/>
  <c r="AD156" i="19" s="1"/>
  <c r="AL156" i="19"/>
  <c r="AJ156" i="19"/>
  <c r="AI156" i="19"/>
  <c r="AA156" i="52" s="1"/>
  <c r="AP1013" i="19"/>
  <c r="AD1013" i="19" s="1"/>
  <c r="AM1013" i="19"/>
  <c r="AJ1013" i="19"/>
  <c r="AL1013" i="19"/>
  <c r="AI1013" i="19"/>
  <c r="AK1013" i="19"/>
  <c r="AL1113" i="19"/>
  <c r="AP1113" i="19"/>
  <c r="AD1113" i="19" s="1"/>
  <c r="AJ1113" i="19"/>
  <c r="AI1113" i="19"/>
  <c r="AM1113" i="19"/>
  <c r="AK1113" i="19"/>
  <c r="AJ885" i="19"/>
  <c r="AL885" i="19"/>
  <c r="AI885" i="19"/>
  <c r="AP885" i="19"/>
  <c r="AD885" i="19" s="1"/>
  <c r="AM885" i="19"/>
  <c r="AK885" i="19"/>
  <c r="AL789" i="19"/>
  <c r="AK789" i="19"/>
  <c r="AP789" i="19"/>
  <c r="AD789" i="19" s="1"/>
  <c r="AI789" i="19"/>
  <c r="AM789" i="19"/>
  <c r="AJ789" i="19"/>
  <c r="AP902" i="19"/>
  <c r="AD902" i="19" s="1"/>
  <c r="AI902" i="19"/>
  <c r="AK902" i="19"/>
  <c r="AL902" i="19"/>
  <c r="AM902" i="19"/>
  <c r="AJ902" i="19"/>
  <c r="AJ1147" i="19"/>
  <c r="AI1147" i="19"/>
  <c r="AA1144" i="55" s="1"/>
  <c r="AL1147" i="19"/>
  <c r="AM1147" i="19"/>
  <c r="AK1147" i="19"/>
  <c r="AP1147" i="19"/>
  <c r="AD1147" i="19" s="1"/>
  <c r="AJ710" i="19"/>
  <c r="AM710" i="19"/>
  <c r="AI710" i="19"/>
  <c r="AK710" i="19"/>
  <c r="AL710" i="19"/>
  <c r="AP710" i="19"/>
  <c r="AD710" i="19" s="1"/>
  <c r="AL927" i="19"/>
  <c r="AK927" i="19"/>
  <c r="AI927" i="19"/>
  <c r="AP927" i="19"/>
  <c r="AD927" i="19" s="1"/>
  <c r="AM927" i="19"/>
  <c r="AJ927" i="19"/>
  <c r="AL1124" i="19"/>
  <c r="AJ1124" i="19"/>
  <c r="AI1124" i="19"/>
  <c r="AK1124" i="19"/>
  <c r="AM1124" i="19"/>
  <c r="AP1124" i="19"/>
  <c r="AD1124" i="19" s="1"/>
  <c r="AL998" i="19"/>
  <c r="AJ998" i="19"/>
  <c r="AM998" i="19"/>
  <c r="AP998" i="19"/>
  <c r="AD998" i="19" s="1"/>
  <c r="AI998" i="19"/>
  <c r="AK998" i="19"/>
  <c r="AJ1126" i="19"/>
  <c r="AK1126" i="19"/>
  <c r="AL1126" i="19"/>
  <c r="AP1126" i="19"/>
  <c r="AD1126" i="19" s="1"/>
  <c r="AI1126" i="19"/>
  <c r="AM1126" i="19"/>
  <c r="AP337" i="19"/>
  <c r="AD337" i="19" s="1"/>
  <c r="AM337" i="19"/>
  <c r="AL337" i="19"/>
  <c r="AJ337" i="19"/>
  <c r="AI337" i="19"/>
  <c r="AK337" i="19"/>
  <c r="AL767" i="19"/>
  <c r="AM767" i="19"/>
  <c r="AK767" i="19"/>
  <c r="AI767" i="19"/>
  <c r="AP767" i="19"/>
  <c r="AD767" i="19" s="1"/>
  <c r="AJ767" i="19"/>
  <c r="AP129" i="19"/>
  <c r="AD129" i="19" s="1"/>
  <c r="AM129" i="19"/>
  <c r="AK129" i="19"/>
  <c r="AJ129" i="19"/>
  <c r="AL129" i="19"/>
  <c r="AI129" i="19"/>
  <c r="AM209" i="19"/>
  <c r="AP209" i="19"/>
  <c r="AD209" i="19" s="1"/>
  <c r="AJ209" i="19"/>
  <c r="AL209" i="19"/>
  <c r="AK209" i="19"/>
  <c r="AI209" i="19"/>
  <c r="AP288" i="19"/>
  <c r="AD288" i="19" s="1"/>
  <c r="AM288" i="19"/>
  <c r="AL288" i="19"/>
  <c r="AK288" i="19"/>
  <c r="AJ288" i="19"/>
  <c r="AI288" i="19"/>
  <c r="AP370" i="19"/>
  <c r="AD370" i="19" s="1"/>
  <c r="AL370" i="19"/>
  <c r="AJ370" i="19"/>
  <c r="AM370" i="19"/>
  <c r="AK370" i="19"/>
  <c r="AI370" i="19"/>
  <c r="AJ365" i="19"/>
  <c r="AM365" i="19"/>
  <c r="AI365" i="19"/>
  <c r="AP365" i="19"/>
  <c r="AD365" i="19" s="1"/>
  <c r="AK365" i="19"/>
  <c r="AL365" i="19"/>
  <c r="AJ520" i="19"/>
  <c r="AP520" i="19"/>
  <c r="AD520" i="19" s="1"/>
  <c r="AK520" i="19"/>
  <c r="AI520" i="19"/>
  <c r="AM520" i="19"/>
  <c r="AL520" i="19"/>
  <c r="AL622" i="19"/>
  <c r="AJ622" i="19"/>
  <c r="AI622" i="19"/>
  <c r="AM622" i="19"/>
  <c r="AK622" i="19"/>
  <c r="AP622" i="19"/>
  <c r="AD622" i="19" s="1"/>
  <c r="AM216" i="19"/>
  <c r="AK216" i="19"/>
  <c r="AL216" i="19"/>
  <c r="AP216" i="19"/>
  <c r="AD216" i="19" s="1"/>
  <c r="AJ216" i="19"/>
  <c r="AI216" i="19"/>
  <c r="AL848" i="19"/>
  <c r="AI848" i="19"/>
  <c r="AP848" i="19"/>
  <c r="AD848" i="19" s="1"/>
  <c r="AM848" i="19"/>
  <c r="AJ848" i="19"/>
  <c r="AK848" i="19"/>
  <c r="AM1137" i="19"/>
  <c r="AL1137" i="19"/>
  <c r="AP1137" i="19"/>
  <c r="AD1137" i="19" s="1"/>
  <c r="AI1137" i="19"/>
  <c r="AA1134" i="55" s="1"/>
  <c r="AK1137" i="19"/>
  <c r="AJ1137" i="19"/>
  <c r="AL1144" i="19"/>
  <c r="AI1144" i="19"/>
  <c r="AA1141" i="55" s="1"/>
  <c r="AK1144" i="19"/>
  <c r="AP1144" i="19"/>
  <c r="AD1144" i="19" s="1"/>
  <c r="AM1144" i="19"/>
  <c r="AJ1144" i="19"/>
  <c r="AL1006" i="19"/>
  <c r="AP1006" i="19"/>
  <c r="AD1006" i="19" s="1"/>
  <c r="AM1006" i="19"/>
  <c r="AJ1006" i="19"/>
  <c r="AI1006" i="19"/>
  <c r="AK1006" i="19"/>
  <c r="AL1002" i="19"/>
  <c r="AP1002" i="19"/>
  <c r="AD1002" i="19" s="1"/>
  <c r="AM1002" i="19"/>
  <c r="AI1002" i="19"/>
  <c r="AJ1002" i="19"/>
  <c r="AK1002" i="19"/>
  <c r="AP1130" i="19"/>
  <c r="AD1130" i="19" s="1"/>
  <c r="AK1130" i="19"/>
  <c r="AL1130" i="19"/>
  <c r="AM1130" i="19"/>
  <c r="AJ1130" i="19"/>
  <c r="AI1130" i="19"/>
  <c r="AL475" i="19"/>
  <c r="AM475" i="19"/>
  <c r="AJ475" i="19"/>
  <c r="AK475" i="19"/>
  <c r="AI475" i="19"/>
  <c r="AP475" i="19"/>
  <c r="AD475" i="19" s="1"/>
  <c r="AL751" i="19"/>
  <c r="AM751" i="19"/>
  <c r="AK751" i="19"/>
  <c r="AP751" i="19"/>
  <c r="AD751" i="19" s="1"/>
  <c r="AI751" i="19"/>
  <c r="AJ751" i="19"/>
  <c r="AI109" i="19"/>
  <c r="AA109" i="44" s="1"/>
  <c r="AK109" i="19"/>
  <c r="AJ109" i="19"/>
  <c r="AM109" i="19"/>
  <c r="AL109" i="19"/>
  <c r="AP109" i="19"/>
  <c r="AD109" i="19" s="1"/>
  <c r="AP269" i="19"/>
  <c r="AD269" i="19" s="1"/>
  <c r="AL269" i="19"/>
  <c r="AI269" i="19"/>
  <c r="AJ269" i="19"/>
  <c r="AM269" i="19"/>
  <c r="AK269" i="19"/>
  <c r="AP345" i="19"/>
  <c r="AD345" i="19" s="1"/>
  <c r="AJ345" i="19"/>
  <c r="AI345" i="19"/>
  <c r="AK345" i="19"/>
  <c r="AL345" i="19"/>
  <c r="AM345" i="19"/>
  <c r="AL482" i="19"/>
  <c r="AI482" i="19"/>
  <c r="AP482" i="19"/>
  <c r="AD482" i="19" s="1"/>
  <c r="AM482" i="19"/>
  <c r="AJ482" i="19"/>
  <c r="AK482" i="19"/>
  <c r="AJ196" i="19"/>
  <c r="AK196" i="19"/>
  <c r="AI196" i="19"/>
  <c r="AP196" i="19"/>
  <c r="AD196" i="19" s="1"/>
  <c r="AL196" i="19"/>
  <c r="AM196" i="19"/>
  <c r="AJ546" i="19"/>
  <c r="AK546" i="19"/>
  <c r="AP546" i="19"/>
  <c r="AD546" i="19" s="1"/>
  <c r="AI546" i="19"/>
  <c r="AL546" i="19"/>
  <c r="AM546" i="19"/>
  <c r="AJ787" i="19"/>
  <c r="AP787" i="19"/>
  <c r="AD787" i="19" s="1"/>
  <c r="AL787" i="19"/>
  <c r="AI787" i="19"/>
  <c r="AM787" i="19"/>
  <c r="AK787" i="19"/>
  <c r="AM493" i="19"/>
  <c r="AK493" i="19"/>
  <c r="AP493" i="19"/>
  <c r="AD493" i="19" s="1"/>
  <c r="AL493" i="19"/>
  <c r="AI493" i="19"/>
  <c r="AJ493" i="19"/>
  <c r="AM640" i="19"/>
  <c r="AK640" i="19"/>
  <c r="AP640" i="19"/>
  <c r="AD640" i="19" s="1"/>
  <c r="AI640" i="19"/>
  <c r="AJ640" i="19"/>
  <c r="AL640" i="19"/>
  <c r="AJ776" i="19"/>
  <c r="AK776" i="19"/>
  <c r="AL776" i="19"/>
  <c r="AI776" i="19"/>
  <c r="AM776" i="19"/>
  <c r="AP776" i="19"/>
  <c r="AD776" i="19" s="1"/>
  <c r="AJ338" i="19"/>
  <c r="AL338" i="19"/>
  <c r="AK338" i="19"/>
  <c r="AI338" i="19"/>
  <c r="AA335" i="53" s="1"/>
  <c r="AP338" i="19"/>
  <c r="AD338" i="19" s="1"/>
  <c r="AM338" i="19"/>
  <c r="AL494" i="19"/>
  <c r="AP494" i="19"/>
  <c r="AD494" i="19" s="1"/>
  <c r="AM494" i="19"/>
  <c r="AI494" i="19"/>
  <c r="AJ494" i="19"/>
  <c r="AK494" i="19"/>
  <c r="AL778" i="19"/>
  <c r="AI778" i="19"/>
  <c r="AJ778" i="19"/>
  <c r="AK778" i="19"/>
  <c r="AP778" i="19"/>
  <c r="AD778" i="19" s="1"/>
  <c r="AM778" i="19"/>
  <c r="AM924" i="19"/>
  <c r="AJ924" i="19"/>
  <c r="AL924" i="19"/>
  <c r="AI924" i="19"/>
  <c r="AK924" i="19"/>
  <c r="AP924" i="19"/>
  <c r="AD924" i="19" s="1"/>
  <c r="AL1121" i="19"/>
  <c r="AI1121" i="19"/>
  <c r="AK1121" i="19"/>
  <c r="AP1121" i="19"/>
  <c r="AD1121" i="19" s="1"/>
  <c r="AM1121" i="19"/>
  <c r="AJ1121" i="19"/>
  <c r="AM572" i="19"/>
  <c r="AK572" i="19"/>
  <c r="AP572" i="19"/>
  <c r="AD572" i="19" s="1"/>
  <c r="AJ572" i="19"/>
  <c r="AL572" i="19"/>
  <c r="AI572" i="19"/>
  <c r="AP1155" i="19"/>
  <c r="AD1155" i="19" s="1"/>
  <c r="AL1155" i="19"/>
  <c r="AI1155" i="19"/>
  <c r="AA1152" i="55" s="1"/>
  <c r="AJ1155" i="19"/>
  <c r="AM1155" i="19"/>
  <c r="AK1155" i="19"/>
  <c r="AL1132" i="19"/>
  <c r="AM1132" i="19"/>
  <c r="AJ1132" i="19"/>
  <c r="AI1132" i="19"/>
  <c r="AP1132" i="19"/>
  <c r="AD1132" i="19" s="1"/>
  <c r="AK1132" i="19"/>
  <c r="AL1188" i="19"/>
  <c r="AJ1188" i="19"/>
  <c r="AP1188" i="19"/>
  <c r="AD1188" i="19" s="1"/>
  <c r="AM1188" i="19"/>
  <c r="AK1188" i="19"/>
  <c r="AI1188" i="19"/>
  <c r="AL1098" i="19"/>
  <c r="AJ1098" i="19"/>
  <c r="AK1098" i="19"/>
  <c r="AI1098" i="19"/>
  <c r="AA1095" i="54" s="1"/>
  <c r="AP1098" i="19"/>
  <c r="AD1098" i="19" s="1"/>
  <c r="AM1098" i="19"/>
  <c r="AP1182" i="19"/>
  <c r="AD1182" i="19" s="1"/>
  <c r="AI1182" i="19"/>
  <c r="AA1179" i="55" s="1"/>
  <c r="AK1182" i="19"/>
  <c r="AL1182" i="19"/>
  <c r="AJ1182" i="19"/>
  <c r="AM1182" i="19"/>
  <c r="AJ571" i="19"/>
  <c r="AK571" i="19"/>
  <c r="AI571" i="19"/>
  <c r="AM571" i="19"/>
  <c r="AP571" i="19"/>
  <c r="AD571" i="19" s="1"/>
  <c r="AL571" i="19"/>
  <c r="AL73" i="19"/>
  <c r="AI73" i="19"/>
  <c r="AA73" i="44" s="1"/>
  <c r="AJ73" i="19"/>
  <c r="AP73" i="19"/>
  <c r="AD73" i="19" s="1"/>
  <c r="AM73" i="19"/>
  <c r="AK73" i="19"/>
  <c r="AP161" i="19"/>
  <c r="AD161" i="19" s="1"/>
  <c r="AI161" i="19"/>
  <c r="AA161" i="52" s="1"/>
  <c r="AM161" i="19"/>
  <c r="AJ161" i="19"/>
  <c r="AK161" i="19"/>
  <c r="AL161" i="19"/>
  <c r="AI68" i="19"/>
  <c r="AL68" i="19"/>
  <c r="AM68" i="19"/>
  <c r="AP68" i="19"/>
  <c r="AD68" i="19" s="1"/>
  <c r="AK68" i="19"/>
  <c r="AJ68" i="19"/>
  <c r="AJ577" i="19"/>
  <c r="AK577" i="19"/>
  <c r="AM577" i="19"/>
  <c r="AP577" i="19"/>
  <c r="AD577" i="19" s="1"/>
  <c r="AL577" i="19"/>
  <c r="AI577" i="19"/>
  <c r="AA574" i="53" s="1"/>
  <c r="AI64" i="19"/>
  <c r="AL64" i="19"/>
  <c r="AP64" i="19"/>
  <c r="AD64" i="19" s="1"/>
  <c r="AK64" i="19"/>
  <c r="AJ64" i="19"/>
  <c r="AM64" i="19"/>
  <c r="AM323" i="19"/>
  <c r="AK323" i="19"/>
  <c r="AL323" i="19"/>
  <c r="AJ323" i="19"/>
  <c r="AI323" i="19"/>
  <c r="AA320" i="53" s="1"/>
  <c r="AP323" i="19"/>
  <c r="AD323" i="19" s="1"/>
  <c r="AP513" i="19"/>
  <c r="AD513" i="19" s="1"/>
  <c r="AL513" i="19"/>
  <c r="AJ513" i="19"/>
  <c r="AI513" i="19"/>
  <c r="AK513" i="19"/>
  <c r="AM513" i="19"/>
  <c r="AL728" i="19"/>
  <c r="AM728" i="19"/>
  <c r="AI728" i="19"/>
  <c r="AJ728" i="19"/>
  <c r="AK728" i="19"/>
  <c r="AP728" i="19"/>
  <c r="AD728" i="19" s="1"/>
  <c r="AL401" i="19"/>
  <c r="AI401" i="19"/>
  <c r="AK401" i="19"/>
  <c r="AM401" i="19"/>
  <c r="AJ401" i="19"/>
  <c r="AP401" i="19"/>
  <c r="AD401" i="19" s="1"/>
  <c r="AM534" i="19"/>
  <c r="AI534" i="19"/>
  <c r="AK534" i="19"/>
  <c r="AJ534" i="19"/>
  <c r="AP534" i="19"/>
  <c r="AD534" i="19" s="1"/>
  <c r="AL534" i="19"/>
  <c r="AL708" i="19"/>
  <c r="AK708" i="19"/>
  <c r="AI708" i="19"/>
  <c r="AP708" i="19"/>
  <c r="AD708" i="19" s="1"/>
  <c r="AM708" i="19"/>
  <c r="AJ708" i="19"/>
  <c r="AL863" i="19"/>
  <c r="AI863" i="19"/>
  <c r="AM863" i="19"/>
  <c r="AK863" i="19"/>
  <c r="AP863" i="19"/>
  <c r="AD863" i="19" s="1"/>
  <c r="AJ863" i="19"/>
  <c r="AP888" i="19"/>
  <c r="AD888" i="19" s="1"/>
  <c r="AI888" i="19"/>
  <c r="AK888" i="19"/>
  <c r="AM888" i="19"/>
  <c r="AJ888" i="19"/>
  <c r="AL888" i="19"/>
  <c r="AK993" i="19"/>
  <c r="AJ993" i="19"/>
  <c r="AI993" i="19"/>
  <c r="AP993" i="19"/>
  <c r="AD993" i="19" s="1"/>
  <c r="AL993" i="19"/>
  <c r="AM993" i="19"/>
  <c r="AP1069" i="19"/>
  <c r="AD1069" i="19" s="1"/>
  <c r="AM1069" i="19"/>
  <c r="AJ1069" i="19"/>
  <c r="AL1069" i="19"/>
  <c r="AK1069" i="19"/>
  <c r="AI1069" i="19"/>
  <c r="AJ950" i="19"/>
  <c r="AK950" i="19"/>
  <c r="AI950" i="19"/>
  <c r="AA947" i="54" s="1"/>
  <c r="AP950" i="19"/>
  <c r="AD950" i="19" s="1"/>
  <c r="AL950" i="19"/>
  <c r="AM950" i="19"/>
  <c r="AP730" i="19"/>
  <c r="AD730" i="19" s="1"/>
  <c r="AI730" i="19"/>
  <c r="AM730" i="19"/>
  <c r="AK730" i="19"/>
  <c r="AL730" i="19"/>
  <c r="AJ730" i="19"/>
  <c r="AM1123" i="19"/>
  <c r="AJ1123" i="19"/>
  <c r="AL1123" i="19"/>
  <c r="AI1123" i="19"/>
  <c r="AK1123" i="19"/>
  <c r="AP1123" i="19"/>
  <c r="AD1123" i="19" s="1"/>
  <c r="AM560" i="19"/>
  <c r="AJ560" i="19"/>
  <c r="AK560" i="19"/>
  <c r="AP560" i="19"/>
  <c r="AD560" i="19" s="1"/>
  <c r="AI560" i="19"/>
  <c r="AL560" i="19"/>
  <c r="AM984" i="19"/>
  <c r="AP984" i="19"/>
  <c r="AD984" i="19" s="1"/>
  <c r="AK984" i="19"/>
  <c r="AL984" i="19"/>
  <c r="AI984" i="19"/>
  <c r="AJ984" i="19"/>
  <c r="AL1084" i="19"/>
  <c r="AP1084" i="19"/>
  <c r="AD1084" i="19" s="1"/>
  <c r="AJ1084" i="19"/>
  <c r="AI1084" i="19"/>
  <c r="AM1084" i="19"/>
  <c r="AK1084" i="19"/>
  <c r="AI1154" i="19"/>
  <c r="AA1151" i="55" s="1"/>
  <c r="AM1154" i="19"/>
  <c r="AJ1154" i="19"/>
  <c r="AP1154" i="19"/>
  <c r="AD1154" i="19" s="1"/>
  <c r="AK1154" i="19"/>
  <c r="AL1154" i="19"/>
  <c r="AJ55" i="19"/>
  <c r="AP55" i="19"/>
  <c r="AD55" i="19" s="1"/>
  <c r="AI55" i="19"/>
  <c r="AK55" i="19"/>
  <c r="AL55" i="19"/>
  <c r="AM55" i="19"/>
  <c r="AL87" i="19"/>
  <c r="AP87" i="19"/>
  <c r="AD87" i="19" s="1"/>
  <c r="AM87" i="19"/>
  <c r="AJ87" i="19"/>
  <c r="AI87" i="19"/>
  <c r="AA87" i="44" s="1"/>
  <c r="AK87" i="19"/>
  <c r="AP139" i="19"/>
  <c r="AD139" i="19" s="1"/>
  <c r="AM139" i="19"/>
  <c r="AJ139" i="19"/>
  <c r="AL139" i="19"/>
  <c r="AK139" i="19"/>
  <c r="AI139" i="19"/>
  <c r="AP182" i="19"/>
  <c r="AD182" i="19" s="1"/>
  <c r="AM182" i="19"/>
  <c r="AI182" i="19"/>
  <c r="AA182" i="52" s="1"/>
  <c r="AL182" i="19"/>
  <c r="AK182" i="19"/>
  <c r="AJ182" i="19"/>
  <c r="AL375" i="19"/>
  <c r="AJ375" i="19"/>
  <c r="AP375" i="19"/>
  <c r="AD375" i="19" s="1"/>
  <c r="AM375" i="19"/>
  <c r="AK375" i="19"/>
  <c r="AI375" i="19"/>
  <c r="AL615" i="19"/>
  <c r="AK615" i="19"/>
  <c r="AI615" i="19"/>
  <c r="AJ615" i="19"/>
  <c r="AP615" i="19"/>
  <c r="AD615" i="19" s="1"/>
  <c r="AM615" i="19"/>
  <c r="AJ938" i="19"/>
  <c r="AK938" i="19"/>
  <c r="AL938" i="19"/>
  <c r="AI938" i="19"/>
  <c r="AP938" i="19"/>
  <c r="AD938" i="19" s="1"/>
  <c r="AM938" i="19"/>
  <c r="AJ47" i="19"/>
  <c r="AK47" i="19"/>
  <c r="AM47" i="19"/>
  <c r="AI47" i="19"/>
  <c r="AA47" i="44" s="1"/>
  <c r="AL47" i="19"/>
  <c r="AP47" i="19"/>
  <c r="AD47" i="19" s="1"/>
  <c r="AJ89" i="19"/>
  <c r="AP89" i="19"/>
  <c r="AD89" i="19" s="1"/>
  <c r="AI89" i="19"/>
  <c r="AM89" i="19"/>
  <c r="AK89" i="19"/>
  <c r="AL89" i="19"/>
  <c r="AM116" i="19"/>
  <c r="AK116" i="19"/>
  <c r="AI116" i="19"/>
  <c r="AJ116" i="19"/>
  <c r="AL116" i="19"/>
  <c r="AP116" i="19"/>
  <c r="AD116" i="19" s="1"/>
  <c r="AP151" i="19"/>
  <c r="AD151" i="19" s="1"/>
  <c r="AK151" i="19"/>
  <c r="AI151" i="19"/>
  <c r="AL151" i="19"/>
  <c r="AM151" i="19"/>
  <c r="AJ151" i="19"/>
  <c r="AM190" i="19"/>
  <c r="AK190" i="19"/>
  <c r="AI190" i="19"/>
  <c r="AL190" i="19"/>
  <c r="AJ190" i="19"/>
  <c r="AP190" i="19"/>
  <c r="AD190" i="19" s="1"/>
  <c r="AL289" i="19"/>
  <c r="AP289" i="19"/>
  <c r="AD289" i="19" s="1"/>
  <c r="AM289" i="19"/>
  <c r="AK289" i="19"/>
  <c r="AJ289" i="19"/>
  <c r="AI289" i="19"/>
  <c r="AM364" i="19"/>
  <c r="AL364" i="19"/>
  <c r="AJ364" i="19"/>
  <c r="AP364" i="19"/>
  <c r="AD364" i="19" s="1"/>
  <c r="AK364" i="19"/>
  <c r="AI364" i="19"/>
  <c r="AL579" i="19"/>
  <c r="AM579" i="19"/>
  <c r="AJ579" i="19"/>
  <c r="AI579" i="19"/>
  <c r="AK579" i="19"/>
  <c r="AP579" i="19"/>
  <c r="AD579" i="19" s="1"/>
  <c r="AL831" i="19"/>
  <c r="AM831" i="19"/>
  <c r="AK831" i="19"/>
  <c r="AI831" i="19"/>
  <c r="AP831" i="19"/>
  <c r="AD831" i="19" s="1"/>
  <c r="AJ831" i="19"/>
  <c r="AM90" i="19"/>
  <c r="AK90" i="19"/>
  <c r="AJ90" i="19"/>
  <c r="AP90" i="19"/>
  <c r="AD90" i="19" s="1"/>
  <c r="AL90" i="19"/>
  <c r="AI90" i="19"/>
  <c r="AA90" i="44" s="1"/>
  <c r="AM135" i="19"/>
  <c r="AK135" i="19"/>
  <c r="AP135" i="19"/>
  <c r="AD135" i="19" s="1"/>
  <c r="AL135" i="19"/>
  <c r="AI135" i="19"/>
  <c r="AJ135" i="19"/>
  <c r="AI171" i="19"/>
  <c r="AA171" i="52" s="1"/>
  <c r="AL171" i="19"/>
  <c r="AJ171" i="19"/>
  <c r="AK171" i="19"/>
  <c r="AM171" i="19"/>
  <c r="AP171" i="19"/>
  <c r="AD171" i="19" s="1"/>
  <c r="AL198" i="19"/>
  <c r="AM198" i="19"/>
  <c r="AJ198" i="19"/>
  <c r="AP198" i="19"/>
  <c r="AD198" i="19" s="1"/>
  <c r="AI198" i="19"/>
  <c r="AK198" i="19"/>
  <c r="AM290" i="19"/>
  <c r="AJ290" i="19"/>
  <c r="AI290" i="19"/>
  <c r="AL290" i="19"/>
  <c r="AP290" i="19"/>
  <c r="AD290" i="19" s="1"/>
  <c r="AK290" i="19"/>
  <c r="AM347" i="19"/>
  <c r="AK347" i="19"/>
  <c r="AJ347" i="19"/>
  <c r="AP347" i="19"/>
  <c r="AD347" i="19" s="1"/>
  <c r="AI347" i="19"/>
  <c r="AA344" i="53" s="1"/>
  <c r="AL347" i="19"/>
  <c r="AL49" i="19"/>
  <c r="AJ49" i="19"/>
  <c r="AP49" i="19"/>
  <c r="AD49" i="19" s="1"/>
  <c r="AM49" i="19"/>
  <c r="AK49" i="19"/>
  <c r="AI49" i="19"/>
  <c r="AA49" i="44" s="1"/>
  <c r="AM76" i="19"/>
  <c r="AJ76" i="19"/>
  <c r="AK76" i="19"/>
  <c r="AP76" i="19"/>
  <c r="AD76" i="19" s="1"/>
  <c r="AL76" i="19"/>
  <c r="AI76" i="19"/>
  <c r="AA76" i="44" s="1"/>
  <c r="AJ130" i="19"/>
  <c r="AK130" i="19"/>
  <c r="AM130" i="19"/>
  <c r="AP130" i="19"/>
  <c r="AD130" i="19" s="1"/>
  <c r="AL130" i="19"/>
  <c r="AI130" i="19"/>
  <c r="AM174" i="19"/>
  <c r="AJ174" i="19"/>
  <c r="AK174" i="19"/>
  <c r="AP174" i="19"/>
  <c r="AD174" i="19" s="1"/>
  <c r="AL174" i="19"/>
  <c r="AI174" i="19"/>
  <c r="AA174" i="52" s="1"/>
  <c r="AM202" i="19"/>
  <c r="AJ202" i="19"/>
  <c r="AL202" i="19"/>
  <c r="AI202" i="19"/>
  <c r="AK202" i="19"/>
  <c r="AP202" i="19"/>
  <c r="AD202" i="19" s="1"/>
  <c r="AJ247" i="19"/>
  <c r="AK247" i="19"/>
  <c r="AM247" i="19"/>
  <c r="AP247" i="19"/>
  <c r="AD247" i="19" s="1"/>
  <c r="AL247" i="19"/>
  <c r="AI247" i="19"/>
  <c r="AM293" i="19"/>
  <c r="AK293" i="19"/>
  <c r="AI293" i="19"/>
  <c r="AJ293" i="19"/>
  <c r="AL293" i="19"/>
  <c r="AP293" i="19"/>
  <c r="AD293" i="19" s="1"/>
  <c r="AJ333" i="19"/>
  <c r="AL333" i="19"/>
  <c r="AI333" i="19"/>
  <c r="AK333" i="19"/>
  <c r="AM333" i="19"/>
  <c r="AP333" i="19"/>
  <c r="AD333" i="19" s="1"/>
  <c r="AL431" i="19"/>
  <c r="AP431" i="19"/>
  <c r="AD431" i="19" s="1"/>
  <c r="AI431" i="19"/>
  <c r="AM431" i="19"/>
  <c r="AJ431" i="19"/>
  <c r="AK431" i="19"/>
  <c r="AP744" i="19"/>
  <c r="AD744" i="19" s="1"/>
  <c r="AI744" i="19"/>
  <c r="AK744" i="19"/>
  <c r="AJ744" i="19"/>
  <c r="AL744" i="19"/>
  <c r="AM744" i="19"/>
  <c r="AM1031" i="19"/>
  <c r="AL1031" i="19"/>
  <c r="AI1031" i="19"/>
  <c r="AJ1031" i="19"/>
  <c r="AK1031" i="19"/>
  <c r="AP1031" i="19"/>
  <c r="Y945" i="19"/>
  <c r="Y353" i="19"/>
  <c r="Y569" i="19"/>
  <c r="Y177" i="19"/>
  <c r="Y611" i="19"/>
  <c r="AK828" i="19"/>
  <c r="AJ620" i="19"/>
  <c r="AM620" i="19"/>
  <c r="AK620" i="19"/>
  <c r="AL620" i="19"/>
  <c r="AP620" i="19"/>
  <c r="AD620" i="19" s="1"/>
  <c r="AI620" i="19"/>
  <c r="AJ978" i="19"/>
  <c r="AL978" i="19"/>
  <c r="AK978" i="19"/>
  <c r="AP978" i="19"/>
  <c r="AD978" i="19" s="1"/>
  <c r="AI978" i="19"/>
  <c r="AM978" i="19"/>
  <c r="AL227" i="19"/>
  <c r="AI227" i="19"/>
  <c r="AJ227" i="19"/>
  <c r="AM227" i="19"/>
  <c r="AK227" i="19"/>
  <c r="AP227" i="19"/>
  <c r="AD227" i="19" s="1"/>
  <c r="Y802" i="19"/>
  <c r="Y195" i="19"/>
  <c r="AL548" i="19"/>
  <c r="AK548" i="19"/>
  <c r="AJ548" i="19"/>
  <c r="AP548" i="19"/>
  <c r="AD548" i="19" s="1"/>
  <c r="AI548" i="19"/>
  <c r="AM548" i="19"/>
  <c r="AL217" i="19"/>
  <c r="AI217" i="19"/>
  <c r="AM217" i="19"/>
  <c r="AK217" i="19"/>
  <c r="AJ217" i="19"/>
  <c r="AP217" i="19"/>
  <c r="AD217" i="19" s="1"/>
  <c r="AM606" i="19"/>
  <c r="AP606" i="19"/>
  <c r="AD606" i="19" s="1"/>
  <c r="AL606" i="19"/>
  <c r="AI606" i="19"/>
  <c r="AJ606" i="19"/>
  <c r="AK606" i="19"/>
  <c r="Y719" i="19"/>
  <c r="Y971" i="19"/>
  <c r="Y489" i="19"/>
  <c r="AL485" i="19"/>
  <c r="Y897" i="19"/>
  <c r="AJ31" i="19"/>
  <c r="AK31" i="19"/>
  <c r="AL31" i="19"/>
  <c r="AP31" i="19"/>
  <c r="AD31" i="19" s="1"/>
  <c r="AI31" i="19"/>
  <c r="AM31" i="19"/>
  <c r="Y668" i="19"/>
  <c r="Y60" i="19"/>
  <c r="Y457" i="19"/>
  <c r="AL61" i="19"/>
  <c r="AP61" i="19"/>
  <c r="AD61" i="19" s="1"/>
  <c r="AI61" i="19"/>
  <c r="AK61" i="19"/>
  <c r="AJ61" i="19"/>
  <c r="AM61" i="19"/>
  <c r="Y505" i="19"/>
  <c r="AL688" i="19"/>
  <c r="AI688" i="19"/>
  <c r="AP688" i="19"/>
  <c r="AD688" i="19" s="1"/>
  <c r="AM688" i="19"/>
  <c r="AJ688" i="19"/>
  <c r="AK688" i="19"/>
  <c r="Y935" i="19"/>
  <c r="AL272" i="19"/>
  <c r="AI272" i="19"/>
  <c r="AM272" i="19"/>
  <c r="AK272" i="19"/>
  <c r="AJ272" i="19"/>
  <c r="AP272" i="19"/>
  <c r="AD272" i="19" s="1"/>
  <c r="Y685" i="19"/>
  <c r="AL236" i="19"/>
  <c r="AJ236" i="19"/>
  <c r="AM236" i="19"/>
  <c r="AK236" i="19"/>
  <c r="AI236" i="19"/>
  <c r="AP236" i="19"/>
  <c r="AD236" i="19" s="1"/>
  <c r="Y695" i="19"/>
  <c r="AK745" i="19"/>
  <c r="AL745" i="19"/>
  <c r="AJ745" i="19"/>
  <c r="AM745" i="19"/>
  <c r="AP745" i="19"/>
  <c r="AD745" i="19" s="1"/>
  <c r="AI745" i="19"/>
  <c r="AL439" i="19"/>
  <c r="AM439" i="19"/>
  <c r="AJ439" i="19"/>
  <c r="AK439" i="19"/>
  <c r="AP439" i="19"/>
  <c r="AD439" i="19" s="1"/>
  <c r="AI439" i="19"/>
  <c r="AP642" i="19"/>
  <c r="AD642" i="19" s="1"/>
  <c r="AM642" i="19"/>
  <c r="AJ642" i="19"/>
  <c r="AK642" i="19"/>
  <c r="AL642" i="19"/>
  <c r="AI642" i="19"/>
  <c r="Y274" i="19"/>
  <c r="AL811" i="19"/>
  <c r="AM811" i="19"/>
  <c r="AP811" i="19"/>
  <c r="AD811" i="19" s="1"/>
  <c r="AI811" i="19"/>
  <c r="AJ811" i="19"/>
  <c r="AK811" i="19"/>
  <c r="Y267" i="19"/>
  <c r="AM644" i="19"/>
  <c r="AL644" i="19"/>
  <c r="AJ644" i="19"/>
  <c r="AK644" i="19"/>
  <c r="AP644" i="19"/>
  <c r="AD644" i="19" s="1"/>
  <c r="AI644" i="19"/>
  <c r="AJ861" i="19"/>
  <c r="AK861" i="19"/>
  <c r="AP861" i="19"/>
  <c r="AD861" i="19" s="1"/>
  <c r="AL861" i="19"/>
  <c r="AI861" i="19"/>
  <c r="AM861" i="19"/>
  <c r="AJ46" i="19"/>
  <c r="AI46" i="19"/>
  <c r="AL46" i="19"/>
  <c r="AK46" i="19"/>
  <c r="AM46" i="19"/>
  <c r="AP46" i="19"/>
  <c r="AD46" i="19" s="1"/>
  <c r="Y551" i="19"/>
  <c r="AL809" i="19"/>
  <c r="AM809" i="19"/>
  <c r="AJ809" i="19"/>
  <c r="AK809" i="19"/>
  <c r="AI809" i="19"/>
  <c r="AP809" i="19"/>
  <c r="AD809" i="19" s="1"/>
  <c r="Y604" i="19"/>
  <c r="Y944" i="19"/>
  <c r="AM166" i="19"/>
  <c r="AK166" i="19"/>
  <c r="AJ166" i="19"/>
  <c r="AP166" i="19"/>
  <c r="AD166" i="19" s="1"/>
  <c r="AL166" i="19"/>
  <c r="AI166" i="19"/>
  <c r="AJ780" i="19"/>
  <c r="AM780" i="19"/>
  <c r="AP780" i="19"/>
  <c r="AD780" i="19" s="1"/>
  <c r="AK780" i="19"/>
  <c r="AL780" i="19"/>
  <c r="AI780" i="19"/>
  <c r="Y167" i="19"/>
  <c r="AM539" i="19"/>
  <c r="AK539" i="19"/>
  <c r="AI539" i="19"/>
  <c r="AJ539" i="19"/>
  <c r="AP539" i="19"/>
  <c r="AD539" i="19" s="1"/>
  <c r="AL539" i="19"/>
  <c r="Y176" i="19"/>
  <c r="Y601" i="19"/>
  <c r="AJ715" i="19"/>
  <c r="AK715" i="19"/>
  <c r="AL715" i="19"/>
  <c r="AP715" i="19"/>
  <c r="AD715" i="19" s="1"/>
  <c r="AI715" i="19"/>
  <c r="AM715" i="19"/>
  <c r="AJ966" i="19"/>
  <c r="AI966" i="19"/>
  <c r="AK966" i="19"/>
  <c r="AP966" i="19"/>
  <c r="AD966" i="19" s="1"/>
  <c r="AM966" i="19"/>
  <c r="AL966" i="19"/>
  <c r="AJ296" i="19"/>
  <c r="AP296" i="19"/>
  <c r="AD296" i="19" s="1"/>
  <c r="AM296" i="19"/>
  <c r="AK296" i="19"/>
  <c r="AI296" i="19"/>
  <c r="AL296" i="19"/>
  <c r="AI1039" i="19"/>
  <c r="AL1039" i="19"/>
  <c r="AM1039" i="19"/>
  <c r="AJ1039" i="19"/>
  <c r="AK1039" i="19"/>
  <c r="AP1039" i="19"/>
  <c r="AD1039" i="19" s="1"/>
  <c r="AM1038" i="19"/>
  <c r="AK1038" i="19"/>
  <c r="AI1038" i="19"/>
  <c r="AJ1038" i="19"/>
  <c r="AL1038" i="19"/>
  <c r="AP1038" i="19"/>
  <c r="AD1038" i="19" s="1"/>
  <c r="AL948" i="19"/>
  <c r="AI948" i="19"/>
  <c r="AJ948" i="19"/>
  <c r="AM948" i="19"/>
  <c r="AK948" i="19"/>
  <c r="AP948" i="19"/>
  <c r="AD948" i="19" s="1"/>
  <c r="AI1055" i="19"/>
  <c r="AK1055" i="19"/>
  <c r="AJ1055" i="19"/>
  <c r="AP1055" i="19"/>
  <c r="AD1055" i="19" s="1"/>
  <c r="AL1055" i="19"/>
  <c r="AM1055" i="19"/>
  <c r="AM1054" i="19"/>
  <c r="AP1054" i="19"/>
  <c r="AD1054" i="19" s="1"/>
  <c r="AJ1054" i="19"/>
  <c r="AK1054" i="19"/>
  <c r="AL1054" i="19"/>
  <c r="AI1054" i="19"/>
  <c r="AI464" i="19"/>
  <c r="AL315" i="19"/>
  <c r="AI315" i="19"/>
  <c r="AK315" i="19"/>
  <c r="AL256" i="19"/>
  <c r="AJ760" i="19"/>
  <c r="AM512" i="19"/>
  <c r="AP512" i="19"/>
  <c r="AD512" i="19" s="1"/>
  <c r="AL521" i="19"/>
  <c r="AK769" i="19"/>
  <c r="AP769" i="19"/>
  <c r="AD769" i="19" s="1"/>
  <c r="AP550" i="19"/>
  <c r="AD550" i="19" s="1"/>
  <c r="AP530" i="19"/>
  <c r="AD530" i="19" s="1"/>
  <c r="AJ97" i="19"/>
  <c r="AM97" i="19"/>
  <c r="AK97" i="19"/>
  <c r="AL775" i="19"/>
  <c r="AK650" i="19"/>
  <c r="AI441" i="19"/>
  <c r="AK441" i="19"/>
  <c r="AJ441" i="19"/>
  <c r="Y851" i="19"/>
  <c r="Y565" i="19"/>
  <c r="Y702" i="19"/>
  <c r="Y317" i="19"/>
  <c r="AM367" i="19"/>
  <c r="AJ367" i="19"/>
  <c r="AI367" i="19"/>
  <c r="AP367" i="19"/>
  <c r="AD367" i="19" s="1"/>
  <c r="AK367" i="19"/>
  <c r="AL367" i="19"/>
  <c r="AL305" i="19"/>
  <c r="AJ305" i="19"/>
  <c r="AP305" i="19"/>
  <c r="AD305" i="19" s="1"/>
  <c r="AM305" i="19"/>
  <c r="AI305" i="19"/>
  <c r="AK305" i="19"/>
  <c r="AJ503" i="19"/>
  <c r="AM503" i="19"/>
  <c r="AK503" i="19"/>
  <c r="AP503" i="19"/>
  <c r="AD503" i="19" s="1"/>
  <c r="AL503" i="19"/>
  <c r="AI503" i="19"/>
  <c r="AM117" i="19"/>
  <c r="AK117" i="19"/>
  <c r="AI117" i="19"/>
  <c r="AJ117" i="19"/>
  <c r="AL117" i="19"/>
  <c r="AP117" i="19"/>
  <c r="AD117" i="19" s="1"/>
  <c r="AP277" i="19"/>
  <c r="AD277" i="19" s="1"/>
  <c r="AI277" i="19"/>
  <c r="AJ277" i="19"/>
  <c r="AL277" i="19"/>
  <c r="AM277" i="19"/>
  <c r="AK277" i="19"/>
  <c r="AL366" i="19"/>
  <c r="AK366" i="19"/>
  <c r="AI366" i="19"/>
  <c r="AJ366" i="19"/>
  <c r="AP366" i="19"/>
  <c r="AD366" i="19" s="1"/>
  <c r="AM366" i="19"/>
  <c r="AM248" i="19"/>
  <c r="AP248" i="19"/>
  <c r="AD248" i="19" s="1"/>
  <c r="AL248" i="19"/>
  <c r="AJ248" i="19"/>
  <c r="AK248" i="19"/>
  <c r="AI248" i="19"/>
  <c r="AM361" i="19"/>
  <c r="AL361" i="19"/>
  <c r="AK361" i="19"/>
  <c r="AJ361" i="19"/>
  <c r="AP361" i="19"/>
  <c r="AD361" i="19" s="1"/>
  <c r="AI361" i="19"/>
  <c r="AJ212" i="19"/>
  <c r="AL212" i="19"/>
  <c r="AK212" i="19"/>
  <c r="AP212" i="19"/>
  <c r="AD212" i="19" s="1"/>
  <c r="AM212" i="19"/>
  <c r="AI212" i="19"/>
  <c r="AM450" i="19"/>
  <c r="AK450" i="19"/>
  <c r="AJ450" i="19"/>
  <c r="AP450" i="19"/>
  <c r="AD450" i="19" s="1"/>
  <c r="AL450" i="19"/>
  <c r="AI450" i="19"/>
  <c r="AP554" i="19"/>
  <c r="AD554" i="19" s="1"/>
  <c r="AJ554" i="19"/>
  <c r="AI554" i="19"/>
  <c r="AM554" i="19"/>
  <c r="AK554" i="19"/>
  <c r="AL554" i="19"/>
  <c r="AJ690" i="19"/>
  <c r="AP690" i="19"/>
  <c r="AD690" i="19" s="1"/>
  <c r="AI690" i="19"/>
  <c r="AM690" i="19"/>
  <c r="AK690" i="19"/>
  <c r="AL690" i="19"/>
  <c r="AL348" i="19"/>
  <c r="AK348" i="19"/>
  <c r="AP348" i="19"/>
  <c r="AD348" i="19" s="1"/>
  <c r="AI348" i="19"/>
  <c r="AJ348" i="19"/>
  <c r="AM348" i="19"/>
  <c r="AP502" i="19"/>
  <c r="AD502" i="19" s="1"/>
  <c r="AL502" i="19"/>
  <c r="AI502" i="19"/>
  <c r="AM502" i="19"/>
  <c r="AJ502" i="19"/>
  <c r="AK502" i="19"/>
  <c r="AM844" i="19"/>
  <c r="AL844" i="19"/>
  <c r="AI844" i="19"/>
  <c r="AK844" i="19"/>
  <c r="AJ844" i="19"/>
  <c r="AP844" i="19"/>
  <c r="AD844" i="19" s="1"/>
  <c r="AP1133" i="19"/>
  <c r="AD1133" i="19" s="1"/>
  <c r="AL1133" i="19"/>
  <c r="AJ1133" i="19"/>
  <c r="AK1133" i="19"/>
  <c r="AI1133" i="19"/>
  <c r="AM1133" i="19"/>
  <c r="AM621" i="19"/>
  <c r="AI621" i="19"/>
  <c r="AL621" i="19"/>
  <c r="AK621" i="19"/>
  <c r="AJ621" i="19"/>
  <c r="AP621" i="19"/>
  <c r="AD621" i="19" s="1"/>
  <c r="AL824" i="19"/>
  <c r="AK824" i="19"/>
  <c r="AP824" i="19"/>
  <c r="AD824" i="19" s="1"/>
  <c r="AI824" i="19"/>
  <c r="AM824" i="19"/>
  <c r="AJ824" i="19"/>
  <c r="AM955" i="19"/>
  <c r="AJ955" i="19"/>
  <c r="AK955" i="19"/>
  <c r="AL955" i="19"/>
  <c r="AP955" i="19"/>
  <c r="AD955" i="19" s="1"/>
  <c r="AI955" i="19"/>
  <c r="AA952" i="54" s="1"/>
  <c r="AL785" i="19"/>
  <c r="AM785" i="19"/>
  <c r="AP785" i="19"/>
  <c r="AD785" i="19" s="1"/>
  <c r="AI785" i="19"/>
  <c r="AJ785" i="19"/>
  <c r="AK785" i="19"/>
  <c r="AP1140" i="19"/>
  <c r="AD1140" i="19" s="1"/>
  <c r="AJ1140" i="19"/>
  <c r="AM1140" i="19"/>
  <c r="AK1140" i="19"/>
  <c r="AI1140" i="19"/>
  <c r="AL1140" i="19"/>
  <c r="AM1142" i="19"/>
  <c r="AL1142" i="19"/>
  <c r="AP1142" i="19"/>
  <c r="AD1142" i="19" s="1"/>
  <c r="AJ1142" i="19"/>
  <c r="AK1142" i="19"/>
  <c r="AI1142" i="19"/>
  <c r="AA1139" i="55" s="1"/>
  <c r="AJ555" i="19"/>
  <c r="AK555" i="19"/>
  <c r="AI555" i="19"/>
  <c r="AP555" i="19"/>
  <c r="AD555" i="19" s="1"/>
  <c r="AM555" i="19"/>
  <c r="AL555" i="19"/>
  <c r="AP149" i="19"/>
  <c r="AD149" i="19" s="1"/>
  <c r="AM149" i="19"/>
  <c r="AL149" i="19"/>
  <c r="AI149" i="19"/>
  <c r="AJ149" i="19"/>
  <c r="AK149" i="19"/>
  <c r="AL225" i="19"/>
  <c r="AI225" i="19"/>
  <c r="AM225" i="19"/>
  <c r="AK225" i="19"/>
  <c r="AJ225" i="19"/>
  <c r="AP225" i="19"/>
  <c r="AD225" i="19" s="1"/>
  <c r="AL380" i="19"/>
  <c r="AP380" i="19"/>
  <c r="AD380" i="19" s="1"/>
  <c r="AI380" i="19"/>
  <c r="AJ380" i="19"/>
  <c r="AM380" i="19"/>
  <c r="AK380" i="19"/>
  <c r="AP448" i="19"/>
  <c r="AD448" i="19" s="1"/>
  <c r="AJ448" i="19"/>
  <c r="AI448" i="19"/>
  <c r="AL448" i="19"/>
  <c r="AM448" i="19"/>
  <c r="AK448" i="19"/>
  <c r="AM985" i="19"/>
  <c r="AK985" i="19"/>
  <c r="AI985" i="19"/>
  <c r="AL985" i="19"/>
  <c r="AJ985" i="19"/>
  <c r="AP985" i="19"/>
  <c r="AD985" i="19" s="1"/>
  <c r="AL1061" i="19"/>
  <c r="AI1061" i="19"/>
  <c r="AK1061" i="19"/>
  <c r="AM1061" i="19"/>
  <c r="AP1061" i="19"/>
  <c r="AD1061" i="19" s="1"/>
  <c r="AJ1061" i="19"/>
  <c r="AP1153" i="19"/>
  <c r="AD1153" i="19" s="1"/>
  <c r="AK1153" i="19"/>
  <c r="AJ1153" i="19"/>
  <c r="AI1153" i="19"/>
  <c r="AA1150" i="55" s="1"/>
  <c r="AL1153" i="19"/>
  <c r="AM1153" i="19"/>
  <c r="AP748" i="19"/>
  <c r="AD748" i="19" s="1"/>
  <c r="AI748" i="19"/>
  <c r="AK748" i="19"/>
  <c r="AJ748" i="19"/>
  <c r="AL748" i="19"/>
  <c r="AM748" i="19"/>
  <c r="AP933" i="19"/>
  <c r="AD933" i="19" s="1"/>
  <c r="AL933" i="19"/>
  <c r="AI933" i="19"/>
  <c r="AA930" i="54" s="1"/>
  <c r="AM933" i="19"/>
  <c r="AJ933" i="19"/>
  <c r="AK933" i="19"/>
  <c r="AM866" i="19"/>
  <c r="AK866" i="19"/>
  <c r="AL866" i="19"/>
  <c r="AP866" i="19"/>
  <c r="AD866" i="19" s="1"/>
  <c r="AI866" i="19"/>
  <c r="AJ866" i="19"/>
  <c r="AJ979" i="19"/>
  <c r="AL979" i="19"/>
  <c r="AM979" i="19"/>
  <c r="AP979" i="19"/>
  <c r="AD979" i="19" s="1"/>
  <c r="AI979" i="19"/>
  <c r="AK979" i="19"/>
  <c r="AL1111" i="19"/>
  <c r="AI1111" i="19"/>
  <c r="AM1111" i="19"/>
  <c r="AJ1111" i="19"/>
  <c r="AK1111" i="19"/>
  <c r="AP1111" i="19"/>
  <c r="AD1111" i="19" s="1"/>
  <c r="AM1183" i="19"/>
  <c r="AK1183" i="19"/>
  <c r="AI1183" i="19"/>
  <c r="AA1180" i="55" s="1"/>
  <c r="AL1183" i="19"/>
  <c r="AJ1183" i="19"/>
  <c r="AP1183" i="19"/>
  <c r="AD1183" i="19" s="1"/>
  <c r="AL871" i="19"/>
  <c r="AM871" i="19"/>
  <c r="AJ871" i="19"/>
  <c r="AI871" i="19"/>
  <c r="AK871" i="19"/>
  <c r="AP871" i="19"/>
  <c r="AD871" i="19" s="1"/>
  <c r="AP976" i="19"/>
  <c r="AD976" i="19" s="1"/>
  <c r="AM976" i="19"/>
  <c r="AK976" i="19"/>
  <c r="AL976" i="19"/>
  <c r="AI976" i="19"/>
  <c r="AJ976" i="19"/>
  <c r="AL1072" i="19"/>
  <c r="AJ1072" i="19"/>
  <c r="AK1072" i="19"/>
  <c r="AM1072" i="19"/>
  <c r="AP1072" i="19"/>
  <c r="AD1072" i="19" s="1"/>
  <c r="AI1072" i="19"/>
  <c r="AP1146" i="19"/>
  <c r="AD1146" i="19" s="1"/>
  <c r="AJ1146" i="19"/>
  <c r="AK1146" i="19"/>
  <c r="AI1146" i="19"/>
  <c r="AA1143" i="55" s="1"/>
  <c r="AM1146" i="19"/>
  <c r="AL1146" i="19"/>
  <c r="AP523" i="19"/>
  <c r="AD523" i="19" s="1"/>
  <c r="AL523" i="19"/>
  <c r="AJ523" i="19"/>
  <c r="AK523" i="19"/>
  <c r="AI523" i="19"/>
  <c r="AM523" i="19"/>
  <c r="AM213" i="19"/>
  <c r="AK213" i="19"/>
  <c r="AP213" i="19"/>
  <c r="AD213" i="19" s="1"/>
  <c r="AJ213" i="19"/>
  <c r="AL213" i="19"/>
  <c r="AI213" i="19"/>
  <c r="AM374" i="19"/>
  <c r="AP374" i="19"/>
  <c r="AD374" i="19" s="1"/>
  <c r="AI374" i="19"/>
  <c r="AK374" i="19"/>
  <c r="AL374" i="19"/>
  <c r="AJ374" i="19"/>
  <c r="AP369" i="19"/>
  <c r="AD369" i="19" s="1"/>
  <c r="AM369" i="19"/>
  <c r="AK369" i="19"/>
  <c r="AJ369" i="19"/>
  <c r="AL369" i="19"/>
  <c r="AI369" i="19"/>
  <c r="AJ524" i="19"/>
  <c r="AK524" i="19"/>
  <c r="AP524" i="19"/>
  <c r="AD524" i="19" s="1"/>
  <c r="AL524" i="19"/>
  <c r="AI524" i="19"/>
  <c r="AM524" i="19"/>
  <c r="AM220" i="19"/>
  <c r="AJ220" i="19"/>
  <c r="AI220" i="19"/>
  <c r="AK220" i="19"/>
  <c r="AL220" i="19"/>
  <c r="AP220" i="19"/>
  <c r="AD220" i="19" s="1"/>
  <c r="AM578" i="19"/>
  <c r="AJ578" i="19"/>
  <c r="AP578" i="19"/>
  <c r="AD578" i="19" s="1"/>
  <c r="AL578" i="19"/>
  <c r="AI578" i="19"/>
  <c r="AA575" i="53" s="1"/>
  <c r="AK578" i="19"/>
  <c r="AJ698" i="19"/>
  <c r="AP698" i="19"/>
  <c r="AD698" i="19" s="1"/>
  <c r="AI698" i="19"/>
  <c r="AM698" i="19"/>
  <c r="AK698" i="19"/>
  <c r="AL698" i="19"/>
  <c r="AM556" i="19"/>
  <c r="AJ556" i="19"/>
  <c r="AK556" i="19"/>
  <c r="AP556" i="19"/>
  <c r="AD556" i="19" s="1"/>
  <c r="AL556" i="19"/>
  <c r="AI556" i="19"/>
  <c r="AP856" i="19"/>
  <c r="AD856" i="19" s="1"/>
  <c r="AL856" i="19"/>
  <c r="AI856" i="19"/>
  <c r="AM856" i="19"/>
  <c r="AJ856" i="19"/>
  <c r="AK856" i="19"/>
  <c r="AP965" i="19"/>
  <c r="AD965" i="19" s="1"/>
  <c r="AI965" i="19"/>
  <c r="AM965" i="19"/>
  <c r="AK965" i="19"/>
  <c r="AL965" i="19"/>
  <c r="AJ965" i="19"/>
  <c r="AK1141" i="19"/>
  <c r="AJ1141" i="19"/>
  <c r="AI1141" i="19"/>
  <c r="AA1138" i="55" s="1"/>
  <c r="AL1141" i="19"/>
  <c r="AM1141" i="19"/>
  <c r="AP1141" i="19"/>
  <c r="AD1141" i="19" s="1"/>
  <c r="AL836" i="19"/>
  <c r="AP836" i="19"/>
  <c r="AD836" i="19" s="1"/>
  <c r="AJ836" i="19"/>
  <c r="AI836" i="19"/>
  <c r="AM836" i="19"/>
  <c r="AK836" i="19"/>
  <c r="AL917" i="19"/>
  <c r="AJ917" i="19"/>
  <c r="AI917" i="19"/>
  <c r="AK917" i="19"/>
  <c r="AM917" i="19"/>
  <c r="AP917" i="19"/>
  <c r="AD917" i="19" s="1"/>
  <c r="AM833" i="19"/>
  <c r="AP833" i="19"/>
  <c r="AD833" i="19" s="1"/>
  <c r="AJ833" i="19"/>
  <c r="AL833" i="19"/>
  <c r="AI833" i="19"/>
  <c r="AK833" i="19"/>
  <c r="AM963" i="19"/>
  <c r="AL963" i="19"/>
  <c r="AI963" i="19"/>
  <c r="AJ963" i="19"/>
  <c r="AK963" i="19"/>
  <c r="AP963" i="19"/>
  <c r="AD963" i="19" s="1"/>
  <c r="AL1075" i="19"/>
  <c r="AM1075" i="19"/>
  <c r="AP1075" i="19"/>
  <c r="AD1075" i="19" s="1"/>
  <c r="AI1075" i="19"/>
  <c r="AJ1075" i="19"/>
  <c r="AK1075" i="19"/>
  <c r="AK1171" i="19"/>
  <c r="AI1171" i="19"/>
  <c r="AJ1171" i="19"/>
  <c r="AP1171" i="19"/>
  <c r="AD1171" i="19" s="1"/>
  <c r="AL1171" i="19"/>
  <c r="AM1171" i="19"/>
  <c r="AL826" i="19"/>
  <c r="AJ826" i="19"/>
  <c r="AI826" i="19"/>
  <c r="AK826" i="19"/>
  <c r="AM826" i="19"/>
  <c r="AP826" i="19"/>
  <c r="AD826" i="19" s="1"/>
  <c r="AL952" i="19"/>
  <c r="AP952" i="19"/>
  <c r="AD952" i="19" s="1"/>
  <c r="AI952" i="19"/>
  <c r="AA949" i="54" s="1"/>
  <c r="AM952" i="19"/>
  <c r="AJ952" i="19"/>
  <c r="AK952" i="19"/>
  <c r="AP1148" i="19"/>
  <c r="AD1148" i="19" s="1"/>
  <c r="AM1148" i="19"/>
  <c r="AJ1148" i="19"/>
  <c r="AI1148" i="19"/>
  <c r="AA1145" i="55" s="1"/>
  <c r="AL1148" i="19"/>
  <c r="AK1148" i="19"/>
  <c r="AL1010" i="19"/>
  <c r="AP1010" i="19"/>
  <c r="AD1010" i="19" s="1"/>
  <c r="AM1010" i="19"/>
  <c r="AJ1010" i="19"/>
  <c r="AI1010" i="19"/>
  <c r="AK1010" i="19"/>
  <c r="AL1134" i="19"/>
  <c r="AP1134" i="19"/>
  <c r="AD1134" i="19" s="1"/>
  <c r="AJ1134" i="19"/>
  <c r="AK1134" i="19"/>
  <c r="AM1134" i="19"/>
  <c r="AI1134" i="19"/>
  <c r="AP595" i="19"/>
  <c r="AD595" i="19" s="1"/>
  <c r="AI595" i="19"/>
  <c r="AJ595" i="19"/>
  <c r="AL595" i="19"/>
  <c r="AM595" i="19"/>
  <c r="AK595" i="19"/>
  <c r="AJ93" i="19"/>
  <c r="AK93" i="19"/>
  <c r="AL93" i="19"/>
  <c r="AP93" i="19"/>
  <c r="AD93" i="19" s="1"/>
  <c r="AI93" i="19"/>
  <c r="AM93" i="19"/>
  <c r="AL181" i="19"/>
  <c r="AM181" i="19"/>
  <c r="AP181" i="19"/>
  <c r="AD181" i="19" s="1"/>
  <c r="AI181" i="19"/>
  <c r="AA181" i="52" s="1"/>
  <c r="AK181" i="19"/>
  <c r="AJ181" i="19"/>
  <c r="AJ257" i="19"/>
  <c r="AK257" i="19"/>
  <c r="AM257" i="19"/>
  <c r="AP257" i="19"/>
  <c r="AD257" i="19" s="1"/>
  <c r="AL257" i="19"/>
  <c r="AI257" i="19"/>
  <c r="AL340" i="19"/>
  <c r="AJ340" i="19"/>
  <c r="AI340" i="19"/>
  <c r="AA337" i="53" s="1"/>
  <c r="AK340" i="19"/>
  <c r="AM340" i="19"/>
  <c r="AP340" i="19"/>
  <c r="AD340" i="19" s="1"/>
  <c r="AJ144" i="19"/>
  <c r="AM144" i="19"/>
  <c r="AK144" i="19"/>
  <c r="AL144" i="19"/>
  <c r="AP144" i="19"/>
  <c r="AD144" i="19" s="1"/>
  <c r="AI144" i="19"/>
  <c r="AA144" i="52" s="1"/>
  <c r="AL335" i="19"/>
  <c r="AI335" i="19"/>
  <c r="AP335" i="19"/>
  <c r="AD335" i="19" s="1"/>
  <c r="AM335" i="19"/>
  <c r="AJ335" i="19"/>
  <c r="AK335" i="19"/>
  <c r="AM597" i="19"/>
  <c r="AP597" i="19"/>
  <c r="AD597" i="19" s="1"/>
  <c r="AJ597" i="19"/>
  <c r="AK597" i="19"/>
  <c r="AL597" i="19"/>
  <c r="AI597" i="19"/>
  <c r="AL164" i="19"/>
  <c r="AM164" i="19"/>
  <c r="AI164" i="19"/>
  <c r="AA164" i="52" s="1"/>
  <c r="AJ164" i="19"/>
  <c r="AK164" i="19"/>
  <c r="AP164" i="19"/>
  <c r="AD164" i="19" s="1"/>
  <c r="AJ426" i="19"/>
  <c r="AP426" i="19"/>
  <c r="AD426" i="19" s="1"/>
  <c r="AL426" i="19"/>
  <c r="AI426" i="19"/>
  <c r="AK426" i="19"/>
  <c r="AM426" i="19"/>
  <c r="AJ533" i="19"/>
  <c r="AP533" i="19"/>
  <c r="AD533" i="19" s="1"/>
  <c r="AL533" i="19"/>
  <c r="AI533" i="19"/>
  <c r="AK533" i="19"/>
  <c r="AM533" i="19"/>
  <c r="AM661" i="19"/>
  <c r="AI661" i="19"/>
  <c r="AK661" i="19"/>
  <c r="AP661" i="19"/>
  <c r="AD661" i="19" s="1"/>
  <c r="AL661" i="19"/>
  <c r="AJ661" i="19"/>
  <c r="AL746" i="19"/>
  <c r="AJ746" i="19"/>
  <c r="AP746" i="19"/>
  <c r="AD746" i="19" s="1"/>
  <c r="AM746" i="19"/>
  <c r="AK746" i="19"/>
  <c r="AI746" i="19"/>
  <c r="AP417" i="19"/>
  <c r="AD417" i="19" s="1"/>
  <c r="AL417" i="19"/>
  <c r="AM417" i="19"/>
  <c r="AJ417" i="19"/>
  <c r="AI417" i="19"/>
  <c r="AK417" i="19"/>
  <c r="AL742" i="19"/>
  <c r="AJ742" i="19"/>
  <c r="AP742" i="19"/>
  <c r="AD742" i="19" s="1"/>
  <c r="AM742" i="19"/>
  <c r="AK742" i="19"/>
  <c r="AI742" i="19"/>
  <c r="AM152" i="19"/>
  <c r="AJ152" i="19"/>
  <c r="AL152" i="19"/>
  <c r="AI152" i="19"/>
  <c r="AA152" i="52" s="1"/>
  <c r="AK152" i="19"/>
  <c r="AP152" i="19"/>
  <c r="AD152" i="19" s="1"/>
  <c r="AM481" i="19"/>
  <c r="AP481" i="19"/>
  <c r="AD481" i="19" s="1"/>
  <c r="AL481" i="19"/>
  <c r="AI481" i="19"/>
  <c r="AJ481" i="19"/>
  <c r="AK481" i="19"/>
  <c r="AL908" i="19"/>
  <c r="AJ908" i="19"/>
  <c r="AP908" i="19"/>
  <c r="AD908" i="19" s="1"/>
  <c r="AM908" i="19"/>
  <c r="AI908" i="19"/>
  <c r="AK908" i="19"/>
  <c r="AM1009" i="19"/>
  <c r="AK1009" i="19"/>
  <c r="AP1009" i="19"/>
  <c r="AD1009" i="19" s="1"/>
  <c r="AJ1009" i="19"/>
  <c r="AL1009" i="19"/>
  <c r="AI1009" i="19"/>
  <c r="AL1109" i="19"/>
  <c r="AJ1109" i="19"/>
  <c r="AI1109" i="19"/>
  <c r="AK1109" i="19"/>
  <c r="AM1109" i="19"/>
  <c r="AP1109" i="19"/>
  <c r="AD1109" i="19" s="1"/>
  <c r="AJ596" i="19"/>
  <c r="AP596" i="19"/>
  <c r="AD596" i="19" s="1"/>
  <c r="AI596" i="19"/>
  <c r="AL596" i="19"/>
  <c r="AM596" i="19"/>
  <c r="AK596" i="19"/>
  <c r="AJ881" i="19"/>
  <c r="AL881" i="19"/>
  <c r="AI881" i="19"/>
  <c r="AK881" i="19"/>
  <c r="AP881" i="19"/>
  <c r="AD881" i="19" s="1"/>
  <c r="AM881" i="19"/>
  <c r="AJ982" i="19"/>
  <c r="AI982" i="19"/>
  <c r="AK982" i="19"/>
  <c r="AP982" i="19"/>
  <c r="AD982" i="19" s="1"/>
  <c r="AL982" i="19"/>
  <c r="AM982" i="19"/>
  <c r="AL1003" i="19"/>
  <c r="AP1003" i="19"/>
  <c r="AD1003" i="19" s="1"/>
  <c r="AI1003" i="19"/>
  <c r="AK1003" i="19"/>
  <c r="AJ1003" i="19"/>
  <c r="AM1003" i="19"/>
  <c r="AM1143" i="19"/>
  <c r="AK1143" i="19"/>
  <c r="AP1143" i="19"/>
  <c r="AD1143" i="19" s="1"/>
  <c r="AJ1143" i="19"/>
  <c r="AI1143" i="19"/>
  <c r="AA1140" i="55" s="1"/>
  <c r="AL1143" i="19"/>
  <c r="AJ903" i="19"/>
  <c r="AI903" i="19"/>
  <c r="AM903" i="19"/>
  <c r="AK903" i="19"/>
  <c r="AP903" i="19"/>
  <c r="AD903" i="19" s="1"/>
  <c r="AL903" i="19"/>
  <c r="AM1104" i="19"/>
  <c r="AJ1104" i="19"/>
  <c r="AL1104" i="19"/>
  <c r="AI1104" i="19"/>
  <c r="AA1101" i="54" s="1"/>
  <c r="AK1104" i="19"/>
  <c r="AP1104" i="19"/>
  <c r="AD1104" i="19" s="1"/>
  <c r="AJ1070" i="19"/>
  <c r="AK1070" i="19"/>
  <c r="AL1070" i="19"/>
  <c r="AI1070" i="19"/>
  <c r="AM1070" i="19"/>
  <c r="AP1070" i="19"/>
  <c r="AD1070" i="19" s="1"/>
  <c r="AP1170" i="19"/>
  <c r="AD1170" i="19" s="1"/>
  <c r="AL1170" i="19"/>
  <c r="AK1170" i="19"/>
  <c r="AJ1170" i="19"/>
  <c r="AM1170" i="19"/>
  <c r="AI1170" i="19"/>
  <c r="AJ63" i="19"/>
  <c r="AP63" i="19"/>
  <c r="AD63" i="19" s="1"/>
  <c r="AM63" i="19"/>
  <c r="AK63" i="19"/>
  <c r="AI63" i="19"/>
  <c r="AL63" i="19"/>
  <c r="AM94" i="19"/>
  <c r="AL94" i="19"/>
  <c r="AI94" i="19"/>
  <c r="AK94" i="19"/>
  <c r="AJ94" i="19"/>
  <c r="AP94" i="19"/>
  <c r="AD94" i="19" s="1"/>
  <c r="AM159" i="19"/>
  <c r="AI159" i="19"/>
  <c r="AA159" i="52" s="1"/>
  <c r="AJ159" i="19"/>
  <c r="AK159" i="19"/>
  <c r="AL159" i="19"/>
  <c r="AP159" i="19"/>
  <c r="AD159" i="19" s="1"/>
  <c r="AP187" i="19"/>
  <c r="AD187" i="19" s="1"/>
  <c r="AM187" i="19"/>
  <c r="AK187" i="19"/>
  <c r="AI187" i="19"/>
  <c r="AJ187" i="19"/>
  <c r="AL187" i="19"/>
  <c r="AP519" i="19"/>
  <c r="AD519" i="19" s="1"/>
  <c r="AL519" i="19"/>
  <c r="AI519" i="19"/>
  <c r="AM519" i="19"/>
  <c r="AJ519" i="19"/>
  <c r="AK519" i="19"/>
  <c r="AL712" i="19"/>
  <c r="AI712" i="19"/>
  <c r="AJ712" i="19"/>
  <c r="AK712" i="19"/>
  <c r="AM712" i="19"/>
  <c r="AP712" i="19"/>
  <c r="AD712" i="19" s="1"/>
  <c r="AJ35" i="19"/>
  <c r="AI35" i="19"/>
  <c r="AA35" i="44" s="1"/>
  <c r="AK35" i="19"/>
  <c r="AL35" i="19"/>
  <c r="AM35" i="19"/>
  <c r="AP35" i="19"/>
  <c r="AD35" i="19" s="1"/>
  <c r="AL95" i="19"/>
  <c r="AI95" i="19"/>
  <c r="AJ95" i="19"/>
  <c r="AM95" i="19"/>
  <c r="AK95" i="19"/>
  <c r="AP95" i="19"/>
  <c r="AD95" i="19" s="1"/>
  <c r="AM126" i="19"/>
  <c r="AP126" i="19"/>
  <c r="AD126" i="19" s="1"/>
  <c r="AI126" i="19"/>
  <c r="AJ126" i="19"/>
  <c r="AK126" i="19"/>
  <c r="AL126" i="19"/>
  <c r="AJ170" i="19"/>
  <c r="AK170" i="19"/>
  <c r="AP170" i="19"/>
  <c r="AD170" i="19" s="1"/>
  <c r="AL170" i="19"/>
  <c r="AI170" i="19"/>
  <c r="AA170" i="52" s="1"/>
  <c r="AM170" i="19"/>
  <c r="AI376" i="19"/>
  <c r="AJ376" i="19"/>
  <c r="AL376" i="19"/>
  <c r="AP376" i="19"/>
  <c r="AD376" i="19" s="1"/>
  <c r="AM376" i="19"/>
  <c r="AK376" i="19"/>
  <c r="AM484" i="19"/>
  <c r="AK484" i="19"/>
  <c r="AJ484" i="19"/>
  <c r="AP484" i="19"/>
  <c r="AD484" i="19" s="1"/>
  <c r="AI484" i="19"/>
  <c r="AL484" i="19"/>
  <c r="AP635" i="19"/>
  <c r="AD635" i="19" s="1"/>
  <c r="AI635" i="19"/>
  <c r="AJ635" i="19"/>
  <c r="AM635" i="19"/>
  <c r="AL635" i="19"/>
  <c r="AK635" i="19"/>
  <c r="AM890" i="19"/>
  <c r="AP890" i="19"/>
  <c r="AD890" i="19" s="1"/>
  <c r="AL890" i="19"/>
  <c r="AJ890" i="19"/>
  <c r="AI890" i="19"/>
  <c r="AK890" i="19"/>
  <c r="AI28" i="19"/>
  <c r="AK28" i="19"/>
  <c r="AM28" i="19"/>
  <c r="AP28" i="19"/>
  <c r="AD28" i="19" s="1"/>
  <c r="AL28" i="19"/>
  <c r="AJ28" i="19"/>
  <c r="AI67" i="19"/>
  <c r="AL67" i="19"/>
  <c r="AP67" i="19"/>
  <c r="AD67" i="19" s="1"/>
  <c r="AJ67" i="19"/>
  <c r="AM67" i="19"/>
  <c r="AK67" i="19"/>
  <c r="AP143" i="19"/>
  <c r="AD143" i="19" s="1"/>
  <c r="AI143" i="19"/>
  <c r="AA143" i="52" s="1"/>
  <c r="AL143" i="19"/>
  <c r="AM143" i="19"/>
  <c r="AJ143" i="19"/>
  <c r="AK143" i="19"/>
  <c r="AJ178" i="19"/>
  <c r="AK178" i="19"/>
  <c r="AP178" i="19"/>
  <c r="AD178" i="19" s="1"/>
  <c r="AL178" i="19"/>
  <c r="AI178" i="19"/>
  <c r="AA178" i="52" s="1"/>
  <c r="AM178" i="19"/>
  <c r="AJ559" i="19"/>
  <c r="AL559" i="19"/>
  <c r="AI559" i="19"/>
  <c r="AK559" i="19"/>
  <c r="AM559" i="19"/>
  <c r="AP559" i="19"/>
  <c r="AD559" i="19" s="1"/>
  <c r="AM1079" i="19"/>
  <c r="AJ1079" i="19"/>
  <c r="AL1079" i="19"/>
  <c r="AK1079" i="19"/>
  <c r="AP1079" i="19"/>
  <c r="AD1079" i="19" s="1"/>
  <c r="AI1079" i="19"/>
  <c r="AP37" i="19"/>
  <c r="AD37" i="19" s="1"/>
  <c r="AK37" i="19"/>
  <c r="AJ37" i="19"/>
  <c r="AL37" i="19"/>
  <c r="AM37" i="19"/>
  <c r="AI37" i="19"/>
  <c r="AA37" i="44" s="1"/>
  <c r="AJ54" i="19"/>
  <c r="AK54" i="19"/>
  <c r="AM54" i="19"/>
  <c r="AI54" i="19"/>
  <c r="AP54" i="19"/>
  <c r="AD54" i="19" s="1"/>
  <c r="AL54" i="19"/>
  <c r="AM86" i="19"/>
  <c r="AP86" i="19"/>
  <c r="AD86" i="19" s="1"/>
  <c r="AI86" i="19"/>
  <c r="AA86" i="44" s="1"/>
  <c r="AJ86" i="19"/>
  <c r="AL86" i="19"/>
  <c r="AK86" i="19"/>
  <c r="AL146" i="19"/>
  <c r="AM146" i="19"/>
  <c r="AJ146" i="19"/>
  <c r="AI146" i="19"/>
  <c r="AA146" i="52" s="1"/>
  <c r="AK146" i="19"/>
  <c r="AP146" i="19"/>
  <c r="AD146" i="19" s="1"/>
  <c r="AL179" i="19"/>
  <c r="AM179" i="19"/>
  <c r="AI179" i="19"/>
  <c r="AA179" i="52" s="1"/>
  <c r="AJ179" i="19"/>
  <c r="AK179" i="19"/>
  <c r="AP179" i="19"/>
  <c r="AD179" i="19" s="1"/>
  <c r="AL302" i="19"/>
  <c r="AK302" i="19"/>
  <c r="AP302" i="19"/>
  <c r="AD302" i="19" s="1"/>
  <c r="AI302" i="19"/>
  <c r="AM302" i="19"/>
  <c r="AJ302" i="19"/>
  <c r="AM372" i="19"/>
  <c r="AP372" i="19"/>
  <c r="AD372" i="19" s="1"/>
  <c r="AK372" i="19"/>
  <c r="AI372" i="19"/>
  <c r="AJ372" i="19"/>
  <c r="AL372" i="19"/>
  <c r="AJ456" i="19"/>
  <c r="AK456" i="19"/>
  <c r="AP456" i="19"/>
  <c r="AD456" i="19" s="1"/>
  <c r="AL456" i="19"/>
  <c r="AI456" i="19"/>
  <c r="AM456" i="19"/>
  <c r="AL561" i="19"/>
  <c r="AI561" i="19"/>
  <c r="AK561" i="19"/>
  <c r="AM561" i="19"/>
  <c r="AP561" i="19"/>
  <c r="AD561" i="19" s="1"/>
  <c r="AJ561" i="19"/>
  <c r="AL1082" i="19"/>
  <c r="AI1082" i="19"/>
  <c r="AM1082" i="19"/>
  <c r="AK1082" i="19"/>
  <c r="AP1082" i="19"/>
  <c r="AD1082" i="19" s="1"/>
  <c r="AJ1082" i="19"/>
  <c r="AL1068" i="19"/>
  <c r="AM1068" i="19"/>
  <c r="AI1068" i="19"/>
  <c r="AJ1068" i="19"/>
  <c r="AK1068" i="19"/>
  <c r="AP1068" i="19"/>
  <c r="AD1068" i="19" s="1"/>
  <c r="AI371" i="19"/>
  <c r="AL371" i="19"/>
  <c r="AP371" i="19"/>
  <c r="AD371" i="19" s="1"/>
  <c r="AM371" i="19"/>
  <c r="AK371" i="19"/>
  <c r="AJ371" i="19"/>
  <c r="Y200" i="19"/>
  <c r="Y251" i="19"/>
  <c r="AM667" i="19"/>
  <c r="AJ667" i="19"/>
  <c r="AP667" i="19"/>
  <c r="AD667" i="19" s="1"/>
  <c r="AL667" i="19"/>
  <c r="AI667" i="19"/>
  <c r="AK667" i="19"/>
  <c r="Y931" i="19"/>
  <c r="Y672" i="19"/>
  <c r="AM625" i="19"/>
  <c r="AK625" i="19"/>
  <c r="AI625" i="19"/>
  <c r="AP625" i="19"/>
  <c r="AD625" i="19" s="1"/>
  <c r="AL625" i="19"/>
  <c r="AJ625" i="19"/>
  <c r="AM395" i="19"/>
  <c r="AL395" i="19"/>
  <c r="AI395" i="19"/>
  <c r="AK395" i="19"/>
  <c r="AJ395" i="19"/>
  <c r="AP395" i="19"/>
  <c r="AD395" i="19" s="1"/>
  <c r="AJ605" i="19"/>
  <c r="AK605" i="19"/>
  <c r="AL605" i="19"/>
  <c r="AI605" i="19"/>
  <c r="AP605" i="19"/>
  <c r="AD605" i="19" s="1"/>
  <c r="AM605" i="19"/>
  <c r="AM253" i="19"/>
  <c r="AK253" i="19"/>
  <c r="AP253" i="19"/>
  <c r="AD253" i="19" s="1"/>
  <c r="AJ253" i="19"/>
  <c r="AL253" i="19"/>
  <c r="AI253" i="19"/>
  <c r="AJ753" i="19"/>
  <c r="AI753" i="19"/>
  <c r="AP753" i="19"/>
  <c r="AD753" i="19" s="1"/>
  <c r="AM753" i="19"/>
  <c r="AL753" i="19"/>
  <c r="AK753" i="19"/>
  <c r="AL254" i="19"/>
  <c r="AI254" i="19"/>
  <c r="AK254" i="19"/>
  <c r="AM254" i="19"/>
  <c r="AP254" i="19"/>
  <c r="AD254" i="19" s="1"/>
  <c r="AJ254" i="19"/>
  <c r="Y630" i="19"/>
  <c r="AL804" i="19"/>
  <c r="AM804" i="19"/>
  <c r="AK804" i="19"/>
  <c r="AI804" i="19"/>
  <c r="AJ804" i="19"/>
  <c r="AP804" i="19"/>
  <c r="AD804" i="19" s="1"/>
  <c r="Y185" i="19"/>
  <c r="Y619" i="19"/>
  <c r="AL867" i="19"/>
  <c r="AI867" i="19"/>
  <c r="AK867" i="19"/>
  <c r="AM867" i="19"/>
  <c r="AJ867" i="19"/>
  <c r="AP867" i="19"/>
  <c r="AD867" i="19" s="1"/>
  <c r="Y628" i="19"/>
  <c r="AJ986" i="19"/>
  <c r="AL986" i="19"/>
  <c r="AK986" i="19"/>
  <c r="AP986" i="19"/>
  <c r="AD986" i="19" s="1"/>
  <c r="AI986" i="19"/>
  <c r="AM986" i="19"/>
  <c r="AL240" i="19"/>
  <c r="AM240" i="19"/>
  <c r="AK240" i="19"/>
  <c r="AP240" i="19"/>
  <c r="AD240" i="19" s="1"/>
  <c r="AI240" i="19"/>
  <c r="AJ240" i="19"/>
  <c r="Y893" i="19"/>
  <c r="AJ208" i="19"/>
  <c r="AK208" i="19"/>
  <c r="AI208" i="19"/>
  <c r="AP208" i="19"/>
  <c r="AD208" i="19" s="1"/>
  <c r="AM208" i="19"/>
  <c r="AL208" i="19"/>
  <c r="AJ651" i="19"/>
  <c r="AK651" i="19"/>
  <c r="AM651" i="19"/>
  <c r="AP651" i="19"/>
  <c r="AD651" i="19" s="1"/>
  <c r="AL651" i="19"/>
  <c r="AI651" i="19"/>
  <c r="AJ229" i="19"/>
  <c r="AP229" i="19"/>
  <c r="AD229" i="19" s="1"/>
  <c r="AL229" i="19"/>
  <c r="AI229" i="19"/>
  <c r="AM229" i="19"/>
  <c r="AK229" i="19"/>
  <c r="AM610" i="19"/>
  <c r="AJ610" i="19"/>
  <c r="AK610" i="19"/>
  <c r="AL610" i="19"/>
  <c r="AP610" i="19"/>
  <c r="AD610" i="19" s="1"/>
  <c r="AI610" i="19"/>
  <c r="AK741" i="19"/>
  <c r="AL741" i="19"/>
  <c r="AJ741" i="19"/>
  <c r="AM741" i="19"/>
  <c r="AP741" i="19"/>
  <c r="AD741" i="19" s="1"/>
  <c r="AI741" i="19"/>
  <c r="AM980" i="19"/>
  <c r="AP980" i="19"/>
  <c r="AD980" i="19" s="1"/>
  <c r="AJ980" i="19"/>
  <c r="AL980" i="19"/>
  <c r="AI980" i="19"/>
  <c r="AK980" i="19"/>
  <c r="AL389" i="19"/>
  <c r="AJ389" i="19"/>
  <c r="AI389" i="19"/>
  <c r="AK389" i="19"/>
  <c r="AM389" i="19"/>
  <c r="AP389" i="19"/>
  <c r="AD389" i="19" s="1"/>
  <c r="AI733" i="19"/>
  <c r="AP733" i="19"/>
  <c r="AD733" i="19" s="1"/>
  <c r="AL733" i="19"/>
  <c r="AJ733" i="19"/>
  <c r="AM733" i="19"/>
  <c r="AK733" i="19"/>
  <c r="AL385" i="19"/>
  <c r="AJ385" i="19"/>
  <c r="AI385" i="19"/>
  <c r="AK385" i="19"/>
  <c r="AM385" i="19"/>
  <c r="AP385" i="19"/>
  <c r="AD385" i="19" s="1"/>
  <c r="Y806" i="19"/>
  <c r="AM878" i="19"/>
  <c r="AP878" i="19"/>
  <c r="AD878" i="19" s="1"/>
  <c r="AL878" i="19"/>
  <c r="AI878" i="19"/>
  <c r="AJ878" i="19"/>
  <c r="AK878" i="19"/>
  <c r="Y552" i="19"/>
  <c r="Y894" i="19"/>
  <c r="AL396" i="19"/>
  <c r="AI396" i="19"/>
  <c r="AJ396" i="19"/>
  <c r="AM396" i="19"/>
  <c r="AK396" i="19"/>
  <c r="AP396" i="19"/>
  <c r="AD396" i="19" s="1"/>
  <c r="Y987" i="19"/>
  <c r="Y458" i="19"/>
  <c r="AJ666" i="19"/>
  <c r="AM666" i="19"/>
  <c r="AK666" i="19"/>
  <c r="AL666" i="19"/>
  <c r="AP666" i="19"/>
  <c r="AD666" i="19" s="1"/>
  <c r="AI666" i="19"/>
  <c r="Y891" i="19"/>
  <c r="Y235" i="19"/>
  <c r="Y659" i="19"/>
  <c r="Y904" i="19"/>
  <c r="AL664" i="19"/>
  <c r="AM664" i="19"/>
  <c r="AK664" i="19"/>
  <c r="AP664" i="19"/>
  <c r="AD664" i="19" s="1"/>
  <c r="AI664" i="19"/>
  <c r="AJ664" i="19"/>
  <c r="AJ613" i="19"/>
  <c r="AP613" i="19"/>
  <c r="AD613" i="19" s="1"/>
  <c r="AI613" i="19"/>
  <c r="AL613" i="19"/>
  <c r="AM613" i="19"/>
  <c r="AK613" i="19"/>
  <c r="AM359" i="19"/>
  <c r="AP359" i="19"/>
  <c r="AD359" i="19" s="1"/>
  <c r="AL359" i="19"/>
  <c r="AJ359" i="19"/>
  <c r="AK359" i="19"/>
  <c r="AI359" i="19"/>
  <c r="Y544" i="19"/>
  <c r="AL245" i="19"/>
  <c r="AK245" i="19"/>
  <c r="AI245" i="19"/>
  <c r="AP245" i="19"/>
  <c r="AD245" i="19" s="1"/>
  <c r="AM245" i="19"/>
  <c r="AJ245" i="19"/>
  <c r="AL700" i="19"/>
  <c r="AP700" i="19"/>
  <c r="AD700" i="19" s="1"/>
  <c r="AI700" i="19"/>
  <c r="AM700" i="19"/>
  <c r="AJ700" i="19"/>
  <c r="AK700" i="19"/>
  <c r="AL238" i="19"/>
  <c r="AI238" i="19"/>
  <c r="AM238" i="19"/>
  <c r="AK238" i="19"/>
  <c r="AJ238" i="19"/>
  <c r="AP238" i="19"/>
  <c r="AD238" i="19" s="1"/>
  <c r="Y626" i="19"/>
  <c r="AL791" i="19"/>
  <c r="AP791" i="19"/>
  <c r="AD791" i="19" s="1"/>
  <c r="AM791" i="19"/>
  <c r="AI791" i="19"/>
  <c r="AJ791" i="19"/>
  <c r="AK791" i="19"/>
  <c r="AK1041" i="19"/>
  <c r="AP1041" i="19"/>
  <c r="AD1041" i="19" s="1"/>
  <c r="AJ1041" i="19"/>
  <c r="AM1041" i="19"/>
  <c r="AL1041" i="19"/>
  <c r="AI1041" i="19"/>
  <c r="AM1032" i="19"/>
  <c r="AP1032" i="19"/>
  <c r="AD1032" i="19" s="1"/>
  <c r="AI1032" i="19"/>
  <c r="AK1032" i="19"/>
  <c r="AJ1032" i="19"/>
  <c r="AL1032" i="19"/>
  <c r="AL1018" i="19"/>
  <c r="AP1018" i="19"/>
  <c r="AD1018" i="19" s="1"/>
  <c r="AI1018" i="19"/>
  <c r="AJ1018" i="19"/>
  <c r="AM1018" i="19"/>
  <c r="AK1018" i="19"/>
  <c r="AL282" i="19"/>
  <c r="AI282" i="19"/>
  <c r="AK282" i="19"/>
  <c r="AM282" i="19"/>
  <c r="AP282" i="19"/>
  <c r="AD282" i="19" s="1"/>
  <c r="AJ282" i="19"/>
  <c r="AI1048" i="19"/>
  <c r="AJ1048" i="19"/>
  <c r="AM1048" i="19"/>
  <c r="AL1048" i="19"/>
  <c r="AK1048" i="19"/>
  <c r="AP1048" i="19"/>
  <c r="AD1048" i="19" s="1"/>
  <c r="AL1026" i="19"/>
  <c r="AK1026" i="19"/>
  <c r="AP1026" i="19"/>
  <c r="AD1026" i="19" s="1"/>
  <c r="AI1026" i="19"/>
  <c r="AM1026" i="19"/>
  <c r="AJ1026" i="19"/>
  <c r="Y942" i="19"/>
  <c r="Y1172" i="19"/>
  <c r="AL675" i="19"/>
  <c r="AI675" i="19"/>
  <c r="AJ498" i="19"/>
  <c r="AL402" i="19"/>
  <c r="AI402" i="19"/>
  <c r="AI211" i="19"/>
  <c r="AP714" i="19"/>
  <c r="AD714" i="19" s="1"/>
  <c r="AL714" i="19"/>
  <c r="AM714" i="19"/>
  <c r="AP501" i="19"/>
  <c r="AD501" i="19" s="1"/>
  <c r="AM244" i="19"/>
  <c r="AL842" i="19"/>
  <c r="AM842" i="19"/>
  <c r="AJ842" i="19"/>
  <c r="AK777" i="19"/>
  <c r="AL509" i="19"/>
  <c r="AP961" i="19"/>
  <c r="AD961" i="19" s="1"/>
  <c r="AI961" i="19"/>
  <c r="AM961" i="19"/>
  <c r="AJ858" i="19"/>
  <c r="AK858" i="19"/>
  <c r="AK829" i="19"/>
  <c r="Y727" i="19"/>
  <c r="Y469" i="19"/>
  <c r="Y292" i="19"/>
  <c r="AJ1167" i="19"/>
  <c r="AL1167" i="19"/>
  <c r="AM1167" i="19"/>
  <c r="AP1167" i="19"/>
  <c r="AD1167" i="19" s="1"/>
  <c r="AI1167" i="19"/>
  <c r="AA1164" i="55" s="1"/>
  <c r="AK1167" i="19"/>
  <c r="AP1161" i="19"/>
  <c r="AD1161" i="19" s="1"/>
  <c r="AM1161" i="19"/>
  <c r="AK1161" i="19"/>
  <c r="AJ1161" i="19"/>
  <c r="AI1161" i="19"/>
  <c r="AA1158" i="55" s="1"/>
  <c r="AL1161" i="19"/>
  <c r="AP1168" i="19"/>
  <c r="AD1168" i="19" s="1"/>
  <c r="AI1168" i="19"/>
  <c r="AA1165" i="55" s="1"/>
  <c r="AL1168" i="19"/>
  <c r="AK1168" i="19"/>
  <c r="AJ1168" i="19"/>
  <c r="AM1168" i="19"/>
  <c r="AK1177" i="19"/>
  <c r="AL1177" i="19"/>
  <c r="AI1177" i="19"/>
  <c r="AA1174" i="55" s="1"/>
  <c r="AJ1177" i="19"/>
  <c r="AP1177" i="19"/>
  <c r="AD1177" i="19" s="1"/>
  <c r="AM1177" i="19"/>
  <c r="AJ34" i="19"/>
  <c r="AP34" i="19"/>
  <c r="AD34" i="19" s="1"/>
  <c r="AI34" i="19"/>
  <c r="AA34" i="44" s="1"/>
  <c r="AL34" i="19"/>
  <c r="AM34" i="19"/>
  <c r="AK34" i="19"/>
  <c r="AP50" i="19"/>
  <c r="AD50" i="19" s="1"/>
  <c r="AM50" i="19"/>
  <c r="AJ50" i="19"/>
  <c r="AI50" i="19"/>
  <c r="AA50" i="44" s="1"/>
  <c r="AK50" i="19"/>
  <c r="AL50" i="19"/>
  <c r="AJ43" i="19"/>
  <c r="AI43" i="19"/>
  <c r="AA43" i="44" s="1"/>
  <c r="AL43" i="19"/>
  <c r="AK43" i="19"/>
  <c r="AP43" i="19"/>
  <c r="AD43" i="19" s="1"/>
  <c r="AM43" i="19"/>
  <c r="AL52" i="19"/>
  <c r="AP52" i="19"/>
  <c r="AD52" i="19" s="1"/>
  <c r="AM52" i="19"/>
  <c r="AK52" i="19"/>
  <c r="AJ52" i="19"/>
  <c r="AI52" i="19"/>
  <c r="AA52" i="44" s="1"/>
  <c r="AJ1163" i="19"/>
  <c r="AI1163" i="19"/>
  <c r="AA1160" i="55" s="1"/>
  <c r="AP1163" i="19"/>
  <c r="AD1163" i="19" s="1"/>
  <c r="AL1163" i="19"/>
  <c r="AM1163" i="19"/>
  <c r="AK1163" i="19"/>
  <c r="AM1160" i="19"/>
  <c r="AI1160" i="19"/>
  <c r="AA1157" i="55" s="1"/>
  <c r="AP1160" i="19"/>
  <c r="AD1160" i="19" s="1"/>
  <c r="AL1160" i="19"/>
  <c r="AJ1160" i="19"/>
  <c r="AK1160" i="19"/>
  <c r="AL1169" i="19"/>
  <c r="AM1169" i="19"/>
  <c r="AK1169" i="19"/>
  <c r="AP1169" i="19"/>
  <c r="AD1169" i="19" s="1"/>
  <c r="AJ1169" i="19"/>
  <c r="AI1169" i="19"/>
  <c r="AP133" i="19"/>
  <c r="AD133" i="19" s="1"/>
  <c r="AK133" i="19"/>
  <c r="AL133" i="19"/>
  <c r="AJ133" i="19"/>
  <c r="AI133" i="19"/>
  <c r="AM133" i="19"/>
  <c r="AI1176" i="19"/>
  <c r="AJ1176" i="19"/>
  <c r="AP1176" i="19"/>
  <c r="AD1176" i="19" s="1"/>
  <c r="AK1176" i="19"/>
  <c r="AM1176" i="19"/>
  <c r="AL1176" i="19"/>
  <c r="AI38" i="19"/>
  <c r="AA38" i="44" s="1"/>
  <c r="AM38" i="19"/>
  <c r="AL38" i="19"/>
  <c r="AP38" i="19"/>
  <c r="AD38" i="19" s="1"/>
  <c r="AK38" i="19"/>
  <c r="AJ38" i="19"/>
  <c r="AL40" i="19"/>
  <c r="AJ40" i="19"/>
  <c r="AM40" i="19"/>
  <c r="AI40" i="19"/>
  <c r="AA40" i="44" s="1"/>
  <c r="AK40" i="19"/>
  <c r="AP40" i="19"/>
  <c r="AD40" i="19" s="1"/>
  <c r="AM1179" i="19"/>
  <c r="AP1179" i="19"/>
  <c r="AD1179" i="19" s="1"/>
  <c r="AI1179" i="19"/>
  <c r="AA1176" i="55" s="1"/>
  <c r="AL1179" i="19"/>
  <c r="AJ1179" i="19"/>
  <c r="AK1179" i="19"/>
  <c r="AL132" i="19"/>
  <c r="AM132" i="19"/>
  <c r="AP132" i="19"/>
  <c r="AD132" i="19" s="1"/>
  <c r="AJ132" i="19"/>
  <c r="AI132" i="19"/>
  <c r="AK132" i="19"/>
  <c r="AL1162" i="19"/>
  <c r="AI1162" i="19"/>
  <c r="AA1159" i="55" s="1"/>
  <c r="AP1162" i="19"/>
  <c r="AD1162" i="19" s="1"/>
  <c r="AK1162" i="19"/>
  <c r="AM1162" i="19"/>
  <c r="AJ1162" i="19"/>
  <c r="AP1164" i="19"/>
  <c r="AD1164" i="19" s="1"/>
  <c r="AL1164" i="19"/>
  <c r="AK1164" i="19"/>
  <c r="AJ1164" i="19"/>
  <c r="AM1164" i="19"/>
  <c r="AI1164" i="19"/>
  <c r="AA1161" i="55" s="1"/>
  <c r="AM1159" i="19"/>
  <c r="AI1159" i="19"/>
  <c r="AA1156" i="55" s="1"/>
  <c r="AL1159" i="19"/>
  <c r="AP1159" i="19"/>
  <c r="AD1159" i="19" s="1"/>
  <c r="AJ1159" i="19"/>
  <c r="AK1159" i="19"/>
  <c r="AJ42" i="19"/>
  <c r="AK42" i="19"/>
  <c r="AM42" i="19"/>
  <c r="AI42" i="19"/>
  <c r="AA42" i="44" s="1"/>
  <c r="AP42" i="19"/>
  <c r="AD42" i="19" s="1"/>
  <c r="AL42" i="19"/>
  <c r="AI51" i="19"/>
  <c r="AA51" i="44" s="1"/>
  <c r="AK51" i="19"/>
  <c r="AL51" i="19"/>
  <c r="AM51" i="19"/>
  <c r="AJ51" i="19"/>
  <c r="AP51" i="19"/>
  <c r="AD51" i="19" s="1"/>
  <c r="AJ1165" i="19"/>
  <c r="AP1165" i="19"/>
  <c r="AD1165" i="19" s="1"/>
  <c r="AM1165" i="19"/>
  <c r="AI1165" i="19"/>
  <c r="AA1162" i="55" s="1"/>
  <c r="AK1165" i="19"/>
  <c r="AL1165" i="19"/>
  <c r="AI1180" i="19"/>
  <c r="AA1177" i="55" s="1"/>
  <c r="AJ1180" i="19"/>
  <c r="AL1180" i="19"/>
  <c r="AP1180" i="19"/>
  <c r="AD1180" i="19" s="1"/>
  <c r="AM1180" i="19"/>
  <c r="AK1180" i="19"/>
  <c r="AI1174" i="19"/>
  <c r="AP1174" i="19"/>
  <c r="AD1174" i="19" s="1"/>
  <c r="AL1174" i="19"/>
  <c r="AK1174" i="19"/>
  <c r="AJ1174" i="19"/>
  <c r="AM1174" i="19"/>
  <c r="AI1178" i="19"/>
  <c r="AA1175" i="55" s="1"/>
  <c r="AP1178" i="19"/>
  <c r="AD1178" i="19" s="1"/>
  <c r="AJ1178" i="19"/>
  <c r="AK1178" i="19"/>
  <c r="AL1178" i="19"/>
  <c r="AM1178" i="19"/>
  <c r="AL1166" i="19"/>
  <c r="AP1166" i="19"/>
  <c r="AD1166" i="19" s="1"/>
  <c r="AM1166" i="19"/>
  <c r="AK1166" i="19"/>
  <c r="AI1166" i="19"/>
  <c r="AA1163" i="55" s="1"/>
  <c r="AJ1166" i="19"/>
  <c r="AJ1175" i="19"/>
  <c r="AM1175" i="19"/>
  <c r="AL1175" i="19"/>
  <c r="AK1175" i="19"/>
  <c r="AI1175" i="19"/>
  <c r="AP1175" i="19"/>
  <c r="AD1175" i="19" s="1"/>
  <c r="AL30" i="19"/>
  <c r="AM30" i="19"/>
  <c r="AK30" i="19"/>
  <c r="AJ30" i="19"/>
  <c r="AI30" i="19"/>
  <c r="AP30" i="19"/>
  <c r="AD30" i="19" s="1"/>
  <c r="AP115" i="19"/>
  <c r="AD115" i="19" s="1"/>
  <c r="AJ115" i="19"/>
  <c r="AM115" i="19"/>
  <c r="AI115" i="19"/>
  <c r="AK115" i="19"/>
  <c r="AL115" i="19"/>
  <c r="AL134" i="19"/>
  <c r="AK134" i="19"/>
  <c r="AI134" i="19"/>
  <c r="AJ134" i="19"/>
  <c r="AP134" i="19"/>
  <c r="AD134" i="19" s="1"/>
  <c r="AM134" i="19"/>
  <c r="AM25" i="19"/>
  <c r="AJ25" i="19"/>
  <c r="AI25" i="19"/>
  <c r="AK25" i="19"/>
  <c r="AL25" i="19"/>
  <c r="AP25" i="19"/>
  <c r="AD25" i="19" s="1"/>
  <c r="AP41" i="19"/>
  <c r="AD41" i="19" s="1"/>
  <c r="AI41" i="19"/>
  <c r="AA41" i="44" s="1"/>
  <c r="AK41" i="19"/>
  <c r="AL41" i="19"/>
  <c r="AJ41" i="19"/>
  <c r="AM41" i="19"/>
  <c r="AQ1014" i="19"/>
  <c r="AQ992" i="19"/>
  <c r="AQ951" i="19"/>
  <c r="Y951" i="19" s="1"/>
  <c r="AQ910" i="19"/>
  <c r="Y910" i="19" s="1"/>
  <c r="AQ958" i="19"/>
  <c r="AQ373" i="19"/>
  <c r="AQ796" i="19"/>
  <c r="Y796" i="19" s="1"/>
  <c r="AQ734" i="19"/>
  <c r="Y734" i="19" s="1"/>
  <c r="AQ307" i="19"/>
  <c r="AQ446" i="19"/>
  <c r="AQ593" i="19"/>
  <c r="Y593" i="19" s="1"/>
  <c r="AQ356" i="19"/>
  <c r="Y356" i="19" s="1"/>
  <c r="AQ125" i="19"/>
  <c r="AQ127" i="19"/>
  <c r="AQ99" i="19"/>
  <c r="Y99" i="19" s="1"/>
  <c r="AQ711" i="19"/>
  <c r="Y711" i="19" s="1"/>
  <c r="AQ643" i="19"/>
  <c r="AQ487" i="19"/>
  <c r="AQ350" i="19"/>
  <c r="Y350" i="19" s="1"/>
  <c r="AQ230" i="19"/>
  <c r="AQ122" i="19"/>
  <c r="AQ1016" i="19"/>
  <c r="AQ956" i="19"/>
  <c r="Y956" i="19" s="1"/>
  <c r="AQ1059" i="19"/>
  <c r="AQ943" i="19"/>
  <c r="AQ874" i="19"/>
  <c r="AQ841" i="19"/>
  <c r="Y841" i="19" s="1"/>
  <c r="AQ334" i="19"/>
  <c r="AQ788" i="19"/>
  <c r="AQ658" i="19"/>
  <c r="AQ120" i="19"/>
  <c r="Y120" i="19" s="1"/>
  <c r="AQ404" i="19"/>
  <c r="AQ557" i="19"/>
  <c r="AQ349" i="19"/>
  <c r="AQ121" i="19"/>
  <c r="Y121" i="19" s="1"/>
  <c r="AQ123" i="19"/>
  <c r="AQ755" i="19"/>
  <c r="AQ703" i="19"/>
  <c r="AQ603" i="19"/>
  <c r="Y603" i="19" s="1"/>
  <c r="AQ463" i="19"/>
  <c r="AQ329" i="19"/>
  <c r="AQ162" i="19"/>
  <c r="AQ114" i="19"/>
  <c r="AQ1012" i="19"/>
  <c r="AQ773" i="19"/>
  <c r="AQ1031" i="19"/>
  <c r="AQ934" i="19"/>
  <c r="AQ862" i="19"/>
  <c r="Y862" i="19" s="1"/>
  <c r="AQ540" i="19"/>
  <c r="AQ124" i="19"/>
  <c r="AQ772" i="19"/>
  <c r="AQ636" i="19"/>
  <c r="Y636" i="19" s="1"/>
  <c r="AQ677" i="19"/>
  <c r="AQ400" i="19"/>
  <c r="AQ549" i="19"/>
  <c r="Y549" i="19" s="1"/>
  <c r="AQ304" i="19"/>
  <c r="Y304" i="19" s="1"/>
  <c r="AQ101" i="19"/>
  <c r="AQ119" i="19"/>
  <c r="AQ743" i="19"/>
  <c r="Y743" i="19" s="1"/>
  <c r="AQ683" i="19"/>
  <c r="Y683" i="19" s="1"/>
  <c r="AQ535" i="19"/>
  <c r="AQ423" i="19"/>
  <c r="AQ309" i="19"/>
  <c r="AQ150" i="19"/>
  <c r="Y150" i="19" s="1"/>
  <c r="AQ82" i="19"/>
  <c r="AQ1004" i="19"/>
  <c r="AQ693" i="19"/>
  <c r="Y693" i="19" s="1"/>
  <c r="AQ1015" i="19"/>
  <c r="Y1015" i="19" s="1"/>
  <c r="AQ914" i="19"/>
  <c r="AQ970" i="19"/>
  <c r="AQ973" i="19"/>
  <c r="Y973" i="19" s="1"/>
  <c r="AQ839" i="19"/>
  <c r="Y839" i="19" s="1"/>
  <c r="AQ756" i="19"/>
  <c r="AQ526" i="19"/>
  <c r="AQ500" i="19"/>
  <c r="AQ355" i="19"/>
  <c r="AQ140" i="19"/>
  <c r="AQ157" i="19"/>
  <c r="AQ24" i="19"/>
  <c r="Y24" i="19" s="1"/>
  <c r="AQ107" i="19"/>
  <c r="AQ731" i="19"/>
  <c r="AQ655" i="19"/>
  <c r="AQ511" i="19"/>
  <c r="AQ387" i="19"/>
  <c r="AQ297" i="19"/>
  <c r="AQ138" i="19"/>
  <c r="AQ66" i="19"/>
  <c r="AQ1089" i="19"/>
  <c r="AQ1078" i="19"/>
  <c r="AQ1074" i="19"/>
  <c r="AQ1067" i="19"/>
  <c r="AQ1044" i="19"/>
  <c r="AQ1019" i="19"/>
  <c r="AQ988" i="19"/>
  <c r="AQ949" i="19"/>
  <c r="AQ937" i="19"/>
  <c r="AQ913" i="19"/>
  <c r="AQ909" i="19"/>
  <c r="AQ907" i="19"/>
  <c r="AQ899" i="19"/>
  <c r="AQ814" i="19"/>
  <c r="AQ805" i="19"/>
  <c r="AQ663" i="19"/>
  <c r="AQ562" i="19"/>
  <c r="AQ545" i="19"/>
  <c r="AQ491" i="19"/>
  <c r="AQ476" i="19"/>
  <c r="AQ471" i="19"/>
  <c r="AQ452" i="19"/>
  <c r="AQ447" i="19"/>
  <c r="AQ250" i="19"/>
  <c r="AQ237" i="19"/>
  <c r="AQ128" i="19"/>
  <c r="AQ1051" i="19"/>
  <c r="AQ713" i="19"/>
  <c r="AQ69" i="19"/>
  <c r="AQ687" i="19"/>
  <c r="AQ676" i="19"/>
  <c r="AQ1011" i="19"/>
  <c r="AP1103" i="19"/>
  <c r="AQ823" i="19"/>
  <c r="AQ818" i="19"/>
  <c r="AQ336" i="19"/>
  <c r="AQ264" i="19"/>
  <c r="AQ243" i="19"/>
  <c r="AQ158" i="19"/>
  <c r="AQ827" i="19"/>
  <c r="AQ1062" i="19"/>
  <c r="AQ678" i="19"/>
  <c r="AQ906" i="19"/>
  <c r="K29" i="17"/>
  <c r="L29" i="17" s="1"/>
  <c r="J30" i="17"/>
  <c r="AK23" i="19"/>
  <c r="AL23" i="19"/>
  <c r="AJ23" i="19"/>
  <c r="AI23" i="19"/>
  <c r="AA23" i="44" s="1"/>
  <c r="AM23" i="19"/>
  <c r="BX2" i="42"/>
  <c r="CD4" i="42" s="1"/>
  <c r="CF4" i="42" s="1"/>
  <c r="CH4" i="42" s="1"/>
  <c r="CB4" i="42"/>
  <c r="E14" i="35"/>
  <c r="E8" i="35"/>
  <c r="E271" i="35"/>
  <c r="E12" i="35"/>
  <c r="F12" i="35" s="1"/>
  <c r="E278" i="35"/>
  <c r="BC32" i="42"/>
  <c r="P22" i="19"/>
  <c r="AN1035" i="19" l="1"/>
  <c r="AM186" i="19"/>
  <c r="AK968" i="19"/>
  <c r="AP968" i="19"/>
  <c r="AD968" i="19" s="1"/>
  <c r="AJ485" i="19"/>
  <c r="AI485" i="19"/>
  <c r="AP485" i="19"/>
  <c r="AD485" i="19" s="1"/>
  <c r="AM485" i="19"/>
  <c r="AI283" i="19"/>
  <c r="AP283" i="19"/>
  <c r="AD283" i="19" s="1"/>
  <c r="AL283" i="19"/>
  <c r="AM283" i="19"/>
  <c r="AJ283" i="19"/>
  <c r="AN1050" i="19"/>
  <c r="AJ186" i="19"/>
  <c r="AI186" i="19"/>
  <c r="AP186" i="19"/>
  <c r="AD186" i="19" s="1"/>
  <c r="AK186" i="19"/>
  <c r="AN186" i="19" s="1"/>
  <c r="AN1047" i="19"/>
  <c r="AA342" i="53"/>
  <c r="AA342" i="54"/>
  <c r="AA111" i="44"/>
  <c r="AA111" i="52"/>
  <c r="AA924" i="54"/>
  <c r="AA924" i="53"/>
  <c r="AA919" i="54"/>
  <c r="AA919" i="53"/>
  <c r="AA900" i="54"/>
  <c r="AA900" i="53"/>
  <c r="AA921" i="54"/>
  <c r="AA921" i="53"/>
  <c r="AA905" i="54"/>
  <c r="AA905" i="53"/>
  <c r="AA914" i="54"/>
  <c r="AA914" i="53"/>
  <c r="AA916" i="54"/>
  <c r="AA916" i="53"/>
  <c r="AA922" i="54"/>
  <c r="AA922" i="53"/>
  <c r="AA893" i="54"/>
  <c r="AA893" i="53"/>
  <c r="AA929" i="54"/>
  <c r="AA929" i="53"/>
  <c r="AA899" i="54"/>
  <c r="AA899" i="53"/>
  <c r="AA183" i="52"/>
  <c r="AA183" i="53"/>
  <c r="AA586" i="53"/>
  <c r="AA586" i="54"/>
  <c r="AA606" i="53"/>
  <c r="AA606" i="54"/>
  <c r="AA609" i="53"/>
  <c r="AA609" i="54"/>
  <c r="AA187" i="52"/>
  <c r="AA187" i="53"/>
  <c r="AA594" i="53"/>
  <c r="AA594" i="54"/>
  <c r="AA584" i="53"/>
  <c r="AA584" i="54"/>
  <c r="AA184" i="52"/>
  <c r="AA184" i="53"/>
  <c r="AA593" i="53"/>
  <c r="AA593" i="54"/>
  <c r="AA612" i="53"/>
  <c r="AA612" i="54"/>
  <c r="AA579" i="53"/>
  <c r="AA579" i="54"/>
  <c r="AA582" i="53"/>
  <c r="AA582" i="54"/>
  <c r="AA592" i="53"/>
  <c r="AA592" i="54"/>
  <c r="AA576" i="53"/>
  <c r="AA576" i="54"/>
  <c r="AA588" i="53"/>
  <c r="AA588" i="54"/>
  <c r="AA188" i="52"/>
  <c r="AA188" i="53"/>
  <c r="AA186" i="52"/>
  <c r="AA186" i="53"/>
  <c r="AA611" i="53"/>
  <c r="AA611" i="54"/>
  <c r="AA583" i="53"/>
  <c r="AA583" i="54"/>
  <c r="AA619" i="53"/>
  <c r="AA619" i="54"/>
  <c r="AA886" i="53"/>
  <c r="AA886" i="54"/>
  <c r="AA614" i="53"/>
  <c r="AA614" i="54"/>
  <c r="AA618" i="53"/>
  <c r="AA618" i="54"/>
  <c r="AA885" i="53"/>
  <c r="AA885" i="54"/>
  <c r="AA268" i="52"/>
  <c r="AA268" i="53"/>
  <c r="AA269" i="52"/>
  <c r="AA269" i="53"/>
  <c r="AA270" i="52"/>
  <c r="AA270" i="53"/>
  <c r="AA286" i="52"/>
  <c r="AA286" i="53"/>
  <c r="AA271" i="52"/>
  <c r="AA271" i="53"/>
  <c r="AA1000" i="53"/>
  <c r="AA1000" i="54"/>
  <c r="AA1130" i="53"/>
  <c r="AA1130" i="55"/>
  <c r="AA981" i="53"/>
  <c r="AA981" i="54"/>
  <c r="AA892" i="54"/>
  <c r="AA892" i="53"/>
  <c r="AA1183" i="54"/>
  <c r="AA1183" i="55"/>
  <c r="AA1131" i="53"/>
  <c r="AA1131" i="55"/>
  <c r="AA1058" i="53"/>
  <c r="AA1058" i="54"/>
  <c r="AA1129" i="53"/>
  <c r="AA1129" i="55"/>
  <c r="AA1057" i="53"/>
  <c r="AA1057" i="54"/>
  <c r="AA996" i="53"/>
  <c r="AA996" i="54"/>
  <c r="AA1128" i="53"/>
  <c r="AA1128" i="55"/>
  <c r="AA1126" i="53"/>
  <c r="AA1126" i="54"/>
  <c r="AA980" i="53"/>
  <c r="AA980" i="54"/>
  <c r="AA992" i="53"/>
  <c r="AA992" i="54"/>
  <c r="AA982" i="53"/>
  <c r="AA982" i="54"/>
  <c r="AA990" i="53"/>
  <c r="AA990" i="54"/>
  <c r="AA995" i="53"/>
  <c r="AA995" i="54"/>
  <c r="AA997" i="53"/>
  <c r="AA997" i="54"/>
  <c r="AA1132" i="53"/>
  <c r="AA1132" i="55"/>
  <c r="AA998" i="53"/>
  <c r="AA998" i="54"/>
  <c r="AA979" i="53"/>
  <c r="AA979" i="54"/>
  <c r="AA1127" i="53"/>
  <c r="AA1127" i="55"/>
  <c r="AA999" i="53"/>
  <c r="AA999" i="54"/>
  <c r="AA993" i="53"/>
  <c r="AA993" i="54"/>
  <c r="AA991" i="53"/>
  <c r="AA991" i="54"/>
  <c r="AA978" i="53"/>
  <c r="AA978" i="54"/>
  <c r="AA287" i="52"/>
  <c r="AA287" i="53"/>
  <c r="AA290" i="52"/>
  <c r="AA290" i="53"/>
  <c r="AA288" i="52"/>
  <c r="AA288" i="53"/>
  <c r="AJ106" i="19"/>
  <c r="AM106" i="19"/>
  <c r="AA291" i="52"/>
  <c r="AA291" i="53"/>
  <c r="AA302" i="52"/>
  <c r="AA302" i="53"/>
  <c r="AA292" i="52"/>
  <c r="AA292" i="53"/>
  <c r="AA1161" i="53"/>
  <c r="AA1161" i="54"/>
  <c r="AA1160" i="53"/>
  <c r="AA1160" i="54"/>
  <c r="AA1165" i="53"/>
  <c r="AA1165" i="54"/>
  <c r="AA1138" i="53"/>
  <c r="AA1138" i="54"/>
  <c r="AA1180" i="53"/>
  <c r="AA1180" i="54"/>
  <c r="AA1149" i="53"/>
  <c r="AA1149" i="54"/>
  <c r="AA1148" i="53"/>
  <c r="AA1148" i="54"/>
  <c r="AA1163" i="53"/>
  <c r="AA1163" i="54"/>
  <c r="AA1176" i="53"/>
  <c r="AA1176" i="54"/>
  <c r="AA1174" i="53"/>
  <c r="AA1174" i="54"/>
  <c r="AA1164" i="53"/>
  <c r="AA1164" i="54"/>
  <c r="AA1145" i="53"/>
  <c r="AA1145" i="54"/>
  <c r="AA1139" i="53"/>
  <c r="AA1139" i="54"/>
  <c r="AA1135" i="53"/>
  <c r="AA1135" i="54"/>
  <c r="AA1181" i="53"/>
  <c r="AA1181" i="54"/>
  <c r="AA1133" i="53"/>
  <c r="AA1133" i="54"/>
  <c r="AA1147" i="53"/>
  <c r="AA1147" i="54"/>
  <c r="AA1154" i="53"/>
  <c r="AA1154" i="54"/>
  <c r="AA1178" i="53"/>
  <c r="AA1178" i="54"/>
  <c r="AA1162" i="53"/>
  <c r="AA1162" i="54"/>
  <c r="AA1156" i="53"/>
  <c r="AA1156" i="54"/>
  <c r="AA1159" i="53"/>
  <c r="AA1159" i="54"/>
  <c r="AA1157" i="53"/>
  <c r="AA1157" i="54"/>
  <c r="AA1140" i="53"/>
  <c r="AA1140" i="54"/>
  <c r="AA1151" i="53"/>
  <c r="AA1151" i="54"/>
  <c r="AA1152" i="53"/>
  <c r="AA1152" i="54"/>
  <c r="AA1142" i="53"/>
  <c r="AA1142" i="54"/>
  <c r="AA1136" i="53"/>
  <c r="AA1136" i="54"/>
  <c r="AA1153" i="53"/>
  <c r="AA1153" i="54"/>
  <c r="AA1175" i="53"/>
  <c r="AA1175" i="54"/>
  <c r="AA1177" i="53"/>
  <c r="AA1177" i="54"/>
  <c r="AA1158" i="53"/>
  <c r="AA1158" i="54"/>
  <c r="AA1143" i="53"/>
  <c r="AA1143" i="54"/>
  <c r="AA1150" i="53"/>
  <c r="AA1150" i="54"/>
  <c r="AA1179" i="53"/>
  <c r="AA1179" i="54"/>
  <c r="AA1141" i="53"/>
  <c r="AA1141" i="54"/>
  <c r="AA1134" i="53"/>
  <c r="AA1134" i="54"/>
  <c r="AA1144" i="53"/>
  <c r="AA1144" i="54"/>
  <c r="AA1184" i="53"/>
  <c r="AA1184" i="54"/>
  <c r="AA1182" i="53"/>
  <c r="AA1182" i="54"/>
  <c r="AA1155" i="53"/>
  <c r="AA1155" i="54"/>
  <c r="AA1146" i="53"/>
  <c r="AA1146" i="54"/>
  <c r="AA1183" i="52"/>
  <c r="AA1183" i="53"/>
  <c r="AA994" i="52"/>
  <c r="AA994" i="53"/>
  <c r="AA309" i="52"/>
  <c r="AA309" i="53"/>
  <c r="AA308" i="52"/>
  <c r="AA308" i="53"/>
  <c r="AA112" i="44"/>
  <c r="AA112" i="52"/>
  <c r="AA113" i="44"/>
  <c r="AA113" i="52"/>
  <c r="AA115" i="44"/>
  <c r="AA115" i="52"/>
  <c r="AA116" i="44"/>
  <c r="AA116" i="52"/>
  <c r="AA139" i="44"/>
  <c r="AA139" i="52"/>
  <c r="AA990" i="44"/>
  <c r="AA990" i="52"/>
  <c r="AA995" i="55"/>
  <c r="AA995" i="52"/>
  <c r="AA999" i="55"/>
  <c r="AA999" i="52"/>
  <c r="AA996" i="55"/>
  <c r="AA996" i="52"/>
  <c r="AA992" i="44"/>
  <c r="AA992" i="52"/>
  <c r="AA1000" i="55"/>
  <c r="AA1000" i="52"/>
  <c r="AA997" i="55"/>
  <c r="AA997" i="52"/>
  <c r="AA998" i="55"/>
  <c r="AA998" i="52"/>
  <c r="AA993" i="44"/>
  <c r="AA993" i="52"/>
  <c r="AA991" i="44"/>
  <c r="AA991" i="52"/>
  <c r="AA335" i="55"/>
  <c r="AA335" i="52"/>
  <c r="AA340" i="55"/>
  <c r="AA340" i="52"/>
  <c r="AA315" i="55"/>
  <c r="AA315" i="52"/>
  <c r="AA316" i="55"/>
  <c r="AA316" i="52"/>
  <c r="AA337" i="55"/>
  <c r="AA337" i="52"/>
  <c r="AA344" i="55"/>
  <c r="AA344" i="52"/>
  <c r="AA151" i="44"/>
  <c r="AA151" i="52"/>
  <c r="AA320" i="55"/>
  <c r="AA320" i="52"/>
  <c r="AA342" i="55"/>
  <c r="AA342" i="52"/>
  <c r="AA341" i="55"/>
  <c r="AA341" i="52"/>
  <c r="AA339" i="55"/>
  <c r="AA339" i="52"/>
  <c r="AA321" i="55"/>
  <c r="AA321" i="52"/>
  <c r="AA338" i="55"/>
  <c r="AA338" i="52"/>
  <c r="AA149" i="44"/>
  <c r="AA149" i="52"/>
  <c r="AA336" i="55"/>
  <c r="AA336" i="52"/>
  <c r="AA318" i="55"/>
  <c r="AA318" i="52"/>
  <c r="AA343" i="55"/>
  <c r="AA343" i="52"/>
  <c r="AA302" i="55"/>
  <c r="AA302" i="44"/>
  <c r="AA309" i="55"/>
  <c r="AA309" i="44"/>
  <c r="AA308" i="55"/>
  <c r="AA308" i="44"/>
  <c r="AA286" i="55"/>
  <c r="AA286" i="44"/>
  <c r="AA291" i="55"/>
  <c r="AA291" i="44"/>
  <c r="AA290" i="55"/>
  <c r="AA290" i="44"/>
  <c r="AA287" i="55"/>
  <c r="AA287" i="44"/>
  <c r="AA292" i="55"/>
  <c r="AA292" i="44"/>
  <c r="AA288" i="55"/>
  <c r="AA288" i="44"/>
  <c r="AA269" i="55"/>
  <c r="AA269" i="44"/>
  <c r="AA271" i="55"/>
  <c r="AA271" i="44"/>
  <c r="AA268" i="55"/>
  <c r="AA268" i="44"/>
  <c r="AA270" i="55"/>
  <c r="AA270" i="44"/>
  <c r="AA143" i="55"/>
  <c r="AA143" i="44"/>
  <c r="AA144" i="55"/>
  <c r="AA144" i="44"/>
  <c r="AA156" i="55"/>
  <c r="AA156" i="44"/>
  <c r="AA152" i="55"/>
  <c r="AA152" i="44"/>
  <c r="AA142" i="55"/>
  <c r="AA142" i="44"/>
  <c r="AA155" i="55"/>
  <c r="AA155" i="44"/>
  <c r="AA154" i="55"/>
  <c r="AA154" i="44"/>
  <c r="AA153" i="55"/>
  <c r="AA153" i="44"/>
  <c r="AA141" i="55"/>
  <c r="AA141" i="44"/>
  <c r="AM438" i="19"/>
  <c r="AA994" i="44"/>
  <c r="AA994" i="55"/>
  <c r="AJ916" i="19"/>
  <c r="AJ550" i="19"/>
  <c r="AM521" i="19"/>
  <c r="AJ256" i="19"/>
  <c r="AM853" i="19"/>
  <c r="AJ961" i="19"/>
  <c r="AP842" i="19"/>
  <c r="AD842" i="19" s="1"/>
  <c r="AI714" i="19"/>
  <c r="AK402" i="19"/>
  <c r="AM402" i="19"/>
  <c r="AM441" i="19"/>
  <c r="AN441" i="19" s="1"/>
  <c r="AP441" i="19"/>
  <c r="AD441" i="19" s="1"/>
  <c r="AI97" i="19"/>
  <c r="AL97" i="19"/>
  <c r="AN97" i="19" s="1"/>
  <c r="AI769" i="19"/>
  <c r="AJ769" i="19"/>
  <c r="AK512" i="19"/>
  <c r="AN512" i="19" s="1"/>
  <c r="AI512" i="19"/>
  <c r="AP315" i="19"/>
  <c r="AD315" i="19" s="1"/>
  <c r="AJ645" i="19"/>
  <c r="AK444" i="19"/>
  <c r="AJ405" i="19"/>
  <c r="AK306" i="19"/>
  <c r="AP368" i="19"/>
  <c r="AD368" i="19" s="1"/>
  <c r="AL106" i="19"/>
  <c r="AK377" i="19"/>
  <c r="AK246" i="19"/>
  <c r="AL206" i="19"/>
  <c r="AP467" i="19"/>
  <c r="AD467" i="19" s="1"/>
  <c r="AJ108" i="19"/>
  <c r="AL916" i="19"/>
  <c r="AK961" i="19"/>
  <c r="AN961" i="19" s="1"/>
  <c r="AK842" i="19"/>
  <c r="AN842" i="19" s="1"/>
  <c r="AK714" i="19"/>
  <c r="AN714" i="19" s="1"/>
  <c r="AJ402" i="19"/>
  <c r="AL769" i="19"/>
  <c r="AN769" i="19" s="1"/>
  <c r="AJ512" i="19"/>
  <c r="AJ315" i="19"/>
  <c r="AL443" i="19"/>
  <c r="AK405" i="19"/>
  <c r="AL306" i="19"/>
  <c r="AP531" i="19"/>
  <c r="AD531" i="19" s="1"/>
  <c r="AM377" i="19"/>
  <c r="AL887" i="19"/>
  <c r="AP246" i="19"/>
  <c r="AD246" i="19" s="1"/>
  <c r="AM916" i="19"/>
  <c r="AI531" i="19"/>
  <c r="AL308" i="19"/>
  <c r="AJ887" i="19"/>
  <c r="AK263" i="19"/>
  <c r="AK916" i="19"/>
  <c r="AP916" i="19"/>
  <c r="AD916" i="19" s="1"/>
  <c r="AK853" i="19"/>
  <c r="AP210" i="19"/>
  <c r="AD210" i="19" s="1"/>
  <c r="AJ541" i="19"/>
  <c r="AJ438" i="19"/>
  <c r="AL858" i="19"/>
  <c r="AM858" i="19"/>
  <c r="AI777" i="19"/>
  <c r="AJ777" i="19"/>
  <c r="AK501" i="19"/>
  <c r="AL211" i="19"/>
  <c r="AP675" i="19"/>
  <c r="AD675" i="19" s="1"/>
  <c r="AJ775" i="19"/>
  <c r="AM550" i="19"/>
  <c r="AI521" i="19"/>
  <c r="AM256" i="19"/>
  <c r="AN256" i="19" s="1"/>
  <c r="AP256" i="19"/>
  <c r="AD256" i="19" s="1"/>
  <c r="AP443" i="19"/>
  <c r="AD443" i="19" s="1"/>
  <c r="AJ444" i="19"/>
  <c r="AJ306" i="19"/>
  <c r="AK531" i="19"/>
  <c r="AL531" i="19"/>
  <c r="AI308" i="19"/>
  <c r="AM308" i="19"/>
  <c r="AM887" i="19"/>
  <c r="AM263" i="19"/>
  <c r="AJ263" i="19"/>
  <c r="AK210" i="19"/>
  <c r="AM210" i="19"/>
  <c r="AI541" i="19"/>
  <c r="AI438" i="19"/>
  <c r="AI853" i="19"/>
  <c r="AJ853" i="19"/>
  <c r="AI858" i="19"/>
  <c r="AL777" i="19"/>
  <c r="AM777" i="19"/>
  <c r="AM501" i="19"/>
  <c r="AJ501" i="19"/>
  <c r="AK211" i="19"/>
  <c r="AJ211" i="19"/>
  <c r="AK675" i="19"/>
  <c r="AI775" i="19"/>
  <c r="AM775" i="19"/>
  <c r="AL550" i="19"/>
  <c r="AP521" i="19"/>
  <c r="AD521" i="19" s="1"/>
  <c r="AI256" i="19"/>
  <c r="AK443" i="19"/>
  <c r="AJ443" i="19"/>
  <c r="AP444" i="19"/>
  <c r="AD444" i="19" s="1"/>
  <c r="AI444" i="19"/>
  <c r="AI306" i="19"/>
  <c r="AJ531" i="19"/>
  <c r="AK308" i="19"/>
  <c r="AP308" i="19"/>
  <c r="AD308" i="19" s="1"/>
  <c r="AP887" i="19"/>
  <c r="AD887" i="19" s="1"/>
  <c r="AI263" i="19"/>
  <c r="AL263" i="19"/>
  <c r="AJ210" i="19"/>
  <c r="AL210" i="19"/>
  <c r="AK541" i="19"/>
  <c r="AL541" i="19"/>
  <c r="AL438" i="19"/>
  <c r="AL853" i="19"/>
  <c r="AI501" i="19"/>
  <c r="AM211" i="19"/>
  <c r="AM675" i="19"/>
  <c r="AK775" i="19"/>
  <c r="AN775" i="19" s="1"/>
  <c r="AI550" i="19"/>
  <c r="AK521" i="19"/>
  <c r="AI443" i="19"/>
  <c r="AM444" i="19"/>
  <c r="AP306" i="19"/>
  <c r="AD306" i="19" s="1"/>
  <c r="AK887" i="19"/>
  <c r="AM541" i="19"/>
  <c r="AK438" i="19"/>
  <c r="AJ497" i="19"/>
  <c r="AJ829" i="19"/>
  <c r="AM509" i="19"/>
  <c r="AI244" i="19"/>
  <c r="AI498" i="19"/>
  <c r="AL530" i="19"/>
  <c r="AK415" i="19"/>
  <c r="AP760" i="19"/>
  <c r="AD760" i="19" s="1"/>
  <c r="AL828" i="19"/>
  <c r="AM449" i="19"/>
  <c r="AL480" i="19"/>
  <c r="AJ1063" i="19"/>
  <c r="AK231" i="19"/>
  <c r="AM442" i="19"/>
  <c r="AI32" i="19"/>
  <c r="AL758" i="19"/>
  <c r="AN758" i="19" s="1"/>
  <c r="AI829" i="19"/>
  <c r="AP509" i="19"/>
  <c r="AD509" i="19" s="1"/>
  <c r="AM857" i="19"/>
  <c r="AM498" i="19"/>
  <c r="AJ650" i="19"/>
  <c r="AI415" i="19"/>
  <c r="AM760" i="19"/>
  <c r="AL464" i="19"/>
  <c r="AM828" i="19"/>
  <c r="AJ320" i="19"/>
  <c r="AP865" i="19"/>
  <c r="AD865" i="19" s="1"/>
  <c r="AI480" i="19"/>
  <c r="AP1063" i="19"/>
  <c r="AD1063" i="19" s="1"/>
  <c r="AJ231" i="19"/>
  <c r="AI697" i="19"/>
  <c r="AK442" i="19"/>
  <c r="AI758" i="19"/>
  <c r="AJ509" i="19"/>
  <c r="AP244" i="19"/>
  <c r="AD244" i="19" s="1"/>
  <c r="AK857" i="19"/>
  <c r="AP650" i="19"/>
  <c r="AD650" i="19" s="1"/>
  <c r="AJ415" i="19"/>
  <c r="AI760" i="19"/>
  <c r="AM464" i="19"/>
  <c r="AI828" i="19"/>
  <c r="AK449" i="19"/>
  <c r="AP320" i="19"/>
  <c r="AD320" i="19" s="1"/>
  <c r="AK865" i="19"/>
  <c r="AJ480" i="19"/>
  <c r="AM231" i="19"/>
  <c r="AK697" i="19"/>
  <c r="AJ442" i="19"/>
  <c r="AJ758" i="19"/>
  <c r="AP522" i="19"/>
  <c r="AD522" i="19" s="1"/>
  <c r="AL39" i="19"/>
  <c r="AD1031" i="19"/>
  <c r="AP508" i="19"/>
  <c r="AD508" i="19" s="1"/>
  <c r="AJ784" i="19"/>
  <c r="AI437" i="19"/>
  <c r="AP869" i="19"/>
  <c r="AD869" i="19" s="1"/>
  <c r="AP829" i="19"/>
  <c r="AD829" i="19" s="1"/>
  <c r="AL829" i="19"/>
  <c r="AN829" i="19" s="1"/>
  <c r="AK509" i="19"/>
  <c r="AN509" i="19" s="1"/>
  <c r="AL870" i="19"/>
  <c r="AK244" i="19"/>
  <c r="AI857" i="19"/>
  <c r="AP857" i="19"/>
  <c r="AD857" i="19" s="1"/>
  <c r="AL498" i="19"/>
  <c r="AP498" i="19"/>
  <c r="AD498" i="19" s="1"/>
  <c r="AJ566" i="19"/>
  <c r="AM650" i="19"/>
  <c r="AI530" i="19"/>
  <c r="AK530" i="19"/>
  <c r="AL415" i="19"/>
  <c r="AM415" i="19"/>
  <c r="AL760" i="19"/>
  <c r="AJ310" i="19"/>
  <c r="AK464" i="19"/>
  <c r="AJ828" i="19"/>
  <c r="AI328" i="19"/>
  <c r="AI449" i="19"/>
  <c r="AL320" i="19"/>
  <c r="AK320" i="19"/>
  <c r="AL865" i="19"/>
  <c r="AN865" i="19" s="1"/>
  <c r="AJ865" i="19"/>
  <c r="AM480" i="19"/>
  <c r="AP192" i="19"/>
  <c r="AD192" i="19" s="1"/>
  <c r="AL1063" i="19"/>
  <c r="AI231" i="19"/>
  <c r="AJ697" i="19"/>
  <c r="AL697" i="19"/>
  <c r="AI442" i="19"/>
  <c r="AL32" i="19"/>
  <c r="AN32" i="19" s="1"/>
  <c r="AJ32" i="19"/>
  <c r="AP758" i="19"/>
  <c r="AD758" i="19" s="1"/>
  <c r="AL261" i="19"/>
  <c r="AL244" i="19"/>
  <c r="AL857" i="19"/>
  <c r="AL650" i="19"/>
  <c r="AN650" i="19" s="1"/>
  <c r="AJ530" i="19"/>
  <c r="AI720" i="19"/>
  <c r="AP464" i="19"/>
  <c r="AD464" i="19" s="1"/>
  <c r="AL449" i="19"/>
  <c r="AI320" i="19"/>
  <c r="AA317" i="53" s="1"/>
  <c r="AJ322" i="19"/>
  <c r="AK1063" i="19"/>
  <c r="AM697" i="19"/>
  <c r="AP32" i="19"/>
  <c r="AD32" i="19" s="1"/>
  <c r="AN1045" i="19"/>
  <c r="AP750" i="19"/>
  <c r="AD750" i="19" s="1"/>
  <c r="AJ451" i="19"/>
  <c r="AI98" i="19"/>
  <c r="AI205" i="19"/>
  <c r="AP638" i="19"/>
  <c r="AD638" i="19" s="1"/>
  <c r="AM750" i="19"/>
  <c r="AL451" i="19"/>
  <c r="AL98" i="19"/>
  <c r="AM205" i="19"/>
  <c r="AL638" i="19"/>
  <c r="J40" i="56"/>
  <c r="K39" i="56"/>
  <c r="L39" i="56" s="1"/>
  <c r="AN1037" i="19"/>
  <c r="AN875" i="19"/>
  <c r="AN416" i="19"/>
  <c r="AN932" i="19"/>
  <c r="AN983" i="19"/>
  <c r="AN407" i="19"/>
  <c r="AN1181" i="19"/>
  <c r="AN472" i="19"/>
  <c r="AN1128" i="19"/>
  <c r="AN754" i="19"/>
  <c r="AN1054" i="19"/>
  <c r="AN398" i="19"/>
  <c r="AN764" i="19"/>
  <c r="AN294" i="19"/>
  <c r="AN203" i="19"/>
  <c r="AN100" i="19"/>
  <c r="AN420" i="19"/>
  <c r="AN671" i="19"/>
  <c r="AN1105" i="19"/>
  <c r="AN385" i="19"/>
  <c r="AN389" i="19"/>
  <c r="AN44" i="19"/>
  <c r="AK750" i="19"/>
  <c r="AI451" i="19"/>
  <c r="AP98" i="19"/>
  <c r="AD98" i="19" s="1"/>
  <c r="AP205" i="19"/>
  <c r="AD205" i="19" s="1"/>
  <c r="AK638" i="19"/>
  <c r="AJ797" i="19"/>
  <c r="AL750" i="19"/>
  <c r="AP451" i="19"/>
  <c r="AD451" i="19" s="1"/>
  <c r="AJ98" i="19"/>
  <c r="AJ205" i="19"/>
  <c r="AJ638" i="19"/>
  <c r="AI797" i="19"/>
  <c r="AN966" i="19"/>
  <c r="AN166" i="19"/>
  <c r="AN1066" i="19"/>
  <c r="AI750" i="19"/>
  <c r="AM451" i="19"/>
  <c r="AM98" i="19"/>
  <c r="AL205" i="19"/>
  <c r="AM638" i="19"/>
  <c r="AK797" i="19"/>
  <c r="AN1040" i="19"/>
  <c r="AN912" i="19"/>
  <c r="AN424" i="19"/>
  <c r="AN991" i="19"/>
  <c r="AN855" i="19"/>
  <c r="AN1091" i="19"/>
  <c r="AN276" i="19"/>
  <c r="AN36" i="19"/>
  <c r="AN110" i="19"/>
  <c r="AN79" i="19"/>
  <c r="AN1142" i="19"/>
  <c r="AN709" i="19"/>
  <c r="AN221" i="19"/>
  <c r="AN990" i="19"/>
  <c r="AN461" i="19"/>
  <c r="AN112" i="19"/>
  <c r="AN591" i="19"/>
  <c r="AN490" i="19"/>
  <c r="AN1031" i="19"/>
  <c r="AN49" i="19"/>
  <c r="AN579" i="19"/>
  <c r="AN89" i="19"/>
  <c r="AN375" i="19"/>
  <c r="AN139" i="19"/>
  <c r="AN1069" i="19"/>
  <c r="AN513" i="19"/>
  <c r="AN1188" i="19"/>
  <c r="AN622" i="19"/>
  <c r="AN520" i="19"/>
  <c r="AN365" i="19"/>
  <c r="AN767" i="19"/>
  <c r="AN1147" i="19"/>
  <c r="AN665" i="19"/>
  <c r="AN538" i="19"/>
  <c r="AN474" i="19"/>
  <c r="AN343" i="19"/>
  <c r="AN607" i="19"/>
  <c r="AN838" i="19"/>
  <c r="AN245" i="19"/>
  <c r="AN986" i="19"/>
  <c r="AN1137" i="19"/>
  <c r="AN405" i="19"/>
  <c r="AN817" i="19"/>
  <c r="AN583" i="19"/>
  <c r="AN637" i="19"/>
  <c r="AN496" i="19"/>
  <c r="AN779" i="19"/>
  <c r="AN298" i="19"/>
  <c r="AL879" i="19"/>
  <c r="AI879" i="19"/>
  <c r="AJ879" i="19"/>
  <c r="AP879" i="19"/>
  <c r="AD879" i="19" s="1"/>
  <c r="AK879" i="19"/>
  <c r="AM879" i="19"/>
  <c r="AN1167" i="19"/>
  <c r="AM522" i="19"/>
  <c r="AP261" i="19"/>
  <c r="AD261" i="19" s="1"/>
  <c r="AK870" i="19"/>
  <c r="AP784" i="19"/>
  <c r="AD784" i="19" s="1"/>
  <c r="AK508" i="19"/>
  <c r="AN666" i="19"/>
  <c r="AN229" i="19"/>
  <c r="AN1068" i="19"/>
  <c r="AN179" i="19"/>
  <c r="AN126" i="19"/>
  <c r="AI566" i="19"/>
  <c r="AP566" i="19"/>
  <c r="AD566" i="19" s="1"/>
  <c r="AM437" i="19"/>
  <c r="AL437" i="19"/>
  <c r="AK39" i="19"/>
  <c r="AI39" i="19"/>
  <c r="AA39" i="44" s="1"/>
  <c r="AP720" i="19"/>
  <c r="AD720" i="19" s="1"/>
  <c r="AJ720" i="19"/>
  <c r="AI310" i="19"/>
  <c r="AK310" i="19"/>
  <c r="AP328" i="19"/>
  <c r="AD328" i="19" s="1"/>
  <c r="AK869" i="19"/>
  <c r="AM497" i="19"/>
  <c r="AM322" i="19"/>
  <c r="AM192" i="19"/>
  <c r="AL258" i="19"/>
  <c r="AN258" i="19" s="1"/>
  <c r="AJ246" i="19"/>
  <c r="AI206" i="19"/>
  <c r="AL467" i="19"/>
  <c r="AN467" i="19" s="1"/>
  <c r="AK108" i="19"/>
  <c r="AN518" i="19"/>
  <c r="AK522" i="19"/>
  <c r="AI522" i="19"/>
  <c r="AM261" i="19"/>
  <c r="AK261" i="19"/>
  <c r="AI870" i="19"/>
  <c r="AJ870" i="19"/>
  <c r="AI784" i="19"/>
  <c r="AK784" i="19"/>
  <c r="AJ508" i="19"/>
  <c r="AM508" i="19"/>
  <c r="AN881" i="19"/>
  <c r="AL566" i="19"/>
  <c r="AM566" i="19"/>
  <c r="AP437" i="19"/>
  <c r="AD437" i="19" s="1"/>
  <c r="AJ437" i="19"/>
  <c r="AP39" i="19"/>
  <c r="AD39" i="19" s="1"/>
  <c r="AJ39" i="19"/>
  <c r="AM720" i="19"/>
  <c r="AL720" i="19"/>
  <c r="AL310" i="19"/>
  <c r="AM310" i="19"/>
  <c r="AN364" i="19"/>
  <c r="AN182" i="19"/>
  <c r="AN1154" i="19"/>
  <c r="AN888" i="19"/>
  <c r="AN728" i="19"/>
  <c r="AN1182" i="19"/>
  <c r="AN338" i="19"/>
  <c r="AN370" i="19"/>
  <c r="AN209" i="19"/>
  <c r="AL328" i="19"/>
  <c r="AK328" i="19"/>
  <c r="AM869" i="19"/>
  <c r="AL869" i="19"/>
  <c r="AP497" i="19"/>
  <c r="AD497" i="19" s="1"/>
  <c r="AI497" i="19"/>
  <c r="AK322" i="19"/>
  <c r="AL322" i="19"/>
  <c r="AK192" i="19"/>
  <c r="AL192" i="19"/>
  <c r="AN729" i="19"/>
  <c r="AN919" i="19"/>
  <c r="AN515" i="19"/>
  <c r="AN70" i="19"/>
  <c r="AN504" i="19"/>
  <c r="AN344" i="19"/>
  <c r="AN275" i="19"/>
  <c r="AN847" i="19"/>
  <c r="AN224" i="19"/>
  <c r="AN999" i="19"/>
  <c r="AN477" i="19"/>
  <c r="AN92" i="19"/>
  <c r="AN1184" i="19"/>
  <c r="AN922" i="19"/>
  <c r="AN510" i="19"/>
  <c r="AN1117" i="19"/>
  <c r="AP258" i="19"/>
  <c r="AD258" i="19" s="1"/>
  <c r="AM246" i="19"/>
  <c r="AP206" i="19"/>
  <c r="AD206" i="19" s="1"/>
  <c r="AJ467" i="19"/>
  <c r="AM108" i="19"/>
  <c r="AN692" i="19"/>
  <c r="AN590" i="19"/>
  <c r="AN266" i="19"/>
  <c r="AN357" i="19"/>
  <c r="AJ522" i="19"/>
  <c r="AI261" i="19"/>
  <c r="AP870" i="19"/>
  <c r="AD870" i="19" s="1"/>
  <c r="AL784" i="19"/>
  <c r="AI508" i="19"/>
  <c r="AN238" i="19"/>
  <c r="AN396" i="19"/>
  <c r="AN733" i="19"/>
  <c r="AJ328" i="19"/>
  <c r="AI869" i="19"/>
  <c r="AK497" i="19"/>
  <c r="AI322" i="19"/>
  <c r="AA319" i="53" s="1"/>
  <c r="AI192" i="19"/>
  <c r="AJ258" i="19"/>
  <c r="AL246" i="19"/>
  <c r="AM206" i="19"/>
  <c r="AI467" i="19"/>
  <c r="AL108" i="19"/>
  <c r="AN652" i="19"/>
  <c r="Y423" i="19"/>
  <c r="Y400" i="19"/>
  <c r="AN700" i="19"/>
  <c r="AN664" i="19"/>
  <c r="AN980" i="19"/>
  <c r="AN651" i="19"/>
  <c r="AN240" i="19"/>
  <c r="AN254" i="19"/>
  <c r="AN371" i="19"/>
  <c r="AN561" i="19"/>
  <c r="AN372" i="19"/>
  <c r="AN146" i="19"/>
  <c r="AN95" i="19"/>
  <c r="AN35" i="19"/>
  <c r="AN1104" i="19"/>
  <c r="AN742" i="19"/>
  <c r="AN746" i="19"/>
  <c r="AN661" i="19"/>
  <c r="AN533" i="19"/>
  <c r="AN164" i="19"/>
  <c r="AN144" i="19"/>
  <c r="AN181" i="19"/>
  <c r="Y677" i="19"/>
  <c r="Y1059" i="19"/>
  <c r="Y230" i="19"/>
  <c r="Y511" i="19"/>
  <c r="Y500" i="19"/>
  <c r="Y309" i="19"/>
  <c r="AN395" i="19"/>
  <c r="AN559" i="19"/>
  <c r="AN159" i="19"/>
  <c r="AN1003" i="19"/>
  <c r="AN1109" i="19"/>
  <c r="AN597" i="19"/>
  <c r="AN1134" i="19"/>
  <c r="AN826" i="19"/>
  <c r="AN856" i="19"/>
  <c r="AN374" i="19"/>
  <c r="AN523" i="19"/>
  <c r="AN979" i="19"/>
  <c r="AN933" i="19"/>
  <c r="AN149" i="19"/>
  <c r="AN844" i="19"/>
  <c r="AN502" i="19"/>
  <c r="AN809" i="19"/>
  <c r="AN560" i="19"/>
  <c r="AN1123" i="19"/>
  <c r="AN401" i="19"/>
  <c r="AN161" i="19"/>
  <c r="AN1121" i="19"/>
  <c r="AN924" i="19"/>
  <c r="AN1144" i="19"/>
  <c r="AN318" i="19"/>
  <c r="AN735" i="19"/>
  <c r="AN58" i="19"/>
  <c r="AN194" i="19"/>
  <c r="AN617" i="19"/>
  <c r="AN725" i="19"/>
  <c r="AN1156" i="19"/>
  <c r="AM797" i="19"/>
  <c r="AL797" i="19"/>
  <c r="AN963" i="19"/>
  <c r="AN556" i="19"/>
  <c r="AN698" i="19"/>
  <c r="AN1072" i="19"/>
  <c r="AN748" i="19"/>
  <c r="AN1061" i="19"/>
  <c r="AN955" i="19"/>
  <c r="AN690" i="19"/>
  <c r="AN212" i="19"/>
  <c r="AN503" i="19"/>
  <c r="AN1038" i="19"/>
  <c r="AN642" i="19"/>
  <c r="AN61" i="19"/>
  <c r="AN227" i="19"/>
  <c r="AN978" i="19"/>
  <c r="AN346" i="19"/>
  <c r="AN105" i="19"/>
  <c r="AN747" i="19"/>
  <c r="AN1131" i="19"/>
  <c r="AN77" i="19"/>
  <c r="AN1023" i="19"/>
  <c r="AN1043" i="19"/>
  <c r="AN813" i="19"/>
  <c r="AN771" i="19"/>
  <c r="AN507" i="19"/>
  <c r="AN763" i="19"/>
  <c r="AN26" i="19"/>
  <c r="AN629" i="19"/>
  <c r="AN967" i="19"/>
  <c r="AN313" i="19"/>
  <c r="AN271" i="19"/>
  <c r="AN223" i="19"/>
  <c r="AN91" i="19"/>
  <c r="AN587" i="19"/>
  <c r="AN468" i="19"/>
  <c r="AN75" i="19"/>
  <c r="AN528" i="19"/>
  <c r="AN994" i="19"/>
  <c r="AN781" i="19"/>
  <c r="AN820" i="19"/>
  <c r="AN1129" i="19"/>
  <c r="AN113" i="19"/>
  <c r="AN1150" i="19"/>
  <c r="AN1080" i="19"/>
  <c r="AN1187" i="19"/>
  <c r="AN722" i="19"/>
  <c r="AN752" i="19"/>
  <c r="AN880" i="19"/>
  <c r="AN410" i="19"/>
  <c r="AN691" i="19"/>
  <c r="AN563" i="19"/>
  <c r="AN1185" i="19"/>
  <c r="AN995" i="19"/>
  <c r="AN766" i="19"/>
  <c r="AN84" i="19"/>
  <c r="AN612" i="19"/>
  <c r="AN525" i="19"/>
  <c r="AN249" i="19"/>
  <c r="AN968" i="19"/>
  <c r="AN1095" i="19"/>
  <c r="AN981" i="19"/>
  <c r="AN641" i="19"/>
  <c r="AN160" i="19"/>
  <c r="AN268" i="19"/>
  <c r="AN145" i="19"/>
  <c r="AN871" i="19"/>
  <c r="AN367" i="19"/>
  <c r="AN272" i="19"/>
  <c r="AN620" i="19"/>
  <c r="AN64" i="19"/>
  <c r="AN1013" i="19"/>
  <c r="AN1071" i="19"/>
  <c r="AN822" i="19"/>
  <c r="AN1152" i="19"/>
  <c r="AN428" i="19"/>
  <c r="AN770" i="19"/>
  <c r="AN1090" i="19"/>
  <c r="AN342" i="19"/>
  <c r="AN189" i="19"/>
  <c r="AN954" i="19"/>
  <c r="AN896" i="19"/>
  <c r="AN600" i="19"/>
  <c r="AN499" i="19"/>
  <c r="AN1115" i="19"/>
  <c r="AN859" i="19"/>
  <c r="AN573" i="19"/>
  <c r="AN1001" i="19"/>
  <c r="AM1015" i="19"/>
  <c r="AL1015" i="19"/>
  <c r="AI1015" i="19"/>
  <c r="AJ1015" i="19"/>
  <c r="AK1015" i="19"/>
  <c r="AP1015" i="19"/>
  <c r="AD1015" i="19" s="1"/>
  <c r="AP973" i="19"/>
  <c r="AD973" i="19" s="1"/>
  <c r="AI973" i="19"/>
  <c r="AM973" i="19"/>
  <c r="AJ973" i="19"/>
  <c r="AL973" i="19"/>
  <c r="AK973" i="19"/>
  <c r="AP743" i="19"/>
  <c r="AD743" i="19" s="1"/>
  <c r="AM743" i="19"/>
  <c r="AK743" i="19"/>
  <c r="AI743" i="19"/>
  <c r="AJ743" i="19"/>
  <c r="AL743" i="19"/>
  <c r="AL603" i="19"/>
  <c r="AI603" i="19"/>
  <c r="AP603" i="19"/>
  <c r="AD603" i="19" s="1"/>
  <c r="AM603" i="19"/>
  <c r="AJ603" i="19"/>
  <c r="AK603" i="19"/>
  <c r="AJ121" i="19"/>
  <c r="AM121" i="19"/>
  <c r="AL121" i="19"/>
  <c r="AK121" i="19"/>
  <c r="AP121" i="19"/>
  <c r="AD121" i="19" s="1"/>
  <c r="AI121" i="19"/>
  <c r="AM841" i="19"/>
  <c r="AP841" i="19"/>
  <c r="AD841" i="19" s="1"/>
  <c r="AL841" i="19"/>
  <c r="AI841" i="19"/>
  <c r="AJ841" i="19"/>
  <c r="AK841" i="19"/>
  <c r="AP99" i="19"/>
  <c r="AD99" i="19" s="1"/>
  <c r="AK99" i="19"/>
  <c r="AM99" i="19"/>
  <c r="AL99" i="19"/>
  <c r="AI99" i="19"/>
  <c r="AJ99" i="19"/>
  <c r="AP593" i="19"/>
  <c r="AD593" i="19" s="1"/>
  <c r="AK593" i="19"/>
  <c r="AI593" i="19"/>
  <c r="AJ593" i="19"/>
  <c r="AL593" i="19"/>
  <c r="AM593" i="19"/>
  <c r="AM951" i="19"/>
  <c r="AJ951" i="19"/>
  <c r="AK951" i="19"/>
  <c r="AL951" i="19"/>
  <c r="AP951" i="19"/>
  <c r="AD951" i="19" s="1"/>
  <c r="AI951" i="19"/>
  <c r="AA948" i="54" s="1"/>
  <c r="AL839" i="19"/>
  <c r="AI839" i="19"/>
  <c r="AK839" i="19"/>
  <c r="AP839" i="19"/>
  <c r="AD839" i="19" s="1"/>
  <c r="AM839" i="19"/>
  <c r="AJ839" i="19"/>
  <c r="AP683" i="19"/>
  <c r="AD683" i="19" s="1"/>
  <c r="AJ683" i="19"/>
  <c r="AI683" i="19"/>
  <c r="AL683" i="19"/>
  <c r="AM683" i="19"/>
  <c r="AK683" i="19"/>
  <c r="AP693" i="19"/>
  <c r="AD693" i="19" s="1"/>
  <c r="AM693" i="19"/>
  <c r="AJ693" i="19"/>
  <c r="AK693" i="19"/>
  <c r="AL693" i="19"/>
  <c r="AI693" i="19"/>
  <c r="AJ350" i="19"/>
  <c r="AK350" i="19"/>
  <c r="AI350" i="19"/>
  <c r="AP350" i="19"/>
  <c r="AD350" i="19" s="1"/>
  <c r="AM350" i="19"/>
  <c r="AL350" i="19"/>
  <c r="AP150" i="19"/>
  <c r="AD150" i="19" s="1"/>
  <c r="AM150" i="19"/>
  <c r="AK150" i="19"/>
  <c r="AL150" i="19"/>
  <c r="AI150" i="19"/>
  <c r="AJ150" i="19"/>
  <c r="AJ304" i="19"/>
  <c r="AI304" i="19"/>
  <c r="AP304" i="19"/>
  <c r="AD304" i="19" s="1"/>
  <c r="AK304" i="19"/>
  <c r="AM304" i="19"/>
  <c r="AL304" i="19"/>
  <c r="AJ636" i="19"/>
  <c r="AP636" i="19"/>
  <c r="AD636" i="19" s="1"/>
  <c r="AL636" i="19"/>
  <c r="AI636" i="19"/>
  <c r="AK636" i="19"/>
  <c r="AM636" i="19"/>
  <c r="AM862" i="19"/>
  <c r="AJ862" i="19"/>
  <c r="AK862" i="19"/>
  <c r="AP862" i="19"/>
  <c r="AD862" i="19" s="1"/>
  <c r="AI862" i="19"/>
  <c r="AL862" i="19"/>
  <c r="AM711" i="19"/>
  <c r="AL711" i="19"/>
  <c r="AP711" i="19"/>
  <c r="AD711" i="19" s="1"/>
  <c r="AI711" i="19"/>
  <c r="AJ711" i="19"/>
  <c r="AK711" i="19"/>
  <c r="AL356" i="19"/>
  <c r="AM356" i="19"/>
  <c r="AJ356" i="19"/>
  <c r="AP356" i="19"/>
  <c r="AD356" i="19" s="1"/>
  <c r="AI356" i="19"/>
  <c r="AK356" i="19"/>
  <c r="AM734" i="19"/>
  <c r="AK734" i="19"/>
  <c r="AP734" i="19"/>
  <c r="AD734" i="19" s="1"/>
  <c r="AJ734" i="19"/>
  <c r="AL734" i="19"/>
  <c r="AI734" i="19"/>
  <c r="AP910" i="19"/>
  <c r="AD910" i="19" s="1"/>
  <c r="AM910" i="19"/>
  <c r="AI910" i="19"/>
  <c r="AK910" i="19"/>
  <c r="AL910" i="19"/>
  <c r="AJ910" i="19"/>
  <c r="AK24" i="19"/>
  <c r="AM24" i="19"/>
  <c r="AP24" i="19"/>
  <c r="AD24" i="19" s="1"/>
  <c r="AJ24" i="19"/>
  <c r="AL24" i="19"/>
  <c r="AI24" i="19"/>
  <c r="AA24" i="44" s="1"/>
  <c r="AP549" i="19"/>
  <c r="AD549" i="19" s="1"/>
  <c r="AL549" i="19"/>
  <c r="AI549" i="19"/>
  <c r="AJ549" i="19"/>
  <c r="AK549" i="19"/>
  <c r="AM549" i="19"/>
  <c r="AP120" i="19"/>
  <c r="AD120" i="19" s="1"/>
  <c r="AL120" i="19"/>
  <c r="AM120" i="19"/>
  <c r="AJ120" i="19"/>
  <c r="AK120" i="19"/>
  <c r="AI120" i="19"/>
  <c r="AP956" i="19"/>
  <c r="AD956" i="19" s="1"/>
  <c r="AL956" i="19"/>
  <c r="AI956" i="19"/>
  <c r="AA953" i="54" s="1"/>
  <c r="AM956" i="19"/>
  <c r="AK956" i="19"/>
  <c r="AJ956" i="19"/>
  <c r="AM796" i="19"/>
  <c r="AJ796" i="19"/>
  <c r="AK796" i="19"/>
  <c r="AL796" i="19"/>
  <c r="AP796" i="19"/>
  <c r="AD796" i="19" s="1"/>
  <c r="AI796" i="19"/>
  <c r="AI292" i="19"/>
  <c r="AL292" i="19"/>
  <c r="AJ292" i="19"/>
  <c r="AP292" i="19"/>
  <c r="AD292" i="19" s="1"/>
  <c r="AM292" i="19"/>
  <c r="AK292" i="19"/>
  <c r="AL544" i="19"/>
  <c r="AI544" i="19"/>
  <c r="AM544" i="19"/>
  <c r="AK544" i="19"/>
  <c r="AJ544" i="19"/>
  <c r="AP544" i="19"/>
  <c r="AD544" i="19" s="1"/>
  <c r="AP659" i="19"/>
  <c r="AD659" i="19" s="1"/>
  <c r="AL659" i="19"/>
  <c r="AI659" i="19"/>
  <c r="AM659" i="19"/>
  <c r="AJ659" i="19"/>
  <c r="AK659" i="19"/>
  <c r="AM893" i="19"/>
  <c r="AL893" i="19"/>
  <c r="AJ893" i="19"/>
  <c r="AK893" i="19"/>
  <c r="AI893" i="19"/>
  <c r="AP893" i="19"/>
  <c r="AD893" i="19" s="1"/>
  <c r="AP619" i="19"/>
  <c r="AD619" i="19" s="1"/>
  <c r="AL619" i="19"/>
  <c r="AM619" i="19"/>
  <c r="AJ619" i="19"/>
  <c r="AI619" i="19"/>
  <c r="AK619" i="19"/>
  <c r="AL630" i="19"/>
  <c r="AI630" i="19"/>
  <c r="AK630" i="19"/>
  <c r="AM630" i="19"/>
  <c r="AP630" i="19"/>
  <c r="AD630" i="19" s="1"/>
  <c r="AJ630" i="19"/>
  <c r="Y138" i="19"/>
  <c r="AN1171" i="19"/>
  <c r="AN1141" i="19"/>
  <c r="AL851" i="19"/>
  <c r="AK851" i="19"/>
  <c r="AI851" i="19"/>
  <c r="AP851" i="19"/>
  <c r="AD851" i="19" s="1"/>
  <c r="AM851" i="19"/>
  <c r="AJ851" i="19"/>
  <c r="AN948" i="19"/>
  <c r="AN1039" i="19"/>
  <c r="AP176" i="19"/>
  <c r="AD176" i="19" s="1"/>
  <c r="AK176" i="19"/>
  <c r="AL176" i="19"/>
  <c r="AI176" i="19"/>
  <c r="AM176" i="19"/>
  <c r="AJ176" i="19"/>
  <c r="AM944" i="19"/>
  <c r="AK944" i="19"/>
  <c r="AP944" i="19"/>
  <c r="AD944" i="19" s="1"/>
  <c r="AL944" i="19"/>
  <c r="AI944" i="19"/>
  <c r="AJ944" i="19"/>
  <c r="AM551" i="19"/>
  <c r="AJ551" i="19"/>
  <c r="AK551" i="19"/>
  <c r="AL551" i="19"/>
  <c r="AP551" i="19"/>
  <c r="AD551" i="19" s="1"/>
  <c r="AI551" i="19"/>
  <c r="AN811" i="19"/>
  <c r="AN745" i="19"/>
  <c r="AN236" i="19"/>
  <c r="AM685" i="19"/>
  <c r="AK685" i="19"/>
  <c r="AP685" i="19"/>
  <c r="AD685" i="19" s="1"/>
  <c r="AJ685" i="19"/>
  <c r="AL685" i="19"/>
  <c r="AI685" i="19"/>
  <c r="AN688" i="19"/>
  <c r="AN31" i="19"/>
  <c r="AN606" i="19"/>
  <c r="AN217" i="19"/>
  <c r="AN548" i="19"/>
  <c r="AL611" i="19"/>
  <c r="AI611" i="19"/>
  <c r="AM611" i="19"/>
  <c r="AK611" i="19"/>
  <c r="AJ611" i="19"/>
  <c r="AP611" i="19"/>
  <c r="AD611" i="19" s="1"/>
  <c r="AL945" i="19"/>
  <c r="AI945" i="19"/>
  <c r="AM945" i="19"/>
  <c r="AJ945" i="19"/>
  <c r="AK945" i="19"/>
  <c r="AP945" i="19"/>
  <c r="AD945" i="19" s="1"/>
  <c r="Y124" i="19"/>
  <c r="AN247" i="19"/>
  <c r="AN347" i="19"/>
  <c r="AN198" i="19"/>
  <c r="AN171" i="19"/>
  <c r="AN135" i="19"/>
  <c r="AN289" i="19"/>
  <c r="AN190" i="19"/>
  <c r="AN116" i="19"/>
  <c r="AN47" i="19"/>
  <c r="AN615" i="19"/>
  <c r="AN87" i="19"/>
  <c r="AN55" i="19"/>
  <c r="AN730" i="19"/>
  <c r="AN950" i="19"/>
  <c r="AN577" i="19"/>
  <c r="AN571" i="19"/>
  <c r="AN1132" i="19"/>
  <c r="AN572" i="19"/>
  <c r="AN778" i="19"/>
  <c r="AN494" i="19"/>
  <c r="AN776" i="19"/>
  <c r="AN493" i="19"/>
  <c r="AN546" i="19"/>
  <c r="AN482" i="19"/>
  <c r="AN345" i="19"/>
  <c r="AN269" i="19"/>
  <c r="AN475" i="19"/>
  <c r="AN1130" i="19"/>
  <c r="AN1006" i="19"/>
  <c r="AN216" i="19"/>
  <c r="AN288" i="19"/>
  <c r="AN1126" i="19"/>
  <c r="AN885" i="19"/>
  <c r="AL649" i="19"/>
  <c r="AJ649" i="19"/>
  <c r="AK649" i="19"/>
  <c r="AI649" i="19"/>
  <c r="AP649" i="19"/>
  <c r="AD649" i="19" s="1"/>
  <c r="AM649" i="19"/>
  <c r="AL1057" i="19"/>
  <c r="AI1057" i="19"/>
  <c r="AM1057" i="19"/>
  <c r="AJ1057" i="19"/>
  <c r="AK1057" i="19"/>
  <c r="AP1057" i="19"/>
  <c r="AD1057" i="19" s="1"/>
  <c r="AN645" i="19"/>
  <c r="AN368" i="19"/>
  <c r="AM674" i="19"/>
  <c r="AI674" i="19"/>
  <c r="AK674" i="19"/>
  <c r="AJ674" i="19"/>
  <c r="AP674" i="19"/>
  <c r="AD674" i="19" s="1"/>
  <c r="AL674" i="19"/>
  <c r="AM939" i="19"/>
  <c r="AK939" i="19"/>
  <c r="AJ939" i="19"/>
  <c r="AP939" i="19"/>
  <c r="AD939" i="19" s="1"/>
  <c r="AL939" i="19"/>
  <c r="AI939" i="19"/>
  <c r="AN618" i="19"/>
  <c r="AN673" i="19"/>
  <c r="AN321" i="19"/>
  <c r="AN197" i="19"/>
  <c r="AN360" i="19"/>
  <c r="AM543" i="19"/>
  <c r="AP543" i="19"/>
  <c r="AD543" i="19" s="1"/>
  <c r="AJ543" i="19"/>
  <c r="AK543" i="19"/>
  <c r="AL543" i="19"/>
  <c r="AI543" i="19"/>
  <c r="AJ358" i="19"/>
  <c r="AI358" i="19"/>
  <c r="AK358" i="19"/>
  <c r="AM358" i="19"/>
  <c r="AP358" i="19"/>
  <c r="AD358" i="19" s="1"/>
  <c r="AL358" i="19"/>
  <c r="AN393" i="19"/>
  <c r="AN408" i="19"/>
  <c r="AN326" i="19"/>
  <c r="AN83" i="19"/>
  <c r="AN175" i="19"/>
  <c r="AN131" i="19"/>
  <c r="AN964" i="19"/>
  <c r="AN705" i="19"/>
  <c r="AN925" i="19"/>
  <c r="AN845" i="19"/>
  <c r="AN382" i="19"/>
  <c r="AN53" i="19"/>
  <c r="AN1139" i="19"/>
  <c r="AN877" i="19"/>
  <c r="AN1005" i="19"/>
  <c r="AN589" i="19"/>
  <c r="AN85" i="19"/>
  <c r="AN419" i="19"/>
  <c r="AN1151" i="19"/>
  <c r="AN920" i="19"/>
  <c r="AN434" i="19"/>
  <c r="AN188" i="19"/>
  <c r="AN1086" i="19"/>
  <c r="AN1088" i="19"/>
  <c r="AN564" i="19"/>
  <c r="AN736" i="19"/>
  <c r="AN575" i="19"/>
  <c r="AN379" i="19"/>
  <c r="AL465" i="19"/>
  <c r="AI465" i="19"/>
  <c r="AK465" i="19"/>
  <c r="AM465" i="19"/>
  <c r="AJ465" i="19"/>
  <c r="AP465" i="19"/>
  <c r="AD465" i="19" s="1"/>
  <c r="AL959" i="19"/>
  <c r="AM959" i="19"/>
  <c r="AJ959" i="19"/>
  <c r="AI959" i="19"/>
  <c r="AK959" i="19"/>
  <c r="AP959" i="19"/>
  <c r="AD959" i="19" s="1"/>
  <c r="AL940" i="19"/>
  <c r="AJ940" i="19"/>
  <c r="AK940" i="19"/>
  <c r="AI940" i="19"/>
  <c r="AP940" i="19"/>
  <c r="AD940" i="19" s="1"/>
  <c r="AM940" i="19"/>
  <c r="AL413" i="19"/>
  <c r="AK413" i="19"/>
  <c r="AP413" i="19"/>
  <c r="AD413" i="19" s="1"/>
  <c r="AI413" i="19"/>
  <c r="AJ413" i="19"/>
  <c r="AM413" i="19"/>
  <c r="AM314" i="19"/>
  <c r="AK314" i="19"/>
  <c r="AP314" i="19"/>
  <c r="AD314" i="19" s="1"/>
  <c r="AL314" i="19"/>
  <c r="AI314" i="19"/>
  <c r="AJ314" i="19"/>
  <c r="AM707" i="19"/>
  <c r="AL707" i="19"/>
  <c r="AJ707" i="19"/>
  <c r="AK707" i="19"/>
  <c r="AP707" i="19"/>
  <c r="AD707" i="19" s="1"/>
  <c r="AI707" i="19"/>
  <c r="AN418" i="19"/>
  <c r="Y992" i="19"/>
  <c r="AN270" i="19"/>
  <c r="AN184" i="19"/>
  <c r="AN647" i="19"/>
  <c r="AN941" i="19"/>
  <c r="AN412" i="19"/>
  <c r="AM469" i="19"/>
  <c r="AJ469" i="19"/>
  <c r="AK469" i="19"/>
  <c r="AP469" i="19"/>
  <c r="AD469" i="19" s="1"/>
  <c r="AL469" i="19"/>
  <c r="AI469" i="19"/>
  <c r="AP1172" i="19"/>
  <c r="AD1172" i="19" s="1"/>
  <c r="AK1172" i="19"/>
  <c r="AM1172" i="19"/>
  <c r="AL1172" i="19"/>
  <c r="AI1172" i="19"/>
  <c r="AJ1172" i="19"/>
  <c r="AN1018" i="19"/>
  <c r="AN1032" i="19"/>
  <c r="AL626" i="19"/>
  <c r="AP626" i="19"/>
  <c r="AD626" i="19" s="1"/>
  <c r="AI626" i="19"/>
  <c r="AM626" i="19"/>
  <c r="AJ626" i="19"/>
  <c r="AK626" i="19"/>
  <c r="AM235" i="19"/>
  <c r="AP235" i="19"/>
  <c r="AD235" i="19" s="1"/>
  <c r="AJ235" i="19"/>
  <c r="AL235" i="19"/>
  <c r="AI235" i="19"/>
  <c r="AK235" i="19"/>
  <c r="AL458" i="19"/>
  <c r="AJ458" i="19"/>
  <c r="AK458" i="19"/>
  <c r="AM458" i="19"/>
  <c r="AI458" i="19"/>
  <c r="AP458" i="19"/>
  <c r="AD458" i="19" s="1"/>
  <c r="AL894" i="19"/>
  <c r="AM894" i="19"/>
  <c r="AJ894" i="19"/>
  <c r="AK894" i="19"/>
  <c r="AI894" i="19"/>
  <c r="AP894" i="19"/>
  <c r="AD894" i="19" s="1"/>
  <c r="AP806" i="19"/>
  <c r="AD806" i="19" s="1"/>
  <c r="AM806" i="19"/>
  <c r="AJ806" i="19"/>
  <c r="AL806" i="19"/>
  <c r="AI806" i="19"/>
  <c r="AK806" i="19"/>
  <c r="AJ628" i="19"/>
  <c r="AP628" i="19"/>
  <c r="AD628" i="19" s="1"/>
  <c r="AL628" i="19"/>
  <c r="AI628" i="19"/>
  <c r="AK628" i="19"/>
  <c r="AM628" i="19"/>
  <c r="AN867" i="19"/>
  <c r="AK185" i="19"/>
  <c r="AL185" i="19"/>
  <c r="AJ185" i="19"/>
  <c r="AM185" i="19"/>
  <c r="AP185" i="19"/>
  <c r="AD185" i="19" s="1"/>
  <c r="AI185" i="19"/>
  <c r="AN804" i="19"/>
  <c r="AN253" i="19"/>
  <c r="AP672" i="19"/>
  <c r="AD672" i="19" s="1"/>
  <c r="AM672" i="19"/>
  <c r="AJ672" i="19"/>
  <c r="AL672" i="19"/>
  <c r="AI672" i="19"/>
  <c r="AK672" i="19"/>
  <c r="AP251" i="19"/>
  <c r="AD251" i="19" s="1"/>
  <c r="AJ251" i="19"/>
  <c r="AI251" i="19"/>
  <c r="AK251" i="19"/>
  <c r="AL251" i="19"/>
  <c r="AM251" i="19"/>
  <c r="Y297" i="19"/>
  <c r="Y655" i="19"/>
  <c r="Y157" i="19"/>
  <c r="AN1082" i="19"/>
  <c r="AN86" i="19"/>
  <c r="AN37" i="19"/>
  <c r="AN1079" i="19"/>
  <c r="AN143" i="19"/>
  <c r="AN28" i="19"/>
  <c r="AN635" i="19"/>
  <c r="AN376" i="19"/>
  <c r="AN712" i="19"/>
  <c r="AN519" i="19"/>
  <c r="AN94" i="19"/>
  <c r="AN1070" i="19"/>
  <c r="AN908" i="19"/>
  <c r="AN417" i="19"/>
  <c r="AN340" i="19"/>
  <c r="AN257" i="19"/>
  <c r="AN93" i="19"/>
  <c r="AN1148" i="19"/>
  <c r="AN1075" i="19"/>
  <c r="AN833" i="19"/>
  <c r="AN917" i="19"/>
  <c r="AN836" i="19"/>
  <c r="AN578" i="19"/>
  <c r="AN220" i="19"/>
  <c r="AN524" i="19"/>
  <c r="AN866" i="19"/>
  <c r="AN448" i="19"/>
  <c r="AN555" i="19"/>
  <c r="AN1133" i="19"/>
  <c r="AN348" i="19"/>
  <c r="AN277" i="19"/>
  <c r="AP317" i="19"/>
  <c r="AD317" i="19" s="1"/>
  <c r="AI317" i="19"/>
  <c r="AA314" i="53" s="1"/>
  <c r="AM317" i="19"/>
  <c r="AJ317" i="19"/>
  <c r="AK317" i="19"/>
  <c r="AL317" i="19"/>
  <c r="AN1055" i="19"/>
  <c r="AN715" i="19"/>
  <c r="AN539" i="19"/>
  <c r="AP604" i="19"/>
  <c r="AD604" i="19" s="1"/>
  <c r="AI604" i="19"/>
  <c r="AL604" i="19"/>
  <c r="AM604" i="19"/>
  <c r="AJ604" i="19"/>
  <c r="AK604" i="19"/>
  <c r="AM695" i="19"/>
  <c r="AJ695" i="19"/>
  <c r="AL695" i="19"/>
  <c r="AK695" i="19"/>
  <c r="AP695" i="19"/>
  <c r="AD695" i="19" s="1"/>
  <c r="AI695" i="19"/>
  <c r="AM457" i="19"/>
  <c r="AJ457" i="19"/>
  <c r="AK457" i="19"/>
  <c r="AI457" i="19"/>
  <c r="AP457" i="19"/>
  <c r="AD457" i="19" s="1"/>
  <c r="AL457" i="19"/>
  <c r="AM489" i="19"/>
  <c r="AK489" i="19"/>
  <c r="AP489" i="19"/>
  <c r="AD489" i="19" s="1"/>
  <c r="AL489" i="19"/>
  <c r="AI489" i="19"/>
  <c r="AJ489" i="19"/>
  <c r="AM177" i="19"/>
  <c r="AP177" i="19"/>
  <c r="AD177" i="19" s="1"/>
  <c r="AJ177" i="19"/>
  <c r="AK177" i="19"/>
  <c r="AL177" i="19"/>
  <c r="AI177" i="19"/>
  <c r="Y82" i="19"/>
  <c r="Y540" i="19"/>
  <c r="AN993" i="19"/>
  <c r="AN129" i="19"/>
  <c r="AN430" i="19"/>
  <c r="AN172" i="19"/>
  <c r="AN339" i="19"/>
  <c r="AP1058" i="19"/>
  <c r="AD1058" i="19" s="1"/>
  <c r="AJ1058" i="19"/>
  <c r="AL1058" i="19"/>
  <c r="AI1058" i="19"/>
  <c r="AM1058" i="19"/>
  <c r="AK1058" i="19"/>
  <c r="AN1022" i="19"/>
  <c r="AM1065" i="19"/>
  <c r="AP1065" i="19"/>
  <c r="AD1065" i="19" s="1"/>
  <c r="AL1065" i="19"/>
  <c r="AJ1065" i="19"/>
  <c r="AK1065" i="19"/>
  <c r="AI1065" i="19"/>
  <c r="AJ488" i="19"/>
  <c r="AI488" i="19"/>
  <c r="AK488" i="19"/>
  <c r="AM488" i="19"/>
  <c r="AP488" i="19"/>
  <c r="AD488" i="19" s="1"/>
  <c r="AL488" i="19"/>
  <c r="AJ765" i="19"/>
  <c r="AK765" i="19"/>
  <c r="AL765" i="19"/>
  <c r="AP765" i="19"/>
  <c r="AD765" i="19" s="1"/>
  <c r="AI765" i="19"/>
  <c r="AM765" i="19"/>
  <c r="AL662" i="19"/>
  <c r="AI662" i="19"/>
  <c r="AP662" i="19"/>
  <c r="AD662" i="19" s="1"/>
  <c r="AM662" i="19"/>
  <c r="AJ662" i="19"/>
  <c r="AK662" i="19"/>
  <c r="AN873" i="19"/>
  <c r="AJ807" i="19"/>
  <c r="AK807" i="19"/>
  <c r="AL807" i="19"/>
  <c r="AI807" i="19"/>
  <c r="AP807" i="19"/>
  <c r="AD807" i="19" s="1"/>
  <c r="AM807" i="19"/>
  <c r="AN716" i="19"/>
  <c r="AJ930" i="19"/>
  <c r="AP930" i="19"/>
  <c r="AD930" i="19" s="1"/>
  <c r="AL930" i="19"/>
  <c r="AI930" i="19"/>
  <c r="AK930" i="19"/>
  <c r="AM930" i="19"/>
  <c r="AN33" i="19"/>
  <c r="AN432" i="19"/>
  <c r="AN27" i="19"/>
  <c r="Y162" i="19"/>
  <c r="Y703" i="19"/>
  <c r="Y349" i="19"/>
  <c r="Y658" i="19"/>
  <c r="Y874" i="19"/>
  <c r="AN45" i="19"/>
  <c r="AN895" i="19"/>
  <c r="AN163" i="19"/>
  <c r="AN1138" i="19"/>
  <c r="AN977" i="19"/>
  <c r="AN1100" i="19"/>
  <c r="AN1008" i="19"/>
  <c r="AN657" i="19"/>
  <c r="AN529" i="19"/>
  <c r="AN136" i="19"/>
  <c r="AN732" i="19"/>
  <c r="AN793" i="19"/>
  <c r="AN774" i="19"/>
  <c r="AN303" i="19"/>
  <c r="AN632" i="19"/>
  <c r="AN262" i="19"/>
  <c r="AN882" i="19"/>
  <c r="AN291" i="19"/>
  <c r="AN80" i="19"/>
  <c r="AN169" i="19"/>
  <c r="AP739" i="19"/>
  <c r="AD739" i="19" s="1"/>
  <c r="AM739" i="19"/>
  <c r="AK739" i="19"/>
  <c r="AI739" i="19"/>
  <c r="AJ739" i="19"/>
  <c r="AL739" i="19"/>
  <c r="AN1029" i="19"/>
  <c r="AN648" i="19"/>
  <c r="AJ300" i="19"/>
  <c r="AI300" i="19"/>
  <c r="AP300" i="19"/>
  <c r="AD300" i="19" s="1"/>
  <c r="AM300" i="19"/>
  <c r="AK300" i="19"/>
  <c r="AL300" i="19"/>
  <c r="AN252" i="19"/>
  <c r="AN65" i="19"/>
  <c r="AN681" i="19"/>
  <c r="AN59" i="19"/>
  <c r="AN634" i="19"/>
  <c r="AN260" i="19"/>
  <c r="AL883" i="19"/>
  <c r="AK883" i="19"/>
  <c r="AM883" i="19"/>
  <c r="AP883" i="19"/>
  <c r="AD883" i="19" s="1"/>
  <c r="AI883" i="19"/>
  <c r="AJ883" i="19"/>
  <c r="AP860" i="19"/>
  <c r="AD860" i="19" s="1"/>
  <c r="AL860" i="19"/>
  <c r="AJ860" i="19"/>
  <c r="AK860" i="19"/>
  <c r="AI860" i="19"/>
  <c r="AM860" i="19"/>
  <c r="AN265" i="19"/>
  <c r="Y1014" i="19"/>
  <c r="AN155" i="19"/>
  <c r="AN62" i="19"/>
  <c r="AN48" i="19"/>
  <c r="AN102" i="19"/>
  <c r="AN1119" i="19"/>
  <c r="AN547" i="19"/>
  <c r="AN684" i="19"/>
  <c r="AN782" i="19"/>
  <c r="AN341" i="19"/>
  <c r="AN614" i="19"/>
  <c r="AN362" i="19"/>
  <c r="AN201" i="19"/>
  <c r="AN759" i="19"/>
  <c r="AN460" i="19"/>
  <c r="AN724" i="19"/>
  <c r="AN740" i="19"/>
  <c r="AN962" i="19"/>
  <c r="AN1093" i="19"/>
  <c r="AN295" i="19"/>
  <c r="AN173" i="19"/>
  <c r="AN929" i="19"/>
  <c r="AN492" i="19"/>
  <c r="AP727" i="19"/>
  <c r="AD727" i="19" s="1"/>
  <c r="AK727" i="19"/>
  <c r="AL727" i="19"/>
  <c r="AI727" i="19"/>
  <c r="AJ727" i="19"/>
  <c r="AM727" i="19"/>
  <c r="AP942" i="19"/>
  <c r="AD942" i="19" s="1"/>
  <c r="AM942" i="19"/>
  <c r="AK942" i="19"/>
  <c r="AJ942" i="19"/>
  <c r="AL942" i="19"/>
  <c r="AI942" i="19"/>
  <c r="AN1048" i="19"/>
  <c r="AN282" i="19"/>
  <c r="AN1041" i="19"/>
  <c r="AN359" i="19"/>
  <c r="AL891" i="19"/>
  <c r="AI891" i="19"/>
  <c r="AJ891" i="19"/>
  <c r="AK891" i="19"/>
  <c r="AP891" i="19"/>
  <c r="AD891" i="19" s="1"/>
  <c r="AM891" i="19"/>
  <c r="AJ987" i="19"/>
  <c r="AL987" i="19"/>
  <c r="AM987" i="19"/>
  <c r="AP987" i="19"/>
  <c r="AD987" i="19" s="1"/>
  <c r="AI987" i="19"/>
  <c r="AK987" i="19"/>
  <c r="AL552" i="19"/>
  <c r="AI552" i="19"/>
  <c r="AK552" i="19"/>
  <c r="AM552" i="19"/>
  <c r="AJ552" i="19"/>
  <c r="AP552" i="19"/>
  <c r="AD552" i="19" s="1"/>
  <c r="AN208" i="19"/>
  <c r="AM931" i="19"/>
  <c r="AK931" i="19"/>
  <c r="AI931" i="19"/>
  <c r="AJ931" i="19"/>
  <c r="AP931" i="19"/>
  <c r="AD931" i="19" s="1"/>
  <c r="AL931" i="19"/>
  <c r="AP200" i="19"/>
  <c r="AD200" i="19" s="1"/>
  <c r="AM200" i="19"/>
  <c r="AL200" i="19"/>
  <c r="AJ200" i="19"/>
  <c r="AI200" i="19"/>
  <c r="AK200" i="19"/>
  <c r="Y387" i="19"/>
  <c r="Y731" i="19"/>
  <c r="Y140" i="19"/>
  <c r="Y526" i="19"/>
  <c r="Y970" i="19"/>
  <c r="Y1004" i="19"/>
  <c r="AN187" i="19"/>
  <c r="AN1170" i="19"/>
  <c r="AN982" i="19"/>
  <c r="AN152" i="19"/>
  <c r="AN426" i="19"/>
  <c r="AN369" i="19"/>
  <c r="AN1146" i="19"/>
  <c r="AN976" i="19"/>
  <c r="AN1111" i="19"/>
  <c r="AN554" i="19"/>
  <c r="AN361" i="19"/>
  <c r="AN248" i="19"/>
  <c r="AP702" i="19"/>
  <c r="AD702" i="19" s="1"/>
  <c r="AL702" i="19"/>
  <c r="AJ702" i="19"/>
  <c r="AI702" i="19"/>
  <c r="AK702" i="19"/>
  <c r="AM702" i="19"/>
  <c r="AN315" i="19"/>
  <c r="AN780" i="19"/>
  <c r="AJ274" i="19"/>
  <c r="AK274" i="19"/>
  <c r="AI274" i="19"/>
  <c r="AP274" i="19"/>
  <c r="AD274" i="19" s="1"/>
  <c r="AL274" i="19"/>
  <c r="AM274" i="19"/>
  <c r="AL505" i="19"/>
  <c r="AI505" i="19"/>
  <c r="AM505" i="19"/>
  <c r="AJ505" i="19"/>
  <c r="AK505" i="19"/>
  <c r="AP505" i="19"/>
  <c r="AD505" i="19" s="1"/>
  <c r="AM60" i="19"/>
  <c r="AL60" i="19"/>
  <c r="AP60" i="19"/>
  <c r="AD60" i="19" s="1"/>
  <c r="AK60" i="19"/>
  <c r="AI60" i="19"/>
  <c r="AJ60" i="19"/>
  <c r="AM897" i="19"/>
  <c r="AJ897" i="19"/>
  <c r="AK897" i="19"/>
  <c r="AI897" i="19"/>
  <c r="AP897" i="19"/>
  <c r="AD897" i="19" s="1"/>
  <c r="AL897" i="19"/>
  <c r="AI971" i="19"/>
  <c r="AM971" i="19"/>
  <c r="AP971" i="19"/>
  <c r="AD971" i="19" s="1"/>
  <c r="AJ971" i="19"/>
  <c r="AL971" i="19"/>
  <c r="AK971" i="19"/>
  <c r="AP195" i="19"/>
  <c r="AD195" i="19" s="1"/>
  <c r="AM195" i="19"/>
  <c r="AK195" i="19"/>
  <c r="AL195" i="19"/>
  <c r="AI195" i="19"/>
  <c r="AJ195" i="19"/>
  <c r="AL569" i="19"/>
  <c r="AJ569" i="19"/>
  <c r="AK569" i="19"/>
  <c r="AM569" i="19"/>
  <c r="AP569" i="19"/>
  <c r="AD569" i="19" s="1"/>
  <c r="AI569" i="19"/>
  <c r="Y119" i="19"/>
  <c r="Y773" i="19"/>
  <c r="AN431" i="19"/>
  <c r="AN333" i="19"/>
  <c r="AN293" i="19"/>
  <c r="AN130" i="19"/>
  <c r="AN290" i="19"/>
  <c r="AN90" i="19"/>
  <c r="AN151" i="19"/>
  <c r="AN938" i="19"/>
  <c r="AN1084" i="19"/>
  <c r="AN863" i="19"/>
  <c r="AN708" i="19"/>
  <c r="AN73" i="19"/>
  <c r="AN1155" i="19"/>
  <c r="AN640" i="19"/>
  <c r="AN787" i="19"/>
  <c r="AN196" i="19"/>
  <c r="AN109" i="19"/>
  <c r="AN1002" i="19"/>
  <c r="AN848" i="19"/>
  <c r="AN337" i="19"/>
  <c r="AN998" i="19"/>
  <c r="AN1124" i="19"/>
  <c r="AN927" i="19"/>
  <c r="AN710" i="19"/>
  <c r="AN789" i="19"/>
  <c r="AN1113" i="19"/>
  <c r="AN156" i="19"/>
  <c r="AN422" i="19"/>
  <c r="AN148" i="19"/>
  <c r="AL435" i="19"/>
  <c r="AJ435" i="19"/>
  <c r="AI435" i="19"/>
  <c r="AM435" i="19"/>
  <c r="AK435" i="19"/>
  <c r="AP435" i="19"/>
  <c r="AD435" i="19" s="1"/>
  <c r="AN1052" i="19"/>
  <c r="AN242" i="19"/>
  <c r="AM29" i="19"/>
  <c r="AI29" i="19"/>
  <c r="AP29" i="19"/>
  <c r="AD29" i="19" s="1"/>
  <c r="AL29" i="19"/>
  <c r="AJ29" i="19"/>
  <c r="AK29" i="19"/>
  <c r="AN1064" i="19"/>
  <c r="AN234" i="19"/>
  <c r="AP233" i="19"/>
  <c r="AD233" i="19" s="1"/>
  <c r="AL233" i="19"/>
  <c r="AI233" i="19"/>
  <c r="AK233" i="19"/>
  <c r="AM233" i="19"/>
  <c r="AJ233" i="19"/>
  <c r="AM900" i="19"/>
  <c r="AJ900" i="19"/>
  <c r="AL900" i="19"/>
  <c r="AK900" i="19"/>
  <c r="AP900" i="19"/>
  <c r="AD900" i="19" s="1"/>
  <c r="AI900" i="19"/>
  <c r="AN653" i="19"/>
  <c r="AL454" i="19"/>
  <c r="AK454" i="19"/>
  <c r="AP454" i="19"/>
  <c r="AD454" i="19" s="1"/>
  <c r="AI454" i="19"/>
  <c r="AJ454" i="19"/>
  <c r="AM454" i="19"/>
  <c r="AN325" i="19"/>
  <c r="AJ679" i="19"/>
  <c r="AM679" i="19"/>
  <c r="AK679" i="19"/>
  <c r="AP679" i="19"/>
  <c r="AD679" i="19" s="1"/>
  <c r="AL679" i="19"/>
  <c r="AI679" i="19"/>
  <c r="AP872" i="19"/>
  <c r="AD872" i="19" s="1"/>
  <c r="AL872" i="19"/>
  <c r="AI872" i="19"/>
  <c r="AM872" i="19"/>
  <c r="AJ872" i="19"/>
  <c r="AK872" i="19"/>
  <c r="AP421" i="19"/>
  <c r="AD421" i="19" s="1"/>
  <c r="AI421" i="19"/>
  <c r="AK421" i="19"/>
  <c r="AL421" i="19"/>
  <c r="AM421" i="19"/>
  <c r="AJ421" i="19"/>
  <c r="AL352" i="19"/>
  <c r="AM352" i="19"/>
  <c r="AP352" i="19"/>
  <c r="AD352" i="19" s="1"/>
  <c r="AJ352" i="19"/>
  <c r="AI352" i="19"/>
  <c r="AK352" i="19"/>
  <c r="Y329" i="19"/>
  <c r="Y755" i="19"/>
  <c r="Y557" i="19"/>
  <c r="Y788" i="19"/>
  <c r="Y943" i="19"/>
  <c r="Y1016" i="19"/>
  <c r="AN279" i="19"/>
  <c r="AN191" i="19"/>
  <c r="AN111" i="19"/>
  <c r="AN218" i="19"/>
  <c r="AN183" i="19"/>
  <c r="AN142" i="19"/>
  <c r="AN72" i="19"/>
  <c r="AN567" i="19"/>
  <c r="AN633" i="19"/>
  <c r="AN1145" i="19"/>
  <c r="AN514" i="19"/>
  <c r="AN582" i="19"/>
  <c r="AN532" i="19"/>
  <c r="AN331" i="19"/>
  <c r="AN332" i="19"/>
  <c r="AN609" i="19"/>
  <c r="AN478" i="19"/>
  <c r="AN996" i="19"/>
  <c r="AN762" i="19"/>
  <c r="AN1077" i="19"/>
  <c r="AN453" i="19"/>
  <c r="AN324" i="19"/>
  <c r="AN699" i="19"/>
  <c r="AN403" i="19"/>
  <c r="AM327" i="19"/>
  <c r="AJ327" i="19"/>
  <c r="AP327" i="19"/>
  <c r="AD327" i="19" s="1"/>
  <c r="AK327" i="19"/>
  <c r="AI327" i="19"/>
  <c r="AL327" i="19"/>
  <c r="AN1020" i="19"/>
  <c r="AN1046" i="19"/>
  <c r="AL834" i="19"/>
  <c r="AM834" i="19"/>
  <c r="AP834" i="19"/>
  <c r="AD834" i="19" s="1"/>
  <c r="AI834" i="19"/>
  <c r="AJ834" i="19"/>
  <c r="AK834" i="19"/>
  <c r="AN704" i="19"/>
  <c r="AJ694" i="19"/>
  <c r="AP694" i="19"/>
  <c r="AD694" i="19" s="1"/>
  <c r="AL694" i="19"/>
  <c r="AI694" i="19"/>
  <c r="AK694" i="19"/>
  <c r="AM694" i="19"/>
  <c r="AN470" i="19"/>
  <c r="AN104" i="19"/>
  <c r="AP801" i="19"/>
  <c r="AD801" i="19" s="1"/>
  <c r="AK801" i="19"/>
  <c r="AI801" i="19"/>
  <c r="AJ801" i="19"/>
  <c r="AL801" i="19"/>
  <c r="AM801" i="19"/>
  <c r="AM808" i="19"/>
  <c r="AL808" i="19"/>
  <c r="AI808" i="19"/>
  <c r="AJ808" i="19"/>
  <c r="AK808" i="19"/>
  <c r="AP808" i="19"/>
  <c r="AD808" i="19" s="1"/>
  <c r="AM680" i="19"/>
  <c r="AK680" i="19"/>
  <c r="AI680" i="19"/>
  <c r="AP680" i="19"/>
  <c r="AD680" i="19" s="1"/>
  <c r="AL680" i="19"/>
  <c r="AJ680" i="19"/>
  <c r="AN886" i="19"/>
  <c r="AL516" i="19"/>
  <c r="AI516" i="19"/>
  <c r="AM516" i="19"/>
  <c r="AK516" i="19"/>
  <c r="AP516" i="19"/>
  <c r="AD516" i="19" s="1"/>
  <c r="AJ516" i="19"/>
  <c r="AN354" i="19"/>
  <c r="Y122" i="19"/>
  <c r="Y487" i="19"/>
  <c r="Y127" i="19"/>
  <c r="Y446" i="19"/>
  <c r="Y373" i="19"/>
  <c r="AN854" i="19"/>
  <c r="AN1102" i="19"/>
  <c r="AN1136" i="19"/>
  <c r="AN1173" i="19"/>
  <c r="AN384" i="19"/>
  <c r="AN598" i="19"/>
  <c r="AN153" i="19"/>
  <c r="AN1096" i="19"/>
  <c r="AN1135" i="19"/>
  <c r="AN473" i="19"/>
  <c r="AN737" i="19"/>
  <c r="AN1158" i="19"/>
  <c r="AN975" i="19"/>
  <c r="AN1149" i="19"/>
  <c r="AN868" i="19"/>
  <c r="AN670" i="19"/>
  <c r="AN586" i="19"/>
  <c r="AN537" i="19"/>
  <c r="AN391" i="19"/>
  <c r="AN1026" i="19"/>
  <c r="AN791" i="19"/>
  <c r="AN613" i="19"/>
  <c r="AM904" i="19"/>
  <c r="AP904" i="19"/>
  <c r="AD904" i="19" s="1"/>
  <c r="AI904" i="19"/>
  <c r="AJ904" i="19"/>
  <c r="AL904" i="19"/>
  <c r="AK904" i="19"/>
  <c r="AN878" i="19"/>
  <c r="AN741" i="19"/>
  <c r="AN610" i="19"/>
  <c r="AN753" i="19"/>
  <c r="AN605" i="19"/>
  <c r="AN625" i="19"/>
  <c r="AN667" i="19"/>
  <c r="Y66" i="19"/>
  <c r="Y107" i="19"/>
  <c r="Y355" i="19"/>
  <c r="Y756" i="19"/>
  <c r="Y914" i="19"/>
  <c r="AN456" i="19"/>
  <c r="AN302" i="19"/>
  <c r="AN54" i="19"/>
  <c r="AN178" i="19"/>
  <c r="AN67" i="19"/>
  <c r="AN890" i="19"/>
  <c r="AN484" i="19"/>
  <c r="AN170" i="19"/>
  <c r="AN63" i="19"/>
  <c r="AN903" i="19"/>
  <c r="AN1143" i="19"/>
  <c r="AN596" i="19"/>
  <c r="AN1009" i="19"/>
  <c r="AN481" i="19"/>
  <c r="AN335" i="19"/>
  <c r="AN595" i="19"/>
  <c r="AN1010" i="19"/>
  <c r="AN952" i="19"/>
  <c r="AN965" i="19"/>
  <c r="AN213" i="19"/>
  <c r="AN1183" i="19"/>
  <c r="AN1153" i="19"/>
  <c r="AN985" i="19"/>
  <c r="AN380" i="19"/>
  <c r="AN225" i="19"/>
  <c r="AN1140" i="19"/>
  <c r="AN785" i="19"/>
  <c r="AN824" i="19"/>
  <c r="AN621" i="19"/>
  <c r="AN450" i="19"/>
  <c r="AN366" i="19"/>
  <c r="AN117" i="19"/>
  <c r="AN305" i="19"/>
  <c r="AJ565" i="19"/>
  <c r="AI565" i="19"/>
  <c r="AK565" i="19"/>
  <c r="AL565" i="19"/>
  <c r="AM565" i="19"/>
  <c r="AP565" i="19"/>
  <c r="AD565" i="19" s="1"/>
  <c r="AN296" i="19"/>
  <c r="AL601" i="19"/>
  <c r="AJ601" i="19"/>
  <c r="AK601" i="19"/>
  <c r="AM601" i="19"/>
  <c r="AP601" i="19"/>
  <c r="AD601" i="19" s="1"/>
  <c r="AI601" i="19"/>
  <c r="AL167" i="19"/>
  <c r="AM167" i="19"/>
  <c r="AP167" i="19"/>
  <c r="AD167" i="19" s="1"/>
  <c r="AI167" i="19"/>
  <c r="AJ167" i="19"/>
  <c r="AK167" i="19"/>
  <c r="AN46" i="19"/>
  <c r="AN861" i="19"/>
  <c r="AN644" i="19"/>
  <c r="AM267" i="19"/>
  <c r="AI267" i="19"/>
  <c r="AK267" i="19"/>
  <c r="AL267" i="19"/>
  <c r="AJ267" i="19"/>
  <c r="AP267" i="19"/>
  <c r="AD267" i="19" s="1"/>
  <c r="AN439" i="19"/>
  <c r="AM935" i="19"/>
  <c r="AK935" i="19"/>
  <c r="AI935" i="19"/>
  <c r="AP935" i="19"/>
  <c r="AD935" i="19" s="1"/>
  <c r="AL935" i="19"/>
  <c r="AJ935" i="19"/>
  <c r="AL668" i="19"/>
  <c r="AI668" i="19"/>
  <c r="AJ668" i="19"/>
  <c r="AM668" i="19"/>
  <c r="AK668" i="19"/>
  <c r="AP668" i="19"/>
  <c r="AD668" i="19" s="1"/>
  <c r="AN485" i="19"/>
  <c r="AM719" i="19"/>
  <c r="AI719" i="19"/>
  <c r="AJ719" i="19"/>
  <c r="AL719" i="19"/>
  <c r="AK719" i="19"/>
  <c r="AP719" i="19"/>
  <c r="AD719" i="19" s="1"/>
  <c r="AJ802" i="19"/>
  <c r="AK802" i="19"/>
  <c r="AL802" i="19"/>
  <c r="AM802" i="19"/>
  <c r="AP802" i="19"/>
  <c r="AD802" i="19" s="1"/>
  <c r="AI802" i="19"/>
  <c r="AM353" i="19"/>
  <c r="AI353" i="19"/>
  <c r="AJ353" i="19"/>
  <c r="AK353" i="19"/>
  <c r="AP353" i="19"/>
  <c r="AD353" i="19" s="1"/>
  <c r="AL353" i="19"/>
  <c r="Y535" i="19"/>
  <c r="Y101" i="19"/>
  <c r="Y772" i="19"/>
  <c r="Y934" i="19"/>
  <c r="Y1012" i="19"/>
  <c r="AN744" i="19"/>
  <c r="AN202" i="19"/>
  <c r="AN174" i="19"/>
  <c r="AN76" i="19"/>
  <c r="AN831" i="19"/>
  <c r="AN984" i="19"/>
  <c r="AN534" i="19"/>
  <c r="AN323" i="19"/>
  <c r="AN68" i="19"/>
  <c r="AN1098" i="19"/>
  <c r="AN751" i="19"/>
  <c r="AN902" i="19"/>
  <c r="AL214" i="19"/>
  <c r="AM214" i="19"/>
  <c r="AI214" i="19"/>
  <c r="AJ214" i="19"/>
  <c r="AP214" i="19"/>
  <c r="AD214" i="19" s="1"/>
  <c r="AK214" i="19"/>
  <c r="AJ624" i="19"/>
  <c r="AP624" i="19"/>
  <c r="AD624" i="19" s="1"/>
  <c r="AL624" i="19"/>
  <c r="AI624" i="19"/>
  <c r="AM624" i="19"/>
  <c r="AK624" i="19"/>
  <c r="AN399" i="19"/>
  <c r="AL901" i="19"/>
  <c r="AI901" i="19"/>
  <c r="AM901" i="19"/>
  <c r="AK901" i="19"/>
  <c r="AP901" i="19"/>
  <c r="AD901" i="19" s="1"/>
  <c r="AJ901" i="19"/>
  <c r="AL898" i="19"/>
  <c r="AP898" i="19"/>
  <c r="AD898" i="19" s="1"/>
  <c r="AI898" i="19"/>
  <c r="AJ898" i="19"/>
  <c r="AM898" i="19"/>
  <c r="AK898" i="19"/>
  <c r="AJ660" i="19"/>
  <c r="AL660" i="19"/>
  <c r="AI660" i="19"/>
  <c r="AM660" i="19"/>
  <c r="AK660" i="19"/>
  <c r="AP660" i="19"/>
  <c r="AD660" i="19" s="1"/>
  <c r="AM427" i="19"/>
  <c r="AK427" i="19"/>
  <c r="AI427" i="19"/>
  <c r="AJ427" i="19"/>
  <c r="AP427" i="19"/>
  <c r="AD427" i="19" s="1"/>
  <c r="AL427" i="19"/>
  <c r="AL936" i="19"/>
  <c r="AI936" i="19"/>
  <c r="AM936" i="19"/>
  <c r="AJ936" i="19"/>
  <c r="AK936" i="19"/>
  <c r="AP936" i="19"/>
  <c r="AD936" i="19" s="1"/>
  <c r="Y463" i="19"/>
  <c r="Y123" i="19"/>
  <c r="Y404" i="19"/>
  <c r="Y334" i="19"/>
  <c r="AN1060" i="19"/>
  <c r="AN141" i="19"/>
  <c r="AN761" i="19"/>
  <c r="AN889" i="19"/>
  <c r="AN997" i="19"/>
  <c r="AJ581" i="19"/>
  <c r="AK581" i="19"/>
  <c r="AP581" i="19"/>
  <c r="AD581" i="19" s="1"/>
  <c r="AM581" i="19"/>
  <c r="AL581" i="19"/>
  <c r="AI581" i="19"/>
  <c r="AJ383" i="19"/>
  <c r="AP383" i="19"/>
  <c r="AD383" i="19" s="1"/>
  <c r="AM383" i="19"/>
  <c r="AL383" i="19"/>
  <c r="AK383" i="19"/>
  <c r="AI383" i="19"/>
  <c r="AJ278" i="19"/>
  <c r="AP278" i="19"/>
  <c r="AD278" i="19" s="1"/>
  <c r="AI278" i="19"/>
  <c r="AK278" i="19"/>
  <c r="AL278" i="19"/>
  <c r="AM278" i="19"/>
  <c r="AM287" i="19"/>
  <c r="AI287" i="19"/>
  <c r="AP287" i="19"/>
  <c r="AD287" i="19" s="1"/>
  <c r="AL287" i="19"/>
  <c r="AJ287" i="19"/>
  <c r="AK287" i="19"/>
  <c r="AL905" i="19"/>
  <c r="AI905" i="19"/>
  <c r="AP905" i="19"/>
  <c r="AD905" i="19" s="1"/>
  <c r="AJ905" i="19"/>
  <c r="AM905" i="19"/>
  <c r="AK905" i="19"/>
  <c r="AJ542" i="19"/>
  <c r="AP542" i="19"/>
  <c r="AD542" i="19" s="1"/>
  <c r="AI542" i="19"/>
  <c r="AL542" i="19"/>
  <c r="AM542" i="19"/>
  <c r="AK542" i="19"/>
  <c r="AN259" i="19"/>
  <c r="AM803" i="19"/>
  <c r="AK803" i="19"/>
  <c r="AL803" i="19"/>
  <c r="AI803" i="19"/>
  <c r="AJ803" i="19"/>
  <c r="AP803" i="19"/>
  <c r="AD803" i="19" s="1"/>
  <c r="AN696" i="19"/>
  <c r="AL686" i="19"/>
  <c r="AM686" i="19"/>
  <c r="AK686" i="19"/>
  <c r="AP686" i="19"/>
  <c r="AD686" i="19" s="1"/>
  <c r="AJ686" i="19"/>
  <c r="AI686" i="19"/>
  <c r="AL794" i="19"/>
  <c r="AK794" i="19"/>
  <c r="AI794" i="19"/>
  <c r="AM794" i="19"/>
  <c r="AP794" i="19"/>
  <c r="AD794" i="19" s="1"/>
  <c r="AJ794" i="19"/>
  <c r="AN717" i="19"/>
  <c r="AN301" i="19"/>
  <c r="AM351" i="19"/>
  <c r="AK351" i="19"/>
  <c r="AP351" i="19"/>
  <c r="AD351" i="19" s="1"/>
  <c r="AJ351" i="19"/>
  <c r="AL351" i="19"/>
  <c r="AI351" i="19"/>
  <c r="Y643" i="19"/>
  <c r="Y125" i="19"/>
  <c r="Y307" i="19"/>
  <c r="Y958" i="19"/>
  <c r="AN1107" i="19"/>
  <c r="AN219" i="19"/>
  <c r="AN154" i="19"/>
  <c r="AN103" i="19"/>
  <c r="AN71" i="19"/>
  <c r="AN1186" i="19"/>
  <c r="AN273" i="19"/>
  <c r="AN1157" i="19"/>
  <c r="AN989" i="19"/>
  <c r="AN319" i="19"/>
  <c r="AN280" i="19"/>
  <c r="AN312" i="19"/>
  <c r="AN1000" i="19"/>
  <c r="AN757" i="19"/>
  <c r="AN409" i="19"/>
  <c r="AN585" i="19"/>
  <c r="AN81" i="19"/>
  <c r="AN850" i="19"/>
  <c r="AN311" i="19"/>
  <c r="AN433" i="19"/>
  <c r="AN57" i="19"/>
  <c r="AN132" i="19"/>
  <c r="AN1168" i="19"/>
  <c r="AN52" i="19"/>
  <c r="AN41" i="19"/>
  <c r="AN115" i="19"/>
  <c r="AN1164" i="19"/>
  <c r="AN38" i="19"/>
  <c r="AN1169" i="19"/>
  <c r="AN50" i="19"/>
  <c r="AN1175" i="19"/>
  <c r="AN34" i="19"/>
  <c r="AN30" i="19"/>
  <c r="AN43" i="19"/>
  <c r="AN25" i="19"/>
  <c r="AN134" i="19"/>
  <c r="AN1178" i="19"/>
  <c r="AN42" i="19"/>
  <c r="AN1162" i="19"/>
  <c r="AN1163" i="19"/>
  <c r="AN1177" i="19"/>
  <c r="AN1165" i="19"/>
  <c r="AN40" i="19"/>
  <c r="AN1166" i="19"/>
  <c r="AN1174" i="19"/>
  <c r="AN1180" i="19"/>
  <c r="AN51" i="19"/>
  <c r="AN1159" i="19"/>
  <c r="AN1179" i="19"/>
  <c r="AN1176" i="19"/>
  <c r="AN133" i="19"/>
  <c r="AN1160" i="19"/>
  <c r="Y114" i="19"/>
  <c r="AN1161" i="19"/>
  <c r="K30" i="17"/>
  <c r="L30" i="17" s="1"/>
  <c r="J31" i="17"/>
  <c r="AN23" i="19"/>
  <c r="F14" i="35"/>
  <c r="E10" i="35"/>
  <c r="F10" i="35" s="1"/>
  <c r="H10" i="35" s="1"/>
  <c r="G10" i="35" s="1"/>
  <c r="J10" i="35" s="1"/>
  <c r="F8" i="35"/>
  <c r="H8" i="35" s="1"/>
  <c r="F271" i="35"/>
  <c r="H271" i="35" s="1"/>
  <c r="G271" i="35" s="1"/>
  <c r="J271" i="35" s="1"/>
  <c r="H12" i="35"/>
  <c r="G12" i="35" s="1"/>
  <c r="J12" i="35" s="1"/>
  <c r="F278" i="35"/>
  <c r="H278" i="35" s="1"/>
  <c r="AN283" i="19" l="1"/>
  <c r="AN377" i="19"/>
  <c r="AA578" i="53"/>
  <c r="AA578" i="54"/>
  <c r="AN106" i="19"/>
  <c r="AA1054" i="53"/>
  <c r="AA1054" i="54"/>
  <c r="AA1055" i="53"/>
  <c r="AA1055" i="54"/>
  <c r="AA289" i="52"/>
  <c r="AA289" i="53"/>
  <c r="AA303" i="52"/>
  <c r="AA303" i="53"/>
  <c r="AA305" i="52"/>
  <c r="AA305" i="53"/>
  <c r="AA307" i="52"/>
  <c r="AA307" i="53"/>
  <c r="AA121" i="44"/>
  <c r="AA121" i="52"/>
  <c r="AA120" i="44"/>
  <c r="AA120" i="52"/>
  <c r="AN521" i="19"/>
  <c r="AA150" i="44"/>
  <c r="AA150" i="52"/>
  <c r="AA317" i="55"/>
  <c r="AA317" i="52"/>
  <c r="AA314" i="55"/>
  <c r="AA314" i="52"/>
  <c r="AA319" i="55"/>
  <c r="AA319" i="52"/>
  <c r="AA307" i="55"/>
  <c r="AA307" i="44"/>
  <c r="AA303" i="55"/>
  <c r="AA303" i="44"/>
  <c r="AA305" i="55"/>
  <c r="AA305" i="44"/>
  <c r="AA289" i="55"/>
  <c r="AA289" i="44"/>
  <c r="AN887" i="19"/>
  <c r="AN306" i="19"/>
  <c r="AN206" i="19"/>
  <c r="AN402" i="19"/>
  <c r="AN443" i="19"/>
  <c r="AN916" i="19"/>
  <c r="AN444" i="19"/>
  <c r="AN858" i="19"/>
  <c r="AN675" i="19"/>
  <c r="AN438" i="19"/>
  <c r="AN211" i="19"/>
  <c r="AN697" i="19"/>
  <c r="AN853" i="19"/>
  <c r="AN550" i="19"/>
  <c r="AN777" i="19"/>
  <c r="AN210" i="19"/>
  <c r="AN308" i="19"/>
  <c r="AN39" i="19"/>
  <c r="AN541" i="19"/>
  <c r="AN263" i="19"/>
  <c r="AN501" i="19"/>
  <c r="AN531" i="19"/>
  <c r="AN415" i="19"/>
  <c r="AN498" i="19"/>
  <c r="AN449" i="19"/>
  <c r="AN530" i="19"/>
  <c r="AN320" i="19"/>
  <c r="AN480" i="19"/>
  <c r="AN760" i="19"/>
  <c r="AN442" i="19"/>
  <c r="AN464" i="19"/>
  <c r="AN231" i="19"/>
  <c r="AN828" i="19"/>
  <c r="AN857" i="19"/>
  <c r="AN246" i="19"/>
  <c r="AN869" i="19"/>
  <c r="AN1063" i="19"/>
  <c r="AN244" i="19"/>
  <c r="AN870" i="19"/>
  <c r="AN98" i="19"/>
  <c r="AN638" i="19"/>
  <c r="AN451" i="19"/>
  <c r="AN205" i="19"/>
  <c r="K40" i="56"/>
  <c r="L40" i="56" s="1"/>
  <c r="J41" i="56"/>
  <c r="AN497" i="19"/>
  <c r="AN750" i="19"/>
  <c r="AN322" i="19"/>
  <c r="AN566" i="19"/>
  <c r="AN522" i="19"/>
  <c r="AN437" i="19"/>
  <c r="AN784" i="19"/>
  <c r="AN192" i="19"/>
  <c r="AN261" i="19"/>
  <c r="AN879" i="19"/>
  <c r="AN177" i="19"/>
  <c r="AN328" i="19"/>
  <c r="AN660" i="19"/>
  <c r="AN679" i="19"/>
  <c r="AN971" i="19"/>
  <c r="AN1065" i="19"/>
  <c r="AN317" i="19"/>
  <c r="AN108" i="19"/>
  <c r="AN734" i="19"/>
  <c r="AN711" i="19"/>
  <c r="AN797" i="19"/>
  <c r="AN685" i="19"/>
  <c r="AN720" i="19"/>
  <c r="AN351" i="19"/>
  <c r="AN905" i="19"/>
  <c r="AN358" i="19"/>
  <c r="AN904" i="19"/>
  <c r="AN310" i="19"/>
  <c r="AN883" i="19"/>
  <c r="AN1015" i="19"/>
  <c r="AN659" i="19"/>
  <c r="AN910" i="19"/>
  <c r="AN304" i="19"/>
  <c r="AN121" i="19"/>
  <c r="AN603" i="19"/>
  <c r="AN719" i="19"/>
  <c r="AN508" i="19"/>
  <c r="AN505" i="19"/>
  <c r="AN851" i="19"/>
  <c r="AN862" i="19"/>
  <c r="AN743" i="19"/>
  <c r="AL400" i="19"/>
  <c r="AM400" i="19"/>
  <c r="AP400" i="19"/>
  <c r="AD400" i="19" s="1"/>
  <c r="AJ400" i="19"/>
  <c r="AI400" i="19"/>
  <c r="AK400" i="19"/>
  <c r="AN834" i="19"/>
  <c r="AN900" i="19"/>
  <c r="AN356" i="19"/>
  <c r="AP309" i="19"/>
  <c r="AD309" i="19" s="1"/>
  <c r="AI309" i="19"/>
  <c r="AM309" i="19"/>
  <c r="AL309" i="19"/>
  <c r="AK309" i="19"/>
  <c r="AJ309" i="19"/>
  <c r="AP511" i="19"/>
  <c r="AD511" i="19" s="1"/>
  <c r="AK511" i="19"/>
  <c r="AI511" i="19"/>
  <c r="AJ511" i="19"/>
  <c r="AM511" i="19"/>
  <c r="AL511" i="19"/>
  <c r="AM1059" i="19"/>
  <c r="AJ1059" i="19"/>
  <c r="AI1059" i="19"/>
  <c r="AP1059" i="19"/>
  <c r="AD1059" i="19" s="1"/>
  <c r="AK1059" i="19"/>
  <c r="AL1059" i="19"/>
  <c r="AI677" i="19"/>
  <c r="AK677" i="19"/>
  <c r="AP677" i="19"/>
  <c r="AD677" i="19" s="1"/>
  <c r="AM677" i="19"/>
  <c r="AL677" i="19"/>
  <c r="AJ677" i="19"/>
  <c r="AN287" i="19"/>
  <c r="AN936" i="19"/>
  <c r="AN267" i="19"/>
  <c r="AN940" i="19"/>
  <c r="AN959" i="19"/>
  <c r="AN465" i="19"/>
  <c r="AN939" i="19"/>
  <c r="AN945" i="19"/>
  <c r="AN551" i="19"/>
  <c r="AK423" i="19"/>
  <c r="AI423" i="19"/>
  <c r="AJ423" i="19"/>
  <c r="AP423" i="19"/>
  <c r="AD423" i="19" s="1"/>
  <c r="AM423" i="19"/>
  <c r="AL423" i="19"/>
  <c r="AN214" i="19"/>
  <c r="AN794" i="19"/>
  <c r="AN542" i="19"/>
  <c r="AN278" i="19"/>
  <c r="AN686" i="19"/>
  <c r="AN898" i="19"/>
  <c r="AN668" i="19"/>
  <c r="AN694" i="19"/>
  <c r="AN352" i="19"/>
  <c r="AN872" i="19"/>
  <c r="AN233" i="19"/>
  <c r="AN569" i="19"/>
  <c r="AN60" i="19"/>
  <c r="AN987" i="19"/>
  <c r="AN891" i="19"/>
  <c r="AN662" i="19"/>
  <c r="AN1058" i="19"/>
  <c r="AN457" i="19"/>
  <c r="AN251" i="19"/>
  <c r="AN672" i="19"/>
  <c r="AN628" i="19"/>
  <c r="AN458" i="19"/>
  <c r="AN469" i="19"/>
  <c r="AN841" i="19"/>
  <c r="AN973" i="19"/>
  <c r="AK500" i="19"/>
  <c r="AM500" i="19"/>
  <c r="AP500" i="19"/>
  <c r="AD500" i="19" s="1"/>
  <c r="AJ500" i="19"/>
  <c r="AL500" i="19"/>
  <c r="AI500" i="19"/>
  <c r="AJ230" i="19"/>
  <c r="AI230" i="19"/>
  <c r="AK230" i="19"/>
  <c r="AP230" i="19"/>
  <c r="AD230" i="19" s="1"/>
  <c r="AM230" i="19"/>
  <c r="AL230" i="19"/>
  <c r="AM404" i="19"/>
  <c r="AI404" i="19"/>
  <c r="AJ404" i="19"/>
  <c r="AK404" i="19"/>
  <c r="AL404" i="19"/>
  <c r="AP404" i="19"/>
  <c r="AD404" i="19" s="1"/>
  <c r="AP1012" i="19"/>
  <c r="AD1012" i="19" s="1"/>
  <c r="AM1012" i="19"/>
  <c r="AK1012" i="19"/>
  <c r="AI1012" i="19"/>
  <c r="AJ1012" i="19"/>
  <c r="AL1012" i="19"/>
  <c r="AL535" i="19"/>
  <c r="AJ535" i="19"/>
  <c r="AK535" i="19"/>
  <c r="AI535" i="19"/>
  <c r="AP535" i="19"/>
  <c r="AD535" i="19" s="1"/>
  <c r="AM535" i="19"/>
  <c r="AP756" i="19"/>
  <c r="AD756" i="19" s="1"/>
  <c r="AL756" i="19"/>
  <c r="AJ756" i="19"/>
  <c r="AI756" i="19"/>
  <c r="AK756" i="19"/>
  <c r="AM756" i="19"/>
  <c r="AJ66" i="19"/>
  <c r="AK66" i="19"/>
  <c r="AM66" i="19"/>
  <c r="AP66" i="19"/>
  <c r="AD66" i="19" s="1"/>
  <c r="AI66" i="19"/>
  <c r="AL66" i="19"/>
  <c r="AP487" i="19"/>
  <c r="AD487" i="19" s="1"/>
  <c r="AL487" i="19"/>
  <c r="AI487" i="19"/>
  <c r="AK487" i="19"/>
  <c r="AM487" i="19"/>
  <c r="AJ487" i="19"/>
  <c r="AM788" i="19"/>
  <c r="AL788" i="19"/>
  <c r="AJ788" i="19"/>
  <c r="AK788" i="19"/>
  <c r="AI788" i="19"/>
  <c r="AP788" i="19"/>
  <c r="AD788" i="19" s="1"/>
  <c r="AL119" i="19"/>
  <c r="AK119" i="19"/>
  <c r="AI119" i="19"/>
  <c r="AP119" i="19"/>
  <c r="AD119" i="19" s="1"/>
  <c r="AJ119" i="19"/>
  <c r="AM119" i="19"/>
  <c r="AL526" i="19"/>
  <c r="AK526" i="19"/>
  <c r="AI526" i="19"/>
  <c r="AP526" i="19"/>
  <c r="AD526" i="19" s="1"/>
  <c r="AM526" i="19"/>
  <c r="AJ526" i="19"/>
  <c r="AL387" i="19"/>
  <c r="AM387" i="19"/>
  <c r="AI387" i="19"/>
  <c r="AJ387" i="19"/>
  <c r="AK387" i="19"/>
  <c r="AP387" i="19"/>
  <c r="AD387" i="19" s="1"/>
  <c r="AP349" i="19"/>
  <c r="AD349" i="19" s="1"/>
  <c r="AI349" i="19"/>
  <c r="AK349" i="19"/>
  <c r="AM349" i="19"/>
  <c r="AL349" i="19"/>
  <c r="AJ349" i="19"/>
  <c r="AM82" i="19"/>
  <c r="AJ82" i="19"/>
  <c r="AL82" i="19"/>
  <c r="AK82" i="19"/>
  <c r="AP82" i="19"/>
  <c r="AD82" i="19" s="1"/>
  <c r="AI82" i="19"/>
  <c r="AL655" i="19"/>
  <c r="AJ655" i="19"/>
  <c r="AI655" i="19"/>
  <c r="AK655" i="19"/>
  <c r="AM655" i="19"/>
  <c r="AP655" i="19"/>
  <c r="AD655" i="19" s="1"/>
  <c r="AN593" i="19"/>
  <c r="AL307" i="19"/>
  <c r="AM307" i="19"/>
  <c r="AP307" i="19"/>
  <c r="AD307" i="19" s="1"/>
  <c r="AI307" i="19"/>
  <c r="AK307" i="19"/>
  <c r="AJ307" i="19"/>
  <c r="AN803" i="19"/>
  <c r="AL123" i="19"/>
  <c r="AI123" i="19"/>
  <c r="AM123" i="19"/>
  <c r="AK123" i="19"/>
  <c r="AJ123" i="19"/>
  <c r="AP123" i="19"/>
  <c r="AD123" i="19" s="1"/>
  <c r="AN427" i="19"/>
  <c r="AN901" i="19"/>
  <c r="AJ934" i="19"/>
  <c r="AM934" i="19"/>
  <c r="AP934" i="19"/>
  <c r="AD934" i="19" s="1"/>
  <c r="AK934" i="19"/>
  <c r="AL934" i="19"/>
  <c r="AI934" i="19"/>
  <c r="AP355" i="19"/>
  <c r="AD355" i="19" s="1"/>
  <c r="AI355" i="19"/>
  <c r="AJ355" i="19"/>
  <c r="AL355" i="19"/>
  <c r="AM355" i="19"/>
  <c r="AK355" i="19"/>
  <c r="AP373" i="19"/>
  <c r="AD373" i="19" s="1"/>
  <c r="AI373" i="19"/>
  <c r="AL373" i="19"/>
  <c r="AK373" i="19"/>
  <c r="AJ373" i="19"/>
  <c r="AM373" i="19"/>
  <c r="AL557" i="19"/>
  <c r="AM557" i="19"/>
  <c r="AK557" i="19"/>
  <c r="AP557" i="19"/>
  <c r="AD557" i="19" s="1"/>
  <c r="AJ557" i="19"/>
  <c r="AI557" i="19"/>
  <c r="AN421" i="19"/>
  <c r="AN454" i="19"/>
  <c r="AN435" i="19"/>
  <c r="AN702" i="19"/>
  <c r="AN200" i="19"/>
  <c r="AN552" i="19"/>
  <c r="AJ703" i="19"/>
  <c r="AK703" i="19"/>
  <c r="AP703" i="19"/>
  <c r="AD703" i="19" s="1"/>
  <c r="AL703" i="19"/>
  <c r="AI703" i="19"/>
  <c r="AM703" i="19"/>
  <c r="AN807" i="19"/>
  <c r="AN695" i="19"/>
  <c r="AN604" i="19"/>
  <c r="AM297" i="19"/>
  <c r="AK297" i="19"/>
  <c r="AI297" i="19"/>
  <c r="AJ297" i="19"/>
  <c r="AL297" i="19"/>
  <c r="AP297" i="19"/>
  <c r="AD297" i="19" s="1"/>
  <c r="AN185" i="19"/>
  <c r="AN806" i="19"/>
  <c r="AN894" i="19"/>
  <c r="AN626" i="19"/>
  <c r="AN1172" i="19"/>
  <c r="AJ992" i="19"/>
  <c r="AK992" i="19"/>
  <c r="AI992" i="19"/>
  <c r="AP992" i="19"/>
  <c r="AD992" i="19" s="1"/>
  <c r="AM992" i="19"/>
  <c r="AL992" i="19"/>
  <c r="AN707" i="19"/>
  <c r="AN314" i="19"/>
  <c r="AN674" i="19"/>
  <c r="AN1057" i="19"/>
  <c r="AN649" i="19"/>
  <c r="AP124" i="19"/>
  <c r="AD124" i="19" s="1"/>
  <c r="AI124" i="19"/>
  <c r="AA124" i="52" s="1"/>
  <c r="AJ124" i="19"/>
  <c r="AK124" i="19"/>
  <c r="AM124" i="19"/>
  <c r="AL124" i="19"/>
  <c r="AN176" i="19"/>
  <c r="AN619" i="19"/>
  <c r="AN893" i="19"/>
  <c r="AN544" i="19"/>
  <c r="AN120" i="19"/>
  <c r="AN24" i="19"/>
  <c r="AN636" i="19"/>
  <c r="AN951" i="19"/>
  <c r="AM958" i="19"/>
  <c r="AI958" i="19"/>
  <c r="AA955" i="54" s="1"/>
  <c r="AL958" i="19"/>
  <c r="AK958" i="19"/>
  <c r="AJ958" i="19"/>
  <c r="AP958" i="19"/>
  <c r="AD958" i="19" s="1"/>
  <c r="AJ125" i="19"/>
  <c r="AK125" i="19"/>
  <c r="AI125" i="19"/>
  <c r="AA125" i="52" s="1"/>
  <c r="AP125" i="19"/>
  <c r="AD125" i="19" s="1"/>
  <c r="AL125" i="19"/>
  <c r="AM125" i="19"/>
  <c r="AN383" i="19"/>
  <c r="AJ463" i="19"/>
  <c r="AK463" i="19"/>
  <c r="AL463" i="19"/>
  <c r="AM463" i="19"/>
  <c r="AP463" i="19"/>
  <c r="AD463" i="19" s="1"/>
  <c r="AI463" i="19"/>
  <c r="AN624" i="19"/>
  <c r="AJ772" i="19"/>
  <c r="AM772" i="19"/>
  <c r="AP772" i="19"/>
  <c r="AD772" i="19" s="1"/>
  <c r="AK772" i="19"/>
  <c r="AL772" i="19"/>
  <c r="AI772" i="19"/>
  <c r="AN935" i="19"/>
  <c r="AN167" i="19"/>
  <c r="AP107" i="19"/>
  <c r="AD107" i="19" s="1"/>
  <c r="AI107" i="19"/>
  <c r="AA107" i="44" s="1"/>
  <c r="AL107" i="19"/>
  <c r="AJ107" i="19"/>
  <c r="AM107" i="19"/>
  <c r="AK107" i="19"/>
  <c r="AL446" i="19"/>
  <c r="AJ446" i="19"/>
  <c r="AI446" i="19"/>
  <c r="AK446" i="19"/>
  <c r="AP446" i="19"/>
  <c r="AD446" i="19" s="1"/>
  <c r="AM446" i="19"/>
  <c r="AM122" i="19"/>
  <c r="AJ122" i="19"/>
  <c r="AK122" i="19"/>
  <c r="AL122" i="19"/>
  <c r="AP122" i="19"/>
  <c r="AD122" i="19" s="1"/>
  <c r="AI122" i="19"/>
  <c r="AN516" i="19"/>
  <c r="AN808" i="19"/>
  <c r="AN327" i="19"/>
  <c r="AL1016" i="19"/>
  <c r="AI1016" i="19"/>
  <c r="AJ1016" i="19"/>
  <c r="AM1016" i="19"/>
  <c r="AK1016" i="19"/>
  <c r="AP1016" i="19"/>
  <c r="AD1016" i="19" s="1"/>
  <c r="AL755" i="19"/>
  <c r="AP755" i="19"/>
  <c r="AD755" i="19" s="1"/>
  <c r="AM755" i="19"/>
  <c r="AJ755" i="19"/>
  <c r="AI755" i="19"/>
  <c r="AK755" i="19"/>
  <c r="AN29" i="19"/>
  <c r="AN274" i="19"/>
  <c r="AJ1004" i="19"/>
  <c r="AK1004" i="19"/>
  <c r="AI1004" i="19"/>
  <c r="AL1004" i="19"/>
  <c r="AP1004" i="19"/>
  <c r="AD1004" i="19" s="1"/>
  <c r="AM1004" i="19"/>
  <c r="AJ140" i="19"/>
  <c r="AK140" i="19"/>
  <c r="AP140" i="19"/>
  <c r="AD140" i="19" s="1"/>
  <c r="AL140" i="19"/>
  <c r="AI140" i="19"/>
  <c r="AA140" i="52" s="1"/>
  <c r="AM140" i="19"/>
  <c r="AJ1014" i="19"/>
  <c r="AP1014" i="19"/>
  <c r="AD1014" i="19" s="1"/>
  <c r="AK1014" i="19"/>
  <c r="AL1014" i="19"/>
  <c r="AI1014" i="19"/>
  <c r="AM1014" i="19"/>
  <c r="AN860" i="19"/>
  <c r="AM874" i="19"/>
  <c r="AK874" i="19"/>
  <c r="AP874" i="19"/>
  <c r="AD874" i="19" s="1"/>
  <c r="AJ874" i="19"/>
  <c r="AI874" i="19"/>
  <c r="AL874" i="19"/>
  <c r="AJ162" i="19"/>
  <c r="AP162" i="19"/>
  <c r="AD162" i="19" s="1"/>
  <c r="AL162" i="19"/>
  <c r="AI162" i="19"/>
  <c r="AA162" i="52" s="1"/>
  <c r="AK162" i="19"/>
  <c r="AM162" i="19"/>
  <c r="AN765" i="19"/>
  <c r="AP138" i="19"/>
  <c r="AD138" i="19" s="1"/>
  <c r="AM138" i="19"/>
  <c r="AL138" i="19"/>
  <c r="AJ138" i="19"/>
  <c r="AI138" i="19"/>
  <c r="AK138" i="19"/>
  <c r="AN630" i="19"/>
  <c r="AN350" i="19"/>
  <c r="AN693" i="19"/>
  <c r="AN683" i="19"/>
  <c r="AN99" i="19"/>
  <c r="AJ643" i="19"/>
  <c r="AK643" i="19"/>
  <c r="AP643" i="19"/>
  <c r="AD643" i="19" s="1"/>
  <c r="AL643" i="19"/>
  <c r="AI643" i="19"/>
  <c r="AM643" i="19"/>
  <c r="AN581" i="19"/>
  <c r="AM334" i="19"/>
  <c r="AK334" i="19"/>
  <c r="AP334" i="19"/>
  <c r="AD334" i="19" s="1"/>
  <c r="AL334" i="19"/>
  <c r="AI334" i="19"/>
  <c r="AJ334" i="19"/>
  <c r="AL101" i="19"/>
  <c r="AM101" i="19"/>
  <c r="AJ101" i="19"/>
  <c r="AP101" i="19"/>
  <c r="AD101" i="19" s="1"/>
  <c r="AI101" i="19"/>
  <c r="AK101" i="19"/>
  <c r="AN353" i="19"/>
  <c r="AN802" i="19"/>
  <c r="AN601" i="19"/>
  <c r="AN565" i="19"/>
  <c r="AL914" i="19"/>
  <c r="AM914" i="19"/>
  <c r="AJ914" i="19"/>
  <c r="AK914" i="19"/>
  <c r="AI914" i="19"/>
  <c r="AP914" i="19"/>
  <c r="AD914" i="19" s="1"/>
  <c r="AL127" i="19"/>
  <c r="AM127" i="19"/>
  <c r="AK127" i="19"/>
  <c r="AJ127" i="19"/>
  <c r="AP127" i="19"/>
  <c r="AD127" i="19" s="1"/>
  <c r="AI127" i="19"/>
  <c r="AN680" i="19"/>
  <c r="AN801" i="19"/>
  <c r="AJ943" i="19"/>
  <c r="AK943" i="19"/>
  <c r="AM943" i="19"/>
  <c r="AP943" i="19"/>
  <c r="AD943" i="19" s="1"/>
  <c r="AL943" i="19"/>
  <c r="AI943" i="19"/>
  <c r="AP329" i="19"/>
  <c r="AD329" i="19" s="1"/>
  <c r="AM329" i="19"/>
  <c r="AI329" i="19"/>
  <c r="AK329" i="19"/>
  <c r="AL329" i="19"/>
  <c r="AJ329" i="19"/>
  <c r="AM773" i="19"/>
  <c r="AK773" i="19"/>
  <c r="AP773" i="19"/>
  <c r="AD773" i="19" s="1"/>
  <c r="AL773" i="19"/>
  <c r="AI773" i="19"/>
  <c r="AJ773" i="19"/>
  <c r="AN195" i="19"/>
  <c r="AN897" i="19"/>
  <c r="AM970" i="19"/>
  <c r="AK970" i="19"/>
  <c r="AP970" i="19"/>
  <c r="AD970" i="19" s="1"/>
  <c r="AL970" i="19"/>
  <c r="AJ970" i="19"/>
  <c r="AI970" i="19"/>
  <c r="AK731" i="19"/>
  <c r="AJ731" i="19"/>
  <c r="AI731" i="19"/>
  <c r="AP731" i="19"/>
  <c r="AD731" i="19" s="1"/>
  <c r="AM731" i="19"/>
  <c r="AL731" i="19"/>
  <c r="AN931" i="19"/>
  <c r="AN942" i="19"/>
  <c r="AN727" i="19"/>
  <c r="AN300" i="19"/>
  <c r="AN739" i="19"/>
  <c r="AL658" i="19"/>
  <c r="AI658" i="19"/>
  <c r="AM658" i="19"/>
  <c r="AJ658" i="19"/>
  <c r="AK658" i="19"/>
  <c r="AP658" i="19"/>
  <c r="AD658" i="19" s="1"/>
  <c r="AN930" i="19"/>
  <c r="AN488" i="19"/>
  <c r="AP540" i="19"/>
  <c r="AD540" i="19" s="1"/>
  <c r="AI540" i="19"/>
  <c r="AL540" i="19"/>
  <c r="AM540" i="19"/>
  <c r="AJ540" i="19"/>
  <c r="AK540" i="19"/>
  <c r="AN489" i="19"/>
  <c r="AP157" i="19"/>
  <c r="AD157" i="19" s="1"/>
  <c r="AI157" i="19"/>
  <c r="AJ157" i="19"/>
  <c r="AK157" i="19"/>
  <c r="AM157" i="19"/>
  <c r="AL157" i="19"/>
  <c r="AN235" i="19"/>
  <c r="AN413" i="19"/>
  <c r="AN543" i="19"/>
  <c r="AN611" i="19"/>
  <c r="AN944" i="19"/>
  <c r="AN292" i="19"/>
  <c r="AN796" i="19"/>
  <c r="AN956" i="19"/>
  <c r="AN549" i="19"/>
  <c r="AN150" i="19"/>
  <c r="AN839" i="19"/>
  <c r="AK114" i="19"/>
  <c r="AJ114" i="19"/>
  <c r="AM114" i="19"/>
  <c r="AL114" i="19"/>
  <c r="AP114" i="19"/>
  <c r="AD114" i="19" s="1"/>
  <c r="AI114" i="19"/>
  <c r="I278" i="35"/>
  <c r="I12" i="35"/>
  <c r="H14" i="35"/>
  <c r="G14" i="35" s="1"/>
  <c r="J14" i="35" s="1"/>
  <c r="J32" i="17"/>
  <c r="K31" i="17"/>
  <c r="L31" i="17" s="1"/>
  <c r="G8" i="35"/>
  <c r="J8" i="35" s="1"/>
  <c r="I271" i="35"/>
  <c r="I10" i="35"/>
  <c r="G278" i="35"/>
  <c r="J278" i="35" s="1"/>
  <c r="AA1001" i="53" l="1"/>
  <c r="AA1001" i="54"/>
  <c r="AA1056" i="53"/>
  <c r="AA1056" i="54"/>
  <c r="AA306" i="52"/>
  <c r="AA306" i="53"/>
  <c r="AA304" i="52"/>
  <c r="AA304" i="53"/>
  <c r="AA123" i="44"/>
  <c r="AA123" i="52"/>
  <c r="AA114" i="44"/>
  <c r="AA114" i="52"/>
  <c r="AA122" i="44"/>
  <c r="AA122" i="52"/>
  <c r="AA138" i="44"/>
  <c r="AA138" i="52"/>
  <c r="AA1001" i="55"/>
  <c r="AA1001" i="52"/>
  <c r="AA304" i="55"/>
  <c r="AA304" i="44"/>
  <c r="AA306" i="55"/>
  <c r="AA306" i="44"/>
  <c r="AA124" i="55"/>
  <c r="AA124" i="44"/>
  <c r="AA140" i="55"/>
  <c r="AA140" i="44"/>
  <c r="AA125" i="55"/>
  <c r="AA125" i="44"/>
  <c r="K41" i="56"/>
  <c r="L41" i="56" s="1"/>
  <c r="J42" i="56"/>
  <c r="AN334" i="19"/>
  <c r="AN1016" i="19"/>
  <c r="AN297" i="19"/>
  <c r="AN1059" i="19"/>
  <c r="AN677" i="19"/>
  <c r="AN230" i="19"/>
  <c r="AN309" i="19"/>
  <c r="AN400" i="19"/>
  <c r="AN557" i="19"/>
  <c r="AN756" i="19"/>
  <c r="AN535" i="19"/>
  <c r="AN943" i="19"/>
  <c r="AN101" i="19"/>
  <c r="AN138" i="19"/>
  <c r="AN123" i="19"/>
  <c r="AN526" i="19"/>
  <c r="AN423" i="19"/>
  <c r="AN500" i="19"/>
  <c r="AN157" i="19"/>
  <c r="AN122" i="19"/>
  <c r="AN463" i="19"/>
  <c r="AN307" i="19"/>
  <c r="AN655" i="19"/>
  <c r="AN788" i="19"/>
  <c r="AN404" i="19"/>
  <c r="AN511" i="19"/>
  <c r="AN140" i="19"/>
  <c r="AN119" i="19"/>
  <c r="AN540" i="19"/>
  <c r="AN731" i="19"/>
  <c r="AN127" i="19"/>
  <c r="AN1014" i="19"/>
  <c r="AN446" i="19"/>
  <c r="AN107" i="19"/>
  <c r="AN124" i="19"/>
  <c r="AN349" i="19"/>
  <c r="AN387" i="19"/>
  <c r="AN658" i="19"/>
  <c r="AN970" i="19"/>
  <c r="AN773" i="19"/>
  <c r="AN329" i="19"/>
  <c r="AN914" i="19"/>
  <c r="AN162" i="19"/>
  <c r="AN1004" i="19"/>
  <c r="AN755" i="19"/>
  <c r="AN992" i="19"/>
  <c r="AN703" i="19"/>
  <c r="AN373" i="19"/>
  <c r="AN355" i="19"/>
  <c r="AN934" i="19"/>
  <c r="AN82" i="19"/>
  <c r="AN487" i="19"/>
  <c r="AN66" i="19"/>
  <c r="AN643" i="19"/>
  <c r="AN874" i="19"/>
  <c r="AN772" i="19"/>
  <c r="AN125" i="19"/>
  <c r="AN958" i="19"/>
  <c r="AN1012" i="19"/>
  <c r="AN114" i="19"/>
  <c r="I14" i="35"/>
  <c r="J33" i="17"/>
  <c r="K32" i="17"/>
  <c r="L32" i="17" s="1"/>
  <c r="I8" i="35"/>
  <c r="J43" i="56" l="1"/>
  <c r="K42" i="56"/>
  <c r="L42" i="56" s="1"/>
  <c r="K33" i="17"/>
  <c r="L33" i="17" s="1"/>
  <c r="J34" i="17"/>
  <c r="J44" i="56" l="1"/>
  <c r="K43" i="56"/>
  <c r="L43" i="56" s="1"/>
  <c r="K34" i="17"/>
  <c r="L34" i="17" s="1"/>
  <c r="J35" i="17"/>
  <c r="K44" i="56" l="1"/>
  <c r="L44" i="56" s="1"/>
  <c r="J45" i="56"/>
  <c r="J36" i="17"/>
  <c r="K35" i="17"/>
  <c r="L35" i="17" s="1"/>
  <c r="K45" i="56" l="1"/>
  <c r="L45" i="56" s="1"/>
  <c r="J46" i="56"/>
  <c r="J37" i="17"/>
  <c r="K36" i="17"/>
  <c r="L36" i="17" s="1"/>
  <c r="J47" i="56" l="1"/>
  <c r="K46" i="56"/>
  <c r="L46" i="56" s="1"/>
  <c r="K37" i="17"/>
  <c r="L37" i="17" s="1"/>
  <c r="J38" i="17"/>
  <c r="AJ1200" i="19"/>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AJ1202" i="19"/>
  <c r="J55" i="56" l="1"/>
  <c r="K54" i="56"/>
  <c r="L54" i="56" s="1"/>
  <c r="K45" i="17"/>
  <c r="L45" i="17" s="1"/>
  <c r="J46" i="17"/>
  <c r="AQ22" i="19"/>
  <c r="Y22" i="19" s="1"/>
  <c r="J56" i="56" l="1"/>
  <c r="K55" i="56"/>
  <c r="L55" i="56" s="1"/>
  <c r="K46" i="17"/>
  <c r="L46" i="17" s="1"/>
  <c r="J47" i="17"/>
  <c r="AJ22" i="19"/>
  <c r="AI22" i="19"/>
  <c r="AA22" i="44" s="1"/>
  <c r="AP22" i="19"/>
  <c r="AD22" i="19" s="1"/>
  <c r="E4" i="35"/>
  <c r="AM22" i="19"/>
  <c r="AK22" i="19"/>
  <c r="AL22" i="19"/>
  <c r="K56" i="56" l="1"/>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AD23" i="19"/>
  <c r="J64" i="56" l="1"/>
  <c r="K63" i="56"/>
  <c r="L63" i="56" s="1"/>
  <c r="K54" i="17"/>
  <c r="L54" i="17" s="1"/>
  <c r="J55" i="17"/>
  <c r="E27" i="35"/>
  <c r="E11" i="35"/>
  <c r="E9" i="35"/>
  <c r="AC2" i="19"/>
  <c r="P2" i="19" s="1"/>
  <c r="E5" i="35"/>
  <c r="E7" i="35"/>
  <c r="E15" i="35"/>
  <c r="E38" i="35"/>
  <c r="K64" i="56" l="1"/>
  <c r="L64" i="56" s="1"/>
  <c r="J65" i="56"/>
  <c r="J56" i="17"/>
  <c r="K55" i="17"/>
  <c r="L55" i="17" s="1"/>
  <c r="F15" i="35"/>
  <c r="F5" i="35"/>
  <c r="F38" i="35"/>
  <c r="F7" i="35"/>
  <c r="F9" i="35"/>
  <c r="H9" i="35" s="1"/>
  <c r="G9" i="35" s="1"/>
  <c r="J9" i="35" s="1"/>
  <c r="F11" i="35"/>
  <c r="H11" i="35" s="1"/>
  <c r="F27" i="35"/>
  <c r="AJ1204" i="19"/>
  <c r="P3" i="19"/>
  <c r="P4" i="19" s="1"/>
  <c r="P5" i="19" s="1"/>
  <c r="P6" i="19" s="1"/>
  <c r="P7" i="19" s="1"/>
  <c r="P8" i="19" s="1"/>
  <c r="P9" i="19" s="1"/>
  <c r="P10" i="19" s="1"/>
  <c r="P11" i="19" s="1"/>
  <c r="P12" i="19" s="1"/>
  <c r="P13" i="19" s="1"/>
  <c r="P14" i="19" s="1"/>
  <c r="P15" i="19" s="1"/>
  <c r="D19" i="19" s="1"/>
  <c r="K65" i="56" l="1"/>
  <c r="L65" i="56" s="1"/>
  <c r="J66" i="56"/>
  <c r="H27" i="35"/>
  <c r="G27" i="35" s="1"/>
  <c r="J27" i="35" s="1"/>
  <c r="H7" i="35"/>
  <c r="G7" i="35" s="1"/>
  <c r="J7" i="35" s="1"/>
  <c r="H38" i="35"/>
  <c r="G38" i="35" s="1"/>
  <c r="J38" i="35" s="1"/>
  <c r="J57" i="17"/>
  <c r="K56" i="17"/>
  <c r="L56" i="17" s="1"/>
  <c r="H15" i="35"/>
  <c r="G15" i="35" s="1"/>
  <c r="J15" i="35" s="1"/>
  <c r="H5" i="35"/>
  <c r="G11" i="35"/>
  <c r="J11" i="35" s="1"/>
  <c r="AC3" i="19"/>
  <c r="I9" i="35"/>
  <c r="J67" i="56" l="1"/>
  <c r="K66" i="56"/>
  <c r="L66" i="56" s="1"/>
  <c r="I7" i="35"/>
  <c r="I15" i="35"/>
  <c r="I11" i="35"/>
  <c r="I27" i="35"/>
  <c r="I38" i="35"/>
  <c r="K57" i="17"/>
  <c r="L57" i="17" s="1"/>
  <c r="J58" i="17"/>
  <c r="G5" i="35"/>
  <c r="J5" i="35" s="1"/>
  <c r="B19" i="19"/>
  <c r="AF285" i="19" l="1"/>
  <c r="AG285" i="19" s="1"/>
  <c r="AF284" i="19"/>
  <c r="AG284" i="19" s="1"/>
  <c r="AF283" i="19"/>
  <c r="J68" i="56"/>
  <c r="K67" i="56"/>
  <c r="L67" i="56" s="1"/>
  <c r="G942" i="19"/>
  <c r="AF942" i="19" s="1"/>
  <c r="G1126" i="19"/>
  <c r="G1186" i="19"/>
  <c r="G1178" i="19"/>
  <c r="G1174" i="19"/>
  <c r="G1170" i="19"/>
  <c r="G1166" i="19"/>
  <c r="G1162" i="19"/>
  <c r="G1158" i="19"/>
  <c r="G1154" i="19"/>
  <c r="G1150" i="19"/>
  <c r="G1146" i="19"/>
  <c r="G1142" i="19"/>
  <c r="G1138" i="19"/>
  <c r="G1134" i="19"/>
  <c r="G1130" i="19"/>
  <c r="G1182" i="19"/>
  <c r="G1129" i="19"/>
  <c r="G1149" i="19"/>
  <c r="G1169" i="19"/>
  <c r="G1185" i="19"/>
  <c r="G1139" i="19"/>
  <c r="G1155" i="19"/>
  <c r="G1171" i="19"/>
  <c r="G1187" i="19"/>
  <c r="G1136" i="19"/>
  <c r="G1152" i="19"/>
  <c r="G1168" i="19"/>
  <c r="G1184" i="19"/>
  <c r="G1181" i="19"/>
  <c r="G1151" i="19"/>
  <c r="G1183" i="19"/>
  <c r="G1148" i="19"/>
  <c r="G1180" i="19"/>
  <c r="G1133" i="19"/>
  <c r="G1157" i="19"/>
  <c r="G1173" i="19"/>
  <c r="G1153" i="19"/>
  <c r="G1143" i="19"/>
  <c r="G1159" i="19"/>
  <c r="G1175" i="19"/>
  <c r="G1145" i="19"/>
  <c r="G1140" i="19"/>
  <c r="G1156" i="19"/>
  <c r="G1172" i="19"/>
  <c r="G1188" i="19"/>
  <c r="G1141" i="19"/>
  <c r="G1135" i="19"/>
  <c r="G1167" i="19"/>
  <c r="G1132" i="19"/>
  <c r="G1164" i="19"/>
  <c r="G1137" i="19"/>
  <c r="G1161" i="19"/>
  <c r="G1177" i="19"/>
  <c r="G1131" i="19"/>
  <c r="G1147" i="19"/>
  <c r="G1163" i="19"/>
  <c r="G1179" i="19"/>
  <c r="G1128" i="19"/>
  <c r="G1144" i="19"/>
  <c r="G1160" i="19"/>
  <c r="G1176" i="19"/>
  <c r="G1165" i="19"/>
  <c r="G1123" i="19"/>
  <c r="G1124" i="19"/>
  <c r="G1119" i="19"/>
  <c r="G1121" i="19"/>
  <c r="G1115" i="19"/>
  <c r="G1117" i="19"/>
  <c r="G1111" i="19"/>
  <c r="G1113" i="19"/>
  <c r="G1107" i="19"/>
  <c r="G1109" i="19"/>
  <c r="G1102" i="19"/>
  <c r="G1104" i="19"/>
  <c r="G1105" i="19"/>
  <c r="G1098" i="19"/>
  <c r="G1100" i="19"/>
  <c r="G1093" i="19"/>
  <c r="G1095" i="19"/>
  <c r="G1096" i="19"/>
  <c r="G1090" i="19"/>
  <c r="G1091" i="19"/>
  <c r="G1086" i="19"/>
  <c r="G1088" i="19"/>
  <c r="G1082" i="19"/>
  <c r="G1084" i="19"/>
  <c r="G1079" i="19"/>
  <c r="G1080" i="19"/>
  <c r="G1075" i="19"/>
  <c r="G1077" i="19"/>
  <c r="G1070" i="19"/>
  <c r="G1069" i="19"/>
  <c r="G1071" i="19"/>
  <c r="G1068" i="19"/>
  <c r="G1072" i="19"/>
  <c r="G1064" i="19"/>
  <c r="G1063" i="19"/>
  <c r="G1065" i="19"/>
  <c r="G1066" i="19"/>
  <c r="G1059" i="19"/>
  <c r="G1058" i="19"/>
  <c r="G1060" i="19"/>
  <c r="G1057" i="19"/>
  <c r="G1061" i="19"/>
  <c r="G1050" i="19"/>
  <c r="G1053" i="19"/>
  <c r="G1052" i="19"/>
  <c r="G1054" i="19"/>
  <c r="G1055" i="19"/>
  <c r="G1046" i="19"/>
  <c r="G1045" i="19"/>
  <c r="G1047" i="19"/>
  <c r="G1048" i="19"/>
  <c r="G1026" i="19"/>
  <c r="G1037" i="19"/>
  <c r="G1033" i="19"/>
  <c r="G1041" i="19"/>
  <c r="G1029" i="19"/>
  <c r="G1028" i="19"/>
  <c r="G1030" i="19"/>
  <c r="G1031" i="19"/>
  <c r="G1042" i="19"/>
  <c r="G1032" i="19"/>
  <c r="G1034" i="19"/>
  <c r="G1035" i="19"/>
  <c r="G1043" i="19"/>
  <c r="G1036" i="19"/>
  <c r="G1038" i="19"/>
  <c r="G1039" i="19"/>
  <c r="G1040" i="19"/>
  <c r="G1018" i="19"/>
  <c r="G1022" i="19"/>
  <c r="G1021" i="19"/>
  <c r="G1023" i="19"/>
  <c r="G1020" i="19"/>
  <c r="G1024" i="19"/>
  <c r="G1014" i="19"/>
  <c r="G1013" i="19"/>
  <c r="G1015" i="19"/>
  <c r="G1012" i="19"/>
  <c r="G1016" i="19"/>
  <c r="G1008" i="19"/>
  <c r="G1009" i="19"/>
  <c r="G1010" i="19"/>
  <c r="G1004" i="19"/>
  <c r="G996" i="19"/>
  <c r="G992" i="19"/>
  <c r="G1000" i="19"/>
  <c r="G991" i="19"/>
  <c r="G989" i="19"/>
  <c r="G1005" i="19"/>
  <c r="G1002" i="19"/>
  <c r="G1001" i="19"/>
  <c r="G995" i="19"/>
  <c r="G993" i="19"/>
  <c r="G990" i="19"/>
  <c r="G1006" i="19"/>
  <c r="G998" i="19"/>
  <c r="G999" i="19"/>
  <c r="G997" i="19"/>
  <c r="G994" i="19"/>
  <c r="G1003" i="19"/>
  <c r="G973" i="19"/>
  <c r="G985" i="19"/>
  <c r="G981" i="19"/>
  <c r="G977" i="19"/>
  <c r="G982" i="19"/>
  <c r="G978" i="19"/>
  <c r="G983" i="19"/>
  <c r="G976" i="19"/>
  <c r="G986" i="19"/>
  <c r="G987" i="19"/>
  <c r="G979" i="19"/>
  <c r="G980" i="19"/>
  <c r="G975" i="19"/>
  <c r="G984" i="19"/>
  <c r="G970" i="19"/>
  <c r="G971" i="19"/>
  <c r="G966" i="19"/>
  <c r="G962" i="19"/>
  <c r="G961" i="19"/>
  <c r="G964" i="19"/>
  <c r="G965" i="19"/>
  <c r="G968" i="19"/>
  <c r="G963" i="19"/>
  <c r="G967" i="19"/>
  <c r="G958" i="19"/>
  <c r="G959" i="19"/>
  <c r="G954" i="19"/>
  <c r="G955" i="19"/>
  <c r="G956" i="19"/>
  <c r="G950" i="19"/>
  <c r="G951" i="19"/>
  <c r="G952" i="19"/>
  <c r="G947" i="19"/>
  <c r="G948" i="19"/>
  <c r="G943" i="19"/>
  <c r="G938" i="19"/>
  <c r="G939" i="19"/>
  <c r="G945" i="19"/>
  <c r="G940" i="19"/>
  <c r="G944" i="19"/>
  <c r="G941" i="19"/>
  <c r="G927" i="19"/>
  <c r="G934" i="19"/>
  <c r="G930" i="19"/>
  <c r="G929" i="19"/>
  <c r="G932" i="19"/>
  <c r="G933" i="19"/>
  <c r="G936" i="19"/>
  <c r="G931" i="19"/>
  <c r="G935" i="19"/>
  <c r="G922" i="19"/>
  <c r="G924" i="19"/>
  <c r="G925" i="19"/>
  <c r="G919" i="19"/>
  <c r="G920" i="19"/>
  <c r="G916" i="19"/>
  <c r="G917" i="19"/>
  <c r="G912" i="19"/>
  <c r="G914" i="19"/>
  <c r="G908" i="19"/>
  <c r="G910" i="19"/>
  <c r="G900" i="19"/>
  <c r="G904" i="19"/>
  <c r="G902" i="19"/>
  <c r="G903" i="19"/>
  <c r="G901" i="19"/>
  <c r="G905" i="19"/>
  <c r="G896" i="19"/>
  <c r="G895" i="19"/>
  <c r="G898" i="19"/>
  <c r="G893" i="19"/>
  <c r="G897" i="19"/>
  <c r="G894" i="19"/>
  <c r="G889" i="19"/>
  <c r="G885" i="19"/>
  <c r="G888" i="19"/>
  <c r="G891" i="19"/>
  <c r="G887" i="19"/>
  <c r="G886" i="19"/>
  <c r="G890" i="19"/>
  <c r="G881" i="19"/>
  <c r="G877" i="19"/>
  <c r="G878" i="19"/>
  <c r="G883" i="19"/>
  <c r="G880" i="19"/>
  <c r="G879" i="19"/>
  <c r="G882" i="19"/>
  <c r="G873" i="19"/>
  <c r="G869" i="19"/>
  <c r="G865" i="19"/>
  <c r="G868" i="19"/>
  <c r="G874" i="19"/>
  <c r="G875" i="19"/>
  <c r="G872" i="19"/>
  <c r="G867" i="19"/>
  <c r="G866" i="19"/>
  <c r="G871" i="19"/>
  <c r="G870" i="19"/>
  <c r="G861" i="19"/>
  <c r="G857" i="19"/>
  <c r="G853" i="19"/>
  <c r="G854" i="19"/>
  <c r="G862" i="19"/>
  <c r="G863" i="19"/>
  <c r="G856" i="19"/>
  <c r="G855" i="19"/>
  <c r="G860" i="19"/>
  <c r="G859" i="19"/>
  <c r="G858" i="19"/>
  <c r="G850" i="19"/>
  <c r="G851" i="19"/>
  <c r="G847" i="19"/>
  <c r="G848" i="19"/>
  <c r="G845" i="19"/>
  <c r="G844" i="19"/>
  <c r="G841" i="19"/>
  <c r="G842" i="19"/>
  <c r="G836" i="19"/>
  <c r="G838" i="19"/>
  <c r="G839" i="19"/>
  <c r="G831" i="19"/>
  <c r="G833" i="19"/>
  <c r="G834" i="19"/>
  <c r="G828" i="19"/>
  <c r="G829" i="19"/>
  <c r="G824" i="19"/>
  <c r="G826" i="19"/>
  <c r="G820" i="19"/>
  <c r="G822" i="19"/>
  <c r="G815" i="19"/>
  <c r="G817" i="19"/>
  <c r="G811" i="19"/>
  <c r="G813" i="19"/>
  <c r="G807" i="19"/>
  <c r="G806" i="19"/>
  <c r="G808" i="19"/>
  <c r="G809" i="19"/>
  <c r="G799" i="19"/>
  <c r="G802" i="19"/>
  <c r="G803" i="19"/>
  <c r="G801" i="19"/>
  <c r="G804" i="19"/>
  <c r="G796" i="19"/>
  <c r="G797" i="19"/>
  <c r="G791" i="19"/>
  <c r="G793" i="19"/>
  <c r="G794" i="19"/>
  <c r="G787" i="19"/>
  <c r="G788" i="19"/>
  <c r="G789" i="19"/>
  <c r="G784" i="19"/>
  <c r="G785" i="19"/>
  <c r="G776" i="19"/>
  <c r="G780" i="19"/>
  <c r="G772" i="19"/>
  <c r="G779" i="19"/>
  <c r="G777" i="19"/>
  <c r="G774" i="19"/>
  <c r="G770" i="19"/>
  <c r="G771" i="19"/>
  <c r="G781" i="19"/>
  <c r="G778" i="19"/>
  <c r="G769" i="19"/>
  <c r="G775" i="19"/>
  <c r="G782" i="19"/>
  <c r="G773" i="19"/>
  <c r="G765" i="19"/>
  <c r="G761" i="19"/>
  <c r="G757" i="19"/>
  <c r="G753" i="19"/>
  <c r="G752" i="19"/>
  <c r="G750" i="19"/>
  <c r="G766" i="19"/>
  <c r="G763" i="19"/>
  <c r="G762" i="19"/>
  <c r="G756" i="19"/>
  <c r="G754" i="19"/>
  <c r="G751" i="19"/>
  <c r="G767" i="19"/>
  <c r="G759" i="19"/>
  <c r="G760" i="19"/>
  <c r="G758" i="19"/>
  <c r="G755" i="19"/>
  <c r="G764" i="19"/>
  <c r="G746" i="19"/>
  <c r="G742" i="19"/>
  <c r="G741" i="19"/>
  <c r="G747" i="19"/>
  <c r="G745" i="19"/>
  <c r="G740" i="19"/>
  <c r="G739" i="19"/>
  <c r="G744" i="19"/>
  <c r="G743" i="19"/>
  <c r="G748" i="19"/>
  <c r="G735" i="19"/>
  <c r="G731" i="19"/>
  <c r="G727" i="19"/>
  <c r="G736" i="19"/>
  <c r="G732" i="19"/>
  <c r="G737" i="19"/>
  <c r="G730" i="19"/>
  <c r="G729" i="19"/>
  <c r="G734" i="19"/>
  <c r="G733" i="19"/>
  <c r="G728" i="19"/>
  <c r="G722" i="19"/>
  <c r="G724" i="19"/>
  <c r="G725" i="19"/>
  <c r="G719" i="19"/>
  <c r="G720" i="19"/>
  <c r="G715" i="19"/>
  <c r="G714" i="19"/>
  <c r="G716" i="19"/>
  <c r="G717" i="19"/>
  <c r="G710" i="19"/>
  <c r="G707" i="19"/>
  <c r="G712" i="19"/>
  <c r="G711" i="19"/>
  <c r="G708" i="19"/>
  <c r="G709" i="19"/>
  <c r="G703" i="19"/>
  <c r="G702" i="19"/>
  <c r="G704" i="19"/>
  <c r="G705" i="19"/>
  <c r="G688" i="19"/>
  <c r="G698" i="19"/>
  <c r="G694" i="19"/>
  <c r="G690" i="19"/>
  <c r="G693" i="19"/>
  <c r="G699" i="19"/>
  <c r="G700" i="19"/>
  <c r="G697" i="19"/>
  <c r="G692" i="19"/>
  <c r="G691" i="19"/>
  <c r="G696" i="19"/>
  <c r="G695" i="19"/>
  <c r="G684" i="19"/>
  <c r="G685" i="19"/>
  <c r="G686" i="19"/>
  <c r="G683" i="19"/>
  <c r="G677" i="19"/>
  <c r="G679" i="19"/>
  <c r="G680" i="19"/>
  <c r="G681" i="19"/>
  <c r="G673" i="19"/>
  <c r="G670" i="19"/>
  <c r="G675" i="19"/>
  <c r="G671" i="19"/>
  <c r="G672" i="19"/>
  <c r="G674" i="19"/>
  <c r="G666" i="19"/>
  <c r="G667" i="19"/>
  <c r="G665" i="19"/>
  <c r="G664" i="19"/>
  <c r="G668" i="19"/>
  <c r="G655" i="19"/>
  <c r="G660" i="19"/>
  <c r="G659" i="19"/>
  <c r="G662" i="19"/>
  <c r="G657" i="19"/>
  <c r="G661" i="19"/>
  <c r="G658" i="19"/>
  <c r="G651" i="19"/>
  <c r="G647" i="19"/>
  <c r="G650" i="19"/>
  <c r="G653" i="19"/>
  <c r="G648" i="19"/>
  <c r="G649" i="19"/>
  <c r="G652" i="19"/>
  <c r="G643" i="19"/>
  <c r="G642" i="19"/>
  <c r="G645" i="19"/>
  <c r="G640" i="19"/>
  <c r="G644" i="19"/>
  <c r="G641" i="19"/>
  <c r="G636" i="19"/>
  <c r="G632" i="19"/>
  <c r="G635" i="19"/>
  <c r="G638" i="19"/>
  <c r="G633" i="19"/>
  <c r="G634" i="19"/>
  <c r="G637" i="19"/>
  <c r="G628" i="19"/>
  <c r="G629" i="19"/>
  <c r="G630" i="19"/>
  <c r="G624" i="19"/>
  <c r="G625" i="19"/>
  <c r="G626" i="19"/>
  <c r="G620" i="19"/>
  <c r="G619" i="19"/>
  <c r="G622" i="19"/>
  <c r="G617" i="19"/>
  <c r="G621" i="19"/>
  <c r="G618" i="19"/>
  <c r="G613" i="19"/>
  <c r="G609" i="19"/>
  <c r="G612" i="19"/>
  <c r="G615" i="19"/>
  <c r="G610" i="19"/>
  <c r="G614" i="19"/>
  <c r="G611" i="19"/>
  <c r="G605" i="19"/>
  <c r="G606" i="19"/>
  <c r="G604" i="19"/>
  <c r="G603" i="19"/>
  <c r="G607" i="19"/>
  <c r="G600" i="19"/>
  <c r="G601" i="19"/>
  <c r="G593" i="19"/>
  <c r="G596" i="19"/>
  <c r="G597" i="19"/>
  <c r="G595" i="19"/>
  <c r="G598" i="19"/>
  <c r="G589" i="19"/>
  <c r="G590" i="19"/>
  <c r="G591" i="19"/>
  <c r="G585" i="19"/>
  <c r="G587" i="19"/>
  <c r="G586" i="19"/>
  <c r="G581" i="19"/>
  <c r="G583" i="19"/>
  <c r="G582" i="19"/>
  <c r="G575" i="19"/>
  <c r="G577" i="19"/>
  <c r="G578" i="19"/>
  <c r="G579" i="19"/>
  <c r="G569" i="19"/>
  <c r="G571" i="19"/>
  <c r="G572" i="19"/>
  <c r="G573" i="19"/>
  <c r="G565" i="19"/>
  <c r="G564" i="19"/>
  <c r="G566" i="19"/>
  <c r="G563" i="19"/>
  <c r="G567" i="19"/>
  <c r="G559" i="19"/>
  <c r="G561" i="19"/>
  <c r="G560" i="19"/>
  <c r="G555" i="19"/>
  <c r="G554" i="19"/>
  <c r="G556" i="19"/>
  <c r="G557" i="19"/>
  <c r="G550" i="19"/>
  <c r="G546" i="19"/>
  <c r="G547" i="19"/>
  <c r="G549" i="19"/>
  <c r="G552" i="19"/>
  <c r="G551" i="19"/>
  <c r="G548" i="19"/>
  <c r="G542" i="19"/>
  <c r="G538" i="19"/>
  <c r="G537" i="19"/>
  <c r="G540" i="19"/>
  <c r="G541" i="19"/>
  <c r="G544" i="19"/>
  <c r="G539" i="19"/>
  <c r="G543" i="19"/>
  <c r="G533" i="19"/>
  <c r="G529" i="19"/>
  <c r="G528" i="19"/>
  <c r="G531" i="19"/>
  <c r="G530" i="19"/>
  <c r="G535" i="19"/>
  <c r="G534" i="19"/>
  <c r="G532" i="19"/>
  <c r="G520" i="19"/>
  <c r="G524" i="19"/>
  <c r="G519" i="19"/>
  <c r="G518" i="19"/>
  <c r="G521" i="19"/>
  <c r="G522" i="19"/>
  <c r="G525" i="19"/>
  <c r="G526" i="19"/>
  <c r="G523" i="19"/>
  <c r="G510" i="19"/>
  <c r="G514" i="19"/>
  <c r="G509" i="19"/>
  <c r="G515" i="19"/>
  <c r="G507" i="19"/>
  <c r="G512" i="19"/>
  <c r="G511" i="19"/>
  <c r="G513" i="19"/>
  <c r="G508" i="19"/>
  <c r="G516" i="19"/>
  <c r="G503" i="19"/>
  <c r="G499" i="19"/>
  <c r="G502" i="19"/>
  <c r="G498" i="19"/>
  <c r="G496" i="19"/>
  <c r="G497" i="19"/>
  <c r="G505" i="19"/>
  <c r="G500" i="19"/>
  <c r="G501" i="19"/>
  <c r="G504" i="19"/>
  <c r="G492" i="19"/>
  <c r="G493" i="19"/>
  <c r="G494" i="19"/>
  <c r="G488" i="19"/>
  <c r="G487" i="19"/>
  <c r="G489" i="19"/>
  <c r="G490" i="19"/>
  <c r="G484" i="19"/>
  <c r="G485" i="19"/>
  <c r="G482" i="19"/>
  <c r="G480" i="19"/>
  <c r="G481" i="19"/>
  <c r="G477" i="19"/>
  <c r="G478" i="19"/>
  <c r="G473" i="19"/>
  <c r="G474" i="19"/>
  <c r="G472" i="19"/>
  <c r="G475" i="19"/>
  <c r="G467" i="19"/>
  <c r="G469" i="19"/>
  <c r="G470" i="19"/>
  <c r="G468" i="19"/>
  <c r="G464" i="19"/>
  <c r="G465" i="19"/>
  <c r="G463" i="19"/>
  <c r="G461" i="19"/>
  <c r="G460" i="19"/>
  <c r="G456" i="19"/>
  <c r="G458" i="19"/>
  <c r="G457" i="19"/>
  <c r="G453" i="19"/>
  <c r="G454" i="19"/>
  <c r="G446" i="19"/>
  <c r="G449" i="19"/>
  <c r="G451" i="19"/>
  <c r="G448" i="19"/>
  <c r="G450" i="19"/>
  <c r="G442" i="19"/>
  <c r="G441" i="19"/>
  <c r="G443" i="19"/>
  <c r="G444" i="19"/>
  <c r="G437" i="19"/>
  <c r="G438" i="19"/>
  <c r="G439" i="19"/>
  <c r="G433" i="19"/>
  <c r="G432" i="19"/>
  <c r="G435" i="19"/>
  <c r="G430" i="19"/>
  <c r="G434" i="19"/>
  <c r="G431" i="19"/>
  <c r="G426" i="19"/>
  <c r="G427" i="19"/>
  <c r="G428" i="19"/>
  <c r="G421" i="19"/>
  <c r="G416" i="19"/>
  <c r="G415" i="19"/>
  <c r="G423" i="19"/>
  <c r="G419" i="19"/>
  <c r="G424" i="19"/>
  <c r="G420" i="19"/>
  <c r="G418" i="19"/>
  <c r="G417" i="19"/>
  <c r="G422" i="19"/>
  <c r="G412" i="19"/>
  <c r="G413" i="19"/>
  <c r="G409" i="19"/>
  <c r="G407" i="19"/>
  <c r="G410" i="19"/>
  <c r="G408" i="19"/>
  <c r="G402" i="19"/>
  <c r="G401" i="19"/>
  <c r="G403" i="19"/>
  <c r="G405" i="19"/>
  <c r="G400" i="19"/>
  <c r="G398" i="19"/>
  <c r="G404" i="19"/>
  <c r="G399" i="19"/>
  <c r="G395" i="19"/>
  <c r="G396" i="19"/>
  <c r="G391" i="19"/>
  <c r="G393" i="19"/>
  <c r="G387" i="19"/>
  <c r="G389" i="19"/>
  <c r="G382" i="19"/>
  <c r="G383" i="19"/>
  <c r="G384" i="19"/>
  <c r="G385" i="19"/>
  <c r="G379" i="19"/>
  <c r="G380" i="19"/>
  <c r="G364" i="19"/>
  <c r="G368" i="19"/>
  <c r="G367" i="19"/>
  <c r="G365" i="19"/>
  <c r="G366" i="19"/>
  <c r="G375" i="19"/>
  <c r="G369" i="19"/>
  <c r="G370" i="19"/>
  <c r="G372" i="19"/>
  <c r="G373" i="19"/>
  <c r="G374" i="19"/>
  <c r="G376" i="19"/>
  <c r="G377" i="19"/>
  <c r="G371" i="19"/>
  <c r="G361" i="19"/>
  <c r="G362" i="19"/>
  <c r="G360" i="19"/>
  <c r="G357" i="19"/>
  <c r="G358" i="19"/>
  <c r="G359" i="19"/>
  <c r="G353" i="19"/>
  <c r="G356" i="19"/>
  <c r="G354" i="19"/>
  <c r="G355" i="19"/>
  <c r="G350" i="19"/>
  <c r="G351" i="19"/>
  <c r="G352" i="19"/>
  <c r="G349" i="19"/>
  <c r="G345" i="19"/>
  <c r="G347" i="19"/>
  <c r="G346" i="19"/>
  <c r="G348" i="19"/>
  <c r="G341" i="19"/>
  <c r="G342" i="19"/>
  <c r="G343" i="19"/>
  <c r="G344" i="19"/>
  <c r="G337" i="19"/>
  <c r="G339" i="19"/>
  <c r="G340" i="19"/>
  <c r="G338" i="19"/>
  <c r="G333" i="19"/>
  <c r="G335" i="19"/>
  <c r="G332" i="19"/>
  <c r="G331" i="19"/>
  <c r="G334" i="19"/>
  <c r="G326" i="19"/>
  <c r="G317" i="19"/>
  <c r="G323" i="19"/>
  <c r="G320" i="19"/>
  <c r="G321" i="19"/>
  <c r="G327" i="19"/>
  <c r="G324" i="19"/>
  <c r="G318" i="19"/>
  <c r="G325" i="19"/>
  <c r="G328" i="19"/>
  <c r="G319" i="19"/>
  <c r="G322" i="19"/>
  <c r="G329" i="19"/>
  <c r="G303" i="19"/>
  <c r="G305" i="19"/>
  <c r="G315" i="19"/>
  <c r="G302" i="19"/>
  <c r="G312" i="19"/>
  <c r="G314" i="19"/>
  <c r="G311" i="19"/>
  <c r="G309" i="19"/>
  <c r="G300" i="19"/>
  <c r="G306" i="19"/>
  <c r="G307" i="19"/>
  <c r="G308" i="19"/>
  <c r="G313" i="19"/>
  <c r="G304" i="19"/>
  <c r="G310" i="19"/>
  <c r="G301" i="19"/>
  <c r="G282" i="19"/>
  <c r="G295" i="19"/>
  <c r="G289" i="19"/>
  <c r="G298" i="19"/>
  <c r="G292" i="19"/>
  <c r="G294" i="19"/>
  <c r="G297" i="19"/>
  <c r="G287" i="19"/>
  <c r="G296" i="19"/>
  <c r="G288" i="19"/>
  <c r="G290" i="19"/>
  <c r="G291" i="19"/>
  <c r="G293" i="19"/>
  <c r="G270" i="19"/>
  <c r="G278" i="19"/>
  <c r="G274" i="19"/>
  <c r="G266" i="19"/>
  <c r="G269" i="19"/>
  <c r="G275" i="19"/>
  <c r="G268" i="19"/>
  <c r="G277" i="19"/>
  <c r="G273" i="19"/>
  <c r="G279" i="19"/>
  <c r="G272" i="19"/>
  <c r="G280" i="19"/>
  <c r="G267" i="19"/>
  <c r="G265" i="19"/>
  <c r="G276" i="19"/>
  <c r="G271" i="19"/>
  <c r="G260" i="19"/>
  <c r="G256" i="19"/>
  <c r="G261" i="19"/>
  <c r="G257" i="19"/>
  <c r="G259" i="19"/>
  <c r="G258" i="19"/>
  <c r="G263" i="19"/>
  <c r="G262" i="19"/>
  <c r="G251" i="19"/>
  <c r="G254" i="19"/>
  <c r="G252" i="19"/>
  <c r="G253" i="19"/>
  <c r="G236" i="19"/>
  <c r="G231" i="19"/>
  <c r="G225" i="19"/>
  <c r="G220" i="19"/>
  <c r="G216" i="19"/>
  <c r="G211" i="19"/>
  <c r="G206" i="19"/>
  <c r="G201" i="19"/>
  <c r="G196" i="19"/>
  <c r="G191" i="19"/>
  <c r="G187" i="19"/>
  <c r="G183" i="19"/>
  <c r="G178" i="19"/>
  <c r="G174" i="19"/>
  <c r="G170" i="19"/>
  <c r="G164" i="19"/>
  <c r="G160" i="19"/>
  <c r="G155" i="19"/>
  <c r="G151" i="19"/>
  <c r="G146" i="19"/>
  <c r="G142" i="19"/>
  <c r="G138" i="19"/>
  <c r="G133" i="19"/>
  <c r="G129" i="19"/>
  <c r="G124" i="19"/>
  <c r="G120" i="19"/>
  <c r="G115" i="19"/>
  <c r="G111" i="19"/>
  <c r="G107" i="19"/>
  <c r="G103" i="19"/>
  <c r="G99" i="19"/>
  <c r="G238" i="19"/>
  <c r="G233" i="19"/>
  <c r="G227" i="19"/>
  <c r="G221" i="19"/>
  <c r="G217" i="19"/>
  <c r="G212" i="19"/>
  <c r="G208" i="19"/>
  <c r="G202" i="19"/>
  <c r="G197" i="19"/>
  <c r="G192" i="19"/>
  <c r="G188" i="19"/>
  <c r="G184" i="19"/>
  <c r="G179" i="19"/>
  <c r="G175" i="19"/>
  <c r="G171" i="19"/>
  <c r="G166" i="19"/>
  <c r="G161" i="19"/>
  <c r="G156" i="19"/>
  <c r="G152" i="19"/>
  <c r="G148" i="19"/>
  <c r="G143" i="19"/>
  <c r="G139" i="19"/>
  <c r="G134" i="19"/>
  <c r="G130" i="19"/>
  <c r="G125" i="19"/>
  <c r="G121" i="19"/>
  <c r="G116" i="19"/>
  <c r="G112" i="19"/>
  <c r="G108" i="19"/>
  <c r="G104" i="19"/>
  <c r="G100" i="19"/>
  <c r="G242" i="19"/>
  <c r="G235" i="19"/>
  <c r="G230" i="19"/>
  <c r="G224" i="19"/>
  <c r="G219" i="19"/>
  <c r="G214" i="19"/>
  <c r="G210" i="19"/>
  <c r="G205" i="19"/>
  <c r="G200" i="19"/>
  <c r="G195" i="19"/>
  <c r="G190" i="19"/>
  <c r="G186" i="19"/>
  <c r="G182" i="19"/>
  <c r="G177" i="19"/>
  <c r="G173" i="19"/>
  <c r="G169" i="19"/>
  <c r="G163" i="19"/>
  <c r="G159" i="19"/>
  <c r="G154" i="19"/>
  <c r="G150" i="19"/>
  <c r="G245" i="19"/>
  <c r="G240" i="19"/>
  <c r="G234" i="19"/>
  <c r="G229" i="19"/>
  <c r="G223" i="19"/>
  <c r="G218" i="19"/>
  <c r="G213" i="19"/>
  <c r="G209" i="19"/>
  <c r="G203" i="19"/>
  <c r="G198" i="19"/>
  <c r="G194" i="19"/>
  <c r="G189" i="19"/>
  <c r="G185" i="19"/>
  <c r="G181" i="19"/>
  <c r="G176" i="19"/>
  <c r="G172" i="19"/>
  <c r="G167" i="19"/>
  <c r="G162" i="19"/>
  <c r="G157" i="19"/>
  <c r="G153" i="19"/>
  <c r="G149" i="19"/>
  <c r="G144" i="19"/>
  <c r="G140" i="19"/>
  <c r="G135" i="19"/>
  <c r="G131" i="19"/>
  <c r="G126" i="19"/>
  <c r="G122" i="19"/>
  <c r="G117" i="19"/>
  <c r="G113" i="19"/>
  <c r="G109" i="19"/>
  <c r="G105" i="19"/>
  <c r="G101" i="19"/>
  <c r="G97" i="19"/>
  <c r="G247" i="19"/>
  <c r="G141" i="19"/>
  <c r="G123" i="19"/>
  <c r="G145" i="19"/>
  <c r="G136" i="19"/>
  <c r="G127" i="19"/>
  <c r="G119" i="19"/>
  <c r="G110" i="19"/>
  <c r="G102" i="19"/>
  <c r="G114" i="19"/>
  <c r="G106" i="19"/>
  <c r="G98" i="19"/>
  <c r="G132" i="19"/>
  <c r="G249" i="19"/>
  <c r="G246" i="19"/>
  <c r="G244" i="19"/>
  <c r="G248" i="19"/>
  <c r="G95" i="19"/>
  <c r="G91" i="19"/>
  <c r="G93" i="19"/>
  <c r="G89" i="19"/>
  <c r="G92" i="19"/>
  <c r="G90" i="19"/>
  <c r="G94" i="19"/>
  <c r="G84" i="19"/>
  <c r="G82" i="19"/>
  <c r="G79" i="19"/>
  <c r="G86" i="19"/>
  <c r="G87" i="19"/>
  <c r="G83" i="19"/>
  <c r="G81" i="19"/>
  <c r="G80" i="19"/>
  <c r="G85" i="19"/>
  <c r="G75" i="19"/>
  <c r="G76" i="19"/>
  <c r="G77" i="19"/>
  <c r="G70" i="19"/>
  <c r="G73" i="19"/>
  <c r="G72" i="19"/>
  <c r="G71" i="19"/>
  <c r="G67" i="19"/>
  <c r="G63" i="19"/>
  <c r="G59" i="19"/>
  <c r="G60" i="19"/>
  <c r="G68" i="19"/>
  <c r="G64" i="19"/>
  <c r="G57" i="19"/>
  <c r="G58" i="19"/>
  <c r="G61" i="19"/>
  <c r="G62" i="19"/>
  <c r="G65" i="19"/>
  <c r="G66" i="19"/>
  <c r="G55" i="19"/>
  <c r="G51" i="19"/>
  <c r="G39" i="19"/>
  <c r="G35" i="19"/>
  <c r="G52" i="19"/>
  <c r="G48" i="19"/>
  <c r="G44" i="19"/>
  <c r="G40" i="19"/>
  <c r="G36" i="19"/>
  <c r="G32" i="19"/>
  <c r="G28" i="19"/>
  <c r="G24" i="19"/>
  <c r="G47" i="19"/>
  <c r="G43" i="19"/>
  <c r="G23" i="19"/>
  <c r="G31" i="19"/>
  <c r="G27" i="19"/>
  <c r="G25" i="19"/>
  <c r="G49" i="19"/>
  <c r="G38" i="19"/>
  <c r="G29" i="19"/>
  <c r="G33" i="19"/>
  <c r="G26" i="19"/>
  <c r="G42" i="19"/>
  <c r="G41" i="19"/>
  <c r="G37" i="19"/>
  <c r="G30" i="19"/>
  <c r="G50" i="19"/>
  <c r="G53" i="19"/>
  <c r="G45" i="19"/>
  <c r="G34" i="19"/>
  <c r="G54" i="19"/>
  <c r="G46" i="19"/>
  <c r="I5" i="35"/>
  <c r="K58" i="17"/>
  <c r="L58" i="17" s="1"/>
  <c r="J59" i="17"/>
  <c r="G22" i="19"/>
  <c r="AG283" i="19" l="1"/>
  <c r="K68" i="56"/>
  <c r="L68" i="56" s="1"/>
  <c r="J69" i="56"/>
  <c r="AF1160" i="19"/>
  <c r="AF1163" i="19"/>
  <c r="AF1161" i="19"/>
  <c r="AF1167" i="19"/>
  <c r="AF1172" i="19"/>
  <c r="AF1175" i="19"/>
  <c r="AF1173" i="19"/>
  <c r="AF1148" i="19"/>
  <c r="AF1184" i="19"/>
  <c r="AF1187" i="19"/>
  <c r="AF1185" i="19"/>
  <c r="AF1182" i="19"/>
  <c r="AF1142" i="19"/>
  <c r="AF1158" i="19"/>
  <c r="AF1174" i="19"/>
  <c r="AF1144" i="19"/>
  <c r="AF1147" i="19"/>
  <c r="AF1137" i="19"/>
  <c r="AF1135" i="19"/>
  <c r="AF1156" i="19"/>
  <c r="AF1159" i="19"/>
  <c r="AF1157" i="19"/>
  <c r="AF1183" i="19"/>
  <c r="AF1168" i="19"/>
  <c r="AF1171" i="19"/>
  <c r="AF1169" i="19"/>
  <c r="AF1130" i="19"/>
  <c r="AF1146" i="19"/>
  <c r="AF1162" i="19"/>
  <c r="AF1178" i="19"/>
  <c r="AF1165" i="19"/>
  <c r="AF1128" i="19"/>
  <c r="AF1131" i="19"/>
  <c r="AF1164" i="19"/>
  <c r="AF1141" i="19"/>
  <c r="AF1140" i="19"/>
  <c r="AF1143" i="19"/>
  <c r="AF1133" i="19"/>
  <c r="AF1151" i="19"/>
  <c r="AF1152" i="19"/>
  <c r="AF1155" i="19"/>
  <c r="AF1149" i="19"/>
  <c r="AF1134" i="19"/>
  <c r="AF1150" i="19"/>
  <c r="AF1166" i="19"/>
  <c r="AF1186" i="19"/>
  <c r="AF1176" i="19"/>
  <c r="AF1179" i="19"/>
  <c r="AF1177" i="19"/>
  <c r="AF1132" i="19"/>
  <c r="AF1188" i="19"/>
  <c r="AF1145" i="19"/>
  <c r="AF1153" i="19"/>
  <c r="AF1180" i="19"/>
  <c r="AF1181" i="19"/>
  <c r="AF1136" i="19"/>
  <c r="AF1139" i="19"/>
  <c r="AF1129" i="19"/>
  <c r="AF1138" i="19"/>
  <c r="AF1154" i="19"/>
  <c r="AF1170" i="19"/>
  <c r="AF1126" i="19"/>
  <c r="AF1124" i="19"/>
  <c r="AF1123" i="19"/>
  <c r="AF1121" i="19"/>
  <c r="AF1119" i="19"/>
  <c r="AF1117" i="19"/>
  <c r="AF1115" i="19"/>
  <c r="AF1113" i="19"/>
  <c r="AF1111" i="19"/>
  <c r="AF1109" i="19"/>
  <c r="AF1107" i="19"/>
  <c r="AF1105" i="19"/>
  <c r="AF1104" i="19"/>
  <c r="AF1102" i="19"/>
  <c r="AF1100" i="19"/>
  <c r="AF1098" i="19"/>
  <c r="AF1096" i="19"/>
  <c r="AF1095" i="19"/>
  <c r="AF1093" i="19"/>
  <c r="AF1091" i="19"/>
  <c r="AF1090" i="19"/>
  <c r="AF1088" i="19"/>
  <c r="AF1086" i="19"/>
  <c r="AF1084" i="19"/>
  <c r="AF1082" i="19"/>
  <c r="AF1080" i="19"/>
  <c r="AF1079" i="19"/>
  <c r="AF1077" i="19"/>
  <c r="AF1075" i="19"/>
  <c r="AF1069" i="19"/>
  <c r="AF1072" i="19"/>
  <c r="AF1070" i="19"/>
  <c r="AF1068" i="19"/>
  <c r="AF1071" i="19"/>
  <c r="AF1064" i="19"/>
  <c r="AF1066" i="19"/>
  <c r="AF1065" i="19"/>
  <c r="AF1063" i="19"/>
  <c r="AF1061" i="19"/>
  <c r="AF1059" i="19"/>
  <c r="AF1057" i="19"/>
  <c r="AF1060" i="19"/>
  <c r="AF1058" i="19"/>
  <c r="AF1054" i="19"/>
  <c r="AF1052" i="19"/>
  <c r="AF1053" i="19"/>
  <c r="AF1055" i="19"/>
  <c r="AF1050" i="19"/>
  <c r="AF1047" i="19"/>
  <c r="AF1045" i="19"/>
  <c r="AF1046" i="19"/>
  <c r="AF1048" i="19"/>
  <c r="AF1038" i="19"/>
  <c r="AF1034" i="19"/>
  <c r="AF1030" i="19"/>
  <c r="AF1033" i="19"/>
  <c r="AF1036" i="19"/>
  <c r="AF1032" i="19"/>
  <c r="AF1028" i="19"/>
  <c r="AF1037" i="19"/>
  <c r="AF1040" i="19"/>
  <c r="AF1043" i="19"/>
  <c r="AF1042" i="19"/>
  <c r="AF1029" i="19"/>
  <c r="AF1039" i="19"/>
  <c r="AF1035" i="19"/>
  <c r="AF1031" i="19"/>
  <c r="AF1041" i="19"/>
  <c r="AF1026" i="19"/>
  <c r="AF1024" i="19"/>
  <c r="AF1022" i="19"/>
  <c r="AF1020" i="19"/>
  <c r="AF1023" i="19"/>
  <c r="AF1021" i="19"/>
  <c r="AF1018" i="19"/>
  <c r="AF1012" i="19"/>
  <c r="AF1015" i="19"/>
  <c r="AF1013" i="19"/>
  <c r="AF1016" i="19"/>
  <c r="AF1014" i="19"/>
  <c r="AF1010" i="19"/>
  <c r="AF1009" i="19"/>
  <c r="AF1008" i="19"/>
  <c r="AF997" i="19"/>
  <c r="AF990" i="19"/>
  <c r="AF1002" i="19"/>
  <c r="AF1000" i="19"/>
  <c r="AF999" i="19"/>
  <c r="AF993" i="19"/>
  <c r="AF1005" i="19"/>
  <c r="AF992" i="19"/>
  <c r="AF1003" i="19"/>
  <c r="AF998" i="19"/>
  <c r="AF995" i="19"/>
  <c r="AF989" i="19"/>
  <c r="AF996" i="19"/>
  <c r="AF994" i="19"/>
  <c r="AF1006" i="19"/>
  <c r="AF1001" i="19"/>
  <c r="AF991" i="19"/>
  <c r="AF1004" i="19"/>
  <c r="AF984" i="19"/>
  <c r="AF987" i="19"/>
  <c r="AF978" i="19"/>
  <c r="AF985" i="19"/>
  <c r="AF975" i="19"/>
  <c r="AF986" i="19"/>
  <c r="AF982" i="19"/>
  <c r="AF980" i="19"/>
  <c r="AF976" i="19"/>
  <c r="AF977" i="19"/>
  <c r="AF979" i="19"/>
  <c r="AF983" i="19"/>
  <c r="AF981" i="19"/>
  <c r="AF973" i="19"/>
  <c r="AF971" i="19"/>
  <c r="AF970" i="19"/>
  <c r="AF968" i="19"/>
  <c r="AF962" i="19"/>
  <c r="AF967" i="19"/>
  <c r="AF964" i="19"/>
  <c r="AF965" i="19"/>
  <c r="AF966" i="19"/>
  <c r="AF963" i="19"/>
  <c r="AF961" i="19"/>
  <c r="AF959" i="19"/>
  <c r="AF958" i="19"/>
  <c r="AF956" i="19"/>
  <c r="AF955" i="19"/>
  <c r="AF954" i="19"/>
  <c r="AF950" i="19"/>
  <c r="AF952" i="19"/>
  <c r="AF951" i="19"/>
  <c r="AF948" i="19"/>
  <c r="AF947" i="19"/>
  <c r="AF945" i="19"/>
  <c r="AF941" i="19"/>
  <c r="AF939" i="19"/>
  <c r="AF944" i="19"/>
  <c r="AF938" i="19"/>
  <c r="AF940" i="19"/>
  <c r="AF943" i="19"/>
  <c r="AF935" i="19"/>
  <c r="AF932" i="19"/>
  <c r="AF931" i="19"/>
  <c r="AF929" i="19"/>
  <c r="AF936" i="19"/>
  <c r="AF930" i="19"/>
  <c r="AF933" i="19"/>
  <c r="AF934" i="19"/>
  <c r="AF927" i="19"/>
  <c r="AF924" i="19"/>
  <c r="AF925" i="19"/>
  <c r="AF922" i="19"/>
  <c r="AF919" i="19"/>
  <c r="AF920" i="19"/>
  <c r="AF917" i="19"/>
  <c r="AF916" i="19"/>
  <c r="AF914" i="19"/>
  <c r="AF912" i="19"/>
  <c r="AF910" i="19"/>
  <c r="AF908" i="19"/>
  <c r="AF901" i="19"/>
  <c r="AF900" i="19"/>
  <c r="AF903" i="19"/>
  <c r="AF902" i="19"/>
  <c r="AF905" i="19"/>
  <c r="AF904" i="19"/>
  <c r="AF898" i="19"/>
  <c r="AF894" i="19"/>
  <c r="AF895" i="19"/>
  <c r="AF897" i="19"/>
  <c r="AF896" i="19"/>
  <c r="AF893" i="19"/>
  <c r="AF887" i="19"/>
  <c r="AF889" i="19"/>
  <c r="AF891" i="19"/>
  <c r="AF890" i="19"/>
  <c r="AF888" i="19"/>
  <c r="AF886" i="19"/>
  <c r="AF885" i="19"/>
  <c r="AF879" i="19"/>
  <c r="AF877" i="19"/>
  <c r="AF880" i="19"/>
  <c r="AF881" i="19"/>
  <c r="AF883" i="19"/>
  <c r="AF882" i="19"/>
  <c r="AF878" i="19"/>
  <c r="AF875" i="19"/>
  <c r="AF870" i="19"/>
  <c r="AF872" i="19"/>
  <c r="AF865" i="19"/>
  <c r="AF871" i="19"/>
  <c r="AF869" i="19"/>
  <c r="AF866" i="19"/>
  <c r="AF874" i="19"/>
  <c r="AF873" i="19"/>
  <c r="AF867" i="19"/>
  <c r="AF868" i="19"/>
  <c r="AF855" i="19"/>
  <c r="AF854" i="19"/>
  <c r="AF858" i="19"/>
  <c r="AF856" i="19"/>
  <c r="AF853" i="19"/>
  <c r="AF859" i="19"/>
  <c r="AF863" i="19"/>
  <c r="AF857" i="19"/>
  <c r="AF860" i="19"/>
  <c r="AF862" i="19"/>
  <c r="AF861" i="19"/>
  <c r="AF850" i="19"/>
  <c r="AF851" i="19"/>
  <c r="AF848" i="19"/>
  <c r="AF847" i="19"/>
  <c r="AF845" i="19"/>
  <c r="AF844" i="19"/>
  <c r="AF842" i="19"/>
  <c r="AF841" i="19"/>
  <c r="AF839" i="19"/>
  <c r="AF838" i="19"/>
  <c r="AF836" i="19"/>
  <c r="AF833" i="19"/>
  <c r="AF834" i="19"/>
  <c r="AF831" i="19"/>
  <c r="AF829" i="19"/>
  <c r="AF828" i="19"/>
  <c r="AF826" i="19"/>
  <c r="AF824" i="19"/>
  <c r="AF822" i="19"/>
  <c r="AF820" i="19"/>
  <c r="AF817" i="19"/>
  <c r="AF815" i="19"/>
  <c r="AF813" i="19"/>
  <c r="AF811" i="19"/>
  <c r="AF807" i="19"/>
  <c r="AF809" i="19"/>
  <c r="AF808" i="19"/>
  <c r="AF806" i="19"/>
  <c r="AF804" i="19"/>
  <c r="AF801" i="19"/>
  <c r="AF803" i="19"/>
  <c r="AF802" i="19"/>
  <c r="AF799" i="19"/>
  <c r="AF797" i="19"/>
  <c r="AF796" i="19"/>
  <c r="AF793" i="19"/>
  <c r="AF794" i="19"/>
  <c r="AF791" i="19"/>
  <c r="AF789" i="19"/>
  <c r="AF788" i="19"/>
  <c r="AF787" i="19"/>
  <c r="AF785" i="19"/>
  <c r="AF784" i="19"/>
  <c r="AF773" i="19"/>
  <c r="AF778" i="19"/>
  <c r="AF774" i="19"/>
  <c r="AF780" i="19"/>
  <c r="AF782" i="19"/>
  <c r="AF781" i="19"/>
  <c r="AF777" i="19"/>
  <c r="AF776" i="19"/>
  <c r="AF775" i="19"/>
  <c r="AF771" i="19"/>
  <c r="AF779" i="19"/>
  <c r="AF769" i="19"/>
  <c r="AF770" i="19"/>
  <c r="AF772" i="19"/>
  <c r="AF758" i="19"/>
  <c r="AF751" i="19"/>
  <c r="AF763" i="19"/>
  <c r="AF753" i="19"/>
  <c r="AF760" i="19"/>
  <c r="AF754" i="19"/>
  <c r="AF766" i="19"/>
  <c r="AF757" i="19"/>
  <c r="AF764" i="19"/>
  <c r="AF759" i="19"/>
  <c r="AF756" i="19"/>
  <c r="AF750" i="19"/>
  <c r="AF761" i="19"/>
  <c r="AF755" i="19"/>
  <c r="AF767" i="19"/>
  <c r="AF762" i="19"/>
  <c r="AF752" i="19"/>
  <c r="AF765" i="19"/>
  <c r="AF748" i="19"/>
  <c r="AF740" i="19"/>
  <c r="AF742" i="19"/>
  <c r="AF743" i="19"/>
  <c r="AF745" i="19"/>
  <c r="AF746" i="19"/>
  <c r="AF744" i="19"/>
  <c r="AF747" i="19"/>
  <c r="AF739" i="19"/>
  <c r="AF741" i="19"/>
  <c r="AF729" i="19"/>
  <c r="AF736" i="19"/>
  <c r="AF728" i="19"/>
  <c r="AF730" i="19"/>
  <c r="AF727" i="19"/>
  <c r="AF733" i="19"/>
  <c r="AF737" i="19"/>
  <c r="AF731" i="19"/>
  <c r="AF734" i="19"/>
  <c r="AF732" i="19"/>
  <c r="AF735" i="19"/>
  <c r="AF725" i="19"/>
  <c r="AF724" i="19"/>
  <c r="AF722" i="19"/>
  <c r="AF720" i="19"/>
  <c r="AF719" i="19"/>
  <c r="AF717" i="19"/>
  <c r="AF716" i="19"/>
  <c r="AF714" i="19"/>
  <c r="AF715" i="19"/>
  <c r="AF711" i="19"/>
  <c r="AF712" i="19"/>
  <c r="AF709" i="19"/>
  <c r="AF707" i="19"/>
  <c r="AF708" i="19"/>
  <c r="AF710" i="19"/>
  <c r="AF702" i="19"/>
  <c r="AF703" i="19"/>
  <c r="AF705" i="19"/>
  <c r="AF704" i="19"/>
  <c r="AF691" i="19"/>
  <c r="AF699" i="19"/>
  <c r="AF698" i="19"/>
  <c r="AF692" i="19"/>
  <c r="AF693" i="19"/>
  <c r="AF695" i="19"/>
  <c r="AF697" i="19"/>
  <c r="AF690" i="19"/>
  <c r="AF696" i="19"/>
  <c r="AF700" i="19"/>
  <c r="AF694" i="19"/>
  <c r="AF688" i="19"/>
  <c r="AF685" i="19"/>
  <c r="AF684" i="19"/>
  <c r="AF683" i="19"/>
  <c r="AF686" i="19"/>
  <c r="AF679" i="19"/>
  <c r="AF681" i="19"/>
  <c r="AF680" i="19"/>
  <c r="AF677" i="19"/>
  <c r="AF674" i="19"/>
  <c r="AF670" i="19"/>
  <c r="AF672" i="19"/>
  <c r="AF673" i="19"/>
  <c r="AF671" i="19"/>
  <c r="AF675" i="19"/>
  <c r="AF664" i="19"/>
  <c r="AF665" i="19"/>
  <c r="AF667" i="19"/>
  <c r="AF668" i="19"/>
  <c r="AF666" i="19"/>
  <c r="AF658" i="19"/>
  <c r="AF659" i="19"/>
  <c r="AF661" i="19"/>
  <c r="AF660" i="19"/>
  <c r="AF657" i="19"/>
  <c r="AF662" i="19"/>
  <c r="AF655" i="19"/>
  <c r="AF653" i="19"/>
  <c r="AF652" i="19"/>
  <c r="AF650" i="19"/>
  <c r="AF649" i="19"/>
  <c r="AF647" i="19"/>
  <c r="AF648" i="19"/>
  <c r="AF651" i="19"/>
  <c r="AF644" i="19"/>
  <c r="AF643" i="19"/>
  <c r="AF640" i="19"/>
  <c r="AF645" i="19"/>
  <c r="AF641" i="19"/>
  <c r="AF642" i="19"/>
  <c r="AF637" i="19"/>
  <c r="AF634" i="19"/>
  <c r="AF632" i="19"/>
  <c r="AF635" i="19"/>
  <c r="AF633" i="19"/>
  <c r="AF636" i="19"/>
  <c r="AF638" i="19"/>
  <c r="AF630" i="19"/>
  <c r="AF629" i="19"/>
  <c r="AF628" i="19"/>
  <c r="AF624" i="19"/>
  <c r="AF626" i="19"/>
  <c r="AF625" i="19"/>
  <c r="AF618" i="19"/>
  <c r="AF619" i="19"/>
  <c r="AF621" i="19"/>
  <c r="AF620" i="19"/>
  <c r="AF617" i="19"/>
  <c r="AF622" i="19"/>
  <c r="AF615" i="19"/>
  <c r="AF611" i="19"/>
  <c r="AF612" i="19"/>
  <c r="AF614" i="19"/>
  <c r="AF609" i="19"/>
  <c r="AF610" i="19"/>
  <c r="AF613" i="19"/>
  <c r="AF607" i="19"/>
  <c r="AF605" i="19"/>
  <c r="AF603" i="19"/>
  <c r="AF604" i="19"/>
  <c r="AF606" i="19"/>
  <c r="AF601" i="19"/>
  <c r="AF600" i="19"/>
  <c r="AF596" i="19"/>
  <c r="AF598" i="19"/>
  <c r="AF595" i="19"/>
  <c r="AF597" i="19"/>
  <c r="AF593" i="19"/>
  <c r="AF589" i="19"/>
  <c r="AF591" i="19"/>
  <c r="AF590" i="19"/>
  <c r="AF587" i="19"/>
  <c r="AF585" i="19"/>
  <c r="AF586" i="19"/>
  <c r="AF582" i="19"/>
  <c r="AF583" i="19"/>
  <c r="AF581" i="19"/>
  <c r="AF579" i="19"/>
  <c r="AF578" i="19"/>
  <c r="AF577" i="19"/>
  <c r="AF575" i="19"/>
  <c r="AF573" i="19"/>
  <c r="AF572" i="19"/>
  <c r="AF571" i="19"/>
  <c r="AF569" i="19"/>
  <c r="AF563" i="19"/>
  <c r="AF564" i="19"/>
  <c r="AF566" i="19"/>
  <c r="AF567" i="19"/>
  <c r="AF565" i="19"/>
  <c r="AF560" i="19"/>
  <c r="AF561" i="19"/>
  <c r="AF559" i="19"/>
  <c r="AF557" i="19"/>
  <c r="AF554" i="19"/>
  <c r="AF556" i="19"/>
  <c r="AF555" i="19"/>
  <c r="AF549" i="19"/>
  <c r="AF548" i="19"/>
  <c r="AF547" i="19"/>
  <c r="AF551" i="19"/>
  <c r="AF546" i="19"/>
  <c r="AF552" i="19"/>
  <c r="AF550" i="19"/>
  <c r="AF541" i="19"/>
  <c r="AF542" i="19"/>
  <c r="AF543" i="19"/>
  <c r="AF540" i="19"/>
  <c r="AF539" i="19"/>
  <c r="AF537" i="19"/>
  <c r="AF544" i="19"/>
  <c r="AF538" i="19"/>
  <c r="AF530" i="19"/>
  <c r="AF533" i="19"/>
  <c r="AF532" i="19"/>
  <c r="AF531" i="19"/>
  <c r="AF534" i="19"/>
  <c r="AF528" i="19"/>
  <c r="AF535" i="19"/>
  <c r="AF529" i="19"/>
  <c r="AF526" i="19"/>
  <c r="AF518" i="19"/>
  <c r="AF523" i="19"/>
  <c r="AF520" i="19"/>
  <c r="AF525" i="19"/>
  <c r="AF519" i="19"/>
  <c r="AF521" i="19"/>
  <c r="AF522" i="19"/>
  <c r="AF524" i="19"/>
  <c r="AF513" i="19"/>
  <c r="AF515" i="19"/>
  <c r="AF512" i="19"/>
  <c r="AF511" i="19"/>
  <c r="AF509" i="19"/>
  <c r="AF514" i="19"/>
  <c r="AF516" i="19"/>
  <c r="AF508" i="19"/>
  <c r="AF507" i="19"/>
  <c r="AF510" i="19"/>
  <c r="AF504" i="19"/>
  <c r="AF497" i="19"/>
  <c r="AF499" i="19"/>
  <c r="AF501" i="19"/>
  <c r="AF496" i="19"/>
  <c r="AF503" i="19"/>
  <c r="AF500" i="19"/>
  <c r="AF498" i="19"/>
  <c r="AF505" i="19"/>
  <c r="AF502" i="19"/>
  <c r="AF494" i="19"/>
  <c r="AF493" i="19"/>
  <c r="AF492" i="19"/>
  <c r="AF488" i="19"/>
  <c r="AF490" i="19"/>
  <c r="AF489" i="19"/>
  <c r="AF487" i="19"/>
  <c r="AF484" i="19"/>
  <c r="AF485" i="19"/>
  <c r="AF480" i="19"/>
  <c r="AF481" i="19"/>
  <c r="AF482" i="19"/>
  <c r="AF478" i="19"/>
  <c r="AF477" i="19"/>
  <c r="AF474" i="19"/>
  <c r="AF473" i="19"/>
  <c r="AF475" i="19"/>
  <c r="AF472" i="19"/>
  <c r="AF469" i="19"/>
  <c r="AF467" i="19"/>
  <c r="AF468" i="19"/>
  <c r="AF470" i="19"/>
  <c r="AF465" i="19"/>
  <c r="AF464" i="19"/>
  <c r="AF463" i="19"/>
  <c r="AF460" i="19"/>
  <c r="AF461" i="19"/>
  <c r="AF456" i="19"/>
  <c r="AF457" i="19"/>
  <c r="AF458" i="19"/>
  <c r="AF454" i="19"/>
  <c r="AF453" i="19"/>
  <c r="AF448" i="19"/>
  <c r="AF451" i="19"/>
  <c r="AF449" i="19"/>
  <c r="AF450" i="19"/>
  <c r="AF446" i="19"/>
  <c r="AF443" i="19"/>
  <c r="AF441" i="19"/>
  <c r="AF442" i="19"/>
  <c r="AF444" i="19"/>
  <c r="AF439" i="19"/>
  <c r="AF438" i="19"/>
  <c r="AF437" i="19"/>
  <c r="AF430" i="19"/>
  <c r="AF435" i="19"/>
  <c r="AF431" i="19"/>
  <c r="AF432" i="19"/>
  <c r="AF434" i="19"/>
  <c r="AF433" i="19"/>
  <c r="AF427" i="19"/>
  <c r="AF426" i="19"/>
  <c r="AF428" i="19"/>
  <c r="AF420" i="19"/>
  <c r="AF415" i="19"/>
  <c r="AF422" i="19"/>
  <c r="AF424" i="19"/>
  <c r="AF416" i="19"/>
  <c r="AF417" i="19"/>
  <c r="AF419" i="19"/>
  <c r="AF421" i="19"/>
  <c r="AF418" i="19"/>
  <c r="AF423" i="19"/>
  <c r="AF412" i="19"/>
  <c r="AF413" i="19"/>
  <c r="AF410" i="19"/>
  <c r="AF407" i="19"/>
  <c r="AF409" i="19"/>
  <c r="AF408" i="19"/>
  <c r="AF404" i="19"/>
  <c r="AF403" i="19"/>
  <c r="AF398" i="19"/>
  <c r="AF401" i="19"/>
  <c r="AF400" i="19"/>
  <c r="AF402" i="19"/>
  <c r="AF399" i="19"/>
  <c r="AF405" i="19"/>
  <c r="AF395" i="19"/>
  <c r="AF396" i="19"/>
  <c r="AF393" i="19"/>
  <c r="AF391" i="19"/>
  <c r="AF389" i="19"/>
  <c r="AF387" i="19"/>
  <c r="AF382" i="19"/>
  <c r="AF385" i="19"/>
  <c r="AF384" i="19"/>
  <c r="AF383" i="19"/>
  <c r="AF379" i="19"/>
  <c r="AF380" i="19"/>
  <c r="AF374" i="19"/>
  <c r="AF369" i="19"/>
  <c r="AF367" i="19"/>
  <c r="AF371" i="19"/>
  <c r="AF373" i="19"/>
  <c r="AF375" i="19"/>
  <c r="AF368" i="19"/>
  <c r="AF377" i="19"/>
  <c r="AF372" i="19"/>
  <c r="AF366" i="19"/>
  <c r="AF364" i="19"/>
  <c r="AF376" i="19"/>
  <c r="AF370" i="19"/>
  <c r="AF365" i="19"/>
  <c r="AF361" i="19"/>
  <c r="AF362" i="19"/>
  <c r="AF358" i="19"/>
  <c r="AF357" i="19"/>
  <c r="AF360" i="19"/>
  <c r="AF359" i="19"/>
  <c r="AF354" i="19"/>
  <c r="AF356" i="19"/>
  <c r="AF353" i="19"/>
  <c r="AF355" i="19"/>
  <c r="AF352" i="19"/>
  <c r="AF351" i="19"/>
  <c r="AF350" i="19"/>
  <c r="AF349" i="19"/>
  <c r="AF346" i="19"/>
  <c r="AF347" i="19"/>
  <c r="AF345" i="19"/>
  <c r="AF348" i="19"/>
  <c r="AF342" i="19"/>
  <c r="AF343" i="19"/>
  <c r="AF341" i="19"/>
  <c r="AF344" i="19"/>
  <c r="AF340" i="19"/>
  <c r="AF339" i="19"/>
  <c r="AF337" i="19"/>
  <c r="AF338" i="19"/>
  <c r="AF332" i="19"/>
  <c r="AF335" i="19"/>
  <c r="AF334" i="19"/>
  <c r="AF333" i="19"/>
  <c r="AF331" i="19"/>
  <c r="AF328" i="19"/>
  <c r="AF327" i="19"/>
  <c r="AF317" i="19"/>
  <c r="AF329" i="19"/>
  <c r="AF325" i="19"/>
  <c r="AF321" i="19"/>
  <c r="AF326" i="19"/>
  <c r="AF322" i="19"/>
  <c r="AF318" i="19"/>
  <c r="AF320" i="19"/>
  <c r="AF319" i="19"/>
  <c r="AF324" i="19"/>
  <c r="AF323" i="19"/>
  <c r="AF313" i="19"/>
  <c r="AF303" i="19"/>
  <c r="AF300" i="19"/>
  <c r="AF312" i="19"/>
  <c r="AF301" i="19"/>
  <c r="AF308" i="19"/>
  <c r="AF309" i="19"/>
  <c r="AF302" i="19"/>
  <c r="AF310" i="19"/>
  <c r="AF307" i="19"/>
  <c r="AF311" i="19"/>
  <c r="AF315" i="19"/>
  <c r="AF304" i="19"/>
  <c r="AF306" i="19"/>
  <c r="AF314" i="19"/>
  <c r="AF305" i="19"/>
  <c r="AF293" i="19"/>
  <c r="AF296" i="19"/>
  <c r="AF292" i="19"/>
  <c r="AF291" i="19"/>
  <c r="AF287" i="19"/>
  <c r="AF298" i="19"/>
  <c r="AF290" i="19"/>
  <c r="AF297" i="19"/>
  <c r="AF289" i="19"/>
  <c r="AF288" i="19"/>
  <c r="AF294" i="19"/>
  <c r="AF295" i="19"/>
  <c r="AF282" i="19"/>
  <c r="AF271" i="19"/>
  <c r="AF280" i="19"/>
  <c r="AF277" i="19"/>
  <c r="AF266" i="19"/>
  <c r="AF276" i="19"/>
  <c r="AF272" i="19"/>
  <c r="AF268" i="19"/>
  <c r="AF274" i="19"/>
  <c r="AF265" i="19"/>
  <c r="AF279" i="19"/>
  <c r="AF275" i="19"/>
  <c r="AF278" i="19"/>
  <c r="AF267" i="19"/>
  <c r="AF273" i="19"/>
  <c r="AF269" i="19"/>
  <c r="AF270" i="19"/>
  <c r="AF262" i="19"/>
  <c r="AF257" i="19"/>
  <c r="AF263" i="19"/>
  <c r="AF261" i="19"/>
  <c r="AF258" i="19"/>
  <c r="AF256" i="19"/>
  <c r="AF259" i="19"/>
  <c r="AF260" i="19"/>
  <c r="AF253" i="19"/>
  <c r="AF252" i="19"/>
  <c r="AF254" i="19"/>
  <c r="AF251" i="19"/>
  <c r="AF248" i="19"/>
  <c r="AF247" i="19"/>
  <c r="AF244" i="19"/>
  <c r="AF245" i="19"/>
  <c r="AF246" i="19"/>
  <c r="AF249" i="19"/>
  <c r="AF242" i="19"/>
  <c r="AF240" i="19"/>
  <c r="AF238" i="19"/>
  <c r="AF235" i="19"/>
  <c r="AF234" i="19"/>
  <c r="AF233" i="19"/>
  <c r="AF236" i="19"/>
  <c r="AF229" i="19"/>
  <c r="AF231" i="19"/>
  <c r="AF230" i="19"/>
  <c r="AF227" i="19"/>
  <c r="AF223" i="19"/>
  <c r="AF225" i="19"/>
  <c r="AF224" i="19"/>
  <c r="AF218" i="19"/>
  <c r="AF217" i="19"/>
  <c r="AF220" i="19"/>
  <c r="AF219" i="19"/>
  <c r="AF221" i="19"/>
  <c r="AF216" i="19"/>
  <c r="AF209" i="19"/>
  <c r="AF208" i="19"/>
  <c r="AF211" i="19"/>
  <c r="AF214" i="19"/>
  <c r="AF213" i="19"/>
  <c r="AF210" i="19"/>
  <c r="AF212" i="19"/>
  <c r="AF206" i="19"/>
  <c r="AF205" i="19"/>
  <c r="AF201" i="19"/>
  <c r="AF203" i="19"/>
  <c r="AF200" i="19"/>
  <c r="AF202" i="19"/>
  <c r="AF198" i="19"/>
  <c r="AF195" i="19"/>
  <c r="AF197" i="19"/>
  <c r="AF194" i="19"/>
  <c r="AF196" i="19"/>
  <c r="AF181" i="19"/>
  <c r="AF183" i="19"/>
  <c r="AF185" i="19"/>
  <c r="AF182" i="19"/>
  <c r="AF184" i="19"/>
  <c r="AF187" i="19"/>
  <c r="AF189" i="19"/>
  <c r="AF186" i="19"/>
  <c r="AF188" i="19"/>
  <c r="AF191" i="19"/>
  <c r="AF190" i="19"/>
  <c r="AF192" i="19"/>
  <c r="AF177" i="19"/>
  <c r="AF179" i="19"/>
  <c r="AF170" i="19"/>
  <c r="AF172" i="19"/>
  <c r="AF169" i="19"/>
  <c r="AF171" i="19"/>
  <c r="AF174" i="19"/>
  <c r="AF176" i="19"/>
  <c r="AF173" i="19"/>
  <c r="AF175" i="19"/>
  <c r="AF178" i="19"/>
  <c r="AF167" i="19"/>
  <c r="AF166" i="19"/>
  <c r="AF162" i="19"/>
  <c r="AF159" i="19"/>
  <c r="AF161" i="19"/>
  <c r="AF164" i="19"/>
  <c r="AF163" i="19"/>
  <c r="AF160" i="19"/>
  <c r="AF149" i="19"/>
  <c r="AF151" i="19"/>
  <c r="AF153" i="19"/>
  <c r="AF150" i="19"/>
  <c r="AF152" i="19"/>
  <c r="AF155" i="19"/>
  <c r="AF148" i="19"/>
  <c r="AF157" i="19"/>
  <c r="AF154" i="19"/>
  <c r="AF156" i="19"/>
  <c r="AF144" i="19"/>
  <c r="AF143" i="19"/>
  <c r="AF146" i="19"/>
  <c r="AF145" i="19"/>
  <c r="AF138" i="19"/>
  <c r="AF141" i="19"/>
  <c r="AF140" i="19"/>
  <c r="AF139" i="19"/>
  <c r="AF142" i="19"/>
  <c r="AF132" i="19"/>
  <c r="AF136" i="19"/>
  <c r="AF129" i="19"/>
  <c r="AF131" i="19"/>
  <c r="AF130" i="19"/>
  <c r="AF133" i="19"/>
  <c r="AF135" i="19"/>
  <c r="AF134" i="19"/>
  <c r="AF126" i="19"/>
  <c r="AF125" i="19"/>
  <c r="AF119" i="19"/>
  <c r="AF123" i="19"/>
  <c r="AF120" i="19"/>
  <c r="AF127" i="19"/>
  <c r="AF122" i="19"/>
  <c r="AF121" i="19"/>
  <c r="AF124" i="19"/>
  <c r="AF102" i="19"/>
  <c r="AF108" i="19"/>
  <c r="AF111" i="19"/>
  <c r="AF98" i="19"/>
  <c r="AF110" i="19"/>
  <c r="AF97" i="19"/>
  <c r="AF113" i="19"/>
  <c r="AF112" i="19"/>
  <c r="AF99" i="19"/>
  <c r="AF115" i="19"/>
  <c r="AF106" i="19"/>
  <c r="AF101" i="19"/>
  <c r="AF117" i="19"/>
  <c r="AF100" i="19"/>
  <c r="AF116" i="19"/>
  <c r="AF103" i="19"/>
  <c r="AF109" i="19"/>
  <c r="AF114" i="19"/>
  <c r="AF105" i="19"/>
  <c r="AF104" i="19"/>
  <c r="AF107" i="19"/>
  <c r="AF89" i="19"/>
  <c r="AF94" i="19"/>
  <c r="AF93" i="19"/>
  <c r="AF90" i="19"/>
  <c r="AF91" i="19"/>
  <c r="AF92" i="19"/>
  <c r="AF95" i="19"/>
  <c r="AF87" i="19"/>
  <c r="AF80" i="19"/>
  <c r="AF86" i="19"/>
  <c r="AF85" i="19"/>
  <c r="AF84" i="19"/>
  <c r="AF81" i="19"/>
  <c r="AF79" i="19"/>
  <c r="AF83" i="19"/>
  <c r="AF82" i="19"/>
  <c r="AF77" i="19"/>
  <c r="AF76" i="19"/>
  <c r="AF75" i="19"/>
  <c r="AF70" i="19"/>
  <c r="AF71" i="19"/>
  <c r="AF72" i="19"/>
  <c r="AF73" i="19"/>
  <c r="AF61" i="19"/>
  <c r="AF68" i="19"/>
  <c r="AF67" i="19"/>
  <c r="AF66" i="19"/>
  <c r="AF58" i="19"/>
  <c r="AF60" i="19"/>
  <c r="AF65" i="19"/>
  <c r="AF57" i="19"/>
  <c r="AF59" i="19"/>
  <c r="AF62" i="19"/>
  <c r="AF64" i="19"/>
  <c r="AF63" i="19"/>
  <c r="AF46" i="19"/>
  <c r="AF53" i="19"/>
  <c r="AF41" i="19"/>
  <c r="AF29" i="19"/>
  <c r="AF27" i="19"/>
  <c r="AF47" i="19"/>
  <c r="AF36" i="19"/>
  <c r="AF52" i="19"/>
  <c r="AF55" i="19"/>
  <c r="AF54" i="19"/>
  <c r="AF50" i="19"/>
  <c r="AF42" i="19"/>
  <c r="AF38" i="19"/>
  <c r="AF31" i="19"/>
  <c r="AF24" i="19"/>
  <c r="AF40" i="19"/>
  <c r="AF35" i="19"/>
  <c r="AF34" i="19"/>
  <c r="AF30" i="19"/>
  <c r="AF26" i="19"/>
  <c r="AF49" i="19"/>
  <c r="AF28" i="19"/>
  <c r="AF44" i="19"/>
  <c r="AF39" i="19"/>
  <c r="AF45" i="19"/>
  <c r="AF37" i="19"/>
  <c r="AF33" i="19"/>
  <c r="AF25" i="19"/>
  <c r="AF43" i="19"/>
  <c r="AF32" i="19"/>
  <c r="AF48" i="19"/>
  <c r="AF51" i="19"/>
  <c r="J60" i="17"/>
  <c r="K59" i="17"/>
  <c r="L59" i="17" s="1"/>
  <c r="AF23" i="19"/>
  <c r="AF22" i="19"/>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H283" i="19" s="1"/>
  <c r="AH283" i="19" s="1"/>
  <c r="H285" i="19" l="1"/>
  <c r="AH285" i="19" s="1"/>
  <c r="H284" i="19"/>
  <c r="AH284" i="19" s="1"/>
  <c r="H942" i="19"/>
  <c r="AH942" i="19" s="1"/>
  <c r="AG942" i="19" s="1"/>
  <c r="H23" i="19"/>
  <c r="H1163" i="19"/>
  <c r="AH1163" i="19" s="1"/>
  <c r="AG1163" i="19" s="1"/>
  <c r="H1167" i="19"/>
  <c r="AH1167" i="19" s="1"/>
  <c r="AG1167" i="19" s="1"/>
  <c r="H1175" i="19"/>
  <c r="AH1175" i="19" s="1"/>
  <c r="AG1175" i="19" s="1"/>
  <c r="H1148" i="19"/>
  <c r="AH1148" i="19" s="1"/>
  <c r="AG1148" i="19" s="1"/>
  <c r="H1187" i="19"/>
  <c r="AH1187" i="19" s="1"/>
  <c r="AG1187" i="19" s="1"/>
  <c r="H1182" i="19"/>
  <c r="AH1182" i="19" s="1"/>
  <c r="AG1182" i="19" s="1"/>
  <c r="H1158" i="19"/>
  <c r="AH1158" i="19" s="1"/>
  <c r="AG1158" i="19" s="1"/>
  <c r="H1144" i="19"/>
  <c r="AH1144" i="19" s="1"/>
  <c r="AG1144" i="19" s="1"/>
  <c r="H1137" i="19"/>
  <c r="AH1137" i="19" s="1"/>
  <c r="AG1137" i="19" s="1"/>
  <c r="H1156" i="19"/>
  <c r="AH1156" i="19" s="1"/>
  <c r="AG1156" i="19" s="1"/>
  <c r="H1157" i="19"/>
  <c r="AH1157" i="19" s="1"/>
  <c r="AG1157" i="19" s="1"/>
  <c r="H1168" i="19"/>
  <c r="AH1168" i="19" s="1"/>
  <c r="AG1168" i="19" s="1"/>
  <c r="H1169" i="19"/>
  <c r="AH1169" i="19" s="1"/>
  <c r="AG1169" i="19" s="1"/>
  <c r="H1146" i="19"/>
  <c r="AH1146" i="19" s="1"/>
  <c r="AG1146" i="19" s="1"/>
  <c r="H1178" i="19"/>
  <c r="AH1178" i="19" s="1"/>
  <c r="AG1178" i="19" s="1"/>
  <c r="H1128" i="19"/>
  <c r="AH1128" i="19" s="1"/>
  <c r="AG1128" i="19" s="1"/>
  <c r="H1164" i="19"/>
  <c r="AH1164" i="19" s="1"/>
  <c r="AG1164" i="19" s="1"/>
  <c r="H1140" i="19"/>
  <c r="AH1140" i="19" s="1"/>
  <c r="AG1140" i="19" s="1"/>
  <c r="H1133" i="19"/>
  <c r="AH1133" i="19" s="1"/>
  <c r="AG1133" i="19" s="1"/>
  <c r="H1152" i="19"/>
  <c r="AH1152" i="19" s="1"/>
  <c r="AG1152" i="19" s="1"/>
  <c r="H1149" i="19"/>
  <c r="AH1149" i="19" s="1"/>
  <c r="AG1149" i="19" s="1"/>
  <c r="H1150" i="19"/>
  <c r="AH1150" i="19" s="1"/>
  <c r="AG1150" i="19" s="1"/>
  <c r="H1186" i="19"/>
  <c r="AH1186" i="19" s="1"/>
  <c r="AG1186" i="19" s="1"/>
  <c r="H1179" i="19"/>
  <c r="AH1179" i="19" s="1"/>
  <c r="AG1179" i="19" s="1"/>
  <c r="H1132" i="19"/>
  <c r="AH1132" i="19" s="1"/>
  <c r="AG1132" i="19" s="1"/>
  <c r="H1145" i="19"/>
  <c r="AH1145" i="19" s="1"/>
  <c r="AG1145" i="19" s="1"/>
  <c r="H1180" i="19"/>
  <c r="AH1180" i="19" s="1"/>
  <c r="AG1180" i="19" s="1"/>
  <c r="H1136" i="19"/>
  <c r="AH1136" i="19" s="1"/>
  <c r="AG1136" i="19" s="1"/>
  <c r="H1129" i="19"/>
  <c r="AH1129" i="19" s="1"/>
  <c r="AG1129" i="19" s="1"/>
  <c r="H1154" i="19"/>
  <c r="AH1154" i="19" s="1"/>
  <c r="AG1154" i="19" s="1"/>
  <c r="H1126" i="19"/>
  <c r="AH1126" i="19" s="1"/>
  <c r="AG1126" i="19" s="1"/>
  <c r="H1123" i="19"/>
  <c r="AH1123" i="19" s="1"/>
  <c r="AG1123" i="19" s="1"/>
  <c r="H1119" i="19"/>
  <c r="AH1119" i="19" s="1"/>
  <c r="AG1119" i="19" s="1"/>
  <c r="H1115" i="19"/>
  <c r="AH1115" i="19" s="1"/>
  <c r="AG1115" i="19" s="1"/>
  <c r="H1111" i="19"/>
  <c r="AH1111" i="19" s="1"/>
  <c r="AG1111" i="19" s="1"/>
  <c r="H1107" i="19"/>
  <c r="AH1107" i="19" s="1"/>
  <c r="AG1107" i="19" s="1"/>
  <c r="H1104" i="19"/>
  <c r="AH1104" i="19" s="1"/>
  <c r="AG1104" i="19" s="1"/>
  <c r="H1100" i="19"/>
  <c r="AH1100" i="19" s="1"/>
  <c r="AG1100" i="19" s="1"/>
  <c r="H1096" i="19"/>
  <c r="AH1096" i="19" s="1"/>
  <c r="AG1096" i="19" s="1"/>
  <c r="H1093" i="19"/>
  <c r="AH1093" i="19" s="1"/>
  <c r="AG1093" i="19" s="1"/>
  <c r="H1090" i="19"/>
  <c r="AH1090" i="19" s="1"/>
  <c r="AG1090" i="19" s="1"/>
  <c r="H1086" i="19"/>
  <c r="AH1086" i="19" s="1"/>
  <c r="AG1086" i="19" s="1"/>
  <c r="H1082" i="19"/>
  <c r="AH1082" i="19" s="1"/>
  <c r="AG1082" i="19" s="1"/>
  <c r="H1079" i="19"/>
  <c r="AH1079" i="19" s="1"/>
  <c r="AG1079" i="19" s="1"/>
  <c r="H1075" i="19"/>
  <c r="AH1075" i="19" s="1"/>
  <c r="AG1075" i="19" s="1"/>
  <c r="H1072" i="19"/>
  <c r="AH1072" i="19" s="1"/>
  <c r="AG1072" i="19" s="1"/>
  <c r="H1068" i="19"/>
  <c r="AH1068" i="19" s="1"/>
  <c r="AG1068" i="19" s="1"/>
  <c r="H1064" i="19"/>
  <c r="AH1064" i="19" s="1"/>
  <c r="AG1064" i="19" s="1"/>
  <c r="H1065" i="19"/>
  <c r="AH1065" i="19" s="1"/>
  <c r="AG1065" i="19" s="1"/>
  <c r="H1061" i="19"/>
  <c r="AH1061" i="19" s="1"/>
  <c r="AG1061" i="19" s="1"/>
  <c r="H1057" i="19"/>
  <c r="AH1057" i="19" s="1"/>
  <c r="AG1057" i="19" s="1"/>
  <c r="H1058" i="19"/>
  <c r="AH1058" i="19" s="1"/>
  <c r="AG1058" i="19" s="1"/>
  <c r="H1052" i="19"/>
  <c r="AH1052" i="19" s="1"/>
  <c r="AG1052" i="19" s="1"/>
  <c r="H1055" i="19"/>
  <c r="AH1055" i="19" s="1"/>
  <c r="AG1055" i="19" s="1"/>
  <c r="H1047" i="19"/>
  <c r="AH1047" i="19" s="1"/>
  <c r="AG1047" i="19" s="1"/>
  <c r="H1046" i="19"/>
  <c r="AH1046" i="19" s="1"/>
  <c r="AG1046" i="19" s="1"/>
  <c r="H1038" i="19"/>
  <c r="AH1038" i="19" s="1"/>
  <c r="AG1038" i="19" s="1"/>
  <c r="H1030" i="19"/>
  <c r="AH1030" i="19" s="1"/>
  <c r="AG1030" i="19" s="1"/>
  <c r="H1036" i="19"/>
  <c r="AH1036" i="19" s="1"/>
  <c r="AG1036" i="19" s="1"/>
  <c r="H1028" i="19"/>
  <c r="AH1028" i="19" s="1"/>
  <c r="AG1028" i="19" s="1"/>
  <c r="H1040" i="19"/>
  <c r="AH1040" i="19" s="1"/>
  <c r="AG1040" i="19" s="1"/>
  <c r="H1042" i="19"/>
  <c r="AH1042" i="19" s="1"/>
  <c r="AG1042" i="19" s="1"/>
  <c r="H1039" i="19"/>
  <c r="AH1039" i="19" s="1"/>
  <c r="AG1039" i="19" s="1"/>
  <c r="H1031" i="19"/>
  <c r="AH1031" i="19" s="1"/>
  <c r="AG1031" i="19" s="1"/>
  <c r="H1026" i="19"/>
  <c r="AH1026" i="19" s="1"/>
  <c r="AG1026" i="19" s="1"/>
  <c r="H1022" i="19"/>
  <c r="AH1022" i="19" s="1"/>
  <c r="AG1022" i="19" s="1"/>
  <c r="H1023" i="19"/>
  <c r="AH1023" i="19" s="1"/>
  <c r="AG1023" i="19" s="1"/>
  <c r="H1018" i="19"/>
  <c r="AH1018" i="19" s="1"/>
  <c r="AG1018" i="19" s="1"/>
  <c r="H1015" i="19"/>
  <c r="AH1015" i="19" s="1"/>
  <c r="AG1015" i="19" s="1"/>
  <c r="H1016" i="19"/>
  <c r="AH1016" i="19" s="1"/>
  <c r="AG1016" i="19" s="1"/>
  <c r="H1010" i="19"/>
  <c r="AH1010" i="19" s="1"/>
  <c r="AG1010" i="19" s="1"/>
  <c r="H1008" i="19"/>
  <c r="AH1008" i="19" s="1"/>
  <c r="AG1008" i="19" s="1"/>
  <c r="H990" i="19"/>
  <c r="AH990" i="19" s="1"/>
  <c r="AG990" i="19" s="1"/>
  <c r="H1000" i="19"/>
  <c r="AH1000" i="19" s="1"/>
  <c r="AG1000" i="19" s="1"/>
  <c r="H993" i="19"/>
  <c r="AH993" i="19" s="1"/>
  <c r="AG993" i="19" s="1"/>
  <c r="H992" i="19"/>
  <c r="AH992" i="19" s="1"/>
  <c r="AG992" i="19" s="1"/>
  <c r="H998" i="19"/>
  <c r="AH998" i="19" s="1"/>
  <c r="AG998" i="19" s="1"/>
  <c r="H989" i="19"/>
  <c r="AH989" i="19" s="1"/>
  <c r="AG989" i="19" s="1"/>
  <c r="H994" i="19"/>
  <c r="AH994" i="19" s="1"/>
  <c r="AG994" i="19" s="1"/>
  <c r="H1001" i="19"/>
  <c r="AH1001" i="19" s="1"/>
  <c r="AG1001" i="19" s="1"/>
  <c r="H1004" i="19"/>
  <c r="AH1004" i="19" s="1"/>
  <c r="AG1004" i="19" s="1"/>
  <c r="H987" i="19"/>
  <c r="AH987" i="19" s="1"/>
  <c r="AG987" i="19" s="1"/>
  <c r="H985" i="19"/>
  <c r="AH985" i="19" s="1"/>
  <c r="AG985" i="19" s="1"/>
  <c r="H986" i="19"/>
  <c r="AH986" i="19" s="1"/>
  <c r="AG986" i="19" s="1"/>
  <c r="H980" i="19"/>
  <c r="AH980" i="19" s="1"/>
  <c r="AG980" i="19" s="1"/>
  <c r="H977" i="19"/>
  <c r="AH977" i="19" s="1"/>
  <c r="AG977" i="19" s="1"/>
  <c r="H983" i="19"/>
  <c r="AH983" i="19" s="1"/>
  <c r="AG983" i="19" s="1"/>
  <c r="H973" i="19"/>
  <c r="AH973" i="19" s="1"/>
  <c r="AG973" i="19" s="1"/>
  <c r="H970" i="19"/>
  <c r="AH970" i="19" s="1"/>
  <c r="AG970" i="19" s="1"/>
  <c r="H962" i="19"/>
  <c r="AH962" i="19" s="1"/>
  <c r="AG962" i="19" s="1"/>
  <c r="H964" i="19"/>
  <c r="AH964" i="19" s="1"/>
  <c r="AG964" i="19" s="1"/>
  <c r="H966" i="19"/>
  <c r="AH966" i="19" s="1"/>
  <c r="AG966" i="19" s="1"/>
  <c r="H961" i="19"/>
  <c r="AH961" i="19" s="1"/>
  <c r="AG961" i="19" s="1"/>
  <c r="H958" i="19"/>
  <c r="AH958" i="19" s="1"/>
  <c r="AG958" i="19" s="1"/>
  <c r="H955" i="19"/>
  <c r="AH955" i="19" s="1"/>
  <c r="AG955" i="19" s="1"/>
  <c r="H950" i="19"/>
  <c r="AH950" i="19" s="1"/>
  <c r="AG950" i="19" s="1"/>
  <c r="H951" i="19"/>
  <c r="AH951" i="19" s="1"/>
  <c r="AG951" i="19" s="1"/>
  <c r="H947" i="19"/>
  <c r="AH947" i="19" s="1"/>
  <c r="AG947" i="19" s="1"/>
  <c r="H941" i="19"/>
  <c r="AH941" i="19" s="1"/>
  <c r="AG941" i="19" s="1"/>
  <c r="H944" i="19"/>
  <c r="AH944" i="19" s="1"/>
  <c r="AG944" i="19" s="1"/>
  <c r="H940" i="19"/>
  <c r="AH940" i="19" s="1"/>
  <c r="AG940" i="19" s="1"/>
  <c r="H935" i="19"/>
  <c r="AH935" i="19" s="1"/>
  <c r="AG935" i="19" s="1"/>
  <c r="H931" i="19"/>
  <c r="AH931" i="19" s="1"/>
  <c r="AG931" i="19" s="1"/>
  <c r="H936" i="19"/>
  <c r="AH936" i="19" s="1"/>
  <c r="AG936" i="19" s="1"/>
  <c r="H933" i="19"/>
  <c r="AH933" i="19" s="1"/>
  <c r="AG933" i="19" s="1"/>
  <c r="H927" i="19"/>
  <c r="AH927" i="19" s="1"/>
  <c r="AG927" i="19" s="1"/>
  <c r="H925" i="19"/>
  <c r="AH925" i="19" s="1"/>
  <c r="AG925" i="19" s="1"/>
  <c r="H919" i="19"/>
  <c r="AH919" i="19" s="1"/>
  <c r="AG919" i="19" s="1"/>
  <c r="H917" i="19"/>
  <c r="AH917" i="19" s="1"/>
  <c r="AG917" i="19" s="1"/>
  <c r="H914" i="19"/>
  <c r="AH914" i="19" s="1"/>
  <c r="AG914" i="19" s="1"/>
  <c r="H910" i="19"/>
  <c r="AH910" i="19" s="1"/>
  <c r="AG910" i="19" s="1"/>
  <c r="H901" i="19"/>
  <c r="AH901" i="19" s="1"/>
  <c r="AG901" i="19" s="1"/>
  <c r="H903" i="19"/>
  <c r="AH903" i="19" s="1"/>
  <c r="AG903" i="19" s="1"/>
  <c r="H905" i="19"/>
  <c r="AH905" i="19" s="1"/>
  <c r="AG905" i="19" s="1"/>
  <c r="H898" i="19"/>
  <c r="AH898" i="19" s="1"/>
  <c r="AG898" i="19" s="1"/>
  <c r="H895" i="19"/>
  <c r="AH895" i="19" s="1"/>
  <c r="AG895" i="19" s="1"/>
  <c r="H896" i="19"/>
  <c r="AH896" i="19" s="1"/>
  <c r="AG896" i="19" s="1"/>
  <c r="H887" i="19"/>
  <c r="AH887" i="19" s="1"/>
  <c r="AG887" i="19" s="1"/>
  <c r="H891" i="19"/>
  <c r="AH891" i="19" s="1"/>
  <c r="AG891" i="19" s="1"/>
  <c r="H888" i="19"/>
  <c r="AH888" i="19" s="1"/>
  <c r="AG888" i="19" s="1"/>
  <c r="H885" i="19"/>
  <c r="AH885" i="19" s="1"/>
  <c r="AG885" i="19" s="1"/>
  <c r="H877" i="19"/>
  <c r="AH877" i="19" s="1"/>
  <c r="AG877" i="19" s="1"/>
  <c r="H881" i="19"/>
  <c r="AH881" i="19" s="1"/>
  <c r="AG881" i="19" s="1"/>
  <c r="H882" i="19"/>
  <c r="AH882" i="19" s="1"/>
  <c r="AG882" i="19" s="1"/>
  <c r="H875" i="19"/>
  <c r="AH875" i="19" s="1"/>
  <c r="AG875" i="19" s="1"/>
  <c r="H872" i="19"/>
  <c r="AH872" i="19" s="1"/>
  <c r="AG872" i="19" s="1"/>
  <c r="H871" i="19"/>
  <c r="AH871" i="19" s="1"/>
  <c r="AG871" i="19" s="1"/>
  <c r="H866" i="19"/>
  <c r="AH866" i="19" s="1"/>
  <c r="AG866" i="19" s="1"/>
  <c r="H873" i="19"/>
  <c r="AH873" i="19" s="1"/>
  <c r="AG873" i="19" s="1"/>
  <c r="H868" i="19"/>
  <c r="AH868" i="19" s="1"/>
  <c r="AG868" i="19" s="1"/>
  <c r="H854" i="19"/>
  <c r="AH854" i="19" s="1"/>
  <c r="AG854" i="19" s="1"/>
  <c r="H856" i="19"/>
  <c r="AH856" i="19" s="1"/>
  <c r="AG856" i="19" s="1"/>
  <c r="H859" i="19"/>
  <c r="AH859" i="19" s="1"/>
  <c r="AG859" i="19" s="1"/>
  <c r="H857" i="19"/>
  <c r="AH857" i="19" s="1"/>
  <c r="AG857" i="19" s="1"/>
  <c r="H862" i="19"/>
  <c r="AH862" i="19" s="1"/>
  <c r="AG862" i="19" s="1"/>
  <c r="H850" i="19"/>
  <c r="AH850" i="19" s="1"/>
  <c r="AG850" i="19" s="1"/>
  <c r="H848" i="19"/>
  <c r="AH848" i="19" s="1"/>
  <c r="AG848" i="19" s="1"/>
  <c r="H845" i="19"/>
  <c r="AH845" i="19" s="1"/>
  <c r="AG845" i="19" s="1"/>
  <c r="H842" i="19"/>
  <c r="AH842" i="19" s="1"/>
  <c r="AG842" i="19" s="1"/>
  <c r="H839" i="19"/>
  <c r="AH839" i="19" s="1"/>
  <c r="AG839" i="19" s="1"/>
  <c r="H836" i="19"/>
  <c r="AH836" i="19" s="1"/>
  <c r="AG836" i="19" s="1"/>
  <c r="H834" i="19"/>
  <c r="AH834" i="19" s="1"/>
  <c r="AG834" i="19" s="1"/>
  <c r="H829" i="19"/>
  <c r="AH829" i="19" s="1"/>
  <c r="AG829" i="19" s="1"/>
  <c r="H826" i="19"/>
  <c r="AH826" i="19" s="1"/>
  <c r="AG826" i="19" s="1"/>
  <c r="H822" i="19"/>
  <c r="AH822" i="19" s="1"/>
  <c r="AG822" i="19" s="1"/>
  <c r="H817" i="19"/>
  <c r="AH817" i="19" s="1"/>
  <c r="AG817" i="19" s="1"/>
  <c r="H813" i="19"/>
  <c r="AH813" i="19" s="1"/>
  <c r="AG813" i="19" s="1"/>
  <c r="H807" i="19"/>
  <c r="AH807" i="19" s="1"/>
  <c r="AG807" i="19" s="1"/>
  <c r="H808" i="19"/>
  <c r="AH808" i="19" s="1"/>
  <c r="AG808" i="19" s="1"/>
  <c r="H804" i="19"/>
  <c r="AH804" i="19" s="1"/>
  <c r="AG804" i="19" s="1"/>
  <c r="H803" i="19"/>
  <c r="AH803" i="19" s="1"/>
  <c r="AG803" i="19" s="1"/>
  <c r="H799" i="19"/>
  <c r="AH799" i="19" s="1"/>
  <c r="AG799" i="19" s="1"/>
  <c r="H796" i="19"/>
  <c r="AH796" i="19" s="1"/>
  <c r="AG796" i="19" s="1"/>
  <c r="H794" i="19"/>
  <c r="AH794" i="19" s="1"/>
  <c r="AG794" i="19" s="1"/>
  <c r="H789" i="19"/>
  <c r="AH789" i="19" s="1"/>
  <c r="AG789" i="19" s="1"/>
  <c r="H787" i="19"/>
  <c r="AH787" i="19" s="1"/>
  <c r="AG787" i="19" s="1"/>
  <c r="H784" i="19"/>
  <c r="AH784" i="19" s="1"/>
  <c r="AG784" i="19" s="1"/>
  <c r="H778" i="19"/>
  <c r="AH778" i="19" s="1"/>
  <c r="AG778" i="19" s="1"/>
  <c r="H780" i="19"/>
  <c r="AH780" i="19" s="1"/>
  <c r="AG780" i="19" s="1"/>
  <c r="H781" i="19"/>
  <c r="AH781" i="19" s="1"/>
  <c r="AG781" i="19" s="1"/>
  <c r="H776" i="19"/>
  <c r="AH776" i="19" s="1"/>
  <c r="AG776" i="19" s="1"/>
  <c r="H771" i="19"/>
  <c r="AH771" i="19" s="1"/>
  <c r="AG771" i="19" s="1"/>
  <c r="H769" i="19"/>
  <c r="AH769" i="19" s="1"/>
  <c r="AG769" i="19" s="1"/>
  <c r="H772" i="19"/>
  <c r="AH772" i="19" s="1"/>
  <c r="AG772" i="19" s="1"/>
  <c r="H751" i="19"/>
  <c r="AH751" i="19" s="1"/>
  <c r="AG751" i="19" s="1"/>
  <c r="H753" i="19"/>
  <c r="AH753" i="19" s="1"/>
  <c r="AG753" i="19" s="1"/>
  <c r="H754" i="19"/>
  <c r="AH754" i="19" s="1"/>
  <c r="AG754" i="19" s="1"/>
  <c r="H757" i="19"/>
  <c r="AH757" i="19" s="1"/>
  <c r="AG757" i="19" s="1"/>
  <c r="H759" i="19"/>
  <c r="AH759" i="19" s="1"/>
  <c r="AG759" i="19" s="1"/>
  <c r="H750" i="19"/>
  <c r="AH750" i="19" s="1"/>
  <c r="AG750" i="19" s="1"/>
  <c r="H755" i="19"/>
  <c r="AH755" i="19" s="1"/>
  <c r="AG755" i="19" s="1"/>
  <c r="H762" i="19"/>
  <c r="AH762" i="19" s="1"/>
  <c r="AG762" i="19" s="1"/>
  <c r="H765" i="19"/>
  <c r="AH765" i="19" s="1"/>
  <c r="AG765" i="19" s="1"/>
  <c r="H740" i="19"/>
  <c r="AH740" i="19" s="1"/>
  <c r="AG740" i="19" s="1"/>
  <c r="H743" i="19"/>
  <c r="AH743" i="19" s="1"/>
  <c r="AG743" i="19" s="1"/>
  <c r="H746" i="19"/>
  <c r="AH746" i="19" s="1"/>
  <c r="AG746" i="19" s="1"/>
  <c r="H747" i="19"/>
  <c r="AH747" i="19" s="1"/>
  <c r="AG747" i="19" s="1"/>
  <c r="H741" i="19"/>
  <c r="AH741" i="19" s="1"/>
  <c r="AG741" i="19" s="1"/>
  <c r="H736" i="19"/>
  <c r="AH736" i="19" s="1"/>
  <c r="AG736" i="19" s="1"/>
  <c r="H730" i="19"/>
  <c r="AH730" i="19" s="1"/>
  <c r="AG730" i="19" s="1"/>
  <c r="H733" i="19"/>
  <c r="AH733" i="19" s="1"/>
  <c r="AG733" i="19" s="1"/>
  <c r="H731" i="19"/>
  <c r="AH731" i="19" s="1"/>
  <c r="AG731" i="19" s="1"/>
  <c r="H732" i="19"/>
  <c r="AH732" i="19" s="1"/>
  <c r="AG732" i="19" s="1"/>
  <c r="H725" i="19"/>
  <c r="AH725" i="19" s="1"/>
  <c r="AG725" i="19" s="1"/>
  <c r="H722" i="19"/>
  <c r="AH722" i="19" s="1"/>
  <c r="AG722" i="19" s="1"/>
  <c r="H719" i="19"/>
  <c r="AH719" i="19" s="1"/>
  <c r="AG719" i="19" s="1"/>
  <c r="H716" i="19"/>
  <c r="AH716" i="19" s="1"/>
  <c r="AG716" i="19" s="1"/>
  <c r="H715" i="19"/>
  <c r="AH715" i="19" s="1"/>
  <c r="AG715" i="19" s="1"/>
  <c r="H712" i="19"/>
  <c r="AH712" i="19" s="1"/>
  <c r="AG712" i="19" s="1"/>
  <c r="H707" i="19"/>
  <c r="AH707" i="19" s="1"/>
  <c r="AG707" i="19" s="1"/>
  <c r="H710" i="19"/>
  <c r="AH710" i="19" s="1"/>
  <c r="AG710" i="19" s="1"/>
  <c r="H703" i="19"/>
  <c r="AH703" i="19" s="1"/>
  <c r="AG703" i="19" s="1"/>
  <c r="H704" i="19"/>
  <c r="AH704" i="19" s="1"/>
  <c r="AG704" i="19" s="1"/>
  <c r="H699" i="19"/>
  <c r="AH699" i="19" s="1"/>
  <c r="AG699" i="19" s="1"/>
  <c r="H692" i="19"/>
  <c r="AH692" i="19" s="1"/>
  <c r="AG692" i="19" s="1"/>
  <c r="H695" i="19"/>
  <c r="AH695" i="19" s="1"/>
  <c r="AG695" i="19" s="1"/>
  <c r="H690" i="19"/>
  <c r="AH690" i="19" s="1"/>
  <c r="AG690" i="19" s="1"/>
  <c r="H700" i="19"/>
  <c r="AH700" i="19" s="1"/>
  <c r="AG700" i="19" s="1"/>
  <c r="H688" i="19"/>
  <c r="AH688" i="19" s="1"/>
  <c r="AG688" i="19" s="1"/>
  <c r="H684" i="19"/>
  <c r="AH684" i="19" s="1"/>
  <c r="AG684" i="19" s="1"/>
  <c r="H686" i="19"/>
  <c r="AH686" i="19" s="1"/>
  <c r="AG686" i="19" s="1"/>
  <c r="H681" i="19"/>
  <c r="AH681" i="19" s="1"/>
  <c r="AG681" i="19" s="1"/>
  <c r="H677" i="19"/>
  <c r="AH677" i="19" s="1"/>
  <c r="AG677" i="19" s="1"/>
  <c r="H670" i="19"/>
  <c r="AH670" i="19" s="1"/>
  <c r="AG670" i="19" s="1"/>
  <c r="H673" i="19"/>
  <c r="AH673" i="19" s="1"/>
  <c r="AG673" i="19" s="1"/>
  <c r="H675" i="19"/>
  <c r="AH675" i="19" s="1"/>
  <c r="AG675" i="19" s="1"/>
  <c r="H665" i="19"/>
  <c r="AH665" i="19" s="1"/>
  <c r="AG665" i="19" s="1"/>
  <c r="H668" i="19"/>
  <c r="AH668" i="19" s="1"/>
  <c r="AG668" i="19" s="1"/>
  <c r="H658" i="19"/>
  <c r="AH658" i="19" s="1"/>
  <c r="AG658" i="19" s="1"/>
  <c r="H661" i="19"/>
  <c r="AH661" i="19" s="1"/>
  <c r="AG661" i="19" s="1"/>
  <c r="H657" i="19"/>
  <c r="AH657" i="19" s="1"/>
  <c r="AG657" i="19" s="1"/>
  <c r="H655" i="19"/>
  <c r="AH655" i="19" s="1"/>
  <c r="AG655" i="19" s="1"/>
  <c r="H652" i="19"/>
  <c r="AH652" i="19" s="1"/>
  <c r="AG652" i="19" s="1"/>
  <c r="H649" i="19"/>
  <c r="AH649" i="19" s="1"/>
  <c r="AG649" i="19" s="1"/>
  <c r="H648" i="19"/>
  <c r="AH648" i="19" s="1"/>
  <c r="AG648" i="19" s="1"/>
  <c r="H644" i="19"/>
  <c r="AH644" i="19" s="1"/>
  <c r="AG644" i="19" s="1"/>
  <c r="H640" i="19"/>
  <c r="AH640" i="19" s="1"/>
  <c r="AG640" i="19" s="1"/>
  <c r="H641" i="19"/>
  <c r="AH641" i="19" s="1"/>
  <c r="AG641" i="19" s="1"/>
  <c r="H637" i="19"/>
  <c r="AH637" i="19" s="1"/>
  <c r="AG637" i="19" s="1"/>
  <c r="H632" i="19"/>
  <c r="AH632" i="19" s="1"/>
  <c r="AG632" i="19" s="1"/>
  <c r="H633" i="19"/>
  <c r="AH633" i="19" s="1"/>
  <c r="AG633" i="19" s="1"/>
  <c r="H638" i="19"/>
  <c r="AH638" i="19" s="1"/>
  <c r="AG638" i="19" s="1"/>
  <c r="H629" i="19"/>
  <c r="AH629" i="19" s="1"/>
  <c r="AG629" i="19" s="1"/>
  <c r="H624" i="19"/>
  <c r="AH624" i="19" s="1"/>
  <c r="AG624" i="19" s="1"/>
  <c r="H625" i="19"/>
  <c r="AH625" i="19" s="1"/>
  <c r="AG625" i="19" s="1"/>
  <c r="H619" i="19"/>
  <c r="AH619" i="19" s="1"/>
  <c r="AG619" i="19" s="1"/>
  <c r="H620" i="19"/>
  <c r="AH620" i="19" s="1"/>
  <c r="AG620" i="19" s="1"/>
  <c r="H622" i="19"/>
  <c r="AH622" i="19" s="1"/>
  <c r="AG622" i="19" s="1"/>
  <c r="H611" i="19"/>
  <c r="AH611" i="19" s="1"/>
  <c r="AG611" i="19" s="1"/>
  <c r="H614" i="19"/>
  <c r="AH614" i="19" s="1"/>
  <c r="AG614" i="19" s="1"/>
  <c r="H610" i="19"/>
  <c r="AH610" i="19" s="1"/>
  <c r="AG610" i="19" s="1"/>
  <c r="H607" i="19"/>
  <c r="AH607" i="19" s="1"/>
  <c r="AG607" i="19" s="1"/>
  <c r="H603" i="19"/>
  <c r="AH603" i="19" s="1"/>
  <c r="AG603" i="19" s="1"/>
  <c r="H606" i="19"/>
  <c r="AH606" i="19" s="1"/>
  <c r="AG606" i="19" s="1"/>
  <c r="H600" i="19"/>
  <c r="AH600" i="19" s="1"/>
  <c r="AG600" i="19" s="1"/>
  <c r="H598" i="19"/>
  <c r="AH598" i="19" s="1"/>
  <c r="AG598" i="19" s="1"/>
  <c r="H597" i="19"/>
  <c r="AH597" i="19" s="1"/>
  <c r="AG597" i="19" s="1"/>
  <c r="H589" i="19"/>
  <c r="AH589" i="19" s="1"/>
  <c r="AG589" i="19" s="1"/>
  <c r="H590" i="19"/>
  <c r="AH590" i="19" s="1"/>
  <c r="AG590" i="19" s="1"/>
  <c r="H585" i="19"/>
  <c r="AH585" i="19" s="1"/>
  <c r="AG585" i="19" s="1"/>
  <c r="H582" i="19"/>
  <c r="AH582" i="19" s="1"/>
  <c r="AG582" i="19" s="1"/>
  <c r="H581" i="19"/>
  <c r="AH581" i="19" s="1"/>
  <c r="AG581" i="19" s="1"/>
  <c r="H578" i="19"/>
  <c r="AH578" i="19" s="1"/>
  <c r="AG578" i="19" s="1"/>
  <c r="H575" i="19"/>
  <c r="AH575" i="19" s="1"/>
  <c r="AG575" i="19" s="1"/>
  <c r="H572" i="19"/>
  <c r="AH572" i="19" s="1"/>
  <c r="AG572" i="19" s="1"/>
  <c r="H569" i="19"/>
  <c r="AH569" i="19" s="1"/>
  <c r="AG569" i="19" s="1"/>
  <c r="H564" i="19"/>
  <c r="AH564" i="19" s="1"/>
  <c r="AG564" i="19" s="1"/>
  <c r="H567" i="19"/>
  <c r="AH567" i="19" s="1"/>
  <c r="AG567" i="19" s="1"/>
  <c r="H560" i="19"/>
  <c r="AH560" i="19" s="1"/>
  <c r="AG560" i="19" s="1"/>
  <c r="H559" i="19"/>
  <c r="AH559" i="19" s="1"/>
  <c r="AG559" i="19" s="1"/>
  <c r="H554" i="19"/>
  <c r="AH554" i="19" s="1"/>
  <c r="AG554" i="19" s="1"/>
  <c r="H555" i="19"/>
  <c r="AH555" i="19" s="1"/>
  <c r="AG555" i="19" s="1"/>
  <c r="H548" i="19"/>
  <c r="AH548" i="19" s="1"/>
  <c r="AG548" i="19" s="1"/>
  <c r="H551" i="19"/>
  <c r="AH551" i="19" s="1"/>
  <c r="AG551" i="19" s="1"/>
  <c r="H552" i="19"/>
  <c r="AH552" i="19" s="1"/>
  <c r="AG552" i="19" s="1"/>
  <c r="H541" i="19"/>
  <c r="AH541" i="19" s="1"/>
  <c r="AG541" i="19" s="1"/>
  <c r="H543" i="19"/>
  <c r="AH543" i="19" s="1"/>
  <c r="AG543" i="19" s="1"/>
  <c r="H539" i="19"/>
  <c r="AH539" i="19" s="1"/>
  <c r="AG539" i="19" s="1"/>
  <c r="H544" i="19"/>
  <c r="AH544" i="19" s="1"/>
  <c r="AG544" i="19" s="1"/>
  <c r="H530" i="19"/>
  <c r="AH530" i="19" s="1"/>
  <c r="AG530" i="19" s="1"/>
  <c r="H532" i="19"/>
  <c r="AH532" i="19" s="1"/>
  <c r="AG532" i="19" s="1"/>
  <c r="H534" i="19"/>
  <c r="AH534" i="19" s="1"/>
  <c r="AG534" i="19" s="1"/>
  <c r="H535" i="19"/>
  <c r="AH535" i="19" s="1"/>
  <c r="AG535" i="19" s="1"/>
  <c r="H526" i="19"/>
  <c r="AH526" i="19" s="1"/>
  <c r="AG526" i="19" s="1"/>
  <c r="H523" i="19"/>
  <c r="AH523" i="19" s="1"/>
  <c r="AG523" i="19" s="1"/>
  <c r="H525" i="19"/>
  <c r="AH525" i="19" s="1"/>
  <c r="AG525" i="19" s="1"/>
  <c r="H521" i="19"/>
  <c r="AH521" i="19" s="1"/>
  <c r="AG521" i="19" s="1"/>
  <c r="H524" i="19"/>
  <c r="AH524" i="19" s="1"/>
  <c r="AG524" i="19" s="1"/>
  <c r="H515" i="19"/>
  <c r="AH515" i="19" s="1"/>
  <c r="AG515" i="19" s="1"/>
  <c r="H511" i="19"/>
  <c r="AH511" i="19" s="1"/>
  <c r="AG511" i="19" s="1"/>
  <c r="H514" i="19"/>
  <c r="AH514" i="19" s="1"/>
  <c r="AG514" i="19" s="1"/>
  <c r="H508" i="19"/>
  <c r="AH508" i="19" s="1"/>
  <c r="AG508" i="19" s="1"/>
  <c r="H510" i="19"/>
  <c r="AH510" i="19" s="1"/>
  <c r="AG510" i="19" s="1"/>
  <c r="H497" i="19"/>
  <c r="AH497" i="19" s="1"/>
  <c r="AG497" i="19" s="1"/>
  <c r="H501" i="19"/>
  <c r="AH501" i="19" s="1"/>
  <c r="AG501" i="19" s="1"/>
  <c r="H503" i="19"/>
  <c r="AH503" i="19" s="1"/>
  <c r="AG503" i="19" s="1"/>
  <c r="H498" i="19"/>
  <c r="AH498" i="19" s="1"/>
  <c r="AG498" i="19" s="1"/>
  <c r="H502" i="19"/>
  <c r="AH502" i="19" s="1"/>
  <c r="AG502" i="19" s="1"/>
  <c r="H493" i="19"/>
  <c r="AH493" i="19" s="1"/>
  <c r="AG493" i="19" s="1"/>
  <c r="H488" i="19"/>
  <c r="AH488" i="19" s="1"/>
  <c r="AG488" i="19" s="1"/>
  <c r="H489" i="19"/>
  <c r="AH489" i="19" s="1"/>
  <c r="AG489" i="19" s="1"/>
  <c r="H484" i="19"/>
  <c r="AH484" i="19" s="1"/>
  <c r="AG484" i="19" s="1"/>
  <c r="H480" i="19"/>
  <c r="AH480" i="19" s="1"/>
  <c r="AG480" i="19" s="1"/>
  <c r="H482" i="19"/>
  <c r="AH482" i="19" s="1"/>
  <c r="AG482" i="19" s="1"/>
  <c r="H477" i="19"/>
  <c r="AH477" i="19" s="1"/>
  <c r="AG477" i="19" s="1"/>
  <c r="H473" i="19"/>
  <c r="AH473" i="19" s="1"/>
  <c r="AG473" i="19" s="1"/>
  <c r="H472" i="19"/>
  <c r="AH472" i="19" s="1"/>
  <c r="AG472" i="19" s="1"/>
  <c r="H467" i="19"/>
  <c r="AH467" i="19" s="1"/>
  <c r="AG467" i="19" s="1"/>
  <c r="H470" i="19"/>
  <c r="AH470" i="19" s="1"/>
  <c r="AG470" i="19" s="1"/>
  <c r="H464" i="19"/>
  <c r="AH464" i="19" s="1"/>
  <c r="AG464" i="19" s="1"/>
  <c r="H460" i="19"/>
  <c r="AH460" i="19" s="1"/>
  <c r="AG460" i="19" s="1"/>
  <c r="H456" i="19"/>
  <c r="AH456" i="19" s="1"/>
  <c r="AG456" i="19" s="1"/>
  <c r="H458" i="19"/>
  <c r="AH458" i="19" s="1"/>
  <c r="AG458" i="19" s="1"/>
  <c r="H453" i="19"/>
  <c r="AH453" i="19" s="1"/>
  <c r="AG453" i="19" s="1"/>
  <c r="H451" i="19"/>
  <c r="AH451" i="19" s="1"/>
  <c r="AG451" i="19" s="1"/>
  <c r="H450" i="19"/>
  <c r="AH450" i="19" s="1"/>
  <c r="AG450" i="19" s="1"/>
  <c r="H443" i="19"/>
  <c r="AH443" i="19" s="1"/>
  <c r="AG443" i="19" s="1"/>
  <c r="H442" i="19"/>
  <c r="AH442" i="19" s="1"/>
  <c r="AG442" i="19" s="1"/>
  <c r="H439" i="19"/>
  <c r="AH439" i="19" s="1"/>
  <c r="AG439" i="19" s="1"/>
  <c r="H437" i="19"/>
  <c r="AH437" i="19" s="1"/>
  <c r="AG437" i="19" s="1"/>
  <c r="H435" i="19"/>
  <c r="AH435" i="19" s="1"/>
  <c r="AG435" i="19" s="1"/>
  <c r="H432" i="19"/>
  <c r="AH432" i="19" s="1"/>
  <c r="AG432" i="19" s="1"/>
  <c r="H433" i="19"/>
  <c r="AH433" i="19" s="1"/>
  <c r="AG433" i="19" s="1"/>
  <c r="H426" i="19"/>
  <c r="AH426" i="19" s="1"/>
  <c r="AG426" i="19" s="1"/>
  <c r="H420" i="19"/>
  <c r="AH420" i="19" s="1"/>
  <c r="AG420" i="19" s="1"/>
  <c r="H422" i="19"/>
  <c r="AH422" i="19" s="1"/>
  <c r="AG422" i="19" s="1"/>
  <c r="H416" i="19"/>
  <c r="AH416" i="19" s="1"/>
  <c r="AG416" i="19" s="1"/>
  <c r="H419" i="19"/>
  <c r="AH419" i="19" s="1"/>
  <c r="AG419" i="19" s="1"/>
  <c r="H418" i="19"/>
  <c r="AH418" i="19" s="1"/>
  <c r="AG418" i="19" s="1"/>
  <c r="H412" i="19"/>
  <c r="AH412" i="19" s="1"/>
  <c r="AG412" i="19" s="1"/>
  <c r="H410" i="19"/>
  <c r="AH410" i="19" s="1"/>
  <c r="AG410" i="19" s="1"/>
  <c r="H409" i="19"/>
  <c r="AH409" i="19" s="1"/>
  <c r="AG409" i="19" s="1"/>
  <c r="H404" i="19"/>
  <c r="AH404" i="19" s="1"/>
  <c r="AG404" i="19" s="1"/>
  <c r="H398" i="19"/>
  <c r="AH398" i="19" s="1"/>
  <c r="AG398" i="19" s="1"/>
  <c r="H400" i="19"/>
  <c r="AH400" i="19" s="1"/>
  <c r="AG400" i="19" s="1"/>
  <c r="H399" i="19"/>
  <c r="AH399" i="19" s="1"/>
  <c r="AG399" i="19" s="1"/>
  <c r="H395" i="19"/>
  <c r="AH395" i="19" s="1"/>
  <c r="AG395" i="19" s="1"/>
  <c r="H393" i="19"/>
  <c r="AH393" i="19" s="1"/>
  <c r="AG393" i="19" s="1"/>
  <c r="H389" i="19"/>
  <c r="AH389" i="19" s="1"/>
  <c r="AG389" i="19" s="1"/>
  <c r="H382" i="19"/>
  <c r="AH382" i="19" s="1"/>
  <c r="AG382" i="19" s="1"/>
  <c r="H384" i="19"/>
  <c r="AH384" i="19" s="1"/>
  <c r="AG384" i="19" s="1"/>
  <c r="H379" i="19"/>
  <c r="AH379" i="19" s="1"/>
  <c r="AG379" i="19" s="1"/>
  <c r="H374" i="19"/>
  <c r="AH374" i="19" s="1"/>
  <c r="AG374" i="19" s="1"/>
  <c r="H367" i="19"/>
  <c r="AH367" i="19" s="1"/>
  <c r="AG367" i="19" s="1"/>
  <c r="H373" i="19"/>
  <c r="AH373" i="19" s="1"/>
  <c r="AG373" i="19" s="1"/>
  <c r="H368" i="19"/>
  <c r="AH368" i="19" s="1"/>
  <c r="AG368" i="19" s="1"/>
  <c r="H372" i="19"/>
  <c r="AH372" i="19" s="1"/>
  <c r="AG372" i="19" s="1"/>
  <c r="H364" i="19"/>
  <c r="AH364" i="19" s="1"/>
  <c r="AG364" i="19" s="1"/>
  <c r="H370" i="19"/>
  <c r="AH370" i="19" s="1"/>
  <c r="AG370" i="19" s="1"/>
  <c r="H361" i="19"/>
  <c r="AH361" i="19" s="1"/>
  <c r="AG361" i="19" s="1"/>
  <c r="H358" i="19"/>
  <c r="AH358" i="19" s="1"/>
  <c r="AG358" i="19" s="1"/>
  <c r="H360" i="19"/>
  <c r="AH360" i="19" s="1"/>
  <c r="AG360" i="19" s="1"/>
  <c r="H354" i="19"/>
  <c r="AH354" i="19" s="1"/>
  <c r="AG354" i="19" s="1"/>
  <c r="H353" i="19"/>
  <c r="AH353" i="19" s="1"/>
  <c r="AG353" i="19" s="1"/>
  <c r="H352" i="19"/>
  <c r="AH352" i="19" s="1"/>
  <c r="AG352" i="19" s="1"/>
  <c r="H350" i="19"/>
  <c r="AH350" i="19" s="1"/>
  <c r="AG350" i="19" s="1"/>
  <c r="H346" i="19"/>
  <c r="AH346" i="19" s="1"/>
  <c r="AG346" i="19" s="1"/>
  <c r="H345" i="19"/>
  <c r="AH345" i="19" s="1"/>
  <c r="AG345" i="19" s="1"/>
  <c r="H342" i="19"/>
  <c r="AH342" i="19" s="1"/>
  <c r="AG342" i="19" s="1"/>
  <c r="H341" i="19"/>
  <c r="AH341" i="19" s="1"/>
  <c r="AG341" i="19" s="1"/>
  <c r="H340" i="19"/>
  <c r="AH340" i="19" s="1"/>
  <c r="AG340" i="19" s="1"/>
  <c r="H1160" i="19"/>
  <c r="AH1160" i="19" s="1"/>
  <c r="AG1160" i="19" s="1"/>
  <c r="H1161" i="19"/>
  <c r="AH1161" i="19" s="1"/>
  <c r="AG1161" i="19" s="1"/>
  <c r="H1172" i="19"/>
  <c r="AH1172" i="19" s="1"/>
  <c r="AG1172" i="19" s="1"/>
  <c r="H1173" i="19"/>
  <c r="AH1173" i="19" s="1"/>
  <c r="AG1173" i="19" s="1"/>
  <c r="H1184" i="19"/>
  <c r="AH1184" i="19" s="1"/>
  <c r="AG1184" i="19" s="1"/>
  <c r="H1185" i="19"/>
  <c r="AH1185" i="19" s="1"/>
  <c r="AG1185" i="19" s="1"/>
  <c r="H1142" i="19"/>
  <c r="AH1142" i="19" s="1"/>
  <c r="AG1142" i="19" s="1"/>
  <c r="H1174" i="19"/>
  <c r="AH1174" i="19" s="1"/>
  <c r="AG1174" i="19" s="1"/>
  <c r="H1147" i="19"/>
  <c r="AH1147" i="19" s="1"/>
  <c r="AG1147" i="19" s="1"/>
  <c r="H1135" i="19"/>
  <c r="AH1135" i="19" s="1"/>
  <c r="AG1135" i="19" s="1"/>
  <c r="H1159" i="19"/>
  <c r="AH1159" i="19" s="1"/>
  <c r="AG1159" i="19" s="1"/>
  <c r="H1183" i="19"/>
  <c r="AH1183" i="19" s="1"/>
  <c r="AG1183" i="19" s="1"/>
  <c r="H1171" i="19"/>
  <c r="AH1171" i="19" s="1"/>
  <c r="AG1171" i="19" s="1"/>
  <c r="H1130" i="19"/>
  <c r="AH1130" i="19" s="1"/>
  <c r="AG1130" i="19" s="1"/>
  <c r="H1162" i="19"/>
  <c r="AH1162" i="19" s="1"/>
  <c r="AG1162" i="19" s="1"/>
  <c r="H1165" i="19"/>
  <c r="AH1165" i="19" s="1"/>
  <c r="AG1165" i="19" s="1"/>
  <c r="H1131" i="19"/>
  <c r="AH1131" i="19" s="1"/>
  <c r="AG1131" i="19" s="1"/>
  <c r="H1141" i="19"/>
  <c r="AH1141" i="19" s="1"/>
  <c r="AG1141" i="19" s="1"/>
  <c r="H1143" i="19"/>
  <c r="AH1143" i="19" s="1"/>
  <c r="AG1143" i="19" s="1"/>
  <c r="H1151" i="19"/>
  <c r="AH1151" i="19" s="1"/>
  <c r="AG1151" i="19" s="1"/>
  <c r="H1155" i="19"/>
  <c r="AH1155" i="19" s="1"/>
  <c r="AG1155" i="19" s="1"/>
  <c r="H1134" i="19"/>
  <c r="AH1134" i="19" s="1"/>
  <c r="AG1134" i="19" s="1"/>
  <c r="H1166" i="19"/>
  <c r="AH1166" i="19" s="1"/>
  <c r="AG1166" i="19" s="1"/>
  <c r="H1176" i="19"/>
  <c r="AH1176" i="19" s="1"/>
  <c r="AG1176" i="19" s="1"/>
  <c r="H1177" i="19"/>
  <c r="AH1177" i="19" s="1"/>
  <c r="AG1177" i="19" s="1"/>
  <c r="H1188" i="19"/>
  <c r="AH1188" i="19" s="1"/>
  <c r="AG1188" i="19" s="1"/>
  <c r="H1153" i="19"/>
  <c r="AH1153" i="19" s="1"/>
  <c r="AG1153" i="19" s="1"/>
  <c r="H1181" i="19"/>
  <c r="AH1181" i="19" s="1"/>
  <c r="AG1181" i="19" s="1"/>
  <c r="H1139" i="19"/>
  <c r="AH1139" i="19" s="1"/>
  <c r="AG1139" i="19" s="1"/>
  <c r="H1138" i="19"/>
  <c r="AH1138" i="19" s="1"/>
  <c r="AG1138" i="19" s="1"/>
  <c r="H1170" i="19"/>
  <c r="AH1170" i="19" s="1"/>
  <c r="AG1170" i="19" s="1"/>
  <c r="H1124" i="19"/>
  <c r="AH1124" i="19" s="1"/>
  <c r="AG1124" i="19" s="1"/>
  <c r="H1121" i="19"/>
  <c r="AH1121" i="19" s="1"/>
  <c r="AG1121" i="19" s="1"/>
  <c r="H1117" i="19"/>
  <c r="AH1117" i="19" s="1"/>
  <c r="AG1117" i="19" s="1"/>
  <c r="H1113" i="19"/>
  <c r="AH1113" i="19" s="1"/>
  <c r="AG1113" i="19" s="1"/>
  <c r="H1109" i="19"/>
  <c r="AH1109" i="19" s="1"/>
  <c r="AG1109" i="19" s="1"/>
  <c r="H1105" i="19"/>
  <c r="AH1105" i="19" s="1"/>
  <c r="AG1105" i="19" s="1"/>
  <c r="H1102" i="19"/>
  <c r="AH1102" i="19" s="1"/>
  <c r="AG1102" i="19" s="1"/>
  <c r="H1098" i="19"/>
  <c r="AH1098" i="19" s="1"/>
  <c r="AG1098" i="19" s="1"/>
  <c r="H1095" i="19"/>
  <c r="AH1095" i="19" s="1"/>
  <c r="AG1095" i="19" s="1"/>
  <c r="H1091" i="19"/>
  <c r="AH1091" i="19" s="1"/>
  <c r="AG1091" i="19" s="1"/>
  <c r="H1088" i="19"/>
  <c r="AH1088" i="19" s="1"/>
  <c r="AG1088" i="19" s="1"/>
  <c r="H1084" i="19"/>
  <c r="AH1084" i="19" s="1"/>
  <c r="AG1084" i="19" s="1"/>
  <c r="H1080" i="19"/>
  <c r="AH1080" i="19" s="1"/>
  <c r="AG1080" i="19" s="1"/>
  <c r="H1077" i="19"/>
  <c r="AH1077" i="19" s="1"/>
  <c r="AG1077" i="19" s="1"/>
  <c r="H1069" i="19"/>
  <c r="AH1069" i="19" s="1"/>
  <c r="AG1069" i="19" s="1"/>
  <c r="H1070" i="19"/>
  <c r="AH1070" i="19" s="1"/>
  <c r="AG1070" i="19" s="1"/>
  <c r="H1071" i="19"/>
  <c r="AH1071" i="19" s="1"/>
  <c r="AG1071" i="19" s="1"/>
  <c r="H1066" i="19"/>
  <c r="AH1066" i="19" s="1"/>
  <c r="AG1066" i="19" s="1"/>
  <c r="H1063" i="19"/>
  <c r="AH1063" i="19" s="1"/>
  <c r="AG1063" i="19" s="1"/>
  <c r="H1059" i="19"/>
  <c r="AH1059" i="19" s="1"/>
  <c r="AG1059" i="19" s="1"/>
  <c r="H1060" i="19"/>
  <c r="AH1060" i="19" s="1"/>
  <c r="AG1060" i="19" s="1"/>
  <c r="H1054" i="19"/>
  <c r="AH1054" i="19" s="1"/>
  <c r="AG1054" i="19" s="1"/>
  <c r="H1053" i="19"/>
  <c r="AH1053" i="19" s="1"/>
  <c r="AG1053" i="19" s="1"/>
  <c r="H1050" i="19"/>
  <c r="AH1050" i="19" s="1"/>
  <c r="AG1050" i="19" s="1"/>
  <c r="H1045" i="19"/>
  <c r="AH1045" i="19" s="1"/>
  <c r="AG1045" i="19" s="1"/>
  <c r="H1048" i="19"/>
  <c r="AH1048" i="19" s="1"/>
  <c r="AG1048" i="19" s="1"/>
  <c r="H1034" i="19"/>
  <c r="AH1034" i="19" s="1"/>
  <c r="AG1034" i="19" s="1"/>
  <c r="H1033" i="19"/>
  <c r="AH1033" i="19" s="1"/>
  <c r="AG1033" i="19" s="1"/>
  <c r="H1032" i="19"/>
  <c r="AH1032" i="19" s="1"/>
  <c r="AG1032" i="19" s="1"/>
  <c r="H1037" i="19"/>
  <c r="AH1037" i="19" s="1"/>
  <c r="AG1037" i="19" s="1"/>
  <c r="H1043" i="19"/>
  <c r="AH1043" i="19" s="1"/>
  <c r="AG1043" i="19" s="1"/>
  <c r="H1029" i="19"/>
  <c r="AH1029" i="19" s="1"/>
  <c r="AG1029" i="19" s="1"/>
  <c r="H1035" i="19"/>
  <c r="AH1035" i="19" s="1"/>
  <c r="AG1035" i="19" s="1"/>
  <c r="H1041" i="19"/>
  <c r="AH1041" i="19" s="1"/>
  <c r="AG1041" i="19" s="1"/>
  <c r="H1024" i="19"/>
  <c r="AH1024" i="19" s="1"/>
  <c r="AG1024" i="19" s="1"/>
  <c r="H1020" i="19"/>
  <c r="AH1020" i="19" s="1"/>
  <c r="AG1020" i="19" s="1"/>
  <c r="H1021" i="19"/>
  <c r="AH1021" i="19" s="1"/>
  <c r="AG1021" i="19" s="1"/>
  <c r="H1012" i="19"/>
  <c r="AH1012" i="19" s="1"/>
  <c r="AG1012" i="19" s="1"/>
  <c r="H1013" i="19"/>
  <c r="AH1013" i="19" s="1"/>
  <c r="AG1013" i="19" s="1"/>
  <c r="H1014" i="19"/>
  <c r="AH1014" i="19" s="1"/>
  <c r="AG1014" i="19" s="1"/>
  <c r="H1009" i="19"/>
  <c r="AH1009" i="19" s="1"/>
  <c r="AG1009" i="19" s="1"/>
  <c r="H997" i="19"/>
  <c r="AH997" i="19" s="1"/>
  <c r="AG997" i="19" s="1"/>
  <c r="H1002" i="19"/>
  <c r="AH1002" i="19" s="1"/>
  <c r="AG1002" i="19" s="1"/>
  <c r="H999" i="19"/>
  <c r="AH999" i="19" s="1"/>
  <c r="AG999" i="19" s="1"/>
  <c r="H1005" i="19"/>
  <c r="AH1005" i="19" s="1"/>
  <c r="AG1005" i="19" s="1"/>
  <c r="H1003" i="19"/>
  <c r="AH1003" i="19" s="1"/>
  <c r="AG1003" i="19" s="1"/>
  <c r="H995" i="19"/>
  <c r="AH995" i="19" s="1"/>
  <c r="AG995" i="19" s="1"/>
  <c r="H996" i="19"/>
  <c r="AH996" i="19" s="1"/>
  <c r="AG996" i="19" s="1"/>
  <c r="H1006" i="19"/>
  <c r="AH1006" i="19" s="1"/>
  <c r="AG1006" i="19" s="1"/>
  <c r="H991" i="19"/>
  <c r="AH991" i="19" s="1"/>
  <c r="AG991" i="19" s="1"/>
  <c r="H984" i="19"/>
  <c r="AH984" i="19" s="1"/>
  <c r="AG984" i="19" s="1"/>
  <c r="H978" i="19"/>
  <c r="AH978" i="19" s="1"/>
  <c r="AG978" i="19" s="1"/>
  <c r="H975" i="19"/>
  <c r="AH975" i="19" s="1"/>
  <c r="AG975" i="19" s="1"/>
  <c r="H982" i="19"/>
  <c r="AH982" i="19" s="1"/>
  <c r="AG982" i="19" s="1"/>
  <c r="H976" i="19"/>
  <c r="AH976" i="19" s="1"/>
  <c r="AG976" i="19" s="1"/>
  <c r="H979" i="19"/>
  <c r="AH979" i="19" s="1"/>
  <c r="AG979" i="19" s="1"/>
  <c r="H981" i="19"/>
  <c r="AH981" i="19" s="1"/>
  <c r="AG981" i="19" s="1"/>
  <c r="H971" i="19"/>
  <c r="AH971" i="19" s="1"/>
  <c r="AG971" i="19" s="1"/>
  <c r="H968" i="19"/>
  <c r="AH968" i="19" s="1"/>
  <c r="AG968" i="19" s="1"/>
  <c r="H967" i="19"/>
  <c r="AH967" i="19" s="1"/>
  <c r="AG967" i="19" s="1"/>
  <c r="H965" i="19"/>
  <c r="AH965" i="19" s="1"/>
  <c r="AG965" i="19" s="1"/>
  <c r="H963" i="19"/>
  <c r="AH963" i="19" s="1"/>
  <c r="AG963" i="19" s="1"/>
  <c r="H959" i="19"/>
  <c r="AH959" i="19" s="1"/>
  <c r="AG959" i="19" s="1"/>
  <c r="H956" i="19"/>
  <c r="AH956" i="19" s="1"/>
  <c r="AG956" i="19" s="1"/>
  <c r="H954" i="19"/>
  <c r="AH954" i="19" s="1"/>
  <c r="AG954" i="19" s="1"/>
  <c r="H952" i="19"/>
  <c r="AH952" i="19" s="1"/>
  <c r="AG952" i="19" s="1"/>
  <c r="H948" i="19"/>
  <c r="AH948" i="19" s="1"/>
  <c r="AG948" i="19" s="1"/>
  <c r="H945" i="19"/>
  <c r="AH945" i="19" s="1"/>
  <c r="AG945" i="19" s="1"/>
  <c r="H939" i="19"/>
  <c r="AH939" i="19" s="1"/>
  <c r="AG939" i="19" s="1"/>
  <c r="H938" i="19"/>
  <c r="AH938" i="19" s="1"/>
  <c r="AG938" i="19" s="1"/>
  <c r="H943" i="19"/>
  <c r="AH943" i="19" s="1"/>
  <c r="AG943" i="19" s="1"/>
  <c r="H932" i="19"/>
  <c r="AH932" i="19" s="1"/>
  <c r="AG932" i="19" s="1"/>
  <c r="H929" i="19"/>
  <c r="AH929" i="19" s="1"/>
  <c r="AG929" i="19" s="1"/>
  <c r="H930" i="19"/>
  <c r="AH930" i="19" s="1"/>
  <c r="AG930" i="19" s="1"/>
  <c r="H934" i="19"/>
  <c r="AH934" i="19" s="1"/>
  <c r="AG934" i="19" s="1"/>
  <c r="H924" i="19"/>
  <c r="AH924" i="19" s="1"/>
  <c r="AG924" i="19" s="1"/>
  <c r="H922" i="19"/>
  <c r="AH922" i="19" s="1"/>
  <c r="AG922" i="19" s="1"/>
  <c r="H920" i="19"/>
  <c r="AH920" i="19" s="1"/>
  <c r="AG920" i="19" s="1"/>
  <c r="H916" i="19"/>
  <c r="AH916" i="19" s="1"/>
  <c r="AG916" i="19" s="1"/>
  <c r="H912" i="19"/>
  <c r="AH912" i="19" s="1"/>
  <c r="AG912" i="19" s="1"/>
  <c r="H908" i="19"/>
  <c r="AH908" i="19" s="1"/>
  <c r="AG908" i="19" s="1"/>
  <c r="H900" i="19"/>
  <c r="AH900" i="19" s="1"/>
  <c r="AG900" i="19" s="1"/>
  <c r="H902" i="19"/>
  <c r="AH902" i="19" s="1"/>
  <c r="AG902" i="19" s="1"/>
  <c r="H904" i="19"/>
  <c r="AH904" i="19" s="1"/>
  <c r="AG904" i="19" s="1"/>
  <c r="H894" i="19"/>
  <c r="AH894" i="19" s="1"/>
  <c r="AG894" i="19" s="1"/>
  <c r="H897" i="19"/>
  <c r="AH897" i="19" s="1"/>
  <c r="AG897" i="19" s="1"/>
  <c r="H893" i="19"/>
  <c r="AH893" i="19" s="1"/>
  <c r="AG893" i="19" s="1"/>
  <c r="H889" i="19"/>
  <c r="AH889" i="19" s="1"/>
  <c r="AG889" i="19" s="1"/>
  <c r="H890" i="19"/>
  <c r="AH890" i="19" s="1"/>
  <c r="AG890" i="19" s="1"/>
  <c r="H886" i="19"/>
  <c r="AH886" i="19" s="1"/>
  <c r="AG886" i="19" s="1"/>
  <c r="H879" i="19"/>
  <c r="AH879" i="19" s="1"/>
  <c r="AG879" i="19" s="1"/>
  <c r="H880" i="19"/>
  <c r="AH880" i="19" s="1"/>
  <c r="AG880" i="19" s="1"/>
  <c r="H883" i="19"/>
  <c r="AH883" i="19" s="1"/>
  <c r="AG883" i="19" s="1"/>
  <c r="H878" i="19"/>
  <c r="AH878" i="19" s="1"/>
  <c r="AG878" i="19" s="1"/>
  <c r="H870" i="19"/>
  <c r="AH870" i="19" s="1"/>
  <c r="AG870" i="19" s="1"/>
  <c r="H865" i="19"/>
  <c r="AH865" i="19" s="1"/>
  <c r="AG865" i="19" s="1"/>
  <c r="H869" i="19"/>
  <c r="AH869" i="19" s="1"/>
  <c r="AG869" i="19" s="1"/>
  <c r="H874" i="19"/>
  <c r="AH874" i="19" s="1"/>
  <c r="AG874" i="19" s="1"/>
  <c r="H867" i="19"/>
  <c r="AH867" i="19" s="1"/>
  <c r="AG867" i="19" s="1"/>
  <c r="H855" i="19"/>
  <c r="AH855" i="19" s="1"/>
  <c r="AG855" i="19" s="1"/>
  <c r="H858" i="19"/>
  <c r="AH858" i="19" s="1"/>
  <c r="AG858" i="19" s="1"/>
  <c r="H853" i="19"/>
  <c r="AH853" i="19" s="1"/>
  <c r="AG853" i="19" s="1"/>
  <c r="H863" i="19"/>
  <c r="AH863" i="19" s="1"/>
  <c r="AG863" i="19" s="1"/>
  <c r="H860" i="19"/>
  <c r="AH860" i="19" s="1"/>
  <c r="AG860" i="19" s="1"/>
  <c r="H861" i="19"/>
  <c r="AH861" i="19" s="1"/>
  <c r="AG861" i="19" s="1"/>
  <c r="H851" i="19"/>
  <c r="AH851" i="19" s="1"/>
  <c r="AG851" i="19" s="1"/>
  <c r="H847" i="19"/>
  <c r="AH847" i="19" s="1"/>
  <c r="AG847" i="19" s="1"/>
  <c r="H844" i="19"/>
  <c r="AH844" i="19" s="1"/>
  <c r="AG844" i="19" s="1"/>
  <c r="H841" i="19"/>
  <c r="AH841" i="19" s="1"/>
  <c r="AG841" i="19" s="1"/>
  <c r="H838" i="19"/>
  <c r="AH838" i="19" s="1"/>
  <c r="AG838" i="19" s="1"/>
  <c r="H833" i="19"/>
  <c r="AH833" i="19" s="1"/>
  <c r="AG833" i="19" s="1"/>
  <c r="H831" i="19"/>
  <c r="AH831" i="19" s="1"/>
  <c r="AG831" i="19" s="1"/>
  <c r="H828" i="19"/>
  <c r="AH828" i="19" s="1"/>
  <c r="AG828" i="19" s="1"/>
  <c r="H824" i="19"/>
  <c r="AH824" i="19" s="1"/>
  <c r="AG824" i="19" s="1"/>
  <c r="H820" i="19"/>
  <c r="AH820" i="19" s="1"/>
  <c r="AG820" i="19" s="1"/>
  <c r="H815" i="19"/>
  <c r="AH815" i="19" s="1"/>
  <c r="AG815" i="19" s="1"/>
  <c r="H811" i="19"/>
  <c r="AH811" i="19" s="1"/>
  <c r="AG811" i="19" s="1"/>
  <c r="H809" i="19"/>
  <c r="AH809" i="19" s="1"/>
  <c r="AG809" i="19" s="1"/>
  <c r="H806" i="19"/>
  <c r="AH806" i="19" s="1"/>
  <c r="AG806" i="19" s="1"/>
  <c r="H801" i="19"/>
  <c r="AH801" i="19" s="1"/>
  <c r="AG801" i="19" s="1"/>
  <c r="H802" i="19"/>
  <c r="AH802" i="19" s="1"/>
  <c r="AG802" i="19" s="1"/>
  <c r="H797" i="19"/>
  <c r="AH797" i="19" s="1"/>
  <c r="AG797" i="19" s="1"/>
  <c r="H793" i="19"/>
  <c r="AH793" i="19" s="1"/>
  <c r="AG793" i="19" s="1"/>
  <c r="H791" i="19"/>
  <c r="AH791" i="19" s="1"/>
  <c r="AG791" i="19" s="1"/>
  <c r="H788" i="19"/>
  <c r="AH788" i="19" s="1"/>
  <c r="AG788" i="19" s="1"/>
  <c r="H785" i="19"/>
  <c r="AH785" i="19" s="1"/>
  <c r="AG785" i="19" s="1"/>
  <c r="H773" i="19"/>
  <c r="AH773" i="19" s="1"/>
  <c r="AG773" i="19" s="1"/>
  <c r="H774" i="19"/>
  <c r="AH774" i="19" s="1"/>
  <c r="AG774" i="19" s="1"/>
  <c r="H782" i="19"/>
  <c r="AH782" i="19" s="1"/>
  <c r="AG782" i="19" s="1"/>
  <c r="H777" i="19"/>
  <c r="AH777" i="19" s="1"/>
  <c r="AG777" i="19" s="1"/>
  <c r="H775" i="19"/>
  <c r="AH775" i="19" s="1"/>
  <c r="AG775" i="19" s="1"/>
  <c r="H779" i="19"/>
  <c r="AH779" i="19" s="1"/>
  <c r="AG779" i="19" s="1"/>
  <c r="H770" i="19"/>
  <c r="AH770" i="19" s="1"/>
  <c r="AG770" i="19" s="1"/>
  <c r="H758" i="19"/>
  <c r="AH758" i="19" s="1"/>
  <c r="AG758" i="19" s="1"/>
  <c r="H763" i="19"/>
  <c r="AH763" i="19" s="1"/>
  <c r="AG763" i="19" s="1"/>
  <c r="H760" i="19"/>
  <c r="AH760" i="19" s="1"/>
  <c r="AG760" i="19" s="1"/>
  <c r="H766" i="19"/>
  <c r="AH766" i="19" s="1"/>
  <c r="AG766" i="19" s="1"/>
  <c r="H764" i="19"/>
  <c r="AH764" i="19" s="1"/>
  <c r="AG764" i="19" s="1"/>
  <c r="H756" i="19"/>
  <c r="AH756" i="19" s="1"/>
  <c r="AG756" i="19" s="1"/>
  <c r="H761" i="19"/>
  <c r="AH761" i="19" s="1"/>
  <c r="AG761" i="19" s="1"/>
  <c r="H767" i="19"/>
  <c r="AH767" i="19" s="1"/>
  <c r="AG767" i="19" s="1"/>
  <c r="H752" i="19"/>
  <c r="AH752" i="19" s="1"/>
  <c r="AG752" i="19" s="1"/>
  <c r="H748" i="19"/>
  <c r="AH748" i="19" s="1"/>
  <c r="AG748" i="19" s="1"/>
  <c r="H742" i="19"/>
  <c r="AH742" i="19" s="1"/>
  <c r="AG742" i="19" s="1"/>
  <c r="H745" i="19"/>
  <c r="AH745" i="19" s="1"/>
  <c r="AG745" i="19" s="1"/>
  <c r="H744" i="19"/>
  <c r="AH744" i="19" s="1"/>
  <c r="AG744" i="19" s="1"/>
  <c r="H739" i="19"/>
  <c r="AH739" i="19" s="1"/>
  <c r="AG739" i="19" s="1"/>
  <c r="H729" i="19"/>
  <c r="AH729" i="19" s="1"/>
  <c r="AG729" i="19" s="1"/>
  <c r="H728" i="19"/>
  <c r="AH728" i="19" s="1"/>
  <c r="AG728" i="19" s="1"/>
  <c r="H727" i="19"/>
  <c r="AH727" i="19" s="1"/>
  <c r="AG727" i="19" s="1"/>
  <c r="H737" i="19"/>
  <c r="AH737" i="19" s="1"/>
  <c r="AG737" i="19" s="1"/>
  <c r="H734" i="19"/>
  <c r="AH734" i="19" s="1"/>
  <c r="AG734" i="19" s="1"/>
  <c r="H735" i="19"/>
  <c r="AH735" i="19" s="1"/>
  <c r="AG735" i="19" s="1"/>
  <c r="H724" i="19"/>
  <c r="AH724" i="19" s="1"/>
  <c r="AG724" i="19" s="1"/>
  <c r="H720" i="19"/>
  <c r="AH720" i="19" s="1"/>
  <c r="AG720" i="19" s="1"/>
  <c r="H717" i="19"/>
  <c r="AH717" i="19" s="1"/>
  <c r="AG717" i="19" s="1"/>
  <c r="H714" i="19"/>
  <c r="AH714" i="19" s="1"/>
  <c r="AG714" i="19" s="1"/>
  <c r="H711" i="19"/>
  <c r="AH711" i="19" s="1"/>
  <c r="AG711" i="19" s="1"/>
  <c r="H709" i="19"/>
  <c r="AH709" i="19" s="1"/>
  <c r="AG709" i="19" s="1"/>
  <c r="H708" i="19"/>
  <c r="AH708" i="19" s="1"/>
  <c r="AG708" i="19" s="1"/>
  <c r="H702" i="19"/>
  <c r="AH702" i="19" s="1"/>
  <c r="AG702" i="19" s="1"/>
  <c r="H705" i="19"/>
  <c r="AH705" i="19" s="1"/>
  <c r="AG705" i="19" s="1"/>
  <c r="H691" i="19"/>
  <c r="AH691" i="19" s="1"/>
  <c r="AG691" i="19" s="1"/>
  <c r="H698" i="19"/>
  <c r="AH698" i="19" s="1"/>
  <c r="AG698" i="19" s="1"/>
  <c r="H693" i="19"/>
  <c r="AH693" i="19" s="1"/>
  <c r="AG693" i="19" s="1"/>
  <c r="H697" i="19"/>
  <c r="AH697" i="19" s="1"/>
  <c r="AG697" i="19" s="1"/>
  <c r="H696" i="19"/>
  <c r="AH696" i="19" s="1"/>
  <c r="AG696" i="19" s="1"/>
  <c r="H694" i="19"/>
  <c r="AH694" i="19" s="1"/>
  <c r="AG694" i="19" s="1"/>
  <c r="H685" i="19"/>
  <c r="AH685" i="19" s="1"/>
  <c r="AG685" i="19" s="1"/>
  <c r="H683" i="19"/>
  <c r="AH683" i="19" s="1"/>
  <c r="AG683" i="19" s="1"/>
  <c r="H679" i="19"/>
  <c r="AH679" i="19" s="1"/>
  <c r="AG679" i="19" s="1"/>
  <c r="H680" i="19"/>
  <c r="AH680" i="19" s="1"/>
  <c r="AG680" i="19" s="1"/>
  <c r="H674" i="19"/>
  <c r="AH674" i="19" s="1"/>
  <c r="AG674" i="19" s="1"/>
  <c r="H672" i="19"/>
  <c r="AH672" i="19" s="1"/>
  <c r="AG672" i="19" s="1"/>
  <c r="H671" i="19"/>
  <c r="AH671" i="19" s="1"/>
  <c r="AG671" i="19" s="1"/>
  <c r="H664" i="19"/>
  <c r="AH664" i="19" s="1"/>
  <c r="AG664" i="19" s="1"/>
  <c r="H667" i="19"/>
  <c r="AH667" i="19" s="1"/>
  <c r="AG667" i="19" s="1"/>
  <c r="H666" i="19"/>
  <c r="AH666" i="19" s="1"/>
  <c r="AG666" i="19" s="1"/>
  <c r="H659" i="19"/>
  <c r="AH659" i="19" s="1"/>
  <c r="AG659" i="19" s="1"/>
  <c r="H660" i="19"/>
  <c r="AH660" i="19" s="1"/>
  <c r="AG660" i="19" s="1"/>
  <c r="H662" i="19"/>
  <c r="AH662" i="19" s="1"/>
  <c r="AG662" i="19" s="1"/>
  <c r="H653" i="19"/>
  <c r="AH653" i="19" s="1"/>
  <c r="AG653" i="19" s="1"/>
  <c r="H650" i="19"/>
  <c r="AH650" i="19" s="1"/>
  <c r="AG650" i="19" s="1"/>
  <c r="H647" i="19"/>
  <c r="AH647" i="19" s="1"/>
  <c r="AG647" i="19" s="1"/>
  <c r="H651" i="19"/>
  <c r="AH651" i="19" s="1"/>
  <c r="AG651" i="19" s="1"/>
  <c r="H643" i="19"/>
  <c r="AH643" i="19" s="1"/>
  <c r="AG643" i="19" s="1"/>
  <c r="H645" i="19"/>
  <c r="AH645" i="19" s="1"/>
  <c r="AG645" i="19" s="1"/>
  <c r="H642" i="19"/>
  <c r="AH642" i="19" s="1"/>
  <c r="AG642" i="19" s="1"/>
  <c r="H634" i="19"/>
  <c r="AH634" i="19" s="1"/>
  <c r="AG634" i="19" s="1"/>
  <c r="H635" i="19"/>
  <c r="AH635" i="19" s="1"/>
  <c r="AG635" i="19" s="1"/>
  <c r="H636" i="19"/>
  <c r="AH636" i="19" s="1"/>
  <c r="AG636" i="19" s="1"/>
  <c r="H630" i="19"/>
  <c r="AH630" i="19" s="1"/>
  <c r="AG630" i="19" s="1"/>
  <c r="H628" i="19"/>
  <c r="AH628" i="19" s="1"/>
  <c r="AG628" i="19" s="1"/>
  <c r="H626" i="19"/>
  <c r="AH626" i="19" s="1"/>
  <c r="AG626" i="19" s="1"/>
  <c r="H618" i="19"/>
  <c r="AH618" i="19" s="1"/>
  <c r="AG618" i="19" s="1"/>
  <c r="H621" i="19"/>
  <c r="AH621" i="19" s="1"/>
  <c r="AG621" i="19" s="1"/>
  <c r="H617" i="19"/>
  <c r="AH617" i="19" s="1"/>
  <c r="AG617" i="19" s="1"/>
  <c r="H615" i="19"/>
  <c r="AH615" i="19" s="1"/>
  <c r="AG615" i="19" s="1"/>
  <c r="H612" i="19"/>
  <c r="AH612" i="19" s="1"/>
  <c r="AG612" i="19" s="1"/>
  <c r="H609" i="19"/>
  <c r="AH609" i="19" s="1"/>
  <c r="AG609" i="19" s="1"/>
  <c r="H613" i="19"/>
  <c r="AH613" i="19" s="1"/>
  <c r="AG613" i="19" s="1"/>
  <c r="H605" i="19"/>
  <c r="AH605" i="19" s="1"/>
  <c r="AG605" i="19" s="1"/>
  <c r="H604" i="19"/>
  <c r="AH604" i="19" s="1"/>
  <c r="AG604" i="19" s="1"/>
  <c r="H601" i="19"/>
  <c r="AH601" i="19" s="1"/>
  <c r="AG601" i="19" s="1"/>
  <c r="H596" i="19"/>
  <c r="AH596" i="19" s="1"/>
  <c r="AG596" i="19" s="1"/>
  <c r="H595" i="19"/>
  <c r="AH595" i="19" s="1"/>
  <c r="AG595" i="19" s="1"/>
  <c r="H593" i="19"/>
  <c r="AH593" i="19" s="1"/>
  <c r="AG593" i="19" s="1"/>
  <c r="H591" i="19"/>
  <c r="AH591" i="19" s="1"/>
  <c r="AG591" i="19" s="1"/>
  <c r="H587" i="19"/>
  <c r="AH587" i="19" s="1"/>
  <c r="AG587" i="19" s="1"/>
  <c r="H586" i="19"/>
  <c r="AH586" i="19" s="1"/>
  <c r="AG586" i="19" s="1"/>
  <c r="H583" i="19"/>
  <c r="AH583" i="19" s="1"/>
  <c r="AG583" i="19" s="1"/>
  <c r="H579" i="19"/>
  <c r="AH579" i="19" s="1"/>
  <c r="AG579" i="19" s="1"/>
  <c r="H577" i="19"/>
  <c r="AH577" i="19" s="1"/>
  <c r="AG577" i="19" s="1"/>
  <c r="H573" i="19"/>
  <c r="AH573" i="19" s="1"/>
  <c r="AG573" i="19" s="1"/>
  <c r="H571" i="19"/>
  <c r="AH571" i="19" s="1"/>
  <c r="AG571" i="19" s="1"/>
  <c r="H563" i="19"/>
  <c r="AH563" i="19" s="1"/>
  <c r="AG563" i="19" s="1"/>
  <c r="H566" i="19"/>
  <c r="AH566" i="19" s="1"/>
  <c r="AG566" i="19" s="1"/>
  <c r="H565" i="19"/>
  <c r="AH565" i="19" s="1"/>
  <c r="AG565" i="19" s="1"/>
  <c r="H561" i="19"/>
  <c r="AH561" i="19" s="1"/>
  <c r="AG561" i="19" s="1"/>
  <c r="H557" i="19"/>
  <c r="AH557" i="19" s="1"/>
  <c r="AG557" i="19" s="1"/>
  <c r="H556" i="19"/>
  <c r="AH556" i="19" s="1"/>
  <c r="AG556" i="19" s="1"/>
  <c r="H549" i="19"/>
  <c r="AH549" i="19" s="1"/>
  <c r="AG549" i="19" s="1"/>
  <c r="H547" i="19"/>
  <c r="AH547" i="19" s="1"/>
  <c r="AG547" i="19" s="1"/>
  <c r="H546" i="19"/>
  <c r="AH546" i="19" s="1"/>
  <c r="AG546" i="19" s="1"/>
  <c r="H550" i="19"/>
  <c r="AH550" i="19" s="1"/>
  <c r="AG550" i="19" s="1"/>
  <c r="H542" i="19"/>
  <c r="AH542" i="19" s="1"/>
  <c r="AG542" i="19" s="1"/>
  <c r="H540" i="19"/>
  <c r="AH540" i="19" s="1"/>
  <c r="AG540" i="19" s="1"/>
  <c r="H537" i="19"/>
  <c r="AH537" i="19" s="1"/>
  <c r="AG537" i="19" s="1"/>
  <c r="H538" i="19"/>
  <c r="AH538" i="19" s="1"/>
  <c r="AG538" i="19" s="1"/>
  <c r="H533" i="19"/>
  <c r="AH533" i="19" s="1"/>
  <c r="AG533" i="19" s="1"/>
  <c r="H531" i="19"/>
  <c r="AH531" i="19" s="1"/>
  <c r="AG531" i="19" s="1"/>
  <c r="H528" i="19"/>
  <c r="AH528" i="19" s="1"/>
  <c r="AG528" i="19" s="1"/>
  <c r="H529" i="19"/>
  <c r="AH529" i="19" s="1"/>
  <c r="AG529" i="19" s="1"/>
  <c r="H518" i="19"/>
  <c r="AH518" i="19" s="1"/>
  <c r="AG518" i="19" s="1"/>
  <c r="H520" i="19"/>
  <c r="AH520" i="19" s="1"/>
  <c r="AG520" i="19" s="1"/>
  <c r="H519" i="19"/>
  <c r="AH519" i="19" s="1"/>
  <c r="AG519" i="19" s="1"/>
  <c r="H522" i="19"/>
  <c r="AH522" i="19" s="1"/>
  <c r="AG522" i="19" s="1"/>
  <c r="H513" i="19"/>
  <c r="AH513" i="19" s="1"/>
  <c r="AG513" i="19" s="1"/>
  <c r="H512" i="19"/>
  <c r="AH512" i="19" s="1"/>
  <c r="AG512" i="19" s="1"/>
  <c r="H509" i="19"/>
  <c r="AH509" i="19" s="1"/>
  <c r="AG509" i="19" s="1"/>
  <c r="H516" i="19"/>
  <c r="AH516" i="19" s="1"/>
  <c r="AG516" i="19" s="1"/>
  <c r="H507" i="19"/>
  <c r="AH507" i="19" s="1"/>
  <c r="AG507" i="19" s="1"/>
  <c r="H504" i="19"/>
  <c r="AH504" i="19" s="1"/>
  <c r="AG504" i="19" s="1"/>
  <c r="H499" i="19"/>
  <c r="AH499" i="19" s="1"/>
  <c r="AG499" i="19" s="1"/>
  <c r="H496" i="19"/>
  <c r="AH496" i="19" s="1"/>
  <c r="AG496" i="19" s="1"/>
  <c r="H500" i="19"/>
  <c r="AH500" i="19" s="1"/>
  <c r="AG500" i="19" s="1"/>
  <c r="H505" i="19"/>
  <c r="AH505" i="19" s="1"/>
  <c r="AG505" i="19" s="1"/>
  <c r="H494" i="19"/>
  <c r="AH494" i="19" s="1"/>
  <c r="AG494" i="19" s="1"/>
  <c r="H492" i="19"/>
  <c r="AH492" i="19" s="1"/>
  <c r="AG492" i="19" s="1"/>
  <c r="H490" i="19"/>
  <c r="AH490" i="19" s="1"/>
  <c r="AG490" i="19" s="1"/>
  <c r="H487" i="19"/>
  <c r="AH487" i="19" s="1"/>
  <c r="AG487" i="19" s="1"/>
  <c r="H485" i="19"/>
  <c r="AH485" i="19" s="1"/>
  <c r="AG485" i="19" s="1"/>
  <c r="H481" i="19"/>
  <c r="AH481" i="19" s="1"/>
  <c r="AG481" i="19" s="1"/>
  <c r="H478" i="19"/>
  <c r="AH478" i="19" s="1"/>
  <c r="AG478" i="19" s="1"/>
  <c r="H474" i="19"/>
  <c r="AH474" i="19" s="1"/>
  <c r="AG474" i="19" s="1"/>
  <c r="H475" i="19"/>
  <c r="AH475" i="19" s="1"/>
  <c r="AG475" i="19" s="1"/>
  <c r="H469" i="19"/>
  <c r="AH469" i="19" s="1"/>
  <c r="AG469" i="19" s="1"/>
  <c r="H468" i="19"/>
  <c r="AH468" i="19" s="1"/>
  <c r="AG468" i="19" s="1"/>
  <c r="H465" i="19"/>
  <c r="AH465" i="19" s="1"/>
  <c r="AG465" i="19" s="1"/>
  <c r="H463" i="19"/>
  <c r="AH463" i="19" s="1"/>
  <c r="AG463" i="19" s="1"/>
  <c r="H461" i="19"/>
  <c r="AH461" i="19" s="1"/>
  <c r="AG461" i="19" s="1"/>
  <c r="H457" i="19"/>
  <c r="AH457" i="19" s="1"/>
  <c r="AG457" i="19" s="1"/>
  <c r="H454" i="19"/>
  <c r="AH454" i="19" s="1"/>
  <c r="AG454" i="19" s="1"/>
  <c r="H448" i="19"/>
  <c r="AH448" i="19" s="1"/>
  <c r="AG448" i="19" s="1"/>
  <c r="H449" i="19"/>
  <c r="AH449" i="19" s="1"/>
  <c r="AG449" i="19" s="1"/>
  <c r="H446" i="19"/>
  <c r="AH446" i="19" s="1"/>
  <c r="AG446" i="19" s="1"/>
  <c r="H441" i="19"/>
  <c r="AH441" i="19" s="1"/>
  <c r="AG441" i="19" s="1"/>
  <c r="H444" i="19"/>
  <c r="AH444" i="19" s="1"/>
  <c r="AG444" i="19" s="1"/>
  <c r="H438" i="19"/>
  <c r="AH438" i="19" s="1"/>
  <c r="AG438" i="19" s="1"/>
  <c r="H430" i="19"/>
  <c r="AH430" i="19" s="1"/>
  <c r="AG430" i="19" s="1"/>
  <c r="H431" i="19"/>
  <c r="AH431" i="19" s="1"/>
  <c r="AG431" i="19" s="1"/>
  <c r="H434" i="19"/>
  <c r="AH434" i="19" s="1"/>
  <c r="AG434" i="19" s="1"/>
  <c r="H427" i="19"/>
  <c r="AH427" i="19" s="1"/>
  <c r="AG427" i="19" s="1"/>
  <c r="H428" i="19"/>
  <c r="AH428" i="19" s="1"/>
  <c r="AG428" i="19" s="1"/>
  <c r="H415" i="19"/>
  <c r="AH415" i="19" s="1"/>
  <c r="AG415" i="19" s="1"/>
  <c r="H424" i="19"/>
  <c r="AH424" i="19" s="1"/>
  <c r="AG424" i="19" s="1"/>
  <c r="H417" i="19"/>
  <c r="AH417" i="19" s="1"/>
  <c r="AG417" i="19" s="1"/>
  <c r="H421" i="19"/>
  <c r="AH421" i="19" s="1"/>
  <c r="AG421" i="19" s="1"/>
  <c r="H423" i="19"/>
  <c r="AH423" i="19" s="1"/>
  <c r="AG423" i="19" s="1"/>
  <c r="H413" i="19"/>
  <c r="AH413" i="19" s="1"/>
  <c r="AG413" i="19" s="1"/>
  <c r="H407" i="19"/>
  <c r="AH407" i="19" s="1"/>
  <c r="AG407" i="19" s="1"/>
  <c r="H408" i="19"/>
  <c r="AH408" i="19" s="1"/>
  <c r="AG408" i="19" s="1"/>
  <c r="H403" i="19"/>
  <c r="AH403" i="19" s="1"/>
  <c r="AG403" i="19" s="1"/>
  <c r="H401" i="19"/>
  <c r="AH401" i="19" s="1"/>
  <c r="AG401" i="19" s="1"/>
  <c r="H402" i="19"/>
  <c r="AH402" i="19" s="1"/>
  <c r="AG402" i="19" s="1"/>
  <c r="H405" i="19"/>
  <c r="AH405" i="19" s="1"/>
  <c r="AG405" i="19" s="1"/>
  <c r="H396" i="19"/>
  <c r="AH396" i="19" s="1"/>
  <c r="AG396" i="19" s="1"/>
  <c r="H391" i="19"/>
  <c r="AH391" i="19" s="1"/>
  <c r="AG391" i="19" s="1"/>
  <c r="H387" i="19"/>
  <c r="AH387" i="19" s="1"/>
  <c r="AG387" i="19" s="1"/>
  <c r="H385" i="19"/>
  <c r="AH385" i="19" s="1"/>
  <c r="AG385" i="19" s="1"/>
  <c r="H383" i="19"/>
  <c r="AH383" i="19" s="1"/>
  <c r="AG383" i="19" s="1"/>
  <c r="H380" i="19"/>
  <c r="AH380" i="19" s="1"/>
  <c r="AG380" i="19" s="1"/>
  <c r="H369" i="19"/>
  <c r="AH369" i="19" s="1"/>
  <c r="AG369" i="19" s="1"/>
  <c r="H371" i="19"/>
  <c r="AH371" i="19" s="1"/>
  <c r="AG371" i="19" s="1"/>
  <c r="H375" i="19"/>
  <c r="AH375" i="19" s="1"/>
  <c r="AG375" i="19" s="1"/>
  <c r="H377" i="19"/>
  <c r="AH377" i="19" s="1"/>
  <c r="AG377" i="19" s="1"/>
  <c r="H366" i="19"/>
  <c r="AH366" i="19" s="1"/>
  <c r="AG366" i="19" s="1"/>
  <c r="H376" i="19"/>
  <c r="AH376" i="19" s="1"/>
  <c r="AG376" i="19" s="1"/>
  <c r="H365" i="19"/>
  <c r="AH365" i="19" s="1"/>
  <c r="AG365" i="19" s="1"/>
  <c r="H362" i="19"/>
  <c r="AH362" i="19" s="1"/>
  <c r="AG362" i="19" s="1"/>
  <c r="H357" i="19"/>
  <c r="AH357" i="19" s="1"/>
  <c r="AG357" i="19" s="1"/>
  <c r="H359" i="19"/>
  <c r="AH359" i="19" s="1"/>
  <c r="AG359" i="19" s="1"/>
  <c r="H356" i="19"/>
  <c r="AH356" i="19" s="1"/>
  <c r="AG356" i="19" s="1"/>
  <c r="H355" i="19"/>
  <c r="AH355" i="19" s="1"/>
  <c r="AG355" i="19" s="1"/>
  <c r="H351" i="19"/>
  <c r="AH351" i="19" s="1"/>
  <c r="AG351" i="19" s="1"/>
  <c r="H349" i="19"/>
  <c r="AH349" i="19" s="1"/>
  <c r="AG349" i="19" s="1"/>
  <c r="H347" i="19"/>
  <c r="AH347" i="19" s="1"/>
  <c r="AG347" i="19" s="1"/>
  <c r="H348" i="19"/>
  <c r="AH348" i="19" s="1"/>
  <c r="AG348" i="19" s="1"/>
  <c r="H343" i="19"/>
  <c r="AH343" i="19" s="1"/>
  <c r="AG343" i="19" s="1"/>
  <c r="H344" i="19"/>
  <c r="AH344" i="19" s="1"/>
  <c r="AG344" i="19" s="1"/>
  <c r="H339" i="19"/>
  <c r="AH339" i="19" s="1"/>
  <c r="AG339" i="19" s="1"/>
  <c r="H338" i="19"/>
  <c r="AH338" i="19" s="1"/>
  <c r="AG338" i="19" s="1"/>
  <c r="H335" i="19"/>
  <c r="AH335" i="19" s="1"/>
  <c r="AG335" i="19" s="1"/>
  <c r="H333" i="19"/>
  <c r="AH333" i="19" s="1"/>
  <c r="AG333" i="19" s="1"/>
  <c r="H328" i="19"/>
  <c r="AH328" i="19" s="1"/>
  <c r="AG328" i="19" s="1"/>
  <c r="H317" i="19"/>
  <c r="AH317" i="19" s="1"/>
  <c r="AG317" i="19" s="1"/>
  <c r="H325" i="19"/>
  <c r="AH325" i="19" s="1"/>
  <c r="AG325" i="19" s="1"/>
  <c r="H326" i="19"/>
  <c r="AH326" i="19" s="1"/>
  <c r="AG326" i="19" s="1"/>
  <c r="H318" i="19"/>
  <c r="AH318" i="19" s="1"/>
  <c r="AG318" i="19" s="1"/>
  <c r="H319" i="19"/>
  <c r="AH319" i="19" s="1"/>
  <c r="AG319" i="19" s="1"/>
  <c r="H323" i="19"/>
  <c r="AH323" i="19" s="1"/>
  <c r="AG323" i="19" s="1"/>
  <c r="H303" i="19"/>
  <c r="AH303" i="19" s="1"/>
  <c r="AG303" i="19" s="1"/>
  <c r="H312" i="19"/>
  <c r="AH312" i="19" s="1"/>
  <c r="AG312" i="19" s="1"/>
  <c r="H308" i="19"/>
  <c r="AH308" i="19" s="1"/>
  <c r="AG308" i="19" s="1"/>
  <c r="H302" i="19"/>
  <c r="AH302" i="19" s="1"/>
  <c r="AG302" i="19" s="1"/>
  <c r="H307" i="19"/>
  <c r="AH307" i="19" s="1"/>
  <c r="AG307" i="19" s="1"/>
  <c r="H315" i="19"/>
  <c r="AH315" i="19" s="1"/>
  <c r="AG315" i="19" s="1"/>
  <c r="H306" i="19"/>
  <c r="AH306" i="19" s="1"/>
  <c r="AG306" i="19" s="1"/>
  <c r="H305" i="19"/>
  <c r="AH305" i="19" s="1"/>
  <c r="AG305" i="19" s="1"/>
  <c r="H296" i="19"/>
  <c r="AH296" i="19" s="1"/>
  <c r="AG296" i="19" s="1"/>
  <c r="H291" i="19"/>
  <c r="AH291" i="19" s="1"/>
  <c r="AG291" i="19" s="1"/>
  <c r="H298" i="19"/>
  <c r="AH298" i="19" s="1"/>
  <c r="AG298" i="19" s="1"/>
  <c r="H297" i="19"/>
  <c r="AH297" i="19" s="1"/>
  <c r="AG297" i="19" s="1"/>
  <c r="H288" i="19"/>
  <c r="AH288" i="19" s="1"/>
  <c r="AG288" i="19" s="1"/>
  <c r="H295" i="19"/>
  <c r="AH295" i="19" s="1"/>
  <c r="AG295" i="19" s="1"/>
  <c r="H271" i="19"/>
  <c r="AH271" i="19" s="1"/>
  <c r="AG271" i="19" s="1"/>
  <c r="H277" i="19"/>
  <c r="AH277" i="19" s="1"/>
  <c r="AG277" i="19" s="1"/>
  <c r="H276" i="19"/>
  <c r="AH276" i="19" s="1"/>
  <c r="AG276" i="19" s="1"/>
  <c r="H268" i="19"/>
  <c r="AH268" i="19" s="1"/>
  <c r="AG268" i="19" s="1"/>
  <c r="H265" i="19"/>
  <c r="AH265" i="19" s="1"/>
  <c r="AG265" i="19" s="1"/>
  <c r="H275" i="19"/>
  <c r="AH275" i="19" s="1"/>
  <c r="AG275" i="19" s="1"/>
  <c r="H267" i="19"/>
  <c r="AH267" i="19" s="1"/>
  <c r="AG267" i="19" s="1"/>
  <c r="H269" i="19"/>
  <c r="AH269" i="19" s="1"/>
  <c r="AG269" i="19" s="1"/>
  <c r="H262" i="19"/>
  <c r="AH262" i="19" s="1"/>
  <c r="AG262" i="19" s="1"/>
  <c r="H263" i="19"/>
  <c r="AH263" i="19" s="1"/>
  <c r="AG263" i="19" s="1"/>
  <c r="H258" i="19"/>
  <c r="AH258" i="19" s="1"/>
  <c r="AG258" i="19" s="1"/>
  <c r="H259" i="19"/>
  <c r="AH259" i="19" s="1"/>
  <c r="AG259" i="19" s="1"/>
  <c r="H253" i="19"/>
  <c r="AH253" i="19" s="1"/>
  <c r="AG253" i="19" s="1"/>
  <c r="H254" i="19"/>
  <c r="AH254" i="19" s="1"/>
  <c r="AG254" i="19" s="1"/>
  <c r="H248" i="19"/>
  <c r="AH248" i="19" s="1"/>
  <c r="AG248" i="19" s="1"/>
  <c r="H244" i="19"/>
  <c r="AH244" i="19" s="1"/>
  <c r="AG244" i="19" s="1"/>
  <c r="H246" i="19"/>
  <c r="AH246" i="19" s="1"/>
  <c r="AG246" i="19" s="1"/>
  <c r="H242" i="19"/>
  <c r="AH242" i="19" s="1"/>
  <c r="AG242" i="19" s="1"/>
  <c r="H238" i="19"/>
  <c r="AH238" i="19" s="1"/>
  <c r="AG238" i="19" s="1"/>
  <c r="H234" i="19"/>
  <c r="AH234" i="19" s="1"/>
  <c r="AG234" i="19" s="1"/>
  <c r="H236" i="19"/>
  <c r="AH236" i="19" s="1"/>
  <c r="AG236" i="19" s="1"/>
  <c r="H231" i="19"/>
  <c r="AH231" i="19" s="1"/>
  <c r="AG231" i="19" s="1"/>
  <c r="H227" i="19"/>
  <c r="AH227" i="19" s="1"/>
  <c r="AG227" i="19" s="1"/>
  <c r="H225" i="19"/>
  <c r="AH225" i="19" s="1"/>
  <c r="AG225" i="19" s="1"/>
  <c r="H218" i="19"/>
  <c r="AH218" i="19" s="1"/>
  <c r="AG218" i="19" s="1"/>
  <c r="H220" i="19"/>
  <c r="AH220" i="19" s="1"/>
  <c r="AG220" i="19" s="1"/>
  <c r="H221" i="19"/>
  <c r="AH221" i="19" s="1"/>
  <c r="AG221" i="19" s="1"/>
  <c r="H209" i="19"/>
  <c r="AH209" i="19" s="1"/>
  <c r="AG209" i="19" s="1"/>
  <c r="H211" i="19"/>
  <c r="AH211" i="19" s="1"/>
  <c r="AG211" i="19" s="1"/>
  <c r="H213" i="19"/>
  <c r="AH213" i="19" s="1"/>
  <c r="AG213" i="19" s="1"/>
  <c r="H212" i="19"/>
  <c r="AH212" i="19" s="1"/>
  <c r="AG212" i="19" s="1"/>
  <c r="H205" i="19"/>
  <c r="AH205" i="19" s="1"/>
  <c r="AG205" i="19" s="1"/>
  <c r="H203" i="19"/>
  <c r="AH203" i="19" s="1"/>
  <c r="AG203" i="19" s="1"/>
  <c r="H202" i="19"/>
  <c r="AH202" i="19" s="1"/>
  <c r="AG202" i="19" s="1"/>
  <c r="H195" i="19"/>
  <c r="AH195" i="19" s="1"/>
  <c r="AG195" i="19" s="1"/>
  <c r="H194" i="19"/>
  <c r="AH194" i="19" s="1"/>
  <c r="AG194" i="19" s="1"/>
  <c r="H181" i="19"/>
  <c r="AH181" i="19" s="1"/>
  <c r="AG181" i="19" s="1"/>
  <c r="H185" i="19"/>
  <c r="AH185" i="19" s="1"/>
  <c r="AG185" i="19" s="1"/>
  <c r="H184" i="19"/>
  <c r="AH184" i="19" s="1"/>
  <c r="AG184" i="19" s="1"/>
  <c r="H189" i="19"/>
  <c r="AH189" i="19" s="1"/>
  <c r="AG189" i="19" s="1"/>
  <c r="H188" i="19"/>
  <c r="AH188" i="19" s="1"/>
  <c r="AG188" i="19" s="1"/>
  <c r="H190" i="19"/>
  <c r="AH190" i="19" s="1"/>
  <c r="AG190" i="19" s="1"/>
  <c r="H177" i="19"/>
  <c r="AH177" i="19" s="1"/>
  <c r="AG177" i="19" s="1"/>
  <c r="H170" i="19"/>
  <c r="AH170" i="19" s="1"/>
  <c r="AG170" i="19" s="1"/>
  <c r="H169" i="19"/>
  <c r="AH169" i="19" s="1"/>
  <c r="AG169" i="19" s="1"/>
  <c r="H174" i="19"/>
  <c r="AH174" i="19" s="1"/>
  <c r="AG174" i="19" s="1"/>
  <c r="H173" i="19"/>
  <c r="AH173" i="19" s="1"/>
  <c r="AG173" i="19" s="1"/>
  <c r="H178" i="19"/>
  <c r="AH178" i="19" s="1"/>
  <c r="AG178" i="19" s="1"/>
  <c r="H166" i="19"/>
  <c r="AH166" i="19" s="1"/>
  <c r="AG166" i="19" s="1"/>
  <c r="H159" i="19"/>
  <c r="AH159" i="19" s="1"/>
  <c r="AG159" i="19" s="1"/>
  <c r="H164" i="19"/>
  <c r="AH164" i="19" s="1"/>
  <c r="AG164" i="19" s="1"/>
  <c r="H160" i="19"/>
  <c r="AH160" i="19" s="1"/>
  <c r="AG160" i="19" s="1"/>
  <c r="H151" i="19"/>
  <c r="AH151" i="19" s="1"/>
  <c r="AG151" i="19" s="1"/>
  <c r="H150" i="19"/>
  <c r="AH150" i="19" s="1"/>
  <c r="AG150" i="19" s="1"/>
  <c r="H155" i="19"/>
  <c r="AH155" i="19" s="1"/>
  <c r="AG155" i="19" s="1"/>
  <c r="H157" i="19"/>
  <c r="AH157" i="19" s="1"/>
  <c r="AG157" i="19" s="1"/>
  <c r="H156" i="19"/>
  <c r="AH156" i="19" s="1"/>
  <c r="AG156" i="19" s="1"/>
  <c r="H143" i="19"/>
  <c r="AH143" i="19" s="1"/>
  <c r="AG143" i="19" s="1"/>
  <c r="H145" i="19"/>
  <c r="AH145" i="19" s="1"/>
  <c r="AG145" i="19" s="1"/>
  <c r="H141" i="19"/>
  <c r="AH141" i="19" s="1"/>
  <c r="AG141" i="19" s="1"/>
  <c r="H139" i="19"/>
  <c r="AH139" i="19" s="1"/>
  <c r="AG139" i="19" s="1"/>
  <c r="H132" i="19"/>
  <c r="AH132" i="19" s="1"/>
  <c r="AG132" i="19" s="1"/>
  <c r="H129" i="19"/>
  <c r="AH129" i="19" s="1"/>
  <c r="AG129" i="19" s="1"/>
  <c r="H130" i="19"/>
  <c r="AH130" i="19" s="1"/>
  <c r="AG130" i="19" s="1"/>
  <c r="H135" i="19"/>
  <c r="AH135" i="19" s="1"/>
  <c r="AG135" i="19" s="1"/>
  <c r="H126" i="19"/>
  <c r="AH126" i="19" s="1"/>
  <c r="AG126" i="19" s="1"/>
  <c r="H119" i="19"/>
  <c r="AH119" i="19" s="1"/>
  <c r="AG119" i="19" s="1"/>
  <c r="H120" i="19"/>
  <c r="AH120" i="19" s="1"/>
  <c r="AG120" i="19" s="1"/>
  <c r="H122" i="19"/>
  <c r="AH122" i="19" s="1"/>
  <c r="AG122" i="19" s="1"/>
  <c r="H124" i="19"/>
  <c r="AH124" i="19" s="1"/>
  <c r="AG124" i="19" s="1"/>
  <c r="H108" i="19"/>
  <c r="AH108" i="19" s="1"/>
  <c r="AG108" i="19" s="1"/>
  <c r="H98" i="19"/>
  <c r="AH98" i="19" s="1"/>
  <c r="AG98" i="19" s="1"/>
  <c r="H97" i="19"/>
  <c r="AH97" i="19" s="1"/>
  <c r="AG97" i="19" s="1"/>
  <c r="H112" i="19"/>
  <c r="AH112" i="19" s="1"/>
  <c r="AG112" i="19" s="1"/>
  <c r="H115" i="19"/>
  <c r="AH115" i="19" s="1"/>
  <c r="AG115" i="19" s="1"/>
  <c r="H101" i="19"/>
  <c r="AH101" i="19" s="1"/>
  <c r="AG101" i="19" s="1"/>
  <c r="H100" i="19"/>
  <c r="AH100" i="19" s="1"/>
  <c r="AG100" i="19" s="1"/>
  <c r="H103" i="19"/>
  <c r="AH103" i="19" s="1"/>
  <c r="AG103" i="19" s="1"/>
  <c r="H114" i="19"/>
  <c r="AH114" i="19" s="1"/>
  <c r="AG114" i="19" s="1"/>
  <c r="H104" i="19"/>
  <c r="AH104" i="19" s="1"/>
  <c r="AG104" i="19" s="1"/>
  <c r="H89" i="19"/>
  <c r="AH89" i="19" s="1"/>
  <c r="AG89" i="19" s="1"/>
  <c r="H93" i="19"/>
  <c r="AH93" i="19" s="1"/>
  <c r="AG93" i="19" s="1"/>
  <c r="H91" i="19"/>
  <c r="AH91" i="19" s="1"/>
  <c r="AG91" i="19" s="1"/>
  <c r="H95" i="19"/>
  <c r="AH95" i="19" s="1"/>
  <c r="AG95" i="19" s="1"/>
  <c r="H80" i="19"/>
  <c r="AH80" i="19" s="1"/>
  <c r="AG80" i="19" s="1"/>
  <c r="H85" i="19"/>
  <c r="AH85" i="19" s="1"/>
  <c r="AG85" i="19" s="1"/>
  <c r="H81" i="19"/>
  <c r="AH81" i="19" s="1"/>
  <c r="AG81" i="19" s="1"/>
  <c r="H83" i="19"/>
  <c r="AH83" i="19" s="1"/>
  <c r="AG83" i="19" s="1"/>
  <c r="H77" i="19"/>
  <c r="AH77" i="19" s="1"/>
  <c r="AG77" i="19" s="1"/>
  <c r="H75" i="19"/>
  <c r="AH75" i="19" s="1"/>
  <c r="AG75" i="19" s="1"/>
  <c r="H71" i="19"/>
  <c r="AH71" i="19" s="1"/>
  <c r="AG71" i="19" s="1"/>
  <c r="H73" i="19"/>
  <c r="AH73" i="19" s="1"/>
  <c r="AG73" i="19" s="1"/>
  <c r="H68" i="19"/>
  <c r="AH68" i="19" s="1"/>
  <c r="AG68" i="19" s="1"/>
  <c r="H66" i="19"/>
  <c r="AH66" i="19" s="1"/>
  <c r="AG66" i="19" s="1"/>
  <c r="H60" i="19"/>
  <c r="AH60" i="19" s="1"/>
  <c r="AG60" i="19" s="1"/>
  <c r="H57" i="19"/>
  <c r="AH57" i="19" s="1"/>
  <c r="AG57" i="19" s="1"/>
  <c r="H62" i="19"/>
  <c r="AH62" i="19" s="1"/>
  <c r="AG62" i="19" s="1"/>
  <c r="H63" i="19"/>
  <c r="AH63" i="19" s="1"/>
  <c r="AG63" i="19" s="1"/>
  <c r="H53" i="19"/>
  <c r="AH53" i="19" s="1"/>
  <c r="AG53" i="19" s="1"/>
  <c r="H29" i="19"/>
  <c r="AH29" i="19" s="1"/>
  <c r="AG29" i="19" s="1"/>
  <c r="H47" i="19"/>
  <c r="AH47" i="19" s="1"/>
  <c r="AG47" i="19" s="1"/>
  <c r="H52" i="19"/>
  <c r="AH52" i="19" s="1"/>
  <c r="AG52" i="19" s="1"/>
  <c r="H54" i="19"/>
  <c r="AH54" i="19" s="1"/>
  <c r="AG54" i="19" s="1"/>
  <c r="H42" i="19"/>
  <c r="AH42" i="19" s="1"/>
  <c r="AG42" i="19" s="1"/>
  <c r="H31" i="19"/>
  <c r="AH31" i="19" s="1"/>
  <c r="AG31" i="19" s="1"/>
  <c r="H40" i="19"/>
  <c r="AH40" i="19" s="1"/>
  <c r="AG40" i="19" s="1"/>
  <c r="H34" i="19"/>
  <c r="AH34" i="19" s="1"/>
  <c r="AG34" i="19" s="1"/>
  <c r="H26" i="19"/>
  <c r="AH26" i="19" s="1"/>
  <c r="AG26" i="19" s="1"/>
  <c r="H28" i="19"/>
  <c r="AH28" i="19" s="1"/>
  <c r="AG28" i="19" s="1"/>
  <c r="H39" i="19"/>
  <c r="AH39" i="19" s="1"/>
  <c r="AG39" i="19" s="1"/>
  <c r="H37" i="19"/>
  <c r="AH37" i="19" s="1"/>
  <c r="AG37" i="19" s="1"/>
  <c r="H25" i="19"/>
  <c r="AH25" i="19" s="1"/>
  <c r="AG25" i="19" s="1"/>
  <c r="H32" i="19"/>
  <c r="AH32" i="19" s="1"/>
  <c r="AG32" i="19" s="1"/>
  <c r="H51" i="19"/>
  <c r="AH51" i="19" s="1"/>
  <c r="AG51" i="19" s="1"/>
  <c r="H337" i="19"/>
  <c r="AH337" i="19" s="1"/>
  <c r="AG337" i="19" s="1"/>
  <c r="H332" i="19"/>
  <c r="AH332" i="19" s="1"/>
  <c r="AG332" i="19" s="1"/>
  <c r="H334" i="19"/>
  <c r="AH334" i="19" s="1"/>
  <c r="AG334" i="19" s="1"/>
  <c r="H331" i="19"/>
  <c r="AH331" i="19" s="1"/>
  <c r="AG331" i="19" s="1"/>
  <c r="H327" i="19"/>
  <c r="AH327" i="19" s="1"/>
  <c r="AG327" i="19" s="1"/>
  <c r="H329" i="19"/>
  <c r="AH329" i="19" s="1"/>
  <c r="AG329" i="19" s="1"/>
  <c r="H321" i="19"/>
  <c r="AH321" i="19" s="1"/>
  <c r="AG321" i="19" s="1"/>
  <c r="H322" i="19"/>
  <c r="AH322" i="19" s="1"/>
  <c r="AG322" i="19" s="1"/>
  <c r="H320" i="19"/>
  <c r="AH320" i="19" s="1"/>
  <c r="AG320" i="19" s="1"/>
  <c r="H324" i="19"/>
  <c r="AH324" i="19" s="1"/>
  <c r="AG324" i="19" s="1"/>
  <c r="H313" i="19"/>
  <c r="AH313" i="19" s="1"/>
  <c r="AG313" i="19" s="1"/>
  <c r="H300" i="19"/>
  <c r="AH300" i="19" s="1"/>
  <c r="AG300" i="19" s="1"/>
  <c r="H301" i="19"/>
  <c r="AH301" i="19" s="1"/>
  <c r="AG301" i="19" s="1"/>
  <c r="H309" i="19"/>
  <c r="AH309" i="19" s="1"/>
  <c r="AG309" i="19" s="1"/>
  <c r="H310" i="19"/>
  <c r="AH310" i="19" s="1"/>
  <c r="AG310" i="19" s="1"/>
  <c r="H311" i="19"/>
  <c r="AH311" i="19" s="1"/>
  <c r="AG311" i="19" s="1"/>
  <c r="H304" i="19"/>
  <c r="AH304" i="19" s="1"/>
  <c r="AG304" i="19" s="1"/>
  <c r="H314" i="19"/>
  <c r="AH314" i="19" s="1"/>
  <c r="AG314" i="19" s="1"/>
  <c r="H293" i="19"/>
  <c r="AH293" i="19" s="1"/>
  <c r="AG293" i="19" s="1"/>
  <c r="H292" i="19"/>
  <c r="AH292" i="19" s="1"/>
  <c r="AG292" i="19" s="1"/>
  <c r="H287" i="19"/>
  <c r="AH287" i="19" s="1"/>
  <c r="AG287" i="19" s="1"/>
  <c r="H290" i="19"/>
  <c r="AH290" i="19" s="1"/>
  <c r="AG290" i="19" s="1"/>
  <c r="H289" i="19"/>
  <c r="AH289" i="19" s="1"/>
  <c r="AG289" i="19" s="1"/>
  <c r="H294" i="19"/>
  <c r="AH294" i="19" s="1"/>
  <c r="AG294" i="19" s="1"/>
  <c r="H282" i="19"/>
  <c r="AH282" i="19" s="1"/>
  <c r="AG282" i="19" s="1"/>
  <c r="H280" i="19"/>
  <c r="AH280" i="19" s="1"/>
  <c r="AG280" i="19" s="1"/>
  <c r="H266" i="19"/>
  <c r="AH266" i="19" s="1"/>
  <c r="AG266" i="19" s="1"/>
  <c r="H272" i="19"/>
  <c r="AH272" i="19" s="1"/>
  <c r="AG272" i="19" s="1"/>
  <c r="H274" i="19"/>
  <c r="AH274" i="19" s="1"/>
  <c r="AG274" i="19" s="1"/>
  <c r="H279" i="19"/>
  <c r="AH279" i="19" s="1"/>
  <c r="AG279" i="19" s="1"/>
  <c r="H278" i="19"/>
  <c r="AH278" i="19" s="1"/>
  <c r="AG278" i="19" s="1"/>
  <c r="H273" i="19"/>
  <c r="AH273" i="19" s="1"/>
  <c r="AG273" i="19" s="1"/>
  <c r="H270" i="19"/>
  <c r="AH270" i="19" s="1"/>
  <c r="AG270" i="19" s="1"/>
  <c r="H257" i="19"/>
  <c r="AH257" i="19" s="1"/>
  <c r="AG257" i="19" s="1"/>
  <c r="H261" i="19"/>
  <c r="AH261" i="19" s="1"/>
  <c r="AG261" i="19" s="1"/>
  <c r="H256" i="19"/>
  <c r="AH256" i="19" s="1"/>
  <c r="AG256" i="19" s="1"/>
  <c r="H260" i="19"/>
  <c r="AH260" i="19" s="1"/>
  <c r="AG260" i="19" s="1"/>
  <c r="H252" i="19"/>
  <c r="AH252" i="19" s="1"/>
  <c r="AG252" i="19" s="1"/>
  <c r="H251" i="19"/>
  <c r="AH251" i="19" s="1"/>
  <c r="AG251" i="19" s="1"/>
  <c r="H247" i="19"/>
  <c r="AH247" i="19" s="1"/>
  <c r="AG247" i="19" s="1"/>
  <c r="H245" i="19"/>
  <c r="AH245" i="19" s="1"/>
  <c r="AG245" i="19" s="1"/>
  <c r="H249" i="19"/>
  <c r="AH249" i="19" s="1"/>
  <c r="AG249" i="19" s="1"/>
  <c r="H240" i="19"/>
  <c r="AH240" i="19" s="1"/>
  <c r="AG240" i="19" s="1"/>
  <c r="H235" i="19"/>
  <c r="AH235" i="19" s="1"/>
  <c r="AG235" i="19" s="1"/>
  <c r="H233" i="19"/>
  <c r="AH233" i="19" s="1"/>
  <c r="AG233" i="19" s="1"/>
  <c r="H229" i="19"/>
  <c r="AH229" i="19" s="1"/>
  <c r="AG229" i="19" s="1"/>
  <c r="H230" i="19"/>
  <c r="AH230" i="19" s="1"/>
  <c r="AG230" i="19" s="1"/>
  <c r="H223" i="19"/>
  <c r="AH223" i="19" s="1"/>
  <c r="AG223" i="19" s="1"/>
  <c r="H224" i="19"/>
  <c r="AH224" i="19" s="1"/>
  <c r="AG224" i="19" s="1"/>
  <c r="H217" i="19"/>
  <c r="AH217" i="19" s="1"/>
  <c r="AG217" i="19" s="1"/>
  <c r="H219" i="19"/>
  <c r="AH219" i="19" s="1"/>
  <c r="AG219" i="19" s="1"/>
  <c r="H216" i="19"/>
  <c r="AH216" i="19" s="1"/>
  <c r="AG216" i="19" s="1"/>
  <c r="H208" i="19"/>
  <c r="AH208" i="19" s="1"/>
  <c r="AG208" i="19" s="1"/>
  <c r="H214" i="19"/>
  <c r="AH214" i="19" s="1"/>
  <c r="AG214" i="19" s="1"/>
  <c r="H210" i="19"/>
  <c r="AH210" i="19" s="1"/>
  <c r="AG210" i="19" s="1"/>
  <c r="H206" i="19"/>
  <c r="AH206" i="19" s="1"/>
  <c r="AG206" i="19" s="1"/>
  <c r="H201" i="19"/>
  <c r="AH201" i="19" s="1"/>
  <c r="AG201" i="19" s="1"/>
  <c r="H200" i="19"/>
  <c r="AH200" i="19" s="1"/>
  <c r="AG200" i="19" s="1"/>
  <c r="H198" i="19"/>
  <c r="AH198" i="19" s="1"/>
  <c r="AG198" i="19" s="1"/>
  <c r="H197" i="19"/>
  <c r="AH197" i="19" s="1"/>
  <c r="AG197" i="19" s="1"/>
  <c r="H196" i="19"/>
  <c r="AH196" i="19" s="1"/>
  <c r="AG196" i="19" s="1"/>
  <c r="H183" i="19"/>
  <c r="AH183" i="19" s="1"/>
  <c r="AG183" i="19" s="1"/>
  <c r="H182" i="19"/>
  <c r="AH182" i="19" s="1"/>
  <c r="AG182" i="19" s="1"/>
  <c r="H187" i="19"/>
  <c r="AH187" i="19" s="1"/>
  <c r="AG187" i="19" s="1"/>
  <c r="H186" i="19"/>
  <c r="AH186" i="19" s="1"/>
  <c r="AG186" i="19" s="1"/>
  <c r="H191" i="19"/>
  <c r="AH191" i="19" s="1"/>
  <c r="AG191" i="19" s="1"/>
  <c r="H192" i="19"/>
  <c r="AH192" i="19" s="1"/>
  <c r="AG192" i="19" s="1"/>
  <c r="H179" i="19"/>
  <c r="AH179" i="19" s="1"/>
  <c r="AG179" i="19" s="1"/>
  <c r="H172" i="19"/>
  <c r="AH172" i="19" s="1"/>
  <c r="AG172" i="19" s="1"/>
  <c r="H171" i="19"/>
  <c r="AH171" i="19" s="1"/>
  <c r="AG171" i="19" s="1"/>
  <c r="H176" i="19"/>
  <c r="AH176" i="19" s="1"/>
  <c r="AG176" i="19" s="1"/>
  <c r="H175" i="19"/>
  <c r="AH175" i="19" s="1"/>
  <c r="AG175" i="19" s="1"/>
  <c r="H167" i="19"/>
  <c r="AH167" i="19" s="1"/>
  <c r="AG167" i="19" s="1"/>
  <c r="H162" i="19"/>
  <c r="AH162" i="19" s="1"/>
  <c r="AG162" i="19" s="1"/>
  <c r="H161" i="19"/>
  <c r="AH161" i="19" s="1"/>
  <c r="AG161" i="19" s="1"/>
  <c r="H163" i="19"/>
  <c r="AH163" i="19" s="1"/>
  <c r="AG163" i="19" s="1"/>
  <c r="H149" i="19"/>
  <c r="AH149" i="19" s="1"/>
  <c r="AG149" i="19" s="1"/>
  <c r="H153" i="19"/>
  <c r="AH153" i="19" s="1"/>
  <c r="AG153" i="19" s="1"/>
  <c r="H152" i="19"/>
  <c r="AH152" i="19" s="1"/>
  <c r="AG152" i="19" s="1"/>
  <c r="H148" i="19"/>
  <c r="AH148" i="19" s="1"/>
  <c r="AG148" i="19" s="1"/>
  <c r="H154" i="19"/>
  <c r="AH154" i="19" s="1"/>
  <c r="AG154" i="19" s="1"/>
  <c r="H144" i="19"/>
  <c r="AH144" i="19" s="1"/>
  <c r="AG144" i="19" s="1"/>
  <c r="H146" i="19"/>
  <c r="AH146" i="19" s="1"/>
  <c r="AG146" i="19" s="1"/>
  <c r="H138" i="19"/>
  <c r="AH138" i="19" s="1"/>
  <c r="AG138" i="19" s="1"/>
  <c r="H140" i="19"/>
  <c r="AH140" i="19" s="1"/>
  <c r="AG140" i="19" s="1"/>
  <c r="H142" i="19"/>
  <c r="AH142" i="19" s="1"/>
  <c r="AG142" i="19" s="1"/>
  <c r="H136" i="19"/>
  <c r="AH136" i="19" s="1"/>
  <c r="AG136" i="19" s="1"/>
  <c r="H131" i="19"/>
  <c r="AH131" i="19" s="1"/>
  <c r="AG131" i="19" s="1"/>
  <c r="H133" i="19"/>
  <c r="AH133" i="19" s="1"/>
  <c r="AG133" i="19" s="1"/>
  <c r="H134" i="19"/>
  <c r="AH134" i="19" s="1"/>
  <c r="AG134" i="19" s="1"/>
  <c r="H125" i="19"/>
  <c r="AH125" i="19" s="1"/>
  <c r="AG125" i="19" s="1"/>
  <c r="H123" i="19"/>
  <c r="AH123" i="19" s="1"/>
  <c r="AG123" i="19" s="1"/>
  <c r="H127" i="19"/>
  <c r="AH127" i="19" s="1"/>
  <c r="AG127" i="19" s="1"/>
  <c r="H121" i="19"/>
  <c r="AH121" i="19" s="1"/>
  <c r="AG121" i="19" s="1"/>
  <c r="H102" i="19"/>
  <c r="AH102" i="19" s="1"/>
  <c r="AG102" i="19" s="1"/>
  <c r="H111" i="19"/>
  <c r="AH111" i="19" s="1"/>
  <c r="AG111" i="19" s="1"/>
  <c r="H110" i="19"/>
  <c r="AH110" i="19" s="1"/>
  <c r="AG110" i="19" s="1"/>
  <c r="H113" i="19"/>
  <c r="AH113" i="19" s="1"/>
  <c r="AG113" i="19" s="1"/>
  <c r="H99" i="19"/>
  <c r="AH99" i="19" s="1"/>
  <c r="AG99" i="19" s="1"/>
  <c r="H106" i="19"/>
  <c r="AH106" i="19" s="1"/>
  <c r="AG106" i="19" s="1"/>
  <c r="H117" i="19"/>
  <c r="AH117" i="19" s="1"/>
  <c r="AG117" i="19" s="1"/>
  <c r="H116" i="19"/>
  <c r="AH116" i="19" s="1"/>
  <c r="AG116" i="19" s="1"/>
  <c r="H109" i="19"/>
  <c r="AH109" i="19" s="1"/>
  <c r="AG109" i="19" s="1"/>
  <c r="H105" i="19"/>
  <c r="AH105" i="19" s="1"/>
  <c r="AG105" i="19" s="1"/>
  <c r="H107" i="19"/>
  <c r="AH107" i="19" s="1"/>
  <c r="AG107" i="19" s="1"/>
  <c r="H94" i="19"/>
  <c r="AH94" i="19" s="1"/>
  <c r="AG94" i="19" s="1"/>
  <c r="H90" i="19"/>
  <c r="AH90" i="19" s="1"/>
  <c r="AG90" i="19" s="1"/>
  <c r="H92" i="19"/>
  <c r="AH92" i="19" s="1"/>
  <c r="AG92" i="19" s="1"/>
  <c r="H87" i="19"/>
  <c r="AH87" i="19" s="1"/>
  <c r="AG87" i="19" s="1"/>
  <c r="H86" i="19"/>
  <c r="AH86" i="19" s="1"/>
  <c r="AG86" i="19" s="1"/>
  <c r="H84" i="19"/>
  <c r="AH84" i="19" s="1"/>
  <c r="AG84" i="19" s="1"/>
  <c r="H79" i="19"/>
  <c r="AH79" i="19" s="1"/>
  <c r="AG79" i="19" s="1"/>
  <c r="H82" i="19"/>
  <c r="AH82" i="19" s="1"/>
  <c r="AG82" i="19" s="1"/>
  <c r="H76" i="19"/>
  <c r="AH76" i="19" s="1"/>
  <c r="AG76" i="19" s="1"/>
  <c r="H70" i="19"/>
  <c r="AH70" i="19" s="1"/>
  <c r="AG70" i="19" s="1"/>
  <c r="H72" i="19"/>
  <c r="AH72" i="19" s="1"/>
  <c r="AG72" i="19" s="1"/>
  <c r="H61" i="19"/>
  <c r="AH61" i="19" s="1"/>
  <c r="AG61" i="19" s="1"/>
  <c r="H67" i="19"/>
  <c r="AH67" i="19" s="1"/>
  <c r="AG67" i="19" s="1"/>
  <c r="H58" i="19"/>
  <c r="AH58" i="19" s="1"/>
  <c r="AG58" i="19" s="1"/>
  <c r="H65" i="19"/>
  <c r="AH65" i="19" s="1"/>
  <c r="AG65" i="19" s="1"/>
  <c r="H59" i="19"/>
  <c r="AH59" i="19" s="1"/>
  <c r="AG59" i="19" s="1"/>
  <c r="H64" i="19"/>
  <c r="AH64" i="19" s="1"/>
  <c r="AG64" i="19" s="1"/>
  <c r="H46" i="19"/>
  <c r="AH46" i="19" s="1"/>
  <c r="AG46" i="19" s="1"/>
  <c r="H41" i="19"/>
  <c r="AH41" i="19" s="1"/>
  <c r="AG41" i="19" s="1"/>
  <c r="H27" i="19"/>
  <c r="AH27" i="19" s="1"/>
  <c r="AG27" i="19" s="1"/>
  <c r="H36" i="19"/>
  <c r="AH36" i="19" s="1"/>
  <c r="AG36" i="19" s="1"/>
  <c r="H55" i="19"/>
  <c r="AH55" i="19" s="1"/>
  <c r="AG55" i="19" s="1"/>
  <c r="H50" i="19"/>
  <c r="AH50" i="19" s="1"/>
  <c r="AG50" i="19" s="1"/>
  <c r="H38" i="19"/>
  <c r="AH38" i="19" s="1"/>
  <c r="AG38" i="19" s="1"/>
  <c r="H24" i="19"/>
  <c r="AH24" i="19" s="1"/>
  <c r="AG24" i="19" s="1"/>
  <c r="H35" i="19"/>
  <c r="AH35" i="19" s="1"/>
  <c r="AG35" i="19" s="1"/>
  <c r="H30" i="19"/>
  <c r="AH30" i="19" s="1"/>
  <c r="AG30" i="19" s="1"/>
  <c r="H49" i="19"/>
  <c r="AH49" i="19" s="1"/>
  <c r="AG49" i="19" s="1"/>
  <c r="H44" i="19"/>
  <c r="AH44" i="19" s="1"/>
  <c r="AG44" i="19" s="1"/>
  <c r="H45" i="19"/>
  <c r="AH45" i="19" s="1"/>
  <c r="AG45" i="19" s="1"/>
  <c r="H33" i="19"/>
  <c r="AH33" i="19" s="1"/>
  <c r="AG33" i="19" s="1"/>
  <c r="H43" i="19"/>
  <c r="AH43" i="19" s="1"/>
  <c r="AG43" i="19" s="1"/>
  <c r="H48" i="19"/>
  <c r="AH48" i="19" s="1"/>
  <c r="AG48" i="19" s="1"/>
  <c r="AH23" i="19"/>
  <c r="AG23" i="19" s="1"/>
  <c r="H22" i="19"/>
  <c r="AH22" i="19" s="1"/>
  <c r="AG22" i="19" s="1"/>
  <c r="H1189" i="19"/>
  <c r="D965" i="35"/>
  <c r="M8" i="35" s="1"/>
  <c r="W12" i="35" s="1"/>
  <c r="AL26" i="35" s="1"/>
  <c r="M6" i="35" l="1"/>
  <c r="AL37" i="35"/>
  <c r="AL34" i="35"/>
  <c r="AL31" i="35"/>
  <c r="AL38" i="35"/>
  <c r="AL29" i="35"/>
  <c r="AL28" i="35"/>
  <c r="AL39" i="35"/>
  <c r="AL36" i="35"/>
  <c r="AL27" i="35"/>
  <c r="AL32" i="35"/>
  <c r="AL30" i="35"/>
  <c r="AL25" i="35"/>
  <c r="AL33" i="35"/>
  <c r="AL35" i="35"/>
  <c r="X12" i="35"/>
  <c r="AT38" i="35"/>
  <c r="E965" i="35"/>
  <c r="AU38" i="35" l="1"/>
  <c r="H965" i="35"/>
  <c r="F965" i="35"/>
  <c r="I965" i="35" s="1"/>
  <c r="M4" i="35" s="1"/>
  <c r="U12" i="35" l="1"/>
  <c r="G965" i="35"/>
  <c r="J965" i="35" s="1"/>
  <c r="N4" i="35" s="1"/>
  <c r="O4" i="35" s="1"/>
  <c r="P4" i="35"/>
  <c r="V12" i="35" l="1"/>
  <c r="AJ25" i="35" s="1"/>
  <c r="AR38" i="35"/>
  <c r="Q4" i="35"/>
  <c r="AB1189" i="19" s="1"/>
  <c r="M5" i="35"/>
  <c r="U13" i="35" s="1"/>
  <c r="AR39" i="35" l="1"/>
  <c r="V13" i="35"/>
  <c r="AK25" i="35" s="1"/>
  <c r="M7" i="35"/>
  <c r="W13" i="35" s="1"/>
  <c r="T24" i="35"/>
  <c r="AJ32" i="35"/>
  <c r="AJ27" i="35"/>
  <c r="AJ36" i="35"/>
  <c r="AJ33" i="35"/>
  <c r="AJ26" i="35"/>
  <c r="AJ30" i="35"/>
  <c r="AJ29" i="35"/>
  <c r="AJ37" i="35"/>
  <c r="AJ38" i="35"/>
  <c r="AJ28" i="35"/>
  <c r="AJ34" i="35"/>
  <c r="AJ39" i="35"/>
  <c r="AJ31" i="35"/>
  <c r="AJ35" i="35"/>
  <c r="Y1186" i="54" l="1"/>
  <c r="Y1186" i="55"/>
  <c r="Y1186" i="53"/>
  <c r="Y1186" i="52"/>
  <c r="Y1186" i="44"/>
  <c r="AX1189" i="19"/>
  <c r="AG1195" i="19" s="1"/>
  <c r="Y1189" i="19"/>
  <c r="AF1189" i="19" s="1"/>
  <c r="X1189" i="19"/>
  <c r="AT1189" i="19"/>
  <c r="AS38" i="35"/>
  <c r="AT39" i="35"/>
  <c r="AM28" i="35"/>
  <c r="AM32" i="35"/>
  <c r="AM39" i="35"/>
  <c r="AM25" i="35"/>
  <c r="AM36" i="35"/>
  <c r="AM29" i="35"/>
  <c r="AM34" i="35"/>
  <c r="AM38" i="35"/>
  <c r="AM31" i="35"/>
  <c r="AM30" i="35"/>
  <c r="AM33" i="35"/>
  <c r="AM35" i="35"/>
  <c r="AM37" i="35"/>
  <c r="AM26" i="35"/>
  <c r="X13" i="35"/>
  <c r="AM27" i="35"/>
  <c r="AK34" i="35"/>
  <c r="AK33" i="35"/>
  <c r="AK28" i="35"/>
  <c r="AK30" i="35"/>
  <c r="AK29" i="35"/>
  <c r="V19" i="35" s="1"/>
  <c r="AK26" i="35"/>
  <c r="AK39" i="35"/>
  <c r="AK38" i="35"/>
  <c r="AK36" i="35"/>
  <c r="AK35" i="35"/>
  <c r="AK32" i="35"/>
  <c r="AK31" i="35"/>
  <c r="AK37" i="35"/>
  <c r="AK27" i="35"/>
  <c r="W1186" i="52" l="1"/>
  <c r="A1186" i="52" s="1"/>
  <c r="E17" i="52" s="1"/>
  <c r="W1186" i="53"/>
  <c r="A1186" i="53" s="1"/>
  <c r="E17" i="53" s="1"/>
  <c r="W1186" i="55"/>
  <c r="A1186" i="55" s="1"/>
  <c r="W1186" i="44"/>
  <c r="A1186" i="44" s="1"/>
  <c r="W1186" i="54"/>
  <c r="A1186" i="54" s="1"/>
  <c r="E17" i="54" s="1"/>
  <c r="X19" i="35"/>
  <c r="X18" i="35"/>
  <c r="AE1192" i="19"/>
  <c r="AJ1190" i="19" s="1"/>
  <c r="AS1189" i="19"/>
  <c r="AS21" i="19" s="1"/>
  <c r="AP1189" i="19"/>
  <c r="AD1189" i="19" s="1"/>
  <c r="AB1192" i="19"/>
  <c r="AI1189" i="19"/>
  <c r="AI1192" i="19" s="1"/>
  <c r="AL1189" i="19"/>
  <c r="AL1192" i="19" s="1"/>
  <c r="AK1189" i="19"/>
  <c r="AM1189" i="19"/>
  <c r="AM1192" i="19" s="1"/>
  <c r="AJ1189" i="19"/>
  <c r="AJ1192" i="19" s="1"/>
  <c r="AH1189" i="19"/>
  <c r="AH1192" i="19" s="1"/>
  <c r="V18" i="35"/>
  <c r="AU39" i="35"/>
  <c r="AS39" i="35"/>
  <c r="AU1189" i="19" l="1"/>
  <c r="AV1189" i="19" s="1"/>
  <c r="AE1189" i="19" s="1"/>
  <c r="AU283" i="19"/>
  <c r="AV283" i="19" s="1"/>
  <c r="AE283" i="19" s="1"/>
  <c r="AU285" i="19"/>
  <c r="AV285" i="19" s="1"/>
  <c r="AE285" i="19" s="1"/>
  <c r="AU284" i="19"/>
  <c r="AV284" i="19" s="1"/>
  <c r="AE284" i="19" s="1"/>
  <c r="AH1215" i="19"/>
  <c r="X1186" i="55"/>
  <c r="Z1186" i="55" s="1"/>
  <c r="W15" i="55" s="1"/>
  <c r="AF1216" i="19" s="1"/>
  <c r="E17" i="55"/>
  <c r="AH1216" i="19" s="1"/>
  <c r="X1186" i="54"/>
  <c r="X1186" i="53"/>
  <c r="AH1214" i="19"/>
  <c r="X1186" i="44"/>
  <c r="E17" i="44"/>
  <c r="AH1212" i="19" s="1"/>
  <c r="X1186" i="52"/>
  <c r="AH1213" i="19"/>
  <c r="W1191" i="19"/>
  <c r="AC1199" i="19"/>
  <c r="AB1199" i="19"/>
  <c r="AG1189" i="19"/>
  <c r="AG1192" i="19" s="1"/>
  <c r="AL1204" i="19"/>
  <c r="AM1196" i="19"/>
  <c r="AN1204" i="19" s="1"/>
  <c r="AN1189" i="19"/>
  <c r="AN1192" i="19" s="1"/>
  <c r="AK1192" i="19"/>
  <c r="AL1196" i="19"/>
  <c r="AN1202" i="19" s="1"/>
  <c r="AL1202" i="19"/>
  <c r="AU255" i="19"/>
  <c r="AV255" i="19" s="1"/>
  <c r="AU689" i="19"/>
  <c r="AV689" i="19" s="1"/>
  <c r="AU1073" i="19"/>
  <c r="AV1073" i="19" s="1"/>
  <c r="AU65" i="19"/>
  <c r="AV65" i="19" s="1"/>
  <c r="AE65" i="19" s="1"/>
  <c r="AU200" i="19"/>
  <c r="AV200" i="19" s="1"/>
  <c r="AE200" i="19" s="1"/>
  <c r="AU297" i="19"/>
  <c r="AV297" i="19" s="1"/>
  <c r="AE297" i="19" s="1"/>
  <c r="AU351" i="19"/>
  <c r="AV351" i="19" s="1"/>
  <c r="AE351" i="19" s="1"/>
  <c r="AU38" i="19"/>
  <c r="AV38" i="19" s="1"/>
  <c r="AE38" i="19" s="1"/>
  <c r="AU107" i="19"/>
  <c r="AV107" i="19" s="1"/>
  <c r="AE107" i="19" s="1"/>
  <c r="AU177" i="19"/>
  <c r="AV177" i="19" s="1"/>
  <c r="AE177" i="19" s="1"/>
  <c r="AU249" i="19"/>
  <c r="AV249" i="19" s="1"/>
  <c r="AE249" i="19" s="1"/>
  <c r="AU317" i="19"/>
  <c r="AV317" i="19" s="1"/>
  <c r="AE317" i="19" s="1"/>
  <c r="AU24" i="19"/>
  <c r="AV24" i="19" s="1"/>
  <c r="AE24" i="19" s="1"/>
  <c r="AU95" i="19"/>
  <c r="AV95" i="19" s="1"/>
  <c r="AE95" i="19" s="1"/>
  <c r="AU141" i="19"/>
  <c r="AV141" i="19" s="1"/>
  <c r="AE141" i="19" s="1"/>
  <c r="AU191" i="19"/>
  <c r="AV191" i="19" s="1"/>
  <c r="AE191" i="19" s="1"/>
  <c r="AU245" i="19"/>
  <c r="AV245" i="19" s="1"/>
  <c r="AE245" i="19" s="1"/>
  <c r="AU899" i="19"/>
  <c r="AV899" i="19" s="1"/>
  <c r="AU553" i="19"/>
  <c r="AV553" i="19" s="1"/>
  <c r="AU110" i="19"/>
  <c r="AV110" i="19" s="1"/>
  <c r="AE110" i="19" s="1"/>
  <c r="AU238" i="19"/>
  <c r="AV238" i="19" s="1"/>
  <c r="AE238" i="19" s="1"/>
  <c r="AU303" i="19"/>
  <c r="AV303" i="19" s="1"/>
  <c r="AE303" i="19" s="1"/>
  <c r="AU379" i="19"/>
  <c r="AV379" i="19" s="1"/>
  <c r="AE379" i="19" s="1"/>
  <c r="AU50" i="19"/>
  <c r="AV50" i="19" s="1"/>
  <c r="AE50" i="19" s="1"/>
  <c r="AU99" i="19"/>
  <c r="AV99" i="19" s="1"/>
  <c r="AE99" i="19" s="1"/>
  <c r="AU186" i="19"/>
  <c r="AV186" i="19" s="1"/>
  <c r="AE186" i="19" s="1"/>
  <c r="AU272" i="19"/>
  <c r="AV272" i="19" s="1"/>
  <c r="AE272" i="19" s="1"/>
  <c r="AU340" i="19"/>
  <c r="AV340" i="19" s="1"/>
  <c r="AE340" i="19" s="1"/>
  <c r="AU53" i="19"/>
  <c r="AV53" i="19" s="1"/>
  <c r="AE53" i="19" s="1"/>
  <c r="AU76" i="19"/>
  <c r="AV76" i="19" s="1"/>
  <c r="AE76" i="19" s="1"/>
  <c r="AU125" i="19"/>
  <c r="AV125" i="19" s="1"/>
  <c r="AE125" i="19" s="1"/>
  <c r="AU169" i="19"/>
  <c r="AV169" i="19" s="1"/>
  <c r="AE169" i="19" s="1"/>
  <c r="AU217" i="19"/>
  <c r="AV217" i="19" s="1"/>
  <c r="AE217" i="19" s="1"/>
  <c r="AU1120" i="19"/>
  <c r="AV1120" i="19" s="1"/>
  <c r="AU59" i="19"/>
  <c r="AV59" i="19" s="1"/>
  <c r="AE59" i="19" s="1"/>
  <c r="AU282" i="19"/>
  <c r="AV282" i="19" s="1"/>
  <c r="AE282" i="19" s="1"/>
  <c r="AU94" i="19"/>
  <c r="AV94" i="19" s="1"/>
  <c r="AE94" i="19" s="1"/>
  <c r="AU236" i="19"/>
  <c r="AV236" i="19" s="1"/>
  <c r="AE236" i="19" s="1"/>
  <c r="AU403" i="19"/>
  <c r="AV403" i="19" s="1"/>
  <c r="AE403" i="19" s="1"/>
  <c r="AU258" i="19"/>
  <c r="AV258" i="19" s="1"/>
  <c r="AE258" i="19" s="1"/>
  <c r="AU301" i="19"/>
  <c r="AV301" i="19" s="1"/>
  <c r="AE301" i="19" s="1"/>
  <c r="AU356" i="19"/>
  <c r="AV356" i="19" s="1"/>
  <c r="AE356" i="19" s="1"/>
  <c r="AU843" i="19"/>
  <c r="AV843" i="19" s="1"/>
  <c r="AU58" i="19"/>
  <c r="AV58" i="19" s="1"/>
  <c r="AE58" i="19" s="1"/>
  <c r="AU138" i="19"/>
  <c r="AV138" i="19" s="1"/>
  <c r="AE138" i="19" s="1"/>
  <c r="AU790" i="19"/>
  <c r="AV790" i="19" s="1"/>
  <c r="AU178" i="19"/>
  <c r="AV178" i="19" s="1"/>
  <c r="AE178" i="19" s="1"/>
  <c r="AU322" i="19"/>
  <c r="AV322" i="19" s="1"/>
  <c r="AE322" i="19" s="1"/>
  <c r="AU120" i="19"/>
  <c r="AV120" i="19" s="1"/>
  <c r="AE120" i="19" s="1"/>
  <c r="AU279" i="19"/>
  <c r="AV279" i="19" s="1"/>
  <c r="AE279" i="19" s="1"/>
  <c r="AU57" i="19"/>
  <c r="AV57" i="19" s="1"/>
  <c r="AE57" i="19" s="1"/>
  <c r="AU292" i="19"/>
  <c r="AV292" i="19" s="1"/>
  <c r="AE292" i="19" s="1"/>
  <c r="AU953" i="19"/>
  <c r="AV953" i="19" s="1"/>
  <c r="AU66" i="19"/>
  <c r="AV66" i="19" s="1"/>
  <c r="AE66" i="19" s="1"/>
  <c r="AU135" i="19"/>
  <c r="AV135" i="19" s="1"/>
  <c r="AE135" i="19" s="1"/>
  <c r="AU192" i="19"/>
  <c r="AV192" i="19" s="1"/>
  <c r="AE192" i="19" s="1"/>
  <c r="AU262" i="19"/>
  <c r="AV262" i="19" s="1"/>
  <c r="AE262" i="19" s="1"/>
  <c r="AU338" i="19"/>
  <c r="AV338" i="19" s="1"/>
  <c r="AE338" i="19" s="1"/>
  <c r="AU663" i="19"/>
  <c r="AV663" i="19" s="1"/>
  <c r="AU34" i="19"/>
  <c r="AV34" i="19" s="1"/>
  <c r="AE34" i="19" s="1"/>
  <c r="AU305" i="19"/>
  <c r="AV305" i="19" s="1"/>
  <c r="AE305" i="19" s="1"/>
  <c r="AU30" i="19"/>
  <c r="AV30" i="19" s="1"/>
  <c r="AE30" i="19" s="1"/>
  <c r="AU196" i="19"/>
  <c r="AV196" i="19" s="1"/>
  <c r="AE196" i="19" s="1"/>
  <c r="AU348" i="19"/>
  <c r="AV348" i="19" s="1"/>
  <c r="AE348" i="19" s="1"/>
  <c r="AU227" i="19"/>
  <c r="AV227" i="19" s="1"/>
  <c r="AE227" i="19" s="1"/>
  <c r="AU289" i="19"/>
  <c r="AV289" i="19" s="1"/>
  <c r="AE289" i="19" s="1"/>
  <c r="AU337" i="19"/>
  <c r="AV337" i="19" s="1"/>
  <c r="AE337" i="19" s="1"/>
  <c r="AU412" i="19"/>
  <c r="AV412" i="19" s="1"/>
  <c r="AE412" i="19" s="1"/>
  <c r="AU77" i="19"/>
  <c r="AV77" i="19" s="1"/>
  <c r="AE77" i="19" s="1"/>
  <c r="AU155" i="19"/>
  <c r="AV155" i="19" s="1"/>
  <c r="AE155" i="19" s="1"/>
  <c r="AU208" i="19"/>
  <c r="AV208" i="19" s="1"/>
  <c r="AE208" i="19" s="1"/>
  <c r="AU298" i="19"/>
  <c r="AV298" i="19" s="1"/>
  <c r="AE298" i="19" s="1"/>
  <c r="AU361" i="19"/>
  <c r="AV361" i="19" s="1"/>
  <c r="AE361" i="19" s="1"/>
  <c r="AU1101" i="19"/>
  <c r="AV1101" i="19" s="1"/>
  <c r="AU148" i="19"/>
  <c r="AV148" i="19" s="1"/>
  <c r="AE148" i="19" s="1"/>
  <c r="AU391" i="19"/>
  <c r="AV391" i="19" s="1"/>
  <c r="AE391" i="19" s="1"/>
  <c r="AU149" i="19"/>
  <c r="AV149" i="19" s="1"/>
  <c r="AE149" i="19" s="1"/>
  <c r="AU311" i="19"/>
  <c r="AV311" i="19" s="1"/>
  <c r="AE311" i="19" s="1"/>
  <c r="AU60" i="19"/>
  <c r="AV60" i="19" s="1"/>
  <c r="AE60" i="19" s="1"/>
  <c r="AU306" i="19"/>
  <c r="AV306" i="19" s="1"/>
  <c r="AE306" i="19" s="1"/>
  <c r="AU26" i="19"/>
  <c r="AV26" i="19" s="1"/>
  <c r="AE26" i="19" s="1"/>
  <c r="AU103" i="19"/>
  <c r="AV103" i="19" s="1"/>
  <c r="AE103" i="19" s="1"/>
  <c r="AU182" i="19"/>
  <c r="AV182" i="19" s="1"/>
  <c r="AE182" i="19" s="1"/>
  <c r="AU280" i="19"/>
  <c r="AV280" i="19" s="1"/>
  <c r="AE280" i="19" s="1"/>
  <c r="AU344" i="19"/>
  <c r="AV344" i="19" s="1"/>
  <c r="AE344" i="19" s="1"/>
  <c r="AU78" i="19"/>
  <c r="AV78" i="19" s="1"/>
  <c r="AU96" i="19"/>
  <c r="AV96" i="19" s="1"/>
  <c r="AU915" i="19"/>
  <c r="AV915" i="19" s="1"/>
  <c r="AU132" i="19"/>
  <c r="AV132" i="19" s="1"/>
  <c r="AE132" i="19" s="1"/>
  <c r="AU244" i="19"/>
  <c r="AV244" i="19" s="1"/>
  <c r="AE244" i="19" s="1"/>
  <c r="AU329" i="19"/>
  <c r="AV329" i="19" s="1"/>
  <c r="AE329" i="19" s="1"/>
  <c r="AU1097" i="19"/>
  <c r="AV1097" i="19" s="1"/>
  <c r="AU63" i="19"/>
  <c r="AV63" i="19" s="1"/>
  <c r="AE63" i="19" s="1"/>
  <c r="AU130" i="19"/>
  <c r="AV130" i="19" s="1"/>
  <c r="AE130" i="19" s="1"/>
  <c r="AU205" i="19"/>
  <c r="AV205" i="19" s="1"/>
  <c r="AE205" i="19" s="1"/>
  <c r="AU291" i="19"/>
  <c r="AV291" i="19" s="1"/>
  <c r="AE291" i="19" s="1"/>
  <c r="AU355" i="19"/>
  <c r="AV355" i="19" s="1"/>
  <c r="AE355" i="19" s="1"/>
  <c r="AU72" i="19"/>
  <c r="AV72" i="19" s="1"/>
  <c r="AE72" i="19" s="1"/>
  <c r="AU108" i="19"/>
  <c r="AV108" i="19" s="1"/>
  <c r="AE108" i="19" s="1"/>
  <c r="AU164" i="19"/>
  <c r="AV164" i="19" s="1"/>
  <c r="AE164" i="19" s="1"/>
  <c r="AU220" i="19"/>
  <c r="AV220" i="19" s="1"/>
  <c r="AE220" i="19" s="1"/>
  <c r="AU506" i="19"/>
  <c r="AV506" i="19" s="1"/>
  <c r="AU336" i="19"/>
  <c r="AV336" i="19" s="1"/>
  <c r="AU33" i="19"/>
  <c r="AV33" i="19" s="1"/>
  <c r="AE33" i="19" s="1"/>
  <c r="AU167" i="19"/>
  <c r="AV167" i="19" s="1"/>
  <c r="AE167" i="19" s="1"/>
  <c r="AU274" i="19"/>
  <c r="AV274" i="19" s="1"/>
  <c r="AE274" i="19" s="1"/>
  <c r="AU339" i="19"/>
  <c r="AV339" i="19" s="1"/>
  <c r="AE339" i="19" s="1"/>
  <c r="AU1108" i="19"/>
  <c r="AV1108" i="19" s="1"/>
  <c r="AU83" i="19"/>
  <c r="AV83" i="19" s="1"/>
  <c r="AE83" i="19" s="1"/>
  <c r="AU157" i="19"/>
  <c r="AV157" i="19" s="1"/>
  <c r="AE157" i="19" s="1"/>
  <c r="AU224" i="19"/>
  <c r="AV224" i="19" s="1"/>
  <c r="AE224" i="19" s="1"/>
  <c r="AU314" i="19"/>
  <c r="AV314" i="19" s="1"/>
  <c r="AE314" i="19" s="1"/>
  <c r="AU372" i="19"/>
  <c r="AV372" i="19" s="1"/>
  <c r="AE372" i="19" s="1"/>
  <c r="AU54" i="19"/>
  <c r="AV54" i="19" s="1"/>
  <c r="AE54" i="19" s="1"/>
  <c r="AU106" i="19"/>
  <c r="AV106" i="19" s="1"/>
  <c r="AE106" i="19" s="1"/>
  <c r="AU146" i="19"/>
  <c r="AV146" i="19" s="1"/>
  <c r="AE146" i="19" s="1"/>
  <c r="AU197" i="19"/>
  <c r="AV197" i="19" s="1"/>
  <c r="AE197" i="19" s="1"/>
  <c r="AU246" i="19"/>
  <c r="AV246" i="19" s="1"/>
  <c r="AE246" i="19" s="1"/>
  <c r="AU316" i="19"/>
  <c r="AV316" i="19" s="1"/>
  <c r="AU214" i="19"/>
  <c r="AV214" i="19" s="1"/>
  <c r="AE214" i="19" s="1"/>
  <c r="AU398" i="19"/>
  <c r="AV398" i="19" s="1"/>
  <c r="AE398" i="19" s="1"/>
  <c r="AU160" i="19"/>
  <c r="AV160" i="19" s="1"/>
  <c r="AE160" i="19" s="1"/>
  <c r="AU307" i="19"/>
  <c r="AV307" i="19" s="1"/>
  <c r="AE307" i="19" s="1"/>
  <c r="AU119" i="19"/>
  <c r="AV119" i="19" s="1"/>
  <c r="AE119" i="19" s="1"/>
  <c r="AU294" i="19"/>
  <c r="AV294" i="19" s="1"/>
  <c r="AE294" i="19" s="1"/>
  <c r="AU332" i="19"/>
  <c r="AV332" i="19" s="1"/>
  <c r="AE332" i="19" s="1"/>
  <c r="AU399" i="19"/>
  <c r="AV399" i="19" s="1"/>
  <c r="AE399" i="19" s="1"/>
  <c r="AU28" i="19"/>
  <c r="AV28" i="19" s="1"/>
  <c r="AE28" i="19" s="1"/>
  <c r="AU97" i="19"/>
  <c r="AV97" i="19" s="1"/>
  <c r="AE97" i="19" s="1"/>
  <c r="AU440" i="19"/>
  <c r="AV440" i="19" s="1"/>
  <c r="AU55" i="19"/>
  <c r="AV55" i="19" s="1"/>
  <c r="AE55" i="19" s="1"/>
  <c r="AU261" i="19"/>
  <c r="AV261" i="19" s="1"/>
  <c r="AE261" i="19" s="1"/>
  <c r="AU31" i="19"/>
  <c r="AV31" i="19" s="1"/>
  <c r="AE31" i="19" s="1"/>
  <c r="AU181" i="19"/>
  <c r="AV181" i="19" s="1"/>
  <c r="AE181" i="19" s="1"/>
  <c r="AU342" i="19"/>
  <c r="AV342" i="19" s="1"/>
  <c r="AE342" i="19" s="1"/>
  <c r="AU171" i="19"/>
  <c r="AV171" i="19" s="1"/>
  <c r="AE171" i="19" s="1"/>
  <c r="AU357" i="19"/>
  <c r="AV357" i="19" s="1"/>
  <c r="AE357" i="19" s="1"/>
  <c r="AU43" i="19"/>
  <c r="AV43" i="19" s="1"/>
  <c r="AE43" i="19" s="1"/>
  <c r="AU80" i="19"/>
  <c r="AV80" i="19" s="1"/>
  <c r="AE80" i="19" s="1"/>
  <c r="AU150" i="19"/>
  <c r="AV150" i="19" s="1"/>
  <c r="AE150" i="19" s="1"/>
  <c r="AU218" i="19"/>
  <c r="AV218" i="19" s="1"/>
  <c r="AE218" i="19" s="1"/>
  <c r="AU300" i="19"/>
  <c r="AV300" i="19" s="1"/>
  <c r="AE300" i="19" s="1"/>
  <c r="AU376" i="19"/>
  <c r="AV376" i="19" s="1"/>
  <c r="AE376" i="19" s="1"/>
  <c r="AU599" i="19"/>
  <c r="AV599" i="19" s="1"/>
  <c r="AU187" i="19"/>
  <c r="AV187" i="19" s="1"/>
  <c r="AE187" i="19" s="1"/>
  <c r="AU353" i="19"/>
  <c r="AV353" i="19" s="1"/>
  <c r="AE353" i="19" s="1"/>
  <c r="AU122" i="19"/>
  <c r="AV122" i="19" s="1"/>
  <c r="AE122" i="19" s="1"/>
  <c r="AU278" i="19"/>
  <c r="AV278" i="19" s="1"/>
  <c r="AE278" i="19" s="1"/>
  <c r="AU79" i="19"/>
  <c r="AV79" i="19" s="1"/>
  <c r="AE79" i="19" s="1"/>
  <c r="AU267" i="19"/>
  <c r="AV267" i="19" s="1"/>
  <c r="AE267" i="19" s="1"/>
  <c r="AU321" i="19"/>
  <c r="AV321" i="19" s="1"/>
  <c r="AE321" i="19" s="1"/>
  <c r="AU367" i="19"/>
  <c r="AV367" i="19" s="1"/>
  <c r="AE367" i="19" s="1"/>
  <c r="AU41" i="19"/>
  <c r="AV41" i="19" s="1"/>
  <c r="AE41" i="19" s="1"/>
  <c r="AU100" i="19"/>
  <c r="AV100" i="19" s="1"/>
  <c r="AE100" i="19" s="1"/>
  <c r="AU170" i="19"/>
  <c r="AV170" i="19" s="1"/>
  <c r="AE170" i="19" s="1"/>
  <c r="AU251" i="19"/>
  <c r="AV251" i="19" s="1"/>
  <c r="AE251" i="19" s="1"/>
  <c r="AU318" i="19"/>
  <c r="AV318" i="19" s="1"/>
  <c r="AE318" i="19" s="1"/>
  <c r="AU918" i="19"/>
  <c r="AV918" i="19" s="1"/>
  <c r="AU1125" i="19"/>
  <c r="AV1125" i="19" s="1"/>
  <c r="AU312" i="19"/>
  <c r="AV312" i="19" s="1"/>
  <c r="AE312" i="19" s="1"/>
  <c r="AU85" i="19"/>
  <c r="AV85" i="19" s="1"/>
  <c r="AE85" i="19" s="1"/>
  <c r="AU230" i="19"/>
  <c r="AV230" i="19" s="1"/>
  <c r="AE230" i="19" s="1"/>
  <c r="AU385" i="19"/>
  <c r="AV385" i="19" s="1"/>
  <c r="AE385" i="19" s="1"/>
  <c r="AU209" i="19"/>
  <c r="AV209" i="19" s="1"/>
  <c r="AE209" i="19" s="1"/>
  <c r="AU382" i="19"/>
  <c r="AV382" i="19" s="1"/>
  <c r="AE382" i="19" s="1"/>
  <c r="AU87" i="19"/>
  <c r="AV87" i="19" s="1"/>
  <c r="AE87" i="19" s="1"/>
  <c r="AU151" i="19"/>
  <c r="AV151" i="19" s="1"/>
  <c r="AE151" i="19" s="1"/>
  <c r="AU229" i="19"/>
  <c r="AV229" i="19" s="1"/>
  <c r="AE229" i="19" s="1"/>
  <c r="AU308" i="19"/>
  <c r="AV308" i="19" s="1"/>
  <c r="AE308" i="19" s="1"/>
  <c r="AU380" i="19"/>
  <c r="AV380" i="19" s="1"/>
  <c r="AE380" i="19" s="1"/>
  <c r="AU846" i="19"/>
  <c r="AV846" i="19" s="1"/>
  <c r="AU1044" i="19"/>
  <c r="AV1044" i="19" s="1"/>
  <c r="AU969" i="19"/>
  <c r="AV969" i="19" s="1"/>
  <c r="AU154" i="19"/>
  <c r="AV154" i="19" s="1"/>
  <c r="AE154" i="19" s="1"/>
  <c r="AU271" i="19"/>
  <c r="AV271" i="19" s="1"/>
  <c r="AE271" i="19" s="1"/>
  <c r="AU343" i="19"/>
  <c r="AV343" i="19" s="1"/>
  <c r="AE343" i="19" s="1"/>
  <c r="AU1116" i="19"/>
  <c r="AV1116" i="19" s="1"/>
  <c r="AU75" i="19"/>
  <c r="AV75" i="19" s="1"/>
  <c r="AE75" i="19" s="1"/>
  <c r="AU139" i="19"/>
  <c r="AV139" i="19" s="1"/>
  <c r="AE139" i="19" s="1"/>
  <c r="AU216" i="19"/>
  <c r="AV216" i="19" s="1"/>
  <c r="AE216" i="19" s="1"/>
  <c r="AU313" i="19"/>
  <c r="AV313" i="19" s="1"/>
  <c r="AE313" i="19" s="1"/>
  <c r="AU365" i="19"/>
  <c r="AV365" i="19" s="1"/>
  <c r="AE365" i="19" s="1"/>
  <c r="AU82" i="19"/>
  <c r="AV82" i="19" s="1"/>
  <c r="AE82" i="19" s="1"/>
  <c r="AU134" i="19"/>
  <c r="AV134" i="19" s="1"/>
  <c r="AE134" i="19" s="1"/>
  <c r="AU172" i="19"/>
  <c r="AV172" i="19" s="1"/>
  <c r="AE172" i="19" s="1"/>
  <c r="AU225" i="19"/>
  <c r="AV225" i="19" s="1"/>
  <c r="AE225" i="19" s="1"/>
  <c r="AU459" i="19"/>
  <c r="AV459" i="19" s="1"/>
  <c r="AU447" i="19"/>
  <c r="AV447" i="19" s="1"/>
  <c r="AU32" i="19"/>
  <c r="AV32" i="19" s="1"/>
  <c r="AE32" i="19" s="1"/>
  <c r="AU184" i="19"/>
  <c r="AV184" i="19" s="1"/>
  <c r="AE184" i="19" s="1"/>
  <c r="AU295" i="19"/>
  <c r="AV295" i="19" s="1"/>
  <c r="AE295" i="19" s="1"/>
  <c r="AU347" i="19"/>
  <c r="AV347" i="19" s="1"/>
  <c r="AE347" i="19" s="1"/>
  <c r="AU42" i="19"/>
  <c r="AV42" i="19" s="1"/>
  <c r="AE42" i="19" s="1"/>
  <c r="AU90" i="19"/>
  <c r="AV90" i="19" s="1"/>
  <c r="AE90" i="19" s="1"/>
  <c r="AU163" i="19"/>
  <c r="AV163" i="19" s="1"/>
  <c r="AE163" i="19" s="1"/>
  <c r="AU248" i="19"/>
  <c r="AV248" i="19" s="1"/>
  <c r="AE248" i="19" s="1"/>
  <c r="AU324" i="19"/>
  <c r="AV324" i="19" s="1"/>
  <c r="AE324" i="19" s="1"/>
  <c r="AU408" i="19"/>
  <c r="AV408" i="19" s="1"/>
  <c r="AE408" i="19" s="1"/>
  <c r="AU64" i="19"/>
  <c r="AV64" i="19" s="1"/>
  <c r="AE64" i="19" s="1"/>
  <c r="AU98" i="19"/>
  <c r="AV98" i="19" s="1"/>
  <c r="AE98" i="19" s="1"/>
  <c r="AU162" i="19"/>
  <c r="AV162" i="19" s="1"/>
  <c r="AE162" i="19" s="1"/>
  <c r="AU206" i="19"/>
  <c r="AV206" i="19" s="1"/>
  <c r="AE206" i="19" s="1"/>
  <c r="AU1122" i="19"/>
  <c r="AV1122" i="19" s="1"/>
  <c r="AU1110" i="19"/>
  <c r="AV1110" i="19" s="1"/>
  <c r="AU275" i="19"/>
  <c r="AV275" i="19" s="1"/>
  <c r="AE275" i="19" s="1"/>
  <c r="AU67" i="19"/>
  <c r="AV67" i="19" s="1"/>
  <c r="AE67" i="19" s="1"/>
  <c r="AU210" i="19"/>
  <c r="AV210" i="19" s="1"/>
  <c r="AE210" i="19" s="1"/>
  <c r="AU360" i="19"/>
  <c r="AV360" i="19" s="1"/>
  <c r="AE360" i="19" s="1"/>
  <c r="AU185" i="19"/>
  <c r="AV185" i="19" s="1"/>
  <c r="AE185" i="19" s="1"/>
  <c r="AU310" i="19"/>
  <c r="AV310" i="19" s="1"/>
  <c r="AE310" i="19" s="1"/>
  <c r="AU345" i="19"/>
  <c r="AV345" i="19" s="1"/>
  <c r="AE345" i="19" s="1"/>
  <c r="AU825" i="19"/>
  <c r="AV825" i="19" s="1"/>
  <c r="AU48" i="19"/>
  <c r="AV48" i="19" s="1"/>
  <c r="AE48" i="19" s="1"/>
  <c r="AU126" i="19"/>
  <c r="AV126" i="19" s="1"/>
  <c r="AE126" i="19" s="1"/>
  <c r="AU594" i="19"/>
  <c r="AV594" i="19" s="1"/>
  <c r="AU81" i="19"/>
  <c r="AV81" i="19" s="1"/>
  <c r="AE81" i="19" s="1"/>
  <c r="AU265" i="19"/>
  <c r="AV265" i="19" s="1"/>
  <c r="AE265" i="19" s="1"/>
  <c r="AU71" i="19"/>
  <c r="AV71" i="19" s="1"/>
  <c r="AE71" i="19" s="1"/>
  <c r="AU211" i="19"/>
  <c r="AV211" i="19" s="1"/>
  <c r="AE211" i="19" s="1"/>
  <c r="AU371" i="19"/>
  <c r="AV371" i="19" s="1"/>
  <c r="AE371" i="19" s="1"/>
  <c r="AU252" i="19"/>
  <c r="AV252" i="19" s="1"/>
  <c r="AE252" i="19" s="1"/>
  <c r="AU884" i="19"/>
  <c r="AV884" i="19" s="1"/>
  <c r="AU46" i="19"/>
  <c r="AV46" i="19" s="1"/>
  <c r="AE46" i="19" s="1"/>
  <c r="AU112" i="19"/>
  <c r="AV112" i="19" s="1"/>
  <c r="AE112" i="19" s="1"/>
  <c r="AU179" i="19"/>
  <c r="AV179" i="19" s="1"/>
  <c r="AE179" i="19" s="1"/>
  <c r="AU242" i="19"/>
  <c r="AV242" i="19" s="1"/>
  <c r="AE242" i="19" s="1"/>
  <c r="AU320" i="19"/>
  <c r="AV320" i="19" s="1"/>
  <c r="AE320" i="19" s="1"/>
  <c r="AU239" i="19"/>
  <c r="AV239" i="19" s="1"/>
  <c r="AU840" i="19"/>
  <c r="AV840" i="19" s="1"/>
  <c r="AU259" i="19"/>
  <c r="AV259" i="19" s="1"/>
  <c r="AE259" i="19" s="1"/>
  <c r="AU51" i="19"/>
  <c r="AV51" i="19" s="1"/>
  <c r="AE51" i="19" s="1"/>
  <c r="AU173" i="19"/>
  <c r="AV173" i="19" s="1"/>
  <c r="AE173" i="19" s="1"/>
  <c r="AU319" i="19"/>
  <c r="AV319" i="19" s="1"/>
  <c r="AE319" i="19" s="1"/>
  <c r="AU156" i="19"/>
  <c r="AV156" i="19" s="1"/>
  <c r="AE156" i="19" s="1"/>
  <c r="AU273" i="19"/>
  <c r="AV273" i="19" s="1"/>
  <c r="AE273" i="19" s="1"/>
  <c r="AU333" i="19"/>
  <c r="AV333" i="19" s="1"/>
  <c r="AE333" i="19" s="1"/>
  <c r="AU374" i="19"/>
  <c r="AV374" i="19" s="1"/>
  <c r="AE374" i="19" s="1"/>
  <c r="AU62" i="19"/>
  <c r="AV62" i="19" s="1"/>
  <c r="AE62" i="19" s="1"/>
  <c r="AU136" i="19"/>
  <c r="AV136" i="19" s="1"/>
  <c r="AE136" i="19" s="1"/>
  <c r="AU194" i="19"/>
  <c r="AV194" i="19" s="1"/>
  <c r="AE194" i="19" s="1"/>
  <c r="AU270" i="19"/>
  <c r="AV270" i="19" s="1"/>
  <c r="AE270" i="19" s="1"/>
  <c r="AU350" i="19"/>
  <c r="AV350" i="19" s="1"/>
  <c r="AE350" i="19" s="1"/>
  <c r="AU852" i="19"/>
  <c r="AV852" i="19" s="1"/>
  <c r="AU101" i="19"/>
  <c r="AV101" i="19" s="1"/>
  <c r="AE101" i="19" s="1"/>
  <c r="AU359" i="19"/>
  <c r="AV359" i="19" s="1"/>
  <c r="AE359" i="19" s="1"/>
  <c r="AU102" i="19"/>
  <c r="AV102" i="19" s="1"/>
  <c r="AE102" i="19" s="1"/>
  <c r="AU260" i="19"/>
  <c r="AV260" i="19" s="1"/>
  <c r="AE260" i="19" s="1"/>
  <c r="AU47" i="19"/>
  <c r="AV47" i="19" s="1"/>
  <c r="AE47" i="19" s="1"/>
  <c r="AU268" i="19"/>
  <c r="AV268" i="19" s="1"/>
  <c r="AE268" i="19" s="1"/>
  <c r="AU974" i="19"/>
  <c r="AV974" i="19" s="1"/>
  <c r="AU92" i="19"/>
  <c r="AV92" i="19" s="1"/>
  <c r="AE92" i="19" s="1"/>
  <c r="AU166" i="19"/>
  <c r="AV166" i="19" s="1"/>
  <c r="AE166" i="19" s="1"/>
  <c r="AU247" i="19"/>
  <c r="AV247" i="19" s="1"/>
  <c r="AE247" i="19" s="1"/>
  <c r="AU323" i="19"/>
  <c r="AV323" i="19" s="1"/>
  <c r="AE323" i="19" s="1"/>
  <c r="AU422" i="19"/>
  <c r="AV422" i="19" s="1"/>
  <c r="AE422" i="19" s="1"/>
  <c r="AU942" i="19"/>
  <c r="AV942" i="19" s="1"/>
  <c r="AE942" i="19" s="1"/>
  <c r="AU231" i="19"/>
  <c r="AV231" i="19" s="1"/>
  <c r="AE231" i="19" s="1"/>
  <c r="AU104" i="19"/>
  <c r="AV104" i="19" s="1"/>
  <c r="AE104" i="19" s="1"/>
  <c r="AU29" i="19"/>
  <c r="AV29" i="19" s="1"/>
  <c r="AE29" i="19" s="1"/>
  <c r="AU749" i="19"/>
  <c r="AV749" i="19" s="1"/>
  <c r="AU254" i="19"/>
  <c r="AV254" i="19" s="1"/>
  <c r="AE254" i="19" s="1"/>
  <c r="AU124" i="19"/>
  <c r="AV124" i="19" s="1"/>
  <c r="AE124" i="19" s="1"/>
  <c r="AU27" i="19"/>
  <c r="AV27" i="19" s="1"/>
  <c r="AE27" i="19" s="1"/>
  <c r="AU233" i="19"/>
  <c r="AV233" i="19" s="1"/>
  <c r="AE233" i="19" s="1"/>
  <c r="AU133" i="19"/>
  <c r="AV133" i="19" s="1"/>
  <c r="AE133" i="19" s="1"/>
  <c r="AU325" i="19"/>
  <c r="AV325" i="19" s="1"/>
  <c r="AE325" i="19" s="1"/>
  <c r="AU911" i="19"/>
  <c r="AV911" i="19" s="1"/>
  <c r="AU142" i="19"/>
  <c r="AV142" i="19" s="1"/>
  <c r="AE142" i="19" s="1"/>
  <c r="AU25" i="19"/>
  <c r="AV25" i="19" s="1"/>
  <c r="AE25" i="19" s="1"/>
  <c r="AU296" i="19"/>
  <c r="AV296" i="19" s="1"/>
  <c r="AE296" i="19" s="1"/>
  <c r="AU334" i="19"/>
  <c r="AV334" i="19" s="1"/>
  <c r="AE334" i="19" s="1"/>
  <c r="AU256" i="19"/>
  <c r="AV256" i="19" s="1"/>
  <c r="AE256" i="19" s="1"/>
  <c r="AU89" i="19"/>
  <c r="AV89" i="19" s="1"/>
  <c r="AE89" i="19" s="1"/>
  <c r="AU404" i="19"/>
  <c r="AV404" i="19" s="1"/>
  <c r="AE404" i="19" s="1"/>
  <c r="AU174" i="19"/>
  <c r="AV174" i="19" s="1"/>
  <c r="AE174" i="19" s="1"/>
  <c r="AU44" i="19"/>
  <c r="AV44" i="19" s="1"/>
  <c r="AE44" i="19" s="1"/>
  <c r="AU354" i="19"/>
  <c r="AV354" i="19" s="1"/>
  <c r="AE354" i="19" s="1"/>
  <c r="AU302" i="19"/>
  <c r="AV302" i="19" s="1"/>
  <c r="AE302" i="19" s="1"/>
  <c r="AU510" i="19"/>
  <c r="AV510" i="19" s="1"/>
  <c r="AE510" i="19" s="1"/>
  <c r="AU590" i="19"/>
  <c r="AV590" i="19" s="1"/>
  <c r="AE590" i="19" s="1"/>
  <c r="AU650" i="19"/>
  <c r="AV650" i="19" s="1"/>
  <c r="AE650" i="19" s="1"/>
  <c r="AU734" i="19"/>
  <c r="AV734" i="19" s="1"/>
  <c r="AE734" i="19" s="1"/>
  <c r="AU771" i="19"/>
  <c r="AV771" i="19" s="1"/>
  <c r="AE771" i="19" s="1"/>
  <c r="AU435" i="19"/>
  <c r="AV435" i="19" s="1"/>
  <c r="AE435" i="19" s="1"/>
  <c r="AU496" i="19"/>
  <c r="AV496" i="19" s="1"/>
  <c r="AE496" i="19" s="1"/>
  <c r="AU571" i="19"/>
  <c r="AV571" i="19" s="1"/>
  <c r="AE571" i="19" s="1"/>
  <c r="AU649" i="19"/>
  <c r="AV649" i="19" s="1"/>
  <c r="AE649" i="19" s="1"/>
  <c r="AU733" i="19"/>
  <c r="AV733" i="19" s="1"/>
  <c r="AE733" i="19" s="1"/>
  <c r="AU389" i="19"/>
  <c r="AV389" i="19" s="1"/>
  <c r="AE389" i="19" s="1"/>
  <c r="AU467" i="19"/>
  <c r="AV467" i="19" s="1"/>
  <c r="AE467" i="19" s="1"/>
  <c r="AU548" i="19"/>
  <c r="AV548" i="19" s="1"/>
  <c r="AE548" i="19" s="1"/>
  <c r="AU620" i="19"/>
  <c r="AV620" i="19" s="1"/>
  <c r="AE620" i="19" s="1"/>
  <c r="AU266" i="19"/>
  <c r="AV266" i="19" s="1"/>
  <c r="AE266" i="19" s="1"/>
  <c r="AU463" i="19"/>
  <c r="AV463" i="19" s="1"/>
  <c r="AE463" i="19" s="1"/>
  <c r="AU543" i="19"/>
  <c r="AV543" i="19" s="1"/>
  <c r="AE543" i="19" s="1"/>
  <c r="AU618" i="19"/>
  <c r="AV618" i="19" s="1"/>
  <c r="AE618" i="19" s="1"/>
  <c r="AU698" i="19"/>
  <c r="AV698" i="19" s="1"/>
  <c r="AE698" i="19" s="1"/>
  <c r="AU497" i="19"/>
  <c r="AV497" i="19" s="1"/>
  <c r="AE497" i="19" s="1"/>
  <c r="AU578" i="19"/>
  <c r="AV578" i="19" s="1"/>
  <c r="AE578" i="19" s="1"/>
  <c r="AU657" i="19"/>
  <c r="AV657" i="19" s="1"/>
  <c r="AE657" i="19" s="1"/>
  <c r="AU728" i="19"/>
  <c r="AV728" i="19" s="1"/>
  <c r="AE728" i="19" s="1"/>
  <c r="AU395" i="19"/>
  <c r="AV395" i="19" s="1"/>
  <c r="AE395" i="19" s="1"/>
  <c r="AU472" i="19"/>
  <c r="AV472" i="19" s="1"/>
  <c r="AE472" i="19" s="1"/>
  <c r="AU550" i="19"/>
  <c r="AV550" i="19" s="1"/>
  <c r="AE550" i="19" s="1"/>
  <c r="AU637" i="19"/>
  <c r="AV637" i="19" s="1"/>
  <c r="AE637" i="19" s="1"/>
  <c r="AU234" i="19"/>
  <c r="AV234" i="19" s="1"/>
  <c r="AE234" i="19" s="1"/>
  <c r="AU469" i="19"/>
  <c r="AV469" i="19" s="1"/>
  <c r="AE469" i="19" s="1"/>
  <c r="AU537" i="19"/>
  <c r="AV537" i="19" s="1"/>
  <c r="AE537" i="19" s="1"/>
  <c r="AU625" i="19"/>
  <c r="AV625" i="19" s="1"/>
  <c r="AE625" i="19" s="1"/>
  <c r="AU710" i="19"/>
  <c r="AV710" i="19" s="1"/>
  <c r="AE710" i="19" s="1"/>
  <c r="AU767" i="19"/>
  <c r="AV767" i="19" s="1"/>
  <c r="AE767" i="19" s="1"/>
  <c r="AU409" i="19"/>
  <c r="AV409" i="19" s="1"/>
  <c r="AE409" i="19" s="1"/>
  <c r="AU450" i="19"/>
  <c r="AV450" i="19" s="1"/>
  <c r="AE450" i="19" s="1"/>
  <c r="AU523" i="19"/>
  <c r="AV523" i="19" s="1"/>
  <c r="AE523" i="19" s="1"/>
  <c r="AU606" i="19"/>
  <c r="AV606" i="19" s="1"/>
  <c r="AE606" i="19" s="1"/>
  <c r="AU683" i="19"/>
  <c r="AV683" i="19" s="1"/>
  <c r="AE683" i="19" s="1"/>
  <c r="AU755" i="19"/>
  <c r="AV755" i="19" s="1"/>
  <c r="AE755" i="19" s="1"/>
  <c r="AU417" i="19"/>
  <c r="AV417" i="19" s="1"/>
  <c r="AE417" i="19" s="1"/>
  <c r="AU502" i="19"/>
  <c r="AV502" i="19" s="1"/>
  <c r="AE502" i="19" s="1"/>
  <c r="AU583" i="19"/>
  <c r="AV583" i="19" s="1"/>
  <c r="AE583" i="19" s="1"/>
  <c r="AU670" i="19"/>
  <c r="AV670" i="19" s="1"/>
  <c r="AE670" i="19" s="1"/>
  <c r="AU434" i="19"/>
  <c r="AV434" i="19" s="1"/>
  <c r="AE434" i="19" s="1"/>
  <c r="AU525" i="19"/>
  <c r="AV525" i="19" s="1"/>
  <c r="AE525" i="19" s="1"/>
  <c r="AU600" i="19"/>
  <c r="AV600" i="19" s="1"/>
  <c r="AE600" i="19" s="1"/>
  <c r="AU674" i="19"/>
  <c r="AV674" i="19" s="1"/>
  <c r="AE674" i="19" s="1"/>
  <c r="AU480" i="19"/>
  <c r="AV480" i="19" s="1"/>
  <c r="AE480" i="19" s="1"/>
  <c r="AU555" i="19"/>
  <c r="AV555" i="19" s="1"/>
  <c r="AE555" i="19" s="1"/>
  <c r="AU638" i="19"/>
  <c r="AV638" i="19" s="1"/>
  <c r="AE638" i="19" s="1"/>
  <c r="AU715" i="19"/>
  <c r="AV715" i="19" s="1"/>
  <c r="AE715" i="19" s="1"/>
  <c r="AU368" i="19"/>
  <c r="AV368" i="19" s="1"/>
  <c r="AE368" i="19" s="1"/>
  <c r="AU454" i="19"/>
  <c r="AV454" i="19" s="1"/>
  <c r="AE454" i="19" s="1"/>
  <c r="AU529" i="19"/>
  <c r="AV529" i="19" s="1"/>
  <c r="AE529" i="19" s="1"/>
  <c r="AU609" i="19"/>
  <c r="AV609" i="19" s="1"/>
  <c r="AE609" i="19" s="1"/>
  <c r="AU714" i="19"/>
  <c r="AV714" i="19" s="1"/>
  <c r="AE714" i="19" s="1"/>
  <c r="AU779" i="19"/>
  <c r="AV779" i="19" s="1"/>
  <c r="AE779" i="19" s="1"/>
  <c r="AU439" i="19"/>
  <c r="AV439" i="19" s="1"/>
  <c r="AE439" i="19" s="1"/>
  <c r="AU524" i="19"/>
  <c r="AV524" i="19" s="1"/>
  <c r="AE524" i="19" s="1"/>
  <c r="AU610" i="19"/>
  <c r="AV610" i="19" s="1"/>
  <c r="AE610" i="19" s="1"/>
  <c r="AU703" i="19"/>
  <c r="AV703" i="19" s="1"/>
  <c r="AE703" i="19" s="1"/>
  <c r="AU891" i="19"/>
  <c r="AV891" i="19" s="1"/>
  <c r="AE891" i="19" s="1"/>
  <c r="AU1042" i="19"/>
  <c r="AV1042" i="19" s="1"/>
  <c r="AE1042" i="19" s="1"/>
  <c r="AU1056" i="19"/>
  <c r="AV1056" i="19" s="1"/>
  <c r="AU304" i="19"/>
  <c r="AV304" i="19" s="1"/>
  <c r="AE304" i="19" s="1"/>
  <c r="AU183" i="19"/>
  <c r="AV183" i="19" s="1"/>
  <c r="AE183" i="19" s="1"/>
  <c r="AU115" i="19"/>
  <c r="AV115" i="19" s="1"/>
  <c r="AE115" i="19" s="1"/>
  <c r="AU937" i="19"/>
  <c r="AV937" i="19" s="1"/>
  <c r="AU327" i="19"/>
  <c r="AV327" i="19" s="1"/>
  <c r="AE327" i="19" s="1"/>
  <c r="AU201" i="19"/>
  <c r="AV201" i="19" s="1"/>
  <c r="AE201" i="19" s="1"/>
  <c r="AU91" i="19"/>
  <c r="AV91" i="19" s="1"/>
  <c r="AE91" i="19" s="1"/>
  <c r="AU486" i="19"/>
  <c r="AV486" i="19" s="1"/>
  <c r="AU290" i="19"/>
  <c r="AV290" i="19" s="1"/>
  <c r="AE290" i="19" s="1"/>
  <c r="AU377" i="19"/>
  <c r="AV377" i="19" s="1"/>
  <c r="AE377" i="19" s="1"/>
  <c r="AU786" i="19"/>
  <c r="AV786" i="19" s="1"/>
  <c r="AU287" i="19"/>
  <c r="AV287" i="19" s="1"/>
  <c r="AE287" i="19" s="1"/>
  <c r="AU73" i="19"/>
  <c r="AV73" i="19" s="1"/>
  <c r="AE73" i="19" s="1"/>
  <c r="AU358" i="19"/>
  <c r="AV358" i="19" s="1"/>
  <c r="AE358" i="19" s="1"/>
  <c r="AU109" i="19"/>
  <c r="AV109" i="19" s="1"/>
  <c r="AE109" i="19" s="1"/>
  <c r="AU309" i="19"/>
  <c r="AV309" i="19" s="1"/>
  <c r="AE309" i="19" s="1"/>
  <c r="AU159" i="19"/>
  <c r="AV159" i="19" s="1"/>
  <c r="AE159" i="19" s="1"/>
  <c r="AU455" i="19"/>
  <c r="AV455" i="19" s="1"/>
  <c r="AU326" i="19"/>
  <c r="AV326" i="19" s="1"/>
  <c r="AE326" i="19" s="1"/>
  <c r="AU121" i="19"/>
  <c r="AV121" i="19" s="1"/>
  <c r="AE121" i="19" s="1"/>
  <c r="AU443" i="19"/>
  <c r="AV443" i="19" s="1"/>
  <c r="AE443" i="19" s="1"/>
  <c r="AU416" i="19"/>
  <c r="AV416" i="19" s="1"/>
  <c r="AE416" i="19" s="1"/>
  <c r="AU519" i="19"/>
  <c r="AV519" i="19" s="1"/>
  <c r="AE519" i="19" s="1"/>
  <c r="AU607" i="19"/>
  <c r="AV607" i="19" s="1"/>
  <c r="AE607" i="19" s="1"/>
  <c r="AU697" i="19"/>
  <c r="AV697" i="19" s="1"/>
  <c r="AE697" i="19" s="1"/>
  <c r="AU748" i="19"/>
  <c r="AV748" i="19" s="1"/>
  <c r="AE748" i="19" s="1"/>
  <c r="AU801" i="19"/>
  <c r="AV801" i="19" s="1"/>
  <c r="AE801" i="19" s="1"/>
  <c r="AU444" i="19"/>
  <c r="AV444" i="19" s="1"/>
  <c r="AE444" i="19" s="1"/>
  <c r="AU512" i="19"/>
  <c r="AV512" i="19" s="1"/>
  <c r="AE512" i="19" s="1"/>
  <c r="AU587" i="19"/>
  <c r="AV587" i="19" s="1"/>
  <c r="AE587" i="19" s="1"/>
  <c r="AU666" i="19"/>
  <c r="AV666" i="19" s="1"/>
  <c r="AE666" i="19" s="1"/>
  <c r="AU743" i="19"/>
  <c r="AV743" i="19" s="1"/>
  <c r="AE743" i="19" s="1"/>
  <c r="AU401" i="19"/>
  <c r="AV401" i="19" s="1"/>
  <c r="AE401" i="19" s="1"/>
  <c r="AU488" i="19"/>
  <c r="AV488" i="19" s="1"/>
  <c r="AE488" i="19" s="1"/>
  <c r="AU560" i="19"/>
  <c r="AV560" i="19" s="1"/>
  <c r="AE560" i="19" s="1"/>
  <c r="AU636" i="19"/>
  <c r="AV636" i="19" s="1"/>
  <c r="AE636" i="19" s="1"/>
  <c r="AU364" i="19"/>
  <c r="AV364" i="19" s="1"/>
  <c r="AE364" i="19" s="1"/>
  <c r="AU477" i="19"/>
  <c r="AV477" i="19" s="1"/>
  <c r="AE477" i="19" s="1"/>
  <c r="AU546" i="19"/>
  <c r="AV546" i="19" s="1"/>
  <c r="AE546" i="19" s="1"/>
  <c r="AU635" i="19"/>
  <c r="AV635" i="19" s="1"/>
  <c r="AE635" i="19" s="1"/>
  <c r="AU717" i="19"/>
  <c r="AV717" i="19" s="1"/>
  <c r="AE717" i="19" s="1"/>
  <c r="AU522" i="19"/>
  <c r="AV522" i="19" s="1"/>
  <c r="AE522" i="19" s="1"/>
  <c r="AU605" i="19"/>
  <c r="AV605" i="19" s="1"/>
  <c r="AE605" i="19" s="1"/>
  <c r="AU681" i="19"/>
  <c r="AV681" i="19" s="1"/>
  <c r="AE681" i="19" s="1"/>
  <c r="AU765" i="19"/>
  <c r="AV765" i="19" s="1"/>
  <c r="AE765" i="19" s="1"/>
  <c r="AU418" i="19"/>
  <c r="AV418" i="19" s="1"/>
  <c r="AE418" i="19" s="1"/>
  <c r="AU503" i="19"/>
  <c r="AV503" i="19" s="1"/>
  <c r="AE503" i="19" s="1"/>
  <c r="AU579" i="19"/>
  <c r="AV579" i="19" s="1"/>
  <c r="AE579" i="19" s="1"/>
  <c r="AU648" i="19"/>
  <c r="AV648" i="19" s="1"/>
  <c r="AE648" i="19" s="1"/>
  <c r="AU335" i="19"/>
  <c r="AV335" i="19" s="1"/>
  <c r="AE335" i="19" s="1"/>
  <c r="AU494" i="19"/>
  <c r="AV494" i="19" s="1"/>
  <c r="AE494" i="19" s="1"/>
  <c r="AU567" i="19"/>
  <c r="AV567" i="19" s="1"/>
  <c r="AE567" i="19" s="1"/>
  <c r="AU653" i="19"/>
  <c r="AV653" i="19" s="1"/>
  <c r="AE653" i="19" s="1"/>
  <c r="AU725" i="19"/>
  <c r="AV725" i="19" s="1"/>
  <c r="AE725" i="19" s="1"/>
  <c r="AU763" i="19"/>
  <c r="AV763" i="19" s="1"/>
  <c r="AE763" i="19" s="1"/>
  <c r="AU419" i="19"/>
  <c r="AV419" i="19" s="1"/>
  <c r="AE419" i="19" s="1"/>
  <c r="AU475" i="19"/>
  <c r="AV475" i="19" s="1"/>
  <c r="AE475" i="19" s="1"/>
  <c r="AU549" i="19"/>
  <c r="AV549" i="19" s="1"/>
  <c r="AE549" i="19" s="1"/>
  <c r="AU633" i="19"/>
  <c r="AV633" i="19" s="1"/>
  <c r="AE633" i="19" s="1"/>
  <c r="AU708" i="19"/>
  <c r="AV708" i="19" s="1"/>
  <c r="AE708" i="19" s="1"/>
  <c r="AU803" i="19"/>
  <c r="AV803" i="19" s="1"/>
  <c r="AE803" i="19" s="1"/>
  <c r="AU451" i="19"/>
  <c r="AV451" i="19" s="1"/>
  <c r="AE451" i="19" s="1"/>
  <c r="AU530" i="19"/>
  <c r="AV530" i="19" s="1"/>
  <c r="AE530" i="19" s="1"/>
  <c r="AU613" i="19"/>
  <c r="AV613" i="19" s="1"/>
  <c r="AE613" i="19" s="1"/>
  <c r="AU189" i="19"/>
  <c r="AV189" i="19" s="1"/>
  <c r="AE189" i="19" s="1"/>
  <c r="AU446" i="19"/>
  <c r="AV446" i="19" s="1"/>
  <c r="AE446" i="19" s="1"/>
  <c r="AU528" i="19"/>
  <c r="AV528" i="19" s="1"/>
  <c r="AE528" i="19" s="1"/>
  <c r="AU612" i="19"/>
  <c r="AV612" i="19" s="1"/>
  <c r="AE612" i="19" s="1"/>
  <c r="AU695" i="19"/>
  <c r="AV695" i="19" s="1"/>
  <c r="AE695" i="19" s="1"/>
  <c r="AU498" i="19"/>
  <c r="AV498" i="19" s="1"/>
  <c r="AE498" i="19" s="1"/>
  <c r="AU581" i="19"/>
  <c r="AV581" i="19" s="1"/>
  <c r="AE581" i="19" s="1"/>
  <c r="AU662" i="19"/>
  <c r="AV662" i="19" s="1"/>
  <c r="AE662" i="19" s="1"/>
  <c r="AU744" i="19"/>
  <c r="AV744" i="19" s="1"/>
  <c r="AE744" i="19" s="1"/>
  <c r="AU402" i="19"/>
  <c r="AV402" i="19" s="1"/>
  <c r="AE402" i="19" s="1"/>
  <c r="AU481" i="19"/>
  <c r="AV481" i="19" s="1"/>
  <c r="AE481" i="19" s="1"/>
  <c r="AU556" i="19"/>
  <c r="AV556" i="19" s="1"/>
  <c r="AE556" i="19" s="1"/>
  <c r="AU628" i="19"/>
  <c r="AV628" i="19" s="1"/>
  <c r="AE628" i="19" s="1"/>
  <c r="AU729" i="19"/>
  <c r="AV729" i="19" s="1"/>
  <c r="AE729" i="19" s="1"/>
  <c r="AU366" i="19"/>
  <c r="AV366" i="19" s="1"/>
  <c r="AE366" i="19" s="1"/>
  <c r="AU456" i="19"/>
  <c r="AV456" i="19" s="1"/>
  <c r="AE456" i="19" s="1"/>
  <c r="AU531" i="19"/>
  <c r="AV531" i="19" s="1"/>
  <c r="AE531" i="19" s="1"/>
  <c r="AU619" i="19"/>
  <c r="AV619" i="19" s="1"/>
  <c r="AE619" i="19" s="1"/>
  <c r="AU747" i="19"/>
  <c r="AV747" i="19" s="1"/>
  <c r="AE747" i="19" s="1"/>
  <c r="AU930" i="19"/>
  <c r="AV930" i="19" s="1"/>
  <c r="AE930" i="19" s="1"/>
  <c r="AU394" i="19"/>
  <c r="AV394" i="19" s="1"/>
  <c r="AU373" i="19"/>
  <c r="AV373" i="19" s="1"/>
  <c r="AE373" i="19" s="1"/>
  <c r="AU263" i="19"/>
  <c r="AV263" i="19" s="1"/>
  <c r="AE263" i="19" s="1"/>
  <c r="AU152" i="19"/>
  <c r="AV152" i="19" s="1"/>
  <c r="AE152" i="19" s="1"/>
  <c r="AU949" i="19"/>
  <c r="AV949" i="19" s="1"/>
  <c r="AU913" i="19"/>
  <c r="AV913" i="19" s="1"/>
  <c r="AU269" i="19"/>
  <c r="AV269" i="19" s="1"/>
  <c r="AE269" i="19" s="1"/>
  <c r="AU131" i="19"/>
  <c r="AV131" i="19" s="1"/>
  <c r="AE131" i="19" s="1"/>
  <c r="AU114" i="19"/>
  <c r="AV114" i="19" s="1"/>
  <c r="AE114" i="19" s="1"/>
  <c r="AU36" i="19"/>
  <c r="AV36" i="19" s="1"/>
  <c r="AE36" i="19" s="1"/>
  <c r="AU1094" i="19"/>
  <c r="AV1094" i="19" s="1"/>
  <c r="AU223" i="19"/>
  <c r="AV223" i="19" s="1"/>
  <c r="AE223" i="19" s="1"/>
  <c r="AU111" i="19"/>
  <c r="AV111" i="19" s="1"/>
  <c r="AE111" i="19" s="1"/>
  <c r="AU140" i="19"/>
  <c r="AV140" i="19" s="1"/>
  <c r="AE140" i="19" s="1"/>
  <c r="AU199" i="19"/>
  <c r="AV199" i="19" s="1"/>
  <c r="AU253" i="19"/>
  <c r="AV253" i="19" s="1"/>
  <c r="AE253" i="19" s="1"/>
  <c r="AU349" i="19"/>
  <c r="AV349" i="19" s="1"/>
  <c r="AE349" i="19" s="1"/>
  <c r="AU240" i="19"/>
  <c r="AV240" i="19" s="1"/>
  <c r="AE240" i="19" s="1"/>
  <c r="AU288" i="19"/>
  <c r="AV288" i="19" s="1"/>
  <c r="AE288" i="19" s="1"/>
  <c r="AU145" i="19"/>
  <c r="AV145" i="19" s="1"/>
  <c r="AE145" i="19" s="1"/>
  <c r="AU203" i="19"/>
  <c r="AV203" i="19" s="1"/>
  <c r="AE203" i="19" s="1"/>
  <c r="AU457" i="19"/>
  <c r="AV457" i="19" s="1"/>
  <c r="AE457" i="19" s="1"/>
  <c r="AU474" i="19"/>
  <c r="AV474" i="19" s="1"/>
  <c r="AE474" i="19" s="1"/>
  <c r="AU551" i="19"/>
  <c r="AV551" i="19" s="1"/>
  <c r="AE551" i="19" s="1"/>
  <c r="AU630" i="19"/>
  <c r="AV630" i="19" s="1"/>
  <c r="AE630" i="19" s="1"/>
  <c r="AU702" i="19"/>
  <c r="AV702" i="19" s="1"/>
  <c r="AE702" i="19" s="1"/>
  <c r="AU754" i="19"/>
  <c r="AV754" i="19" s="1"/>
  <c r="AE754" i="19" s="1"/>
  <c r="AU413" i="19"/>
  <c r="AV413" i="19" s="1"/>
  <c r="AE413" i="19" s="1"/>
  <c r="AU453" i="19"/>
  <c r="AV453" i="19" s="1"/>
  <c r="AE453" i="19" s="1"/>
  <c r="AU534" i="19"/>
  <c r="AV534" i="19" s="1"/>
  <c r="AE534" i="19" s="1"/>
  <c r="AU614" i="19"/>
  <c r="AV614" i="19" s="1"/>
  <c r="AE614" i="19" s="1"/>
  <c r="AU691" i="19"/>
  <c r="AV691" i="19" s="1"/>
  <c r="AE691" i="19" s="1"/>
  <c r="AU756" i="19"/>
  <c r="AV756" i="19" s="1"/>
  <c r="AE756" i="19" s="1"/>
  <c r="AU428" i="19"/>
  <c r="AV428" i="19" s="1"/>
  <c r="AE428" i="19" s="1"/>
  <c r="AU511" i="19"/>
  <c r="AV511" i="19" s="1"/>
  <c r="AE511" i="19" s="1"/>
  <c r="AU586" i="19"/>
  <c r="AV586" i="19" s="1"/>
  <c r="AE586" i="19" s="1"/>
  <c r="AU647" i="19"/>
  <c r="AV647" i="19" s="1"/>
  <c r="AE647" i="19" s="1"/>
  <c r="AU426" i="19"/>
  <c r="AV426" i="19" s="1"/>
  <c r="AE426" i="19" s="1"/>
  <c r="AU505" i="19"/>
  <c r="AV505" i="19" s="1"/>
  <c r="AE505" i="19" s="1"/>
  <c r="AU575" i="19"/>
  <c r="AV575" i="19" s="1"/>
  <c r="AE575" i="19" s="1"/>
  <c r="AU668" i="19"/>
  <c r="AV668" i="19" s="1"/>
  <c r="AE668" i="19" s="1"/>
  <c r="AU458" i="19"/>
  <c r="AV458" i="19" s="1"/>
  <c r="AE458" i="19" s="1"/>
  <c r="AU532" i="19"/>
  <c r="AV532" i="19" s="1"/>
  <c r="AE532" i="19" s="1"/>
  <c r="AU617" i="19"/>
  <c r="AV617" i="19" s="1"/>
  <c r="AE617" i="19" s="1"/>
  <c r="AU694" i="19"/>
  <c r="AV694" i="19" s="1"/>
  <c r="AE694" i="19" s="1"/>
  <c r="AU772" i="19"/>
  <c r="AV772" i="19" s="1"/>
  <c r="AE772" i="19" s="1"/>
  <c r="AU86" i="19"/>
  <c r="AV86" i="19" s="1"/>
  <c r="AE86" i="19" s="1"/>
  <c r="AU45" i="19"/>
  <c r="AV45" i="19" s="1"/>
  <c r="AE45" i="19" s="1"/>
  <c r="AU331" i="19"/>
  <c r="AV331" i="19" s="1"/>
  <c r="AE331" i="19" s="1"/>
  <c r="AU202" i="19"/>
  <c r="AV202" i="19" s="1"/>
  <c r="AE202" i="19" s="1"/>
  <c r="AU116" i="19"/>
  <c r="AV116" i="19" s="1"/>
  <c r="AE116" i="19" s="1"/>
  <c r="AU68" i="19"/>
  <c r="AV68" i="19" s="1"/>
  <c r="AE68" i="19" s="1"/>
  <c r="AU352" i="19"/>
  <c r="AV352" i="19" s="1"/>
  <c r="AE352" i="19" s="1"/>
  <c r="AU188" i="19"/>
  <c r="AV188" i="19" s="1"/>
  <c r="AE188" i="19" s="1"/>
  <c r="AU362" i="19"/>
  <c r="AV362" i="19" s="1"/>
  <c r="AE362" i="19" s="1"/>
  <c r="AU276" i="19"/>
  <c r="AV276" i="19" s="1"/>
  <c r="AE276" i="19" s="1"/>
  <c r="AU105" i="19"/>
  <c r="AV105" i="19" s="1"/>
  <c r="AE105" i="19" s="1"/>
  <c r="AU369" i="19"/>
  <c r="AV369" i="19" s="1"/>
  <c r="AE369" i="19" s="1"/>
  <c r="AU328" i="19"/>
  <c r="AV328" i="19" s="1"/>
  <c r="AE328" i="19" s="1"/>
  <c r="AU212" i="19"/>
  <c r="AV212" i="19" s="1"/>
  <c r="AE212" i="19" s="1"/>
  <c r="AU129" i="19"/>
  <c r="AV129" i="19" s="1"/>
  <c r="AE129" i="19" s="1"/>
  <c r="AU37" i="19"/>
  <c r="AV37" i="19" s="1"/>
  <c r="AE37" i="19" s="1"/>
  <c r="AU1076" i="19"/>
  <c r="AV1076" i="19" s="1"/>
  <c r="AU315" i="19"/>
  <c r="AV315" i="19" s="1"/>
  <c r="AE315" i="19" s="1"/>
  <c r="AU35" i="19"/>
  <c r="AV35" i="19" s="1"/>
  <c r="AE35" i="19" s="1"/>
  <c r="AU341" i="19"/>
  <c r="AV341" i="19" s="1"/>
  <c r="AE341" i="19" s="1"/>
  <c r="AU277" i="19"/>
  <c r="AV277" i="19" s="1"/>
  <c r="AE277" i="19" s="1"/>
  <c r="AU257" i="19"/>
  <c r="AV257" i="19" s="1"/>
  <c r="AE257" i="19" s="1"/>
  <c r="AU731" i="19"/>
  <c r="AV731" i="19" s="1"/>
  <c r="AE731" i="19" s="1"/>
  <c r="AU541" i="19"/>
  <c r="AV541" i="19" s="1"/>
  <c r="AE541" i="19" s="1"/>
  <c r="AU442" i="19"/>
  <c r="AV442" i="19" s="1"/>
  <c r="AE442" i="19" s="1"/>
  <c r="AU449" i="19"/>
  <c r="AV449" i="19" s="1"/>
  <c r="AE449" i="19" s="1"/>
  <c r="AU484" i="19"/>
  <c r="AV484" i="19" s="1"/>
  <c r="AE484" i="19" s="1"/>
  <c r="AU375" i="19"/>
  <c r="AV375" i="19" s="1"/>
  <c r="AE375" i="19" s="1"/>
  <c r="AU542" i="19"/>
  <c r="AV542" i="19" s="1"/>
  <c r="AE542" i="19" s="1"/>
  <c r="AU176" i="19"/>
  <c r="AV176" i="19" s="1"/>
  <c r="AE176" i="19" s="1"/>
  <c r="AU533" i="19"/>
  <c r="AV533" i="19" s="1"/>
  <c r="AE533" i="19" s="1"/>
  <c r="AU684" i="19"/>
  <c r="AV684" i="19" s="1"/>
  <c r="AE684" i="19" s="1"/>
  <c r="AU788" i="19"/>
  <c r="AV788" i="19" s="1"/>
  <c r="AE788" i="19" s="1"/>
  <c r="AU515" i="19"/>
  <c r="AV515" i="19" s="1"/>
  <c r="AE515" i="19" s="1"/>
  <c r="AU673" i="19"/>
  <c r="AV673" i="19" s="1"/>
  <c r="AE673" i="19" s="1"/>
  <c r="AU410" i="19"/>
  <c r="AV410" i="19" s="1"/>
  <c r="AE410" i="19" s="1"/>
  <c r="AU565" i="19"/>
  <c r="AV565" i="19" s="1"/>
  <c r="AE565" i="19" s="1"/>
  <c r="AU346" i="19"/>
  <c r="AV346" i="19" s="1"/>
  <c r="AE346" i="19" s="1"/>
  <c r="AU569" i="19"/>
  <c r="AV569" i="19" s="1"/>
  <c r="AE569" i="19" s="1"/>
  <c r="AU465" i="19"/>
  <c r="AV465" i="19" s="1"/>
  <c r="AE465" i="19" s="1"/>
  <c r="AU621" i="19"/>
  <c r="AV621" i="19" s="1"/>
  <c r="AE621" i="19" s="1"/>
  <c r="AU777" i="19"/>
  <c r="AV777" i="19" s="1"/>
  <c r="AE777" i="19" s="1"/>
  <c r="AU526" i="19"/>
  <c r="AV526" i="19" s="1"/>
  <c r="AE526" i="19" s="1"/>
  <c r="AU688" i="19"/>
  <c r="AV688" i="19" s="1"/>
  <c r="AE688" i="19" s="1"/>
  <c r="AU421" i="19"/>
  <c r="AV421" i="19" s="1"/>
  <c r="AE421" i="19" s="1"/>
  <c r="AU561" i="19"/>
  <c r="AV561" i="19" s="1"/>
  <c r="AE561" i="19" s="1"/>
  <c r="AU851" i="19"/>
  <c r="AV851" i="19" s="1"/>
  <c r="AE851" i="19" s="1"/>
  <c r="AU1054" i="19"/>
  <c r="AV1054" i="19" s="1"/>
  <c r="AE1054" i="19" s="1"/>
  <c r="AU1169" i="19"/>
  <c r="AV1169" i="19" s="1"/>
  <c r="AE1169" i="19" s="1"/>
  <c r="AU831" i="19"/>
  <c r="AV831" i="19" s="1"/>
  <c r="AE831" i="19" s="1"/>
  <c r="AU916" i="19"/>
  <c r="AV916" i="19" s="1"/>
  <c r="AE916" i="19" s="1"/>
  <c r="AU973" i="19"/>
  <c r="AV973" i="19" s="1"/>
  <c r="AE973" i="19" s="1"/>
  <c r="AU1035" i="19"/>
  <c r="AV1035" i="19" s="1"/>
  <c r="AE1035" i="19" s="1"/>
  <c r="AU1147" i="19"/>
  <c r="AV1147" i="19" s="1"/>
  <c r="AE1147" i="19" s="1"/>
  <c r="AU773" i="19"/>
  <c r="AV773" i="19" s="1"/>
  <c r="AE773" i="19" s="1"/>
  <c r="AU872" i="19"/>
  <c r="AV872" i="19" s="1"/>
  <c r="AE872" i="19" s="1"/>
  <c r="AU950" i="19"/>
  <c r="AV950" i="19" s="1"/>
  <c r="AE950" i="19" s="1"/>
  <c r="AU1033" i="19"/>
  <c r="AV1033" i="19" s="1"/>
  <c r="AE1033" i="19" s="1"/>
  <c r="AU1121" i="19"/>
  <c r="AV1121" i="19" s="1"/>
  <c r="AE1121" i="19" s="1"/>
  <c r="AU778" i="19"/>
  <c r="AV778" i="19" s="1"/>
  <c r="AE778" i="19" s="1"/>
  <c r="AU868" i="19"/>
  <c r="AV868" i="19" s="1"/>
  <c r="AE868" i="19" s="1"/>
  <c r="AU951" i="19"/>
  <c r="AV951" i="19" s="1"/>
  <c r="AE951" i="19" s="1"/>
  <c r="AU1038" i="19"/>
  <c r="AV1038" i="19" s="1"/>
  <c r="AE1038" i="19" s="1"/>
  <c r="AU1119" i="19"/>
  <c r="AV1119" i="19" s="1"/>
  <c r="AE1119" i="19" s="1"/>
  <c r="AU1176" i="19"/>
  <c r="AV1176" i="19" s="1"/>
  <c r="AE1176" i="19" s="1"/>
  <c r="AU758" i="19"/>
  <c r="AV758" i="19" s="1"/>
  <c r="AE758" i="19" s="1"/>
  <c r="AU430" i="19"/>
  <c r="AV430" i="19" s="1"/>
  <c r="AE430" i="19" s="1"/>
  <c r="AU516" i="19"/>
  <c r="AV516" i="19" s="1"/>
  <c r="AE516" i="19" s="1"/>
  <c r="AU597" i="19"/>
  <c r="AV597" i="19" s="1"/>
  <c r="AE597" i="19" s="1"/>
  <c r="AU664" i="19"/>
  <c r="AV664" i="19" s="1"/>
  <c r="AE664" i="19" s="1"/>
  <c r="AU716" i="19"/>
  <c r="AV716" i="19" s="1"/>
  <c r="AE716" i="19" s="1"/>
  <c r="AU766" i="19"/>
  <c r="AV766" i="19" s="1"/>
  <c r="AE766" i="19" s="1"/>
  <c r="AU854" i="19"/>
  <c r="AV854" i="19" s="1"/>
  <c r="AE854" i="19" s="1"/>
  <c r="AU902" i="19"/>
  <c r="AV902" i="19" s="1"/>
  <c r="AE902" i="19" s="1"/>
  <c r="AU967" i="19"/>
  <c r="AV967" i="19" s="1"/>
  <c r="AE967" i="19" s="1"/>
  <c r="AU1023" i="19"/>
  <c r="AV1023" i="19" s="1"/>
  <c r="AE1023" i="19" s="1"/>
  <c r="AU1109" i="19"/>
  <c r="AV1109" i="19" s="1"/>
  <c r="AE1109" i="19" s="1"/>
  <c r="AU1182" i="19"/>
  <c r="AV1182" i="19" s="1"/>
  <c r="AE1182" i="19" s="1"/>
  <c r="AU881" i="19"/>
  <c r="AV881" i="19" s="1"/>
  <c r="AE881" i="19" s="1"/>
  <c r="AU989" i="19"/>
  <c r="AV989" i="19" s="1"/>
  <c r="AE989" i="19" s="1"/>
  <c r="AU1172" i="19"/>
  <c r="AV1172" i="19" s="1"/>
  <c r="AE1172" i="19" s="1"/>
  <c r="AU781" i="19"/>
  <c r="AV781" i="19" s="1"/>
  <c r="AE781" i="19" s="1"/>
  <c r="AU856" i="19"/>
  <c r="AV856" i="19" s="1"/>
  <c r="AE856" i="19" s="1"/>
  <c r="AU945" i="19"/>
  <c r="AV945" i="19" s="1"/>
  <c r="AE945" i="19" s="1"/>
  <c r="AU1022" i="19"/>
  <c r="AV1022" i="19" s="1"/>
  <c r="AE1022" i="19" s="1"/>
  <c r="AU1113" i="19"/>
  <c r="AV1113" i="19" s="1"/>
  <c r="AE1113" i="19" s="1"/>
  <c r="AU1186" i="19"/>
  <c r="AV1186" i="19" s="1"/>
  <c r="AE1186" i="19" s="1"/>
  <c r="AU850" i="19"/>
  <c r="AV850" i="19" s="1"/>
  <c r="AE850" i="19" s="1"/>
  <c r="AU929" i="19"/>
  <c r="AV929" i="19" s="1"/>
  <c r="AE929" i="19" s="1"/>
  <c r="AU1000" i="19"/>
  <c r="AV1000" i="19" s="1"/>
  <c r="AE1000" i="19" s="1"/>
  <c r="AU1091" i="19"/>
  <c r="AV1091" i="19" s="1"/>
  <c r="AE1091" i="19" s="1"/>
  <c r="AU1134" i="19"/>
  <c r="AV1134" i="19" s="1"/>
  <c r="AE1134" i="19" s="1"/>
  <c r="AU705" i="19"/>
  <c r="AV705" i="19" s="1"/>
  <c r="AE705" i="19" s="1"/>
  <c r="AU384" i="19"/>
  <c r="AV384" i="19" s="1"/>
  <c r="AE384" i="19" s="1"/>
  <c r="AU468" i="19"/>
  <c r="AV468" i="19" s="1"/>
  <c r="AE468" i="19" s="1"/>
  <c r="AU540" i="19"/>
  <c r="AV540" i="19" s="1"/>
  <c r="AE540" i="19" s="1"/>
  <c r="AU611" i="19"/>
  <c r="AV611" i="19" s="1"/>
  <c r="AE611" i="19" s="1"/>
  <c r="AU724" i="19"/>
  <c r="AV724" i="19" s="1"/>
  <c r="AE724" i="19" s="1"/>
  <c r="AU904" i="19"/>
  <c r="AV904" i="19" s="1"/>
  <c r="AE904" i="19" s="1"/>
  <c r="AU1015" i="19"/>
  <c r="AV1015" i="19" s="1"/>
  <c r="AE1015" i="19" s="1"/>
  <c r="AU1098" i="19"/>
  <c r="AV1098" i="19" s="1"/>
  <c r="AE1098" i="19" s="1"/>
  <c r="AU1158" i="19"/>
  <c r="AV1158" i="19" s="1"/>
  <c r="AE1158" i="19" s="1"/>
  <c r="AU870" i="19"/>
  <c r="AV870" i="19" s="1"/>
  <c r="AE870" i="19" s="1"/>
  <c r="AU959" i="19"/>
  <c r="AV959" i="19" s="1"/>
  <c r="AE959" i="19" s="1"/>
  <c r="AU992" i="19"/>
  <c r="AV992" i="19" s="1"/>
  <c r="AE992" i="19" s="1"/>
  <c r="AU1059" i="19"/>
  <c r="AV1059" i="19" s="1"/>
  <c r="AE1059" i="19" s="1"/>
  <c r="AU1133" i="19"/>
  <c r="AV1133" i="19" s="1"/>
  <c r="AE1133" i="19" s="1"/>
  <c r="AU796" i="19"/>
  <c r="AV796" i="19" s="1"/>
  <c r="AE796" i="19" s="1"/>
  <c r="AU885" i="19"/>
  <c r="AV885" i="19" s="1"/>
  <c r="AE885" i="19" s="1"/>
  <c r="AU970" i="19"/>
  <c r="AV970" i="19" s="1"/>
  <c r="AE970" i="19" s="1"/>
  <c r="AU1026" i="19"/>
  <c r="AV1026" i="19" s="1"/>
  <c r="AE1026" i="19" s="1"/>
  <c r="AU1145" i="19"/>
  <c r="AV1145" i="19" s="1"/>
  <c r="AE1145" i="19" s="1"/>
  <c r="AU802" i="19"/>
  <c r="AV802" i="19" s="1"/>
  <c r="AE802" i="19" s="1"/>
  <c r="AU887" i="19"/>
  <c r="AV887" i="19" s="1"/>
  <c r="AE887" i="19" s="1"/>
  <c r="AU986" i="19"/>
  <c r="AV986" i="19" s="1"/>
  <c r="AE986" i="19" s="1"/>
  <c r="AU1053" i="19"/>
  <c r="AV1053" i="19" s="1"/>
  <c r="AE1053" i="19" s="1"/>
  <c r="AU1181" i="19"/>
  <c r="AV1181" i="19" s="1"/>
  <c r="AE1181" i="19" s="1"/>
  <c r="AU677" i="19"/>
  <c r="AV677" i="19" s="1"/>
  <c r="AE677" i="19" s="1"/>
  <c r="AU742" i="19"/>
  <c r="AV742" i="19" s="1"/>
  <c r="AE742" i="19" s="1"/>
  <c r="AU400" i="19"/>
  <c r="AV400" i="19" s="1"/>
  <c r="AE400" i="19" s="1"/>
  <c r="AU489" i="19"/>
  <c r="AV489" i="19" s="1"/>
  <c r="AE489" i="19" s="1"/>
  <c r="AU557" i="19"/>
  <c r="AV557" i="19" s="1"/>
  <c r="AE557" i="19" s="1"/>
  <c r="AU652" i="19"/>
  <c r="AV652" i="19" s="1"/>
  <c r="AE652" i="19" s="1"/>
  <c r="AU692" i="19"/>
  <c r="AV692" i="19" s="1"/>
  <c r="AE692" i="19" s="1"/>
  <c r="AU751" i="19"/>
  <c r="AV751" i="19" s="1"/>
  <c r="AE751" i="19" s="1"/>
  <c r="AU834" i="19"/>
  <c r="AV834" i="19" s="1"/>
  <c r="AE834" i="19" s="1"/>
  <c r="AU879" i="19"/>
  <c r="AV879" i="19" s="1"/>
  <c r="AE879" i="19" s="1"/>
  <c r="AU941" i="19"/>
  <c r="AV941" i="19" s="1"/>
  <c r="AE941" i="19" s="1"/>
  <c r="AU1001" i="19"/>
  <c r="AV1001" i="19" s="1"/>
  <c r="AE1001" i="19" s="1"/>
  <c r="AU1068" i="19"/>
  <c r="AV1068" i="19" s="1"/>
  <c r="AE1068" i="19" s="1"/>
  <c r="AU1185" i="19"/>
  <c r="AV1185" i="19" s="1"/>
  <c r="AE1185" i="19" s="1"/>
  <c r="AU863" i="19"/>
  <c r="AV863" i="19" s="1"/>
  <c r="AE863" i="19" s="1"/>
  <c r="AU944" i="19"/>
  <c r="AV944" i="19" s="1"/>
  <c r="AE944" i="19" s="1"/>
  <c r="AU1069" i="19"/>
  <c r="AV1069" i="19" s="1"/>
  <c r="AE1069" i="19" s="1"/>
  <c r="AU1184" i="19"/>
  <c r="AV1184" i="19" s="1"/>
  <c r="AE1184" i="19" s="1"/>
  <c r="AU811" i="19"/>
  <c r="AV811" i="19" s="1"/>
  <c r="AE811" i="19" s="1"/>
  <c r="AU895" i="19"/>
  <c r="AV895" i="19" s="1"/>
  <c r="AE895" i="19" s="1"/>
  <c r="AU976" i="19"/>
  <c r="AV976" i="19" s="1"/>
  <c r="AE976" i="19" s="1"/>
  <c r="AU1060" i="19"/>
  <c r="AV1060" i="19" s="1"/>
  <c r="AE1060" i="19" s="1"/>
  <c r="AU1166" i="19"/>
  <c r="AV1166" i="19" s="1"/>
  <c r="AE1166" i="19" s="1"/>
  <c r="AU797" i="19"/>
  <c r="AV797" i="19" s="1"/>
  <c r="AE797" i="19" s="1"/>
  <c r="AU886" i="19"/>
  <c r="AV886" i="19" s="1"/>
  <c r="AE886" i="19" s="1"/>
  <c r="AU971" i="19"/>
  <c r="AV971" i="19" s="1"/>
  <c r="AE971" i="19" s="1"/>
  <c r="AU1046" i="19"/>
  <c r="AV1046" i="19" s="1"/>
  <c r="AE1046" i="19" s="1"/>
  <c r="AU1173" i="19"/>
  <c r="AV1173" i="19" s="1"/>
  <c r="AE1173" i="19" s="1"/>
  <c r="AU682" i="19"/>
  <c r="AV682" i="19" s="1"/>
  <c r="AU928" i="19"/>
  <c r="AV928" i="19" s="1"/>
  <c r="AU676" i="19"/>
  <c r="AV676" i="19" s="1"/>
  <c r="AU792" i="19"/>
  <c r="AV792" i="19" s="1"/>
  <c r="AU926" i="19"/>
  <c r="AV926" i="19" s="1"/>
  <c r="AU783" i="19"/>
  <c r="AV783" i="19" s="1"/>
  <c r="AU517" i="19"/>
  <c r="AV517" i="19" s="1"/>
  <c r="AU84" i="19"/>
  <c r="AV84" i="19" s="1"/>
  <c r="AE84" i="19" s="1"/>
  <c r="AU646" i="19"/>
  <c r="AV646" i="19" s="1"/>
  <c r="AU816" i="19"/>
  <c r="AV816" i="19" s="1"/>
  <c r="AU49" i="19"/>
  <c r="AV49" i="19" s="1"/>
  <c r="AE49" i="19" s="1"/>
  <c r="AU907" i="19"/>
  <c r="AV907" i="19" s="1"/>
  <c r="AU143" i="19"/>
  <c r="AV143" i="19" s="1"/>
  <c r="AE143" i="19" s="1"/>
  <c r="AU232" i="19"/>
  <c r="AV232" i="19" s="1"/>
  <c r="AU678" i="19"/>
  <c r="AV678" i="19" s="1"/>
  <c r="AU568" i="19"/>
  <c r="AV568" i="19" s="1"/>
  <c r="AU88" i="19"/>
  <c r="AV88" i="19" s="1"/>
  <c r="AU906" i="19"/>
  <c r="AV906" i="19" s="1"/>
  <c r="AU471" i="19"/>
  <c r="AV471" i="19" s="1"/>
  <c r="AU1051" i="19"/>
  <c r="AV1051" i="19" s="1"/>
  <c r="AU466" i="19"/>
  <c r="AV466" i="19" s="1"/>
  <c r="AU61" i="19"/>
  <c r="AV61" i="19" s="1"/>
  <c r="AE61" i="19" s="1"/>
  <c r="AU1027" i="19"/>
  <c r="AV1027" i="19" s="1"/>
  <c r="AU147" i="19"/>
  <c r="AV147" i="19" s="1"/>
  <c r="AU1049" i="19"/>
  <c r="AV1049" i="19" s="1"/>
  <c r="AU40" i="19"/>
  <c r="AV40" i="19" s="1"/>
  <c r="AE40" i="19" s="1"/>
  <c r="AU800" i="19"/>
  <c r="AV800" i="19" s="1"/>
  <c r="AU175" i="19"/>
  <c r="AV175" i="19" s="1"/>
  <c r="AE175" i="19" s="1"/>
  <c r="AU330" i="19"/>
  <c r="AV330" i="19" s="1"/>
  <c r="AU127" i="19"/>
  <c r="AV127" i="19" s="1"/>
  <c r="AE127" i="19" s="1"/>
  <c r="AU972" i="19"/>
  <c r="AV972" i="19" s="1"/>
  <c r="AU1081" i="19"/>
  <c r="AV1081" i="19" s="1"/>
  <c r="AU390" i="19"/>
  <c r="AV390" i="19" s="1"/>
  <c r="AU960" i="19"/>
  <c r="AV960" i="19" s="1"/>
  <c r="AU392" i="19"/>
  <c r="AV392" i="19" s="1"/>
  <c r="AU768" i="19"/>
  <c r="AV768" i="19" s="1"/>
  <c r="AU909" i="19"/>
  <c r="AV909" i="19" s="1"/>
  <c r="AU452" i="19"/>
  <c r="AV452" i="19" s="1"/>
  <c r="AU818" i="19"/>
  <c r="AV818" i="19" s="1"/>
  <c r="AU1078" i="19"/>
  <c r="AV1078" i="19" s="1"/>
  <c r="AU22" i="19"/>
  <c r="AV22" i="19" s="1"/>
  <c r="AE22" i="19" s="1"/>
  <c r="AU414" i="19"/>
  <c r="AV414" i="19" s="1"/>
  <c r="AU574" i="19"/>
  <c r="AV574" i="19" s="1"/>
  <c r="AU821" i="19"/>
  <c r="AV821" i="19" s="1"/>
  <c r="AU490" i="19"/>
  <c r="AV490" i="19" s="1"/>
  <c r="AE490" i="19" s="1"/>
  <c r="AU752" i="19"/>
  <c r="AV752" i="19" s="1"/>
  <c r="AE752" i="19" s="1"/>
  <c r="AU626" i="19"/>
  <c r="AV626" i="19" s="1"/>
  <c r="AE626" i="19" s="1"/>
  <c r="AU520" i="19"/>
  <c r="AV520" i="19" s="1"/>
  <c r="AE520" i="19" s="1"/>
  <c r="AU513" i="19"/>
  <c r="AV513" i="19" s="1"/>
  <c r="AE513" i="19" s="1"/>
  <c r="AU559" i="19"/>
  <c r="AV559" i="19" s="1"/>
  <c r="AE559" i="19" s="1"/>
  <c r="AU432" i="19"/>
  <c r="AV432" i="19" s="1"/>
  <c r="AE432" i="19" s="1"/>
  <c r="AU596" i="19"/>
  <c r="AV596" i="19" s="1"/>
  <c r="AE596" i="19" s="1"/>
  <c r="AU393" i="19"/>
  <c r="AV393" i="19" s="1"/>
  <c r="AE393" i="19" s="1"/>
  <c r="AU585" i="19"/>
  <c r="AV585" i="19" s="1"/>
  <c r="AE585" i="19" s="1"/>
  <c r="AU732" i="19"/>
  <c r="AV732" i="19" s="1"/>
  <c r="AE732" i="19" s="1"/>
  <c r="AU427" i="19"/>
  <c r="AV427" i="19" s="1"/>
  <c r="AE427" i="19" s="1"/>
  <c r="AU563" i="19"/>
  <c r="AV563" i="19" s="1"/>
  <c r="AE563" i="19" s="1"/>
  <c r="AU722" i="19"/>
  <c r="AV722" i="19" s="1"/>
  <c r="AE722" i="19" s="1"/>
  <c r="AU464" i="19"/>
  <c r="AV464" i="19" s="1"/>
  <c r="AE464" i="19" s="1"/>
  <c r="AU643" i="19"/>
  <c r="AV643" i="19" s="1"/>
  <c r="AE643" i="19" s="1"/>
  <c r="AU485" i="19"/>
  <c r="AV485" i="19" s="1"/>
  <c r="AE485" i="19" s="1"/>
  <c r="AU642" i="19"/>
  <c r="AV642" i="19" s="1"/>
  <c r="AE642" i="19" s="1"/>
  <c r="AU521" i="19"/>
  <c r="AV521" i="19" s="1"/>
  <c r="AE521" i="19" s="1"/>
  <c r="AU671" i="19"/>
  <c r="AV671" i="19" s="1"/>
  <c r="AE671" i="19" s="1"/>
  <c r="AU423" i="19"/>
  <c r="AV423" i="19" s="1"/>
  <c r="AE423" i="19" s="1"/>
  <c r="AU573" i="19"/>
  <c r="AV573" i="19" s="1"/>
  <c r="AE573" i="19" s="1"/>
  <c r="AU745" i="19"/>
  <c r="AV745" i="19" s="1"/>
  <c r="AE745" i="19" s="1"/>
  <c r="AU493" i="19"/>
  <c r="AV493" i="19" s="1"/>
  <c r="AE493" i="19" s="1"/>
  <c r="AU632" i="19"/>
  <c r="AV632" i="19" s="1"/>
  <c r="AE632" i="19" s="1"/>
  <c r="AU985" i="19"/>
  <c r="AV985" i="19" s="1"/>
  <c r="AE985" i="19" s="1"/>
  <c r="AU1088" i="19"/>
  <c r="AV1088" i="19" s="1"/>
  <c r="AE1088" i="19" s="1"/>
  <c r="AU1136" i="19"/>
  <c r="AV1136" i="19" s="1"/>
  <c r="AE1136" i="19" s="1"/>
  <c r="AU871" i="19"/>
  <c r="AV871" i="19" s="1"/>
  <c r="AE871" i="19" s="1"/>
  <c r="AU948" i="19"/>
  <c r="AV948" i="19" s="1"/>
  <c r="AE948" i="19" s="1"/>
  <c r="AU991" i="19"/>
  <c r="AV991" i="19" s="1"/>
  <c r="AE991" i="19" s="1"/>
  <c r="AU1055" i="19"/>
  <c r="AV1055" i="19" s="1"/>
  <c r="AE1055" i="19" s="1"/>
  <c r="AU1167" i="19"/>
  <c r="AV1167" i="19" s="1"/>
  <c r="AE1167" i="19" s="1"/>
  <c r="AU789" i="19"/>
  <c r="AV789" i="19" s="1"/>
  <c r="AE789" i="19" s="1"/>
  <c r="AU882" i="19"/>
  <c r="AV882" i="19" s="1"/>
  <c r="AE882" i="19" s="1"/>
  <c r="AU963" i="19"/>
  <c r="AV963" i="19" s="1"/>
  <c r="AE963" i="19" s="1"/>
  <c r="AU1028" i="19"/>
  <c r="AV1028" i="19" s="1"/>
  <c r="AE1028" i="19" s="1"/>
  <c r="AU1179" i="19"/>
  <c r="AV1179" i="19" s="1"/>
  <c r="AE1179" i="19" s="1"/>
  <c r="AU785" i="19"/>
  <c r="AV785" i="19" s="1"/>
  <c r="AE785" i="19" s="1"/>
  <c r="AU878" i="19"/>
  <c r="AV878" i="19" s="1"/>
  <c r="AE878" i="19" s="1"/>
  <c r="AU962" i="19"/>
  <c r="AV962" i="19" s="1"/>
  <c r="AE962" i="19" s="1"/>
  <c r="AU1031" i="19"/>
  <c r="AV1031" i="19" s="1"/>
  <c r="AE1031" i="19" s="1"/>
  <c r="AU1162" i="19"/>
  <c r="AV1162" i="19" s="1"/>
  <c r="AE1162" i="19" s="1"/>
  <c r="AU686" i="19"/>
  <c r="AV686" i="19" s="1"/>
  <c r="AE686" i="19" s="1"/>
  <c r="AU793" i="19"/>
  <c r="AV793" i="19" s="1"/>
  <c r="AE793" i="19" s="1"/>
  <c r="AU441" i="19"/>
  <c r="AV441" i="19" s="1"/>
  <c r="AE441" i="19" s="1"/>
  <c r="AU518" i="19"/>
  <c r="AV518" i="19" s="1"/>
  <c r="AE518" i="19" s="1"/>
  <c r="AU624" i="19"/>
  <c r="AV624" i="19" s="1"/>
  <c r="AE624" i="19" s="1"/>
  <c r="AU679" i="19"/>
  <c r="AV679" i="19" s="1"/>
  <c r="AE679" i="19" s="1"/>
  <c r="AU727" i="19"/>
  <c r="AV727" i="19" s="1"/>
  <c r="AE727" i="19" s="1"/>
  <c r="AU791" i="19"/>
  <c r="AV791" i="19" s="1"/>
  <c r="AE791" i="19" s="1"/>
  <c r="AU873" i="19"/>
  <c r="AV873" i="19" s="1"/>
  <c r="AE873" i="19" s="1"/>
  <c r="AU920" i="19"/>
  <c r="AV920" i="19" s="1"/>
  <c r="AE920" i="19" s="1"/>
  <c r="AU981" i="19"/>
  <c r="AV981" i="19" s="1"/>
  <c r="AE981" i="19" s="1"/>
  <c r="AU1029" i="19"/>
  <c r="AV1029" i="19" s="1"/>
  <c r="AE1029" i="19" s="1"/>
  <c r="AU1148" i="19"/>
  <c r="AV1148" i="19" s="1"/>
  <c r="AE1148" i="19" s="1"/>
  <c r="AU808" i="19"/>
  <c r="AV808" i="19" s="1"/>
  <c r="AE808" i="19" s="1"/>
  <c r="AU898" i="19"/>
  <c r="AV898" i="19" s="1"/>
  <c r="AE898" i="19" s="1"/>
  <c r="AU1039" i="19"/>
  <c r="AV1039" i="19" s="1"/>
  <c r="AE1039" i="19" s="1"/>
  <c r="AU1139" i="19"/>
  <c r="AV1139" i="19" s="1"/>
  <c r="AE1139" i="19" s="1"/>
  <c r="AU774" i="19"/>
  <c r="AV774" i="19" s="1"/>
  <c r="AE774" i="19" s="1"/>
  <c r="AU875" i="19"/>
  <c r="AV875" i="19" s="1"/>
  <c r="AE875" i="19" s="1"/>
  <c r="AU954" i="19"/>
  <c r="AV954" i="19" s="1"/>
  <c r="AE954" i="19" s="1"/>
  <c r="AU1041" i="19"/>
  <c r="AV1041" i="19" s="1"/>
  <c r="AE1041" i="19" s="1"/>
  <c r="AU1143" i="19"/>
  <c r="AV1143" i="19" s="1"/>
  <c r="AE1143" i="19" s="1"/>
  <c r="AU770" i="19"/>
  <c r="AV770" i="19" s="1"/>
  <c r="AE770" i="19" s="1"/>
  <c r="AU858" i="19"/>
  <c r="AV858" i="19" s="1"/>
  <c r="AE858" i="19" s="1"/>
  <c r="AU943" i="19"/>
  <c r="AV943" i="19" s="1"/>
  <c r="AE943" i="19" s="1"/>
  <c r="AU1013" i="19"/>
  <c r="AV1013" i="19" s="1"/>
  <c r="AE1013" i="19" s="1"/>
  <c r="AU1102" i="19"/>
  <c r="AV1102" i="19" s="1"/>
  <c r="AE1102" i="19" s="1"/>
  <c r="AU1170" i="19"/>
  <c r="AV1170" i="19" s="1"/>
  <c r="AE1170" i="19" s="1"/>
  <c r="AU746" i="19"/>
  <c r="AV746" i="19" s="1"/>
  <c r="AE746" i="19" s="1"/>
  <c r="AU405" i="19"/>
  <c r="AV405" i="19" s="1"/>
  <c r="AE405" i="19" s="1"/>
  <c r="AU482" i="19"/>
  <c r="AV482" i="19" s="1"/>
  <c r="AE482" i="19" s="1"/>
  <c r="AU547" i="19"/>
  <c r="AV547" i="19" s="1"/>
  <c r="AE547" i="19" s="1"/>
  <c r="AU629" i="19"/>
  <c r="AV629" i="19" s="1"/>
  <c r="AE629" i="19" s="1"/>
  <c r="AU761" i="19"/>
  <c r="AV761" i="19" s="1"/>
  <c r="AE761" i="19" s="1"/>
  <c r="AU952" i="19"/>
  <c r="AV952" i="19" s="1"/>
  <c r="AE952" i="19" s="1"/>
  <c r="AU1036" i="19"/>
  <c r="AV1036" i="19" s="1"/>
  <c r="AE1036" i="19" s="1"/>
  <c r="AU1163" i="19"/>
  <c r="AV1163" i="19" s="1"/>
  <c r="AE1163" i="19" s="1"/>
  <c r="AU822" i="19"/>
  <c r="AV822" i="19" s="1"/>
  <c r="AE822" i="19" s="1"/>
  <c r="AU903" i="19"/>
  <c r="AV903" i="19" s="1"/>
  <c r="AE903" i="19" s="1"/>
  <c r="AU965" i="19"/>
  <c r="AV965" i="19" s="1"/>
  <c r="AE965" i="19" s="1"/>
  <c r="AU1020" i="19"/>
  <c r="AV1020" i="19" s="1"/>
  <c r="AE1020" i="19" s="1"/>
  <c r="AU1080" i="19"/>
  <c r="AV1080" i="19" s="1"/>
  <c r="AE1080" i="19" s="1"/>
  <c r="AU1137" i="19"/>
  <c r="AV1137" i="19" s="1"/>
  <c r="AE1137" i="19" s="1"/>
  <c r="AU820" i="19"/>
  <c r="AV820" i="19" s="1"/>
  <c r="AE820" i="19" s="1"/>
  <c r="AU905" i="19"/>
  <c r="AV905" i="19" s="1"/>
  <c r="AE905" i="19" s="1"/>
  <c r="AU993" i="19"/>
  <c r="AV993" i="19" s="1"/>
  <c r="AE993" i="19" s="1"/>
  <c r="AU1063" i="19"/>
  <c r="AV1063" i="19" s="1"/>
  <c r="AE1063" i="19" s="1"/>
  <c r="AU1140" i="19"/>
  <c r="AV1140" i="19" s="1"/>
  <c r="AE1140" i="19" s="1"/>
  <c r="AU826" i="19"/>
  <c r="AV826" i="19" s="1"/>
  <c r="AE826" i="19" s="1"/>
  <c r="AU900" i="19"/>
  <c r="AV900" i="19" s="1"/>
  <c r="AE900" i="19" s="1"/>
  <c r="AU1005" i="19"/>
  <c r="AV1005" i="19" s="1"/>
  <c r="AE1005" i="19" s="1"/>
  <c r="AU1066" i="19"/>
  <c r="AV1066" i="19" s="1"/>
  <c r="AE1066" i="19" s="1"/>
  <c r="AU1129" i="19"/>
  <c r="AV1129" i="19" s="1"/>
  <c r="AE1129" i="19" s="1"/>
  <c r="AU696" i="19"/>
  <c r="AV696" i="19" s="1"/>
  <c r="AE696" i="19" s="1"/>
  <c r="AU750" i="19"/>
  <c r="AV750" i="19" s="1"/>
  <c r="AE750" i="19" s="1"/>
  <c r="AU415" i="19"/>
  <c r="AV415" i="19" s="1"/>
  <c r="AE415" i="19" s="1"/>
  <c r="AU500" i="19"/>
  <c r="AV500" i="19" s="1"/>
  <c r="AE500" i="19" s="1"/>
  <c r="AU572" i="19"/>
  <c r="AV572" i="19" s="1"/>
  <c r="AE572" i="19" s="1"/>
  <c r="AU658" i="19"/>
  <c r="AV658" i="19" s="1"/>
  <c r="AE658" i="19" s="1"/>
  <c r="AU712" i="19"/>
  <c r="AV712" i="19" s="1"/>
  <c r="AE712" i="19" s="1"/>
  <c r="AU753" i="19"/>
  <c r="AV753" i="19" s="1"/>
  <c r="AE753" i="19" s="1"/>
  <c r="AU844" i="19"/>
  <c r="AV844" i="19" s="1"/>
  <c r="AE844" i="19" s="1"/>
  <c r="AU894" i="19"/>
  <c r="AV894" i="19" s="1"/>
  <c r="AE894" i="19" s="1"/>
  <c r="AU958" i="19"/>
  <c r="AV958" i="19" s="1"/>
  <c r="AE958" i="19" s="1"/>
  <c r="AU1021" i="19"/>
  <c r="AV1021" i="19" s="1"/>
  <c r="AE1021" i="19" s="1"/>
  <c r="AU1117" i="19"/>
  <c r="AV1117" i="19" s="1"/>
  <c r="AE1117" i="19" s="1"/>
  <c r="AU1174" i="19"/>
  <c r="AV1174" i="19" s="1"/>
  <c r="AE1174" i="19" s="1"/>
  <c r="AU880" i="19"/>
  <c r="AV880" i="19" s="1"/>
  <c r="AE880" i="19" s="1"/>
  <c r="AU982" i="19"/>
  <c r="AV982" i="19" s="1"/>
  <c r="AE982" i="19" s="1"/>
  <c r="AU1086" i="19"/>
  <c r="AV1086" i="19" s="1"/>
  <c r="AE1086" i="19" s="1"/>
  <c r="AU1130" i="19"/>
  <c r="AV1130" i="19" s="1"/>
  <c r="AE1130" i="19" s="1"/>
  <c r="AU829" i="19"/>
  <c r="AV829" i="19" s="1"/>
  <c r="AE829" i="19" s="1"/>
  <c r="AU908" i="19"/>
  <c r="AV908" i="19" s="1"/>
  <c r="AE908" i="19" s="1"/>
  <c r="AU994" i="19"/>
  <c r="AV994" i="19" s="1"/>
  <c r="AE994" i="19" s="1"/>
  <c r="AU1072" i="19"/>
  <c r="AV1072" i="19" s="1"/>
  <c r="AE1072" i="19" s="1"/>
  <c r="AU1149" i="19"/>
  <c r="AV1149" i="19" s="1"/>
  <c r="AE1149" i="19" s="1"/>
  <c r="AU806" i="19"/>
  <c r="AV806" i="19" s="1"/>
  <c r="AE806" i="19" s="1"/>
  <c r="AU897" i="19"/>
  <c r="AV897" i="19" s="1"/>
  <c r="AE897" i="19" s="1"/>
  <c r="AU983" i="19"/>
  <c r="AV983" i="19" s="1"/>
  <c r="AE983" i="19" s="1"/>
  <c r="AU1050" i="19"/>
  <c r="AV1050" i="19" s="1"/>
  <c r="AE1050" i="19" s="1"/>
  <c r="AU1159" i="19"/>
  <c r="AV1159" i="19" s="1"/>
  <c r="AE1159" i="19" s="1"/>
  <c r="AU237" i="19"/>
  <c r="AV237" i="19" s="1"/>
  <c r="AU627" i="19"/>
  <c r="AV627" i="19" s="1"/>
  <c r="AU713" i="19"/>
  <c r="AV713" i="19" s="1"/>
  <c r="AU483" i="19"/>
  <c r="AV483" i="19" s="1"/>
  <c r="AU726" i="19"/>
  <c r="AV726" i="19" s="1"/>
  <c r="AU495" i="19"/>
  <c r="AV495" i="19" s="1"/>
  <c r="AU795" i="19"/>
  <c r="AV795" i="19" s="1"/>
  <c r="AU558" i="19"/>
  <c r="AV558" i="19" s="1"/>
  <c r="AU241" i="19"/>
  <c r="AV241" i="19" s="1"/>
  <c r="AU215" i="19"/>
  <c r="AV215" i="19" s="1"/>
  <c r="AU723" i="19"/>
  <c r="AV723" i="19" s="1"/>
  <c r="AU299" i="19"/>
  <c r="AV299" i="19" s="1"/>
  <c r="AU286" i="19"/>
  <c r="AV286" i="19" s="1"/>
  <c r="AU195" i="19"/>
  <c r="AV195" i="19" s="1"/>
  <c r="AE195" i="19" s="1"/>
  <c r="AU1062" i="19"/>
  <c r="AV1062" i="19" s="1"/>
  <c r="AU462" i="19"/>
  <c r="AV462" i="19" s="1"/>
  <c r="AU56" i="19"/>
  <c r="AV56" i="19" s="1"/>
  <c r="AU1007" i="19"/>
  <c r="AV1007" i="19" s="1"/>
  <c r="AU476" i="19"/>
  <c r="AV476" i="19" s="1"/>
  <c r="AU137" i="19"/>
  <c r="AV137" i="19" s="1"/>
  <c r="AU1112" i="19"/>
  <c r="AV1112" i="19" s="1"/>
  <c r="AU1083" i="19"/>
  <c r="AV1083" i="19" s="1"/>
  <c r="AU718" i="19"/>
  <c r="AV718" i="19" s="1"/>
  <c r="AU957" i="19"/>
  <c r="AV957" i="19" s="1"/>
  <c r="AU397" i="19"/>
  <c r="AV397" i="19" s="1"/>
  <c r="AU588" i="19"/>
  <c r="AV588" i="19" s="1"/>
  <c r="AU221" i="19"/>
  <c r="AV221" i="19" s="1"/>
  <c r="AE221" i="19" s="1"/>
  <c r="AU117" i="19"/>
  <c r="AV117" i="19" s="1"/>
  <c r="AE117" i="19" s="1"/>
  <c r="AU250" i="19"/>
  <c r="AV250" i="19" s="1"/>
  <c r="AU921" i="19"/>
  <c r="AV921" i="19" s="1"/>
  <c r="AU1085" i="19"/>
  <c r="AV1085" i="19" s="1"/>
  <c r="AU23" i="19"/>
  <c r="AV23" i="19" s="1"/>
  <c r="AE23" i="19" s="1"/>
  <c r="AU69" i="19"/>
  <c r="AV69" i="19" s="1"/>
  <c r="AU616" i="19"/>
  <c r="AV616" i="19" s="1"/>
  <c r="AU623" i="19"/>
  <c r="AV623" i="19" s="1"/>
  <c r="AU639" i="19"/>
  <c r="AV639" i="19" s="1"/>
  <c r="AU988" i="19"/>
  <c r="AV988" i="19" s="1"/>
  <c r="AU479" i="19"/>
  <c r="AV479" i="19" s="1"/>
  <c r="AU1099" i="19"/>
  <c r="AV1099" i="19" s="1"/>
  <c r="AU584" i="19"/>
  <c r="AV584" i="19" s="1"/>
  <c r="AU491" i="19"/>
  <c r="AV491" i="19" s="1"/>
  <c r="AU631" i="19"/>
  <c r="AV631" i="19" s="1"/>
  <c r="AU1087" i="19"/>
  <c r="AV1087" i="19" s="1"/>
  <c r="AU830" i="19"/>
  <c r="AV830" i="19" s="1"/>
  <c r="AU566" i="19"/>
  <c r="AV566" i="19" s="1"/>
  <c r="AE566" i="19" s="1"/>
  <c r="AU424" i="19"/>
  <c r="AV424" i="19" s="1"/>
  <c r="AE424" i="19" s="1"/>
  <c r="AU704" i="19"/>
  <c r="AV704" i="19" s="1"/>
  <c r="AE704" i="19" s="1"/>
  <c r="AU603" i="19"/>
  <c r="AV603" i="19" s="1"/>
  <c r="AE603" i="19" s="1"/>
  <c r="AU598" i="19"/>
  <c r="AV598" i="19" s="1"/>
  <c r="AE598" i="19" s="1"/>
  <c r="AU640" i="19"/>
  <c r="AV640" i="19" s="1"/>
  <c r="AE640" i="19" s="1"/>
  <c r="AU460" i="19"/>
  <c r="AV460" i="19" s="1"/>
  <c r="AE460" i="19" s="1"/>
  <c r="AU622" i="19"/>
  <c r="AV622" i="19" s="1"/>
  <c r="AE622" i="19" s="1"/>
  <c r="AU433" i="19"/>
  <c r="AV433" i="19" s="1"/>
  <c r="AE433" i="19" s="1"/>
  <c r="AU615" i="19"/>
  <c r="AV615" i="19" s="1"/>
  <c r="AE615" i="19" s="1"/>
  <c r="AU740" i="19"/>
  <c r="AV740" i="19" s="1"/>
  <c r="AE740" i="19" s="1"/>
  <c r="AU437" i="19"/>
  <c r="AV437" i="19" s="1"/>
  <c r="AE437" i="19" s="1"/>
  <c r="AU591" i="19"/>
  <c r="AV591" i="19" s="1"/>
  <c r="AE591" i="19" s="1"/>
  <c r="AU741" i="19"/>
  <c r="AV741" i="19" s="1"/>
  <c r="AE741" i="19" s="1"/>
  <c r="AU492" i="19"/>
  <c r="AV492" i="19" s="1"/>
  <c r="AE492" i="19" s="1"/>
  <c r="AU660" i="19"/>
  <c r="AV660" i="19" s="1"/>
  <c r="AE660" i="19" s="1"/>
  <c r="AU504" i="19"/>
  <c r="AV504" i="19" s="1"/>
  <c r="AE504" i="19" s="1"/>
  <c r="AU665" i="19"/>
  <c r="AV665" i="19" s="1"/>
  <c r="AE665" i="19" s="1"/>
  <c r="AU544" i="19"/>
  <c r="AV544" i="19" s="1"/>
  <c r="AE544" i="19" s="1"/>
  <c r="AU699" i="19"/>
  <c r="AV699" i="19" s="1"/>
  <c r="AE699" i="19" s="1"/>
  <c r="AU438" i="19"/>
  <c r="AV438" i="19" s="1"/>
  <c r="AE438" i="19" s="1"/>
  <c r="AU593" i="19"/>
  <c r="AV593" i="19" s="1"/>
  <c r="AE593" i="19" s="1"/>
  <c r="AU764" i="19"/>
  <c r="AV764" i="19" s="1"/>
  <c r="AE764" i="19" s="1"/>
  <c r="AU514" i="19"/>
  <c r="AV514" i="19" s="1"/>
  <c r="AE514" i="19" s="1"/>
  <c r="AU655" i="19"/>
  <c r="AV655" i="19" s="1"/>
  <c r="AE655" i="19" s="1"/>
  <c r="AU1003" i="19"/>
  <c r="AV1003" i="19" s="1"/>
  <c r="AE1003" i="19" s="1"/>
  <c r="AU1123" i="19"/>
  <c r="AV1123" i="19" s="1"/>
  <c r="AE1123" i="19" s="1"/>
  <c r="AU1126" i="19"/>
  <c r="AV1126" i="19" s="1"/>
  <c r="AE1126" i="19" s="1"/>
  <c r="AU890" i="19"/>
  <c r="AV890" i="19" s="1"/>
  <c r="AE890" i="19" s="1"/>
  <c r="AU968" i="19"/>
  <c r="AV968" i="19" s="1"/>
  <c r="AE968" i="19" s="1"/>
  <c r="AU1016" i="19"/>
  <c r="AV1016" i="19" s="1"/>
  <c r="AE1016" i="19" s="1"/>
  <c r="AU1064" i="19"/>
  <c r="AV1064" i="19" s="1"/>
  <c r="AE1064" i="19" s="1"/>
  <c r="AU1171" i="19"/>
  <c r="AV1171" i="19" s="1"/>
  <c r="AE1171" i="19" s="1"/>
  <c r="AU804" i="19"/>
  <c r="AV804" i="19" s="1"/>
  <c r="AE804" i="19" s="1"/>
  <c r="AU889" i="19"/>
  <c r="AV889" i="19" s="1"/>
  <c r="AE889" i="19" s="1"/>
  <c r="AU975" i="19"/>
  <c r="AV975" i="19" s="1"/>
  <c r="AE975" i="19" s="1"/>
  <c r="AU1045" i="19"/>
  <c r="AV1045" i="19" s="1"/>
  <c r="AE1045" i="19" s="1"/>
  <c r="AU1177" i="19"/>
  <c r="AV1177" i="19" s="1"/>
  <c r="AE1177" i="19" s="1"/>
  <c r="AU817" i="19"/>
  <c r="AV817" i="19" s="1"/>
  <c r="AE817" i="19" s="1"/>
  <c r="AU901" i="19"/>
  <c r="AV901" i="19" s="1"/>
  <c r="AE901" i="19" s="1"/>
  <c r="AU980" i="19"/>
  <c r="AV980" i="19" s="1"/>
  <c r="AE980" i="19" s="1"/>
  <c r="AU1058" i="19"/>
  <c r="AV1058" i="19" s="1"/>
  <c r="AE1058" i="19" s="1"/>
  <c r="AU1152" i="19"/>
  <c r="AV1152" i="19" s="1"/>
  <c r="AE1152" i="19" s="1"/>
  <c r="AU720" i="19"/>
  <c r="AV720" i="19" s="1"/>
  <c r="AE720" i="19" s="1"/>
  <c r="AU370" i="19"/>
  <c r="AV370" i="19" s="1"/>
  <c r="AE370" i="19" s="1"/>
  <c r="AU461" i="19"/>
  <c r="AV461" i="19" s="1"/>
  <c r="AE461" i="19" s="1"/>
  <c r="AU564" i="19"/>
  <c r="AV564" i="19" s="1"/>
  <c r="AE564" i="19" s="1"/>
  <c r="AU634" i="19"/>
  <c r="AV634" i="19" s="1"/>
  <c r="AE634" i="19" s="1"/>
  <c r="AU693" i="19"/>
  <c r="AV693" i="19" s="1"/>
  <c r="AE693" i="19" s="1"/>
  <c r="AU739" i="19"/>
  <c r="AV739" i="19" s="1"/>
  <c r="AE739" i="19" s="1"/>
  <c r="AU815" i="19"/>
  <c r="AV815" i="19" s="1"/>
  <c r="AE815" i="19" s="1"/>
  <c r="AU883" i="19"/>
  <c r="AV883" i="19" s="1"/>
  <c r="AE883" i="19" s="1"/>
  <c r="AU927" i="19"/>
  <c r="AV927" i="19" s="1"/>
  <c r="AE927" i="19" s="1"/>
  <c r="AU984" i="19"/>
  <c r="AV984" i="19" s="1"/>
  <c r="AE984" i="19" s="1"/>
  <c r="AU1061" i="19"/>
  <c r="AV1061" i="19" s="1"/>
  <c r="AE1061" i="19" s="1"/>
  <c r="AU1144" i="19"/>
  <c r="AV1144" i="19" s="1"/>
  <c r="AE1144" i="19" s="1"/>
  <c r="AU848" i="19"/>
  <c r="AV848" i="19" s="1"/>
  <c r="AE848" i="19" s="1"/>
  <c r="AU934" i="19"/>
  <c r="AV934" i="19" s="1"/>
  <c r="AE934" i="19" s="1"/>
  <c r="AU1071" i="19"/>
  <c r="AV1071" i="19" s="1"/>
  <c r="AE1071" i="19" s="1"/>
  <c r="AU1165" i="19"/>
  <c r="AV1165" i="19" s="1"/>
  <c r="AE1165" i="19" s="1"/>
  <c r="AU807" i="19"/>
  <c r="AV807" i="19" s="1"/>
  <c r="AE807" i="19" s="1"/>
  <c r="AU896" i="19"/>
  <c r="AV896" i="19" s="1"/>
  <c r="AE896" i="19" s="1"/>
  <c r="AU978" i="19"/>
  <c r="AV978" i="19" s="1"/>
  <c r="AE978" i="19" s="1"/>
  <c r="AU1052" i="19"/>
  <c r="AV1052" i="19" s="1"/>
  <c r="AE1052" i="19" s="1"/>
  <c r="AU1187" i="19"/>
  <c r="AV1187" i="19" s="1"/>
  <c r="AE1187" i="19" s="1"/>
  <c r="AU794" i="19"/>
  <c r="AV794" i="19" s="1"/>
  <c r="AE794" i="19" s="1"/>
  <c r="AU877" i="19"/>
  <c r="AV877" i="19" s="1"/>
  <c r="AE877" i="19" s="1"/>
  <c r="AU964" i="19"/>
  <c r="AV964" i="19" s="1"/>
  <c r="AE964" i="19" s="1"/>
  <c r="AU1032" i="19"/>
  <c r="AV1032" i="19" s="1"/>
  <c r="AE1032" i="19" s="1"/>
  <c r="AU1128" i="19"/>
  <c r="AV1128" i="19" s="1"/>
  <c r="AE1128" i="19" s="1"/>
  <c r="AU672" i="19"/>
  <c r="AV672" i="19" s="1"/>
  <c r="AE672" i="19" s="1"/>
  <c r="AU759" i="19"/>
  <c r="AV759" i="19" s="1"/>
  <c r="AE759" i="19" s="1"/>
  <c r="AU420" i="19"/>
  <c r="AV420" i="19" s="1"/>
  <c r="AE420" i="19" s="1"/>
  <c r="AU501" i="19"/>
  <c r="AV501" i="19" s="1"/>
  <c r="AE501" i="19" s="1"/>
  <c r="AU582" i="19"/>
  <c r="AV582" i="19" s="1"/>
  <c r="AE582" i="19" s="1"/>
  <c r="AU644" i="19"/>
  <c r="AV644" i="19" s="1"/>
  <c r="AE644" i="19" s="1"/>
  <c r="AU824" i="19"/>
  <c r="AV824" i="19" s="1"/>
  <c r="AE824" i="19" s="1"/>
  <c r="AU990" i="19"/>
  <c r="AV990" i="19" s="1"/>
  <c r="AE990" i="19" s="1"/>
  <c r="AU1065" i="19"/>
  <c r="AV1065" i="19" s="1"/>
  <c r="AE1065" i="19" s="1"/>
  <c r="AU1151" i="19"/>
  <c r="AV1151" i="19" s="1"/>
  <c r="AE1151" i="19" s="1"/>
  <c r="AU861" i="19"/>
  <c r="AV861" i="19" s="1"/>
  <c r="AE861" i="19" s="1"/>
  <c r="AU932" i="19"/>
  <c r="AV932" i="19" s="1"/>
  <c r="AE932" i="19" s="1"/>
  <c r="AU987" i="19"/>
  <c r="AV987" i="19" s="1"/>
  <c r="AE987" i="19" s="1"/>
  <c r="AU1037" i="19"/>
  <c r="AV1037" i="19" s="1"/>
  <c r="AE1037" i="19" s="1"/>
  <c r="AU1104" i="19"/>
  <c r="AV1104" i="19" s="1"/>
  <c r="AE1104" i="19" s="1"/>
  <c r="AU1168" i="19"/>
  <c r="AV1168" i="19" s="1"/>
  <c r="AE1168" i="19" s="1"/>
  <c r="AU842" i="19"/>
  <c r="AV842" i="19" s="1"/>
  <c r="AE842" i="19" s="1"/>
  <c r="AU925" i="19"/>
  <c r="AV925" i="19" s="1"/>
  <c r="AE925" i="19" s="1"/>
  <c r="AU995" i="19"/>
  <c r="AV995" i="19" s="1"/>
  <c r="AE995" i="19" s="1"/>
  <c r="AU1084" i="19"/>
  <c r="AV1084" i="19" s="1"/>
  <c r="AE1084" i="19" s="1"/>
  <c r="AU1150" i="19"/>
  <c r="AV1150" i="19" s="1"/>
  <c r="AE1150" i="19" s="1"/>
  <c r="AU839" i="19"/>
  <c r="AV839" i="19" s="1"/>
  <c r="AE839" i="19" s="1"/>
  <c r="AU919" i="19"/>
  <c r="AV919" i="19" s="1"/>
  <c r="AE919" i="19" s="1"/>
  <c r="AU1004" i="19"/>
  <c r="AV1004" i="19" s="1"/>
  <c r="AE1004" i="19" s="1"/>
  <c r="AU1075" i="19"/>
  <c r="AV1075" i="19" s="1"/>
  <c r="AE1075" i="19" s="1"/>
  <c r="AU1175" i="19"/>
  <c r="AV1175" i="19" s="1"/>
  <c r="AE1175" i="19" s="1"/>
  <c r="AU711" i="19"/>
  <c r="AV711" i="19" s="1"/>
  <c r="AE711" i="19" s="1"/>
  <c r="AU782" i="19"/>
  <c r="AV782" i="19" s="1"/>
  <c r="AE782" i="19" s="1"/>
  <c r="AU431" i="19"/>
  <c r="AV431" i="19" s="1"/>
  <c r="AE431" i="19" s="1"/>
  <c r="AU509" i="19"/>
  <c r="AV509" i="19" s="1"/>
  <c r="AE509" i="19" s="1"/>
  <c r="AU589" i="19"/>
  <c r="AV589" i="19" s="1"/>
  <c r="AE589" i="19" s="1"/>
  <c r="AU675" i="19"/>
  <c r="AV675" i="19" s="1"/>
  <c r="AE675" i="19" s="1"/>
  <c r="AU737" i="19"/>
  <c r="AV737" i="19" s="1"/>
  <c r="AE737" i="19" s="1"/>
  <c r="AU776" i="19"/>
  <c r="AV776" i="19" s="1"/>
  <c r="AE776" i="19" s="1"/>
  <c r="AU862" i="19"/>
  <c r="AV862" i="19" s="1"/>
  <c r="AE862" i="19" s="1"/>
  <c r="AU912" i="19"/>
  <c r="AV912" i="19" s="1"/>
  <c r="AE912" i="19" s="1"/>
  <c r="AU961" i="19"/>
  <c r="AV961" i="19" s="1"/>
  <c r="AE961" i="19" s="1"/>
  <c r="AU1047" i="19"/>
  <c r="AV1047" i="19" s="1"/>
  <c r="AE1047" i="19" s="1"/>
  <c r="AU1183" i="19"/>
  <c r="AV1183" i="19" s="1"/>
  <c r="AE1183" i="19" s="1"/>
  <c r="AU828" i="19"/>
  <c r="AV828" i="19" s="1"/>
  <c r="AE828" i="19" s="1"/>
  <c r="AU910" i="19"/>
  <c r="AV910" i="19" s="1"/>
  <c r="AE910" i="19" s="1"/>
  <c r="AU1008" i="19"/>
  <c r="AV1008" i="19" s="1"/>
  <c r="AE1008" i="19" s="1"/>
  <c r="AU1124" i="19"/>
  <c r="AV1124" i="19" s="1"/>
  <c r="AE1124" i="19" s="1"/>
  <c r="AU762" i="19"/>
  <c r="AV762" i="19" s="1"/>
  <c r="AE762" i="19" s="1"/>
  <c r="AU857" i="19"/>
  <c r="AV857" i="19" s="1"/>
  <c r="AE857" i="19" s="1"/>
  <c r="AU939" i="19"/>
  <c r="AV939" i="19" s="1"/>
  <c r="AE939" i="19" s="1"/>
  <c r="AU1012" i="19"/>
  <c r="AV1012" i="19" s="1"/>
  <c r="AE1012" i="19" s="1"/>
  <c r="AU1105" i="19"/>
  <c r="AV1105" i="19" s="1"/>
  <c r="AE1105" i="19" s="1"/>
  <c r="AU1160" i="19"/>
  <c r="AV1160" i="19" s="1"/>
  <c r="AE1160" i="19" s="1"/>
  <c r="AU845" i="19"/>
  <c r="AV845" i="19" s="1"/>
  <c r="AE845" i="19" s="1"/>
  <c r="AU922" i="19"/>
  <c r="AV922" i="19" s="1"/>
  <c r="AE922" i="19" s="1"/>
  <c r="AU999" i="19"/>
  <c r="AV999" i="19" s="1"/>
  <c r="AE999" i="19" s="1"/>
  <c r="AU1082" i="19"/>
  <c r="AV1082" i="19" s="1"/>
  <c r="AE1082" i="19" s="1"/>
  <c r="AU1131" i="19"/>
  <c r="AV1131" i="19" s="1"/>
  <c r="AE1131" i="19" s="1"/>
  <c r="AU168" i="19"/>
  <c r="AV168" i="19" s="1"/>
  <c r="AU158" i="19"/>
  <c r="AV158" i="19" s="1"/>
  <c r="AU1067" i="19"/>
  <c r="AV1067" i="19" s="1"/>
  <c r="AU204" i="19"/>
  <c r="AV204" i="19" s="1"/>
  <c r="AU864" i="19"/>
  <c r="AV864" i="19" s="1"/>
  <c r="AU819" i="19"/>
  <c r="AV819" i="19" s="1"/>
  <c r="AU235" i="19"/>
  <c r="AV235" i="19" s="1"/>
  <c r="AE235" i="19" s="1"/>
  <c r="AU812" i="19"/>
  <c r="AV812" i="19" s="1"/>
  <c r="AU1092" i="19"/>
  <c r="AV1092" i="19" s="1"/>
  <c r="AU190" i="19"/>
  <c r="AV190" i="19" s="1"/>
  <c r="AE190" i="19" s="1"/>
  <c r="AU118" i="19"/>
  <c r="AV118" i="19" s="1"/>
  <c r="AU527" i="19"/>
  <c r="AV527" i="19" s="1"/>
  <c r="AU39" i="19"/>
  <c r="AV39" i="19" s="1"/>
  <c r="AE39" i="19" s="1"/>
  <c r="AU52" i="19"/>
  <c r="AV52" i="19" s="1"/>
  <c r="AE52" i="19" s="1"/>
  <c r="AU378" i="19"/>
  <c r="AV378" i="19" s="1"/>
  <c r="AU1025" i="19"/>
  <c r="AV1025" i="19" s="1"/>
  <c r="AU602" i="19"/>
  <c r="AV602" i="19" s="1"/>
  <c r="AU1103" i="19"/>
  <c r="AV1103" i="19" s="1"/>
  <c r="AU832" i="19"/>
  <c r="AV832" i="19" s="1"/>
  <c r="AU429" i="19"/>
  <c r="AV429" i="19" s="1"/>
  <c r="AU213" i="19"/>
  <c r="AV213" i="19" s="1"/>
  <c r="AE213" i="19" s="1"/>
  <c r="AU837" i="19"/>
  <c r="AV837" i="19" s="1"/>
  <c r="AU228" i="19"/>
  <c r="AV228" i="19" s="1"/>
  <c r="AU161" i="19"/>
  <c r="AV161" i="19" s="1"/>
  <c r="AE161" i="19" s="1"/>
  <c r="AU923" i="19"/>
  <c r="AV923" i="19" s="1"/>
  <c r="AU264" i="19"/>
  <c r="AV264" i="19" s="1"/>
  <c r="AU70" i="19"/>
  <c r="AV70" i="19" s="1"/>
  <c r="AE70" i="19" s="1"/>
  <c r="AU823" i="19"/>
  <c r="AV823" i="19" s="1"/>
  <c r="AU687" i="19"/>
  <c r="AV687" i="19" s="1"/>
  <c r="AU805" i="19"/>
  <c r="AV805" i="19" s="1"/>
  <c r="AU406" i="19"/>
  <c r="AV406" i="19" s="1"/>
  <c r="AU706" i="19"/>
  <c r="AV706" i="19" s="1"/>
  <c r="AU436" i="19"/>
  <c r="AV436" i="19" s="1"/>
  <c r="AU1114" i="19"/>
  <c r="AV1114" i="19" s="1"/>
  <c r="AU835" i="19"/>
  <c r="AV835" i="19" s="1"/>
  <c r="AU193" i="19"/>
  <c r="AV193" i="19" s="1"/>
  <c r="AU1089" i="19"/>
  <c r="AV1089" i="19" s="1"/>
  <c r="AU445" i="19"/>
  <c r="AV445" i="19" s="1"/>
  <c r="AU128" i="19"/>
  <c r="AV128" i="19" s="1"/>
  <c r="AU381" i="19"/>
  <c r="AV381" i="19" s="1"/>
  <c r="AU1011" i="19"/>
  <c r="AV1011" i="19" s="1"/>
  <c r="AU222" i="19"/>
  <c r="AV222" i="19" s="1"/>
  <c r="AU669" i="19"/>
  <c r="AV669" i="19" s="1"/>
  <c r="AU641" i="19"/>
  <c r="AV641" i="19" s="1"/>
  <c r="AE641" i="19" s="1"/>
  <c r="AU470" i="19"/>
  <c r="AV470" i="19" s="1"/>
  <c r="AE470" i="19" s="1"/>
  <c r="AU787" i="19"/>
  <c r="AV787" i="19" s="1"/>
  <c r="AE787" i="19" s="1"/>
  <c r="AU219" i="19"/>
  <c r="AV219" i="19" s="1"/>
  <c r="AE219" i="19" s="1"/>
  <c r="AU680" i="19"/>
  <c r="AV680" i="19" s="1"/>
  <c r="AE680" i="19" s="1"/>
  <c r="AU719" i="19"/>
  <c r="AV719" i="19" s="1"/>
  <c r="AE719" i="19" s="1"/>
  <c r="AU507" i="19"/>
  <c r="AV507" i="19" s="1"/>
  <c r="AE507" i="19" s="1"/>
  <c r="AU667" i="19"/>
  <c r="AV667" i="19" s="1"/>
  <c r="AE667" i="19" s="1"/>
  <c r="AU508" i="19"/>
  <c r="AV508" i="19" s="1"/>
  <c r="AE508" i="19" s="1"/>
  <c r="AU659" i="19"/>
  <c r="AV659" i="19" s="1"/>
  <c r="AE659" i="19" s="1"/>
  <c r="AU780" i="19"/>
  <c r="AV780" i="19" s="1"/>
  <c r="AE780" i="19" s="1"/>
  <c r="AU487" i="19"/>
  <c r="AV487" i="19" s="1"/>
  <c r="AE487" i="19" s="1"/>
  <c r="AU645" i="19"/>
  <c r="AV645" i="19" s="1"/>
  <c r="AE645" i="19" s="1"/>
  <c r="AU383" i="19"/>
  <c r="AV383" i="19" s="1"/>
  <c r="AE383" i="19" s="1"/>
  <c r="AU538" i="19"/>
  <c r="AV538" i="19" s="1"/>
  <c r="AE538" i="19" s="1"/>
  <c r="AU293" i="19"/>
  <c r="AV293" i="19" s="1"/>
  <c r="AE293" i="19" s="1"/>
  <c r="AU554" i="19"/>
  <c r="AV554" i="19" s="1"/>
  <c r="AE554" i="19" s="1"/>
  <c r="AU707" i="19"/>
  <c r="AV707" i="19" s="1"/>
  <c r="AE707" i="19" s="1"/>
  <c r="AU595" i="19"/>
  <c r="AV595" i="19" s="1"/>
  <c r="AE595" i="19" s="1"/>
  <c r="AU760" i="19"/>
  <c r="AV760" i="19" s="1"/>
  <c r="AE760" i="19" s="1"/>
  <c r="AU499" i="19"/>
  <c r="AV499" i="19" s="1"/>
  <c r="AE499" i="19" s="1"/>
  <c r="AU661" i="19"/>
  <c r="AV661" i="19" s="1"/>
  <c r="AE661" i="19" s="1"/>
  <c r="AU407" i="19"/>
  <c r="AV407" i="19" s="1"/>
  <c r="AE407" i="19" s="1"/>
  <c r="AU552" i="19"/>
  <c r="AV552" i="19" s="1"/>
  <c r="AE552" i="19" s="1"/>
  <c r="AU769" i="19"/>
  <c r="AV769" i="19" s="1"/>
  <c r="AE769" i="19" s="1"/>
  <c r="AU1043" i="19"/>
  <c r="AV1043" i="19" s="1"/>
  <c r="AE1043" i="19" s="1"/>
  <c r="AU1155" i="19"/>
  <c r="AV1155" i="19" s="1"/>
  <c r="AE1155" i="19" s="1"/>
  <c r="AU813" i="19"/>
  <c r="AV813" i="19" s="1"/>
  <c r="AE813" i="19" s="1"/>
  <c r="AU893" i="19"/>
  <c r="AV893" i="19" s="1"/>
  <c r="AE893" i="19" s="1"/>
  <c r="AU979" i="19"/>
  <c r="AV979" i="19" s="1"/>
  <c r="AE979" i="19" s="1"/>
  <c r="AU1018" i="19"/>
  <c r="AV1018" i="19" s="1"/>
  <c r="AE1018" i="19" s="1"/>
  <c r="AU1107" i="19"/>
  <c r="AV1107" i="19" s="1"/>
  <c r="AE1107" i="19" s="1"/>
  <c r="AU1154" i="19"/>
  <c r="AV1154" i="19" s="1"/>
  <c r="AE1154" i="19" s="1"/>
  <c r="AU847" i="19"/>
  <c r="AV847" i="19" s="1"/>
  <c r="AE847" i="19" s="1"/>
  <c r="AU933" i="19"/>
  <c r="AV933" i="19" s="1"/>
  <c r="AE933" i="19" s="1"/>
  <c r="AU996" i="19"/>
  <c r="AV996" i="19" s="1"/>
  <c r="AE996" i="19" s="1"/>
  <c r="AU1090" i="19"/>
  <c r="AV1090" i="19" s="1"/>
  <c r="AE1090" i="19" s="1"/>
  <c r="AU1138" i="19"/>
  <c r="AV1138" i="19" s="1"/>
  <c r="AE1138" i="19" s="1"/>
  <c r="AU859" i="19"/>
  <c r="AV859" i="19" s="1"/>
  <c r="AE859" i="19" s="1"/>
  <c r="AU935" i="19"/>
  <c r="AV935" i="19" s="1"/>
  <c r="AE935" i="19" s="1"/>
  <c r="AU1014" i="19"/>
  <c r="AV1014" i="19" s="1"/>
  <c r="AE1014" i="19" s="1"/>
  <c r="AU1100" i="19"/>
  <c r="AV1100" i="19" s="1"/>
  <c r="AE1100" i="19" s="1"/>
  <c r="AU1142" i="19"/>
  <c r="AV1142" i="19" s="1"/>
  <c r="AE1142" i="19" s="1"/>
  <c r="AU736" i="19"/>
  <c r="AV736" i="19" s="1"/>
  <c r="AE736" i="19" s="1"/>
  <c r="AU396" i="19"/>
  <c r="AV396" i="19" s="1"/>
  <c r="AE396" i="19" s="1"/>
  <c r="AU478" i="19"/>
  <c r="AV478" i="19" s="1"/>
  <c r="AE478" i="19" s="1"/>
  <c r="AU577" i="19"/>
  <c r="AV577" i="19" s="1"/>
  <c r="AE577" i="19" s="1"/>
  <c r="AU651" i="19"/>
  <c r="AV651" i="19" s="1"/>
  <c r="AE651" i="19" s="1"/>
  <c r="AU709" i="19"/>
  <c r="AV709" i="19" s="1"/>
  <c r="AE709" i="19" s="1"/>
  <c r="AU757" i="19"/>
  <c r="AV757" i="19" s="1"/>
  <c r="AE757" i="19" s="1"/>
  <c r="AU836" i="19"/>
  <c r="AV836" i="19" s="1"/>
  <c r="AE836" i="19" s="1"/>
  <c r="AU888" i="19"/>
  <c r="AV888" i="19" s="1"/>
  <c r="AE888" i="19" s="1"/>
  <c r="AU947" i="19"/>
  <c r="AV947" i="19" s="1"/>
  <c r="AE947" i="19" s="1"/>
  <c r="AU1009" i="19"/>
  <c r="AV1009" i="19" s="1"/>
  <c r="AE1009" i="19" s="1"/>
  <c r="AU1095" i="19"/>
  <c r="AV1095" i="19" s="1"/>
  <c r="AE1095" i="19" s="1"/>
  <c r="AU1146" i="19"/>
  <c r="AV1146" i="19" s="1"/>
  <c r="AE1146" i="19" s="1"/>
  <c r="AU867" i="19"/>
  <c r="AV867" i="19" s="1"/>
  <c r="AE867" i="19" s="1"/>
  <c r="AU956" i="19"/>
  <c r="AV956" i="19" s="1"/>
  <c r="AE956" i="19" s="1"/>
  <c r="AU1096" i="19"/>
  <c r="AV1096" i="19" s="1"/>
  <c r="AE1096" i="19" s="1"/>
  <c r="AU1132" i="19"/>
  <c r="AV1132" i="19" s="1"/>
  <c r="AE1132" i="19" s="1"/>
  <c r="AU838" i="19"/>
  <c r="AV838" i="19" s="1"/>
  <c r="AE838" i="19" s="1"/>
  <c r="AU917" i="19"/>
  <c r="AV917" i="19" s="1"/>
  <c r="AE917" i="19" s="1"/>
  <c r="AU997" i="19"/>
  <c r="AV997" i="19" s="1"/>
  <c r="AE997" i="19" s="1"/>
  <c r="AU1077" i="19"/>
  <c r="AV1077" i="19" s="1"/>
  <c r="AE1077" i="19" s="1"/>
  <c r="AU1141" i="19"/>
  <c r="AV1141" i="19" s="1"/>
  <c r="AE1141" i="19" s="1"/>
  <c r="AU833" i="19"/>
  <c r="AV833" i="19" s="1"/>
  <c r="AE833" i="19" s="1"/>
  <c r="AU914" i="19"/>
  <c r="AV914" i="19" s="1"/>
  <c r="AE914" i="19" s="1"/>
  <c r="AU998" i="19"/>
  <c r="AV998" i="19" s="1"/>
  <c r="AE998" i="19" s="1"/>
  <c r="AU1070" i="19"/>
  <c r="AV1070" i="19" s="1"/>
  <c r="AE1070" i="19" s="1"/>
  <c r="AU1180" i="19"/>
  <c r="AV1180" i="19" s="1"/>
  <c r="AE1180" i="19" s="1"/>
  <c r="AU700" i="19"/>
  <c r="AV700" i="19" s="1"/>
  <c r="AE700" i="19" s="1"/>
  <c r="AU799" i="19"/>
  <c r="AV799" i="19" s="1"/>
  <c r="AE799" i="19" s="1"/>
  <c r="AU448" i="19"/>
  <c r="AV448" i="19" s="1"/>
  <c r="AE448" i="19" s="1"/>
  <c r="AU535" i="19"/>
  <c r="AV535" i="19" s="1"/>
  <c r="AE535" i="19" s="1"/>
  <c r="AU601" i="19"/>
  <c r="AV601" i="19" s="1"/>
  <c r="AE601" i="19" s="1"/>
  <c r="AU685" i="19"/>
  <c r="AV685" i="19" s="1"/>
  <c r="AE685" i="19" s="1"/>
  <c r="AU869" i="19"/>
  <c r="AV869" i="19" s="1"/>
  <c r="AE869" i="19" s="1"/>
  <c r="AU1002" i="19"/>
  <c r="AV1002" i="19" s="1"/>
  <c r="AE1002" i="19" s="1"/>
  <c r="AU1079" i="19"/>
  <c r="AV1079" i="19" s="1"/>
  <c r="AE1079" i="19" s="1"/>
  <c r="AU1157" i="19"/>
  <c r="AV1157" i="19" s="1"/>
  <c r="AE1157" i="19" s="1"/>
  <c r="AU855" i="19"/>
  <c r="AV855" i="19" s="1"/>
  <c r="AE855" i="19" s="1"/>
  <c r="AU940" i="19"/>
  <c r="AV940" i="19" s="1"/>
  <c r="AE940" i="19" s="1"/>
  <c r="AU1006" i="19"/>
  <c r="AV1006" i="19" s="1"/>
  <c r="AE1006" i="19" s="1"/>
  <c r="AU1040" i="19"/>
  <c r="AV1040" i="19" s="1"/>
  <c r="AE1040" i="19" s="1"/>
  <c r="AU1115" i="19"/>
  <c r="AV1115" i="19" s="1"/>
  <c r="AE1115" i="19" s="1"/>
  <c r="AU1178" i="19"/>
  <c r="AV1178" i="19" s="1"/>
  <c r="AE1178" i="19" s="1"/>
  <c r="AU853" i="19"/>
  <c r="AV853" i="19" s="1"/>
  <c r="AE853" i="19" s="1"/>
  <c r="AU936" i="19"/>
  <c r="AV936" i="19" s="1"/>
  <c r="AE936" i="19" s="1"/>
  <c r="AU1010" i="19"/>
  <c r="AV1010" i="19" s="1"/>
  <c r="AE1010" i="19" s="1"/>
  <c r="AU1093" i="19"/>
  <c r="AV1093" i="19" s="1"/>
  <c r="AE1093" i="19" s="1"/>
  <c r="AU1156" i="19"/>
  <c r="AV1156" i="19" s="1"/>
  <c r="AE1156" i="19" s="1"/>
  <c r="AU860" i="19"/>
  <c r="AV860" i="19" s="1"/>
  <c r="AE860" i="19" s="1"/>
  <c r="AU938" i="19"/>
  <c r="AV938" i="19" s="1"/>
  <c r="AE938" i="19" s="1"/>
  <c r="AU1024" i="19"/>
  <c r="AV1024" i="19" s="1"/>
  <c r="AE1024" i="19" s="1"/>
  <c r="AU1111" i="19"/>
  <c r="AV1111" i="19" s="1"/>
  <c r="AE1111" i="19" s="1"/>
  <c r="AU1164" i="19"/>
  <c r="AV1164" i="19" s="1"/>
  <c r="AE1164" i="19" s="1"/>
  <c r="AU735" i="19"/>
  <c r="AV735" i="19" s="1"/>
  <c r="AE735" i="19" s="1"/>
  <c r="AU387" i="19"/>
  <c r="AV387" i="19" s="1"/>
  <c r="AE387" i="19" s="1"/>
  <c r="AU473" i="19"/>
  <c r="AV473" i="19" s="1"/>
  <c r="AE473" i="19" s="1"/>
  <c r="AU539" i="19"/>
  <c r="AV539" i="19" s="1"/>
  <c r="AE539" i="19" s="1"/>
  <c r="AU604" i="19"/>
  <c r="AV604" i="19" s="1"/>
  <c r="AE604" i="19" s="1"/>
  <c r="AU690" i="19"/>
  <c r="AV690" i="19" s="1"/>
  <c r="AE690" i="19" s="1"/>
  <c r="AU730" i="19"/>
  <c r="AV730" i="19" s="1"/>
  <c r="AE730" i="19" s="1"/>
  <c r="AU809" i="19"/>
  <c r="AV809" i="19" s="1"/>
  <c r="AE809" i="19" s="1"/>
  <c r="AU866" i="19"/>
  <c r="AV866" i="19" s="1"/>
  <c r="AE866" i="19" s="1"/>
  <c r="AU931" i="19"/>
  <c r="AV931" i="19" s="1"/>
  <c r="AE931" i="19" s="1"/>
  <c r="AU977" i="19"/>
  <c r="AV977" i="19" s="1"/>
  <c r="AE977" i="19" s="1"/>
  <c r="AU1057" i="19"/>
  <c r="AV1057" i="19" s="1"/>
  <c r="AE1057" i="19" s="1"/>
  <c r="AU1161" i="19"/>
  <c r="AV1161" i="19" s="1"/>
  <c r="AE1161" i="19" s="1"/>
  <c r="AU841" i="19"/>
  <c r="AV841" i="19" s="1"/>
  <c r="AE841" i="19" s="1"/>
  <c r="AU924" i="19"/>
  <c r="AV924" i="19" s="1"/>
  <c r="AE924" i="19" s="1"/>
  <c r="AU1048" i="19"/>
  <c r="AV1048" i="19" s="1"/>
  <c r="AE1048" i="19" s="1"/>
  <c r="AU1153" i="19"/>
  <c r="AV1153" i="19" s="1"/>
  <c r="AE1153" i="19" s="1"/>
  <c r="AU784" i="19"/>
  <c r="AV784" i="19" s="1"/>
  <c r="AE784" i="19" s="1"/>
  <c r="AU874" i="19"/>
  <c r="AV874" i="19" s="1"/>
  <c r="AE874" i="19" s="1"/>
  <c r="AU966" i="19"/>
  <c r="AV966" i="19" s="1"/>
  <c r="AE966" i="19" s="1"/>
  <c r="AU1030" i="19"/>
  <c r="AV1030" i="19" s="1"/>
  <c r="AE1030" i="19" s="1"/>
  <c r="AU1135" i="19"/>
  <c r="AV1135" i="19" s="1"/>
  <c r="AE1135" i="19" s="1"/>
  <c r="AU775" i="19"/>
  <c r="AV775" i="19" s="1"/>
  <c r="AE775" i="19" s="1"/>
  <c r="AU865" i="19"/>
  <c r="AV865" i="19" s="1"/>
  <c r="AE865" i="19" s="1"/>
  <c r="AU955" i="19"/>
  <c r="AV955" i="19" s="1"/>
  <c r="AE955" i="19" s="1"/>
  <c r="AU1034" i="19"/>
  <c r="AV1034" i="19" s="1"/>
  <c r="AE1034" i="19" s="1"/>
  <c r="AU1188" i="19"/>
  <c r="AV1188" i="19" s="1"/>
  <c r="AE1188" i="19" s="1"/>
  <c r="AU876" i="19"/>
  <c r="AV876" i="19" s="1"/>
  <c r="AU570" i="19"/>
  <c r="AV570" i="19" s="1"/>
  <c r="AU281" i="19"/>
  <c r="AV281" i="19" s="1"/>
  <c r="AU411" i="19"/>
  <c r="AV411" i="19" s="1"/>
  <c r="AU576" i="19"/>
  <c r="AV576" i="19" s="1"/>
  <c r="AU946" i="19"/>
  <c r="AV946" i="19" s="1"/>
  <c r="AU1074" i="19"/>
  <c r="AV1074" i="19" s="1"/>
  <c r="AU153" i="19"/>
  <c r="AV153" i="19" s="1"/>
  <c r="AE153" i="19" s="1"/>
  <c r="AU536" i="19"/>
  <c r="AV536" i="19" s="1"/>
  <c r="AU1019" i="19"/>
  <c r="AV1019" i="19" s="1"/>
  <c r="AU113" i="19"/>
  <c r="AV113" i="19" s="1"/>
  <c r="AE113" i="19" s="1"/>
  <c r="AU123" i="19"/>
  <c r="AV123" i="19" s="1"/>
  <c r="AE123" i="19" s="1"/>
  <c r="AU701" i="19"/>
  <c r="AV701" i="19" s="1"/>
  <c r="AU827" i="19"/>
  <c r="AV827" i="19" s="1"/>
  <c r="AU1118" i="19"/>
  <c r="AV1118" i="19" s="1"/>
  <c r="AU592" i="19"/>
  <c r="AV592" i="19" s="1"/>
  <c r="AU738" i="19"/>
  <c r="AV738" i="19" s="1"/>
  <c r="AU386" i="19"/>
  <c r="AV386" i="19" s="1"/>
  <c r="AU226" i="19"/>
  <c r="AV226" i="19" s="1"/>
  <c r="AU814" i="19"/>
  <c r="AV814" i="19" s="1"/>
  <c r="AU608" i="19"/>
  <c r="AV608" i="19" s="1"/>
  <c r="AU144" i="19"/>
  <c r="AV144" i="19" s="1"/>
  <c r="AE144" i="19" s="1"/>
  <c r="AU562" i="19"/>
  <c r="AV562" i="19" s="1"/>
  <c r="AU721" i="19"/>
  <c r="AV721" i="19" s="1"/>
  <c r="AU93" i="19"/>
  <c r="AV93" i="19" s="1"/>
  <c r="AE93" i="19" s="1"/>
  <c r="AU198" i="19"/>
  <c r="AV198" i="19" s="1"/>
  <c r="AE198" i="19" s="1"/>
  <c r="AU1017" i="19"/>
  <c r="AV1017" i="19" s="1"/>
  <c r="AU243" i="19"/>
  <c r="AV243" i="19" s="1"/>
  <c r="AU580" i="19"/>
  <c r="AV580" i="19" s="1"/>
  <c r="AU425" i="19"/>
  <c r="AV425" i="19" s="1"/>
  <c r="AU656" i="19"/>
  <c r="AV656" i="19" s="1"/>
  <c r="AU892" i="19"/>
  <c r="AV892" i="19" s="1"/>
  <c r="AU1106" i="19"/>
  <c r="AV1106" i="19" s="1"/>
  <c r="AU654" i="19"/>
  <c r="AV654" i="19" s="1"/>
  <c r="AU363" i="19"/>
  <c r="AV363" i="19" s="1"/>
  <c r="AU388" i="19"/>
  <c r="AV388" i="19" s="1"/>
  <c r="AU207" i="19"/>
  <c r="AV207" i="19" s="1"/>
  <c r="AU165" i="19"/>
  <c r="AV165" i="19" s="1"/>
  <c r="AU849" i="19"/>
  <c r="AV849" i="19" s="1"/>
  <c r="AU798" i="19"/>
  <c r="AV798" i="19" s="1"/>
  <c r="AU810" i="19"/>
  <c r="AV810" i="19" s="1"/>
  <c r="AU74" i="19"/>
  <c r="AV74" i="19" s="1"/>
  <c r="AU180" i="19"/>
  <c r="AV180" i="19" s="1"/>
  <c r="AU545" i="19"/>
  <c r="AV545" i="19" s="1"/>
  <c r="Z1186" i="53" l="1"/>
  <c r="W15" i="53" s="1"/>
  <c r="AF1214" i="19" s="1"/>
  <c r="AA1186" i="53"/>
  <c r="W16" i="53" s="1"/>
  <c r="AG1214" i="19" s="1"/>
  <c r="AA1186" i="55"/>
  <c r="W16" i="55" s="1"/>
  <c r="AG1216" i="19" s="1"/>
  <c r="AA1186" i="52"/>
  <c r="W16" i="52" s="1"/>
  <c r="AG1213" i="19" s="1"/>
  <c r="Z1186" i="52"/>
  <c r="W15" i="52" s="1"/>
  <c r="AF1213" i="19" s="1"/>
  <c r="Z1186" i="54"/>
  <c r="W15" i="54" s="1"/>
  <c r="AF1215" i="19" s="1"/>
  <c r="AA1186" i="54"/>
  <c r="W16" i="54" s="1"/>
  <c r="AG1215" i="19" s="1"/>
  <c r="AA1186" i="44"/>
  <c r="W16" i="44" s="1"/>
  <c r="Z1186" i="44"/>
  <c r="W15" i="44" s="1"/>
  <c r="AK1196" i="19"/>
  <c r="AL1200" i="19"/>
  <c r="AF1212" i="19" l="1"/>
  <c r="AG1212" i="19"/>
  <c r="AN1200" i="19"/>
  <c r="AN1196" i="19"/>
  <c r="AB1196" i="19" l="1"/>
  <c r="AE119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AB "Skladová dostupnost".</t>
        </r>
      </text>
    </comment>
    <comment ref="F138" authorId="0" shapeId="0" xr:uid="{DFCA6277-D32D-42B6-AB71-41F5B35AED7B}">
      <text>
        <r>
          <rPr>
            <sz val="9"/>
            <color indexed="81"/>
            <rFont val="Tahoma"/>
            <family val="2"/>
            <charset val="238"/>
          </rPr>
          <t xml:space="preserve">
</t>
        </r>
      </text>
    </comment>
    <comment ref="F139" authorId="0" shapeId="0" xr:uid="{AC0773F2-7725-410F-A795-A26DFA5AC18A}">
      <text>
        <r>
          <rPr>
            <sz val="9"/>
            <color indexed="81"/>
            <rFont val="Tahoma"/>
            <family val="2"/>
            <charset val="238"/>
          </rPr>
          <t xml:space="preserve">
</t>
        </r>
      </text>
    </comment>
    <comment ref="F140" authorId="0" shapeId="0" xr:uid="{F6FF8CCF-3C12-41F6-B0DD-ED85B1500279}">
      <text>
        <r>
          <rPr>
            <sz val="9"/>
            <color indexed="81"/>
            <rFont val="Tahoma"/>
            <family val="2"/>
            <charset val="238"/>
          </rPr>
          <t xml:space="preserve">
</t>
        </r>
      </text>
    </comment>
    <comment ref="F141" authorId="0" shapeId="0" xr:uid="{25D03C6F-CC49-46CB-945F-E1EE69840DB7}">
      <text>
        <r>
          <rPr>
            <sz val="9"/>
            <color indexed="81"/>
            <rFont val="Tahoma"/>
            <family val="2"/>
            <charset val="238"/>
          </rPr>
          <t xml:space="preserve">
</t>
        </r>
      </text>
    </comment>
    <comment ref="F142" authorId="0" shapeId="0" xr:uid="{4CA00BF2-F288-4BC7-8A52-4BE7270F1462}">
      <text>
        <r>
          <rPr>
            <sz val="9"/>
            <color indexed="81"/>
            <rFont val="Tahoma"/>
            <family val="2"/>
            <charset val="238"/>
          </rPr>
          <t xml:space="preserve">
</t>
        </r>
      </text>
    </comment>
    <comment ref="F143" authorId="0" shapeId="0" xr:uid="{4EBBCFA6-4059-4656-8A9A-D2173297CA9C}">
      <text>
        <r>
          <rPr>
            <sz val="9"/>
            <color indexed="81"/>
            <rFont val="Tahoma"/>
            <family val="2"/>
            <charset val="238"/>
          </rPr>
          <t xml:space="preserve">
</t>
        </r>
      </text>
    </comment>
    <comment ref="F144" authorId="0" shapeId="0" xr:uid="{3D65464E-A565-4BE2-AF7A-CA787BC7A411}">
      <text>
        <r>
          <rPr>
            <sz val="9"/>
            <color indexed="81"/>
            <rFont val="Tahoma"/>
            <family val="2"/>
            <charset val="238"/>
          </rPr>
          <t xml:space="preserve">
</t>
        </r>
      </text>
    </comment>
    <comment ref="F145" authorId="0" shapeId="0" xr:uid="{4E541CD4-9BAA-4ACD-B7AC-132D7E6DE033}">
      <text>
        <r>
          <rPr>
            <sz val="9"/>
            <color indexed="81"/>
            <rFont val="Tahoma"/>
            <family val="2"/>
            <charset val="238"/>
          </rPr>
          <t xml:space="preserve">
</t>
        </r>
      </text>
    </comment>
    <comment ref="F146" authorId="0" shapeId="0" xr:uid="{27230392-D325-4A52-8456-05AD2795EF44}">
      <text>
        <r>
          <rPr>
            <sz val="9"/>
            <color indexed="81"/>
            <rFont val="Tahoma"/>
            <family val="2"/>
            <charset val="238"/>
          </rPr>
          <t xml:space="preserve">
</t>
        </r>
      </text>
    </comment>
    <comment ref="F194" authorId="0" shapeId="0" xr:uid="{800B8F6C-DAB2-4E23-8D54-7B6E500986D7}">
      <text>
        <r>
          <rPr>
            <sz val="9"/>
            <color indexed="81"/>
            <rFont val="Tahoma"/>
            <family val="2"/>
            <charset val="238"/>
          </rPr>
          <t xml:space="preserve">
</t>
        </r>
      </text>
    </comment>
    <comment ref="F365" authorId="0" shapeId="0" xr:uid="{4DF78A0F-30FA-4EA2-96B2-68F1812559BC}">
      <text>
        <r>
          <rPr>
            <sz val="9"/>
            <color indexed="81"/>
            <rFont val="Tahoma"/>
            <family val="2"/>
            <charset val="238"/>
          </rPr>
          <t xml:space="preserve">
</t>
        </r>
      </text>
    </comment>
    <comment ref="F366" authorId="0" shapeId="0" xr:uid="{3BF57E70-1C25-4B26-96C8-B292854365FA}">
      <text>
        <r>
          <rPr>
            <sz val="9"/>
            <color indexed="81"/>
            <rFont val="Tahoma"/>
            <family val="2"/>
            <charset val="238"/>
          </rPr>
          <t xml:space="preserve">
</t>
        </r>
      </text>
    </comment>
    <comment ref="F472" authorId="0" shapeId="0" xr:uid="{9FD107DE-6E97-4A5D-BA6D-C2CFC78BCD91}">
      <text>
        <r>
          <rPr>
            <sz val="9"/>
            <color indexed="81"/>
            <rFont val="Tahoma"/>
            <family val="2"/>
            <charset val="238"/>
          </rPr>
          <t xml:space="preserve">
</t>
        </r>
      </text>
    </comment>
    <comment ref="F473" authorId="0" shapeId="0" xr:uid="{3483E8CE-281D-4A7E-BD5E-A5055F0E735D}">
      <text>
        <r>
          <rPr>
            <sz val="9"/>
            <color indexed="81"/>
            <rFont val="Tahoma"/>
            <family val="2"/>
            <charset val="238"/>
          </rPr>
          <t xml:space="preserve">
</t>
        </r>
      </text>
    </comment>
    <comment ref="F474" authorId="0" shapeId="0" xr:uid="{9BA120C1-708C-4417-A414-B64BA4F6AB2D}">
      <text>
        <r>
          <rPr>
            <sz val="9"/>
            <color indexed="81"/>
            <rFont val="Tahoma"/>
            <family val="2"/>
            <charset val="238"/>
          </rPr>
          <t xml:space="preserve">
</t>
        </r>
      </text>
    </comment>
    <comment ref="F475" authorId="0" shapeId="0" xr:uid="{E46F0078-306B-4481-A223-E0087A071AF9}">
      <text>
        <r>
          <rPr>
            <sz val="9"/>
            <color indexed="81"/>
            <rFont val="Tahoma"/>
            <family val="2"/>
            <charset val="238"/>
          </rPr>
          <t xml:space="preserve">
</t>
        </r>
      </text>
    </comment>
    <comment ref="F826" authorId="0" shapeId="0" xr:uid="{18C818F7-39EB-44D2-A6A8-81019CC4E7FB}">
      <text>
        <r>
          <rPr>
            <sz val="9"/>
            <color indexed="81"/>
            <rFont val="Tahoma"/>
            <family val="2"/>
            <charset val="238"/>
          </rPr>
          <t xml:space="preserve">
</t>
        </r>
      </text>
    </comment>
    <comment ref="F950" authorId="0" shapeId="0" xr:uid="{98F3061B-944D-4E02-B3B4-AC952134D2CA}">
      <text>
        <r>
          <rPr>
            <sz val="9"/>
            <color indexed="81"/>
            <rFont val="Tahoma"/>
            <family val="2"/>
            <charset val="238"/>
          </rPr>
          <t xml:space="preserve">
</t>
        </r>
      </text>
    </comment>
    <comment ref="F951" authorId="0" shapeId="0" xr:uid="{24585C63-403C-4840-AB7E-190C51C1BEF5}">
      <text>
        <r>
          <rPr>
            <sz val="9"/>
            <color indexed="81"/>
            <rFont val="Tahoma"/>
            <family val="2"/>
            <charset val="238"/>
          </rPr>
          <t xml:space="preserve">
</t>
        </r>
      </text>
    </comment>
    <comment ref="F952" authorId="0" shapeId="0" xr:uid="{1A90E7AB-1C2B-4183-A98B-5E56EEF4ED2A}">
      <text>
        <r>
          <rPr>
            <sz val="9"/>
            <color indexed="81"/>
            <rFont val="Tahoma"/>
            <family val="2"/>
            <charset val="238"/>
          </rPr>
          <t xml:space="preserve">
</t>
        </r>
      </text>
    </comment>
    <comment ref="F954" authorId="0" shapeId="0" xr:uid="{184BF328-D153-426A-AAD5-E5F4B85BF694}">
      <text>
        <r>
          <rPr>
            <sz val="9"/>
            <color indexed="81"/>
            <rFont val="Tahoma"/>
            <family val="2"/>
            <charset val="238"/>
          </rPr>
          <t xml:space="preserve">
</t>
        </r>
      </text>
    </comment>
    <comment ref="F955" authorId="0" shapeId="0" xr:uid="{4B98E5E6-1B50-414F-AC6F-92F7DA06BD58}">
      <text>
        <r>
          <rPr>
            <sz val="9"/>
            <color indexed="81"/>
            <rFont val="Tahoma"/>
            <family val="2"/>
            <charset val="238"/>
          </rPr>
          <t xml:space="preserve">
</t>
        </r>
      </text>
    </comment>
    <comment ref="F956" authorId="0" shapeId="0" xr:uid="{C399DCDF-61F4-4E96-8D2E-6D351C642EFC}">
      <text>
        <r>
          <rPr>
            <sz val="9"/>
            <color indexed="81"/>
            <rFont val="Tahoma"/>
            <family val="2"/>
            <charset val="238"/>
          </rPr>
          <t xml:space="preserve">
</t>
        </r>
      </text>
    </comment>
    <comment ref="F958" authorId="0" shapeId="0" xr:uid="{DBF02DC1-8979-4193-A944-03D308D7A831}">
      <text>
        <r>
          <rPr>
            <sz val="9"/>
            <color indexed="81"/>
            <rFont val="Tahoma"/>
            <family val="2"/>
            <charset val="238"/>
          </rPr>
          <t xml:space="preserve">
</t>
        </r>
      </text>
    </comment>
    <comment ref="F959" authorId="0" shapeId="0" xr:uid="{92EFD0B0-ED46-47EB-9B0E-7D9DD09AAFE6}">
      <text>
        <r>
          <rPr>
            <sz val="9"/>
            <color indexed="81"/>
            <rFont val="Tahoma"/>
            <family val="2"/>
            <charset val="238"/>
          </rPr>
          <t xml:space="preserve">
</t>
        </r>
      </text>
    </comment>
    <comment ref="F972" authorId="0" shapeId="0" xr:uid="{C0990F73-A01C-48E2-AC02-9B3F21A862B8}">
      <text>
        <r>
          <rPr>
            <sz val="9"/>
            <color indexed="81"/>
            <rFont val="Tahoma"/>
            <family val="2"/>
            <charset val="238"/>
          </rPr>
          <t xml:space="preserve">
</t>
        </r>
      </text>
    </comment>
    <comment ref="F992" authorId="0" shapeId="0" xr:uid="{1D30402E-C141-4D79-9070-A36D7D0D39B4}">
      <text>
        <r>
          <rPr>
            <sz val="9"/>
            <color indexed="81"/>
            <rFont val="Tahoma"/>
            <family val="2"/>
            <charset val="238"/>
          </rPr>
          <t xml:space="preserve">
</t>
        </r>
      </text>
    </comment>
    <comment ref="F995" authorId="0" shapeId="0" xr:uid="{70AFBED3-4861-4D6B-A8D4-53B82392E100}">
      <text>
        <r>
          <rPr>
            <sz val="9"/>
            <color indexed="81"/>
            <rFont val="Tahoma"/>
            <family val="2"/>
            <charset val="238"/>
          </rPr>
          <t xml:space="preserve">
</t>
        </r>
      </text>
    </comment>
    <comment ref="F996" authorId="0" shapeId="0" xr:uid="{E27F3A1B-DE44-425F-8FB3-CBEEC3EDCAD2}">
      <text>
        <r>
          <rPr>
            <sz val="9"/>
            <color indexed="81"/>
            <rFont val="Tahoma"/>
            <family val="2"/>
            <charset val="238"/>
          </rPr>
          <t xml:space="preserve">
</t>
        </r>
      </text>
    </comment>
    <comment ref="F997" authorId="0" shapeId="0" xr:uid="{364B599B-77B4-4A2C-B929-EDFBDB8021F2}">
      <text>
        <r>
          <rPr>
            <sz val="9"/>
            <color indexed="81"/>
            <rFont val="Tahoma"/>
            <family val="2"/>
            <charset val="238"/>
          </rPr>
          <t xml:space="preserve">
</t>
        </r>
      </text>
    </comment>
    <comment ref="F999" authorId="0" shapeId="0" xr:uid="{CBA0AA7F-4932-4C0B-AE1A-2FC36FC9F578}">
      <text>
        <r>
          <rPr>
            <sz val="9"/>
            <color indexed="81"/>
            <rFont val="Tahoma"/>
            <family val="2"/>
            <charset val="238"/>
          </rPr>
          <t xml:space="preserve">
</t>
        </r>
      </text>
    </comment>
    <comment ref="F1000" authorId="0" shapeId="0" xr:uid="{2F3A358C-5B1A-4031-955F-670A6DBF3D18}">
      <text>
        <r>
          <rPr>
            <sz val="9"/>
            <color indexed="81"/>
            <rFont val="Tahoma"/>
            <family val="2"/>
            <charset val="238"/>
          </rPr>
          <t xml:space="preserve">
</t>
        </r>
      </text>
    </comment>
    <comment ref="F1001" authorId="0" shapeId="0" xr:uid="{96DEB4A7-E989-439A-87A9-AC7CDB1C7231}">
      <text>
        <r>
          <rPr>
            <sz val="9"/>
            <color indexed="81"/>
            <rFont val="Tahoma"/>
            <family val="2"/>
            <charset val="238"/>
          </rPr>
          <t xml:space="preserve">
</t>
        </r>
      </text>
    </comment>
    <comment ref="F1008" authorId="0" shapeId="0" xr:uid="{F22B95FB-EDA6-42D3-BA34-C099343184CC}">
      <text>
        <r>
          <rPr>
            <sz val="9"/>
            <color indexed="81"/>
            <rFont val="Tahoma"/>
            <family val="2"/>
            <charset val="238"/>
          </rPr>
          <t xml:space="preserve">
</t>
        </r>
      </text>
    </comment>
    <comment ref="F1009" authorId="0" shapeId="0" xr:uid="{31A0FC76-3F97-4CCC-9B2C-F0358FB69EDB}">
      <text>
        <r>
          <rPr>
            <sz val="9"/>
            <color indexed="81"/>
            <rFont val="Tahoma"/>
            <family val="2"/>
            <charset val="238"/>
          </rPr>
          <t xml:space="preserve">
</t>
        </r>
      </text>
    </comment>
    <comment ref="F1010" authorId="0" shapeId="0" xr:uid="{9DF0C46F-6E42-4C80-8E80-CEE24CC32C90}">
      <text>
        <r>
          <rPr>
            <sz val="9"/>
            <color indexed="81"/>
            <rFont val="Tahoma"/>
            <family val="2"/>
            <charset val="238"/>
          </rPr>
          <t xml:space="preserve">
</t>
        </r>
      </text>
    </comment>
    <comment ref="F1012" authorId="0" shapeId="0" xr:uid="{739C086A-D666-41E6-9527-5B89DB2FC6C4}">
      <text>
        <r>
          <rPr>
            <sz val="9"/>
            <color indexed="81"/>
            <rFont val="Tahoma"/>
            <family val="2"/>
            <charset val="238"/>
          </rPr>
          <t xml:space="preserve">
</t>
        </r>
      </text>
    </comment>
    <comment ref="F1013" authorId="0" shapeId="0" xr:uid="{8FE1820A-3296-492A-94A9-FDEACF2AEB73}">
      <text>
        <r>
          <rPr>
            <sz val="9"/>
            <color indexed="81"/>
            <rFont val="Tahoma"/>
            <family val="2"/>
            <charset val="238"/>
          </rPr>
          <t xml:space="preserve">
</t>
        </r>
      </text>
    </comment>
    <comment ref="F1014" authorId="0" shapeId="0" xr:uid="{00CEDB6D-AB90-4F69-92B7-FC5B6DCE7E15}">
      <text>
        <r>
          <rPr>
            <sz val="9"/>
            <color indexed="81"/>
            <rFont val="Tahoma"/>
            <family val="2"/>
            <charset val="238"/>
          </rPr>
          <t xml:space="preserve">
</t>
        </r>
      </text>
    </comment>
    <comment ref="F1015" authorId="0" shapeId="0" xr:uid="{05E988C9-0FBC-468C-AB7F-D7E04C79AEB1}">
      <text>
        <r>
          <rPr>
            <sz val="9"/>
            <color indexed="81"/>
            <rFont val="Tahoma"/>
            <family val="2"/>
            <charset val="238"/>
          </rPr>
          <t xml:space="preserve">
</t>
        </r>
      </text>
    </comment>
    <comment ref="F1016" authorId="0" shapeId="0" xr:uid="{48A39EC8-52BB-47FF-A70B-A004AA557EBC}">
      <text>
        <r>
          <rPr>
            <sz val="9"/>
            <color indexed="81"/>
            <rFont val="Tahoma"/>
            <family val="2"/>
            <charset val="238"/>
          </rPr>
          <t xml:space="preserve">
</t>
        </r>
      </text>
    </comment>
    <comment ref="F1017" authorId="0" shapeId="0" xr:uid="{F7315919-CD9B-4A06-A265-29F51CF9C7AE}">
      <text>
        <r>
          <rPr>
            <sz val="9"/>
            <color indexed="81"/>
            <rFont val="Tahoma"/>
            <family val="2"/>
            <charset val="238"/>
          </rPr>
          <t xml:space="preserve">
</t>
        </r>
      </text>
    </comment>
    <comment ref="F1019" authorId="0" shapeId="0" xr:uid="{DD43CD2B-D7B4-4EBF-B77B-055422D7935C}">
      <text>
        <r>
          <rPr>
            <sz val="9"/>
            <color indexed="81"/>
            <rFont val="Tahoma"/>
            <family val="2"/>
            <charset val="238"/>
          </rPr>
          <t xml:space="preserve">
</t>
        </r>
      </text>
    </comment>
    <comment ref="F1025" authorId="0" shapeId="0" xr:uid="{2AAB338E-C99B-4D1E-B3B4-A050E4EB7665}">
      <text>
        <r>
          <rPr>
            <sz val="9"/>
            <color indexed="81"/>
            <rFont val="Tahoma"/>
            <family val="2"/>
            <charset val="238"/>
          </rPr>
          <t xml:space="preserve">
</t>
        </r>
      </text>
    </comment>
    <comment ref="F1044" authorId="0" shapeId="0" xr:uid="{C71EB1C7-81BA-4173-807C-5AEDD8686FB2}">
      <text>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104"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<sst xmlns="http://schemas.openxmlformats.org/spreadsheetml/2006/main" count="42262" uniqueCount="14837">
  <si>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</si>
  <si>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</si>
  <si>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</si>
  <si>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</si>
  <si>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</si>
  <si>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</si>
  <si>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</si>
  <si>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</si>
  <si>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</si>
  <si>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</si>
  <si>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</si>
  <si>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</si>
  <si>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</si>
  <si>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</si>
  <si>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</si>
  <si>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</si>
  <si>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</si>
  <si>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</si>
  <si>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</si>
  <si>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</si>
  <si>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</si>
  <si>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</si>
  <si>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</si>
  <si>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</si>
  <si>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</si>
  <si>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</si>
  <si>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</si>
  <si>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</si>
  <si>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</si>
  <si>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</si>
  <si>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</si>
  <si>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</si>
  <si>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</si>
  <si>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</si>
  <si>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</si>
  <si>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15/18/3</t>
  </si>
  <si>
    <t>DP1T</t>
  </si>
  <si>
    <t>Tazmánia</t>
  </si>
  <si>
    <t>big rotating tube red+crackling-ground effect</t>
  </si>
  <si>
    <t>rotující červeno-práskající efekt - přízemní efekt</t>
  </si>
  <si>
    <t>Rotierender roter knallender Effekt - Bodeneffekt</t>
  </si>
  <si>
    <t>DP1T SK</t>
  </si>
  <si>
    <t xml:space="preserve">Tazmánia </t>
  </si>
  <si>
    <t>DP1Z20</t>
  </si>
  <si>
    <t>4/20/12</t>
  </si>
  <si>
    <t>CZ,SK,PL,LT,DE</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</si>
  <si>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</si>
  <si>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</si>
  <si>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</si>
  <si>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</si>
  <si>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</si>
  <si>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</si>
  <si>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</si>
  <si>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</si>
  <si>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</si>
  <si>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</si>
  <si>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</si>
  <si>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</si>
  <si>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</si>
  <si>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</si>
  <si>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</si>
  <si>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</si>
  <si>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</si>
  <si>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</si>
  <si>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</si>
  <si>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</si>
  <si>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</si>
  <si>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</si>
  <si>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</si>
  <si>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</si>
  <si>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</si>
  <si>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</si>
  <si>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</si>
  <si>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</si>
  <si>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</si>
  <si>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</si>
  <si>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</si>
  <si>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</si>
  <si>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</si>
  <si>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</si>
  <si>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</si>
  <si>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</si>
  <si>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</si>
  <si>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</si>
  <si>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</si>
  <si>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</si>
  <si>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</si>
  <si>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</si>
  <si>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</si>
  <si>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4/48/6</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</si>
  <si>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</si>
  <si>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</si>
  <si>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</si>
  <si>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</si>
  <si>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</si>
  <si>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</si>
  <si>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</si>
  <si>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</si>
  <si>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</si>
  <si>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</si>
  <si>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</si>
  <si>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</si>
  <si>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</si>
  <si>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</si>
  <si>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</si>
  <si>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</si>
  <si>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</si>
  <si>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</si>
  <si>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</si>
  <si>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</si>
  <si>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</si>
  <si>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</si>
  <si>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</si>
  <si>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</si>
  <si>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</si>
  <si>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</si>
  <si>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</si>
  <si>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Rozpustilé fontánky</t>
  </si>
  <si>
    <t>S12S</t>
  </si>
  <si>
    <t>Stroboskop malý</t>
  </si>
  <si>
    <t>24/16/4</t>
  </si>
  <si>
    <t>small white strobo</t>
  </si>
  <si>
    <t>malý bílý stroboskop</t>
  </si>
  <si>
    <t>Kleines weißes Stroboskop</t>
  </si>
  <si>
    <t>S12S(1)</t>
  </si>
  <si>
    <t>SK,PL</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</si>
  <si>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</si>
  <si>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</si>
  <si>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</si>
  <si>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</si>
  <si>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</si>
  <si>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</si>
  <si>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</si>
  <si>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</si>
  <si>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</si>
  <si>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</si>
  <si>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</si>
  <si>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</si>
  <si>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</si>
  <si>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</si>
  <si>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</si>
  <si>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</si>
  <si>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</si>
  <si>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</si>
  <si>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</si>
  <si>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</si>
  <si>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</si>
  <si>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</si>
  <si>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</si>
  <si>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</si>
  <si>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</si>
  <si>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</si>
  <si>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</si>
  <si>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</si>
  <si>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</si>
  <si>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</si>
  <si>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</si>
  <si>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</si>
  <si>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</si>
  <si>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CZ,SK,PL,DE,LT,EN,LV,EST</t>
  </si>
  <si>
    <t>CZ,SK,PL,DE,LT</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</si>
  <si>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</si>
  <si>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</si>
  <si>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</si>
  <si>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</si>
  <si>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</si>
  <si>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CZ,SK,DE</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</si>
  <si>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</si>
  <si>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</si>
  <si>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</si>
  <si>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</si>
  <si>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</si>
  <si>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</si>
  <si>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</si>
  <si>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</si>
  <si>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</si>
  <si>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</si>
  <si>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</si>
  <si>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</si>
  <si>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</si>
  <si>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</si>
  <si>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</si>
  <si>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</si>
  <si>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</si>
  <si>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</si>
  <si>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</si>
  <si>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</si>
  <si>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</si>
  <si>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</si>
  <si>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</si>
  <si>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</si>
  <si>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</si>
  <si>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</si>
  <si>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</si>
  <si>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</si>
  <si>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</si>
  <si>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</si>
  <si>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</si>
  <si>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</si>
  <si>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</si>
  <si>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</si>
  <si>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</si>
  <si>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</si>
  <si>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</si>
  <si>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</si>
  <si>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</si>
  <si>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</si>
  <si>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</si>
  <si>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</si>
  <si>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</si>
  <si>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</si>
  <si>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</si>
  <si>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</si>
  <si>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</si>
  <si>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</si>
  <si>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Prskavka ve tvaru čísla 1</t>
  </si>
  <si>
    <t>6/25</t>
  </si>
  <si>
    <t>CZ,SK,PL</t>
  </si>
  <si>
    <t>golden sparkler in the shape of the number 1</t>
  </si>
  <si>
    <t>zlatá prskavka ve tvaru čísla 1</t>
  </si>
  <si>
    <t>Goldene Wunderkerze in Form der Nummer 1</t>
  </si>
  <si>
    <t>VP12TS</t>
  </si>
  <si>
    <t>Prskavka ve tvaru srdce</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</si>
  <si>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</si>
  <si>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</si>
  <si>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</si>
  <si>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</si>
  <si>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</si>
  <si>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</si>
  <si>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</si>
  <si>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</si>
  <si>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</si>
  <si>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</si>
  <si>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</si>
  <si>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</si>
  <si>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</si>
  <si>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</si>
  <si>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</si>
  <si>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</si>
  <si>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</si>
  <si>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</si>
  <si>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</si>
  <si>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</si>
  <si>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</si>
  <si>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</si>
  <si>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</si>
  <si>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</si>
  <si>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</si>
  <si>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</si>
  <si>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</si>
  <si>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</si>
  <si>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</si>
  <si>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</si>
  <si>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</si>
  <si>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</si>
  <si>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</si>
  <si>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</si>
  <si>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</si>
  <si>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</si>
  <si>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</si>
  <si>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</si>
  <si>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</si>
  <si>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</si>
  <si>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</si>
  <si>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</si>
  <si>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</si>
  <si>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</si>
  <si>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</si>
  <si>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</si>
  <si>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</si>
  <si>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</si>
  <si>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</si>
  <si>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</si>
  <si>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</si>
  <si>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</si>
  <si>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</si>
  <si>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</si>
  <si>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</si>
  <si>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</si>
  <si>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</si>
  <si>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</si>
  <si>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</si>
  <si>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</si>
  <si>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</si>
  <si>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</si>
  <si>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</si>
  <si>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</si>
  <si>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</si>
  <si>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</si>
  <si>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</si>
  <si>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</si>
  <si>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</si>
  <si>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</si>
  <si>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</si>
  <si>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</si>
  <si>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</si>
  <si>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</si>
  <si>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</si>
  <si>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</si>
  <si>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</si>
  <si>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</si>
  <si>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</si>
  <si>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</si>
  <si>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</si>
  <si>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</si>
  <si>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</si>
  <si>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</si>
  <si>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</si>
  <si>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</si>
  <si>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</si>
  <si>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</si>
  <si>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</si>
  <si>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</si>
  <si>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</si>
  <si>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</si>
  <si>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</si>
  <si>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</si>
  <si>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</si>
  <si>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</si>
  <si>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</si>
  <si>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</si>
  <si>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</si>
  <si>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</si>
  <si>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</si>
  <si>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</si>
  <si>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</si>
  <si>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</si>
  <si>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</si>
  <si>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</si>
  <si>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</si>
  <si>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</si>
  <si>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</si>
  <si>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</si>
  <si>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</si>
  <si>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</si>
  <si>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</si>
  <si>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</si>
  <si>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</si>
  <si>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</si>
  <si>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</si>
  <si>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</si>
  <si>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</si>
  <si>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</si>
  <si>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</si>
  <si>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</si>
  <si>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</si>
  <si>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</si>
  <si>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</si>
  <si>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</si>
  <si>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</si>
  <si>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</si>
  <si>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</si>
  <si>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</si>
  <si>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</si>
  <si>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</si>
  <si>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</si>
  <si>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</si>
  <si>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</si>
  <si>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</si>
  <si>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</si>
  <si>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</si>
  <si>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</si>
  <si>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</si>
  <si>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</si>
  <si>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</si>
  <si>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</si>
  <si>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</si>
  <si>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</si>
  <si>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</si>
  <si>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</si>
  <si>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</si>
  <si>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</si>
  <si>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</si>
  <si>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</si>
  <si>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</si>
  <si>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</si>
  <si>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</si>
  <si>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</si>
  <si>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</si>
  <si>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</si>
  <si>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</si>
  <si>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</si>
  <si>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</si>
  <si>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</si>
  <si>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</si>
  <si>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</si>
  <si>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</si>
  <si>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</si>
  <si>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</si>
  <si>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</si>
  <si>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</si>
  <si>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</si>
  <si>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</si>
  <si>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</si>
  <si>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</si>
  <si>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</si>
  <si>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</si>
  <si>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</si>
  <si>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</si>
  <si>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CZ,SK,PL,LT,DE,DK,EN</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</si>
  <si>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</si>
  <si>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</si>
  <si>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</si>
  <si>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</si>
  <si>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</si>
  <si>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</si>
  <si>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</si>
  <si>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</si>
  <si>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</si>
  <si>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</si>
  <si>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</si>
  <si>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</si>
  <si>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</si>
  <si>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</si>
  <si>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</si>
  <si>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</si>
  <si>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</si>
  <si>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</si>
  <si>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</si>
  <si>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</si>
  <si>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</si>
  <si>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</si>
  <si>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</si>
  <si>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</si>
  <si>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</si>
  <si>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</si>
  <si>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</si>
  <si>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</si>
  <si>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</si>
  <si>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</si>
  <si>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</si>
  <si>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</si>
  <si>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</si>
  <si>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</si>
  <si>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</si>
  <si>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</si>
  <si>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</si>
  <si>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</si>
  <si>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</si>
  <si>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</si>
  <si>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</si>
  <si>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</si>
  <si>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</si>
  <si>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</si>
  <si>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</si>
  <si>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</si>
  <si>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</si>
  <si>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</si>
  <si>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</si>
  <si>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</si>
  <si>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</si>
  <si>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</si>
  <si>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</si>
  <si>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</si>
  <si>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</si>
  <si>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</si>
  <si>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</si>
  <si>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</si>
  <si>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</si>
  <si>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</si>
  <si>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</si>
  <si>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</si>
  <si>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</si>
  <si>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</si>
  <si>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</si>
  <si>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</si>
  <si>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</si>
  <si>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</si>
  <si>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</si>
  <si>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</si>
  <si>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</si>
  <si>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</si>
  <si>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</si>
  <si>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</si>
  <si>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</si>
  <si>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</si>
  <si>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</si>
  <si>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</si>
  <si>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</si>
  <si>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</si>
  <si>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</si>
  <si>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</si>
  <si>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</si>
  <si>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</si>
  <si>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</si>
  <si>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</si>
  <si>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</si>
  <si>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</si>
  <si>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</si>
  <si>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</si>
  <si>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</si>
  <si>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</si>
  <si>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</si>
  <si>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</si>
  <si>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</si>
  <si>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</si>
  <si>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</si>
  <si>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</si>
  <si>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</si>
  <si>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</si>
  <si>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</si>
  <si>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</si>
  <si>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</si>
  <si>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</si>
  <si>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</si>
  <si>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</si>
  <si>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</si>
  <si>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</si>
  <si>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</si>
  <si>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</si>
  <si>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</si>
  <si>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</si>
  <si>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</si>
  <si>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</si>
  <si>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</si>
  <si>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</si>
  <si>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</si>
  <si>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</si>
  <si>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</si>
  <si>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</si>
  <si>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</si>
  <si>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</si>
  <si>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</si>
  <si>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</si>
  <si>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</si>
  <si>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</si>
  <si>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</si>
  <si>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</si>
  <si>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</si>
  <si>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</si>
  <si>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</si>
  <si>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</si>
  <si>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</si>
  <si>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</si>
  <si>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</si>
  <si>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</si>
  <si>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</si>
  <si>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</si>
  <si>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</si>
  <si>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</si>
  <si>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</si>
  <si>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</si>
  <si>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</si>
  <si>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</si>
  <si>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</si>
  <si>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</si>
  <si>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</si>
  <si>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</si>
  <si>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</si>
  <si>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</si>
  <si>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</si>
  <si>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</si>
  <si>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</si>
  <si>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</si>
  <si>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</si>
  <si>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</si>
  <si>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</si>
  <si>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</si>
  <si>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</si>
  <si>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</si>
  <si>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</si>
  <si>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</si>
  <si>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</si>
  <si>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</si>
  <si>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Svatební konfety 40cm</t>
  </si>
  <si>
    <t>lenght 40cm,silver hearts + rose leaves</t>
  </si>
  <si>
    <t>40cm délka,stříbrné srdíčka+lístky růže</t>
  </si>
  <si>
    <t>40 cm Länge, silberne Herzen + Rosenblättchen</t>
  </si>
  <si>
    <t>CON40F</t>
  </si>
  <si>
    <t>Firemní konfety 40cm</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</si>
  <si>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</si>
  <si>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</si>
  <si>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</si>
  <si>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</si>
  <si>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</si>
  <si>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</si>
  <si>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</si>
  <si>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</si>
  <si>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</si>
  <si>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</si>
  <si>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</si>
  <si>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</si>
  <si>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</si>
  <si>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</si>
  <si>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</si>
  <si>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</si>
  <si>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</si>
  <si>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</si>
  <si>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</si>
  <si>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</si>
  <si>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</si>
  <si>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</si>
  <si>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</si>
  <si>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</si>
  <si>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</si>
  <si>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</si>
  <si>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</si>
  <si>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</si>
  <si>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</si>
  <si>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</si>
  <si>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</si>
  <si>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</si>
  <si>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</si>
  <si>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</si>
  <si>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</si>
  <si>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</si>
  <si>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</si>
  <si>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</si>
  <si>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</si>
  <si>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</si>
  <si>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</si>
  <si>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</si>
  <si>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</si>
  <si>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</si>
  <si>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</si>
  <si>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</si>
  <si>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</si>
  <si>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</si>
  <si>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</si>
  <si>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</si>
  <si>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</si>
  <si>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</si>
  <si>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</si>
  <si>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</si>
  <si>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</si>
  <si>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</si>
  <si>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</si>
  <si>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</si>
  <si>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</si>
  <si>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</si>
  <si>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</si>
  <si>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</si>
  <si>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CZ,SK,PL,LT</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</si>
  <si>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</si>
  <si>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</si>
  <si>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</si>
  <si>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</si>
  <si>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</si>
  <si>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</si>
  <si>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</si>
  <si>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CZ,SK</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</si>
  <si>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</si>
  <si>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</si>
  <si>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</si>
  <si>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</si>
  <si>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</si>
  <si>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</si>
  <si>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</si>
  <si>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</si>
  <si>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</si>
  <si>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</si>
  <si>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</si>
  <si>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</si>
  <si>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</si>
  <si>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</si>
  <si>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</si>
  <si>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</si>
  <si>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</si>
  <si>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</si>
  <si>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</si>
  <si>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</si>
  <si>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</si>
  <si>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</si>
  <si>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</si>
  <si>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</si>
  <si>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</si>
  <si>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</si>
  <si>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</si>
  <si>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</si>
  <si>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</si>
  <si>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</si>
  <si>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</si>
  <si>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</si>
  <si>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</si>
  <si>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</si>
  <si>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</si>
  <si>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</si>
  <si>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</si>
  <si>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</si>
  <si>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</si>
  <si>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</si>
  <si>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</si>
  <si>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</si>
  <si>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</si>
  <si>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</si>
  <si>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</si>
  <si>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</si>
  <si>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</si>
  <si>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</si>
  <si>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</si>
  <si>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</si>
  <si>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</si>
  <si>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</si>
  <si>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</si>
  <si>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</si>
  <si>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</si>
  <si>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</si>
  <si>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</si>
  <si>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</si>
  <si>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</si>
  <si>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</si>
  <si>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</si>
  <si>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</si>
  <si>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</si>
  <si>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</si>
  <si>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</si>
  <si>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</si>
  <si>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</si>
  <si>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</si>
  <si>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</si>
  <si>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</si>
  <si>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</si>
  <si>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Storm</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</si>
  <si>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</si>
  <si>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</si>
  <si>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</si>
  <si>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</si>
  <si>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</si>
  <si>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</si>
  <si>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</si>
  <si>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</si>
  <si>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</si>
  <si>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</si>
  <si>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</si>
  <si>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</si>
  <si>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</si>
  <si>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</si>
  <si>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</si>
  <si>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</si>
  <si>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</si>
  <si>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</si>
  <si>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</si>
  <si>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</si>
  <si>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</si>
  <si>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</si>
  <si>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</si>
  <si>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</si>
  <si>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</si>
  <si>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</si>
  <si>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CZ,SK,LT</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</si>
  <si>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</si>
  <si>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</si>
  <si>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</si>
  <si>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</si>
  <si>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</si>
  <si>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</si>
  <si>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</si>
  <si>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</si>
  <si>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</si>
  <si>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</si>
  <si>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</si>
  <si>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</si>
  <si>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</si>
  <si>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</si>
  <si>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</si>
  <si>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</si>
  <si>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</si>
  <si>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</si>
  <si>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</si>
  <si>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</si>
  <si>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</si>
  <si>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</si>
  <si>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</si>
  <si>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</si>
  <si>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</si>
  <si>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</si>
  <si>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</si>
  <si>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</si>
  <si>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</si>
  <si>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</si>
  <si>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</si>
  <si>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</si>
  <si>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</si>
  <si>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</si>
  <si>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</si>
  <si>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</si>
  <si>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</si>
  <si>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</si>
  <si>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</si>
  <si>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</si>
  <si>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</si>
  <si>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</si>
  <si>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</si>
  <si>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</si>
  <si>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</si>
  <si>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</si>
  <si>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</si>
  <si>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</si>
  <si>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</si>
  <si>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</si>
  <si>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</si>
  <si>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</si>
  <si>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</si>
  <si>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</si>
  <si>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</si>
  <si>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</si>
  <si>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</si>
  <si>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</si>
  <si>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</si>
  <si>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</si>
  <si>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</si>
  <si>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</si>
  <si>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</si>
  <si>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</si>
  <si>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</si>
  <si>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</si>
  <si>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</si>
  <si>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</si>
  <si>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</si>
  <si>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</si>
  <si>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</si>
  <si>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</si>
  <si>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</si>
  <si>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</si>
  <si>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</si>
  <si>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</si>
  <si>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</si>
  <si>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</si>
  <si>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</si>
  <si>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</si>
  <si>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</si>
  <si>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</si>
  <si>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</si>
  <si>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</si>
  <si>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</si>
  <si>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</si>
  <si>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</si>
  <si>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</si>
  <si>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</si>
  <si>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</si>
  <si>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</si>
  <si>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</si>
  <si>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</si>
  <si>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</si>
  <si>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</si>
  <si>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</si>
  <si>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</si>
  <si>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</si>
  <si>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</si>
  <si>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</si>
  <si>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</si>
  <si>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</si>
  <si>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</si>
  <si>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</si>
  <si>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</si>
  <si>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</si>
  <si>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</si>
  <si>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</si>
  <si>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</si>
  <si>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</si>
  <si>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</si>
  <si>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</si>
  <si>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</si>
  <si>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</si>
  <si>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No Sound rocket</t>
  </si>
  <si>
    <t>6 different colour effects-no noise</t>
  </si>
  <si>
    <t>6 různobarevných efektů-bez hluku</t>
  </si>
  <si>
    <t>6 verschiedenfarbige Effekte-ohne Lärm</t>
  </si>
  <si>
    <t>RS4H14</t>
  </si>
  <si>
    <t>Happy rocket</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</si>
  <si>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</si>
  <si>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</si>
  <si>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</si>
  <si>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</si>
  <si>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</si>
  <si>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</si>
  <si>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</si>
  <si>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</si>
  <si>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</si>
  <si>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</si>
  <si>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</si>
  <si>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</si>
  <si>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</si>
  <si>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</si>
  <si>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</si>
  <si>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</si>
  <si>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</si>
  <si>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</si>
  <si>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</si>
  <si>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</si>
  <si>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</si>
  <si>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</si>
  <si>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</si>
  <si>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</si>
  <si>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</si>
  <si>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</si>
  <si>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</si>
  <si>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</si>
  <si>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</si>
  <si>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</si>
  <si>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</si>
  <si>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</si>
  <si>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</si>
  <si>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</si>
  <si>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</si>
  <si>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</si>
  <si>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</si>
  <si>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</si>
  <si>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</si>
  <si>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</si>
  <si>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10/4</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</si>
  <si>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</si>
  <si>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</si>
  <si>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</si>
  <si>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</si>
  <si>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</si>
  <si>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</si>
  <si>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</si>
  <si>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</si>
  <si>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</si>
  <si>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</si>
  <si>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</si>
  <si>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</si>
  <si>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</si>
  <si>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</si>
  <si>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</si>
  <si>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</si>
  <si>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</si>
  <si>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</si>
  <si>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</si>
  <si>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</si>
  <si>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</si>
  <si>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</si>
  <si>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</si>
  <si>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</si>
  <si>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</si>
  <si>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</si>
  <si>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</si>
  <si>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</si>
  <si>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</si>
  <si>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</si>
  <si>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</si>
  <si>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</si>
  <si>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</si>
  <si>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</si>
  <si>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</si>
  <si>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</si>
  <si>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</si>
  <si>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</si>
  <si>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</si>
  <si>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</si>
  <si>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 xml:space="preserve">Fotbalová pochodeň žlutá+dým </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</si>
  <si>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</si>
  <si>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</si>
  <si>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</si>
  <si>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</si>
  <si>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</si>
  <si>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</si>
  <si>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</si>
  <si>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</si>
  <si>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</si>
  <si>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</si>
  <si>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</si>
  <si>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</si>
  <si>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</si>
  <si>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</si>
  <si>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</si>
  <si>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</si>
  <si>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</si>
  <si>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</si>
  <si>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</si>
  <si>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</si>
  <si>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</si>
  <si>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</si>
  <si>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</si>
  <si>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</si>
  <si>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</si>
  <si>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</si>
  <si>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</si>
  <si>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</si>
  <si>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</si>
  <si>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</si>
  <si>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</si>
  <si>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</si>
  <si>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</si>
  <si>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</si>
  <si>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</si>
  <si>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</si>
  <si>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</si>
  <si>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</si>
  <si>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</si>
  <si>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</si>
  <si>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</si>
  <si>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</si>
  <si>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</si>
  <si>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</si>
  <si>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</si>
  <si>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</si>
  <si>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</si>
  <si>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</si>
  <si>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</si>
  <si>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</si>
  <si>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</si>
  <si>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</si>
  <si>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</si>
  <si>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</si>
  <si>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</si>
  <si>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</si>
  <si>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</si>
  <si>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</si>
  <si>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</si>
  <si>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</si>
  <si>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</si>
  <si>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</si>
  <si>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</si>
  <si>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</si>
  <si>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</si>
  <si>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</si>
  <si>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</si>
  <si>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</si>
  <si>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</si>
  <si>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</si>
  <si>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</si>
  <si>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</si>
  <si>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</si>
  <si>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</si>
  <si>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</si>
  <si>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</si>
  <si>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</si>
  <si>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</si>
  <si>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</si>
  <si>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</si>
  <si>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</si>
  <si>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</si>
  <si>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</si>
  <si>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</si>
  <si>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</si>
  <si>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</si>
  <si>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</si>
  <si>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</si>
  <si>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</si>
  <si>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</si>
  <si>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</si>
  <si>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</si>
  <si>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</si>
  <si>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</si>
  <si>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</si>
  <si>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</si>
  <si>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</si>
  <si>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</si>
  <si>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</si>
  <si>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</si>
  <si>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</si>
  <si>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</si>
  <si>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</si>
  <si>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</si>
  <si>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</si>
  <si>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</si>
  <si>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</si>
  <si>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</si>
  <si>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</si>
  <si>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</si>
  <si>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</si>
  <si>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</si>
  <si>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</si>
  <si>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</si>
  <si>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</si>
  <si>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</si>
  <si>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</si>
  <si>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</si>
  <si>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</si>
  <si>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</si>
  <si>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</si>
  <si>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</si>
  <si>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</si>
  <si>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</si>
  <si>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</si>
  <si>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</si>
  <si>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</si>
  <si>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</si>
  <si>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</si>
  <si>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</si>
  <si>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</si>
  <si>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</si>
  <si>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</si>
  <si>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</si>
  <si>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</si>
  <si>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</si>
  <si>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</si>
  <si>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</si>
  <si>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</si>
  <si>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</si>
  <si>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</si>
  <si>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</si>
  <si>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</si>
  <si>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</si>
  <si>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</si>
  <si>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</si>
  <si>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</si>
  <si>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</si>
  <si>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</si>
  <si>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</si>
  <si>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</si>
  <si>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</si>
  <si>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</si>
  <si>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Lumpík</t>
  </si>
  <si>
    <t>3 different color effects</t>
  </si>
  <si>
    <t>3 různobarevné efekty</t>
  </si>
  <si>
    <t>3 verschiedenfarbige Effekte</t>
  </si>
  <si>
    <t>C920M</t>
  </si>
  <si>
    <t>Major</t>
  </si>
  <si>
    <t>C1620DU</t>
  </si>
  <si>
    <t>CZ,PL,LT,SK,DE</t>
  </si>
  <si>
    <t>stříbrná mina s červenou stopou a titanovou detonací</t>
  </si>
  <si>
    <t>Silberne Mine mit der roten Spur und mit der titanischen Detonation</t>
  </si>
  <si>
    <t>C1620BPF</t>
  </si>
  <si>
    <t>C1620H</t>
  </si>
  <si>
    <t>Hnusák</t>
  </si>
  <si>
    <t>C1620N</t>
  </si>
  <si>
    <t>Nuclear attack</t>
  </si>
  <si>
    <t>CZ,SK,PL,DE,LT,EN</t>
  </si>
  <si>
    <t>C1620M</t>
  </si>
  <si>
    <t>Mosquito</t>
  </si>
  <si>
    <t>C1620F</t>
  </si>
  <si>
    <t>Frankinson Harley</t>
  </si>
  <si>
    <t>C1620DUI14(1)</t>
  </si>
  <si>
    <t>C1620H14</t>
  </si>
  <si>
    <t>C1620N14</t>
  </si>
  <si>
    <t>C1620M14</t>
  </si>
  <si>
    <t>C1620F14</t>
  </si>
  <si>
    <t>C2520BP</t>
  </si>
  <si>
    <t>CZ,SK,PL,DE,LT,EN,EST</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</si>
  <si>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</si>
  <si>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</si>
  <si>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</si>
  <si>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</si>
  <si>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</si>
  <si>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</si>
  <si>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</si>
  <si>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</si>
  <si>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</si>
  <si>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</si>
  <si>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</si>
  <si>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</si>
  <si>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</si>
  <si>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</si>
  <si>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</si>
  <si>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</si>
  <si>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</si>
  <si>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</si>
  <si>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</si>
  <si>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</si>
  <si>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</si>
  <si>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</si>
  <si>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</si>
  <si>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</si>
  <si>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</si>
  <si>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</si>
  <si>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</si>
  <si>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</si>
  <si>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</si>
  <si>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</si>
  <si>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</si>
  <si>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</si>
  <si>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</si>
  <si>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</si>
  <si>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</si>
  <si>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</si>
  <si>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</si>
  <si>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New identity series 49</t>
  </si>
  <si>
    <t>C4920SIG</t>
  </si>
  <si>
    <t>C4920DR</t>
  </si>
  <si>
    <t>Dragon army</t>
  </si>
  <si>
    <t>C4920K</t>
  </si>
  <si>
    <t>King Julien</t>
  </si>
  <si>
    <t>CZ,SK,PL,DE,LT,EN,NL,DK</t>
  </si>
  <si>
    <t>C4920S</t>
  </si>
  <si>
    <t>Šašek</t>
  </si>
  <si>
    <t>C4920SIG14</t>
  </si>
  <si>
    <t>C4920DR14</t>
  </si>
  <si>
    <t>C4920K14</t>
  </si>
  <si>
    <t>C4920S14</t>
  </si>
  <si>
    <t>CF4920G</t>
  </si>
  <si>
    <t>Goldman</t>
  </si>
  <si>
    <t>CF4920J</t>
  </si>
  <si>
    <t>Jaga</t>
  </si>
  <si>
    <t>CF4920A</t>
  </si>
  <si>
    <t>Air show</t>
  </si>
  <si>
    <t>CF4920G14</t>
  </si>
  <si>
    <t>CF4920VIP</t>
  </si>
  <si>
    <t>Vip Nights</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</si>
  <si>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</si>
  <si>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</si>
  <si>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</si>
  <si>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</si>
  <si>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</si>
  <si>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</si>
  <si>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</si>
  <si>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</si>
  <si>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</si>
  <si>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</si>
  <si>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</si>
  <si>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</si>
  <si>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</si>
  <si>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</si>
  <si>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</si>
  <si>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</si>
  <si>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</si>
  <si>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</si>
  <si>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</si>
  <si>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</si>
  <si>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</si>
  <si>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</si>
  <si>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</si>
  <si>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</si>
  <si>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</si>
  <si>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</si>
  <si>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</si>
  <si>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</si>
  <si>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</si>
  <si>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</si>
  <si>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</si>
  <si>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</si>
  <si>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</si>
  <si>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</si>
  <si>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</si>
  <si>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</si>
  <si>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</si>
  <si>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Gnome</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</si>
  <si>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</si>
  <si>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</si>
  <si>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</si>
  <si>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</si>
  <si>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</si>
  <si>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</si>
  <si>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</si>
  <si>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</si>
  <si>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</si>
  <si>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</si>
  <si>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</si>
  <si>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</si>
  <si>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</si>
  <si>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</si>
  <si>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</si>
  <si>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</si>
  <si>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</si>
  <si>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</si>
  <si>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</si>
  <si>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</si>
  <si>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</si>
  <si>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</si>
  <si>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</si>
  <si>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</si>
  <si>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</si>
  <si>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</si>
  <si>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</si>
  <si>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</si>
  <si>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</si>
  <si>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</si>
  <si>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CZ,SK,PL,EN,IT,LT,DE</t>
  </si>
  <si>
    <t>C25620F/C14</t>
  </si>
  <si>
    <t>Fireworks show 256</t>
  </si>
  <si>
    <t>32 different color effects</t>
  </si>
  <si>
    <t>32 různobarevných efektů</t>
  </si>
  <si>
    <t>32 verschiedenfarbige Effekte</t>
  </si>
  <si>
    <t>C26420N/C14</t>
  </si>
  <si>
    <t>Neverending Sky</t>
  </si>
  <si>
    <t>C6420DU/C</t>
  </si>
  <si>
    <t>C12820F/C</t>
  </si>
  <si>
    <t>C12820NID/C</t>
  </si>
  <si>
    <t>New identity series 128</t>
  </si>
  <si>
    <t>C13220B/C</t>
  </si>
  <si>
    <t>CZ,SK,PL,EN,IT,NL,LT,DE,EST</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</si>
  <si>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</si>
  <si>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</si>
  <si>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</si>
  <si>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</si>
  <si>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</si>
  <si>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</si>
  <si>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</si>
  <si>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</si>
  <si>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</si>
  <si>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</si>
  <si>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</si>
  <si>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</si>
  <si>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</si>
  <si>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</si>
  <si>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</si>
  <si>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</si>
  <si>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</si>
  <si>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Signature range 180ran</t>
  </si>
  <si>
    <t>CZ,SK,PL,EN,LT,NL,IT,DE</t>
  </si>
  <si>
    <t>C26020F/C</t>
  </si>
  <si>
    <t>CZ,SK,PL,LT,DE,EN</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</si>
  <si>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</si>
  <si>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</si>
  <si>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</si>
  <si>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</si>
  <si>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</si>
  <si>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</si>
  <si>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</si>
  <si>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</si>
  <si>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</si>
  <si>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</si>
  <si>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</si>
  <si>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</si>
  <si>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</si>
  <si>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</si>
  <si>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</si>
  <si>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Houbičky</t>
  </si>
  <si>
    <t>C1625B14</t>
  </si>
  <si>
    <t>C1625D14</t>
  </si>
  <si>
    <t>C1625F14</t>
  </si>
  <si>
    <t>C2525SIG</t>
  </si>
  <si>
    <t>C2525DU</t>
  </si>
  <si>
    <t>Dumbum micro</t>
  </si>
  <si>
    <t>C2525C</t>
  </si>
  <si>
    <t>Casper</t>
  </si>
  <si>
    <t>C2525L</t>
  </si>
  <si>
    <t>Loď Duchů</t>
  </si>
  <si>
    <t>CF2525D</t>
  </si>
  <si>
    <t>Dracco</t>
  </si>
  <si>
    <t>10/1</t>
  </si>
  <si>
    <t>CF2525O</t>
  </si>
  <si>
    <t>Ostrov pokladů</t>
  </si>
  <si>
    <t>CZ,SK,PL,LT,DE,EN,EST,IT</t>
  </si>
  <si>
    <t>CF2525S</t>
  </si>
  <si>
    <t>Skřeti</t>
  </si>
  <si>
    <t>C4825MP</t>
  </si>
  <si>
    <t>Pearates</t>
  </si>
  <si>
    <t>CZ,SK,PL,DE,LT,EN,DK,EST,HU,FR,IT,NL</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</si>
  <si>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</si>
  <si>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</si>
  <si>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</si>
  <si>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</si>
  <si>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</si>
  <si>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</si>
  <si>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</si>
  <si>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</si>
  <si>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</si>
  <si>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</si>
  <si>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</si>
  <si>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</si>
  <si>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</si>
  <si>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</si>
  <si>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</si>
  <si>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</si>
  <si>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</si>
  <si>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</si>
  <si>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</si>
  <si>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CZ,SK,PL,EN,DE,LT,LV,HU,EST,HR,FR,IT</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</si>
  <si>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</si>
  <si>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</si>
  <si>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</si>
  <si>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</si>
  <si>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</si>
  <si>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</si>
  <si>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Motorhead warior</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</si>
  <si>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</si>
  <si>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</si>
  <si>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</si>
  <si>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</si>
  <si>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</si>
  <si>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</si>
  <si>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</si>
  <si>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</si>
  <si>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</si>
  <si>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</si>
  <si>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</si>
  <si>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</si>
  <si>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</si>
  <si>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Blue planet eruption</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</si>
  <si>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</si>
  <si>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</si>
  <si>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</si>
  <si>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</si>
  <si>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</si>
  <si>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</si>
  <si>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</si>
  <si>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</si>
  <si>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</si>
  <si>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</si>
  <si>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Fireworks show 96</t>
  </si>
  <si>
    <t>C9825C/C14</t>
  </si>
  <si>
    <t>Crazy Night</t>
  </si>
  <si>
    <t>CZ,SK,PL,EN,LT,DE,NL</t>
  </si>
  <si>
    <t>14 different color effects</t>
  </si>
  <si>
    <t>14 různobarevných efektů</t>
  </si>
  <si>
    <t>14 verschiedenfarbige Effekte</t>
  </si>
  <si>
    <t>C19225MF/C14</t>
  </si>
  <si>
    <t>Fireworks show 192</t>
  </si>
  <si>
    <t>C19625/C14</t>
  </si>
  <si>
    <t>Fireworks show 196</t>
  </si>
  <si>
    <t>28 different color effects</t>
  </si>
  <si>
    <t>28 různobarevných efektů</t>
  </si>
  <si>
    <t>28 verschiedenfarbige Effekte</t>
  </si>
  <si>
    <t>C9825C/C</t>
  </si>
  <si>
    <t>CZ,SK,PL,EN,EST,DE,LT</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</si>
  <si>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</si>
  <si>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</si>
  <si>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</si>
  <si>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</si>
  <si>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</si>
  <si>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</si>
  <si>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</si>
  <si>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</si>
  <si>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</si>
  <si>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</si>
  <si>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</si>
  <si>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CZ,SK,PL,EN,LT,DE,EST</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</si>
  <si>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</si>
  <si>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</si>
  <si>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</si>
  <si>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</si>
  <si>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</si>
  <si>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</si>
  <si>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</si>
  <si>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</si>
  <si>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</si>
  <si>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</si>
  <si>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</si>
  <si>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</si>
  <si>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</si>
  <si>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</si>
  <si>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</si>
  <si>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</si>
  <si>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</si>
  <si>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</si>
  <si>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</si>
  <si>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</si>
  <si>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</si>
  <si>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</si>
  <si>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Meteor</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</si>
  <si>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</si>
  <si>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</si>
  <si>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</si>
  <si>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</si>
  <si>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</si>
  <si>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</si>
  <si>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</si>
  <si>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</si>
  <si>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</si>
  <si>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</si>
  <si>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</si>
  <si>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</si>
  <si>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</si>
  <si>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</si>
  <si>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</si>
  <si>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</si>
  <si>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</si>
  <si>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Maska</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</si>
  <si>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</si>
  <si>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</si>
  <si>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</si>
  <si>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</si>
  <si>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</si>
  <si>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</si>
  <si>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</si>
  <si>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</si>
  <si>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</si>
  <si>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</si>
  <si>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</si>
  <si>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</si>
  <si>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</si>
  <si>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</si>
  <si>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</si>
  <si>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</si>
  <si>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Myšák</t>
  </si>
  <si>
    <t>Skokan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</si>
  <si>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</si>
  <si>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</si>
  <si>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</si>
  <si>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</si>
  <si>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</si>
  <si>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</si>
  <si>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</si>
  <si>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</si>
  <si>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</si>
  <si>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</si>
  <si>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</si>
  <si>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</si>
  <si>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</si>
  <si>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</si>
  <si>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</si>
  <si>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</si>
  <si>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</si>
  <si>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</si>
  <si>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</si>
  <si>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</si>
  <si>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</si>
  <si>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</si>
  <si>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</si>
  <si>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</si>
  <si>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</si>
  <si>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</si>
  <si>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</si>
  <si>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</si>
  <si>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</si>
  <si>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</si>
  <si>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</si>
  <si>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Pleskoň</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</si>
  <si>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</si>
  <si>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</si>
  <si>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</si>
  <si>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</si>
  <si>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</si>
  <si>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</si>
  <si>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</si>
  <si>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</si>
  <si>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</si>
  <si>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</si>
  <si>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</si>
  <si>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</si>
  <si>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</si>
  <si>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</si>
  <si>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</si>
  <si>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</si>
  <si>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</si>
  <si>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</si>
  <si>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</si>
  <si>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</si>
  <si>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</si>
  <si>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</si>
  <si>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</si>
  <si>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</si>
  <si>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</si>
  <si>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</si>
  <si>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</si>
  <si>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</si>
  <si>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</si>
  <si>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</si>
  <si>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</si>
  <si>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</si>
  <si>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</si>
  <si>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</si>
  <si>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</si>
  <si>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</si>
  <si>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</si>
  <si>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</si>
  <si>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</si>
  <si>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</si>
  <si>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</si>
  <si>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</si>
  <si>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</si>
  <si>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</si>
  <si>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</si>
  <si>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</si>
  <si>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</si>
  <si>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</si>
  <si>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</si>
  <si>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CZ,SK,PL,LT,DE,EN,HU,EST,LV,NL,DK,FR,HR,IT,SLO,SRB</t>
  </si>
  <si>
    <t>C503RO</t>
  </si>
  <si>
    <t>Royal</t>
  </si>
  <si>
    <t>C503WI</t>
  </si>
  <si>
    <t xml:space="preserve">Winner </t>
  </si>
  <si>
    <t>C503BI</t>
  </si>
  <si>
    <t xml:space="preserve">Big one </t>
  </si>
  <si>
    <t>C503ME</t>
  </si>
  <si>
    <t>Meteor new age</t>
  </si>
  <si>
    <t>C643BPF</t>
  </si>
  <si>
    <t>C643BI</t>
  </si>
  <si>
    <t>CZ,SK,PL,LT,NL,DK,EN,DE,EST,HU,HR,FR,IT,LV,SLO,SRB</t>
  </si>
  <si>
    <t>Ho Chi Minh</t>
  </si>
  <si>
    <t>Meteor 64ran</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</si>
  <si>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</si>
  <si>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</si>
  <si>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</si>
  <si>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</si>
  <si>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</si>
  <si>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</si>
  <si>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</si>
  <si>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</si>
  <si>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</si>
  <si>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</si>
  <si>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</si>
  <si>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</si>
  <si>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New fire Power</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</si>
  <si>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</si>
  <si>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</si>
  <si>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</si>
  <si>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</si>
  <si>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</si>
  <si>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</si>
  <si>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</si>
  <si>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</si>
  <si>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</si>
  <si>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</si>
  <si>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</si>
  <si>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</si>
  <si>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</si>
  <si>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</si>
  <si>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</si>
  <si>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</si>
  <si>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Signature range 100ran</t>
  </si>
  <si>
    <t>Big sellers</t>
  </si>
  <si>
    <t>15 different color effects</t>
  </si>
  <si>
    <t>15 různobarevných efektů</t>
  </si>
  <si>
    <t>15 verschiedenfarbige Effekte</t>
  </si>
  <si>
    <t xml:space="preserve">Universe </t>
  </si>
  <si>
    <t>Fireworks show 200</t>
  </si>
  <si>
    <t>C1003BP/C</t>
  </si>
  <si>
    <t>CZ,SK,PL,DE,LT,EN,EST,IT,HR,FR,DK,HU,NL</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</si>
  <si>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</si>
  <si>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</si>
  <si>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</si>
  <si>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</si>
  <si>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</si>
  <si>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</si>
  <si>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</si>
  <si>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</si>
  <si>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</si>
  <si>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</si>
  <si>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</si>
  <si>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XXXL 150ran</t>
  </si>
  <si>
    <t>C1503BPF/C</t>
  </si>
  <si>
    <t>C2003BP/C</t>
  </si>
  <si>
    <t>C2003U/C</t>
  </si>
  <si>
    <t>C2003F/C</t>
  </si>
  <si>
    <t>C2003SIG/C</t>
  </si>
  <si>
    <t>C2563XMF/C</t>
  </si>
  <si>
    <t>5 různobarevných efektů střídajících se po každé ráně</t>
  </si>
  <si>
    <t>C165JA</t>
  </si>
  <si>
    <t>Jánošík</t>
  </si>
  <si>
    <t>C165P</t>
  </si>
  <si>
    <t>Pandora</t>
  </si>
  <si>
    <t>C255BP</t>
  </si>
  <si>
    <t>Mao ce bum</t>
  </si>
  <si>
    <t>Diktátor</t>
  </si>
  <si>
    <t>C365DU</t>
  </si>
  <si>
    <t>Dumbum big</t>
  </si>
  <si>
    <t>stříbrná stopa s titanovou explozí</t>
  </si>
  <si>
    <t>Silberne Spur mit der titanischen Explosion</t>
  </si>
  <si>
    <t>Baracuda</t>
  </si>
  <si>
    <t>CZ,SK,PL,LT,DE,LV,EN,EST,HU,HR,SRB</t>
  </si>
  <si>
    <t>C505X/C</t>
  </si>
  <si>
    <t>XXXL 50ran</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</si>
  <si>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</si>
  <si>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</si>
  <si>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</si>
  <si>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</si>
  <si>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</si>
  <si>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</si>
  <si>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</si>
  <si>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</si>
  <si>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</si>
  <si>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</si>
  <si>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</si>
  <si>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</si>
  <si>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</si>
  <si>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</si>
  <si>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</si>
  <si>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</si>
  <si>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</si>
  <si>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</si>
  <si>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</si>
  <si>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</si>
  <si>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</si>
  <si>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</si>
  <si>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</si>
  <si>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</si>
  <si>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</si>
  <si>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</si>
  <si>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</si>
  <si>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</si>
  <si>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</si>
  <si>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</si>
  <si>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</si>
  <si>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</si>
  <si>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</si>
  <si>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</si>
  <si>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</si>
  <si>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</si>
  <si>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</si>
  <si>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</si>
  <si>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Angry beats</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</si>
  <si>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</si>
  <si>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</si>
  <si>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</si>
  <si>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</si>
  <si>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</si>
  <si>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</si>
  <si>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</si>
  <si>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</si>
  <si>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</si>
  <si>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</si>
  <si>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</si>
  <si>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</si>
  <si>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</si>
  <si>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</si>
  <si>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</si>
  <si>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</si>
  <si>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</si>
  <si>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</si>
  <si>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</si>
  <si>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</si>
  <si>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</si>
  <si>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</si>
  <si>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</si>
  <si>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</si>
  <si>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</si>
  <si>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</si>
  <si>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</si>
  <si>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</si>
  <si>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</si>
  <si>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</si>
  <si>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</si>
  <si>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</si>
  <si>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</si>
  <si>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</si>
  <si>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</si>
  <si>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</si>
  <si>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Fireworks show 150</t>
  </si>
  <si>
    <t>CZ,SK,DE,PL,LT,EN,FR,IT,NL</t>
  </si>
  <si>
    <t>21 different color effects</t>
  </si>
  <si>
    <t>21 různobarevných efektů</t>
  </si>
  <si>
    <t>21 verschiedenfarbige Effekte</t>
  </si>
  <si>
    <t>C200MF/C14</t>
  </si>
  <si>
    <t>C150MF/C</t>
  </si>
  <si>
    <t>C200MF/C</t>
  </si>
  <si>
    <t>Fireworks show 212</t>
  </si>
  <si>
    <t>Fireworks show 223</t>
  </si>
  <si>
    <t>C212MF/C</t>
  </si>
  <si>
    <t>C223MF/C</t>
  </si>
  <si>
    <t>C239MSIG/C</t>
  </si>
  <si>
    <t>C446MM/C</t>
  </si>
  <si>
    <t>Mighty thunder</t>
  </si>
  <si>
    <t>C84MC/C</t>
  </si>
  <si>
    <t>C111MF/C</t>
  </si>
  <si>
    <t>Fireworks show 111</t>
  </si>
  <si>
    <t>C168MF/C</t>
  </si>
  <si>
    <t>C175MF/C</t>
  </si>
  <si>
    <t>Fireworks show 175</t>
  </si>
  <si>
    <t>C175MSIG/C</t>
  </si>
  <si>
    <t>Signature range 175ran</t>
  </si>
  <si>
    <t>C222MF/C</t>
  </si>
  <si>
    <t>Fireworks show 222</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</si>
  <si>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</si>
  <si>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</si>
  <si>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</si>
  <si>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</si>
  <si>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</si>
  <si>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</si>
  <si>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</si>
  <si>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</si>
  <si>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</si>
  <si>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</si>
  <si>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</si>
  <si>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</si>
  <si>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</si>
  <si>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</si>
  <si>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</si>
  <si>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</si>
  <si>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</si>
  <si>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</si>
  <si>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</si>
  <si>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</si>
  <si>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</si>
  <si>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</si>
  <si>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</si>
  <si>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</si>
  <si>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</si>
  <si>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</si>
  <si>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</si>
  <si>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</si>
  <si>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</si>
  <si>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</si>
  <si>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</si>
  <si>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</si>
  <si>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</si>
  <si>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crackling tail</t>
  </si>
  <si>
    <t>5/20</t>
  </si>
  <si>
    <t>SS30G</t>
  </si>
  <si>
    <t>SS30CH</t>
  </si>
  <si>
    <t>SS50F</t>
  </si>
  <si>
    <t>Sea blue+red glitter mine</t>
  </si>
  <si>
    <t>sea blue+red glitter mine</t>
  </si>
  <si>
    <t>CX1352X1</t>
  </si>
  <si>
    <t>Storm new age-X type</t>
  </si>
  <si>
    <t>blue to red crossette+red to purple crossete</t>
  </si>
  <si>
    <t>CX1352X2</t>
  </si>
  <si>
    <t>CZ,SK,EN,LT,PL,NL,DE,EST,HU,DK,FR,HR,IT,LV,SLO,SRB</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</si>
  <si>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</si>
  <si>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</si>
  <si>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</si>
  <si>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</si>
  <si>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</si>
  <si>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</si>
  <si>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</si>
  <si>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</si>
  <si>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</si>
  <si>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</si>
  <si>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</si>
  <si>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</si>
  <si>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</si>
  <si>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</si>
  <si>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</si>
  <si>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</si>
  <si>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</si>
  <si>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</si>
  <si>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</si>
  <si>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</si>
  <si>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</si>
  <si>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</si>
  <si>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</si>
  <si>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</si>
  <si>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</si>
  <si>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</si>
  <si>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</si>
  <si>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</si>
  <si>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</si>
  <si>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</si>
  <si>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</si>
  <si>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</si>
  <si>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</si>
  <si>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</si>
  <si>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</si>
  <si>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</si>
  <si>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</si>
  <si>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</si>
  <si>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Meteor 50ran-new age</t>
  </si>
  <si>
    <t>CZ,SK,PL,DE,LT,LV,EST,EN,HR</t>
  </si>
  <si>
    <t>CF503X2</t>
  </si>
  <si>
    <t>white glitter/orange wave+green glitter- salvo 10sh together</t>
  </si>
  <si>
    <t>CF503X3</t>
  </si>
  <si>
    <t>CZ,SK,DE,EN,LT,PL,DK,NL,HR,LV,HU,FR,EST,IT,SLO</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</si>
  <si>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</si>
  <si>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</si>
  <si>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</si>
  <si>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</si>
  <si>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</si>
  <si>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</si>
  <si>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</si>
  <si>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</si>
  <si>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</si>
  <si>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</si>
  <si>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</si>
  <si>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</si>
  <si>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</si>
  <si>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</si>
  <si>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</si>
  <si>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</si>
  <si>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</si>
  <si>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</si>
  <si>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</si>
  <si>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</si>
  <si>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</si>
  <si>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</si>
  <si>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</si>
  <si>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</si>
  <si>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</si>
  <si>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</si>
  <si>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</si>
  <si>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</si>
  <si>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</si>
  <si>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</si>
  <si>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</si>
  <si>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</si>
  <si>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</si>
  <si>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</si>
  <si>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</si>
  <si>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</si>
  <si>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</si>
  <si>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</si>
  <si>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</si>
  <si>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</si>
  <si>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</si>
  <si>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</si>
  <si>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</si>
  <si>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</si>
  <si>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</si>
  <si>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</si>
  <si>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</si>
  <si>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</si>
  <si>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</si>
  <si>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</si>
  <si>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</si>
  <si>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</si>
  <si>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</si>
  <si>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</si>
  <si>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</si>
  <si>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</si>
  <si>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</si>
  <si>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</si>
  <si>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</si>
  <si>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</si>
  <si>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</si>
  <si>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</si>
  <si>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</si>
  <si>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</si>
  <si>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</si>
  <si>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</si>
  <si>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</si>
  <si>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</si>
  <si>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</si>
  <si>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</si>
  <si>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</si>
  <si>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</si>
  <si>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</si>
  <si>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</si>
  <si>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</si>
  <si>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</si>
  <si>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</si>
  <si>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</si>
  <si>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</si>
  <si>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</si>
  <si>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</si>
  <si>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</si>
  <si>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</si>
  <si>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</si>
  <si>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</si>
  <si>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</si>
  <si>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</si>
  <si>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</si>
  <si>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</si>
  <si>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</si>
  <si>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</si>
  <si>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</si>
  <si>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</si>
  <si>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</si>
  <si>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</si>
  <si>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</si>
  <si>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</si>
  <si>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</si>
  <si>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</si>
  <si>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</si>
  <si>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</si>
  <si>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</si>
  <si>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</si>
  <si>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</si>
  <si>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</si>
  <si>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</si>
  <si>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</si>
  <si>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</si>
  <si>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</si>
  <si>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</si>
  <si>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</si>
  <si>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</si>
  <si>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</si>
  <si>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</si>
  <si>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</si>
  <si>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</si>
  <si>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</si>
  <si>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</si>
  <si>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</si>
  <si>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</si>
  <si>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</si>
  <si>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</si>
  <si>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</si>
  <si>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</si>
  <si>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</si>
  <si>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</si>
  <si>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</si>
  <si>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</si>
  <si>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</si>
  <si>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</si>
  <si>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</si>
  <si>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</si>
  <si>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</si>
  <si>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</si>
  <si>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</si>
  <si>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</si>
  <si>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</si>
  <si>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</si>
  <si>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</si>
  <si>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</si>
  <si>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</si>
  <si>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</si>
  <si>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</si>
  <si>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</si>
  <si>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</si>
  <si>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</si>
  <si>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</si>
  <si>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</si>
  <si>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</si>
  <si>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</si>
  <si>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</si>
  <si>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</si>
  <si>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</si>
  <si>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</si>
  <si>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</si>
  <si>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</si>
  <si>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</si>
  <si>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</si>
  <si>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19sh one line mortar</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</si>
  <si>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</si>
  <si>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</si>
  <si>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</si>
  <si>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</si>
  <si>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</si>
  <si>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</si>
  <si>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</si>
  <si>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</si>
  <si>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</si>
  <si>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</si>
  <si>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</si>
  <si>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</si>
  <si>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</si>
  <si>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</si>
  <si>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</si>
  <si>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</si>
  <si>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</si>
  <si>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</si>
  <si>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</si>
  <si>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</si>
  <si>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</si>
  <si>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</si>
  <si>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</si>
  <si>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</si>
  <si>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</si>
  <si>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</si>
  <si>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</si>
  <si>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</si>
  <si>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</si>
  <si>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</si>
  <si>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</si>
  <si>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</si>
  <si>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</si>
  <si>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</si>
  <si>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</si>
  <si>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</si>
  <si>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</si>
  <si>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</si>
  <si>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</si>
  <si>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</si>
  <si>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</si>
  <si>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</si>
  <si>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</si>
  <si>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</si>
  <si>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</si>
  <si>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</si>
  <si>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</si>
  <si>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</si>
  <si>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</si>
  <si>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</si>
  <si>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</si>
  <si>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</si>
  <si>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</si>
  <si>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</si>
  <si>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</si>
  <si>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</si>
  <si>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</si>
  <si>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</si>
  <si>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</si>
  <si>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</si>
  <si>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</si>
  <si>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</si>
  <si>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</si>
  <si>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</si>
  <si>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</si>
  <si>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</si>
  <si>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</si>
  <si>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</si>
  <si>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</si>
  <si>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</si>
  <si>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</si>
  <si>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</si>
  <si>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</si>
  <si>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</si>
  <si>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</si>
  <si>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</si>
  <si>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</si>
  <si>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</si>
  <si>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</si>
  <si>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</si>
  <si>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</si>
  <si>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</si>
  <si>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</si>
  <si>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</si>
  <si>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</si>
  <si>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</si>
  <si>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</si>
  <si>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</si>
  <si>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</si>
  <si>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</si>
  <si>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</si>
  <si>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</si>
  <si>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</si>
  <si>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</si>
  <si>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</si>
  <si>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</si>
  <si>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</si>
  <si>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</si>
  <si>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</si>
  <si>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</si>
  <si>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</si>
  <si>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</si>
  <si>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</si>
  <si>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</si>
  <si>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</si>
  <si>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</si>
  <si>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</si>
  <si>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</si>
  <si>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</si>
  <si>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</si>
  <si>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</si>
  <si>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</si>
  <si>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</si>
  <si>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</si>
  <si>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</si>
  <si>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</si>
  <si>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</si>
  <si>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</si>
  <si>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</si>
  <si>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</si>
  <si>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</si>
  <si>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</si>
  <si>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</si>
  <si>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</si>
  <si>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</si>
  <si>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</si>
  <si>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</si>
  <si>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</si>
  <si>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</si>
  <si>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</si>
  <si>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</si>
  <si>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</si>
  <si>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</si>
  <si>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</si>
  <si>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</si>
  <si>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</si>
  <si>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</si>
  <si>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</si>
  <si>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</si>
  <si>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</si>
  <si>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</si>
  <si>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</si>
  <si>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</si>
  <si>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</si>
  <si>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</si>
  <si>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</si>
  <si>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</si>
  <si>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</si>
  <si>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</si>
  <si>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</si>
  <si>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</si>
  <si>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</si>
  <si>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</si>
  <si>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</si>
  <si>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</si>
  <si>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</si>
  <si>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</si>
  <si>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</si>
  <si>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</si>
  <si>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</si>
  <si>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</si>
  <si>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</si>
  <si>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</si>
  <si>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</si>
  <si>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</si>
  <si>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</si>
  <si>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</si>
  <si>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</si>
  <si>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</si>
  <si>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</si>
  <si>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</si>
  <si>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</si>
  <si>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</si>
  <si>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</si>
  <si>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</si>
  <si>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</si>
  <si>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</si>
  <si>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</si>
  <si>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</si>
  <si>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</si>
  <si>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</si>
  <si>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</si>
  <si>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</si>
  <si>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</si>
  <si>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</si>
  <si>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</si>
  <si>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</si>
  <si>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</si>
  <si>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</si>
  <si>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</si>
  <si>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</si>
  <si>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</si>
  <si>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</si>
  <si>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</si>
  <si>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</si>
  <si>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</si>
  <si>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</si>
  <si>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</si>
  <si>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</si>
  <si>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</si>
  <si>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</si>
  <si>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</si>
  <si>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</si>
  <si>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</si>
  <si>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</si>
  <si>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</si>
  <si>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</si>
  <si>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</si>
  <si>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</si>
  <si>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</si>
  <si>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</si>
  <si>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</si>
  <si>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</si>
  <si>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</si>
  <si>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</si>
  <si>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</si>
  <si>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</si>
  <si>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</si>
  <si>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</si>
  <si>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</si>
  <si>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</si>
  <si>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</si>
  <si>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</si>
  <si>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</si>
  <si>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</si>
  <si>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</si>
  <si>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</si>
  <si>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</si>
  <si>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</si>
  <si>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</si>
  <si>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</si>
  <si>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</si>
  <si>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</si>
  <si>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</si>
  <si>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</si>
  <si>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</si>
  <si>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</si>
  <si>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</si>
  <si>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</si>
  <si>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</si>
  <si>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</si>
  <si>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</si>
  <si>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</si>
  <si>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</si>
  <si>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</si>
  <si>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</si>
  <si>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</si>
  <si>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</si>
  <si>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</si>
  <si>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</si>
  <si>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</si>
  <si>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</si>
  <si>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</si>
  <si>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</si>
  <si>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</si>
  <si>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</si>
  <si>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</si>
  <si>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</si>
  <si>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</si>
  <si>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</si>
  <si>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</si>
  <si>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</si>
  <si>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</si>
  <si>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</si>
  <si>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</si>
  <si>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</si>
  <si>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</si>
  <si>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</si>
  <si>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</si>
  <si>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</si>
  <si>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</si>
  <si>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</si>
  <si>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</si>
  <si>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</si>
  <si>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</si>
  <si>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</si>
  <si>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</si>
  <si>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</si>
  <si>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</si>
  <si>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</si>
  <si>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</si>
  <si>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</si>
  <si>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</si>
  <si>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</si>
  <si>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</si>
  <si>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</si>
  <si>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</si>
  <si>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</si>
  <si>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</si>
  <si>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</si>
  <si>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</si>
  <si>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</si>
  <si>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</si>
  <si>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</si>
  <si>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</si>
  <si>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</si>
  <si>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</si>
  <si>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</si>
  <si>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</si>
  <si>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</si>
  <si>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</si>
  <si>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</si>
  <si>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</si>
  <si>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</si>
  <si>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</si>
  <si>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</si>
  <si>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</si>
  <si>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</si>
  <si>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</si>
  <si>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</si>
  <si>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</si>
  <si>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</si>
  <si>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</si>
  <si>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</si>
  <si>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</si>
  <si>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</si>
  <si>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</si>
  <si>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</si>
  <si>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</si>
  <si>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</si>
  <si>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</si>
  <si>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</si>
  <si>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</si>
  <si>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</si>
  <si>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</si>
  <si>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</si>
  <si>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</si>
  <si>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</si>
  <si>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</si>
  <si>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</si>
  <si>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</si>
  <si>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</si>
  <si>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</si>
  <si>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</si>
  <si>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</si>
  <si>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</si>
  <si>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</si>
  <si>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</si>
  <si>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</si>
  <si>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</si>
  <si>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</si>
  <si>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</si>
  <si>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</si>
  <si>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</si>
  <si>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</si>
  <si>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Gnome dummy</t>
  </si>
  <si>
    <t>C13020B E</t>
  </si>
  <si>
    <t>Bubble man dummy</t>
  </si>
  <si>
    <t>C13420B E</t>
  </si>
  <si>
    <t>Bobr dummy</t>
  </si>
  <si>
    <t>C13420H E</t>
  </si>
  <si>
    <t>Hell dummy</t>
  </si>
  <si>
    <t>C26820F/C E</t>
  </si>
  <si>
    <t>Fireworks show 268 dummy</t>
  </si>
  <si>
    <t>C8825M E</t>
  </si>
  <si>
    <t>Motorhead warior dummy</t>
  </si>
  <si>
    <t>C8825PA E</t>
  </si>
  <si>
    <t>Partička dummy</t>
  </si>
  <si>
    <t>C8925N E</t>
  </si>
  <si>
    <t>Night Chaos dummy</t>
  </si>
  <si>
    <t>C10025S E</t>
  </si>
  <si>
    <t>Starfire warrior dummy</t>
  </si>
  <si>
    <t>C9825SIG/C E</t>
  </si>
  <si>
    <t>Signature range 98ran dummy</t>
  </si>
  <si>
    <t>C493RU E</t>
  </si>
  <si>
    <t>Rusbaby dummy</t>
  </si>
  <si>
    <t>CF493ME E</t>
  </si>
  <si>
    <t>Mechanic dummy</t>
  </si>
  <si>
    <t>C503RA E</t>
  </si>
  <si>
    <t>C643BI E</t>
  </si>
  <si>
    <t>CF643M E</t>
  </si>
  <si>
    <t>Mutant dummy</t>
  </si>
  <si>
    <t>C643MN E</t>
  </si>
  <si>
    <t>New fire Power dummy</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</si>
  <si>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</si>
  <si>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</si>
  <si>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</si>
  <si>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</si>
  <si>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</si>
  <si>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</si>
  <si>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</si>
  <si>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</si>
  <si>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</si>
  <si>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</si>
  <si>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</si>
  <si>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</si>
  <si>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</si>
  <si>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</si>
  <si>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</si>
  <si>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</si>
  <si>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</si>
  <si>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</si>
  <si>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</si>
  <si>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</si>
  <si>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</si>
  <si>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</si>
  <si>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</si>
  <si>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</si>
  <si>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</si>
  <si>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</si>
  <si>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</si>
  <si>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</si>
  <si>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</si>
  <si>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</si>
  <si>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</si>
  <si>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</si>
  <si>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</si>
  <si>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</si>
  <si>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</si>
  <si>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</si>
  <si>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</si>
  <si>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</si>
  <si>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</si>
  <si>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</si>
  <si>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</si>
  <si>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</si>
  <si>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</si>
  <si>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</si>
  <si>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</si>
  <si>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</si>
  <si>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</si>
  <si>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</si>
  <si>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</si>
  <si>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</si>
  <si>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</si>
  <si>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</si>
  <si>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</si>
  <si>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</si>
  <si>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</si>
  <si>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</si>
  <si>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</si>
  <si>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</si>
  <si>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</si>
  <si>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</si>
  <si>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</si>
  <si>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Podnikatelé a firmy</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</si>
  <si>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</si>
  <si>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</si>
  <si>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</si>
  <si>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</si>
  <si>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</si>
  <si>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</si>
  <si>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</si>
  <si>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</si>
  <si>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</si>
  <si>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</si>
  <si>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</si>
  <si>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</si>
  <si>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</si>
  <si>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</si>
  <si>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</si>
  <si>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</si>
  <si>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</si>
  <si>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</si>
  <si>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</si>
  <si>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</si>
  <si>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</si>
  <si>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</si>
  <si>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</si>
  <si>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</si>
  <si>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</si>
  <si>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</si>
  <si>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</si>
  <si>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</si>
  <si>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</si>
  <si>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</si>
  <si>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</si>
  <si>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</si>
  <si>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</si>
  <si>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</si>
  <si>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</si>
  <si>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</si>
  <si>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</si>
  <si>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</si>
  <si>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</si>
  <si>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</si>
  <si>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</si>
  <si>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</si>
  <si>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</si>
  <si>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</si>
  <si>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</si>
  <si>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</si>
  <si>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</si>
  <si>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</si>
  <si>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</si>
  <si>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</si>
  <si>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</si>
  <si>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</si>
  <si>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</si>
  <si>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</si>
  <si>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</si>
  <si>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</si>
  <si>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</si>
  <si>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</si>
  <si>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</si>
  <si>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</si>
  <si>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</si>
  <si>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</si>
  <si>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</si>
  <si>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</si>
  <si>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</si>
  <si>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</si>
  <si>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</si>
  <si>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</si>
  <si>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</si>
  <si>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Explosive ball 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</si>
  <si>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</si>
  <si>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</si>
  <si>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</si>
  <si>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</si>
  <si>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</si>
  <si>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</si>
  <si>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</si>
  <si>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</si>
  <si>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</si>
  <si>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</si>
  <si>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</si>
  <si>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</si>
  <si>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</si>
  <si>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</si>
  <si>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</si>
  <si>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</si>
  <si>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</si>
  <si>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</si>
  <si>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</si>
  <si>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</si>
  <si>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</si>
  <si>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</si>
  <si>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</si>
  <si>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</si>
  <si>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</si>
  <si>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</si>
  <si>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</si>
  <si>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</si>
  <si>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</si>
  <si>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</si>
  <si>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</si>
  <si>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</si>
  <si>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</si>
  <si>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</si>
  <si>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</si>
  <si>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</si>
  <si>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</si>
  <si>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</si>
  <si>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</si>
  <si>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</si>
  <si>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</si>
  <si>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</si>
  <si>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</si>
  <si>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</si>
  <si>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</si>
  <si>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</si>
  <si>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</si>
  <si>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</si>
  <si>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</si>
  <si>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</si>
  <si>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</si>
  <si>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</si>
  <si>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</si>
  <si>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</si>
  <si>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</si>
  <si>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</si>
  <si>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</si>
  <si>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</si>
  <si>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</si>
  <si>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</si>
  <si>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</si>
  <si>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</si>
  <si>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</si>
  <si>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</si>
  <si>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</si>
  <si>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</si>
  <si>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</si>
  <si>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</si>
  <si>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</si>
  <si>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</si>
  <si>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</si>
  <si>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</si>
  <si>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</si>
  <si>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Profi show no.2</t>
  </si>
  <si>
    <t>C10025BPW/C14</t>
  </si>
  <si>
    <t>C14025XFS/C14</t>
  </si>
  <si>
    <t>Fireworks show 140</t>
  </si>
  <si>
    <t>C14025XFS/C</t>
  </si>
  <si>
    <t>C30025BPW/C</t>
  </si>
  <si>
    <t>C330D</t>
  </si>
  <si>
    <t>C493PR</t>
  </si>
  <si>
    <t>Profi show 49</t>
  </si>
  <si>
    <t>C493BW</t>
  </si>
  <si>
    <t xml:space="preserve">Brocade War 49 </t>
  </si>
  <si>
    <t>C503BW/C14</t>
  </si>
  <si>
    <t>Brocade War 50</t>
  </si>
  <si>
    <t>C1003F/C14</t>
  </si>
  <si>
    <t>C10030XF/C14</t>
  </si>
  <si>
    <t>Fireworks show 100</t>
  </si>
  <si>
    <t>C12230XPT/C14</t>
  </si>
  <si>
    <t>Pyrotechnology 2020 122sh</t>
  </si>
  <si>
    <t>C128XMPT/C</t>
  </si>
  <si>
    <t>Pyrotechnology 2020 128sh</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</si>
  <si>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</si>
  <si>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</si>
  <si>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</si>
  <si>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</si>
  <si>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</si>
  <si>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</si>
  <si>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</si>
  <si>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</si>
  <si>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</si>
  <si>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</si>
  <si>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</si>
  <si>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</si>
  <si>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</si>
  <si>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</si>
  <si>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</si>
  <si>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</si>
  <si>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</si>
  <si>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Colorful Sky</t>
  </si>
  <si>
    <t>C68XMPT14</t>
  </si>
  <si>
    <t>C68XMCS14</t>
  </si>
  <si>
    <t>C100MPT</t>
  </si>
  <si>
    <t>C132XMPT/C14</t>
  </si>
  <si>
    <t>Pyrotechnology 2020 132sh</t>
  </si>
  <si>
    <t>C204XMPT/C14</t>
  </si>
  <si>
    <t>Pyrotechnology 2020 204sh</t>
  </si>
  <si>
    <t>C216XMFS/C14</t>
  </si>
  <si>
    <t>Fireworks show 216</t>
  </si>
  <si>
    <t>C223XMK/C14</t>
  </si>
  <si>
    <t>King fireworks 223</t>
  </si>
  <si>
    <t>C132XMPT/C</t>
  </si>
  <si>
    <t>C150MPT/C</t>
  </si>
  <si>
    <t>Pyrotechnology 2020 150sh</t>
  </si>
  <si>
    <t>C204XMPT/C</t>
  </si>
  <si>
    <t>C216XMFS/C</t>
  </si>
  <si>
    <t>C223XMK/C</t>
  </si>
  <si>
    <t>C219XMPT/C</t>
  </si>
  <si>
    <t>Pyrotechnology 2020 219sh</t>
  </si>
  <si>
    <t>C253XMPT/C</t>
  </si>
  <si>
    <t>Pyrotechnology 2020 253sh</t>
  </si>
  <si>
    <t>C379XMK/C</t>
  </si>
  <si>
    <t>King fireworks 379</t>
  </si>
  <si>
    <t>C63MP</t>
  </si>
  <si>
    <t>Prehistoric</t>
  </si>
  <si>
    <t>C84M12F/C</t>
  </si>
  <si>
    <t>Fireworks show 84</t>
  </si>
  <si>
    <t>C84M12S/C</t>
  </si>
  <si>
    <t>C222MNPT/C</t>
  </si>
  <si>
    <t>Pyrotechnology 2020 222sh</t>
  </si>
  <si>
    <t>SS30F</t>
  </si>
  <si>
    <t>SS30H</t>
  </si>
  <si>
    <t>SS50A</t>
  </si>
  <si>
    <t>SS50C</t>
  </si>
  <si>
    <t>SS50CH</t>
  </si>
  <si>
    <t>SS50M</t>
  </si>
  <si>
    <t>Special colour strobing mine</t>
  </si>
  <si>
    <t>S4Z9/P</t>
  </si>
  <si>
    <t>S4Z10/P</t>
  </si>
  <si>
    <t>S4Z11/P</t>
  </si>
  <si>
    <t>Shell 100mm crackling waterfall</t>
  </si>
  <si>
    <t>S4Z12/P</t>
  </si>
  <si>
    <t>Shell 100mm crackling willow crossette</t>
  </si>
  <si>
    <t>S4Z13/P</t>
  </si>
  <si>
    <t>S4Z14/P</t>
  </si>
  <si>
    <t>S5R/P</t>
  </si>
  <si>
    <t>S6M</t>
  </si>
  <si>
    <t>S6D/P(9)</t>
  </si>
  <si>
    <t>S6F/P(9)</t>
  </si>
  <si>
    <t>S6CH/P(9)</t>
  </si>
  <si>
    <t>S6N/P(9)</t>
  </si>
  <si>
    <t>S6S/P(9)</t>
  </si>
  <si>
    <t>S6Z1/P(9)</t>
  </si>
  <si>
    <t>S6Z2/P(9)</t>
  </si>
  <si>
    <t>S6Z3/P(9)</t>
  </si>
  <si>
    <t>Interiérová fontána 6m,60sec</t>
  </si>
  <si>
    <t>PB120D E</t>
  </si>
  <si>
    <t>C1614E14 E</t>
  </si>
  <si>
    <t>Edwin dummy</t>
  </si>
  <si>
    <t>Datum aktualizace ceníku:</t>
  </si>
  <si>
    <t>Aktualisierungsdatum der Preisliste:</t>
  </si>
  <si>
    <t>C128XMB/C(T)</t>
  </si>
  <si>
    <t>C2563XMF/C(T)</t>
  </si>
  <si>
    <t>C150MF/C(T)</t>
  </si>
  <si>
    <t>C175MSIG/C(T)</t>
  </si>
  <si>
    <t>100/1/5m</t>
  </si>
  <si>
    <t>DP1TA(1)</t>
  </si>
  <si>
    <t>DP1BS(1)</t>
  </si>
  <si>
    <t>6/12/4</t>
  </si>
  <si>
    <t>40/8</t>
  </si>
  <si>
    <t>48/4</t>
  </si>
  <si>
    <t>96/3</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</si>
  <si>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</si>
  <si>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</si>
  <si>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</si>
  <si>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</si>
  <si>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</si>
  <si>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</si>
  <si>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</si>
  <si>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</si>
  <si>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</si>
  <si>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</si>
  <si>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</si>
  <si>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</si>
  <si>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</si>
  <si>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</si>
  <si>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</si>
  <si>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</si>
  <si>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</si>
  <si>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</si>
  <si>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</si>
  <si>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</si>
  <si>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</si>
  <si>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</si>
  <si>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</si>
  <si>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</si>
  <si>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</si>
  <si>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</si>
  <si>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</si>
  <si>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</si>
  <si>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</si>
  <si>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</si>
  <si>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</si>
  <si>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</si>
  <si>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</si>
  <si>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</si>
  <si>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</si>
  <si>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</si>
  <si>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</si>
  <si>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</si>
  <si>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</si>
  <si>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</si>
  <si>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</si>
  <si>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</si>
  <si>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</si>
  <si>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</si>
  <si>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</si>
  <si>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</si>
  <si>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</si>
  <si>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</si>
  <si>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</si>
  <si>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</si>
  <si>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</si>
  <si>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</si>
  <si>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</si>
  <si>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</si>
  <si>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</si>
  <si>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</si>
  <si>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</si>
  <si>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</si>
  <si>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</si>
  <si>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</si>
  <si>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</si>
  <si>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</si>
  <si>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</si>
  <si>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</si>
  <si>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</si>
  <si>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</si>
  <si>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</si>
  <si>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</si>
  <si>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</si>
  <si>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</si>
  <si>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</si>
  <si>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</si>
  <si>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</si>
  <si>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</si>
  <si>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</si>
  <si>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</si>
  <si>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</si>
  <si>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</si>
  <si>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</si>
  <si>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</si>
  <si>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</si>
  <si>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</si>
  <si>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</si>
  <si>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</si>
  <si>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</si>
  <si>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</si>
  <si>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</si>
  <si>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</si>
  <si>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</si>
  <si>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</si>
  <si>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</si>
  <si>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</si>
  <si>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</si>
  <si>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</si>
  <si>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</si>
  <si>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</si>
  <si>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</si>
  <si>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</si>
  <si>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</si>
  <si>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</si>
  <si>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</si>
  <si>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</si>
  <si>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</si>
  <si>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</si>
  <si>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</si>
  <si>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</si>
  <si>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</si>
  <si>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</si>
  <si>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</si>
  <si>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</si>
  <si>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</si>
  <si>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</si>
  <si>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</si>
  <si>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</si>
  <si>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</si>
  <si>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</si>
  <si>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</si>
  <si>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</si>
  <si>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</si>
  <si>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</si>
  <si>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</si>
  <si>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</si>
  <si>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</si>
  <si>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CZ,SK,PL,DE,LT,EN,EST,HR,DK</t>
  </si>
  <si>
    <t>CZ,PL</t>
  </si>
  <si>
    <t>SK,LT</t>
  </si>
  <si>
    <t>PL</t>
  </si>
  <si>
    <t>EN</t>
  </si>
  <si>
    <t>CZ,SK,DE,PL,LT</t>
  </si>
  <si>
    <t>CZ,SK,EN,PL,DE</t>
  </si>
  <si>
    <t>CZ,SK,PL,HU,LT,EN,DE,FR,EST,NL,IT,DK</t>
  </si>
  <si>
    <t>CZ,SK,PL,LT,DE,EN,DK,IT,HU,EST,FR,HR</t>
  </si>
  <si>
    <t>CZ,SK,PL,DE,LT,EN,NL,IT,DK,HU</t>
  </si>
  <si>
    <t>CZ,SK,PL,DE,LT,EN,EST,IT,HR,FR,DK,NL</t>
  </si>
  <si>
    <t>CZ,SK,PL,DE,LT,EN,EST,IT,HR,FR,DK,HU</t>
  </si>
  <si>
    <t>CZ,SK,PL,LT,DE,EN,EST,DK,IT,HR,FR,HU</t>
  </si>
  <si>
    <t>CZ,SK,PL,DE,LT,EN,EST,FR,HU,HR,IT,DK</t>
  </si>
  <si>
    <t>CZ,SK,PL,LT,DE,DK,EN,NL,EST,IT,FR</t>
  </si>
  <si>
    <t>CZ,SK,PL,DE,LT,EN,EST,FR,HR</t>
  </si>
  <si>
    <t>CZ,SK,PL,DE,LT,EN,HR,EST,HU,FR,IT</t>
  </si>
  <si>
    <t>CZ,SK,PL,LV,LT,HR,DE,EN,EST,FR,IT,HU,NL,DK</t>
  </si>
  <si>
    <t>CZ,SK,PL,LV,LT,HR,EN,EST,DE,FR,IT,HU,NL,DK</t>
  </si>
  <si>
    <t>DE,CZ,SK,PL,LT,EN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</si>
  <si>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</si>
  <si>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</si>
  <si>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</si>
  <si>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</si>
  <si>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</si>
  <si>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</si>
  <si>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</si>
  <si>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</si>
  <si>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</si>
  <si>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</si>
  <si>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</si>
  <si>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</si>
  <si>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</si>
  <si>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</si>
  <si>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</si>
  <si>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</si>
  <si>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</si>
  <si>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</si>
  <si>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</si>
  <si>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</si>
  <si>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</si>
  <si>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</si>
  <si>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</si>
  <si>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</si>
  <si>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</si>
  <si>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</si>
  <si>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</si>
  <si>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</si>
  <si>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</si>
  <si>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</si>
  <si>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</si>
  <si>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</si>
  <si>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</si>
  <si>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</si>
  <si>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</si>
  <si>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</si>
  <si>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</si>
  <si>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</si>
  <si>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</si>
  <si>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</si>
  <si>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</si>
  <si>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</si>
  <si>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</si>
  <si>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</si>
  <si>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</si>
  <si>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</si>
  <si>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</si>
  <si>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</si>
  <si>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</si>
  <si>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</si>
  <si>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</si>
  <si>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</si>
  <si>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</si>
  <si>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</si>
  <si>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</si>
  <si>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</si>
  <si>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</si>
  <si>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</si>
  <si>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</si>
  <si>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</si>
  <si>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</si>
  <si>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</si>
  <si>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</si>
  <si>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</si>
  <si>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</si>
  <si>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</si>
  <si>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</si>
  <si>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</si>
  <si>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</si>
  <si>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</si>
  <si>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</si>
  <si>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</si>
  <si>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</si>
  <si>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</si>
  <si>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</si>
  <si>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</si>
  <si>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</si>
  <si>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</si>
  <si>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</si>
  <si>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</si>
  <si>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</si>
  <si>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</si>
  <si>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</si>
  <si>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</si>
  <si>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</si>
  <si>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</si>
  <si>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</si>
  <si>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</si>
  <si>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</si>
  <si>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</si>
  <si>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</si>
  <si>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</si>
  <si>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</si>
  <si>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Při zaslání zboží našim ADR vozidlem(nosnost 1.450Kg), účtujeme dopravné 18kč/km za cestu tam i zpět.</t>
  </si>
  <si>
    <t>Při zaslání zboží ADR kamionem(nosnost 24 000Kg) může zákazník bezplatně vykládat zboží na jednom místě, max 4h. Při delší vykládce bude účtovaná sazba 800Kč/hodina čekání, při přejezdu na jiný sklad bude účtováno 100Kč/km.</t>
  </si>
  <si>
    <t>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</si>
  <si>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</si>
  <si>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</si>
  <si>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</si>
  <si>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</si>
  <si>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</si>
  <si>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</si>
  <si>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</si>
  <si>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</si>
  <si>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</si>
  <si>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</si>
  <si>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</si>
  <si>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</si>
  <si>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</si>
  <si>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</si>
  <si>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</si>
  <si>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</si>
  <si>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</si>
  <si>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</si>
  <si>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</si>
  <si>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</si>
  <si>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</si>
  <si>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</si>
  <si>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</si>
  <si>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</si>
  <si>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</si>
  <si>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</si>
  <si>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</si>
  <si>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</si>
  <si>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</si>
  <si>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</si>
  <si>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</si>
  <si>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</si>
  <si>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</si>
  <si>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</si>
  <si>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</si>
  <si>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</si>
  <si>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</si>
  <si>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</si>
  <si>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</si>
  <si>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</si>
  <si>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</si>
  <si>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</si>
  <si>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</si>
  <si>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</si>
  <si>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</si>
  <si>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</si>
  <si>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</si>
  <si>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</si>
  <si>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</si>
  <si>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</si>
  <si>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</si>
  <si>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</si>
  <si>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</si>
  <si>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</si>
  <si>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</si>
  <si>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</si>
  <si>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</si>
  <si>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</si>
  <si>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</si>
  <si>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</si>
  <si>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</si>
  <si>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</si>
  <si>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</si>
  <si>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</si>
  <si>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</si>
  <si>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</si>
  <si>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</si>
  <si>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</si>
  <si>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</si>
  <si>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</si>
  <si>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</si>
  <si>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</si>
  <si>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</si>
  <si>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</si>
  <si>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</si>
  <si>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</si>
  <si>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</si>
  <si>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</si>
  <si>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</si>
  <si>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</si>
  <si>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</si>
  <si>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</si>
  <si>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</si>
  <si>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</si>
  <si>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</si>
  <si>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</si>
  <si>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</si>
  <si>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</si>
  <si>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</si>
  <si>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</si>
  <si>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</si>
  <si>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</si>
  <si>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</si>
  <si>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</si>
  <si>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</si>
  <si>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</si>
  <si>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</si>
  <si>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</si>
  <si>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</si>
  <si>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</si>
  <si>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</si>
  <si>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</si>
  <si>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</si>
  <si>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</si>
  <si>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</si>
  <si>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</si>
  <si>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</si>
  <si>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</si>
  <si>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</si>
  <si>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</si>
  <si>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</si>
  <si>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</si>
  <si>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</si>
  <si>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</si>
  <si>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</si>
  <si>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</si>
  <si>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</si>
  <si>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</si>
  <si>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</si>
  <si>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</si>
  <si>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</si>
  <si>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</si>
  <si>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</si>
  <si>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</si>
  <si>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</si>
  <si>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</si>
  <si>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</si>
  <si>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</si>
  <si>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</si>
  <si>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</si>
  <si>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</si>
  <si>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</si>
  <si>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</si>
  <si>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</si>
  <si>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</si>
  <si>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</si>
  <si>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</si>
  <si>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</si>
  <si>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</si>
  <si>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</si>
  <si>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</si>
  <si>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</si>
  <si>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</si>
  <si>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</si>
  <si>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</si>
  <si>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</si>
  <si>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</si>
  <si>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</si>
  <si>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</si>
  <si>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</si>
  <si>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</si>
  <si>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</si>
  <si>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</si>
  <si>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</si>
  <si>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</si>
  <si>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</si>
  <si>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</si>
  <si>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</si>
  <si>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</si>
  <si>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</si>
  <si>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</si>
  <si>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</si>
  <si>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</si>
  <si>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</si>
  <si>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</si>
  <si>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</si>
  <si>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</si>
  <si>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</si>
  <si>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</si>
  <si>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</si>
  <si>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</si>
  <si>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</si>
  <si>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</si>
  <si>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</si>
  <si>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Střelmistr dummy</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</si>
  <si>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</si>
  <si>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</si>
  <si>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</si>
  <si>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</si>
  <si>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</si>
  <si>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</si>
  <si>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</si>
  <si>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</si>
  <si>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</si>
  <si>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</si>
  <si>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</si>
  <si>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</si>
  <si>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</si>
  <si>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</si>
  <si>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</si>
  <si>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</si>
  <si>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</si>
  <si>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</si>
  <si>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</si>
  <si>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</si>
  <si>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</si>
  <si>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</si>
  <si>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</si>
  <si>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</si>
  <si>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</si>
  <si>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</si>
  <si>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</si>
  <si>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</si>
  <si>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</si>
  <si>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</si>
  <si>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</si>
  <si>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</si>
  <si>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</si>
  <si>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</si>
  <si>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</si>
  <si>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</si>
  <si>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</si>
  <si>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</si>
  <si>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</si>
  <si>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</si>
  <si>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</si>
  <si>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</si>
  <si>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</si>
  <si>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</si>
  <si>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</si>
  <si>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</si>
  <si>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</si>
  <si>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</si>
  <si>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</si>
  <si>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</si>
  <si>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</si>
  <si>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</si>
  <si>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</si>
  <si>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</si>
  <si>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</si>
  <si>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</si>
  <si>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</si>
  <si>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</si>
  <si>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</si>
  <si>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</si>
  <si>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</si>
  <si>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</si>
  <si>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</si>
  <si>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</si>
  <si>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</si>
  <si>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</si>
  <si>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</si>
  <si>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</si>
  <si>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</si>
  <si>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</si>
  <si>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</si>
  <si>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</si>
  <si>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</si>
  <si>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</si>
  <si>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</si>
  <si>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</si>
  <si>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</si>
  <si>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</si>
  <si>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</si>
  <si>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</si>
  <si>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</si>
  <si>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</si>
  <si>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</si>
  <si>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</si>
  <si>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</si>
  <si>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</si>
  <si>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</si>
  <si>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</si>
  <si>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</si>
  <si>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</si>
  <si>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</si>
  <si>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</si>
  <si>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</si>
  <si>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</si>
  <si>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</si>
  <si>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</si>
  <si>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</si>
  <si>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</si>
  <si>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</si>
  <si>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</si>
  <si>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</si>
  <si>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</si>
  <si>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</si>
  <si>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</si>
  <si>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</si>
  <si>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</si>
  <si>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</si>
  <si>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</si>
  <si>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</si>
  <si>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</si>
  <si>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</si>
  <si>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</si>
  <si>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</si>
  <si>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</si>
  <si>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</si>
  <si>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</si>
  <si>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</si>
  <si>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</si>
  <si>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</si>
  <si>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</si>
  <si>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</si>
  <si>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</si>
  <si>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</si>
  <si>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</si>
  <si>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</si>
  <si>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</si>
  <si>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</si>
  <si>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</si>
  <si>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</si>
  <si>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</si>
  <si>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</si>
  <si>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</si>
  <si>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</si>
  <si>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</si>
  <si>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</si>
  <si>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</si>
  <si>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</si>
  <si>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</si>
  <si>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</si>
  <si>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</si>
  <si>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</si>
  <si>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</si>
  <si>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</si>
  <si>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</si>
  <si>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</si>
  <si>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</si>
  <si>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</si>
  <si>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</si>
  <si>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</si>
  <si>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</si>
  <si>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</si>
  <si>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</si>
  <si>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</si>
  <si>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</si>
  <si>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</si>
  <si>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</si>
  <si>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</si>
  <si>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</si>
  <si>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</si>
  <si>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</si>
  <si>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</si>
  <si>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</si>
  <si>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</si>
  <si>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</si>
  <si>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</si>
  <si>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</si>
  <si>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</si>
  <si>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</si>
  <si>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</si>
  <si>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</si>
  <si>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</si>
  <si>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</si>
  <si>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</si>
  <si>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</si>
  <si>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</si>
  <si>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</si>
  <si>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</si>
  <si>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</si>
  <si>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</si>
  <si>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</si>
  <si>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</si>
  <si>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</si>
  <si>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</si>
  <si>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</si>
  <si>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</si>
  <si>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</si>
  <si>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</si>
  <si>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</si>
  <si>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</si>
  <si>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</si>
  <si>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</si>
  <si>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</si>
  <si>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</si>
  <si>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</si>
  <si>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</si>
  <si>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</si>
  <si>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</si>
  <si>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</si>
  <si>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</si>
  <si>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</si>
  <si>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</si>
  <si>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</si>
  <si>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</si>
  <si>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</si>
  <si>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</si>
  <si>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</si>
  <si>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</si>
  <si>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</si>
  <si>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</si>
  <si>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</si>
  <si>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</si>
  <si>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</si>
  <si>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</si>
  <si>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</si>
  <si>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</si>
  <si>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</si>
  <si>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</si>
  <si>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</si>
  <si>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</si>
  <si>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</si>
  <si>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</si>
  <si>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</si>
  <si>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</si>
  <si>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</si>
  <si>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</si>
  <si>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</si>
  <si>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</si>
  <si>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</si>
  <si>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</si>
  <si>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</si>
  <si>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</si>
  <si>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</si>
  <si>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</si>
  <si>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</si>
  <si>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</si>
  <si>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</si>
  <si>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</si>
  <si>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</si>
  <si>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</si>
  <si>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</si>
  <si>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</si>
  <si>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</si>
  <si>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</si>
  <si>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</si>
  <si>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</si>
  <si>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</si>
  <si>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</si>
  <si>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</si>
  <si>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</si>
  <si>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</si>
  <si>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</si>
  <si>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</si>
  <si>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</si>
  <si>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</si>
  <si>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</si>
  <si>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</si>
  <si>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</si>
  <si>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</si>
  <si>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</si>
  <si>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</si>
  <si>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</si>
  <si>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</si>
  <si>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</si>
  <si>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</si>
  <si>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</si>
  <si>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</si>
  <si>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</si>
  <si>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</si>
  <si>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</si>
  <si>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</si>
  <si>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</si>
  <si>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</si>
  <si>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</si>
  <si>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</si>
  <si>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</si>
  <si>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8 days Pyro challenge</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</si>
  <si>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</si>
  <si>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</si>
  <si>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</si>
  <si>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</si>
  <si>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</si>
  <si>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</si>
  <si>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</si>
  <si>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</si>
  <si>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</si>
  <si>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</si>
  <si>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</si>
  <si>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</si>
  <si>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</si>
  <si>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</si>
  <si>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</si>
  <si>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</si>
  <si>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</si>
  <si>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</si>
  <si>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</si>
  <si>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</si>
  <si>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</si>
  <si>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</si>
  <si>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</si>
  <si>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</si>
  <si>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</si>
  <si>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</si>
  <si>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</si>
  <si>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</si>
  <si>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</si>
  <si>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</si>
  <si>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</si>
  <si>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</si>
  <si>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</si>
  <si>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</si>
  <si>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</si>
  <si>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</si>
  <si>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</si>
  <si>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</si>
  <si>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</si>
  <si>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</si>
  <si>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</si>
  <si>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</si>
  <si>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</si>
  <si>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</si>
  <si>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</si>
  <si>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</si>
  <si>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</si>
  <si>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</si>
  <si>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</si>
  <si>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</si>
  <si>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</si>
  <si>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</si>
  <si>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</si>
  <si>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</si>
  <si>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</si>
  <si>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</si>
  <si>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</si>
  <si>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</si>
  <si>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</si>
  <si>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</si>
  <si>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</si>
  <si>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</si>
  <si>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</si>
  <si>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</si>
  <si>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</si>
  <si>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</si>
  <si>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</si>
  <si>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</si>
  <si>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</si>
  <si>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</si>
  <si>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</si>
  <si>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</si>
  <si>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</si>
  <si>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</si>
  <si>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</si>
  <si>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</si>
  <si>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</si>
  <si>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</si>
  <si>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</si>
  <si>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</si>
  <si>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</si>
  <si>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</si>
  <si>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</si>
  <si>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</si>
  <si>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</si>
  <si>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</si>
  <si>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</si>
  <si>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</si>
  <si>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</si>
  <si>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</si>
  <si>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</si>
  <si>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</si>
  <si>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</si>
  <si>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</si>
  <si>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</si>
  <si>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</si>
  <si>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</si>
  <si>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</si>
  <si>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</si>
  <si>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</si>
  <si>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</si>
  <si>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</si>
  <si>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</si>
  <si>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</si>
  <si>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</si>
  <si>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</si>
  <si>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</si>
  <si>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</si>
  <si>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</si>
  <si>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</si>
  <si>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</si>
  <si>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</si>
  <si>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</si>
  <si>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</si>
  <si>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</si>
  <si>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</si>
  <si>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</si>
  <si>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</si>
  <si>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</si>
  <si>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</si>
  <si>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</si>
  <si>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</si>
  <si>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</si>
  <si>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</si>
  <si>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</si>
  <si>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</si>
  <si>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</si>
  <si>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</si>
  <si>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</si>
  <si>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</si>
  <si>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</si>
  <si>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</si>
  <si>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</si>
  <si>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</si>
  <si>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</si>
  <si>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</si>
  <si>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</si>
  <si>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</si>
  <si>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</si>
  <si>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</si>
  <si>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</si>
  <si>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</si>
  <si>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</si>
  <si>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</si>
  <si>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</si>
  <si>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</si>
  <si>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</si>
  <si>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</si>
  <si>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</si>
  <si>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</si>
  <si>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</si>
  <si>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</si>
  <si>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</si>
  <si>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</si>
  <si>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</si>
  <si>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</si>
  <si>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</si>
  <si>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</si>
  <si>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</si>
  <si>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</si>
  <si>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</si>
  <si>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</si>
  <si>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</si>
  <si>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</si>
  <si>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</si>
  <si>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</si>
  <si>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</si>
  <si>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</si>
  <si>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</si>
  <si>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</si>
  <si>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</si>
  <si>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</si>
  <si>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</si>
  <si>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</si>
  <si>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</si>
  <si>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</si>
  <si>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</si>
  <si>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</si>
  <si>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</si>
  <si>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</si>
  <si>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</si>
  <si>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</si>
  <si>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</si>
  <si>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</si>
  <si>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</si>
  <si>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</si>
  <si>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</si>
  <si>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</si>
  <si>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</si>
  <si>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</si>
  <si>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</si>
  <si>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</si>
  <si>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</si>
  <si>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</si>
  <si>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</si>
  <si>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</si>
  <si>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</si>
  <si>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</si>
  <si>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</si>
  <si>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</si>
  <si>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</si>
  <si>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</si>
  <si>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</si>
  <si>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</si>
  <si>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</si>
  <si>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</si>
  <si>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</si>
  <si>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</si>
  <si>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</si>
  <si>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</si>
  <si>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</si>
  <si>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</si>
  <si>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</si>
  <si>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</si>
  <si>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</si>
  <si>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</si>
  <si>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</si>
  <si>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</si>
  <si>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</si>
  <si>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</si>
  <si>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</si>
  <si>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</si>
  <si>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</si>
  <si>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</si>
  <si>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</si>
  <si>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</si>
  <si>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</si>
  <si>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</si>
  <si>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</si>
  <si>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</si>
  <si>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</si>
  <si>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</si>
  <si>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</si>
  <si>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</si>
  <si>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</si>
  <si>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</si>
  <si>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</si>
  <si>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</si>
  <si>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</si>
  <si>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</si>
  <si>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</si>
  <si>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</si>
  <si>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</si>
  <si>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</si>
  <si>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</si>
  <si>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</si>
  <si>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</si>
  <si>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</si>
  <si>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</si>
  <si>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</si>
  <si>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</si>
  <si>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</si>
  <si>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</si>
  <si>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</si>
  <si>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</si>
  <si>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</si>
  <si>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</si>
  <si>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</si>
  <si>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</si>
  <si>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</si>
  <si>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</si>
  <si>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</si>
  <si>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</si>
  <si>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</si>
  <si>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</si>
  <si>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</si>
  <si>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</si>
  <si>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</si>
  <si>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</si>
  <si>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</si>
  <si>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</si>
  <si>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</si>
  <si>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</si>
  <si>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</si>
  <si>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</si>
  <si>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</si>
  <si>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</si>
  <si>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</si>
  <si>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</si>
  <si>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</si>
  <si>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</si>
  <si>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</si>
  <si>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</si>
  <si>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</si>
  <si>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</si>
  <si>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</si>
  <si>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</si>
  <si>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</si>
  <si>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</si>
  <si>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</si>
  <si>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</si>
  <si>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</si>
  <si>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</si>
  <si>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</si>
  <si>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Červená dýmovnice-škrtací</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</si>
  <si>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</si>
  <si>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</si>
  <si>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</si>
  <si>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</si>
  <si>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</si>
  <si>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</si>
  <si>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</si>
  <si>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</si>
  <si>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</si>
  <si>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</si>
  <si>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Modrá dýmovnice-škrtací</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</si>
  <si>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</si>
  <si>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</si>
  <si>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</si>
  <si>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</si>
  <si>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</si>
  <si>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</si>
  <si>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</si>
  <si>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</si>
  <si>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</si>
  <si>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</si>
  <si>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</si>
  <si>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</si>
  <si>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</si>
  <si>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</si>
  <si>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</si>
  <si>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</si>
  <si>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</si>
  <si>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</si>
  <si>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</si>
  <si>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</si>
  <si>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</si>
  <si>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Zelená dýmovnice-škrtací</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</si>
  <si>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</si>
  <si>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</si>
  <si>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</si>
  <si>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</si>
  <si>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</si>
  <si>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</si>
  <si>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</si>
  <si>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</si>
  <si>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</si>
  <si>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</si>
  <si>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</si>
  <si>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</si>
  <si>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</si>
  <si>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</si>
  <si>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</si>
  <si>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</si>
  <si>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</si>
  <si>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</si>
  <si>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</si>
  <si>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</si>
  <si>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</si>
  <si>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Černá dýmovnice-škrtací</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</si>
  <si>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</si>
  <si>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</si>
  <si>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</si>
  <si>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</si>
  <si>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</si>
  <si>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</si>
  <si>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</si>
  <si>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</si>
  <si>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</si>
  <si>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</si>
  <si>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</si>
  <si>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</si>
  <si>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</si>
  <si>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</si>
  <si>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</si>
  <si>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</si>
  <si>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</si>
  <si>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</si>
  <si>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</si>
  <si>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</si>
  <si>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</si>
  <si>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</si>
  <si>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</si>
  <si>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</si>
  <si>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</si>
  <si>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</si>
  <si>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</si>
  <si>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</si>
  <si>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</si>
  <si>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</si>
  <si>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</si>
  <si>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</si>
  <si>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</si>
  <si>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</si>
  <si>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</si>
  <si>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</si>
  <si>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</si>
  <si>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</si>
  <si>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</si>
  <si>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</si>
  <si>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</si>
  <si>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</si>
  <si>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</si>
  <si>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</si>
  <si>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</si>
  <si>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</si>
  <si>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</si>
  <si>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</si>
  <si>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</si>
  <si>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</si>
  <si>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</si>
  <si>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</si>
  <si>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</si>
  <si>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</si>
  <si>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</si>
  <si>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</si>
  <si>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</si>
  <si>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</si>
  <si>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</si>
  <si>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</si>
  <si>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</si>
  <si>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</si>
  <si>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</si>
  <si>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</si>
  <si>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</si>
  <si>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</si>
  <si>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</si>
  <si>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</si>
  <si>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</si>
  <si>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</si>
  <si>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</si>
  <si>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</si>
  <si>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</si>
  <si>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</si>
  <si>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</si>
  <si>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</si>
  <si>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</si>
  <si>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</si>
  <si>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</si>
  <si>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</si>
  <si>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</si>
  <si>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</si>
  <si>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</si>
  <si>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</si>
  <si>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</si>
  <si>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</si>
  <si>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</si>
  <si>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</si>
  <si>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</si>
  <si>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</si>
  <si>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</si>
  <si>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</si>
  <si>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</si>
  <si>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</si>
  <si>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</si>
  <si>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</si>
  <si>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</si>
  <si>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</si>
  <si>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</si>
  <si>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</si>
  <si>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</si>
  <si>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</si>
  <si>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</si>
  <si>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</si>
  <si>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</si>
  <si>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</si>
  <si>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</si>
  <si>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</si>
  <si>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</si>
  <si>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</si>
  <si>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</si>
  <si>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</si>
  <si>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</si>
  <si>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Hooligans dýmová pochodeň žlutá</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</si>
  <si>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</si>
  <si>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</si>
  <si>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</si>
  <si>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</si>
  <si>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</si>
  <si>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</si>
  <si>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</si>
  <si>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</si>
  <si>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</si>
  <si>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</si>
  <si>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</si>
  <si>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</si>
  <si>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</si>
  <si>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</si>
  <si>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</si>
  <si>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</si>
  <si>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</si>
  <si>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</si>
  <si>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</si>
  <si>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</si>
  <si>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</si>
  <si>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Hooligans dýmová pochodeň oranžová</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</si>
  <si>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</si>
  <si>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</si>
  <si>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</si>
  <si>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</si>
  <si>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</si>
  <si>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</si>
  <si>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</si>
  <si>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</si>
  <si>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</si>
  <si>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</si>
  <si>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Hooligans dýmová pochodeň černá</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</si>
  <si>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</si>
  <si>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</si>
  <si>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</si>
  <si>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</si>
  <si>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</si>
  <si>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</si>
  <si>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</si>
  <si>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</si>
  <si>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</si>
  <si>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</si>
  <si>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</si>
  <si>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</si>
  <si>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</si>
  <si>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</si>
  <si>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</si>
  <si>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</si>
  <si>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</si>
  <si>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</si>
  <si>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</si>
  <si>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</si>
  <si>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</si>
  <si>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</si>
  <si>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</si>
  <si>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</si>
  <si>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</si>
  <si>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</si>
  <si>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</si>
  <si>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</si>
  <si>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</si>
  <si>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</si>
  <si>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</si>
  <si>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</si>
  <si>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</si>
  <si>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</si>
  <si>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</si>
  <si>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</si>
  <si>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</si>
  <si>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</si>
  <si>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</si>
  <si>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</si>
  <si>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</si>
  <si>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</si>
  <si>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</si>
  <si>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</si>
  <si>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</si>
  <si>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</si>
  <si>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</si>
  <si>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</si>
  <si>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</si>
  <si>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</si>
  <si>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</si>
  <si>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</si>
  <si>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</si>
  <si>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</si>
  <si>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</si>
  <si>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</si>
  <si>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</si>
  <si>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</si>
  <si>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</si>
  <si>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</si>
  <si>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</si>
  <si>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</si>
  <si>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</si>
  <si>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</si>
  <si>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</si>
  <si>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</si>
  <si>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</si>
  <si>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</si>
  <si>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</si>
  <si>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</si>
  <si>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</si>
  <si>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</si>
  <si>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</si>
  <si>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</si>
  <si>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</si>
  <si>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</si>
  <si>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</si>
  <si>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</si>
  <si>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</si>
  <si>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</si>
  <si>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</si>
  <si>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</si>
  <si>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</si>
  <si>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</si>
  <si>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</si>
  <si>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</si>
  <si>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</si>
  <si>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</si>
  <si>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</si>
  <si>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</si>
  <si>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</si>
  <si>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</si>
  <si>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</si>
  <si>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</si>
  <si>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</si>
  <si>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</si>
  <si>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</si>
  <si>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</si>
  <si>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</si>
  <si>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</si>
  <si>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</si>
  <si>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</si>
  <si>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</si>
  <si>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</si>
  <si>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</si>
  <si>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</si>
  <si>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</si>
  <si>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</si>
  <si>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</si>
  <si>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</si>
  <si>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</si>
  <si>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</si>
  <si>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</si>
  <si>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</si>
  <si>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</si>
  <si>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</si>
  <si>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</si>
  <si>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</si>
  <si>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</si>
  <si>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</si>
  <si>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</si>
  <si>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</si>
  <si>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</si>
  <si>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</si>
  <si>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</si>
  <si>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</si>
  <si>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</si>
  <si>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</si>
  <si>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</si>
  <si>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</si>
  <si>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</si>
  <si>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</si>
  <si>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</si>
  <si>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</si>
  <si>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</si>
  <si>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</si>
  <si>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</si>
  <si>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</si>
  <si>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</si>
  <si>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</si>
  <si>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</si>
  <si>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</si>
  <si>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</si>
  <si>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</si>
  <si>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</si>
  <si>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</si>
  <si>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</si>
  <si>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</si>
  <si>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</si>
  <si>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</si>
  <si>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</si>
  <si>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</si>
  <si>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</si>
  <si>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</si>
  <si>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</si>
  <si>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</si>
  <si>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</si>
  <si>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</si>
  <si>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</si>
  <si>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</si>
  <si>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</si>
  <si>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</si>
  <si>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</si>
  <si>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</si>
  <si>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</si>
  <si>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</si>
  <si>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</si>
  <si>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</si>
  <si>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</si>
  <si>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</si>
  <si>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</si>
  <si>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</si>
  <si>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</si>
  <si>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</si>
  <si>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</si>
  <si>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</si>
  <si>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</si>
  <si>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</si>
  <si>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</si>
  <si>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</si>
  <si>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</si>
  <si>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</si>
  <si>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</si>
  <si>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</si>
  <si>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</si>
  <si>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</si>
  <si>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</si>
  <si>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</si>
  <si>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</si>
  <si>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</si>
  <si>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</si>
  <si>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</si>
  <si>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</si>
  <si>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</si>
  <si>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</si>
  <si>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</si>
  <si>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</si>
  <si>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</si>
  <si>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</si>
  <si>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</si>
  <si>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</si>
  <si>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</si>
  <si>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</si>
  <si>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</si>
  <si>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</si>
  <si>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</si>
  <si>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</si>
  <si>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</si>
  <si>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</si>
  <si>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</si>
  <si>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</si>
  <si>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</si>
  <si>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</si>
  <si>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</si>
  <si>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</si>
  <si>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</si>
  <si>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</si>
  <si>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</si>
  <si>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</si>
  <si>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</si>
  <si>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</si>
  <si>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</si>
  <si>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</si>
  <si>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</si>
  <si>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</si>
  <si>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</si>
  <si>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</si>
  <si>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</si>
  <si>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</si>
  <si>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</si>
  <si>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</si>
  <si>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</si>
  <si>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</si>
  <si>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</si>
  <si>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</si>
  <si>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</si>
  <si>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</si>
  <si>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</si>
  <si>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</si>
  <si>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</si>
  <si>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</si>
  <si>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</si>
  <si>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</si>
  <si>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</si>
  <si>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</si>
  <si>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</si>
  <si>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</si>
  <si>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</si>
  <si>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</si>
  <si>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</si>
  <si>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</si>
  <si>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</si>
  <si>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</si>
  <si>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</si>
  <si>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</si>
  <si>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</si>
  <si>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</si>
  <si>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</si>
  <si>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</si>
  <si>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</si>
  <si>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</si>
  <si>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</si>
  <si>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</si>
  <si>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</si>
  <si>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</si>
  <si>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</si>
  <si>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</si>
  <si>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</si>
  <si>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</si>
  <si>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</si>
  <si>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</si>
  <si>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</si>
  <si>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</si>
  <si>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</si>
  <si>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</si>
  <si>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</si>
  <si>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</si>
  <si>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</si>
  <si>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</si>
  <si>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</si>
  <si>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</si>
  <si>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</si>
  <si>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</si>
  <si>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</si>
  <si>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</si>
  <si>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</si>
  <si>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</si>
  <si>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</si>
  <si>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</si>
  <si>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</si>
  <si>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</si>
  <si>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</si>
  <si>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</si>
  <si>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</si>
  <si>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</si>
  <si>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</si>
  <si>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</si>
  <si>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</si>
  <si>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</si>
  <si>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</si>
  <si>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</si>
  <si>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</si>
  <si>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</si>
  <si>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</si>
  <si>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</si>
  <si>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</si>
  <si>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</si>
  <si>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</si>
  <si>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</si>
  <si>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</si>
  <si>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</si>
  <si>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</si>
  <si>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</si>
  <si>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</si>
  <si>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</si>
  <si>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</si>
  <si>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</si>
  <si>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</si>
  <si>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</si>
  <si>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</si>
  <si>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</si>
  <si>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</si>
  <si>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</si>
  <si>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</si>
  <si>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</si>
  <si>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</si>
  <si>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</si>
  <si>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</si>
  <si>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</si>
  <si>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</si>
  <si>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</si>
  <si>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</si>
  <si>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</si>
  <si>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</si>
  <si>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</si>
  <si>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</si>
  <si>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</si>
  <si>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</si>
  <si>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</si>
  <si>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</si>
  <si>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</si>
  <si>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</si>
  <si>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</si>
  <si>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</si>
  <si>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</si>
  <si>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</si>
  <si>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</si>
  <si>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</si>
  <si>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</si>
  <si>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</si>
  <si>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</si>
  <si>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</si>
  <si>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</si>
  <si>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</si>
  <si>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</si>
  <si>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</si>
  <si>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</si>
  <si>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</si>
  <si>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</si>
  <si>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</si>
  <si>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</si>
  <si>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</si>
  <si>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</si>
  <si>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</si>
  <si>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</si>
  <si>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</si>
  <si>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</si>
  <si>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</si>
  <si>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</si>
  <si>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</si>
  <si>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</si>
  <si>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</si>
  <si>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</si>
  <si>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</si>
  <si>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</si>
  <si>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</si>
  <si>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</si>
  <si>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</si>
  <si>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</si>
  <si>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</si>
  <si>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</si>
  <si>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</si>
  <si>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</si>
  <si>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</si>
  <si>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</si>
  <si>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</si>
  <si>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</si>
  <si>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</si>
  <si>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</si>
  <si>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</si>
  <si>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</si>
  <si>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</si>
  <si>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</si>
  <si>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</si>
  <si>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</si>
  <si>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</si>
  <si>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</si>
  <si>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</si>
  <si>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</si>
  <si>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</si>
  <si>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</si>
  <si>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</si>
  <si>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</si>
  <si>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</si>
  <si>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</si>
  <si>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</si>
  <si>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</si>
  <si>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</si>
  <si>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</si>
  <si>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</si>
  <si>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</si>
  <si>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</si>
  <si>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</si>
  <si>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</si>
  <si>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</si>
  <si>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</si>
  <si>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</si>
  <si>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</si>
  <si>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</si>
  <si>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</si>
  <si>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</si>
  <si>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</si>
  <si>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</si>
  <si>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</si>
  <si>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</si>
  <si>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</si>
  <si>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</si>
  <si>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</si>
  <si>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</si>
  <si>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</si>
  <si>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</si>
  <si>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</si>
  <si>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</si>
  <si>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</si>
  <si>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</si>
  <si>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</si>
  <si>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</si>
  <si>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</si>
  <si>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</si>
  <si>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</si>
  <si>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</si>
  <si>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</si>
  <si>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</si>
  <si>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</si>
  <si>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</si>
  <si>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</si>
  <si>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</si>
  <si>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</si>
  <si>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</si>
  <si>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</si>
  <si>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</si>
  <si>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</si>
  <si>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</si>
  <si>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</si>
  <si>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</si>
  <si>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</si>
  <si>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</si>
  <si>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</si>
  <si>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</si>
  <si>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</si>
  <si>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</si>
  <si>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</si>
  <si>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</si>
  <si>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</si>
  <si>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</si>
  <si>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</si>
  <si>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</si>
  <si>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</si>
  <si>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</si>
  <si>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</si>
  <si>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</si>
  <si>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</si>
  <si>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</si>
  <si>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</si>
  <si>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</si>
  <si>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</si>
  <si>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</si>
  <si>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</si>
  <si>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</si>
  <si>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</si>
  <si>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</si>
  <si>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</si>
  <si>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</si>
  <si>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</si>
  <si>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</si>
  <si>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</si>
  <si>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</si>
  <si>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</si>
  <si>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</si>
  <si>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</si>
  <si>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</si>
  <si>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</si>
  <si>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</si>
  <si>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</si>
  <si>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</si>
  <si>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</si>
  <si>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</si>
  <si>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</si>
  <si>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</si>
  <si>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</si>
  <si>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</si>
  <si>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</si>
  <si>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</si>
  <si>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</si>
  <si>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</si>
  <si>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</si>
  <si>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</si>
  <si>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</si>
  <si>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</si>
  <si>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</si>
  <si>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</si>
  <si>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</si>
  <si>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</si>
  <si>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</si>
  <si>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</si>
  <si>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</si>
  <si>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</si>
  <si>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</si>
  <si>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</si>
  <si>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</si>
  <si>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</si>
  <si>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</si>
  <si>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</si>
  <si>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</si>
  <si>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</si>
  <si>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</si>
  <si>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</si>
  <si>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</si>
  <si>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</si>
  <si>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</si>
  <si>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</si>
  <si>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</si>
  <si>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</si>
  <si>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</si>
  <si>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</si>
  <si>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</si>
  <si>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</si>
  <si>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</si>
  <si>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</si>
  <si>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</si>
  <si>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</si>
  <si>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</si>
  <si>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</si>
  <si>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</si>
  <si>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</si>
  <si>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</si>
  <si>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</si>
  <si>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</si>
  <si>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</si>
  <si>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</si>
  <si>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</si>
  <si>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</si>
  <si>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</si>
  <si>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</si>
  <si>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</si>
  <si>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</si>
  <si>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</si>
  <si>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</si>
  <si>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</si>
  <si>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</si>
  <si>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</si>
  <si>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</si>
  <si>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</si>
  <si>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</si>
  <si>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</si>
  <si>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</si>
  <si>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</si>
  <si>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</si>
  <si>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</si>
  <si>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</si>
  <si>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</si>
  <si>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</si>
  <si>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</si>
  <si>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</si>
  <si>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</si>
  <si>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</si>
  <si>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</si>
  <si>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</si>
  <si>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</si>
  <si>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</si>
  <si>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</si>
  <si>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</si>
  <si>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</si>
  <si>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</si>
  <si>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</si>
  <si>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</si>
  <si>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</si>
  <si>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</si>
  <si>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</si>
  <si>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</si>
  <si>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</si>
  <si>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</si>
  <si>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</si>
  <si>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</si>
  <si>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</si>
  <si>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</si>
  <si>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</si>
  <si>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</si>
  <si>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</si>
  <si>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</si>
  <si>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</si>
  <si>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</si>
  <si>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</si>
  <si>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</si>
  <si>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</si>
  <si>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</si>
  <si>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</si>
  <si>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</si>
  <si>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</si>
  <si>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</si>
  <si>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</si>
  <si>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</si>
  <si>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</si>
  <si>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</si>
  <si>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</si>
  <si>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</si>
  <si>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</si>
  <si>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</si>
  <si>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</si>
  <si>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</si>
  <si>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</si>
  <si>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</si>
  <si>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</si>
  <si>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</si>
  <si>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</si>
  <si>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</si>
  <si>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</si>
  <si>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</si>
  <si>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</si>
  <si>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</si>
  <si>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</si>
  <si>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</si>
  <si>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</si>
  <si>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</si>
  <si>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</si>
  <si>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</si>
  <si>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</si>
  <si>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</si>
  <si>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</si>
  <si>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</si>
  <si>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</si>
  <si>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</si>
  <si>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</si>
  <si>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</si>
  <si>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</si>
  <si>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</si>
  <si>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</si>
  <si>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</si>
  <si>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</si>
  <si>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</si>
  <si>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</si>
  <si>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</si>
  <si>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</si>
  <si>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</si>
  <si>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</si>
  <si>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</si>
  <si>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</si>
  <si>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</si>
  <si>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</si>
  <si>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</si>
  <si>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</si>
  <si>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</si>
  <si>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</si>
  <si>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</si>
  <si>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</si>
  <si>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</si>
  <si>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</si>
  <si>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</si>
  <si>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</si>
  <si>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</si>
  <si>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</si>
  <si>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</si>
  <si>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</si>
  <si>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</si>
  <si>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</si>
  <si>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</si>
  <si>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</si>
  <si>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</si>
  <si>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</si>
  <si>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</si>
  <si>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</si>
  <si>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</si>
  <si>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</si>
  <si>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</si>
  <si>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</si>
  <si>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</si>
  <si>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</si>
  <si>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</si>
  <si>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</si>
  <si>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</si>
  <si>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</si>
  <si>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</si>
  <si>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</si>
  <si>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</si>
  <si>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</si>
  <si>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</si>
  <si>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</si>
  <si>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</si>
  <si>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</si>
  <si>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</si>
  <si>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</si>
  <si>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</si>
  <si>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</si>
  <si>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</si>
  <si>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</si>
  <si>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</si>
  <si>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</si>
  <si>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</si>
  <si>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</si>
  <si>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</si>
  <si>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</si>
  <si>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</si>
  <si>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</si>
  <si>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</si>
  <si>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</si>
  <si>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</si>
  <si>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</si>
  <si>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</si>
  <si>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</si>
  <si>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</si>
  <si>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</si>
  <si>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</si>
  <si>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</si>
  <si>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</si>
  <si>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</si>
  <si>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</si>
  <si>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</si>
  <si>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</si>
  <si>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</si>
  <si>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</si>
  <si>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</si>
  <si>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</si>
  <si>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</si>
  <si>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</si>
  <si>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</si>
  <si>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</si>
  <si>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</si>
  <si>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</si>
  <si>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</si>
  <si>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</si>
  <si>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</si>
  <si>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</si>
  <si>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</si>
  <si>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</si>
  <si>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</si>
  <si>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</si>
  <si>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</si>
  <si>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</si>
  <si>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</si>
  <si>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</si>
  <si>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</si>
  <si>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</si>
  <si>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</si>
  <si>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</si>
  <si>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</si>
  <si>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</si>
  <si>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</si>
  <si>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</si>
  <si>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</si>
  <si>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</si>
  <si>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</si>
  <si>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</si>
  <si>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</si>
  <si>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</si>
  <si>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</si>
  <si>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</si>
  <si>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</si>
  <si>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</si>
  <si>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</si>
  <si>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</si>
  <si>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</si>
  <si>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</si>
  <si>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</si>
  <si>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</si>
  <si>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</si>
  <si>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</si>
  <si>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</si>
  <si>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</si>
  <si>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</si>
  <si>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</si>
  <si>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</si>
  <si>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</si>
  <si>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</si>
  <si>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</si>
  <si>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</si>
  <si>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</si>
  <si>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</si>
  <si>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</si>
  <si>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</si>
  <si>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</si>
  <si>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 xml:space="preserve">Dumbum bird bangers </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</si>
  <si>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</si>
  <si>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</si>
  <si>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</si>
  <si>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</si>
  <si>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</si>
  <si>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</si>
  <si>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</si>
  <si>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</si>
  <si>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</si>
  <si>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</si>
  <si>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</si>
  <si>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</si>
  <si>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</si>
  <si>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</si>
  <si>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</si>
  <si>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</si>
  <si>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</si>
  <si>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</si>
  <si>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</si>
  <si>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</si>
  <si>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</si>
  <si>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</si>
  <si>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</si>
  <si>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</si>
  <si>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</si>
  <si>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</si>
  <si>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</si>
  <si>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</si>
  <si>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</si>
  <si>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</si>
  <si>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</si>
  <si>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</si>
  <si>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</si>
  <si>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</si>
  <si>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</si>
  <si>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</si>
  <si>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</si>
  <si>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</si>
  <si>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</si>
  <si>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</si>
  <si>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</si>
  <si>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</si>
  <si>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</si>
  <si>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</si>
  <si>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</si>
  <si>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</si>
  <si>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</si>
  <si>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</si>
  <si>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</si>
  <si>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</si>
  <si>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</si>
  <si>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</si>
  <si>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</si>
  <si>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</si>
  <si>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</si>
  <si>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</si>
  <si>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</si>
  <si>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</si>
  <si>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</si>
  <si>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</si>
  <si>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</si>
  <si>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</si>
  <si>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</si>
  <si>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</si>
  <si>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</si>
  <si>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</si>
  <si>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</si>
  <si>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</si>
  <si>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</si>
  <si>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</si>
  <si>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</si>
  <si>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</si>
  <si>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</si>
  <si>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</si>
  <si>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</si>
  <si>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</si>
  <si>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</si>
  <si>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</si>
  <si>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</si>
  <si>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</si>
  <si>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</si>
  <si>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</si>
  <si>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</si>
  <si>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</si>
  <si>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</si>
  <si>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</si>
  <si>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</si>
  <si>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</si>
  <si>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</si>
  <si>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</si>
  <si>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</si>
  <si>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</si>
  <si>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</si>
  <si>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</si>
  <si>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</si>
  <si>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</si>
  <si>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</si>
  <si>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</si>
  <si>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</si>
  <si>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</si>
  <si>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</si>
  <si>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</si>
  <si>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</si>
  <si>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</si>
  <si>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</si>
  <si>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</si>
  <si>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</si>
  <si>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</si>
  <si>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</si>
  <si>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</si>
  <si>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</si>
  <si>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</si>
  <si>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</si>
  <si>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</si>
  <si>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</si>
  <si>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</si>
  <si>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</si>
  <si>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</si>
  <si>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</si>
  <si>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</si>
  <si>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</si>
  <si>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</si>
  <si>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</si>
  <si>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</si>
  <si>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</si>
  <si>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</si>
  <si>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</si>
  <si>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</si>
  <si>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</si>
  <si>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</si>
  <si>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</si>
  <si>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</si>
  <si>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</si>
  <si>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</si>
  <si>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</si>
  <si>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</si>
  <si>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</si>
  <si>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</si>
  <si>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</si>
  <si>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</si>
  <si>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</si>
  <si>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</si>
  <si>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</si>
  <si>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</si>
  <si>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</si>
  <si>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</si>
  <si>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</si>
  <si>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</si>
  <si>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</si>
  <si>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</si>
  <si>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</si>
  <si>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</si>
  <si>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</si>
  <si>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</si>
  <si>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</si>
  <si>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</si>
  <si>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</si>
  <si>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</si>
  <si>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</si>
  <si>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</si>
  <si>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</si>
  <si>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</si>
  <si>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</si>
  <si>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</si>
  <si>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</si>
  <si>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</si>
  <si>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</si>
  <si>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</si>
  <si>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</si>
  <si>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</si>
  <si>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</si>
  <si>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</si>
  <si>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</si>
  <si>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</si>
  <si>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</si>
  <si>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</si>
  <si>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</si>
  <si>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</si>
  <si>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</si>
  <si>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</si>
  <si>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</si>
  <si>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</si>
  <si>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</si>
  <si>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</si>
  <si>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</si>
  <si>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</si>
  <si>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</si>
  <si>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</si>
  <si>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</si>
  <si>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</si>
  <si>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</si>
  <si>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</si>
  <si>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</si>
  <si>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</si>
  <si>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</si>
  <si>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</si>
  <si>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</si>
  <si>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</si>
  <si>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</si>
  <si>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</si>
  <si>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</si>
  <si>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</si>
  <si>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</si>
  <si>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</si>
  <si>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</si>
  <si>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</si>
  <si>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</si>
  <si>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</si>
  <si>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</si>
  <si>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</si>
  <si>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</si>
  <si>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</si>
  <si>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</si>
  <si>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</si>
  <si>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</si>
  <si>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</si>
  <si>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</si>
  <si>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</si>
  <si>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</si>
  <si>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</si>
  <si>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</si>
  <si>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</si>
  <si>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</si>
  <si>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</si>
  <si>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</si>
  <si>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</si>
  <si>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</si>
  <si>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</si>
  <si>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</si>
  <si>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</si>
  <si>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</si>
  <si>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</si>
  <si>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</si>
  <si>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</si>
  <si>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</si>
  <si>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</si>
  <si>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</si>
  <si>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</si>
  <si>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</si>
  <si>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</si>
  <si>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</si>
  <si>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</si>
  <si>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</si>
  <si>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</si>
  <si>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</si>
  <si>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</si>
  <si>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</si>
  <si>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</si>
  <si>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</si>
  <si>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</si>
  <si>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</si>
  <si>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</si>
  <si>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</si>
  <si>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</si>
  <si>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</si>
  <si>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</si>
  <si>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</si>
  <si>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</si>
  <si>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</si>
  <si>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</si>
  <si>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</si>
  <si>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</si>
  <si>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</si>
  <si>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</si>
  <si>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</si>
  <si>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</si>
  <si>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</si>
  <si>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</si>
  <si>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</si>
  <si>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</si>
  <si>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</si>
  <si>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</si>
  <si>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</si>
  <si>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</si>
  <si>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</si>
  <si>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</si>
  <si>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</si>
  <si>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</si>
  <si>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</si>
  <si>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</si>
  <si>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</si>
  <si>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</si>
  <si>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</si>
  <si>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</si>
  <si>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</si>
  <si>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</si>
  <si>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</si>
  <si>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</si>
  <si>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</si>
  <si>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</si>
  <si>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</si>
  <si>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</si>
  <si>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</si>
  <si>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</si>
  <si>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</si>
  <si>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</si>
  <si>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</si>
  <si>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</si>
  <si>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</si>
  <si>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</si>
  <si>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</si>
  <si>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</si>
  <si>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</si>
  <si>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</si>
  <si>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</si>
  <si>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</si>
  <si>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</si>
  <si>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</si>
  <si>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</si>
  <si>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</si>
  <si>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</si>
  <si>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</si>
  <si>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</si>
  <si>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</si>
  <si>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</si>
  <si>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</si>
  <si>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</si>
  <si>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</si>
  <si>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</si>
  <si>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</si>
  <si>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</si>
  <si>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</si>
  <si>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</si>
  <si>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</si>
  <si>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</si>
  <si>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</si>
  <si>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</si>
  <si>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</si>
  <si>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</si>
  <si>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</si>
  <si>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</si>
  <si>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</si>
  <si>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</si>
  <si>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</si>
  <si>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</si>
  <si>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</si>
  <si>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</si>
  <si>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</si>
  <si>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</si>
  <si>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</si>
  <si>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</si>
  <si>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</si>
  <si>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</si>
  <si>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</si>
  <si>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</si>
  <si>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</si>
  <si>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</si>
  <si>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</si>
  <si>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</si>
  <si>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</si>
  <si>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</si>
  <si>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</si>
  <si>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</si>
  <si>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</si>
  <si>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</si>
  <si>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</si>
  <si>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</si>
  <si>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</si>
  <si>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</si>
  <si>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</si>
  <si>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</si>
  <si>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</si>
  <si>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</si>
  <si>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</si>
  <si>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</si>
  <si>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</si>
  <si>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</si>
  <si>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</si>
  <si>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</si>
  <si>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</si>
  <si>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</si>
  <si>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</si>
  <si>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</si>
  <si>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</si>
  <si>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</si>
  <si>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</si>
  <si>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</si>
  <si>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</si>
  <si>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</si>
  <si>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</si>
  <si>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</si>
  <si>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</si>
  <si>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</si>
  <si>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</si>
  <si>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</si>
  <si>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</si>
  <si>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</si>
  <si>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</si>
  <si>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</si>
  <si>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</si>
  <si>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</si>
  <si>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</si>
  <si>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</si>
  <si>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</si>
  <si>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</si>
  <si>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</si>
  <si>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</si>
  <si>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</si>
  <si>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</si>
  <si>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</si>
  <si>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</si>
  <si>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</si>
  <si>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</si>
  <si>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</si>
  <si>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</si>
  <si>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</si>
  <si>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</si>
  <si>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</si>
  <si>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</si>
  <si>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</si>
  <si>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</si>
  <si>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</si>
  <si>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</si>
  <si>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</si>
  <si>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</si>
  <si>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</si>
  <si>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</si>
  <si>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</si>
  <si>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</si>
  <si>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</si>
  <si>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</si>
  <si>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</si>
  <si>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</si>
  <si>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</si>
  <si>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</si>
  <si>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</si>
  <si>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</si>
  <si>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</si>
  <si>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</si>
  <si>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</si>
  <si>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</si>
  <si>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</si>
  <si>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</si>
  <si>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</si>
  <si>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</si>
  <si>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</si>
  <si>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</si>
  <si>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</si>
  <si>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</si>
  <si>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</si>
  <si>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</si>
  <si>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</si>
  <si>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</si>
  <si>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</si>
  <si>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</si>
  <si>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</si>
  <si>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</si>
  <si>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</si>
  <si>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</si>
  <si>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</si>
  <si>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</si>
  <si>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</si>
  <si>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</si>
  <si>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</si>
  <si>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</si>
  <si>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</si>
  <si>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</si>
  <si>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</si>
  <si>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</si>
  <si>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</si>
  <si>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</si>
  <si>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</si>
  <si>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</si>
  <si>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</si>
  <si>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</si>
  <si>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</si>
  <si>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</si>
  <si>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</si>
  <si>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</si>
  <si>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</si>
  <si>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</si>
  <si>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</si>
  <si>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</si>
  <si>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</si>
  <si>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</si>
  <si>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</si>
  <si>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</si>
  <si>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</si>
  <si>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</si>
  <si>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</si>
  <si>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</si>
  <si>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</si>
  <si>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</si>
  <si>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</si>
  <si>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</si>
  <si>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</si>
  <si>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</si>
  <si>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</si>
  <si>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</si>
  <si>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</si>
  <si>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</si>
  <si>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</si>
  <si>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</si>
  <si>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</si>
  <si>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</si>
  <si>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</si>
  <si>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</si>
  <si>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</si>
  <si>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</si>
  <si>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</si>
  <si>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</si>
  <si>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</si>
  <si>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</si>
  <si>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</si>
  <si>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</si>
  <si>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</si>
  <si>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</si>
  <si>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</si>
  <si>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</si>
  <si>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</si>
  <si>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</si>
  <si>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</si>
  <si>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</si>
  <si>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</si>
  <si>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</si>
  <si>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</si>
  <si>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</si>
  <si>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</si>
  <si>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</si>
  <si>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</si>
  <si>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</si>
  <si>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</si>
  <si>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</si>
  <si>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</si>
  <si>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</si>
  <si>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</si>
  <si>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</si>
  <si>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</si>
  <si>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</si>
  <si>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</si>
  <si>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</si>
  <si>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</si>
  <si>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</si>
  <si>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</si>
  <si>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</si>
  <si>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</si>
  <si>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</si>
  <si>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</si>
  <si>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</si>
  <si>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</si>
  <si>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</si>
  <si>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</si>
  <si>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</si>
  <si>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</si>
  <si>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</si>
  <si>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</si>
  <si>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</si>
  <si>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</si>
  <si>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</si>
  <si>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</si>
  <si>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</si>
  <si>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</si>
  <si>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</si>
  <si>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</si>
  <si>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</si>
  <si>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</si>
  <si>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</si>
  <si>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</si>
  <si>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</si>
  <si>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</si>
  <si>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</si>
  <si>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</si>
  <si>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</si>
  <si>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</si>
  <si>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</si>
  <si>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</si>
  <si>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</si>
  <si>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</si>
  <si>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</si>
  <si>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</si>
  <si>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</si>
  <si>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</si>
  <si>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</si>
  <si>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</si>
  <si>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</si>
  <si>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</si>
  <si>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</si>
  <si>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</si>
  <si>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</si>
  <si>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</si>
  <si>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</si>
  <si>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</si>
  <si>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</si>
  <si>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</si>
  <si>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</si>
  <si>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</si>
  <si>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</si>
  <si>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</si>
  <si>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</si>
  <si>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</si>
  <si>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</si>
  <si>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</si>
  <si>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</si>
  <si>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</si>
  <si>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</si>
  <si>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</si>
  <si>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</si>
  <si>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</si>
  <si>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</si>
  <si>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</si>
  <si>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</si>
  <si>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</si>
  <si>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</si>
  <si>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</si>
  <si>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</si>
  <si>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</si>
  <si>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</si>
  <si>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</si>
  <si>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</si>
  <si>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</si>
  <si>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</si>
  <si>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</si>
  <si>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</si>
  <si>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</si>
  <si>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</si>
  <si>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</si>
  <si>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</si>
  <si>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</si>
  <si>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</si>
  <si>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</si>
  <si>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</si>
  <si>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</si>
  <si>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</si>
  <si>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</si>
  <si>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</si>
  <si>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</si>
  <si>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</si>
  <si>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</si>
  <si>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</si>
  <si>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</si>
  <si>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</si>
  <si>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</si>
  <si>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</si>
  <si>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</si>
  <si>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</si>
  <si>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</si>
  <si>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</si>
  <si>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</si>
  <si>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</si>
  <si>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</si>
  <si>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</si>
  <si>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</si>
  <si>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</si>
  <si>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</si>
  <si>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</si>
  <si>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</si>
  <si>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</si>
  <si>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</si>
  <si>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</si>
  <si>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</si>
  <si>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</si>
  <si>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</si>
  <si>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</si>
  <si>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</si>
  <si>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</si>
  <si>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</si>
  <si>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</si>
  <si>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</si>
  <si>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</si>
  <si>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</si>
  <si>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</si>
  <si>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</si>
  <si>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</si>
  <si>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</si>
  <si>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</si>
  <si>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</si>
  <si>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</si>
  <si>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</si>
  <si>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</si>
  <si>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</si>
  <si>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</si>
  <si>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</si>
  <si>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</si>
  <si>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</si>
  <si>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</si>
  <si>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</si>
  <si>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</si>
  <si>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</si>
  <si>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</si>
  <si>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</si>
  <si>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</si>
  <si>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</si>
  <si>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</si>
  <si>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</si>
  <si>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</si>
  <si>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</si>
  <si>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</si>
  <si>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</si>
  <si>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</si>
  <si>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</si>
  <si>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</si>
  <si>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</si>
  <si>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</si>
  <si>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</si>
  <si>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</si>
  <si>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</si>
  <si>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</si>
  <si>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</si>
  <si>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</si>
  <si>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</si>
  <si>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</si>
  <si>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</si>
  <si>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</si>
  <si>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</si>
  <si>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</si>
  <si>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</si>
  <si>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</si>
  <si>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</si>
  <si>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</si>
  <si>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</si>
  <si>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</si>
  <si>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</si>
  <si>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</si>
  <si>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</si>
  <si>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</si>
  <si>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</si>
  <si>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</si>
  <si>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</si>
  <si>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</si>
  <si>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</si>
  <si>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</si>
  <si>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</si>
  <si>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</si>
  <si>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</si>
  <si>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</si>
  <si>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</si>
  <si>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</si>
  <si>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</si>
  <si>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</si>
  <si>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</si>
  <si>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</si>
  <si>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</si>
  <si>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</si>
  <si>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</si>
  <si>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</si>
  <si>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</si>
  <si>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</si>
  <si>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</si>
  <si>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</si>
  <si>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</si>
  <si>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</si>
  <si>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</si>
  <si>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</si>
  <si>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</si>
  <si>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</si>
  <si>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</si>
  <si>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</si>
  <si>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</si>
  <si>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</si>
  <si>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</si>
  <si>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</si>
  <si>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</si>
  <si>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</si>
  <si>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</si>
  <si>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</si>
  <si>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</si>
  <si>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</si>
  <si>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</si>
  <si>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</si>
  <si>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</si>
  <si>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</si>
  <si>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</si>
  <si>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</si>
  <si>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</si>
  <si>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</si>
  <si>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</si>
  <si>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</si>
  <si>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</si>
  <si>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</si>
  <si>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</si>
  <si>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</si>
  <si>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</si>
  <si>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</si>
  <si>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</si>
  <si>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</si>
  <si>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</si>
  <si>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</si>
  <si>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</si>
  <si>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</si>
  <si>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</si>
  <si>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</si>
  <si>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</si>
  <si>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</si>
  <si>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</si>
  <si>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</si>
  <si>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</si>
  <si>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</si>
  <si>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</si>
  <si>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</si>
  <si>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</si>
  <si>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</si>
  <si>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</si>
  <si>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</si>
  <si>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</si>
  <si>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</si>
  <si>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</si>
  <si>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</si>
  <si>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</si>
  <si>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</si>
  <si>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</si>
  <si>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</si>
  <si>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</si>
  <si>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</si>
  <si>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</si>
  <si>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</si>
  <si>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</si>
  <si>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</si>
  <si>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</si>
  <si>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</si>
  <si>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</si>
  <si>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Profi Fireworks show 256- I+V+W+FAN</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</si>
  <si>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</si>
  <si>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</si>
  <si>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</si>
  <si>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</si>
  <si>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</si>
  <si>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</si>
  <si>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</si>
  <si>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</si>
  <si>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</si>
  <si>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</si>
  <si>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</si>
  <si>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</si>
  <si>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</si>
  <si>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</si>
  <si>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</si>
  <si>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</si>
  <si>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</si>
  <si>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</si>
  <si>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</si>
  <si>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</si>
  <si>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</si>
  <si>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</si>
  <si>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</si>
  <si>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</si>
  <si>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</si>
  <si>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</si>
  <si>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</si>
  <si>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</si>
  <si>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</si>
  <si>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</si>
  <si>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</si>
  <si>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</si>
  <si>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</si>
  <si>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</si>
  <si>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</si>
  <si>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</si>
  <si>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</si>
  <si>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</si>
  <si>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</si>
  <si>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</si>
  <si>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</si>
  <si>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</si>
  <si>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</si>
  <si>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</si>
  <si>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</si>
  <si>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</si>
  <si>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</si>
  <si>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</si>
  <si>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</si>
  <si>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</si>
  <si>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</si>
  <si>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</si>
  <si>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</si>
  <si>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</si>
  <si>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</si>
  <si>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</si>
  <si>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</si>
  <si>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</si>
  <si>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</si>
  <si>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</si>
  <si>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</si>
  <si>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</si>
  <si>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</si>
  <si>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</si>
  <si>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</si>
  <si>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</si>
  <si>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</si>
  <si>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</si>
  <si>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</si>
  <si>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</si>
  <si>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</si>
  <si>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Profi Fireworks show 223</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</si>
  <si>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</si>
  <si>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</si>
  <si>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</si>
  <si>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</si>
  <si>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</si>
  <si>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</si>
  <si>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</si>
  <si>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</si>
  <si>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</si>
  <si>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</si>
  <si>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</si>
  <si>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</si>
  <si>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Profi Fireworks show 111</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</si>
  <si>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</si>
  <si>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</si>
  <si>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</si>
  <si>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</si>
  <si>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</si>
  <si>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</si>
  <si>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</si>
  <si>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</si>
  <si>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</si>
  <si>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</si>
  <si>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</si>
  <si>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</si>
  <si>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</si>
  <si>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</si>
  <si>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</si>
  <si>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</si>
  <si>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</si>
  <si>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</si>
  <si>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</si>
  <si>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</si>
  <si>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</si>
  <si>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</si>
  <si>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</si>
  <si>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</si>
  <si>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</si>
  <si>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</si>
  <si>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</si>
  <si>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</si>
  <si>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</si>
  <si>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</si>
  <si>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</si>
  <si>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</si>
  <si>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</si>
  <si>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</si>
  <si>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</si>
  <si>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</si>
  <si>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</si>
  <si>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</si>
  <si>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</si>
  <si>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</si>
  <si>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</si>
  <si>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</si>
  <si>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</si>
  <si>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</si>
  <si>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</si>
  <si>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</si>
  <si>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</si>
  <si>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</si>
  <si>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</si>
  <si>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</si>
  <si>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</si>
  <si>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</si>
  <si>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</si>
  <si>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</si>
  <si>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</si>
  <si>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</si>
  <si>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</si>
  <si>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</si>
  <si>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</si>
  <si>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</si>
  <si>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</si>
  <si>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</si>
  <si>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</si>
  <si>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</si>
  <si>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</si>
  <si>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</si>
  <si>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</si>
  <si>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</si>
  <si>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</si>
  <si>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</si>
  <si>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</si>
  <si>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</si>
  <si>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</si>
  <si>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</si>
  <si>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</si>
  <si>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</si>
  <si>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</si>
  <si>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</si>
  <si>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</si>
  <si>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</si>
  <si>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</si>
  <si>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</si>
  <si>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</si>
  <si>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</si>
  <si>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</si>
  <si>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</si>
  <si>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</si>
  <si>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</si>
  <si>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</si>
  <si>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</si>
  <si>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</si>
  <si>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</si>
  <si>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</si>
  <si>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</si>
  <si>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</si>
  <si>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</si>
  <si>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</si>
  <si>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</si>
  <si>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</si>
  <si>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</si>
  <si>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</si>
  <si>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</si>
  <si>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</si>
  <si>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</si>
  <si>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</si>
  <si>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</si>
  <si>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</si>
  <si>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</si>
  <si>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</si>
  <si>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</si>
  <si>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</si>
  <si>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</si>
  <si>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</si>
  <si>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</si>
  <si>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</si>
  <si>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</si>
  <si>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</si>
  <si>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</si>
  <si>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</si>
  <si>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</si>
  <si>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</si>
  <si>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</si>
  <si>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</si>
  <si>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</si>
  <si>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</si>
  <si>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</si>
  <si>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</si>
  <si>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</si>
  <si>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</si>
  <si>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</si>
  <si>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</si>
  <si>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</si>
  <si>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</si>
  <si>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</si>
  <si>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</si>
  <si>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</si>
  <si>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</si>
  <si>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</si>
  <si>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</si>
  <si>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</si>
  <si>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</si>
  <si>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</si>
  <si>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</si>
  <si>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</si>
  <si>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</si>
  <si>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</si>
  <si>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</si>
  <si>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</si>
  <si>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</si>
  <si>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</si>
  <si>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</si>
  <si>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</si>
  <si>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</si>
  <si>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</si>
  <si>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</si>
  <si>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</si>
  <si>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</si>
  <si>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</si>
  <si>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</si>
  <si>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</si>
  <si>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</si>
  <si>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</si>
  <si>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</si>
  <si>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</si>
  <si>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</si>
  <si>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</si>
  <si>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</si>
  <si>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</si>
  <si>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</si>
  <si>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</si>
  <si>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</si>
  <si>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</si>
  <si>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</si>
  <si>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</si>
  <si>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</si>
  <si>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</si>
  <si>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</si>
  <si>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</si>
  <si>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</si>
  <si>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</si>
  <si>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</si>
  <si>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</si>
  <si>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</si>
  <si>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</si>
  <si>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</si>
  <si>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</si>
  <si>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</si>
  <si>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</si>
  <si>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</si>
  <si>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</si>
  <si>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</si>
  <si>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</si>
  <si>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</si>
  <si>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</si>
  <si>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</si>
  <si>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</si>
  <si>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</si>
  <si>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</si>
  <si>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</si>
  <si>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</si>
  <si>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</si>
  <si>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</si>
  <si>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</si>
  <si>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</si>
  <si>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</si>
  <si>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</si>
  <si>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</si>
  <si>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</si>
  <si>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</si>
  <si>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</si>
  <si>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</si>
  <si>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</si>
  <si>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</si>
  <si>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</si>
  <si>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</si>
  <si>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</si>
  <si>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</si>
  <si>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</si>
  <si>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</si>
  <si>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</si>
  <si>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</si>
  <si>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</si>
  <si>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</si>
  <si>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</si>
  <si>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</si>
  <si>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</si>
  <si>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</si>
  <si>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</si>
  <si>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</si>
  <si>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</si>
  <si>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</si>
  <si>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</si>
  <si>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</si>
  <si>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</si>
  <si>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</si>
  <si>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</si>
  <si>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</si>
  <si>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</si>
  <si>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</si>
  <si>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</si>
  <si>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</si>
  <si>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</si>
  <si>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</si>
  <si>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</si>
  <si>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</si>
  <si>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</si>
  <si>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</si>
  <si>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</si>
  <si>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</si>
  <si>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</si>
  <si>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</si>
  <si>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</si>
  <si>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</si>
  <si>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</si>
  <si>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</si>
  <si>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</si>
  <si>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</si>
  <si>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</si>
  <si>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</si>
  <si>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</si>
  <si>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</si>
  <si>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</si>
  <si>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</si>
  <si>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</si>
  <si>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</si>
  <si>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</si>
  <si>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</si>
  <si>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</si>
  <si>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</si>
  <si>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</si>
  <si>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</si>
  <si>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</si>
  <si>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</si>
  <si>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</si>
  <si>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</si>
  <si>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</si>
  <si>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</si>
  <si>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</si>
  <si>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</si>
  <si>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</si>
  <si>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</si>
  <si>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</si>
  <si>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</si>
  <si>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</si>
  <si>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</si>
  <si>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</si>
  <si>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</si>
  <si>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</si>
  <si>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</si>
  <si>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</si>
  <si>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</si>
  <si>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</si>
  <si>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</si>
  <si>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</si>
  <si>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</si>
  <si>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</si>
  <si>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</si>
  <si>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</si>
  <si>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</si>
  <si>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</si>
  <si>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</si>
  <si>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</si>
  <si>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</si>
  <si>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</si>
  <si>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</si>
  <si>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</si>
  <si>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</si>
  <si>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</si>
  <si>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</si>
  <si>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</si>
  <si>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</si>
  <si>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</si>
  <si>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</si>
  <si>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</si>
  <si>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</si>
  <si>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</si>
  <si>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</si>
  <si>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</si>
  <si>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</si>
  <si>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</si>
  <si>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</si>
  <si>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</si>
  <si>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</si>
  <si>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</si>
  <si>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</si>
  <si>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</si>
  <si>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</si>
  <si>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</si>
  <si>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</si>
  <si>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</si>
  <si>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</si>
  <si>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</si>
  <si>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</si>
  <si>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</si>
  <si>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</si>
  <si>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</si>
  <si>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</si>
  <si>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</si>
  <si>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</si>
  <si>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</si>
  <si>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</si>
  <si>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</si>
  <si>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</si>
  <si>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</si>
  <si>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</si>
  <si>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</si>
  <si>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</si>
  <si>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</si>
  <si>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</si>
  <si>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</si>
  <si>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</si>
  <si>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</si>
  <si>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</si>
  <si>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</si>
  <si>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</si>
  <si>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</si>
  <si>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</si>
  <si>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</si>
  <si>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</si>
  <si>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</si>
  <si>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</si>
  <si>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</si>
  <si>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</si>
  <si>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</si>
  <si>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</si>
  <si>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</si>
  <si>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</si>
  <si>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</si>
  <si>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</si>
  <si>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</si>
  <si>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</si>
  <si>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</si>
  <si>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</si>
  <si>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</si>
  <si>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</si>
  <si>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</si>
  <si>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</si>
  <si>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</si>
  <si>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</si>
  <si>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</si>
  <si>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</si>
  <si>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</si>
  <si>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</si>
  <si>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</si>
  <si>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</si>
  <si>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</si>
  <si>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</si>
  <si>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</si>
  <si>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</si>
  <si>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</si>
  <si>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</si>
  <si>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</si>
  <si>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</si>
  <si>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</si>
  <si>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</si>
  <si>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</si>
  <si>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</si>
  <si>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</si>
  <si>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</si>
  <si>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</si>
  <si>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</si>
  <si>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</si>
  <si>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</si>
  <si>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</si>
  <si>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</si>
  <si>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</si>
  <si>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</si>
  <si>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</si>
  <si>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</si>
  <si>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</si>
  <si>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</si>
  <si>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</si>
  <si>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</si>
  <si>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</si>
  <si>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</si>
  <si>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</si>
  <si>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</si>
  <si>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</si>
  <si>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</si>
  <si>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</si>
  <si>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</si>
  <si>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</si>
  <si>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</si>
  <si>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</si>
  <si>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</si>
  <si>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</si>
  <si>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</si>
  <si>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</si>
  <si>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</si>
  <si>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</si>
  <si>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</si>
  <si>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</si>
  <si>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</si>
  <si>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</si>
  <si>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</si>
  <si>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</si>
  <si>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</si>
  <si>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</si>
  <si>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</si>
  <si>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</si>
  <si>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</si>
  <si>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</si>
  <si>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</si>
  <si>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</si>
  <si>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</si>
  <si>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</si>
  <si>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</si>
  <si>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</si>
  <si>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</si>
  <si>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</si>
  <si>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</si>
  <si>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</si>
  <si>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</si>
  <si>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</si>
  <si>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</si>
  <si>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</si>
  <si>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</si>
  <si>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</si>
  <si>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</si>
  <si>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</si>
  <si>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</si>
  <si>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</si>
  <si>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</si>
  <si>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</si>
  <si>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</si>
  <si>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</si>
  <si>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</si>
  <si>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</si>
  <si>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</si>
  <si>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</si>
  <si>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</si>
  <si>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</si>
  <si>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</si>
  <si>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</si>
  <si>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</si>
  <si>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</si>
  <si>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</si>
  <si>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</si>
  <si>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</si>
  <si>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</si>
  <si>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</si>
  <si>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</si>
  <si>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</si>
  <si>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</si>
  <si>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</si>
  <si>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</si>
  <si>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</si>
  <si>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</si>
  <si>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</si>
  <si>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</si>
  <si>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</si>
  <si>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</si>
  <si>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</si>
  <si>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</si>
  <si>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</si>
  <si>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</si>
  <si>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</si>
  <si>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</si>
  <si>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</si>
  <si>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</si>
  <si>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</si>
  <si>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</si>
  <si>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</si>
  <si>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</si>
  <si>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</si>
  <si>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</si>
  <si>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</si>
  <si>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</si>
  <si>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</si>
  <si>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</si>
  <si>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</si>
  <si>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</si>
  <si>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</si>
  <si>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</si>
  <si>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</si>
  <si>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</si>
  <si>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</si>
  <si>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</si>
  <si>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</si>
  <si>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</si>
  <si>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</si>
  <si>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</si>
  <si>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</si>
  <si>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</si>
  <si>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</si>
  <si>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</si>
  <si>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</si>
  <si>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</si>
  <si>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</si>
  <si>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</si>
  <si>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</si>
  <si>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</si>
  <si>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</si>
  <si>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</si>
  <si>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</si>
  <si>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</si>
  <si>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</si>
  <si>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</si>
  <si>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</si>
  <si>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</si>
  <si>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</si>
  <si>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</si>
  <si>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</si>
  <si>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</si>
  <si>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</si>
  <si>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</si>
  <si>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</si>
  <si>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</si>
  <si>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</si>
  <si>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</si>
  <si>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</si>
  <si>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</si>
  <si>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</si>
  <si>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</si>
  <si>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</si>
  <si>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</si>
  <si>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</si>
  <si>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</si>
  <si>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</si>
  <si>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</si>
  <si>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</si>
  <si>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</si>
  <si>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</si>
  <si>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</si>
  <si>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</si>
  <si>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</si>
  <si>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</si>
  <si>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</si>
  <si>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</si>
  <si>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</si>
  <si>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</si>
  <si>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</si>
  <si>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</si>
  <si>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</si>
  <si>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</si>
  <si>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</si>
  <si>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</si>
  <si>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</si>
  <si>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</si>
  <si>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</si>
  <si>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</si>
  <si>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</si>
  <si>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</si>
  <si>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</si>
  <si>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</si>
  <si>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</si>
  <si>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</si>
  <si>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</si>
  <si>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</si>
  <si>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</si>
  <si>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</si>
  <si>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</si>
  <si>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</si>
  <si>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</si>
  <si>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</si>
  <si>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</si>
  <si>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</si>
  <si>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</si>
  <si>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</si>
  <si>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</si>
  <si>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</si>
  <si>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</si>
  <si>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</si>
  <si>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</si>
  <si>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</si>
  <si>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</si>
  <si>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</si>
  <si>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</si>
  <si>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</si>
  <si>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</si>
  <si>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</si>
  <si>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</si>
  <si>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</si>
  <si>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</si>
  <si>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</si>
  <si>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</si>
  <si>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</si>
  <si>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</si>
  <si>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</si>
  <si>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</si>
  <si>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</si>
  <si>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</si>
  <si>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</si>
  <si>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</si>
  <si>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</si>
  <si>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</si>
  <si>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</si>
  <si>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</si>
  <si>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</si>
  <si>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</si>
  <si>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</si>
  <si>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</si>
  <si>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</si>
  <si>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</si>
  <si>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</si>
  <si>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</si>
  <si>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</si>
  <si>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</si>
  <si>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</si>
  <si>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</si>
  <si>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</si>
  <si>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</si>
  <si>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</si>
  <si>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</si>
  <si>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</si>
  <si>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</si>
  <si>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</si>
  <si>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</si>
  <si>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</si>
  <si>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</si>
  <si>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</si>
  <si>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</si>
  <si>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</si>
  <si>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</si>
  <si>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</si>
  <si>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</si>
  <si>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</si>
  <si>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</si>
  <si>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</si>
  <si>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</si>
  <si>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</si>
  <si>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</si>
  <si>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</si>
  <si>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</si>
  <si>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</si>
  <si>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</si>
  <si>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</si>
  <si>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</si>
  <si>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</si>
  <si>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</si>
  <si>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</si>
  <si>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</si>
  <si>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</si>
  <si>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</si>
  <si>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</si>
  <si>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</si>
  <si>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</si>
  <si>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</si>
  <si>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</si>
  <si>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</si>
  <si>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</si>
  <si>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</si>
  <si>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</si>
  <si>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</si>
  <si>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</si>
  <si>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</si>
  <si>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</si>
  <si>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</si>
  <si>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</si>
  <si>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</si>
  <si>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</si>
  <si>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</si>
  <si>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</si>
  <si>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</si>
  <si>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</si>
  <si>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</si>
  <si>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</si>
  <si>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</si>
  <si>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</si>
  <si>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</si>
  <si>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</si>
  <si>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</si>
  <si>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</si>
  <si>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</si>
  <si>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</si>
  <si>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</si>
  <si>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</si>
  <si>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</si>
  <si>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</si>
  <si>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</si>
  <si>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</si>
  <si>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</si>
  <si>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</si>
  <si>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</si>
  <si>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</si>
  <si>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</si>
  <si>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</si>
  <si>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</si>
  <si>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</si>
  <si>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</si>
  <si>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</si>
  <si>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</si>
  <si>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</si>
  <si>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</si>
  <si>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</si>
  <si>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</si>
  <si>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</si>
  <si>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</si>
  <si>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</si>
  <si>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</si>
  <si>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</si>
  <si>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</si>
  <si>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</si>
  <si>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</si>
  <si>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</si>
  <si>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</si>
  <si>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</si>
  <si>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</si>
  <si>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</si>
  <si>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</si>
  <si>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</si>
  <si>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</si>
  <si>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</si>
  <si>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</si>
  <si>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</si>
  <si>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</si>
  <si>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</si>
  <si>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</si>
  <si>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</si>
  <si>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</si>
  <si>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</si>
  <si>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</si>
  <si>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</si>
  <si>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</si>
  <si>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</si>
  <si>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</si>
  <si>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</si>
  <si>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</si>
  <si>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</si>
  <si>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</si>
  <si>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</si>
  <si>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</si>
  <si>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</si>
  <si>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</si>
  <si>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</si>
  <si>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</si>
  <si>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</si>
  <si>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</si>
  <si>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</si>
  <si>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</si>
  <si>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</si>
  <si>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</si>
  <si>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</si>
  <si>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</si>
  <si>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</si>
  <si>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</si>
  <si>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</si>
  <si>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</si>
  <si>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</si>
  <si>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</si>
  <si>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</si>
  <si>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</si>
  <si>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</si>
  <si>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</si>
  <si>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</si>
  <si>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</si>
  <si>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</si>
  <si>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</si>
  <si>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</si>
  <si>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</si>
  <si>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</si>
  <si>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</si>
  <si>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</si>
  <si>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</si>
  <si>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</si>
  <si>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</si>
  <si>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</si>
  <si>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</si>
  <si>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</si>
  <si>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</si>
  <si>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</si>
  <si>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</si>
  <si>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</si>
  <si>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</si>
  <si>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</si>
  <si>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</si>
  <si>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</si>
  <si>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</si>
  <si>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</si>
  <si>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</si>
  <si>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</si>
  <si>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</si>
  <si>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</si>
  <si>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</si>
  <si>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</si>
  <si>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</si>
  <si>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</si>
  <si>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</si>
  <si>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</si>
  <si>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</si>
  <si>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</si>
  <si>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</si>
  <si>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</si>
  <si>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</si>
  <si>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</si>
  <si>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</si>
  <si>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</si>
  <si>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</si>
  <si>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</si>
  <si>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</si>
  <si>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</si>
  <si>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</si>
  <si>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</si>
  <si>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</si>
  <si>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</si>
  <si>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</si>
  <si>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</si>
  <si>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</si>
  <si>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</si>
  <si>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</si>
  <si>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</si>
  <si>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</si>
  <si>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</si>
  <si>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</si>
  <si>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</si>
  <si>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</si>
  <si>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</si>
  <si>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</si>
  <si>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</si>
  <si>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</si>
  <si>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</si>
  <si>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</si>
  <si>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</si>
  <si>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</si>
  <si>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</si>
  <si>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</si>
  <si>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</si>
  <si>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</si>
  <si>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</si>
  <si>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</si>
  <si>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</si>
  <si>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</si>
  <si>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</si>
  <si>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</si>
  <si>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</si>
  <si>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</si>
  <si>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</si>
  <si>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</si>
  <si>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</si>
  <si>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</si>
  <si>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</si>
  <si>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</si>
  <si>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</si>
  <si>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</si>
  <si>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</si>
  <si>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</si>
  <si>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</si>
  <si>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</si>
  <si>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</si>
  <si>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</si>
  <si>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</si>
  <si>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</si>
  <si>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</si>
  <si>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</si>
  <si>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</si>
  <si>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</si>
  <si>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</si>
  <si>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</si>
  <si>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</si>
  <si>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</si>
  <si>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</si>
  <si>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</si>
  <si>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</si>
  <si>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</si>
  <si>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</si>
  <si>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</si>
  <si>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</si>
  <si>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</si>
  <si>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</si>
  <si>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</si>
  <si>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</si>
  <si>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</si>
  <si>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</si>
  <si>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</si>
  <si>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</si>
  <si>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</si>
  <si>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</si>
  <si>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</si>
  <si>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</si>
  <si>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</si>
  <si>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</si>
  <si>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</si>
  <si>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</si>
  <si>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</si>
  <si>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</si>
  <si>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</si>
  <si>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</si>
  <si>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</si>
  <si>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</si>
  <si>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</si>
  <si>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</si>
  <si>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</si>
  <si>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</si>
  <si>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</si>
  <si>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</si>
  <si>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</si>
  <si>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</si>
  <si>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</si>
  <si>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</si>
  <si>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</si>
  <si>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</si>
  <si>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</si>
  <si>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</si>
  <si>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</si>
  <si>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</si>
  <si>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</si>
  <si>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</si>
  <si>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</si>
  <si>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</si>
  <si>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</si>
  <si>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</si>
  <si>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</si>
  <si>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</si>
  <si>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</si>
  <si>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</si>
  <si>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</si>
  <si>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</si>
  <si>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</si>
  <si>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</si>
  <si>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</si>
  <si>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</si>
  <si>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</si>
  <si>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</si>
  <si>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</si>
  <si>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</si>
  <si>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</si>
  <si>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</si>
  <si>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</si>
  <si>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</si>
  <si>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</si>
  <si>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</si>
  <si>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</si>
  <si>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</si>
  <si>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</si>
  <si>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</si>
  <si>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</si>
  <si>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</si>
  <si>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</si>
  <si>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</si>
  <si>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</si>
  <si>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</si>
  <si>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</si>
  <si>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</si>
  <si>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</si>
  <si>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</si>
  <si>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</si>
  <si>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</si>
  <si>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</si>
  <si>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</si>
  <si>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</si>
  <si>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</si>
  <si>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</si>
  <si>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</si>
  <si>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</si>
  <si>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</si>
  <si>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</si>
  <si>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</si>
  <si>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</si>
  <si>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</si>
  <si>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</si>
  <si>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</si>
  <si>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</si>
  <si>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</si>
  <si>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</si>
  <si>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</si>
  <si>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</si>
  <si>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</si>
  <si>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</si>
  <si>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</si>
  <si>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</si>
  <si>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</si>
  <si>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</si>
  <si>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</si>
  <si>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</si>
  <si>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</si>
  <si>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</si>
  <si>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</si>
  <si>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</si>
  <si>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</si>
  <si>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</si>
  <si>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</si>
  <si>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</si>
  <si>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</si>
  <si>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</si>
  <si>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</si>
  <si>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</si>
  <si>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</si>
  <si>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</si>
  <si>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</si>
  <si>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</si>
  <si>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</si>
  <si>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</si>
  <si>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</si>
  <si>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</si>
  <si>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</si>
  <si>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</si>
  <si>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</si>
  <si>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</si>
  <si>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</si>
  <si>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</si>
  <si>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</si>
  <si>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</si>
  <si>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</si>
  <si>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</si>
  <si>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</si>
  <si>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</si>
  <si>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</si>
  <si>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</si>
  <si>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</si>
  <si>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</si>
  <si>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</si>
  <si>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</si>
  <si>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</si>
  <si>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</si>
  <si>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</si>
  <si>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</si>
  <si>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</si>
  <si>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</si>
  <si>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</si>
  <si>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</si>
  <si>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</si>
  <si>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</si>
  <si>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</si>
  <si>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</si>
  <si>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</si>
  <si>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</si>
  <si>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</si>
  <si>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</si>
  <si>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</si>
  <si>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</si>
  <si>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</si>
  <si>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</si>
  <si>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</si>
  <si>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</si>
  <si>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</si>
  <si>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</si>
  <si>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</si>
  <si>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</si>
  <si>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</si>
  <si>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</si>
  <si>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</si>
  <si>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</si>
  <si>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</si>
  <si>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</si>
  <si>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</si>
  <si>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</si>
  <si>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</si>
  <si>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</si>
  <si>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</si>
  <si>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</si>
  <si>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</si>
  <si>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</si>
  <si>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</si>
  <si>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</si>
  <si>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</si>
  <si>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</si>
  <si>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</si>
  <si>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</si>
  <si>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</si>
  <si>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</si>
  <si>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</si>
  <si>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</si>
  <si>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</si>
  <si>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</si>
  <si>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</si>
  <si>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</si>
  <si>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</si>
  <si>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</si>
  <si>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</si>
  <si>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</si>
  <si>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</si>
  <si>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</si>
  <si>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</si>
  <si>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</si>
  <si>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</si>
  <si>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</si>
  <si>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</si>
  <si>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</si>
  <si>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</si>
  <si>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</si>
  <si>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</si>
  <si>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</si>
  <si>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</si>
  <si>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</si>
  <si>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</si>
  <si>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</si>
  <si>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</si>
  <si>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</si>
  <si>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</si>
  <si>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</si>
  <si>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</si>
  <si>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</si>
  <si>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</si>
  <si>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</si>
  <si>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</si>
  <si>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</si>
  <si>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</si>
  <si>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</si>
  <si>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</si>
  <si>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</si>
  <si>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</si>
  <si>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</si>
  <si>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</si>
  <si>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</si>
  <si>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</si>
  <si>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</si>
  <si>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</si>
  <si>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</si>
  <si>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</si>
  <si>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</si>
  <si>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</si>
  <si>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</si>
  <si>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</si>
  <si>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</si>
  <si>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</si>
  <si>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</si>
  <si>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</si>
  <si>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</si>
  <si>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</si>
  <si>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</si>
  <si>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</si>
  <si>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</si>
  <si>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</si>
  <si>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</si>
  <si>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</si>
  <si>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</si>
  <si>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</si>
  <si>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</si>
  <si>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</si>
  <si>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</si>
  <si>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</si>
  <si>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</si>
  <si>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</si>
  <si>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</si>
  <si>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</si>
  <si>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</si>
  <si>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</si>
  <si>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</si>
  <si>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</si>
  <si>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</si>
  <si>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</si>
  <si>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</si>
  <si>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</si>
  <si>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</si>
  <si>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</si>
  <si>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</si>
  <si>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</si>
  <si>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</si>
  <si>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</si>
  <si>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</si>
  <si>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</si>
  <si>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</si>
  <si>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</si>
  <si>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</si>
  <si>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</si>
  <si>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</si>
  <si>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</si>
  <si>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</si>
  <si>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</si>
  <si>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</si>
  <si>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</si>
  <si>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</si>
  <si>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</si>
  <si>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</si>
  <si>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</si>
  <si>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</si>
  <si>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</si>
  <si>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</si>
  <si>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</si>
  <si>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</si>
  <si>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</si>
  <si>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Kinder - Pyrotechnik</t>
  </si>
  <si>
    <t>Children´s pyrotechnics</t>
  </si>
  <si>
    <t>Dětská pyrotechnika</t>
  </si>
  <si>
    <t>Dječja pirotehnika</t>
  </si>
  <si>
    <t>Articoli pirotecnici per bambini</t>
  </si>
  <si>
    <t>Vaikų pirotechnika</t>
  </si>
  <si>
    <t xml:space="preserve">Artykuły różne </t>
  </si>
  <si>
    <t>Dečja pirotehnika</t>
  </si>
  <si>
    <t>Pháo hoa của trẻ em</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</si>
  <si>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</si>
  <si>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</si>
  <si>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</si>
  <si>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</si>
  <si>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</si>
  <si>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</si>
  <si>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</si>
  <si>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</si>
  <si>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</si>
  <si>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</si>
  <si>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</si>
  <si>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</si>
  <si>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</si>
  <si>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</si>
  <si>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</si>
  <si>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</si>
  <si>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</si>
  <si>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</si>
  <si>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</si>
  <si>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</si>
  <si>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</si>
  <si>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</si>
  <si>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</si>
  <si>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</si>
  <si>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</si>
  <si>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</si>
  <si>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</si>
  <si>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</si>
  <si>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</si>
  <si>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</si>
  <si>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</si>
  <si>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</si>
  <si>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</si>
  <si>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</si>
  <si>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</si>
  <si>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</si>
  <si>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</si>
  <si>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</si>
  <si>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</si>
  <si>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</si>
  <si>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</si>
  <si>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</si>
  <si>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</si>
  <si>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</si>
  <si>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Rauchröhren</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</si>
  <si>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</si>
  <si>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</si>
  <si>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</si>
  <si>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</si>
  <si>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</si>
  <si>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</si>
  <si>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</si>
  <si>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</si>
  <si>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</si>
  <si>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</si>
  <si>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</si>
  <si>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</si>
  <si>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</si>
  <si>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</si>
  <si>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</si>
  <si>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</si>
  <si>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</si>
  <si>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</si>
  <si>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</si>
  <si>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</si>
  <si>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</si>
  <si>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</si>
  <si>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</si>
  <si>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</si>
  <si>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</si>
  <si>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</si>
  <si>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</si>
  <si>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</si>
  <si>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</si>
  <si>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</si>
  <si>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</si>
  <si>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</si>
  <si>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</si>
  <si>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</si>
  <si>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</si>
  <si>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</si>
  <si>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</si>
  <si>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</si>
  <si>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</si>
  <si>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</si>
  <si>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</si>
  <si>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</si>
  <si>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</si>
  <si>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</si>
  <si>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</si>
  <si>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</si>
  <si>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</si>
  <si>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</si>
  <si>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</si>
  <si>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</si>
  <si>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</si>
  <si>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</si>
  <si>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</si>
  <si>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</si>
  <si>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</si>
  <si>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</si>
  <si>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</si>
  <si>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</si>
  <si>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</si>
  <si>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</si>
  <si>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</si>
  <si>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</si>
  <si>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</si>
  <si>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</si>
  <si>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</si>
  <si>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</si>
  <si>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</si>
  <si>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</si>
  <si>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</si>
  <si>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</si>
  <si>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</si>
  <si>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</si>
  <si>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</si>
  <si>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</si>
  <si>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</si>
  <si>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</si>
  <si>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</si>
  <si>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</si>
  <si>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</si>
  <si>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</si>
  <si>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</si>
  <si>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</si>
  <si>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</si>
  <si>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</si>
  <si>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</si>
  <si>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</si>
  <si>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</si>
  <si>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</si>
  <si>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</si>
  <si>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</si>
  <si>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</si>
  <si>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</si>
  <si>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</si>
  <si>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</si>
  <si>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</si>
  <si>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</si>
  <si>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</si>
  <si>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</si>
  <si>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</si>
  <si>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</si>
  <si>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</si>
  <si>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</si>
  <si>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</si>
  <si>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</si>
  <si>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</si>
  <si>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</si>
  <si>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</si>
  <si>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</si>
  <si>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</si>
  <si>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</si>
  <si>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20mm</t>
  </si>
  <si>
    <t>Roman candle 20mm</t>
  </si>
  <si>
    <t>Římské svíce 20mm</t>
  </si>
  <si>
    <t>Rimska svijeća 20mm</t>
  </si>
  <si>
    <t>Candela romana 20 mm</t>
  </si>
  <si>
    <t>Romėniškos ugnies lazdelė 20mm</t>
  </si>
  <si>
    <t>Rzymskie ognie kaliber 20mm</t>
  </si>
  <si>
    <t>Rimska sveća 20mm</t>
  </si>
  <si>
    <t>Nến La mã 20mm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</si>
  <si>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</si>
  <si>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</si>
  <si>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</si>
  <si>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</si>
  <si>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</si>
  <si>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</si>
  <si>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</si>
  <si>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</si>
  <si>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</si>
  <si>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</si>
  <si>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</si>
  <si>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</si>
  <si>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</si>
  <si>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</si>
  <si>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</si>
  <si>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</si>
  <si>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</si>
  <si>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</si>
  <si>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</si>
  <si>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</si>
  <si>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</si>
  <si>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</si>
  <si>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</si>
  <si>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</si>
  <si>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</si>
  <si>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</si>
  <si>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</si>
  <si>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</si>
  <si>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</si>
  <si>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</si>
  <si>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</si>
  <si>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</si>
  <si>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</si>
  <si>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</si>
  <si>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</si>
  <si>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</si>
  <si>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</si>
  <si>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</si>
  <si>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</si>
  <si>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</si>
  <si>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</si>
  <si>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</si>
  <si>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</si>
  <si>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</si>
  <si>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</si>
  <si>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</si>
  <si>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</si>
  <si>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</si>
  <si>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</si>
  <si>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</si>
  <si>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</si>
  <si>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</si>
  <si>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</si>
  <si>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</si>
  <si>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Fontäne+Mine</t>
  </si>
  <si>
    <t>Fountain+Mine</t>
  </si>
  <si>
    <t>Fontána+Mina</t>
  </si>
  <si>
    <t>Fontana+mina</t>
  </si>
  <si>
    <t>Fontana+stella</t>
  </si>
  <si>
    <t>Fontanas + mina</t>
  </si>
  <si>
    <t>Fontanny z miną</t>
  </si>
  <si>
    <t>Fontana + Mina</t>
  </si>
  <si>
    <t>Vòi phun lửa + "Mine"</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</si>
  <si>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</si>
  <si>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</si>
  <si>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</si>
  <si>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</si>
  <si>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</si>
  <si>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</si>
  <si>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</si>
  <si>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</si>
  <si>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</si>
  <si>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Brunnen mit Explosion</t>
  </si>
  <si>
    <t>Fountain with explosion</t>
  </si>
  <si>
    <t>Fontána s explozí</t>
  </si>
  <si>
    <t>Fontane sa eksplozijom</t>
  </si>
  <si>
    <t>Fontana con esplosione</t>
  </si>
  <si>
    <t>Fontanas su sprogimu</t>
  </si>
  <si>
    <t>Fontanny ze strzałem</t>
  </si>
  <si>
    <t>Fontana sa eksplozijom</t>
  </si>
  <si>
    <t>Vòi lửa xoay</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</si>
  <si>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</si>
  <si>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</si>
  <si>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</si>
  <si>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</si>
  <si>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</si>
  <si>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</si>
  <si>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</si>
  <si>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</si>
  <si>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</si>
  <si>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</si>
  <si>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</si>
  <si>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</si>
  <si>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</si>
  <si>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</si>
  <si>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</si>
  <si>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</si>
  <si>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</si>
  <si>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</si>
  <si>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</si>
  <si>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</si>
  <si>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</si>
  <si>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</si>
  <si>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</si>
  <si>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</si>
  <si>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</si>
  <si>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</si>
  <si>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</si>
  <si>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</si>
  <si>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</si>
  <si>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</si>
  <si>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</si>
  <si>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</si>
  <si>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</si>
  <si>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</si>
  <si>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</si>
  <si>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</si>
  <si>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</si>
  <si>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</si>
  <si>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</si>
  <si>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</si>
  <si>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</si>
  <si>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</si>
  <si>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</si>
  <si>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</si>
  <si>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</si>
  <si>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</si>
  <si>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</si>
  <si>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</si>
  <si>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</si>
  <si>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</si>
  <si>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</si>
  <si>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</si>
  <si>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</si>
  <si>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</si>
  <si>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Raketensets F2-1.4G</t>
  </si>
  <si>
    <t>Rocket set F2-1.4G</t>
  </si>
  <si>
    <t>Raketové sety F2-1.4G</t>
  </si>
  <si>
    <t>Set raketa F2-1.4G</t>
  </si>
  <si>
    <t>Assortimento razzi f2 1.4g</t>
  </si>
  <si>
    <t>Raketų rinkinys F2+1.4G</t>
  </si>
  <si>
    <t>Zestawy rakiet F2-1,4G</t>
  </si>
  <si>
    <t>Set Raketa F2-1.4G</t>
  </si>
  <si>
    <t>Bộ tên lửa F2-1.4G</t>
  </si>
  <si>
    <t>Raketensets 1.3G+1.4G</t>
  </si>
  <si>
    <t>Rocket set 1.3G+1.4G</t>
  </si>
  <si>
    <t>Raketové sety 1.3G+1.4G</t>
  </si>
  <si>
    <t>Set raketa 1.3G+1.4G</t>
  </si>
  <si>
    <t>Assortimento razzi 1.3g+1.4g</t>
  </si>
  <si>
    <t>Raketų rinkinys 1.3G+1.4G</t>
  </si>
  <si>
    <t>Zestawy rakiet 1,3G, 1,4G</t>
  </si>
  <si>
    <t>Set Raketa 1.3G+1.4G</t>
  </si>
  <si>
    <t>Bộ tên lửa 1.3G + 1.4G</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</si>
  <si>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</si>
  <si>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</si>
  <si>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</si>
  <si>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</si>
  <si>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</si>
  <si>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</si>
  <si>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</si>
  <si>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</si>
  <si>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</si>
  <si>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</si>
  <si>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</si>
  <si>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</si>
  <si>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</si>
  <si>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</si>
  <si>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</si>
  <si>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</si>
  <si>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</si>
  <si>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</si>
  <si>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</si>
  <si>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</si>
  <si>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</si>
  <si>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</si>
  <si>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</si>
  <si>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</si>
  <si>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</si>
  <si>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</si>
  <si>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Presentation stands</t>
  </si>
  <si>
    <t>Prezentační stojany</t>
  </si>
  <si>
    <t>Prezentacijski štandovi</t>
  </si>
  <si>
    <t>Stand espositivo</t>
  </si>
  <si>
    <t>Reklaminiai stendai</t>
  </si>
  <si>
    <t>Stojaki prezentacyjne</t>
  </si>
  <si>
    <t>Reklamni štand</t>
  </si>
  <si>
    <t>Giá, kệ - quảng cáo, trình bày</t>
  </si>
  <si>
    <t>Sonstiges</t>
  </si>
  <si>
    <t>Others</t>
  </si>
  <si>
    <t>Ostatní</t>
  </si>
  <si>
    <t>Ostalo</t>
  </si>
  <si>
    <t>Altri</t>
  </si>
  <si>
    <t>Kita</t>
  </si>
  <si>
    <t xml:space="preserve">Pozostałe </t>
  </si>
  <si>
    <t>Và nhiều thứ khác</t>
  </si>
  <si>
    <t>Batterien der raketen 100 schuss, 8mm Mörser-1.4G</t>
  </si>
  <si>
    <t>100sh Battery of rockets, 8mm mortars-1.4G</t>
  </si>
  <si>
    <t>Baterie raket 100ran, 8mm moždíř-1.4G</t>
  </si>
  <si>
    <t>Vatrometna kutija raketa 100 pucnjeva, cijev 8mm-1.4G</t>
  </si>
  <si>
    <t>Batteria di fischi 100 colpi, mortaio 8 mm-1.4g</t>
  </si>
  <si>
    <t>100 šūvių raketų baterija, 8mm vamzdžiai - 1.4G</t>
  </si>
  <si>
    <t>Wyrzutnie 100 strz. kaliber 8mm 1.4G</t>
  </si>
  <si>
    <t>100s Baterije sa raketama, cev 8mm - 1.4G</t>
  </si>
  <si>
    <t>"Compact" 100 phát đạn, đường kính 8mm-1,4G</t>
  </si>
  <si>
    <t>Batterien der raketen 300 schuss, 8mm Mörser-1.4G</t>
  </si>
  <si>
    <t>300sh Battery of rockets, 8mm mortars-1.4G</t>
  </si>
  <si>
    <t>Baterie raket 300ran, 8mm moždíř-1.4G</t>
  </si>
  <si>
    <t>Vatrometna kutija raketa 300 pucnjeva, cijev 8mm-1.4G</t>
  </si>
  <si>
    <t>Batteria di fischi 300 colpi, mortaio 8 mm-1.4g</t>
  </si>
  <si>
    <t>300 šūvių raketų baterija, 8mm vamzdžiai - 1.4G</t>
  </si>
  <si>
    <t>Wyrzutnie 300 strz. kaliber 8mm 1.4G</t>
  </si>
  <si>
    <t>300s Baterije sa raketama, cev 8mm - 1.4G</t>
  </si>
  <si>
    <t>"Compact" 300 phát đạn, đường kính 8mm-1,4G</t>
  </si>
  <si>
    <t>Batterien der raketen 1000 schuss, 8mm Mörser-1.4G</t>
  </si>
  <si>
    <t>1000sh Battery of rockets, 8mm mortars-1.4G</t>
  </si>
  <si>
    <t>Baterie raket 1000ran, 8mm moždíř-1.4G</t>
  </si>
  <si>
    <t>Vatrometna kutija raketa 1000 pucnjeva, cijev 8mm-1.4G</t>
  </si>
  <si>
    <t>Batteria di fischi 1000 colpi, mortaio 8 mm-1.4g</t>
  </si>
  <si>
    <t>1000 šūvių raketų baterija, 8mm vamzdžiai - 1.4G</t>
  </si>
  <si>
    <t>Wyrzutnie 1000 strz. kaliber 8mm 1,4G</t>
  </si>
  <si>
    <t>1000s Baterije sa raketama, cev 8mm - 1.4G</t>
  </si>
  <si>
    <t>"Compact" 1000 phát đạn, đường kính 8mm-1.4G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</si>
  <si>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</si>
  <si>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</si>
  <si>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</si>
  <si>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</si>
  <si>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</si>
  <si>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</si>
  <si>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</si>
  <si>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</si>
  <si>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</si>
  <si>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</si>
  <si>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</si>
  <si>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</si>
  <si>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</si>
  <si>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</si>
  <si>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</si>
  <si>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</si>
  <si>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</si>
  <si>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</si>
  <si>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</si>
  <si>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</si>
  <si>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</si>
  <si>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</si>
  <si>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</si>
  <si>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</si>
  <si>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</si>
  <si>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</si>
  <si>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</si>
  <si>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</si>
  <si>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</si>
  <si>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</si>
  <si>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</si>
  <si>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</si>
  <si>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</si>
  <si>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</si>
  <si>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</si>
  <si>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</si>
  <si>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</si>
  <si>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</si>
  <si>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</si>
  <si>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</si>
  <si>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</si>
  <si>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</si>
  <si>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</si>
  <si>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9 schuss, 20mm Mörser-1.4G</t>
  </si>
  <si>
    <t>9sh Battery of shot tube, 20mm mortars-1.4G</t>
  </si>
  <si>
    <t>Baterie 9ran, 20mm moždíř-1.4G</t>
  </si>
  <si>
    <t>Vatrometna kutija 9 pucnjeva, 20mm cijev-1.4G</t>
  </si>
  <si>
    <t>Batteria di tubi di lancio 9 colpi, mortaio 20 mm-1.4g</t>
  </si>
  <si>
    <t>9 šūvių raketų baterija, 20mm vamzdžiai - 1.4G</t>
  </si>
  <si>
    <t>Wyrzutnie 9 strz. kaliber 20mm 1.4G</t>
  </si>
  <si>
    <t>9s Baterije, cev 20mm - 1.4G</t>
  </si>
  <si>
    <t>"Compact" 9 phát đạn, đường kính 20mm-1.4G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</si>
  <si>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</si>
  <si>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</si>
  <si>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</si>
  <si>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</si>
  <si>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</si>
  <si>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</si>
  <si>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</si>
  <si>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</si>
  <si>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</si>
  <si>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</si>
  <si>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</si>
  <si>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</si>
  <si>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</si>
  <si>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</si>
  <si>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</si>
  <si>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</si>
  <si>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</si>
  <si>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</si>
  <si>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</si>
  <si>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</si>
  <si>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</si>
  <si>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</si>
  <si>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</si>
  <si>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</si>
  <si>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</si>
  <si>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</si>
  <si>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</si>
  <si>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</si>
  <si>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</si>
  <si>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</si>
  <si>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</si>
  <si>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</si>
  <si>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</si>
  <si>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</si>
  <si>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</si>
  <si>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</si>
  <si>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</si>
  <si>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</si>
  <si>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</si>
  <si>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</si>
  <si>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</si>
  <si>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</si>
  <si>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</si>
  <si>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</si>
  <si>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</si>
  <si>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</si>
  <si>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</si>
  <si>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</si>
  <si>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</si>
  <si>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</si>
  <si>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</si>
  <si>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</si>
  <si>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</si>
  <si>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</si>
  <si>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</si>
  <si>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</si>
  <si>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</si>
  <si>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</si>
  <si>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</si>
  <si>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</si>
  <si>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</si>
  <si>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</si>
  <si>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</si>
  <si>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</si>
  <si>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</si>
  <si>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</si>
  <si>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</si>
  <si>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</si>
  <si>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</si>
  <si>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</si>
  <si>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</si>
  <si>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</si>
  <si>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</si>
  <si>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</si>
  <si>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</si>
  <si>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</si>
  <si>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</si>
  <si>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</si>
  <si>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</si>
  <si>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</si>
  <si>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</si>
  <si>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</si>
  <si>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</si>
  <si>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</si>
  <si>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</si>
  <si>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</si>
  <si>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</si>
  <si>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</si>
  <si>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</si>
  <si>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</si>
  <si>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</si>
  <si>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</si>
  <si>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</si>
  <si>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</si>
  <si>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</si>
  <si>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</si>
  <si>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</si>
  <si>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</si>
  <si>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</si>
  <si>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</si>
  <si>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</si>
  <si>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</si>
  <si>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</si>
  <si>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</si>
  <si>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66 šūvių baterija, 20mm I+V+W+vėduoklės formos vamzdžiai, 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</si>
  <si>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</si>
  <si>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</si>
  <si>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</si>
  <si>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</si>
  <si>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</si>
  <si>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</si>
  <si>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</si>
  <si>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</si>
  <si>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</si>
  <si>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</si>
  <si>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</si>
  <si>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</si>
  <si>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</si>
  <si>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</si>
  <si>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</si>
  <si>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</si>
  <si>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</si>
  <si>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</si>
  <si>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</si>
  <si>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</si>
  <si>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</si>
  <si>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</si>
  <si>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</si>
  <si>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</si>
  <si>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</si>
  <si>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</si>
  <si>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</si>
  <si>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</si>
  <si>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</si>
  <si>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</si>
  <si>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</si>
  <si>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</si>
  <si>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</si>
  <si>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</si>
  <si>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</si>
  <si>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</si>
  <si>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</si>
  <si>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</si>
  <si>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</si>
  <si>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</si>
  <si>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</si>
  <si>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</si>
  <si>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</si>
  <si>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</si>
  <si>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</si>
  <si>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</si>
  <si>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</si>
  <si>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</si>
  <si>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</si>
  <si>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</si>
  <si>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</si>
  <si>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</si>
  <si>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</si>
  <si>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</si>
  <si>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</si>
  <si>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</si>
  <si>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</si>
  <si>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</si>
  <si>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</si>
  <si>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</si>
  <si>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</si>
  <si>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</si>
  <si>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</si>
  <si>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</si>
  <si>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</si>
  <si>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135schuss, 20mm schräg Mörser-1.3G</t>
  </si>
  <si>
    <t>135sh Battery of shot tube, 20mm fan shaped mortars-1.3G</t>
  </si>
  <si>
    <t>Baterie 135ran, 20mm šíkmý moždíř-1.3G</t>
  </si>
  <si>
    <t>Vatrometna kutija 135 pucnjeva, 20mm, oblik cijevi kosi-1.3G</t>
  </si>
  <si>
    <t>Batteria di tubi di lancio 135 colpi, mortaio 20mm a ventaglio-1.3g</t>
  </si>
  <si>
    <t>135 šūvių raketų baterija, 20mm vamzdžiai, šaudo vėduoklės principu - 1.3G</t>
  </si>
  <si>
    <t>Wyrzutnie 135 strz. kaliber 20mm kątowe 1.3G</t>
  </si>
  <si>
    <t>135s Baterije, cev 20mm, FAN shape -1.3G</t>
  </si>
  <si>
    <t>"Compact" 135 phát đạn, hình quạt "V" 20mm-1.3G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</si>
  <si>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</si>
  <si>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</si>
  <si>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</si>
  <si>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</si>
  <si>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</si>
  <si>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</si>
  <si>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</si>
  <si>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</si>
  <si>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</si>
  <si>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</si>
  <si>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</si>
  <si>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</si>
  <si>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</si>
  <si>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</si>
  <si>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</si>
  <si>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</si>
  <si>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</si>
  <si>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</si>
  <si>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 - F2 - 1.4G</t>
  </si>
  <si>
    <t>Compound fireworks 20mm - F2 - 1.4G</t>
  </si>
  <si>
    <t>Složený ohňostroj 20mm - F2 - 1.4G</t>
  </si>
  <si>
    <t>Vatrometna kombinacija 20mm - F2 - 1.4G</t>
  </si>
  <si>
    <t>Combinato 20mm - F2 - 1.4g</t>
  </si>
  <si>
    <t>Jungtinis fejerverkų rinkinys 20mm -F2 - 1.4G</t>
  </si>
  <si>
    <t>Wyrzutnie złożone kaliber 20mm – F2 – 1.4G</t>
  </si>
  <si>
    <t>Komplet vatromet 20mm-F2-1.4G</t>
  </si>
  <si>
    <t>Pháo hoa - gấp nối 20mm - F2 - 1.4G</t>
  </si>
  <si>
    <t>Verbundfeurwerk 20mm(mit Schutzhülle) - F2 - 1.4G</t>
  </si>
  <si>
    <t>Compound fireworks 20mm(with protective packaging) - F2 - 1.4G</t>
  </si>
  <si>
    <t>Složený ohňostroj 20mm(s ochraným obalem)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</si>
  <si>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</si>
  <si>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</si>
  <si>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</si>
  <si>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</si>
  <si>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</si>
  <si>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</si>
  <si>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</si>
  <si>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</si>
  <si>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</si>
  <si>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</si>
  <si>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</si>
  <si>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</si>
  <si>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</si>
  <si>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</si>
  <si>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</si>
  <si>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</si>
  <si>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</si>
  <si>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Složený ohňostroj 20mm(s ochraným obalem)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</si>
  <si>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</si>
  <si>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</si>
  <si>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</si>
  <si>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</si>
  <si>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</si>
  <si>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</si>
  <si>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</si>
  <si>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</si>
  <si>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</si>
  <si>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</si>
  <si>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</si>
  <si>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</si>
  <si>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</si>
  <si>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</si>
  <si>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</si>
  <si>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</si>
  <si>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</si>
  <si>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Složený ohňostroj(s ochraným obalem)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</si>
  <si>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</si>
  <si>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</si>
  <si>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</si>
  <si>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</si>
  <si>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</si>
  <si>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</si>
  <si>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</si>
  <si>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</si>
  <si>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</si>
  <si>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</si>
  <si>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</si>
  <si>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</si>
  <si>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</si>
  <si>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</si>
  <si>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</si>
  <si>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</si>
  <si>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</si>
  <si>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</si>
  <si>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</si>
  <si>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</si>
  <si>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</si>
  <si>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</si>
  <si>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</si>
  <si>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</si>
  <si>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</si>
  <si>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</si>
  <si>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</si>
  <si>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</si>
  <si>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</si>
  <si>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</si>
  <si>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</si>
  <si>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</si>
  <si>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</si>
  <si>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</si>
  <si>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</si>
  <si>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</si>
  <si>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</si>
  <si>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</si>
  <si>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</si>
  <si>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</si>
  <si>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</si>
  <si>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</si>
  <si>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</si>
  <si>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</si>
  <si>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</si>
  <si>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</si>
  <si>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</si>
  <si>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</si>
  <si>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</si>
  <si>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</si>
  <si>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</si>
  <si>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</si>
  <si>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</si>
  <si>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</si>
  <si>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</si>
  <si>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</si>
  <si>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</si>
  <si>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</si>
  <si>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</si>
  <si>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</si>
  <si>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</si>
  <si>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</si>
  <si>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</si>
  <si>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</si>
  <si>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</si>
  <si>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</si>
  <si>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</si>
  <si>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</si>
  <si>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</si>
  <si>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</si>
  <si>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</si>
  <si>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</si>
  <si>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</si>
  <si>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</si>
  <si>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</si>
  <si>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</si>
  <si>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</si>
  <si>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</si>
  <si>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</si>
  <si>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</si>
  <si>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</si>
  <si>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</si>
  <si>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</si>
  <si>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</si>
  <si>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</si>
  <si>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</si>
  <si>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</si>
  <si>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</si>
  <si>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</si>
  <si>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</si>
  <si>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</si>
  <si>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</si>
  <si>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</si>
  <si>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</si>
  <si>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</si>
  <si>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</si>
  <si>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</si>
  <si>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</si>
  <si>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</si>
  <si>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</si>
  <si>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</si>
  <si>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</si>
  <si>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</si>
  <si>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</si>
  <si>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</si>
  <si>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</si>
  <si>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</si>
  <si>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</si>
  <si>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</si>
  <si>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</si>
  <si>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</si>
  <si>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</si>
  <si>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</si>
  <si>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</si>
  <si>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</si>
  <si>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</si>
  <si>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</si>
  <si>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</si>
  <si>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</si>
  <si>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</si>
  <si>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</si>
  <si>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</si>
  <si>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</si>
  <si>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</si>
  <si>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</si>
  <si>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</si>
  <si>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</si>
  <si>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</si>
  <si>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</si>
  <si>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</si>
  <si>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</si>
  <si>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</si>
  <si>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</si>
  <si>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</si>
  <si>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</si>
  <si>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</si>
  <si>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</si>
  <si>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</si>
  <si>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</si>
  <si>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</si>
  <si>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</si>
  <si>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</si>
  <si>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Složený ohňostroj(s ochraným obalem)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</si>
  <si>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</si>
  <si>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</si>
  <si>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</si>
  <si>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</si>
  <si>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</si>
  <si>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</si>
  <si>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</si>
  <si>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</si>
  <si>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</si>
  <si>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</si>
  <si>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</si>
  <si>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</si>
  <si>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</si>
  <si>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</si>
  <si>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</si>
  <si>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</si>
  <si>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</si>
  <si>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Složený ohňostroj(s ochraným obalem)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</si>
  <si>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</si>
  <si>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</si>
  <si>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</si>
  <si>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</si>
  <si>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</si>
  <si>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</si>
  <si>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</si>
  <si>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</si>
  <si>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</si>
  <si>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</si>
  <si>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</si>
  <si>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</si>
  <si>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</si>
  <si>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</si>
  <si>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</si>
  <si>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</si>
  <si>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Složený ohňostroj(s ochraným obalem)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</si>
  <si>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</si>
  <si>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</si>
  <si>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</si>
  <si>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</si>
  <si>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</si>
  <si>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</si>
  <si>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300 schuss, 25mm Mörser-1.3G</t>
  </si>
  <si>
    <t>300sh Battery of shot tube, 25mm mortars-1.3G</t>
  </si>
  <si>
    <t>Baterie 300ran, 25mm moždíř-1.3G</t>
  </si>
  <si>
    <t>Vatrometna kutija 300 pucnjeva, 25mm cijev-1.3G</t>
  </si>
  <si>
    <t>Batteria di tubi di lancio 300 colpi, mortaio 25mm-1.3g</t>
  </si>
  <si>
    <t>300 šūvių raketų baterija, 25mm vamzdžiai - 1.3G</t>
  </si>
  <si>
    <t>Wyrzutnie 300 strz. kaliber 25mm 1.3G</t>
  </si>
  <si>
    <t>300s Baterije, cev 25mm - 1.3G</t>
  </si>
  <si>
    <t>"Compact" 300 phát đạn, đường kính 25mm-1,3G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</si>
  <si>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</si>
  <si>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</si>
  <si>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</si>
  <si>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</si>
  <si>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</si>
  <si>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</si>
  <si>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</si>
  <si>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</si>
  <si>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</si>
  <si>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</si>
  <si>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</si>
  <si>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</si>
  <si>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</si>
  <si>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</si>
  <si>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</si>
  <si>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</si>
  <si>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</si>
  <si>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</si>
  <si>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</si>
  <si>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</si>
  <si>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</si>
  <si>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</si>
  <si>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</si>
  <si>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</si>
  <si>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</si>
  <si>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</si>
  <si>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</si>
  <si>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19 schuss, 30mm Mörser-1.4G</t>
  </si>
  <si>
    <t>19sh Battery of shot tube, 30mm mortars-1.4G</t>
  </si>
  <si>
    <t>Baterie 19ran, 30mm moždíř-1.4G</t>
  </si>
  <si>
    <t>Vatrometna kutija 19 pucnjeva, 30mm cijev-1.4G</t>
  </si>
  <si>
    <t>Batteria di tubi di lancio 19 colpi, mortaio 30mm-1.4g</t>
  </si>
  <si>
    <t>19 šūvių raketų baterija, 30mm vamzdžiai - 1.4G</t>
  </si>
  <si>
    <t>Wyrzutnie 19 strz. kaliber 30mm 1.4G</t>
  </si>
  <si>
    <t>19s Baterije, cev 30mm - 1.4G</t>
  </si>
  <si>
    <t>"Compact" 19 phát đạn, đường kính 30mm-1.4G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</si>
  <si>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</si>
  <si>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</si>
  <si>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</si>
  <si>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</si>
  <si>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</si>
  <si>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</si>
  <si>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</si>
  <si>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</si>
  <si>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</si>
  <si>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</si>
  <si>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</si>
  <si>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</si>
  <si>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</si>
  <si>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</si>
  <si>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</si>
  <si>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</si>
  <si>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</si>
  <si>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</si>
  <si>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Mörser-1.3G</t>
  </si>
  <si>
    <t>25sh Battery of shot tube, 30mm mortars-1.3G</t>
  </si>
  <si>
    <t>Baterie 25ran, 30mm moždíř-1.3G</t>
  </si>
  <si>
    <t>Vatrometna kutija 25 pucnjeva, 30mm cijev-1.3G</t>
  </si>
  <si>
    <t>Batteria di tubi di lancio 25 colpi, mortaio 30mm -1.3g</t>
  </si>
  <si>
    <t>25 šūvių raketų baterija, 30mm vamzdžiai - 1.3G</t>
  </si>
  <si>
    <t>Wyrzutnie 25 strz. kaliber 30mm 1.3G</t>
  </si>
  <si>
    <t>25s Baterije, cev 30mm - 1.3G</t>
  </si>
  <si>
    <t>"Compact" 25 phát đạn, đường kính 30mm-1,3G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</si>
  <si>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</si>
  <si>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</si>
  <si>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</si>
  <si>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</si>
  <si>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</si>
  <si>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</si>
  <si>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</si>
  <si>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</si>
  <si>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</si>
  <si>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</si>
  <si>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</si>
  <si>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</si>
  <si>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</si>
  <si>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</si>
  <si>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</si>
  <si>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</si>
  <si>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</si>
  <si>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29 schuss, 30mm V+W+schräg Mörser-1.3G</t>
  </si>
  <si>
    <t>29sh Battery of shot tube, 30mm V+W+FAN mortars-1.3G</t>
  </si>
  <si>
    <t>Baterie 29ran, 30mm V+W+šikmý moždíř-1.3G</t>
  </si>
  <si>
    <t>Vatrometna kutija 29 pucnjeva, 30mm, oblik cijevi V+W+kosi - 1.3G</t>
  </si>
  <si>
    <t>29sh Batteria di tubo di tiro, mortai V+W+FAN da 30 mm-1,3 G</t>
  </si>
  <si>
    <t>29 šūvių baterija, 30mm I+V+W+vėduoklės formos vamzdžiai, 1.3g</t>
  </si>
  <si>
    <t>Wyrzutnie 29 strz. kaliber 30mm układ  V+W+FAN -1.3G</t>
  </si>
  <si>
    <t>29s Baterija 30mm , V+W+FAN efekat - 1.3G</t>
  </si>
  <si>
    <t>"Compact" 29 phát đạn, đường kính 30mm, hình V + W + FAN-1.3G</t>
  </si>
  <si>
    <t>Batterien 29 schuss, 30mm V+W+schräg Mörser-1.4G</t>
  </si>
  <si>
    <t>29sh Battery of shot tube, 30mm V+W+FAN mortars-1.4G</t>
  </si>
  <si>
    <t>Baterie 29ran, 30mm V+W+šikmý moždíř-1.4G</t>
  </si>
  <si>
    <t>Vatrometna kutija 29 pucnjeva, 30mm, oblik cijevi V+W+kosi - 1.4G</t>
  </si>
  <si>
    <t>Batteria da 29 ciglia di tubo di tiro, mortai V+W+FAN da 30 mm-1,4 G</t>
  </si>
  <si>
    <t>29s Baterija 30mm , V+W+FAN efekat - 1.4G</t>
  </si>
  <si>
    <t>"Compact" 29 phát đạn, đường kính 30mm, hình V + W + FAN-1.4G</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</si>
  <si>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</si>
  <si>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</si>
  <si>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</si>
  <si>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</si>
  <si>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</si>
  <si>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</si>
  <si>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</si>
  <si>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</si>
  <si>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</si>
  <si>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</si>
  <si>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</si>
  <si>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</si>
  <si>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</si>
  <si>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</si>
  <si>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</si>
  <si>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</si>
  <si>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</si>
  <si>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</si>
  <si>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</si>
  <si>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</si>
  <si>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</si>
  <si>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</si>
  <si>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</si>
  <si>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</si>
  <si>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</si>
  <si>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</si>
  <si>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</si>
  <si>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</si>
  <si>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</si>
  <si>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</si>
  <si>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</si>
  <si>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</si>
  <si>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</si>
  <si>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</si>
  <si>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</si>
  <si>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</si>
  <si>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</si>
  <si>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</si>
  <si>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</si>
  <si>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</si>
  <si>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</si>
  <si>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</si>
  <si>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</si>
  <si>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</si>
  <si>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</si>
  <si>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</si>
  <si>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</si>
  <si>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</si>
  <si>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</si>
  <si>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</si>
  <si>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</si>
  <si>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</si>
  <si>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</si>
  <si>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</si>
  <si>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</si>
  <si>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</si>
  <si>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</si>
  <si>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</si>
  <si>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</si>
  <si>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</si>
  <si>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</si>
  <si>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</si>
  <si>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</si>
  <si>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</si>
  <si>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</si>
  <si>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</si>
  <si>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</si>
  <si>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</si>
  <si>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</si>
  <si>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</si>
  <si>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</si>
  <si>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</si>
  <si>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</si>
  <si>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</si>
  <si>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</si>
  <si>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</si>
  <si>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</si>
  <si>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</si>
  <si>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</si>
  <si>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</si>
  <si>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Verbundfeurwerk 30mm - F2 - 1.4G</t>
  </si>
  <si>
    <t>Compound fireworks 30mm - F2 - 1.4G</t>
  </si>
  <si>
    <t>Složený ohňostroj 30mm - F2 - 1.4G</t>
  </si>
  <si>
    <t>Vatrometna kombinacija 30mm-F2-1.4G</t>
  </si>
  <si>
    <t>Combinato 30mm - F2 - 1.4g</t>
  </si>
  <si>
    <t>Jungtinis fejerverkų rinkinys 30mm -F2 - 1.4G</t>
  </si>
  <si>
    <t>Wyrzutnie złożone – F2– 1.4G</t>
  </si>
  <si>
    <t>Komplet vatromet 30mm -F2-1.4G</t>
  </si>
  <si>
    <t>Pháo hoa - gấp nối 30mm - F2 - 1.4G</t>
  </si>
  <si>
    <t>Verbundfeurwerk(mit Schutzhülle) 30mm - F2 - 1.4G</t>
  </si>
  <si>
    <t>Compound fireworks(with protective packaging) 30mm - F2 - 1.4G</t>
  </si>
  <si>
    <t>Složený ohňostroj(s ochraným obalem) 30mm - F2 - 1.4G</t>
  </si>
  <si>
    <t>Vatrometna kombinacija 30mm(u zaštitnom pakiranju) - F2 - 1.4G</t>
  </si>
  <si>
    <t>Combinato (con gabbia protettiva) 30mm - f2 - 1.4g</t>
  </si>
  <si>
    <t>Jungtinis fejerverkų rinkinys apsaugančioje pakuotėje 30mm -F2 - 1.4G</t>
  </si>
  <si>
    <t>Wyrzutnie złożone – F2– 1.4G (opakowanie chronne)</t>
  </si>
  <si>
    <t>Komplet vatromet 30mm (sa zaštitom) -F2-1.4G</t>
  </si>
  <si>
    <t>Pháo hoa hỗn hợp (có bao bì bảo vệ) 30mm - F2 - 1.4G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</si>
  <si>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</si>
  <si>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</si>
  <si>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</si>
  <si>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</si>
  <si>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</si>
  <si>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</si>
  <si>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</si>
  <si>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</si>
  <si>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</si>
  <si>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</si>
  <si>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Složený ohňostroj(s ochraným obalem)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</si>
  <si>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</si>
  <si>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</si>
  <si>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</si>
  <si>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</si>
  <si>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</si>
  <si>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</si>
  <si>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200 schuss, 30mm Mörser-1.3G</t>
  </si>
  <si>
    <t>200sh Battery of shot tube, 30mm mortars-1.3G</t>
  </si>
  <si>
    <t>Baterie 200ran, 30mm moždíř-1.3G</t>
  </si>
  <si>
    <t>Vatrometna kutija 200 pucnjeva, 30mm cijev-1.3G</t>
  </si>
  <si>
    <t>Batteria di tubi di lancio 200 colpi, mortaio 30 mm - 1.3g</t>
  </si>
  <si>
    <t>200 šūvių raketų baterija, 30mm vamzdžiai - 1.3G</t>
  </si>
  <si>
    <t>Wyrzutnie 200 strz. kaliber 30mm 1.3G</t>
  </si>
  <si>
    <t>200s Baterije, cev 30mm - 1.3G</t>
  </si>
  <si>
    <t xml:space="preserve">"Compact" 200 phát đạn, đường kính 30mm-1,3G </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</si>
  <si>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</si>
  <si>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</si>
  <si>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</si>
  <si>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</si>
  <si>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</si>
  <si>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</si>
  <si>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</si>
  <si>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</si>
  <si>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</si>
  <si>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</si>
  <si>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</si>
  <si>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</si>
  <si>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</si>
  <si>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</si>
  <si>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</si>
  <si>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</si>
  <si>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</si>
  <si>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</si>
  <si>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</si>
  <si>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</si>
  <si>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</si>
  <si>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</si>
  <si>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</si>
  <si>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</si>
  <si>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</si>
  <si>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</si>
  <si>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</si>
  <si>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</si>
  <si>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</si>
  <si>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</si>
  <si>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</si>
  <si>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</si>
  <si>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</si>
  <si>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</si>
  <si>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</si>
  <si>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</si>
  <si>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</si>
  <si>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</si>
  <si>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</si>
  <si>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</si>
  <si>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</si>
  <si>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</si>
  <si>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</si>
  <si>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</si>
  <si>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</si>
  <si>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</si>
  <si>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</si>
  <si>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</si>
  <si>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</si>
  <si>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</si>
  <si>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</si>
  <si>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</si>
  <si>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</si>
  <si>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</si>
  <si>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</si>
  <si>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</si>
  <si>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</si>
  <si>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</si>
  <si>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</si>
  <si>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</si>
  <si>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</si>
  <si>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</si>
  <si>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</si>
  <si>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</si>
  <si>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</si>
  <si>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Složený ohňostroj(s ochraným obalem)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</si>
  <si>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</si>
  <si>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</si>
  <si>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</si>
  <si>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</si>
  <si>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</si>
  <si>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</si>
  <si>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</si>
  <si>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</si>
  <si>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</si>
  <si>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</si>
  <si>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</si>
  <si>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</si>
  <si>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</si>
  <si>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</si>
  <si>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</si>
  <si>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</si>
  <si>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</si>
  <si>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</si>
  <si>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</si>
  <si>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</si>
  <si>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</si>
  <si>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</si>
  <si>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</si>
  <si>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</si>
  <si>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49 schuss, 63mm Mörser-1.3G</t>
  </si>
  <si>
    <t>49sh Battery,63mm mortars-1.3G</t>
  </si>
  <si>
    <t>Baterie 49ran, 63mm moždíř-1.3G</t>
  </si>
  <si>
    <t>Vatrometna kutija 49 pucnjeva, 63mm cijev-1.3G</t>
  </si>
  <si>
    <t>Batteria 49 colpi, mortaio 63 mm - 1.3g</t>
  </si>
  <si>
    <t>49 šūvių baterija, 63mm vamzdžiai - 1.3G</t>
  </si>
  <si>
    <t>Wyrzutnie 49 strz. kaliber 63mm 1.3G</t>
  </si>
  <si>
    <t>49s Baterije, cev 63mm - 1.3G</t>
  </si>
  <si>
    <t>"Compact" 49 phát đạn, đường kính 63mm-1.3G</t>
  </si>
  <si>
    <t>Batterien 16 schuss, 75mm Mörser-1.3G</t>
  </si>
  <si>
    <t>16sh Battery, 75mm mortars-1.3G</t>
  </si>
  <si>
    <t>Baterie 16ran, 75mm moždíř-1.3G</t>
  </si>
  <si>
    <t>Vatrometna kutija 16 pucnjeva, 75mm cijev-1.3G</t>
  </si>
  <si>
    <t>Batteria 16 colpi, mortaio 75 mm - 1.3g</t>
  </si>
  <si>
    <t>16 šūvių baterija, 75mm vamzdžiai - 1.3G</t>
  </si>
  <si>
    <t>Wyrzutnie 16 strz. kaliber 75mm 1.3G</t>
  </si>
  <si>
    <t>16s Baterije, cev 75mm - 1.3G</t>
  </si>
  <si>
    <t xml:space="preserve">"Compact" 16 phát đạn, đường kính 75mm-1.3G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</si>
  <si>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</si>
  <si>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</si>
  <si>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</si>
  <si>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</si>
  <si>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</si>
  <si>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</si>
  <si>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</si>
  <si>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</si>
  <si>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</si>
  <si>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Batterie mit mehreren Kalibern bis zu 30 mm</t>
  </si>
  <si>
    <t>Multi-caliber battery up to 30mm</t>
  </si>
  <si>
    <t>Multikaliberní kompakty do 30mm</t>
  </si>
  <si>
    <t>Vatrometna kutija (više različitih promjera - do 30mm)</t>
  </si>
  <si>
    <t>Batterie calibri misti fino a 30 mm</t>
  </si>
  <si>
    <t>Daugiakalibrė baterija iki 30mm</t>
  </si>
  <si>
    <t>Wyrzutnie multikaliber powyżej 30mm</t>
  </si>
  <si>
    <t>Višekalibarska Baterija do 30 mm</t>
  </si>
  <si>
    <t>"Compact" cùng nhiều đường kính đến 30mm</t>
  </si>
  <si>
    <t>Batterien 33 schuss, 20+25mm gerader+schräg+V+S Mörser-1.3G</t>
  </si>
  <si>
    <t>33sh Battery of shot tube, 20+25mm mortars normal+fan shaped+V+S mortars-1.3G</t>
  </si>
  <si>
    <t>Baterie 33ran, 20+25mm rovný+šikmý+V+S moždíř-1.3G</t>
  </si>
  <si>
    <t>Vatrometna kutija 33 pucnja, 20+25mm, oblik cijevi ravni+kosi+V+S-1.3G</t>
  </si>
  <si>
    <t>Batteria di tubi di lancio 33 colpi, mortaio 20+25 mm dritto+ventaglio+mortai v+s - 1.3g</t>
  </si>
  <si>
    <t>33 šūvių raketų baterija, 20+25mm vamzdžiai, šaudo tiesiai, vėduoklės principu+V+S - 1.3G</t>
  </si>
  <si>
    <t>Wyrzutnie 33 strz. kaliber 20+25mm układ I+V+S 1.3G</t>
  </si>
  <si>
    <t>33s Baterija, cevi 20+25mm, I+FAN+V+S-1.3G</t>
  </si>
  <si>
    <t>"Compact" 33 phát đạn, đường kính 20 + 25mm + hình "I" + "V" + "S"-1.3G</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</si>
  <si>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</si>
  <si>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</si>
  <si>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</si>
  <si>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</si>
  <si>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</si>
  <si>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</si>
  <si>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</si>
  <si>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</si>
  <si>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</si>
  <si>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39 schuss, 20+25+30mm schräg+V+W Mörser-1.4G</t>
  </si>
  <si>
    <t>39sh Battery of shot tube, 20+25+30mm mortars fan shaped+V+W mortars-1.4G</t>
  </si>
  <si>
    <t>Baterie 39ran, 20+25+30mm šikmý+V+W moždíř-1.4G</t>
  </si>
  <si>
    <t>Vatrometna kutija 39 pucnja, 20+25+30mm, oblik cijevi kosi+V+W-1.4G</t>
  </si>
  <si>
    <t>Batteria di tubi di lancio 39 colpi, mortaio 20+25+30 mm dritto+ventaglio+mortai v+s - 1.4g</t>
  </si>
  <si>
    <t>39 šūvių raketų baterija, 20+25+30mm vamzdžiai, šaudo vėduoklės principu+V+W - 1.4G</t>
  </si>
  <si>
    <t>Wyrzutnie 33 strz. kaliber 20+25+30mm układ V+W 1.4G</t>
  </si>
  <si>
    <t>39s Baterija, cevi 20+25+30mm,FAN+V+W-1.4G</t>
  </si>
  <si>
    <t>"Compact" 39 phát đạn, đường kính 20 + 25 + 30mm hình quạt "V" + "W"-1.4G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</si>
  <si>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</si>
  <si>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</si>
  <si>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</si>
  <si>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</si>
  <si>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</si>
  <si>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</si>
  <si>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</si>
  <si>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</si>
  <si>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</si>
  <si>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41 schuss, 20+25+30mm gerader+schräg+S Mörser+V Mörser -1.3G</t>
  </si>
  <si>
    <t>41sh Battery, 20+25+30mm standard+fan shaped+S mortars+V mortars-1.3G</t>
  </si>
  <si>
    <t>Baterie 41ran, 20+25+30mm rovný+šikmý+S moždíř+V moždíř-1.3G</t>
  </si>
  <si>
    <t>Vatrometna kutija 41 pucanj, 20+25+30mm, oblik cijevi ravni+kosi+S+V-1.3G</t>
  </si>
  <si>
    <t>Batteria 41 colpi, mortai 20+25+30mm standard+mortai s+mortai v-1.3g</t>
  </si>
  <si>
    <t>41 šūvio baterija, 20+25+30mm vamzdžiai, šaudo tiesiai, vėduoklės principu+S+V - 1.3G</t>
  </si>
  <si>
    <t>Wyrzutnie 41 strz. kaliber 20+25+30mm układ I+S+V 1.3G</t>
  </si>
  <si>
    <t>41s Baterija, cevi 20+25+30mm, I+FAN+S+V-1.3G</t>
  </si>
  <si>
    <t>"Compact" Pin 41, đường kính 20 + 25 + 30mm + hình quạt "V" + "S"-1.3G</t>
  </si>
  <si>
    <t>Batterien 41 schuss, 20+25+30mm gerader+schräg+S Mörser+V Mörser -1.4G</t>
  </si>
  <si>
    <t>41sh Battery, 20+25+30mm standard+fan shaped+S mortars+V mortars-1.4G</t>
  </si>
  <si>
    <t>Baterie 41ran, 20+25+30mm rovný+šikmý+S moždíř+V moždíř-1.4G</t>
  </si>
  <si>
    <t>Vatrometna kutija 41 pucanj, 20+25+30mm, oblik cijevi ravni+kosi+S+V-1.4G</t>
  </si>
  <si>
    <t>Batteria 41 colpi, mortai 20+25+30mm standard+mortai s+mortai v-1.4g</t>
  </si>
  <si>
    <t>41 šūvio baterija, 20+25+30mm vamzdžiai, šaudo tiesiai, vėduoklės principu+S+V - 1.4G</t>
  </si>
  <si>
    <t>Wyrzutnie 41 strz. kaliber 20+25+30mm układ I+S+V 1.4G</t>
  </si>
  <si>
    <t>41s Baterija, cevi 20+25+30mm, I+FAN+S+V-1.4G</t>
  </si>
  <si>
    <t>"Compact" Pin 41, đường kính 20 + 25 + 30mm + hình quạt "V" + "S"-1.4G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</si>
  <si>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</si>
  <si>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</si>
  <si>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</si>
  <si>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</si>
  <si>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</si>
  <si>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</si>
  <si>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</si>
  <si>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</si>
  <si>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</si>
  <si>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50 schuss, 20+25+30mm gerader+schräg+S Mörser-1.4G</t>
  </si>
  <si>
    <t>50sh Battery of shot tube, 20+25+30mm standart+fan shaped+S mortars -1.4G</t>
  </si>
  <si>
    <t>Baterie 50ran, 20+25+30mm rovný+šikmý+S moždíř-1.4G</t>
  </si>
  <si>
    <t>Vatrometna kutija 50 pucnjeva, 20+25+30mm, oblik cijevi ravni+kosi+S-1.4G</t>
  </si>
  <si>
    <t>Batteria 50 colpi, mortai 20+25+30mm standard+ventaglio+mortai s-1.4g</t>
  </si>
  <si>
    <t>50 šūvių raketų baterija, 20+25+30mm vamzdžiai, šaudo tiesiai, vėduoklės principu+S - 1.4G</t>
  </si>
  <si>
    <t>Wyrzutnie 50 strz. kaliber 20+25+30mm układ I+S+V 1.4G</t>
  </si>
  <si>
    <t>50s Baterija, cevi 20+25+30mm, I+FAN+S-1.4G</t>
  </si>
  <si>
    <t xml:space="preserve">"Compact" 50 phát đạn, 20 + 25 + 30mm standart + hình quạt + "S" -1.4G </t>
  </si>
  <si>
    <t>Batterien 52 schuss, 14+20mm Mörser-1.3G</t>
  </si>
  <si>
    <t>52sh Battery, 14+20mm mortars-1.3G</t>
  </si>
  <si>
    <t>Baterie 52ran, 14+20mm moždíř-1.3G</t>
  </si>
  <si>
    <t>Vatrometna kutija 52 pucnja, 14+20mm cijevi-1.3G</t>
  </si>
  <si>
    <t>Batteria 52 colpi, 14+20mm-1.3g</t>
  </si>
  <si>
    <t>52 šūvių baterija, 14+20mm vamzdžiai - 1.3G</t>
  </si>
  <si>
    <t>Wyrzutnie 52 strz. kaliber 14+20+25mm 1.3G</t>
  </si>
  <si>
    <t>52s Baterija, cevi 14+20mm -1.3G</t>
  </si>
  <si>
    <t>"Compact"  52 phát đạn, đường kính 14 + 20mm-1.3G</t>
  </si>
  <si>
    <t>Batterien 52 schuss, 14+20mm Mörser-1.4G</t>
  </si>
  <si>
    <t>52sh Battery, 14+20mm mortars-1.4G</t>
  </si>
  <si>
    <t>Baterie 52ran, 14+20mm moždíř-1.4G</t>
  </si>
  <si>
    <t>Vatrometna kutija 52 pucnja, 14+20mm cijevi-1.4G</t>
  </si>
  <si>
    <t>Batteria 52 colpi, 14+20mm-1.4g</t>
  </si>
  <si>
    <t>52 šūvių baterija, 14+20mm vamzdžiai - 1.4G</t>
  </si>
  <si>
    <t>Wyrzutnie 52 strz. kaliber 14+20+25mm 1.4G</t>
  </si>
  <si>
    <t>52s Baterija, cevi 14+20mm -1.4G</t>
  </si>
  <si>
    <t>"Compact" 52 phát đạn, đường kính 14 + 20mm-1.4G</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</si>
  <si>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</si>
  <si>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</si>
  <si>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</si>
  <si>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</si>
  <si>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</si>
  <si>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</si>
  <si>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</si>
  <si>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</si>
  <si>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</si>
  <si>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64 schuss, 20+25mm Mörser-1.4G</t>
  </si>
  <si>
    <t>64sh Battery of shot tube, 20+25mm mortars-1.4G</t>
  </si>
  <si>
    <t>Baterie 64ran, 20+25mm moždíř-1.4G</t>
  </si>
  <si>
    <t>Vatrometna kutija 64 pucnja, 20+25mm cijevi-1.4G</t>
  </si>
  <si>
    <t>Batteria di tubi di lancio 64 colpi, mortai 20+25mm-1.4g</t>
  </si>
  <si>
    <t>64 šūvių raketų baterija, 20+25mm vamzdžiai - 1.4G</t>
  </si>
  <si>
    <t>Wyrzutnie 64 strz. kaliber 20+25mm 1.4G</t>
  </si>
  <si>
    <t>64s Baterija, cevi 20+25mm -1.4G</t>
  </si>
  <si>
    <t xml:space="preserve">"Compact" 64 phát đạn, đường kính 20 + 25mm-1.4G </t>
  </si>
  <si>
    <t>Batterien 64 schuss, 25+30mm Mörser-1.3G</t>
  </si>
  <si>
    <t>64sh Battery of shot tube, 25+30mm mortars-1.3G</t>
  </si>
  <si>
    <t>Baterie 64ran, 25+30mm moždíř-1.3G</t>
  </si>
  <si>
    <t>Vatrometna kutija 64 pucnja, 25+30mm cijevi-1.3G</t>
  </si>
  <si>
    <t>Batteria di tubi di lancio 64 colpi, mortai 25+30mm-1.3g</t>
  </si>
  <si>
    <t>64 šūvių raketų baterija, 25+30mm vamzdžiai - 1.3G</t>
  </si>
  <si>
    <t>Wyrzutnie 64 strz. kaliber 25+30mm 1.3G</t>
  </si>
  <si>
    <t>64s Baterija, cevi 25+30mm -1.3G</t>
  </si>
  <si>
    <t xml:space="preserve">"Compact" 64 phát đạn, đường kính 25 + 30mm-1.3G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</si>
  <si>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</si>
  <si>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</si>
  <si>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</si>
  <si>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</si>
  <si>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</si>
  <si>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</si>
  <si>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</si>
  <si>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</si>
  <si>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</si>
  <si>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</si>
  <si>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</si>
  <si>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</si>
  <si>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</si>
  <si>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</si>
  <si>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</si>
  <si>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</si>
  <si>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</si>
  <si>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</si>
  <si>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</si>
  <si>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</si>
  <si>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</si>
  <si>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</si>
  <si>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</si>
  <si>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</si>
  <si>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</si>
  <si>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</si>
  <si>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</si>
  <si>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</si>
  <si>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</si>
  <si>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</si>
  <si>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</si>
  <si>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</si>
  <si>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</si>
  <si>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</si>
  <si>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</si>
  <si>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</si>
  <si>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</si>
  <si>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</si>
  <si>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</si>
  <si>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</si>
  <si>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</si>
  <si>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</si>
  <si>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</si>
  <si>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</si>
  <si>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</si>
  <si>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 multikaliber F2 - 1.4G</t>
  </si>
  <si>
    <t>Compound fireworks, multikaliber F2 - 1.4G</t>
  </si>
  <si>
    <t>Složený ohňostroj multikaliber F2 - 1.4G</t>
  </si>
  <si>
    <t>Vatrometna kombinacija, više različitih promjera F2-1.4G</t>
  </si>
  <si>
    <t>Combinati calibri misti f2 - 1.4g</t>
  </si>
  <si>
    <t>Daugiakalibris jungtinis fejerverkų rinkinys F2 - 1.4G</t>
  </si>
  <si>
    <t>Wyrzutnie złożone multikaliber – F2 – 1.4G</t>
  </si>
  <si>
    <t>Komplet vatromet, višekalibarski -F2-1.4G</t>
  </si>
  <si>
    <t>Pháo hoa, nhiều đường kính, F2-1.4G</t>
  </si>
  <si>
    <t>Verbundfeurwerk(mit Schutzhülle), multikaliber F2 - 1.4G</t>
  </si>
  <si>
    <t>Compound fireworks(with protective packaging), multikaliber F2 - 1.4G</t>
  </si>
  <si>
    <t>Složený ohňostroj(s ochraným obalem)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</si>
  <si>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</si>
  <si>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</si>
  <si>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</si>
  <si>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</si>
  <si>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</si>
  <si>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</si>
  <si>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</si>
  <si>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</si>
  <si>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</si>
  <si>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</si>
  <si>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</si>
  <si>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</si>
  <si>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</si>
  <si>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</si>
  <si>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</si>
  <si>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</si>
  <si>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</si>
  <si>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Složený ohňostroj(s ochraným obalem),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</si>
  <si>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</si>
  <si>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</si>
  <si>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</si>
  <si>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</si>
  <si>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</si>
  <si>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</si>
  <si>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</si>
  <si>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</si>
  <si>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</si>
  <si>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</si>
  <si>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</si>
  <si>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</si>
  <si>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</si>
  <si>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</si>
  <si>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</si>
  <si>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</si>
  <si>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</si>
  <si>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Složený ohňostroj(s ochraným obalem)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</si>
  <si>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</si>
  <si>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</si>
  <si>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</si>
  <si>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</si>
  <si>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</si>
  <si>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</si>
  <si>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</si>
  <si>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</si>
  <si>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</si>
  <si>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</si>
  <si>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</si>
  <si>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</si>
  <si>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</si>
  <si>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</si>
  <si>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</si>
  <si>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</si>
  <si>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</si>
  <si>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</si>
  <si>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</si>
  <si>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</si>
  <si>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</si>
  <si>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</si>
  <si>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</si>
  <si>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</si>
  <si>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</si>
  <si>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</si>
  <si>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</si>
  <si>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</si>
  <si>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</si>
  <si>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</si>
  <si>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</si>
  <si>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</si>
  <si>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</si>
  <si>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</si>
  <si>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</si>
  <si>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</si>
  <si>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</si>
  <si>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</si>
  <si>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</si>
  <si>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</si>
  <si>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</si>
  <si>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</si>
  <si>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</si>
  <si>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</si>
  <si>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</si>
  <si>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</si>
  <si>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</si>
  <si>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</si>
  <si>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</si>
  <si>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</si>
  <si>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42 schuss, 30+50mm Mörser-1.3G</t>
  </si>
  <si>
    <t>42sh Battery, 30+50mm mortars-1.3G</t>
  </si>
  <si>
    <t>Baterie 42ran, 30+50mm moždíř-1.3G</t>
  </si>
  <si>
    <t>Vatrometna kutija 42 pucnja, 30+50mm cijevi-1.3G</t>
  </si>
  <si>
    <t>Batteria 42 colpi, mortai 30+50mm-1.3g</t>
  </si>
  <si>
    <t>42 šūvių baterija, 30+50mm vamzdžiai - 1.3G</t>
  </si>
  <si>
    <t>Wyrzutnie 42 strz. kaliber 30+50mm 1.3G</t>
  </si>
  <si>
    <t>42s Baterije, cev 30+50mm - 1.3G</t>
  </si>
  <si>
    <t xml:space="preserve">"Compact" Pin 42, đường kính 30 + 50mm-1.3G </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</si>
  <si>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</si>
  <si>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</si>
  <si>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</si>
  <si>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</si>
  <si>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</si>
  <si>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</si>
  <si>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</si>
  <si>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</si>
  <si>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</si>
  <si>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</si>
  <si>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</si>
  <si>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</si>
  <si>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</si>
  <si>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</si>
  <si>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</si>
  <si>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</si>
  <si>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</si>
  <si>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</si>
  <si>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</si>
  <si>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</si>
  <si>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</si>
  <si>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</si>
  <si>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</si>
  <si>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</si>
  <si>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</si>
  <si>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</si>
  <si>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</si>
  <si>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</si>
  <si>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</si>
  <si>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</si>
  <si>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</si>
  <si>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</si>
  <si>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</si>
  <si>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</si>
  <si>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</si>
  <si>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</si>
  <si>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Batterien + Fontäne 78 schuss, 20+25+30+40mm Mörser-1.3G</t>
  </si>
  <si>
    <t>78sh Battery+fountain, 20+25+30+40mm mortars-1.3G</t>
  </si>
  <si>
    <t>Baterie + Fontána 78ran, 20+25+30+40mm moždíř-1.3G</t>
  </si>
  <si>
    <t>Vatrometna kutija +fontana 78 pucnjeva, 20+25+30+40mm cijevi-1.3G</t>
  </si>
  <si>
    <t>Batteria 78 colpi+fontana, mortai 20+25+30+40mm-1.3g</t>
  </si>
  <si>
    <t>78 šūvių baterija + fontanas, 20+25+30+40mm vamzdžiai - 1.3G</t>
  </si>
  <si>
    <t>Wyrzutnie 75 strz. kaliber 20+25+30+40mm 1.3G</t>
  </si>
  <si>
    <t>78s Baterija+Fontana, cevi 20+25+30+40mm - 1.3G</t>
  </si>
  <si>
    <t>"Compact" 78 phát đạn+ vòi phun lửa, đường kính 20 + 25 + 30 + 40mm-1.3G</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</si>
  <si>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</si>
  <si>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</si>
  <si>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</si>
  <si>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</si>
  <si>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</si>
  <si>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</si>
  <si>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</si>
  <si>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</si>
  <si>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</si>
  <si>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</si>
  <si>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</si>
  <si>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Složený ohňostroj(s ochraným obalem),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</si>
  <si>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</si>
  <si>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</si>
  <si>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</si>
  <si>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</si>
  <si>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</si>
  <si>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</si>
  <si>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</si>
  <si>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</si>
  <si>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</si>
  <si>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</si>
  <si>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</si>
  <si>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</si>
  <si>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</si>
  <si>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</si>
  <si>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</si>
  <si>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</si>
  <si>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</si>
  <si>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</si>
  <si>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</si>
  <si>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</si>
  <si>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</si>
  <si>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</si>
  <si>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</si>
  <si>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</si>
  <si>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</si>
  <si>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</si>
  <si>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</si>
  <si>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</si>
  <si>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</si>
  <si>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</si>
  <si>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Schießröhre 50mm</t>
  </si>
  <si>
    <t>Shot tube 50mm</t>
  </si>
  <si>
    <t>Vystřelovací trubice 50mm</t>
  </si>
  <si>
    <t>Vatrometne cijevi 50mm</t>
  </si>
  <si>
    <t>Tubo di lancio 50 mm</t>
  </si>
  <si>
    <t>Vamzdis 50mm</t>
  </si>
  <si>
    <t>Tube sa pucnjem 50mm</t>
  </si>
  <si>
    <t>Đạn trụ bay nổ 50mm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</si>
  <si>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</si>
  <si>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</si>
  <si>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</si>
  <si>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</si>
  <si>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</si>
  <si>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</si>
  <si>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</si>
  <si>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</si>
  <si>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</si>
  <si>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</si>
  <si>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</si>
  <si>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</si>
  <si>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</si>
  <si>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</si>
  <si>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</si>
  <si>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</si>
  <si>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49 schuss, 30mm Mörser</t>
  </si>
  <si>
    <t>49sh Battery of shot tube, 30mm mortars</t>
  </si>
  <si>
    <t>Baterie 49ran, 30mm moždíř</t>
  </si>
  <si>
    <t>Vatrometna kutija 49 pucnjeva, 30mm cijev</t>
  </si>
  <si>
    <t>Batteria di tubi di lancio 49 colpi, mortaio 30mm</t>
  </si>
  <si>
    <t>49 šūvių baterija, 30mm vamzdžiai</t>
  </si>
  <si>
    <t xml:space="preserve">49s Baterije, cev 30mm </t>
  </si>
  <si>
    <t xml:space="preserve">"Compact" 49 phát đạn, đường kính 30mm </t>
  </si>
  <si>
    <t>Batterien 50 schuss, 30mm Mörser</t>
  </si>
  <si>
    <t>50sh Battery of shot tube, 30mm mortars</t>
  </si>
  <si>
    <t>Baterie 50ran, 30mm moždíř</t>
  </si>
  <si>
    <t>Vatrometna kutija 50 pucnjeva, 30mm cijev</t>
  </si>
  <si>
    <t>Batteria di tubi di lancio 50 colpi, mortaio 30mm</t>
  </si>
  <si>
    <t>50 šūvių baterija, 30mm vamzdžiai</t>
  </si>
  <si>
    <t>50s Baterije, cev 30mm</t>
  </si>
  <si>
    <t>"Compact" 50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</si>
  <si>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</si>
  <si>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</si>
  <si>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</si>
  <si>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</si>
  <si>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</si>
  <si>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</si>
  <si>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</si>
  <si>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</si>
  <si>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</si>
  <si>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</si>
  <si>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</si>
  <si>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</si>
  <si>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</si>
  <si>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</si>
  <si>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</si>
  <si>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</si>
  <si>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</si>
  <si>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</si>
  <si>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</si>
  <si>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</si>
  <si>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</si>
  <si>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</si>
  <si>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</si>
  <si>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</si>
  <si>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Batterien 50 schuss, 30mm W Mörser</t>
  </si>
  <si>
    <t>50sh Battery of shot tube, 30mm W mortars</t>
  </si>
  <si>
    <t>Baterie 50ran, 30mm W moždíř</t>
  </si>
  <si>
    <t>Vatrometna kutija 50 pucnjeva, 30mm, oblik cijevi W</t>
  </si>
  <si>
    <t>Batteria di tubi di lancio 50 colpi, mortaio 30mm a w</t>
  </si>
  <si>
    <t>50 šūvių baterija, 30mm W vamzdžiai</t>
  </si>
  <si>
    <t>50s Baterije, cev 30mm, W shape</t>
  </si>
  <si>
    <t>"Compact" 50 phát đạn, hình "W" đường kính 30mm</t>
  </si>
  <si>
    <t>Batterien 50 schuss, 30mm X Mörser</t>
  </si>
  <si>
    <t>50sh Battery of shot tube, 30mm X mortars</t>
  </si>
  <si>
    <t>Baterie 50ran, 30mm X moždíř</t>
  </si>
  <si>
    <t>Vatrometna kutija 50 pucnjeva, 30mm, oblik cijevi X</t>
  </si>
  <si>
    <t>Batteria di tubi di lancio 50 colpi, mortaio 30mm a x</t>
  </si>
  <si>
    <t>50 šūvių baterija, 30mm X vamzdžiai</t>
  </si>
  <si>
    <t>50s Baterije, cev 30mm, X shape</t>
  </si>
  <si>
    <t>"Compact" 50 phát đạn, hình "X" đường kính 30mm</t>
  </si>
  <si>
    <t>Batterien 8 schuss, 30mm schräg Mörser</t>
  </si>
  <si>
    <t>8sh Battery of shot tube, 30mm fan shaped mortars</t>
  </si>
  <si>
    <t>Baterie 8ran, 30mm šikmý moždíř</t>
  </si>
  <si>
    <t>Vatrometna kutija 8 pucnjeva, 30mm, oblik cijevi kosi</t>
  </si>
  <si>
    <t>Batteria di tubi di lancio 8 colpi, mortaio 30mm a ventaglio</t>
  </si>
  <si>
    <t>8 šūvių raketų baterija, 30mm vamzdžiai, šaudo vėduoklės principu</t>
  </si>
  <si>
    <t>8s Baterije, cev 30mm, FAN shape</t>
  </si>
  <si>
    <t>"Compact" 8 phát đạn, hình quạt "V" 30mm</t>
  </si>
  <si>
    <t>Batterien 13 schuss, 30mm schräg Mörser</t>
  </si>
  <si>
    <t>13sh Battery of shot tube, 30mm fan shaped mortars</t>
  </si>
  <si>
    <t>Baterie 13ran, 30mm šikmý moždíř</t>
  </si>
  <si>
    <t>Vatrometna kutija 13 pucnjeva, 30mm, oblik cijevi kosi</t>
  </si>
  <si>
    <t>Batteria di tubi di lancio 13 colpi, mortaio 30mm a ventaglio</t>
  </si>
  <si>
    <t>13 šūvių raketų baterija, 30mm vamzdžiai, šaudo vėduoklės principu</t>
  </si>
  <si>
    <t>13s Baterije, cev 30mm, FAN shape</t>
  </si>
  <si>
    <t>"Compact" 13 phát đạn, hình quạt "V" 30mm</t>
  </si>
  <si>
    <t>Batterien 19 schuss, 30mm schräg Mörser</t>
  </si>
  <si>
    <t>19sh Battery of shot tube, 30mm fan shaped mortars</t>
  </si>
  <si>
    <t>Baterie 19ran, 30mm šikmý moždíř</t>
  </si>
  <si>
    <t>Vatrometna kutija 19 pucnjeva, 30mm, oblik cijevi kosi</t>
  </si>
  <si>
    <t>Batteria di tubi di lancio 19 colpi, mortaio 30mm a ventaglio</t>
  </si>
  <si>
    <t>19 šūvių raketų baterija, 30mm vamzdžiai, šaudo vėduoklės principu</t>
  </si>
  <si>
    <t>19s Baterije, cev 30mm, FAN shape</t>
  </si>
  <si>
    <t>"Compact" 19 phát đạn, hình quạt "V" 30mm</t>
  </si>
  <si>
    <t>Batterien 5 schuss, 50mm schräg Mörser</t>
  </si>
  <si>
    <t>5sh Battery, 50mm fan shape mortars</t>
  </si>
  <si>
    <t>Baterie 5ran, 50mm šikmý moždíř</t>
  </si>
  <si>
    <t>Vatrometna kutija 5 pucnjeva, 50mm, oblik cijevi kosi</t>
  </si>
  <si>
    <t>Batteria di tubi di lancio 5 colpi, mortaio 50mm a ventaglio</t>
  </si>
  <si>
    <t>5 šūvių baterija, 50mm vamzdžiai, šaudo vėduoklės principu</t>
  </si>
  <si>
    <t>5s Baterije, cev 50mm, FAN shape</t>
  </si>
  <si>
    <t>"Compact" 5 phát đạn, hình quạt "V" 50mm</t>
  </si>
  <si>
    <t>Kugelbomben 50mm</t>
  </si>
  <si>
    <t>Shell 50mm</t>
  </si>
  <si>
    <t>Kulové pumy 50mm</t>
  </si>
  <si>
    <t>Bomba 50mm</t>
  </si>
  <si>
    <t>Sfera 50mm</t>
  </si>
  <si>
    <t>Sprogmuo 50mm</t>
  </si>
  <si>
    <t>Vatrometne Bombe 50mm</t>
  </si>
  <si>
    <t>Đạn tròn 50mm</t>
  </si>
  <si>
    <t>Kugelbomben 75mm</t>
  </si>
  <si>
    <t>Shell 75mm</t>
  </si>
  <si>
    <t>Kulové pumy 75mm</t>
  </si>
  <si>
    <t>Bomba 75mm</t>
  </si>
  <si>
    <t>Sfera 75mm</t>
  </si>
  <si>
    <t>Sprogmuo 75mm</t>
  </si>
  <si>
    <t>Vatrometne Bombe 75mm</t>
  </si>
  <si>
    <t>Đạn tròn 75mm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</si>
  <si>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</si>
  <si>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</si>
  <si>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</si>
  <si>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</si>
  <si>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</si>
  <si>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</si>
  <si>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</si>
  <si>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</si>
  <si>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</si>
  <si>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</si>
  <si>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</si>
  <si>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</si>
  <si>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</si>
  <si>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</si>
  <si>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</si>
  <si>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</si>
  <si>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</si>
  <si>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</si>
  <si>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</si>
  <si>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</si>
  <si>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</si>
  <si>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</si>
  <si>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</si>
  <si>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</si>
  <si>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</si>
  <si>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</si>
  <si>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</si>
  <si>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</si>
  <si>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</si>
  <si>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</si>
  <si>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</si>
  <si>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</si>
  <si>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</si>
  <si>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</si>
  <si>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</si>
  <si>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</si>
  <si>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</si>
  <si>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</si>
  <si>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</si>
  <si>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</si>
  <si>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</si>
  <si>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</si>
  <si>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</si>
  <si>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</si>
  <si>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</si>
  <si>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</si>
  <si>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</si>
  <si>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</si>
  <si>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</si>
  <si>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</si>
  <si>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</si>
  <si>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</si>
  <si>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</si>
  <si>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</si>
  <si>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</si>
  <si>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</si>
  <si>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</si>
  <si>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</si>
  <si>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</si>
  <si>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</si>
  <si>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</si>
  <si>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</si>
  <si>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</si>
  <si>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</si>
  <si>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Smoke</t>
  </si>
  <si>
    <t>Dýmovnice</t>
  </si>
  <si>
    <t>Knallkörper mit der Zündschnur 1.1G</t>
  </si>
  <si>
    <t>Petards with green fuse 1.1G</t>
  </si>
  <si>
    <t>Petardy se zápalnou šňůrou 1.1G</t>
  </si>
  <si>
    <t>Raketensets 1.4G</t>
  </si>
  <si>
    <t>Rocket set 1.4G</t>
  </si>
  <si>
    <t>Raketové sety 1.4G</t>
  </si>
  <si>
    <t>Raketensets 1.3G</t>
  </si>
  <si>
    <t>Rocket set 1.3G</t>
  </si>
  <si>
    <t>Raketové sety 1.3G</t>
  </si>
  <si>
    <t>Batterien 100 schuss, 14mm Mörser-1.4G</t>
  </si>
  <si>
    <t>100sh Battery of shot tube, 14mm mortars-1.4G</t>
  </si>
  <si>
    <t>Baterie 100ran, 14mm moždíř-1.4G</t>
  </si>
  <si>
    <t>Batteria di tubi di lancio 100 colpi, mortaio 14 mm-1.4g</t>
  </si>
  <si>
    <t>100 šūvių raketų baterija, 14mm vamzdžiai - 1.4G</t>
  </si>
  <si>
    <t>Wyrzutnie 100 strz. kaliber 14mm 1.4G</t>
  </si>
  <si>
    <t>100s Baterije, cev 14mm - 1.4G</t>
  </si>
  <si>
    <t>"Compact" 100 phát đạn, đường kính 14mm-1.4G</t>
  </si>
  <si>
    <t>Gartenfeuerwerke - 2 module mit 2 kunststoffsteckern (start+ende) für die Serienschaltung-1.3G</t>
  </si>
  <si>
    <t>Garden fireworks -2 modules with 2 plastic connector (start + end ) for serial connection-1.3G</t>
  </si>
  <si>
    <t>Zahradní ohňostroje - 2 moduly s 2 plastovými konektory(start+konec) pro sériové propojení-1.3G</t>
  </si>
  <si>
    <t>Vrtni vatromet-2 modula sa 2 plastična konektora(na početku i na kraju) za serijsko povezivanje (1.3G)</t>
  </si>
  <si>
    <t>Fuochi d'artificio da giardino -2 moduli con 2 connettori in plastica (start + end) per connessione seriale-1.3G</t>
  </si>
  <si>
    <t>Lauko fejerverkai - 2 moduliai su 2 plastikinėm jungtim (pradžia ir pabaiga) serijiniam sujungimui, 1.3g</t>
  </si>
  <si>
    <t>Baštenski vatromet -2 modula s 2 plastična konektora (početak + kraj) za serijsku vezu-1.3G</t>
  </si>
  <si>
    <t>Pháo hoa vườn -2 mô-đun với 2 đầu nối nhựa (đầu + cuối) để kết nối nối tiếp-1.3G</t>
  </si>
  <si>
    <t>Batterien 25 schuss, 25mm schräg Mörser-1.4G</t>
  </si>
  <si>
    <t>25sh Battery of shot tube, 25mm fan shaped mortars-1.4G</t>
  </si>
  <si>
    <t>Baterie 25ran, 25mm šíkmý moždíř-1.4G</t>
  </si>
  <si>
    <t>Vatrometna kutija 25 pucnjeva, 25mm, oblik cijevi kosi-1.4G</t>
  </si>
  <si>
    <t>Batteria di tubi di lancio 25 colpi, mortaio 25mm a ventaglio-1.4g</t>
  </si>
  <si>
    <t>25 šūvių raketų baterija, 25mm vamzdžiai, šaudo vėduoklės principu - 1.4G</t>
  </si>
  <si>
    <t>Wyrzutnie 16 strz. kaliber 25mm kątowe 1.4G</t>
  </si>
  <si>
    <t>25s Baterije, cev 25mm, FAN shape -1.4G</t>
  </si>
  <si>
    <t>"Compact" 25 phát đạn, hình quạt "V" 25mm-1.4G</t>
  </si>
  <si>
    <t>Batterien 25 schuss, 30mm schräg Mörser-1.3G</t>
  </si>
  <si>
    <t>25sh Battery of shot tube, 30mm fan shaped mortars-1.3G</t>
  </si>
  <si>
    <t>Baterie 25ran, 30mm šikmý moždíř-1.3G</t>
  </si>
  <si>
    <t>Vatrometna kutija 25 pucnjeva, 30mm, oblik cijevi kosi-1.3G</t>
  </si>
  <si>
    <t>25 šūvių raketų baterija, 30mm vamzdžiai, šaudo vėduoklės principu - 1.3G</t>
  </si>
  <si>
    <t>Wyrzutnie 25 strz. kaliber 30mm kątowe 1.3G</t>
  </si>
  <si>
    <t>25s Baterije, cev 30mm, FAN shape -1.3G</t>
  </si>
  <si>
    <t xml:space="preserve">"Compact" 25 phát đạn, hình quạt "V" 30mm-1.3G </t>
  </si>
  <si>
    <t>Batterien 36 schuss, 50mm Mörser-1.3G,1.1G</t>
  </si>
  <si>
    <t>36sh Battery, 50mm mortars-1.3G,1.1G</t>
  </si>
  <si>
    <t>Baterie 36ran, 50mm moždíř-1.3G,1.1G</t>
  </si>
  <si>
    <t>Professionelle Pyrotechnik</t>
  </si>
  <si>
    <t>Professional pyrotechnics</t>
  </si>
  <si>
    <t>Profesionální pyrotechnika</t>
  </si>
  <si>
    <t>Batterien 49 schuss, 50mm Mörser-1.1G</t>
  </si>
  <si>
    <t>49sh Battery, 50mm mortars-1.1G</t>
  </si>
  <si>
    <t>Baterie 49ran, 50mm moždíř-1.1G</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</si>
  <si>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</si>
  <si>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</si>
  <si>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</si>
  <si>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</si>
  <si>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</si>
  <si>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</si>
  <si>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</si>
  <si>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</si>
  <si>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</si>
  <si>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</si>
  <si>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</si>
  <si>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</si>
  <si>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</si>
  <si>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</si>
  <si>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</si>
  <si>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</si>
  <si>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</si>
  <si>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</si>
  <si>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</si>
  <si>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</si>
  <si>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</si>
  <si>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</si>
  <si>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</si>
  <si>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</si>
  <si>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</si>
  <si>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</si>
  <si>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</si>
  <si>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</si>
  <si>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</si>
  <si>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</si>
  <si>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</si>
  <si>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</si>
  <si>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</si>
  <si>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</si>
  <si>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</si>
  <si>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</si>
  <si>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</si>
  <si>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</si>
  <si>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</si>
  <si>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</si>
  <si>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</si>
  <si>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</si>
  <si>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</si>
  <si>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</si>
  <si>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</si>
  <si>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</si>
  <si>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</si>
  <si>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</si>
  <si>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</si>
  <si>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</si>
  <si>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</si>
  <si>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</si>
  <si>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</si>
  <si>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</si>
  <si>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</si>
  <si>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</si>
  <si>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</si>
  <si>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</si>
  <si>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</si>
  <si>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</si>
  <si>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</si>
  <si>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</si>
  <si>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</si>
  <si>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</si>
  <si>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</si>
  <si>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</si>
  <si>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</si>
  <si>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</si>
  <si>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</si>
  <si>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</si>
  <si>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</si>
  <si>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</si>
  <si>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</si>
  <si>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</si>
  <si>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</si>
  <si>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</si>
  <si>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</si>
  <si>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</si>
  <si>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</si>
  <si>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</si>
  <si>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</si>
  <si>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</si>
  <si>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</si>
  <si>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</si>
  <si>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</si>
  <si>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</si>
  <si>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</si>
  <si>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</si>
  <si>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</si>
  <si>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</si>
  <si>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</si>
  <si>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</si>
  <si>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</si>
  <si>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</si>
  <si>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</si>
  <si>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</si>
  <si>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</si>
  <si>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netto</t>
  </si>
  <si>
    <t>bez PDV-a</t>
  </si>
  <si>
    <t>(bez PDV-a)</t>
  </si>
  <si>
    <t>(iva esclusa)</t>
  </si>
  <si>
    <t>brutto</t>
  </si>
  <si>
    <t>s uključenim PDV-om</t>
  </si>
  <si>
    <t>(sa PDV-om)</t>
  </si>
  <si>
    <t>(IVA inclusa)</t>
  </si>
  <si>
    <t>(wypełniane automatycznie)</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</si>
  <si>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</si>
  <si>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</si>
  <si>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</si>
  <si>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</si>
  <si>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</si>
  <si>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</si>
  <si>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</si>
  <si>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</si>
  <si>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</si>
  <si>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</si>
  <si>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</si>
  <si>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</si>
  <si>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</si>
  <si>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</si>
  <si>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</si>
  <si>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</si>
  <si>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</si>
  <si>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</si>
  <si>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</si>
  <si>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</si>
  <si>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</si>
  <si>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</si>
  <si>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</si>
  <si>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</si>
  <si>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</si>
  <si>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</si>
  <si>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</si>
  <si>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total
NEM [kg]total
NEM [kg]</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</si>
  <si>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</si>
  <si>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</si>
  <si>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</si>
  <si>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</si>
  <si>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</si>
  <si>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</si>
  <si>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</si>
  <si>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</si>
  <si>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</si>
  <si>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</si>
  <si>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</si>
  <si>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</si>
  <si>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</si>
  <si>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</si>
  <si>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</si>
  <si>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</si>
  <si>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</si>
  <si>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</si>
  <si>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</si>
  <si>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</si>
  <si>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</si>
  <si>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</si>
  <si>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</si>
  <si>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</si>
  <si>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</si>
  <si>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</si>
  <si>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</si>
  <si>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</si>
  <si>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</si>
  <si>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</si>
  <si>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</si>
  <si>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</si>
  <si>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</si>
  <si>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</si>
  <si>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</si>
  <si>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</si>
  <si>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</si>
  <si>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</si>
  <si>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</si>
  <si>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</si>
  <si>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</si>
  <si>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</si>
  <si>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</si>
  <si>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</si>
  <si>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</si>
  <si>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</si>
  <si>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</si>
  <si>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</si>
  <si>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</si>
  <si>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</si>
  <si>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</si>
  <si>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</si>
  <si>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</si>
  <si>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</si>
  <si>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</si>
  <si>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</si>
  <si>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</si>
  <si>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</si>
  <si>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</si>
  <si>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</si>
  <si>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</si>
  <si>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</si>
  <si>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</si>
  <si>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</si>
  <si>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</si>
  <si>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</si>
  <si>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</si>
  <si>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</si>
  <si>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</si>
  <si>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</si>
  <si>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</si>
  <si>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</si>
  <si>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</si>
  <si>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</si>
  <si>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</si>
  <si>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</si>
  <si>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</si>
  <si>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</si>
  <si>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</si>
  <si>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</si>
  <si>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</si>
  <si>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</si>
  <si>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</si>
  <si>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</si>
  <si>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</si>
  <si>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</si>
  <si>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</si>
  <si>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</si>
  <si>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</si>
  <si>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</si>
  <si>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</si>
  <si>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</si>
  <si>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</si>
  <si>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</si>
  <si>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</si>
  <si>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</si>
  <si>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</si>
  <si>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</si>
  <si>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</si>
  <si>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</si>
  <si>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</si>
  <si>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</si>
  <si>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</si>
  <si>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</si>
  <si>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</si>
  <si>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</si>
  <si>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</si>
  <si>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</si>
  <si>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</si>
  <si>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</si>
  <si>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</si>
  <si>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</si>
  <si>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</si>
  <si>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</si>
  <si>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</si>
  <si>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</si>
  <si>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</si>
  <si>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</si>
  <si>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</si>
  <si>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</si>
  <si>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</si>
  <si>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</si>
  <si>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</si>
  <si>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</si>
  <si>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</si>
  <si>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</si>
  <si>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</si>
  <si>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</si>
  <si>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</si>
  <si>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</si>
  <si>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</si>
  <si>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</si>
  <si>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</si>
  <si>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</si>
  <si>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</si>
  <si>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</si>
  <si>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</si>
  <si>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</si>
  <si>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</si>
  <si>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</si>
  <si>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</si>
  <si>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</si>
  <si>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</si>
  <si>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</si>
  <si>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</si>
  <si>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</si>
  <si>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</si>
  <si>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</si>
  <si>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</si>
  <si>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</si>
  <si>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</si>
  <si>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</si>
  <si>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</si>
  <si>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</si>
  <si>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</si>
  <si>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</si>
  <si>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</si>
  <si>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</si>
  <si>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</si>
  <si>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</si>
  <si>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</si>
  <si>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</si>
  <si>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</si>
  <si>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</si>
  <si>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</si>
  <si>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</si>
  <si>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</si>
  <si>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</si>
  <si>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</si>
  <si>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</si>
  <si>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</si>
  <si>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</si>
  <si>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</si>
  <si>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</si>
  <si>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</si>
  <si>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</si>
  <si>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</si>
  <si>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</si>
  <si>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</si>
  <si>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</si>
  <si>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</si>
  <si>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</si>
  <si>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</si>
  <si>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</si>
  <si>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</si>
  <si>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</si>
  <si>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</si>
  <si>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</si>
  <si>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</si>
  <si>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</si>
  <si>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</si>
  <si>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</si>
  <si>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</si>
  <si>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</si>
  <si>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</si>
  <si>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</si>
  <si>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</si>
  <si>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</si>
  <si>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</si>
  <si>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</si>
  <si>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</si>
  <si>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</si>
  <si>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</si>
  <si>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</si>
  <si>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</si>
  <si>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</si>
  <si>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</si>
  <si>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</si>
  <si>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</si>
  <si>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</si>
  <si>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</si>
  <si>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</si>
  <si>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</si>
  <si>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</si>
  <si>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</si>
  <si>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</si>
  <si>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</si>
  <si>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</si>
  <si>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</si>
  <si>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</si>
  <si>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</si>
  <si>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</si>
  <si>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</si>
  <si>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</si>
  <si>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</si>
  <si>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</si>
  <si>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</si>
  <si>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</si>
  <si>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</si>
  <si>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</si>
  <si>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</si>
  <si>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</si>
  <si>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</si>
  <si>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</si>
  <si>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</si>
  <si>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</si>
  <si>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</si>
  <si>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</si>
  <si>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</si>
  <si>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</si>
  <si>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</si>
  <si>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</si>
  <si>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</si>
  <si>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</si>
  <si>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</si>
  <si>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</si>
  <si>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</si>
  <si>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</si>
  <si>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</si>
  <si>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</si>
  <si>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</si>
  <si>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</si>
  <si>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</si>
  <si>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</si>
  <si>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</si>
  <si>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</si>
  <si>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</si>
  <si>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</si>
  <si>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</si>
  <si>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</si>
  <si>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</si>
  <si>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</si>
  <si>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</si>
  <si>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</si>
  <si>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</si>
  <si>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</si>
  <si>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</si>
  <si>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</si>
  <si>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</si>
  <si>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</si>
  <si>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</si>
  <si>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</si>
  <si>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</si>
  <si>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</si>
  <si>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</si>
  <si>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</si>
  <si>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</si>
  <si>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</si>
  <si>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 xml:space="preserve">                                                               </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</si>
  <si>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</si>
  <si>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</si>
  <si>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</si>
  <si>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</si>
  <si>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</si>
  <si>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</si>
  <si>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</si>
  <si>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</si>
  <si>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</si>
  <si>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</si>
  <si>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</si>
  <si>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</si>
  <si>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</si>
  <si>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</si>
  <si>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</si>
  <si>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</si>
  <si>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</si>
  <si>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</si>
  <si>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</si>
  <si>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</si>
  <si>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</si>
  <si>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</si>
  <si>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</si>
  <si>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</si>
  <si>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</si>
  <si>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</si>
  <si>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</si>
  <si>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</si>
  <si>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</si>
  <si>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</si>
  <si>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</si>
  <si>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</si>
  <si>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</si>
  <si>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</si>
  <si>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</si>
  <si>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</si>
  <si>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</si>
  <si>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</si>
  <si>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</si>
  <si>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</si>
  <si>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</si>
  <si>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</si>
  <si>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</si>
  <si>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</si>
  <si>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</si>
  <si>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</si>
  <si>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</si>
  <si>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</si>
  <si>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</si>
  <si>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</si>
  <si>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</si>
  <si>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</si>
  <si>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</si>
  <si>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</si>
  <si>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</si>
  <si>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</si>
  <si>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</si>
  <si>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</si>
  <si>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Novinkou je online dostupnost skladu tzn. stačí, aby jste byli online a potvrdili možnost ,,povolit úpravy” a "povolit obsah". Po každém otevření Iceníku vidíte, jaké zboží je skladem popř. kdy bude naskladněno!!!</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</si>
  <si>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</si>
  <si>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</si>
  <si>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</si>
  <si>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</si>
  <si>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</si>
  <si>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</si>
  <si>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</si>
  <si>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 xml:space="preserve">4. náš pracovník nahraje až tuto finální objednávku (viz. bod č. 3) do našeho systému a informuje zákazníka o termínu, kdy bude zboží expedováno resp. připraveno k vyzvednutí.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</si>
  <si>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</si>
  <si>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</si>
  <si>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</si>
  <si>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</si>
  <si>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</si>
  <si>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</si>
  <si>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</si>
  <si>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</si>
  <si>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</si>
  <si>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</si>
  <si>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</si>
  <si>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</si>
  <si>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</si>
  <si>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</si>
  <si>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</si>
  <si>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Tímto mají zaručeno, že dostanou všechno, co chtějí a nemusí zboží nikde skladovat, nebo se strachovat zda se náhodou položka, s kterou počítají např. do letáku - nevyprodá. V dohodnutý den, poté zákazník dostane zboží, které si objednal…</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</si>
  <si>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</si>
  <si>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</si>
  <si>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</si>
  <si>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</si>
  <si>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</si>
  <si>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</si>
  <si>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</si>
  <si>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</si>
  <si>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</si>
  <si>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</si>
  <si>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</si>
  <si>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</si>
  <si>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</si>
  <si>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</si>
  <si>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</si>
  <si>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</si>
  <si>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</si>
  <si>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</si>
  <si>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</si>
  <si>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</si>
  <si>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Zákazník, který chce mít pouze bezvadné kartony tak si musí zakoupit výrobky, které jsou baleny v ochraném kartonu. Kód výrobku končí (T), popř. si při odběru z našeho skladu zařídit přebrání zboží u nás. Na pozdější reklamace nebude brát zřetel.</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</si>
  <si>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</si>
  <si>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</si>
  <si>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Novinkou je systém výpočtu slevy. Pokud jste nový zákazník, tak Vám ceník sám vypočte Vaši slevu na základě výše Vašeho odběru(pro stávající zákazníky platí přidělené slevy, které si zákazníci napíší do buňky D19).</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</si>
  <si>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</si>
  <si>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</si>
  <si>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</si>
  <si>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Tento sloupec je základem pro kalkulace v EUR .</t>
  </si>
  <si>
    <t>Cột này là cơ sở để tính bằng EUR.</t>
  </si>
  <si>
    <t xml:space="preserve">Kurz měny se v buňce F20 přepočítává automaticky a naleznete jej na níže uvedené stránce(maximální kurz, za který přijímáme EUR je 26 Kč/1 EUR). Kurz DEVIZY NÁKUP. </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</si>
  <si>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</si>
  <si>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</si>
  <si>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</si>
  <si>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</si>
  <si>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</si>
  <si>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</si>
  <si>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</si>
  <si>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</si>
  <si>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</si>
  <si>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</si>
  <si>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</si>
  <si>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</si>
  <si>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</si>
  <si>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</si>
  <si>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</si>
  <si>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</si>
  <si>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</si>
  <si>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</si>
  <si>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</si>
  <si>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</si>
  <si>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</si>
  <si>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</si>
  <si>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</si>
  <si>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</si>
  <si>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</si>
  <si>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</si>
  <si>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</si>
  <si>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</si>
  <si>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</si>
  <si>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</si>
  <si>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</si>
  <si>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</si>
  <si>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</si>
  <si>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</si>
  <si>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</si>
  <si>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</si>
  <si>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</si>
  <si>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</si>
  <si>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</si>
  <si>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</si>
  <si>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</si>
  <si>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</si>
  <si>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</si>
  <si>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</si>
  <si>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</si>
  <si>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</si>
  <si>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</si>
  <si>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</si>
  <si>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</si>
  <si>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</si>
  <si>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</si>
  <si>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</si>
  <si>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</si>
  <si>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</si>
  <si>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</si>
  <si>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</si>
  <si>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</si>
  <si>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</si>
  <si>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</si>
  <si>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</si>
  <si>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</si>
  <si>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</si>
  <si>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</si>
  <si>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</si>
  <si>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</si>
  <si>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</si>
  <si>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</si>
  <si>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</si>
  <si>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</si>
  <si>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</si>
  <si>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</si>
  <si>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</si>
  <si>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</si>
  <si>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</si>
  <si>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</si>
  <si>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</si>
  <si>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</si>
  <si>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</si>
  <si>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</si>
  <si>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</si>
  <si>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</si>
  <si>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</si>
  <si>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</si>
  <si>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</si>
  <si>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</si>
  <si>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</si>
  <si>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</si>
  <si>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</si>
  <si>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</si>
  <si>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</si>
  <si>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</si>
  <si>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</si>
  <si>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</si>
  <si>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</si>
  <si>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</si>
  <si>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</si>
  <si>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</si>
  <si>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</si>
  <si>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</si>
  <si>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</si>
  <si>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</si>
  <si>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</si>
  <si>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</si>
  <si>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</si>
  <si>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</si>
  <si>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</si>
  <si>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</si>
  <si>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</si>
  <si>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</si>
  <si>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</si>
  <si>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</si>
  <si>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</si>
  <si>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</si>
  <si>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</si>
  <si>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</si>
  <si>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</si>
  <si>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</si>
  <si>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</si>
  <si>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</si>
  <si>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</si>
  <si>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</si>
  <si>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</si>
  <si>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</si>
  <si>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</si>
  <si>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</si>
  <si>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</si>
  <si>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</si>
  <si>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</si>
  <si>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</si>
  <si>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</si>
  <si>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</si>
  <si>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</si>
  <si>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</si>
  <si>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</si>
  <si>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</si>
  <si>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</si>
  <si>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</si>
  <si>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</si>
  <si>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</si>
  <si>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</si>
  <si>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</si>
  <si>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</si>
  <si>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</si>
  <si>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</si>
  <si>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</si>
  <si>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</si>
  <si>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</si>
  <si>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</si>
  <si>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</si>
  <si>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</si>
  <si>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</si>
  <si>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</si>
  <si>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</si>
  <si>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</si>
  <si>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</si>
  <si>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</si>
  <si>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</si>
  <si>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</si>
  <si>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</si>
  <si>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</si>
  <si>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</si>
  <si>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</si>
  <si>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</si>
  <si>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</si>
  <si>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</si>
  <si>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</si>
  <si>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</si>
  <si>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</si>
  <si>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</si>
  <si>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</si>
  <si>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</si>
  <si>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</si>
  <si>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</si>
  <si>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</si>
  <si>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</si>
  <si>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</si>
  <si>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</si>
  <si>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</si>
  <si>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</si>
  <si>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</si>
  <si>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</si>
  <si>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</si>
  <si>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</si>
  <si>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</si>
  <si>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</si>
  <si>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</si>
  <si>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</si>
  <si>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</si>
  <si>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</si>
  <si>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</si>
  <si>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</si>
  <si>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</si>
  <si>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</si>
  <si>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</si>
  <si>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</si>
  <si>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</si>
  <si>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</si>
  <si>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</si>
  <si>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</si>
  <si>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</si>
  <si>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</si>
  <si>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</si>
  <si>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</si>
  <si>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</si>
  <si>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</si>
  <si>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</si>
  <si>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</si>
  <si>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</si>
  <si>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</si>
  <si>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</si>
  <si>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</si>
  <si>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</si>
  <si>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</si>
  <si>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</si>
  <si>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</si>
  <si>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</si>
  <si>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</si>
  <si>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</si>
  <si>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</si>
  <si>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</si>
  <si>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</si>
  <si>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</si>
  <si>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</si>
  <si>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</si>
  <si>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</si>
  <si>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</si>
  <si>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</si>
  <si>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</si>
  <si>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</si>
  <si>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</si>
  <si>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</si>
  <si>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</si>
  <si>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</si>
  <si>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</si>
  <si>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</si>
  <si>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</si>
  <si>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</si>
  <si>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</si>
  <si>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</si>
  <si>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</si>
  <si>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</si>
  <si>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</si>
  <si>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</si>
  <si>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</si>
  <si>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</si>
  <si>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</si>
  <si>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</si>
  <si>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</si>
  <si>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</si>
  <si>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</si>
  <si>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</si>
  <si>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</si>
  <si>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</si>
  <si>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</si>
  <si>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</si>
  <si>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</si>
  <si>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</si>
  <si>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</si>
  <si>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</si>
  <si>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</si>
  <si>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</si>
  <si>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</si>
  <si>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</si>
  <si>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</si>
  <si>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</si>
  <si>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</si>
  <si>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</si>
  <si>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</si>
  <si>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</si>
  <si>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</si>
  <si>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</si>
  <si>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</si>
  <si>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</si>
  <si>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</si>
  <si>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</si>
  <si>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</si>
  <si>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</si>
  <si>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</si>
  <si>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</si>
  <si>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</si>
  <si>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</si>
  <si>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</si>
  <si>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</si>
  <si>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</si>
  <si>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</si>
  <si>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</si>
  <si>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</si>
  <si>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</si>
  <si>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</si>
  <si>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</si>
  <si>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</si>
  <si>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</si>
  <si>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</si>
  <si>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</si>
  <si>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</si>
  <si>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</si>
  <si>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</si>
  <si>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</si>
  <si>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</si>
  <si>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</si>
  <si>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</si>
  <si>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</si>
  <si>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</si>
  <si>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</si>
  <si>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</si>
  <si>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</si>
  <si>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</si>
  <si>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</si>
  <si>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</si>
  <si>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</si>
  <si>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</si>
  <si>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</si>
  <si>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</si>
  <si>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</si>
  <si>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</si>
  <si>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</si>
  <si>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</si>
  <si>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</si>
  <si>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</si>
  <si>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</si>
  <si>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</si>
  <si>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</si>
  <si>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</si>
  <si>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</si>
  <si>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</si>
  <si>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</si>
  <si>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</si>
  <si>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</si>
  <si>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</si>
  <si>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</si>
  <si>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</si>
  <si>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</si>
  <si>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</si>
  <si>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</si>
  <si>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</si>
  <si>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</si>
  <si>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</si>
  <si>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</si>
  <si>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</si>
  <si>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</si>
  <si>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</si>
  <si>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</si>
  <si>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</si>
  <si>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</si>
  <si>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</si>
  <si>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</si>
  <si>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</si>
  <si>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</si>
  <si>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</si>
  <si>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</si>
  <si>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</si>
  <si>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</si>
  <si>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</si>
  <si>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</si>
  <si>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</si>
  <si>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</si>
  <si>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</si>
  <si>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</si>
  <si>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</si>
  <si>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</si>
  <si>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</si>
  <si>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</si>
  <si>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</si>
  <si>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</si>
  <si>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</si>
  <si>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</si>
  <si>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</si>
  <si>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</si>
  <si>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</si>
  <si>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</si>
  <si>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</si>
  <si>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</si>
  <si>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</si>
  <si>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</si>
  <si>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</si>
  <si>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</si>
  <si>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</si>
  <si>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</si>
  <si>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</si>
  <si>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</si>
  <si>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</si>
  <si>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</si>
  <si>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</si>
  <si>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</si>
  <si>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</si>
  <si>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</si>
  <si>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</si>
  <si>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</si>
  <si>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</si>
  <si>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</si>
  <si>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</si>
  <si>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</si>
  <si>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</si>
  <si>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</si>
  <si>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</si>
  <si>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</si>
  <si>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</si>
  <si>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</si>
  <si>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</si>
  <si>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</si>
  <si>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</si>
  <si>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</si>
  <si>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</si>
  <si>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</si>
  <si>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</si>
  <si>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</si>
  <si>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</si>
  <si>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</si>
  <si>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</si>
  <si>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</si>
  <si>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</si>
  <si>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</si>
  <si>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</si>
  <si>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</si>
  <si>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</si>
  <si>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</si>
  <si>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</si>
  <si>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</si>
  <si>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</si>
  <si>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</si>
  <si>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</si>
  <si>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</si>
  <si>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</si>
  <si>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</si>
  <si>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</si>
  <si>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</si>
  <si>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</si>
  <si>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</si>
  <si>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</si>
  <si>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</si>
  <si>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</si>
  <si>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</si>
  <si>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</si>
  <si>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</si>
  <si>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</si>
  <si>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</si>
  <si>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</si>
  <si>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</si>
  <si>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</si>
  <si>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</si>
  <si>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</si>
  <si>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</si>
  <si>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</si>
  <si>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</si>
  <si>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</si>
  <si>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</si>
  <si>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</si>
  <si>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</si>
  <si>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</si>
  <si>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</si>
  <si>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</si>
  <si>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</si>
  <si>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</si>
  <si>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</si>
  <si>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</si>
  <si>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</si>
  <si>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</si>
  <si>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</si>
  <si>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</si>
  <si>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</si>
  <si>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</si>
  <si>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</si>
  <si>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</si>
  <si>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</si>
  <si>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</si>
  <si>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</si>
  <si>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</si>
  <si>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</si>
  <si>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</si>
  <si>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</si>
  <si>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</si>
  <si>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</si>
  <si>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</si>
  <si>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</si>
  <si>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</si>
  <si>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</si>
  <si>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</si>
  <si>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</si>
  <si>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</si>
  <si>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</si>
  <si>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</si>
  <si>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</si>
  <si>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</si>
  <si>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</si>
  <si>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</si>
  <si>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</si>
  <si>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</si>
  <si>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</si>
  <si>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</si>
  <si>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</si>
  <si>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</si>
  <si>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</si>
  <si>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</si>
  <si>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</si>
  <si>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</si>
  <si>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</si>
  <si>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</si>
  <si>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</si>
  <si>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</si>
  <si>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</si>
  <si>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</si>
  <si>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</si>
  <si>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</si>
  <si>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</si>
  <si>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</si>
  <si>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</si>
  <si>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</si>
  <si>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</si>
  <si>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</si>
  <si>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</si>
  <si>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</si>
  <si>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</si>
  <si>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</si>
  <si>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</si>
  <si>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</si>
  <si>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</si>
  <si>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</si>
  <si>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</si>
  <si>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</si>
  <si>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</si>
  <si>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</si>
  <si>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</si>
  <si>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</si>
  <si>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</si>
  <si>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</si>
  <si>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</si>
  <si>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</si>
  <si>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</si>
  <si>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</si>
  <si>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</si>
  <si>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</si>
  <si>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</si>
  <si>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</si>
  <si>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</si>
  <si>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</si>
  <si>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</si>
  <si>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</si>
  <si>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</si>
  <si>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</si>
  <si>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</si>
  <si>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</si>
  <si>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</si>
  <si>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</si>
  <si>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</si>
  <si>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</si>
  <si>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</si>
  <si>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</si>
  <si>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</si>
  <si>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</si>
  <si>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</si>
  <si>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</si>
  <si>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</si>
  <si>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</si>
  <si>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</si>
  <si>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</si>
  <si>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</si>
  <si>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</si>
  <si>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</si>
  <si>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</si>
  <si>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</si>
  <si>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</si>
  <si>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</si>
  <si>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</si>
  <si>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</si>
  <si>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</si>
  <si>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</si>
  <si>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</si>
  <si>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</si>
  <si>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</si>
  <si>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</si>
  <si>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</si>
  <si>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</si>
  <si>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</si>
  <si>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</si>
  <si>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</si>
  <si>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</si>
  <si>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</si>
  <si>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</si>
  <si>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</si>
  <si>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</si>
  <si>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</si>
  <si>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</si>
  <si>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</si>
  <si>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</si>
  <si>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</si>
  <si>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</si>
  <si>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</si>
  <si>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</si>
  <si>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</si>
  <si>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</si>
  <si>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</si>
  <si>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</si>
  <si>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</si>
  <si>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</si>
  <si>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</si>
  <si>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</si>
  <si>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</si>
  <si>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</si>
  <si>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</si>
  <si>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</si>
  <si>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</si>
  <si>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</si>
  <si>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</si>
  <si>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</si>
  <si>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</si>
  <si>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</si>
  <si>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</si>
  <si>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</si>
  <si>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</si>
  <si>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</si>
  <si>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</si>
  <si>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</si>
  <si>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</si>
  <si>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</si>
  <si>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</si>
  <si>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</si>
  <si>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</si>
  <si>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</si>
  <si>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</si>
  <si>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</si>
  <si>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</si>
  <si>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</si>
  <si>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</si>
  <si>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</si>
  <si>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</si>
  <si>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</si>
  <si>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</si>
  <si>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</si>
  <si>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</si>
  <si>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</si>
  <si>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</si>
  <si>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</si>
  <si>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</si>
  <si>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</si>
  <si>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</si>
  <si>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</si>
  <si>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</si>
  <si>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</si>
  <si>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</si>
  <si>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</si>
  <si>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</si>
  <si>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</si>
  <si>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</si>
  <si>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</si>
  <si>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</si>
  <si>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</si>
  <si>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</si>
  <si>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</si>
  <si>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</si>
  <si>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</si>
  <si>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</si>
  <si>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</si>
  <si>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</si>
  <si>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</si>
  <si>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</si>
  <si>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</si>
  <si>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</si>
  <si>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</si>
  <si>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</si>
  <si>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</si>
  <si>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</si>
  <si>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</si>
  <si>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</si>
  <si>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</si>
  <si>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</si>
  <si>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</si>
  <si>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</si>
  <si>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</si>
  <si>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</si>
  <si>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</si>
  <si>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</si>
  <si>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</si>
  <si>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</si>
  <si>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</si>
  <si>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</si>
  <si>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</si>
  <si>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</si>
  <si>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</si>
  <si>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</si>
  <si>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</si>
  <si>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</si>
  <si>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</si>
  <si>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</si>
  <si>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</si>
  <si>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</si>
  <si>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</si>
  <si>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</si>
  <si>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</si>
  <si>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</si>
  <si>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</si>
  <si>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</si>
  <si>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</si>
  <si>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</si>
  <si>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</si>
  <si>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</si>
  <si>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</si>
  <si>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</si>
  <si>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</si>
  <si>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</si>
  <si>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</si>
  <si>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</si>
  <si>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</si>
  <si>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</si>
  <si>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</si>
  <si>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</si>
  <si>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</si>
  <si>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</si>
  <si>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</si>
  <si>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</si>
  <si>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</si>
  <si>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</si>
  <si>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</si>
  <si>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</si>
  <si>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</si>
  <si>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</si>
  <si>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</si>
  <si>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</si>
  <si>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</si>
  <si>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</si>
  <si>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</si>
  <si>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</si>
  <si>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</si>
  <si>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</si>
  <si>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</si>
  <si>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</si>
  <si>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</si>
  <si>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</si>
  <si>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</si>
  <si>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</si>
  <si>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</si>
  <si>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</si>
  <si>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</si>
  <si>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</si>
  <si>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</si>
  <si>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</si>
  <si>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</si>
  <si>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</si>
  <si>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</si>
  <si>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</si>
  <si>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</si>
  <si>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</si>
  <si>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</si>
  <si>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</si>
  <si>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</si>
  <si>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</si>
  <si>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</si>
  <si>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</si>
  <si>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</si>
  <si>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</si>
  <si>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</si>
  <si>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</si>
  <si>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Bērnu pirotehnika</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</si>
  <si>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</si>
  <si>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</si>
  <si>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</si>
  <si>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</si>
  <si>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</si>
  <si>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</si>
  <si>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</si>
  <si>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</si>
  <si>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</si>
  <si>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</si>
  <si>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</si>
  <si>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</si>
  <si>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</si>
  <si>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</si>
  <si>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Dažādu kalibru baterija līdz 30mm</t>
  </si>
  <si>
    <t>109šv baterija caurule, 20+25+30mm caurule 1.3g</t>
  </si>
  <si>
    <t>Multi kalibra baterija vairāk nekā 30mm</t>
  </si>
  <si>
    <t>Romiešu ugunis 8šv (30mm)</t>
  </si>
  <si>
    <t>135šv baterija caurule, 20mm caurule + apļveidīgs</t>
  </si>
  <si>
    <t xml:space="preserve">25šv baterija caurule, 30mm caurule </t>
  </si>
  <si>
    <t xml:space="preserve">49šv baterija caurule, 30mm caurule </t>
  </si>
  <si>
    <t xml:space="preserve">50šv baterija caurule, 30mm caurule </t>
  </si>
  <si>
    <t>50šv baterija caurule, 30mm caurule + apļveidīgs</t>
  </si>
  <si>
    <t>8šv baterija caurule, 30mm caurule + apļveidīgs</t>
  </si>
  <si>
    <t>13šv baterija caurule, 30mm caurule + apļveidīgs</t>
  </si>
  <si>
    <t>19šv baterija caurule, 30mm caurule + apļveidīgs</t>
  </si>
  <si>
    <t>5šv baterija caurule, 50mm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</si>
  <si>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</si>
  <si>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</si>
  <si>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</si>
  <si>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</si>
  <si>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</si>
  <si>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</si>
  <si>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</si>
  <si>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</si>
  <si>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</si>
  <si>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</si>
  <si>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</si>
  <si>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</si>
  <si>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</si>
  <si>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</si>
  <si>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</si>
  <si>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</si>
  <si>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</si>
  <si>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</si>
  <si>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</si>
  <si>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</si>
  <si>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</si>
  <si>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</si>
  <si>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</si>
  <si>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</si>
  <si>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</si>
  <si>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</si>
  <si>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</si>
  <si>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</si>
  <si>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</si>
  <si>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</si>
  <si>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</si>
  <si>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</si>
  <si>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</si>
  <si>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</si>
  <si>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</si>
  <si>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</si>
  <si>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</si>
  <si>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</si>
  <si>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</si>
  <si>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</si>
  <si>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</si>
  <si>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</si>
  <si>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</si>
  <si>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</si>
  <si>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</si>
  <si>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</si>
  <si>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</si>
  <si>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</si>
  <si>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</si>
  <si>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</si>
  <si>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</si>
  <si>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</si>
  <si>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</si>
  <si>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</si>
  <si>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</si>
  <si>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</si>
  <si>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</si>
  <si>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</si>
  <si>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</si>
  <si>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</si>
  <si>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</si>
  <si>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</si>
  <si>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</si>
  <si>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</si>
  <si>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</si>
  <si>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</si>
  <si>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</si>
  <si>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</si>
  <si>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</si>
  <si>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</si>
  <si>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</si>
  <si>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</si>
  <si>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</si>
  <si>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</si>
  <si>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</si>
  <si>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</si>
  <si>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</si>
  <si>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</si>
  <si>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</si>
  <si>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</si>
  <si>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</si>
  <si>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</si>
  <si>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</si>
  <si>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</si>
  <si>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</si>
  <si>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</si>
  <si>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</si>
  <si>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</si>
  <si>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</si>
  <si>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</si>
  <si>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</si>
  <si>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</si>
  <si>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</si>
  <si>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</si>
  <si>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</si>
  <si>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</si>
  <si>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</si>
  <si>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</si>
  <si>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</si>
  <si>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</si>
  <si>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</si>
  <si>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</si>
  <si>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</si>
  <si>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</si>
  <si>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</si>
  <si>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</si>
  <si>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</si>
  <si>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</si>
  <si>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</si>
  <si>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</si>
  <si>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</si>
  <si>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</si>
  <si>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</si>
  <si>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</si>
  <si>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</si>
  <si>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</si>
  <si>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</si>
  <si>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</si>
  <si>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</si>
  <si>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</si>
  <si>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</si>
  <si>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</si>
  <si>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</si>
  <si>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</si>
  <si>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</si>
  <si>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</si>
  <si>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</si>
  <si>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</si>
  <si>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</si>
  <si>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</si>
  <si>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</si>
  <si>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</si>
  <si>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</si>
  <si>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</si>
  <si>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</si>
  <si>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</si>
  <si>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</si>
  <si>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</si>
  <si>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</si>
  <si>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</si>
  <si>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</si>
  <si>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</si>
  <si>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</si>
  <si>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</si>
  <si>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</si>
  <si>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</si>
  <si>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</si>
  <si>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</si>
  <si>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</si>
  <si>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</si>
  <si>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</si>
  <si>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</si>
  <si>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</si>
  <si>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</si>
  <si>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</si>
  <si>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</si>
  <si>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</si>
  <si>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</si>
  <si>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</si>
  <si>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</si>
  <si>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</si>
  <si>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</si>
  <si>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</si>
  <si>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</si>
  <si>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</si>
  <si>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</si>
  <si>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</si>
  <si>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</si>
  <si>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</si>
  <si>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</si>
  <si>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</si>
  <si>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</si>
  <si>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</si>
  <si>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</si>
  <si>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</si>
  <si>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</si>
  <si>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</si>
  <si>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</si>
  <si>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</si>
  <si>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</si>
  <si>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</si>
  <si>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</si>
  <si>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</si>
  <si>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</si>
  <si>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</si>
  <si>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</si>
  <si>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</si>
  <si>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</si>
  <si>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</si>
  <si>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</si>
  <si>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</si>
  <si>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</si>
  <si>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</si>
  <si>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</si>
  <si>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</si>
  <si>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</si>
  <si>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</si>
  <si>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</si>
  <si>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</si>
  <si>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</si>
  <si>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</si>
  <si>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</si>
  <si>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</si>
  <si>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</si>
  <si>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</si>
  <si>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</si>
  <si>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</si>
  <si>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</si>
  <si>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</si>
  <si>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</si>
  <si>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</si>
  <si>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</si>
  <si>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</si>
  <si>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</si>
  <si>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</si>
  <si>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</si>
  <si>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</si>
  <si>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</si>
  <si>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</si>
  <si>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</si>
  <si>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</si>
  <si>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</si>
  <si>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</si>
  <si>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</si>
  <si>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</si>
  <si>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</si>
  <si>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</si>
  <si>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</si>
  <si>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</si>
  <si>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</si>
  <si>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</si>
  <si>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</si>
  <si>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</si>
  <si>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</si>
  <si>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</si>
  <si>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</si>
  <si>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</si>
  <si>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</si>
  <si>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</si>
  <si>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</si>
  <si>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</si>
  <si>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</si>
  <si>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</si>
  <si>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</si>
  <si>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</si>
  <si>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</si>
  <si>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</si>
  <si>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</si>
  <si>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</si>
  <si>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</si>
  <si>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</si>
  <si>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</si>
  <si>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</si>
  <si>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</si>
  <si>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</si>
  <si>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</si>
  <si>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</si>
  <si>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</si>
  <si>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</si>
  <si>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</si>
  <si>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</si>
  <si>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</si>
  <si>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</si>
  <si>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</si>
  <si>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</si>
  <si>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</si>
  <si>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</si>
  <si>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</si>
  <si>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</si>
  <si>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</si>
  <si>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</si>
  <si>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</si>
  <si>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</si>
  <si>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</si>
  <si>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</si>
  <si>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</si>
  <si>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</si>
  <si>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</si>
  <si>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</si>
  <si>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</si>
  <si>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</si>
  <si>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</si>
  <si>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</si>
  <si>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</si>
  <si>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</si>
  <si>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</si>
  <si>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</si>
  <si>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</si>
  <si>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</si>
  <si>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</si>
  <si>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</si>
  <si>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</si>
  <si>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</si>
  <si>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</si>
  <si>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</si>
  <si>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</si>
  <si>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</si>
  <si>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</si>
  <si>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</si>
  <si>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</si>
  <si>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</si>
  <si>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</si>
  <si>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</si>
  <si>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</si>
  <si>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</si>
  <si>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</si>
  <si>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</si>
  <si>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</si>
  <si>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</si>
  <si>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</si>
  <si>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</si>
  <si>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</si>
  <si>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</si>
  <si>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</si>
  <si>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</si>
  <si>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</si>
  <si>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</si>
  <si>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</si>
  <si>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</si>
  <si>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</si>
  <si>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</si>
  <si>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</si>
  <si>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</si>
  <si>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</si>
  <si>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</si>
  <si>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</si>
  <si>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</si>
  <si>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</si>
  <si>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</si>
  <si>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</si>
  <si>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</si>
  <si>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</si>
  <si>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</si>
  <si>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</si>
  <si>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</si>
  <si>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</si>
  <si>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</si>
  <si>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</si>
  <si>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</si>
  <si>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</si>
  <si>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</si>
  <si>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</si>
  <si>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</si>
  <si>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</si>
  <si>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</si>
  <si>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</si>
  <si>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</si>
  <si>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</si>
  <si>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</si>
  <si>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</si>
  <si>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</si>
  <si>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</si>
  <si>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</si>
  <si>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</si>
  <si>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</si>
  <si>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</si>
  <si>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</si>
  <si>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</si>
  <si>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</si>
  <si>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</si>
  <si>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</si>
  <si>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</si>
  <si>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</si>
  <si>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</si>
  <si>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</si>
  <si>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</si>
  <si>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</si>
  <si>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</si>
  <si>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</si>
  <si>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</si>
  <si>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</si>
  <si>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</si>
  <si>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</si>
  <si>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</si>
  <si>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</si>
  <si>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</si>
  <si>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</si>
  <si>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</si>
  <si>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</si>
  <si>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</si>
  <si>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</si>
  <si>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</si>
  <si>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</si>
  <si>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</si>
  <si>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</si>
  <si>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</si>
  <si>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</si>
  <si>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</si>
  <si>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</si>
  <si>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</si>
  <si>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</si>
  <si>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</si>
  <si>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</si>
  <si>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</si>
  <si>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</si>
  <si>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</si>
  <si>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</si>
  <si>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</si>
  <si>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</si>
  <si>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</si>
  <si>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</si>
  <si>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</si>
  <si>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</si>
  <si>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</si>
  <si>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</si>
  <si>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</si>
  <si>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</si>
  <si>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</si>
  <si>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</si>
  <si>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</si>
  <si>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</si>
  <si>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</si>
  <si>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</si>
  <si>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</si>
  <si>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</si>
  <si>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</si>
  <si>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</si>
  <si>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</si>
  <si>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</si>
  <si>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</si>
  <si>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</si>
  <si>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</si>
  <si>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</si>
  <si>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</si>
  <si>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</si>
  <si>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</si>
  <si>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</si>
  <si>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</si>
  <si>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</si>
  <si>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</si>
  <si>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</si>
  <si>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</si>
  <si>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</si>
  <si>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</si>
  <si>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</si>
  <si>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</si>
  <si>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</si>
  <si>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</si>
  <si>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</si>
  <si>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</si>
  <si>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</si>
  <si>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</si>
  <si>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</si>
  <si>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</si>
  <si>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</si>
  <si>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</si>
  <si>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</si>
  <si>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</si>
  <si>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</si>
  <si>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</si>
  <si>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</si>
  <si>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</si>
  <si>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</si>
  <si>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</si>
  <si>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</si>
  <si>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</si>
  <si>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</si>
  <si>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</si>
  <si>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</si>
  <si>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</si>
  <si>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</si>
  <si>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</si>
  <si>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</si>
  <si>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</si>
  <si>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</si>
  <si>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</si>
  <si>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</si>
  <si>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</si>
  <si>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</si>
  <si>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</si>
  <si>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</si>
  <si>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</si>
  <si>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</si>
  <si>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</si>
  <si>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</si>
  <si>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</si>
  <si>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</si>
  <si>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</si>
  <si>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</si>
  <si>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</si>
  <si>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</si>
  <si>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</si>
  <si>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</si>
  <si>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</si>
  <si>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</si>
  <si>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</si>
  <si>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</si>
  <si>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</si>
  <si>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</si>
  <si>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</si>
  <si>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</si>
  <si>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</si>
  <si>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</si>
  <si>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</si>
  <si>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</si>
  <si>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</si>
  <si>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</si>
  <si>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</si>
  <si>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</si>
  <si>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</si>
  <si>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</si>
  <si>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</si>
  <si>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</si>
  <si>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</si>
  <si>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</si>
  <si>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</si>
  <si>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</si>
  <si>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</si>
  <si>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</si>
  <si>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</si>
  <si>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</si>
  <si>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</si>
  <si>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</si>
  <si>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</si>
  <si>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</si>
  <si>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</si>
  <si>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</si>
  <si>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</si>
  <si>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</si>
  <si>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</si>
  <si>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</si>
  <si>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</si>
  <si>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</si>
  <si>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</si>
  <si>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</si>
  <si>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</si>
  <si>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</si>
  <si>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</si>
  <si>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</si>
  <si>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</si>
  <si>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</si>
  <si>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</si>
  <si>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</si>
  <si>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</si>
  <si>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</si>
  <si>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</si>
  <si>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</si>
  <si>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</si>
  <si>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</si>
  <si>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</si>
  <si>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</si>
  <si>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</si>
  <si>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</si>
  <si>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</si>
  <si>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</si>
  <si>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</si>
  <si>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</si>
  <si>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</si>
  <si>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</si>
  <si>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</si>
  <si>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</si>
  <si>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</si>
  <si>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</si>
  <si>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</si>
  <si>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</si>
  <si>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</si>
  <si>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</si>
  <si>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</si>
  <si>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</si>
  <si>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</si>
  <si>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</si>
  <si>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</si>
  <si>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</si>
  <si>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</si>
  <si>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</si>
  <si>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</si>
  <si>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</si>
  <si>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</si>
  <si>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</si>
  <si>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</si>
  <si>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</si>
  <si>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</si>
  <si>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</si>
  <si>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</si>
  <si>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</si>
  <si>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</si>
  <si>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</si>
  <si>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</si>
  <si>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</si>
  <si>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</si>
  <si>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</si>
  <si>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</si>
  <si>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</si>
  <si>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</si>
  <si>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</si>
  <si>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</si>
  <si>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</si>
  <si>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</si>
  <si>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</si>
  <si>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</si>
  <si>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</si>
  <si>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</si>
  <si>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</si>
  <si>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</si>
  <si>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</si>
  <si>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</si>
  <si>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</si>
  <si>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</si>
  <si>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</si>
  <si>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</si>
  <si>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</si>
  <si>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</si>
  <si>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</si>
  <si>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</si>
  <si>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</si>
  <si>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</si>
  <si>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</si>
  <si>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</si>
  <si>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</si>
  <si>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</si>
  <si>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</si>
  <si>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</si>
  <si>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</si>
  <si>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</si>
  <si>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</si>
  <si>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</si>
  <si>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</si>
  <si>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</si>
  <si>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</si>
  <si>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</si>
  <si>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</si>
  <si>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</si>
  <si>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</si>
  <si>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</si>
  <si>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</si>
  <si>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</si>
  <si>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</si>
  <si>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</si>
  <si>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</si>
  <si>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</si>
  <si>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</si>
  <si>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</si>
  <si>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</si>
  <si>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</si>
  <si>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</si>
  <si>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</si>
  <si>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</si>
  <si>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</si>
  <si>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</si>
  <si>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</si>
  <si>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</si>
  <si>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</si>
  <si>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</si>
  <si>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</si>
  <si>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</si>
  <si>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</si>
  <si>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</si>
  <si>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</si>
  <si>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</si>
  <si>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</si>
  <si>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</si>
  <si>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</si>
  <si>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</si>
  <si>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</si>
  <si>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</si>
  <si>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</si>
  <si>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</si>
  <si>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</si>
  <si>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</si>
  <si>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</si>
  <si>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</si>
  <si>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</si>
  <si>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</si>
  <si>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</si>
  <si>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</si>
  <si>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</si>
  <si>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</si>
  <si>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</si>
  <si>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</si>
  <si>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</si>
  <si>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</si>
  <si>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</si>
  <si>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</si>
  <si>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</si>
  <si>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</si>
  <si>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</si>
  <si>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</si>
  <si>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</si>
  <si>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</si>
  <si>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</si>
  <si>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</si>
  <si>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</si>
  <si>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</si>
  <si>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</si>
  <si>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</si>
  <si>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</si>
  <si>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</si>
  <si>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</si>
  <si>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</si>
  <si>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</si>
  <si>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</si>
  <si>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</si>
  <si>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</si>
  <si>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</si>
  <si>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</si>
  <si>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</si>
  <si>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</si>
  <si>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</si>
  <si>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</si>
  <si>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</si>
  <si>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</si>
  <si>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</si>
  <si>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</si>
  <si>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</si>
  <si>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</si>
  <si>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</si>
  <si>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</si>
  <si>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</si>
  <si>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</si>
  <si>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</si>
  <si>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</si>
  <si>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</si>
  <si>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</si>
  <si>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</si>
  <si>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</si>
  <si>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</si>
  <si>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</si>
  <si>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</si>
  <si>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</si>
  <si>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</si>
  <si>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</si>
  <si>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</si>
  <si>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</si>
  <si>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</si>
  <si>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</si>
  <si>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</si>
  <si>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</si>
  <si>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</si>
  <si>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</si>
  <si>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</si>
  <si>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</si>
  <si>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</si>
  <si>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</si>
  <si>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</si>
  <si>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</si>
  <si>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</si>
  <si>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</si>
  <si>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</si>
  <si>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</si>
  <si>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</si>
  <si>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</si>
  <si>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</si>
  <si>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</si>
  <si>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</si>
  <si>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</si>
  <si>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</si>
  <si>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</si>
  <si>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</si>
  <si>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</si>
  <si>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</si>
  <si>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</si>
  <si>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</si>
  <si>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</si>
  <si>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</si>
  <si>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</si>
  <si>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</si>
  <si>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</si>
  <si>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</si>
  <si>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</si>
  <si>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</si>
  <si>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</si>
  <si>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</si>
  <si>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</si>
  <si>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</si>
  <si>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</si>
  <si>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</si>
  <si>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</si>
  <si>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</si>
  <si>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</si>
  <si>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</si>
  <si>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</si>
  <si>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</si>
  <si>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</si>
  <si>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</si>
  <si>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</si>
  <si>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</si>
  <si>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</si>
  <si>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</si>
  <si>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</si>
  <si>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</si>
  <si>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</si>
  <si>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</si>
  <si>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</si>
  <si>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</si>
  <si>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</si>
  <si>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</si>
  <si>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</si>
  <si>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</si>
  <si>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</si>
  <si>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</si>
  <si>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</si>
  <si>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</si>
  <si>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</si>
  <si>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</si>
  <si>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</si>
  <si>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</si>
  <si>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</si>
  <si>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</si>
  <si>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</si>
  <si>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</si>
  <si>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</si>
  <si>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</si>
  <si>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</si>
  <si>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</si>
  <si>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</si>
  <si>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</si>
  <si>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</si>
  <si>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</si>
  <si>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</si>
  <si>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</si>
  <si>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</si>
  <si>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</si>
  <si>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</si>
  <si>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</si>
  <si>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</si>
  <si>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</si>
  <si>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</si>
  <si>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</si>
  <si>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</si>
  <si>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</si>
  <si>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</si>
  <si>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</si>
  <si>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</si>
  <si>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</si>
  <si>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</si>
  <si>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</si>
  <si>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</si>
  <si>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</si>
  <si>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</si>
  <si>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</si>
  <si>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</si>
  <si>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</si>
  <si>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</si>
  <si>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</si>
  <si>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</si>
  <si>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</si>
  <si>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</si>
  <si>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</si>
  <si>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</si>
  <si>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</si>
  <si>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</si>
  <si>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</si>
  <si>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</si>
  <si>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</si>
  <si>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</si>
  <si>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</si>
  <si>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</si>
  <si>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</si>
  <si>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</si>
  <si>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</si>
  <si>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</si>
  <si>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</si>
  <si>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</si>
  <si>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</si>
  <si>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</si>
  <si>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</si>
  <si>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</si>
  <si>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</si>
  <si>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</si>
  <si>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</si>
  <si>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</si>
  <si>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</si>
  <si>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</si>
  <si>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</si>
  <si>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</si>
  <si>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</si>
  <si>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</si>
  <si>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</si>
  <si>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</si>
  <si>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</si>
  <si>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</si>
  <si>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</si>
  <si>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</si>
  <si>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</si>
  <si>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</si>
  <si>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</si>
  <si>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</si>
  <si>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</si>
  <si>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</si>
  <si>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</si>
  <si>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</si>
  <si>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</si>
  <si>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</si>
  <si>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</si>
  <si>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</si>
  <si>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</si>
  <si>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</si>
  <si>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</si>
  <si>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</si>
  <si>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</si>
  <si>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</si>
  <si>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</si>
  <si>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</si>
  <si>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</si>
  <si>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</si>
  <si>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</si>
  <si>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</si>
  <si>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</si>
  <si>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</si>
  <si>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</si>
  <si>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</si>
  <si>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</si>
  <si>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</si>
  <si>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</si>
  <si>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</si>
  <si>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</si>
  <si>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</si>
  <si>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</si>
  <si>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</si>
  <si>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</si>
  <si>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</si>
  <si>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</si>
  <si>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</si>
  <si>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</si>
  <si>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</si>
  <si>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</si>
  <si>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</si>
  <si>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</si>
  <si>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</si>
  <si>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</si>
  <si>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</si>
  <si>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</si>
  <si>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</si>
  <si>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</si>
  <si>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</si>
  <si>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</si>
  <si>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</si>
  <si>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</si>
  <si>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</si>
  <si>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</si>
  <si>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</si>
  <si>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</si>
  <si>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</si>
  <si>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</si>
  <si>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</si>
  <si>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</si>
  <si>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</si>
  <si>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</si>
  <si>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</si>
  <si>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</si>
  <si>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</si>
  <si>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</si>
  <si>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</si>
  <si>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</si>
  <si>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</si>
  <si>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</si>
  <si>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</si>
  <si>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</si>
  <si>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</si>
  <si>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</si>
  <si>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</si>
  <si>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</si>
  <si>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</si>
  <si>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</si>
  <si>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</si>
  <si>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</si>
  <si>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</si>
  <si>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</si>
  <si>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</si>
  <si>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</si>
  <si>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</si>
  <si>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</si>
  <si>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</si>
  <si>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</si>
  <si>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</si>
  <si>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</si>
  <si>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</si>
  <si>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</si>
  <si>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</si>
  <si>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</si>
  <si>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</si>
  <si>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</si>
  <si>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</si>
  <si>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</si>
  <si>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</si>
  <si>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</si>
  <si>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</si>
  <si>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</si>
  <si>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</si>
  <si>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</si>
  <si>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</si>
  <si>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</si>
  <si>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</si>
  <si>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</si>
  <si>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</si>
  <si>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</si>
  <si>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</si>
  <si>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</si>
  <si>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</si>
  <si>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</si>
  <si>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</si>
  <si>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</si>
  <si>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</si>
  <si>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</si>
  <si>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</si>
  <si>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</si>
  <si>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</si>
  <si>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</si>
  <si>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</si>
  <si>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</si>
  <si>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</si>
  <si>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</si>
  <si>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</si>
  <si>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</si>
  <si>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</si>
  <si>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</si>
  <si>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</si>
  <si>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</si>
  <si>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</si>
  <si>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</si>
  <si>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</si>
  <si>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</si>
  <si>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</si>
  <si>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</si>
  <si>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</si>
  <si>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</si>
  <si>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Gyerek tüzijáték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</si>
  <si>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</si>
  <si>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</si>
  <si>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</si>
  <si>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</si>
  <si>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</si>
  <si>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</si>
  <si>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</si>
  <si>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</si>
  <si>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</si>
  <si>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</si>
  <si>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</si>
  <si>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</si>
  <si>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</si>
  <si>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</si>
  <si>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</si>
  <si>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</si>
  <si>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</si>
  <si>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20mm</t>
  </si>
  <si>
    <t>Római gyergyák 30mm</t>
  </si>
  <si>
    <t>Római gyergya telepek</t>
  </si>
  <si>
    <t>Vetőcsövek f2</t>
  </si>
  <si>
    <t>Vetőcső (3 lövet), 20mm mozsár</t>
  </si>
  <si>
    <t>Vetőcső (3 lövet), 30mm mozsár</t>
  </si>
  <si>
    <t>Vetőcsövek f3</t>
  </si>
  <si>
    <t>Szökőkut+mozsár</t>
  </si>
  <si>
    <t>Golyósbomba szett mozsárral</t>
  </si>
  <si>
    <t>Dörzsfejes petárdák</t>
  </si>
  <si>
    <t>Gyújtózsinóros petárdák f2</t>
  </si>
  <si>
    <t>Gyújtózsinóros petárdák f3</t>
  </si>
  <si>
    <t>Gyújtózsinóros petárdák p1</t>
  </si>
  <si>
    <t>Gyújtózsinóros petárdák f4+t2</t>
  </si>
  <si>
    <t>Petárda telepek</t>
  </si>
  <si>
    <t>Rakéta szettek f2-1.4g</t>
  </si>
  <si>
    <t>Rakéta szettek 1.3g+1.4g</t>
  </si>
  <si>
    <t>Ruhák</t>
  </si>
  <si>
    <t>Ruhák dumbum limitált edíció</t>
  </si>
  <si>
    <t>Reklám cikkek</t>
  </si>
  <si>
    <t>Bemutató álványok</t>
  </si>
  <si>
    <t>Egyéb</t>
  </si>
  <si>
    <t>Rakéta telepek 100 lövet, 8mm mozsár-1.4g</t>
  </si>
  <si>
    <t>Rakéta telepek 300 lövet, 8mm mozsár-1.4g</t>
  </si>
  <si>
    <t>Rakéta telepek 1000 lövet, 8mm mozsár-1.4g</t>
  </si>
  <si>
    <t>Telepek 100 lövet, 8mm mozsár-1.4g</t>
  </si>
  <si>
    <t>Telepek 16 lövet, 14mm mozsár-1.4g</t>
  </si>
  <si>
    <t>Telepek 100 lövet, 14mm mozsár-1.3g</t>
  </si>
  <si>
    <t>Telepek 100 lövet, 14mm mozsár-1.4g</t>
  </si>
  <si>
    <t>Telepek 208 lövet, 14mm egyenes+ferde mozsár-1.4g</t>
  </si>
  <si>
    <t>Telepek 9 lövet, 20mm mozsár-1.3g</t>
  </si>
  <si>
    <t>Telepek 9 lövet, 20mm mozsár-1.4g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</si>
  <si>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</si>
  <si>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</si>
  <si>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</si>
  <si>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</si>
  <si>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</si>
  <si>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</si>
  <si>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</si>
  <si>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</si>
  <si>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</si>
  <si>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</si>
  <si>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</si>
  <si>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</si>
  <si>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</si>
  <si>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</si>
  <si>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</si>
  <si>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</si>
  <si>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</si>
  <si>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</si>
  <si>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</si>
  <si>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135 lövet, 20mm ferde mozsár-1.3g</t>
  </si>
  <si>
    <t>Telepek 200 lövet, 20mm mozsár-1.3g</t>
  </si>
  <si>
    <t>Telepek 200 lövet, 20mm mozsár multiirányú-1.3g</t>
  </si>
  <si>
    <t>Összetett tüzijáték 20mm - f2 - 1.4g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</si>
  <si>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</si>
  <si>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</si>
  <si>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</si>
  <si>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</si>
  <si>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</si>
  <si>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 xml:space="preserve">Kerti tüzijáték - 2 modul 2 műanyag csatlakozóval /start+vége/ a soros átkötéshez - 1.3g </t>
  </si>
  <si>
    <t>Telepek 16 lövet, 25mm mozsár-1.3g</t>
  </si>
  <si>
    <t>Telepek 16 lövet, 25mm mozsár-1.4g</t>
  </si>
  <si>
    <t>Telepek 25 lövet, 25mm mozsár-1.3g</t>
  </si>
  <si>
    <t>Telepek 25 lövet, 25mm mozsár-1.4g</t>
  </si>
  <si>
    <t>Telepek 25 lövet, 25mm ferde mozsár-1.3g</t>
  </si>
  <si>
    <t>Telepek 25 lövet, 25mm ferde mozsár-1.4g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</si>
  <si>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</si>
  <si>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</si>
  <si>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</si>
  <si>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</si>
  <si>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</si>
  <si>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</si>
  <si>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</si>
  <si>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</si>
  <si>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</si>
  <si>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</si>
  <si>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</si>
  <si>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</si>
  <si>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</si>
  <si>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</si>
  <si>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</si>
  <si>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300 lövet, 25mm mozsár-1.3g</t>
  </si>
  <si>
    <t>Telepek 16 lövet, 30mm mozsár-1.3g</t>
  </si>
  <si>
    <t>Telepek 16 lövet, 30mm mozsár-1.4g</t>
  </si>
  <si>
    <t>Telepek 19 lövet, 30mm mozsár-1.3g</t>
  </si>
  <si>
    <t>Telepek 19 lövet, 30mm mozsár-1.4g</t>
  </si>
  <si>
    <t>Telepek 25 lövet, 30mm mozsár f3 - 1.3g</t>
  </si>
  <si>
    <t>Telepek 25 lövet, 30mm mozsár f2 - 1.4g</t>
  </si>
  <si>
    <t>Telepek 25 lövet, 30mm mozsár-1.3g</t>
  </si>
  <si>
    <t>Telepek 25 lövet, 30mm mozsár-1.4g</t>
  </si>
  <si>
    <t>Telepek 25 lövet, 30mm ferde mozsár-1.3g</t>
  </si>
  <si>
    <t>Telepek 25 lövet, 30mm ferde mozsár-1.4g</t>
  </si>
  <si>
    <t>Telepek 29 lövet, 30mm v+w+ferde mozsár-1.3g</t>
  </si>
  <si>
    <t>Telepek 29 lövet, 30mm v+w+ferde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</si>
  <si>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</si>
  <si>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</si>
  <si>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</si>
  <si>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</si>
  <si>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</si>
  <si>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</si>
  <si>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</si>
  <si>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</si>
  <si>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</si>
  <si>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f2 - 1.4g</t>
  </si>
  <si>
    <t>Összetett tüzijáték 30mm /védő csomagolásban/- f2 - 1.4g</t>
  </si>
  <si>
    <t>Összetett tüzijáték 30mm - f3 - 1.3g</t>
  </si>
  <si>
    <t>Összetett tüzijáték 30mm /védő csomagolásban/- f3 - 1.3g</t>
  </si>
  <si>
    <t>Telepek 200 lövet, 30mm mozsár-1.3g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</si>
  <si>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</si>
  <si>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</si>
  <si>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</si>
  <si>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</si>
  <si>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</si>
  <si>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</si>
  <si>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</si>
  <si>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</si>
  <si>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</si>
  <si>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</si>
  <si>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49 lövet, 63mm mozsár-1.3g</t>
  </si>
  <si>
    <t>Telepek 16 lövet, 75mm mozsár-1.3g</t>
  </si>
  <si>
    <t>Telepek 25 lövet, 75mm mozsár-1.3g</t>
  </si>
  <si>
    <t>Multikaliberű telepek 30mm-ig</t>
  </si>
  <si>
    <t>Telepek 33 lövet, 20+25mm egyenes+ferde+v+s mozsár-1.3g</t>
  </si>
  <si>
    <t>Telepek 39 lövet, 20+25+30mm ferde+v+w mozsár-1.3g</t>
  </si>
  <si>
    <t>Telepek 39 lövet, 20+25+30mm ferde+v+w mozsár-1.4g</t>
  </si>
  <si>
    <t>Telep + szökőkút 40 lövet, 20+25+30mm mozsár - 1.3g</t>
  </si>
  <si>
    <t>Telepek 41 lövet, 20+25+30mm egyenes+ferde+s+v mozsár-1.3g</t>
  </si>
  <si>
    <t>Telepek 41 lövet, 20+25+30mm egyenes+ferde+s+v mozsár-1.4g</t>
  </si>
  <si>
    <t>Telepek 50 lövet, 20+25+30mm egyenes+ferde+s mozsár-1.3g</t>
  </si>
  <si>
    <t>Telepek 50 lövet, 20+25+30mm egyenes+ferde+s mozsár-1.4g</t>
  </si>
  <si>
    <t>Telepek 52 lövet, 14+20mm mozsár-1.3g</t>
  </si>
  <si>
    <t>Telepek 52 lövet, 14+20mm mozsár-1.4g</t>
  </si>
  <si>
    <t>Telepek 64 lövet, 20+25mm mozsár-1.3g</t>
  </si>
  <si>
    <t>Telepek 64 lövet, 20+25mm mozsár-1.4g</t>
  </si>
  <si>
    <t>Telepek 64 lövet, 25+30mm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</si>
  <si>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</si>
  <si>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</si>
  <si>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</si>
  <si>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</si>
  <si>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</si>
  <si>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multikaliber- f2 - 1.4g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</si>
  <si>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</si>
  <si>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</si>
  <si>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</si>
  <si>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</si>
  <si>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</si>
  <si>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</si>
  <si>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</si>
  <si>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</si>
  <si>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</si>
  <si>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</si>
  <si>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42 lövet, 30+50mm mozsár-1.3g</t>
  </si>
  <si>
    <t>Telepek 47 lövet, 30+50mm egyenes+ferde mozsár-1.3g</t>
  </si>
  <si>
    <t>Telepek 62 lövet, 20+25+30+48mm egyenes+ferde+s mozsár-1.3g</t>
  </si>
  <si>
    <t>Telepek 63 lövet, 25+45mm egyenes+ferde mozsár-1.3g</t>
  </si>
  <si>
    <t>Telepek 66 lövet, 20+25+30+48mm mozsár-1.3g</t>
  </si>
  <si>
    <t>Telep + szökőkút 78 lövet, 20+25+30+40mm mozsár - 1.3g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</si>
  <si>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</si>
  <si>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</si>
  <si>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</si>
  <si>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</si>
  <si>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</si>
  <si>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Vetőcsövek 50mm</t>
  </si>
  <si>
    <t>Telepek 135 lövet, 20mm ferde mozsár</t>
  </si>
  <si>
    <t>Telepek 25 lövet, 30mm mozsár</t>
  </si>
  <si>
    <t>Telepek 49 lövet, 30mm mozsár</t>
  </si>
  <si>
    <t>Telepek 50 lövet, 30mm mozsár</t>
  </si>
  <si>
    <t>Telepek 50 lövet, 30mm ferde mozsár</t>
  </si>
  <si>
    <t>Telepek 50 lövet, 30mm s mozsár</t>
  </si>
  <si>
    <t>Telepek 50 lövet, 30mm v mozsár</t>
  </si>
  <si>
    <t>Telepek 50 lövet, 30mm w mozsár</t>
  </si>
  <si>
    <t>Telepek 50 lövet, 30mm x mozsár</t>
  </si>
  <si>
    <t>Telepek 8 lövet, 30mm ferde mozsár</t>
  </si>
  <si>
    <t>Telepek 13 lövet, 30mm ferde mozsár</t>
  </si>
  <si>
    <t>Telepek 19 lövet, 30mm ferde mozsár</t>
  </si>
  <si>
    <t>Telepek 5 lövet, 50mm ferde mozsár</t>
  </si>
  <si>
    <t>Golyósbombák 50mm</t>
  </si>
  <si>
    <t>Golyósbombák 75mm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</si>
  <si>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</si>
  <si>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</si>
  <si>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</si>
  <si>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</si>
  <si>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</si>
  <si>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</si>
  <si>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</si>
  <si>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</si>
  <si>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Laste pürotehnika</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</si>
  <si>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</si>
  <si>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</si>
  <si>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</si>
  <si>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</si>
  <si>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</si>
  <si>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</si>
  <si>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</si>
  <si>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</si>
  <si>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</si>
  <si>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</si>
  <si>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</si>
  <si>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</si>
  <si>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</si>
  <si>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</si>
  <si>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</si>
  <si>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</si>
  <si>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</si>
  <si>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20mm</t>
  </si>
  <si>
    <t>Rooma küünal 30mm</t>
  </si>
  <si>
    <t>Rooma küünla patarei</t>
  </si>
  <si>
    <t>Patarei f2</t>
  </si>
  <si>
    <t>Patarei 3lasku, 20mm kaliiber</t>
  </si>
  <si>
    <t>Patarei 3lasku, 30mm kaliiber</t>
  </si>
  <si>
    <t>Patarei f3</t>
  </si>
  <si>
    <t>Fontään+miin</t>
  </si>
  <si>
    <t>Fontään plahvatusega</t>
  </si>
  <si>
    <t>Kraapijaga pauguti</t>
  </si>
  <si>
    <t>Süütenööriga pauguti f2</t>
  </si>
  <si>
    <t>Süütenööriga pauguti f3</t>
  </si>
  <si>
    <t>Süütenööriga pauguti p1</t>
  </si>
  <si>
    <t>Süütenööriga pauguti f4+p2</t>
  </si>
  <si>
    <t>Pauguti patarei</t>
  </si>
  <si>
    <t>Raketi komplekt f2-1.4g</t>
  </si>
  <si>
    <t>Raketi komplekt 1.3g+1.4g</t>
  </si>
  <si>
    <t>Riided</t>
  </si>
  <si>
    <t>Riided dumbum limiteeritud kogus</t>
  </si>
  <si>
    <t>Reklaamtooted</t>
  </si>
  <si>
    <t>Esitlusseinad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</si>
  <si>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</si>
  <si>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</si>
  <si>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</si>
  <si>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</si>
  <si>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</si>
  <si>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</si>
  <si>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</si>
  <si>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</si>
  <si>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Ühendatud patarei 20 mm ( kaitsva pakendiga )- f2-1.4g</t>
  </si>
  <si>
    <t>Multikaliiber patarei kuni 30mm</t>
  </si>
  <si>
    <t>Multikaliiber patarei üle 30mm</t>
  </si>
  <si>
    <t>78 lasku patarei+ fontään, 20+25+30+40 mm-1.3g</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</si>
  <si>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</si>
  <si>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</si>
  <si>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</si>
  <si>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</si>
  <si>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</si>
  <si>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</si>
  <si>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</si>
  <si>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</si>
  <si>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</si>
  <si>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</si>
  <si>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</si>
  <si>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</si>
  <si>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</si>
  <si>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</si>
  <si>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</si>
  <si>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</si>
  <si>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</si>
  <si>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</si>
  <si>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</si>
  <si>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</si>
  <si>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</si>
  <si>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</si>
  <si>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</si>
  <si>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</si>
  <si>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</si>
  <si>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</si>
  <si>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</si>
  <si>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</si>
  <si>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</si>
  <si>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</si>
  <si>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</si>
  <si>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</si>
  <si>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</si>
  <si>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</si>
  <si>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</si>
  <si>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</si>
  <si>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</si>
  <si>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</si>
  <si>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</si>
  <si>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</si>
  <si>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</si>
  <si>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</si>
  <si>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</si>
  <si>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</si>
  <si>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</si>
  <si>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</si>
  <si>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</si>
  <si>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</si>
  <si>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</si>
  <si>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</si>
  <si>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</si>
  <si>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</si>
  <si>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</si>
  <si>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</si>
  <si>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</si>
  <si>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</si>
  <si>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</si>
  <si>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</si>
  <si>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</si>
  <si>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</si>
  <si>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</si>
  <si>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</si>
  <si>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</si>
  <si>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</si>
  <si>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</si>
  <si>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</si>
  <si>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</si>
  <si>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</si>
  <si>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Die Neuheit ist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</si>
  <si>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</si>
  <si>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</si>
  <si>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</si>
  <si>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</si>
  <si>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</si>
  <si>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</si>
  <si>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</si>
  <si>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</si>
  <si>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</si>
  <si>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</si>
  <si>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</si>
  <si>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</si>
  <si>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</si>
  <si>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</si>
  <si>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</si>
  <si>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</si>
  <si>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</si>
  <si>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</si>
  <si>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</si>
  <si>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</si>
  <si>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</si>
  <si>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</si>
  <si>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</si>
  <si>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</si>
  <si>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</si>
  <si>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</si>
  <si>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</si>
  <si>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</si>
  <si>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</si>
  <si>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</si>
  <si>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</si>
  <si>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</si>
  <si>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</si>
  <si>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</si>
  <si>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</si>
  <si>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</si>
  <si>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</si>
  <si>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</si>
  <si>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</si>
  <si>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</si>
  <si>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</si>
  <si>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</si>
  <si>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</si>
  <si>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</si>
  <si>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</si>
  <si>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</si>
  <si>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</si>
  <si>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</si>
  <si>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</si>
  <si>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</si>
  <si>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</si>
  <si>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</si>
  <si>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</si>
  <si>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</si>
  <si>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</si>
  <si>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</si>
  <si>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</si>
  <si>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</si>
  <si>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</si>
  <si>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</si>
  <si>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</si>
  <si>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</si>
  <si>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</si>
  <si>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</si>
  <si>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</si>
  <si>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</si>
  <si>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</si>
  <si>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</si>
  <si>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</si>
  <si>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</si>
  <si>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</si>
  <si>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</si>
  <si>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</si>
  <si>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</si>
  <si>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</si>
  <si>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</si>
  <si>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</si>
  <si>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</si>
  <si>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</si>
  <si>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</si>
  <si>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</si>
  <si>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</si>
  <si>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</si>
  <si>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</si>
  <si>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</si>
  <si>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</si>
  <si>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</si>
  <si>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</si>
  <si>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</si>
  <si>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</si>
  <si>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</si>
  <si>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</si>
  <si>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</si>
  <si>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5/40/6</t>
  </si>
  <si>
    <t>LM0SW(1)</t>
  </si>
  <si>
    <t>P8DCH(CH)</t>
  </si>
  <si>
    <t>48/3</t>
  </si>
  <si>
    <t>20/3</t>
  </si>
  <si>
    <t>40/36</t>
  </si>
  <si>
    <t>12/6/6</t>
  </si>
  <si>
    <t>40/50</t>
  </si>
  <si>
    <t>PL,LT</t>
  </si>
  <si>
    <t>CZ,SK,PL,EN,LT,DE,DK,EST,HU,FR,IT,NL,HR,SRB</t>
  </si>
  <si>
    <t>CZ,SK,EN,PL,DE,DK,LT,SRB,RO,FR,IT,EST</t>
  </si>
  <si>
    <t>CZ,SK,EN,PL,DE,FR,LT,DK</t>
  </si>
  <si>
    <t>CZ,SK,PL,EN,HU,LT,DE,EST</t>
  </si>
  <si>
    <t>CZ,SK,PL,LT,DE,EN,EST,LV,IT,SRB,SLO,HR,FR,HU</t>
  </si>
  <si>
    <t>CZ,SK,PL,LT,EN,LV,HU,DE,EST,IT,SRB,SLO,HR,FR,NL</t>
  </si>
  <si>
    <t>CZ,SK,PL,DE,LT,EN,EST,IT,HR,FR,DK</t>
  </si>
  <si>
    <t>CZ,SK,PL,EN,LT,DE,FR,EST,NL</t>
  </si>
  <si>
    <t>CZ,SK,PL,DK,LT,DE,HR,EST,EN,FR,HU,IT</t>
  </si>
  <si>
    <t>CZ,SK,LV,PL,LT,DE,EN,EST,HU,IT,FR,DK,SRB,SLO,HR,RO</t>
  </si>
  <si>
    <t>CZ,SK,LT,EN,HR,FR,SRB,IT,SLO,PL,DE,EST,LV,HU</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</si>
  <si>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</si>
  <si>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</si>
  <si>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</si>
  <si>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</si>
  <si>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</si>
  <si>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</si>
  <si>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</si>
  <si>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</si>
  <si>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</si>
  <si>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</si>
  <si>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</si>
  <si>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</si>
  <si>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20mm</t>
  </si>
  <si>
    <t>romiešu ugunis 30mm</t>
  </si>
  <si>
    <t>romiešu ugunis batareja</t>
  </si>
  <si>
    <t>Šavienu caurule F2</t>
  </si>
  <si>
    <t>Šavienu caurule F3</t>
  </si>
  <si>
    <t>strūklala + mīne</t>
  </si>
  <si>
    <t>strūklaka ar sprādzienu</t>
  </si>
  <si>
    <t>Petarde ar zaļo degli F2</t>
  </si>
  <si>
    <t>Petarde ar zaļo degli F3</t>
  </si>
  <si>
    <t>Petarde ar zaļo degli P1</t>
  </si>
  <si>
    <t>Petarde ar zaļo degli F4+T2</t>
  </si>
  <si>
    <t>Raķetes komplekts F2-1.4G</t>
  </si>
  <si>
    <t>Raķetes komplekts 1.3G+1.4G</t>
  </si>
  <si>
    <t>reklāmas lietas</t>
  </si>
  <si>
    <t>prezēntāciju stends</t>
  </si>
  <si>
    <t>100šv raķešu baterija, 8mm caurule - 1.4G</t>
  </si>
  <si>
    <t>300šv raķešu baterija, 8mm caurule - 1.4G</t>
  </si>
  <si>
    <t>1000šv raķešu baterija, 8mm caurule - 1.4G</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</si>
  <si>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</si>
  <si>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</si>
  <si>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</si>
  <si>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</si>
  <si>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</si>
  <si>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9šv baterija no caurules, 20mm caurule - 1.4G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</si>
  <si>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</si>
  <si>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</si>
  <si>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</si>
  <si>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</si>
  <si>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</si>
  <si>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</si>
  <si>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</si>
  <si>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</si>
  <si>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</si>
  <si>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</si>
  <si>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</si>
  <si>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</si>
  <si>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</si>
  <si>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</si>
  <si>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</si>
  <si>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</si>
  <si>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</si>
  <si>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</si>
  <si>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135šv baterija no caurules, 20mm caurule - 1.3G + apļveidīga caurule</t>
  </si>
  <si>
    <t>200šv baterija no caurules, 20mm caurule - 1.3G</t>
  </si>
  <si>
    <t>200šv baterija no caurules, 20m caurule - 1.3G + visos vīrzienos</t>
  </si>
  <si>
    <t>Gatava uguņošanas pirotehnika 20mm - F2 - 1.4G</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</si>
  <si>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</si>
  <si>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</si>
  <si>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</si>
  <si>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</si>
  <si>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</si>
  <si>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</si>
  <si>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</si>
  <si>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</si>
  <si>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</si>
  <si>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</si>
  <si>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</si>
  <si>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</si>
  <si>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</si>
  <si>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</si>
  <si>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</si>
  <si>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</si>
  <si>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</si>
  <si>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</si>
  <si>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</si>
  <si>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</si>
  <si>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</si>
  <si>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</si>
  <si>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</si>
  <si>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300šv baterija no caurules, 25mm caurule - 1.3G</t>
  </si>
  <si>
    <t>16šv baterija no caurules, 30mm caurule - 1.3G</t>
  </si>
  <si>
    <t>16šv baterija no caurules, 30mm caurule - 1.4G</t>
  </si>
  <si>
    <t>19šv baterija no caurules, 30mm caurule - 1.3G</t>
  </si>
  <si>
    <t>19šv baterija no caurules, 30mm caurule - 1.4G</t>
  </si>
  <si>
    <t>25šv baterija no caurules, 30mm caurule - 1.3G + F3</t>
  </si>
  <si>
    <t>25šv baterija no caurules, 30mm caurule - 1.4G + F2</t>
  </si>
  <si>
    <t>25šv baterija no caurules, 30mm caurule - 1.3G</t>
  </si>
  <si>
    <t>25šv baterija no caurules, 30mm caurule - 1.4G</t>
  </si>
  <si>
    <t>25šv baterija no caurules, 30mm caurule - 1.4G +  apļveidīga caurule</t>
  </si>
  <si>
    <t>29šv baterija no caurules, 30mm caurule - 1.3G +  apļveidīga caurule</t>
  </si>
  <si>
    <t>29šv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</si>
  <si>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</si>
  <si>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</si>
  <si>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</si>
  <si>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</si>
  <si>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</si>
  <si>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</si>
  <si>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</si>
  <si>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</si>
  <si>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 xml:space="preserve">Gatava uguņošanas pirotehnika 30mm - F2 - 1.4G </t>
  </si>
  <si>
    <t xml:space="preserve">Gatava uguņošanas pirotehnika 30mm - F2 - 1.4G + aizsardzības iepakojumu </t>
  </si>
  <si>
    <t>Gatava uguņošanas pirotehnika 30mm - F3 - 1.3G</t>
  </si>
  <si>
    <t xml:space="preserve">Gatava uguņošanas pirotehnika 30mm - F3 - 1.3G + aizsardzības iepakojumu </t>
  </si>
  <si>
    <t>200šv baterija no caurules, 30mm caurule - 1.3G</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</si>
  <si>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</si>
  <si>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</si>
  <si>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</si>
  <si>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</si>
  <si>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</si>
  <si>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</si>
  <si>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</si>
  <si>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</si>
  <si>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</si>
  <si>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</si>
  <si>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49šv baterija, 63mm caurule - 1.3G</t>
  </si>
  <si>
    <t>16šv baterija, 75mm caurule - 1.3G</t>
  </si>
  <si>
    <t>25šv baterija, 75mm caurule - 1.3G</t>
  </si>
  <si>
    <t>33šv baterija caurule 20+25mm caurule + apļveidīga +V+S - 1.3G</t>
  </si>
  <si>
    <t>39šv baterija caurule 20+25+30mm caurule + apļveidīga +V+w - 1.3G</t>
  </si>
  <si>
    <t>39šv baterija caurule 20+25+30mm caurule + apļveidīga +V+w - 1.4G</t>
  </si>
  <si>
    <t>40šv baterija + strūklaka, 20+25+30mm caurule - 1.3G</t>
  </si>
  <si>
    <t>41šv baterija caurule 20+25+30mm caurule + apļveidīga +V+S - 1.3G</t>
  </si>
  <si>
    <t>41šv baterija caurule 20+25+30mm caurule + apļveidīga +V+S - 1.4G</t>
  </si>
  <si>
    <t>50šv baterija caurule 20+25+30mm caurule + apļveidīga +S - 1.3G</t>
  </si>
  <si>
    <t>50šv baterija caurule 20+25+30mm caurule + apļveidīga +S - 1.4G</t>
  </si>
  <si>
    <t>52šv baterija, 14+20mm caurule - 1.3G</t>
  </si>
  <si>
    <t>52šv baterija, 14+20mm caurule - 1.4G</t>
  </si>
  <si>
    <t>64šv baterija caurule, 20+25mm caurule 1.4G</t>
  </si>
  <si>
    <t>64šv baterija caurule, 25+30mm caurule 1.3G</t>
  </si>
  <si>
    <t>68šv baterija caurule, 20+25+30mm(visos virzienos) 1.3G</t>
  </si>
  <si>
    <t>68šv baterija caurule, 20+25+30mm (visos virzienos) 1.4G</t>
  </si>
  <si>
    <t>100šv baterija, 20+25+30mm standatra + apļveidīgs +S caurule 1.3G</t>
  </si>
  <si>
    <t>106šv baterija, 20+25+30mm standarta +  apļveidīgs +S caurule 1.3G</t>
  </si>
  <si>
    <t xml:space="preserve">Gatava uguņošanas pirotehnika, multi kalibra, F2 - 1.4G </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</si>
  <si>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</si>
  <si>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</si>
  <si>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</si>
  <si>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</si>
  <si>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</si>
  <si>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</si>
  <si>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</si>
  <si>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</si>
  <si>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</si>
  <si>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42šv baterija, 30+50 mm caurule 1.3G</t>
  </si>
  <si>
    <t>47šv baterija, 30+50 mm caurule 1.3G + apļveidīga caurule</t>
  </si>
  <si>
    <t>62šv baterija, 20+25+30+48 mm caurule 1.3G + apļveidīga caurule</t>
  </si>
  <si>
    <t>63šv baterija, 25+45 mm caurule 1.3G + apļveidīga caurule</t>
  </si>
  <si>
    <t>66šv baterija, 20+25+30+48 mm caurule 1.3G</t>
  </si>
  <si>
    <t>78šv baterija + strūklaka, 20+25+30+40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</si>
  <si>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</si>
  <si>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</si>
  <si>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</si>
  <si>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</si>
  <si>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</si>
  <si>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</si>
  <si>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</si>
  <si>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 xml:space="preserve">50šv baterija caurule, 30mm W caurule </t>
  </si>
  <si>
    <t xml:space="preserve">50šv baterija caurule, 30mm X caurule </t>
  </si>
  <si>
    <t>caurule 75mm</t>
  </si>
  <si>
    <t>caurule 75mm premium kvalitātes</t>
  </si>
  <si>
    <t>caurule 100mm</t>
  </si>
  <si>
    <t>caurule 100mm premium kvalitātes</t>
  </si>
  <si>
    <t>caurule 125mm premium kvalitātes</t>
  </si>
  <si>
    <t>caurule 150mm</t>
  </si>
  <si>
    <t xml:space="preserve">caurule 150mm premium kvalitātes </t>
  </si>
  <si>
    <t>Dimovi</t>
  </si>
  <si>
    <t>Fumogeni</t>
  </si>
  <si>
    <t>Dūmai</t>
  </si>
  <si>
    <t>Khói</t>
  </si>
  <si>
    <t>Dūmi</t>
  </si>
  <si>
    <t>Füstbombák</t>
  </si>
  <si>
    <t>Petarde sa zelenim fitiljom 1.1G</t>
  </si>
  <si>
    <t>Petardi con miccia verde 1.1g</t>
  </si>
  <si>
    <t>Petardos su žaliu uždegimo fitiliu 1.1G</t>
  </si>
  <si>
    <t>Petarde sa zelenim fitiljem 1.1</t>
  </si>
  <si>
    <t>Pháo cùng ngòi đốt xanh 1.1G</t>
  </si>
  <si>
    <t>Petardes ar zaļo degli 1.1G</t>
  </si>
  <si>
    <t>Petárdák gyújtózsinórral 1.1g</t>
  </si>
  <si>
    <t>Setovi raketa 1.4G</t>
  </si>
  <si>
    <t>Assortimento razzi 1.4g</t>
  </si>
  <si>
    <t>Raketų rinkinys 1.4G</t>
  </si>
  <si>
    <t>Setovi Raketa 1.4</t>
  </si>
  <si>
    <t>Bộ tên lửa 1.4G</t>
  </si>
  <si>
    <t>Raķešu komplekts 1.4G</t>
  </si>
  <si>
    <t>Rakéta szettek 1.4g</t>
  </si>
  <si>
    <t>Setovi raketa 1.3G</t>
  </si>
  <si>
    <t>Assortimento razzi 1.3g</t>
  </si>
  <si>
    <t>Raketų rinkinys 1.3G</t>
  </si>
  <si>
    <t>Setovi Raketa 1.3</t>
  </si>
  <si>
    <t>Bộ tên lửa 1.3G</t>
  </si>
  <si>
    <t>Raķešu komplekts 1.3G</t>
  </si>
  <si>
    <t>Rakéta szettek 1.3g</t>
  </si>
  <si>
    <t>Vatrometna kutija 36 pucnjeva, 50mm cijev-1.3G, 1.1G</t>
  </si>
  <si>
    <t xml:space="preserve">Batteria 36 colpi, mortaio 50mm-1.3g, 1.1g </t>
  </si>
  <si>
    <t>36 šūvių baterija, 50mm vamzdžiai - 1.3G,1.1G</t>
  </si>
  <si>
    <t>36s Baterije, cev 50mm - 1.3G, 1.1G</t>
  </si>
  <si>
    <t>"Compact" 36 phát đạn, đường kính 50mm-1.3G, 1.1G</t>
  </si>
  <si>
    <t>36šv baterija caurule, 50mm caurule  1.3G, 1.1G</t>
  </si>
  <si>
    <t>Profesionalna pirotehnika</t>
  </si>
  <si>
    <t>Prodotti pirotecnici professionale</t>
  </si>
  <si>
    <t>Profesionali pirotechnika</t>
  </si>
  <si>
    <t>Pháo hoa chuyên nghiệp</t>
  </si>
  <si>
    <t xml:space="preserve">Profesionāla pirotehnika </t>
  </si>
  <si>
    <t>Professionaalne pürotehnika</t>
  </si>
  <si>
    <t>Profeszionális pyrotechnika</t>
  </si>
  <si>
    <t>Vatrometna kutija 49 pucnjeva, 50mm cijev-1.1G</t>
  </si>
  <si>
    <t xml:space="preserve">Batteria 49 colpi, mortaio 50mm-1.1g </t>
  </si>
  <si>
    <t>49 šūvių baterija, 50mm vamzdžiai - 1.1G</t>
  </si>
  <si>
    <t>49s Baterije, cev 50mm, 1.1G</t>
  </si>
  <si>
    <t>"Compact" 49 phát đạn, đường kính 50mm-1.1G</t>
  </si>
  <si>
    <t>49šv baterija caurule, 50mm caurule  1.1G</t>
  </si>
  <si>
    <t>Telepek 49 lövet, 50mm mozsár-1.1g</t>
  </si>
  <si>
    <t>komplekt toruga</t>
  </si>
  <si>
    <t>100 lasku vilepatarei, 8mm-1.4G</t>
  </si>
  <si>
    <t>300 lasku vilepatarei, 8mm-1.4G</t>
  </si>
  <si>
    <t>1000 lasku vilepatarei, 8mm-1.4G</t>
  </si>
  <si>
    <t>16 lasku patarei, 14mm-1.4G</t>
  </si>
  <si>
    <t>100 lasku patarei, 14mm-1.3G</t>
  </si>
  <si>
    <t>9 lasku patarei, 20mm-1.4G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</si>
  <si>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</si>
  <si>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</si>
  <si>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</si>
  <si>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</si>
  <si>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</si>
  <si>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</si>
  <si>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</si>
  <si>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</si>
  <si>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</si>
  <si>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</si>
  <si>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</si>
  <si>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</si>
  <si>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</si>
  <si>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</si>
  <si>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</si>
  <si>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</si>
  <si>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135 lasku patarei, 20mm 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</si>
  <si>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</si>
  <si>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</si>
  <si>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</si>
  <si>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</si>
  <si>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</si>
  <si>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</si>
  <si>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</si>
  <si>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</si>
  <si>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</si>
  <si>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</si>
  <si>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</si>
  <si>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</si>
  <si>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</si>
  <si>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</si>
  <si>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</si>
  <si>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</si>
  <si>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</si>
  <si>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</si>
  <si>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</si>
  <si>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</si>
  <si>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</si>
  <si>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</si>
  <si>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</si>
  <si>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</si>
  <si>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</si>
  <si>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300 lasku patarei, 25mm-1.3G</t>
  </si>
  <si>
    <t>16 lasku patarei, 30mm-1.3G</t>
  </si>
  <si>
    <t>16 lasku patarei, 30mm-1.4G</t>
  </si>
  <si>
    <t>19 lasku patarei, 30mm-1.3G</t>
  </si>
  <si>
    <t>19 lasku patarei, 30mm-1.4G</t>
  </si>
  <si>
    <t>25 lasku patarei, 30mm-F3-1.3G</t>
  </si>
  <si>
    <t>25 lasku patarei, 30mm-F2-1.4G</t>
  </si>
  <si>
    <t>25 lasku patarei, 30mm-1.3G</t>
  </si>
  <si>
    <t>25 lasku patarei, 30mm-1.4G</t>
  </si>
  <si>
    <t>25 lasku patarei, 30mm lehvik-1.4G</t>
  </si>
  <si>
    <t>29 lasku patarei, 30 mm V+W+lehvik-1.3G</t>
  </si>
  <si>
    <t>29 lasku patarei, 30 mm V+W+lehvik-1.4G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</si>
  <si>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</si>
  <si>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</si>
  <si>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</si>
  <si>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</si>
  <si>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</si>
  <si>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</si>
  <si>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</si>
  <si>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</si>
  <si>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</si>
  <si>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</si>
  <si>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</si>
  <si>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200 lasku patarei, 30mm-1.3G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</si>
  <si>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</si>
  <si>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</si>
  <si>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</si>
  <si>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</si>
  <si>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</si>
  <si>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</si>
  <si>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</si>
  <si>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</si>
  <si>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</si>
  <si>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</si>
  <si>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49 lasku patarei 63mm-1.3G</t>
  </si>
  <si>
    <t>16 lasku patarei 75mm-1.3G</t>
  </si>
  <si>
    <t>25 lasku patarei 75mm-1.3G</t>
  </si>
  <si>
    <t>33 lasku patarei, 25+30mm tava+lehvik+V+S-1.3G</t>
  </si>
  <si>
    <t>39 lasku patarei, 20+25+30mm lehvik+V+W-1.3G</t>
  </si>
  <si>
    <t>39 lasku patarei, 20+25+30mm lehvik+V+W-1.4G</t>
  </si>
  <si>
    <t>40 lasku patarei+fontään, 20+25+30mm 1.3G</t>
  </si>
  <si>
    <t>41 lasku patarei, 20+25+30mm tava+lehvik+S+V-1.3G</t>
  </si>
  <si>
    <t>41 lasku patarei, 20+25+30mm tava+lehvik+S+V-1.4G</t>
  </si>
  <si>
    <t>50 lasku patarei, 20+25+30mm tava+lehvik+S-1.3G</t>
  </si>
  <si>
    <t>50 lasku patarei, 20+25+30mm tava+lehvik+S-1.4G</t>
  </si>
  <si>
    <t>52 lasku patarei, 14+20mm 1.3G</t>
  </si>
  <si>
    <t>52 lasku patarei, 14+20mm 1.4G</t>
  </si>
  <si>
    <t>64 lasku patarei, 20+25mm 1.3G</t>
  </si>
  <si>
    <t>64 lasku patarei, 20+25mm 1.4G</t>
  </si>
  <si>
    <t>64 lasku patarei, 25+30mm 1.3G</t>
  </si>
  <si>
    <t>68 lasku patarei, 20+25+30mm (igas suunas) 1.3G</t>
  </si>
  <si>
    <t>68 lasku patarei, 20+25+30mm (igas suunas) 1.4G</t>
  </si>
  <si>
    <t>100 lasku patarei, 20+25+30mm tava+lehvik+S-1.3G</t>
  </si>
  <si>
    <t>106 lasku patarei, 20+25+30mm tava+lehvik+S-1.3G</t>
  </si>
  <si>
    <t>109 lasku patarei, 20+25+30mm 1.3G</t>
  </si>
  <si>
    <t>ühendatud patarei multi kaliiber - F2-1.4G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</si>
  <si>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</si>
  <si>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</si>
  <si>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</si>
  <si>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</si>
  <si>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</si>
  <si>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</si>
  <si>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</si>
  <si>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</si>
  <si>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</si>
  <si>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42 lasku patarei 30+50mm-1.3G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</si>
  <si>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</si>
  <si>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</si>
  <si>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</si>
  <si>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</si>
  <si>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</si>
  <si>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</si>
  <si>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</si>
  <si>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üksik lask 50mm</t>
  </si>
  <si>
    <t>135 lasku patarei, 20mm lehvik</t>
  </si>
  <si>
    <t>25 lasku patarei 30mm</t>
  </si>
  <si>
    <t>49 lasku patarei 30mm</t>
  </si>
  <si>
    <t>50 lasku patarei 30mm</t>
  </si>
  <si>
    <t>50 lasku patarei 30mm lehvik</t>
  </si>
  <si>
    <t>50 lasku patarei 30mm S</t>
  </si>
  <si>
    <t>50 lasku patarei 30mm V</t>
  </si>
  <si>
    <t>50 lasku patarei 30mm W</t>
  </si>
  <si>
    <t>50 lasku patarei 30mm X</t>
  </si>
  <si>
    <t>8 lasku patarei, 30mm lehvik</t>
  </si>
  <si>
    <t>13 lasku patarei, 30mm lehvik</t>
  </si>
  <si>
    <t>19 lasku patarei, 30mm lehvik</t>
  </si>
  <si>
    <t>5 lasku patarei, 50mm lehvik</t>
  </si>
  <si>
    <t>pomm 50mm</t>
  </si>
  <si>
    <t>pomm 75mm</t>
  </si>
  <si>
    <t>pomm 100mm esmaklassiline kvaliteet</t>
  </si>
  <si>
    <t>pomm 125mm esmaklassiline kvaliteet</t>
  </si>
  <si>
    <t>pomm 150mm</t>
  </si>
  <si>
    <t>pomm 150 esmaklassiline kvaliteet</t>
  </si>
  <si>
    <t>suits</t>
  </si>
  <si>
    <t>pauguti rohelise süütenööriga</t>
  </si>
  <si>
    <t>Raketi komplekt 1.4G</t>
  </si>
  <si>
    <t>Raketi komplekt 1.3G</t>
  </si>
  <si>
    <t>100 lasku patarei 14mm-1.4G</t>
  </si>
  <si>
    <t>Garden Fireworks- kaks patareid kahe plastik ühendusega( start+end) kokku ühendamiseks</t>
  </si>
  <si>
    <t>25 lasku patarei 25mm lehvik-1.4G</t>
  </si>
  <si>
    <t>25 lasku patarei 30mm lehvik-1.3G</t>
  </si>
  <si>
    <t>36 lasku patarei 50mm-1.3G.1.1G</t>
  </si>
  <si>
    <t>49 lasku patarei 50mm-1.1G</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</si>
  <si>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</si>
  <si>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</si>
  <si>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</si>
  <si>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</si>
  <si>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</si>
  <si>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</si>
  <si>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</si>
  <si>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</si>
  <si>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</si>
  <si>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</si>
  <si>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</si>
  <si>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</si>
  <si>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</si>
  <si>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</si>
  <si>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</si>
  <si>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</si>
  <si>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</si>
  <si>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</si>
  <si>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</si>
  <si>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</si>
  <si>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</si>
  <si>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</si>
  <si>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</si>
  <si>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</si>
  <si>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</si>
  <si>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</si>
  <si>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</si>
  <si>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</si>
  <si>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</si>
  <si>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</si>
  <si>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</si>
  <si>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</si>
  <si>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</si>
  <si>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</si>
  <si>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</si>
  <si>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</si>
  <si>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</si>
  <si>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</si>
  <si>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</si>
  <si>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</si>
  <si>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</si>
  <si>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</si>
  <si>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</si>
  <si>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</si>
  <si>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</si>
  <si>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</si>
  <si>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</si>
  <si>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</si>
  <si>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</si>
  <si>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</si>
  <si>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</si>
  <si>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</si>
  <si>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</si>
  <si>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</si>
  <si>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</si>
  <si>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</si>
  <si>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</si>
  <si>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</si>
  <si>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</si>
  <si>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</si>
  <si>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</si>
  <si>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</si>
  <si>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</si>
  <si>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</si>
  <si>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</si>
  <si>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</si>
  <si>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</si>
  <si>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</si>
  <si>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</si>
  <si>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</si>
  <si>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</si>
  <si>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</si>
  <si>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</si>
  <si>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</si>
  <si>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</si>
  <si>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</si>
  <si>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</si>
  <si>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</si>
  <si>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</si>
  <si>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</si>
  <si>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</si>
  <si>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</si>
  <si>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</si>
  <si>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</si>
  <si>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</si>
  <si>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</si>
  <si>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</si>
  <si>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</si>
  <si>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Podnikáme udržitelně</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</si>
  <si>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</si>
  <si>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</si>
  <si>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</si>
  <si>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</si>
  <si>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</si>
  <si>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</si>
  <si>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</si>
  <si>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</si>
  <si>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</si>
  <si>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</si>
  <si>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</si>
  <si>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</si>
  <si>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</si>
  <si>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</si>
  <si>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</si>
  <si>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</si>
  <si>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</si>
  <si>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</si>
  <si>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</si>
  <si>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 xml:space="preserve">  ○ IČO: 26848643  ○  DIČ: CZ26848643</t>
  </si>
  <si>
    <t>sklad:</t>
  </si>
  <si>
    <t>office:</t>
  </si>
  <si>
    <t>storage:</t>
  </si>
  <si>
    <t>Czech republic</t>
  </si>
  <si>
    <t xml:space="preserve">  ○ IN: 26848643  ○ VAT: CZ26848643</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</si>
  <si>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</si>
  <si>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</si>
  <si>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</si>
  <si>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</si>
  <si>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</si>
  <si>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</si>
  <si>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</si>
  <si>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NIP: 645-22-55-919</t>
  </si>
  <si>
    <t>690-800-300</t>
  </si>
  <si>
    <t>WYŚLIJ WSZYSTKIE ZAMÓWIENIA TYLKO DO:</t>
  </si>
  <si>
    <t>570-120-130</t>
  </si>
  <si>
    <t>Klásek Trading  s.r.o.  ○</t>
  </si>
  <si>
    <t xml:space="preserve"> K Zyfu 1083, Ostrava-Hrabová 720 00 ○</t>
  </si>
  <si>
    <t xml:space="preserve">Grupa Etna Sp.z o.o. S.K.A. ○ </t>
  </si>
  <si>
    <t>Towarowa 22, 42-600 Tarnowskie Góry  ○</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</si>
  <si>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</si>
  <si>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</si>
  <si>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</si>
  <si>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</si>
  <si>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</si>
  <si>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</si>
  <si>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</si>
  <si>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</si>
  <si>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</si>
  <si>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</si>
  <si>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</si>
  <si>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 xml:space="preserve">  ○ IN: 26848643  ○ IVA: CZ26848643</t>
  </si>
  <si>
    <t>ufficio:</t>
  </si>
  <si>
    <t>archiviazione:</t>
  </si>
  <si>
    <t>SVE NARUDŽBE SLATI ISKLJUČIVO NA ADRESU E-POŠTE:</t>
  </si>
  <si>
    <t>ured:</t>
  </si>
  <si>
    <t>skladište:</t>
  </si>
  <si>
    <t>SENDEN SIE ALLE BESTELLUNGEN NUR AN DIE E-MAIL-ADRESSE:</t>
  </si>
  <si>
    <t>Tschechien</t>
  </si>
  <si>
    <t>○ IN: 26848643 ○ Umsatzsteuer: CZ26848643</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</si>
  <si>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</si>
  <si>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</si>
  <si>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</si>
  <si>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</si>
  <si>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</si>
  <si>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Robbanás szökőkút</t>
  </si>
  <si>
    <t>DUMMIES</t>
  </si>
  <si>
    <t>CZ,SK,PL,DE,LT,EST,EN,LV</t>
  </si>
  <si>
    <t>CZ,SK,PL,DE,LT,EN,EST,HU,FR,IT,DK,HR</t>
  </si>
  <si>
    <t>CZ,SK,EN,LT,DE,HR,PL,EST,FR,HU,IT,LV,NL,DK</t>
  </si>
  <si>
    <t>CZ,SK,PL,EN,LT,LV,DK,DE,FR,IT,EST,NL,HR,SRB,SLO,HU</t>
  </si>
  <si>
    <t>CZ,SK,PL,DE,LT,EST,HU,SRB,EN,HR,LV</t>
  </si>
  <si>
    <t>CZ,SK,EN,PL,DE,LT,FR,NL,IT,EST</t>
  </si>
  <si>
    <t>CZ,SK,PL,EN,LV,HU,LT,DE,EST,HR,FR,SRB,IT,DK</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</si>
  <si>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</si>
  <si>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</si>
  <si>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</si>
  <si>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</si>
  <si>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</si>
  <si>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</si>
  <si>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</si>
  <si>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</si>
  <si>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</si>
  <si>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</si>
  <si>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</si>
  <si>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</si>
  <si>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</si>
  <si>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</si>
  <si>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</si>
  <si>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</si>
  <si>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</si>
  <si>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</si>
  <si>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</si>
  <si>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</si>
  <si>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</si>
  <si>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</si>
  <si>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</si>
  <si>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</si>
  <si>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</si>
  <si>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</si>
  <si>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</si>
  <si>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</si>
  <si>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</si>
  <si>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</si>
  <si>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</si>
  <si>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</si>
  <si>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</si>
  <si>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</si>
  <si>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</si>
  <si>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</si>
  <si>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</si>
  <si>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</si>
  <si>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</si>
  <si>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</si>
  <si>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</si>
  <si>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</si>
  <si>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</si>
  <si>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</si>
  <si>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</si>
  <si>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</si>
  <si>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</si>
  <si>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zużycie ponad</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</si>
  <si>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</si>
  <si>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</si>
  <si>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</si>
  <si>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</si>
  <si>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</si>
  <si>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</si>
  <si>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</si>
  <si>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</si>
  <si>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</si>
  <si>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</si>
  <si>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</si>
  <si>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</si>
  <si>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</si>
  <si>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</si>
  <si>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</si>
  <si>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</si>
  <si>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</si>
  <si>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</si>
  <si>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</si>
  <si>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</si>
  <si>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</si>
  <si>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</si>
  <si>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</si>
  <si>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</si>
  <si>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</si>
  <si>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</si>
  <si>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</si>
  <si>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</si>
  <si>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</si>
  <si>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</si>
  <si>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</si>
  <si>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</si>
  <si>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</si>
  <si>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</si>
  <si>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</si>
  <si>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</si>
  <si>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</si>
  <si>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</si>
  <si>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</si>
  <si>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</si>
  <si>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</si>
  <si>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</si>
  <si>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</si>
  <si>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</si>
  <si>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</si>
  <si>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</si>
  <si>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</si>
  <si>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</si>
  <si>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</si>
  <si>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</si>
  <si>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</si>
  <si>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</si>
  <si>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</si>
  <si>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</si>
  <si>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</si>
  <si>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</si>
  <si>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</si>
  <si>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</si>
  <si>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</si>
  <si>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</si>
  <si>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</si>
  <si>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</si>
  <si>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</si>
  <si>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</si>
  <si>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</si>
  <si>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</si>
  <si>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</si>
  <si>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</si>
  <si>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</si>
  <si>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</si>
  <si>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</si>
  <si>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</si>
  <si>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</si>
  <si>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</si>
  <si>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</si>
  <si>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</si>
  <si>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</si>
  <si>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 xml:space="preserve">Cena w PLN </t>
  </si>
  <si>
    <t>Cena w PLN po rabacie</t>
  </si>
  <si>
    <t>etnafajerwerki@grupaetna.pl</t>
  </si>
  <si>
    <t>PLZ420</t>
  </si>
  <si>
    <t>7/12</t>
  </si>
  <si>
    <t>Plašič zvěře- silná rána každých 35min</t>
  </si>
  <si>
    <t>MojeBanka Business</t>
  </si>
  <si>
    <t>Zavolejte nám</t>
  </si>
  <si>
    <t>KB Rádce</t>
  </si>
  <si>
    <t>kategorie</t>
  </si>
  <si>
    <t>pro</t>
  </si>
  <si>
    <t>ceník</t>
  </si>
  <si>
    <t>DP1Z50</t>
  </si>
  <si>
    <t>72/6</t>
  </si>
  <si>
    <t>20/12/8.</t>
  </si>
  <si>
    <t>40/6</t>
  </si>
  <si>
    <t>DP1FM</t>
  </si>
  <si>
    <t>24/6/4.</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</si>
  <si>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</si>
  <si>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</si>
  <si>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</si>
  <si>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</si>
  <si>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</si>
  <si>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</si>
  <si>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</si>
  <si>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</si>
  <si>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</si>
  <si>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</si>
  <si>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</si>
  <si>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</si>
  <si>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</si>
  <si>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</si>
  <si>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</si>
  <si>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</si>
  <si>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Dumbum red</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</si>
  <si>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</si>
  <si>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</si>
  <si>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</si>
  <si>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</si>
  <si>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</si>
  <si>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</si>
  <si>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</si>
  <si>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</si>
  <si>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</si>
  <si>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</si>
  <si>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</si>
  <si>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</si>
  <si>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</si>
  <si>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</si>
  <si>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</si>
  <si>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</si>
  <si>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</si>
  <si>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</si>
  <si>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</si>
  <si>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</si>
  <si>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</si>
  <si>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</si>
  <si>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</si>
  <si>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</si>
  <si>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</si>
  <si>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</si>
  <si>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</si>
  <si>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</si>
  <si>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</si>
  <si>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</si>
  <si>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</si>
  <si>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</si>
  <si>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</si>
  <si>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</si>
  <si>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</si>
  <si>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</si>
  <si>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</si>
  <si>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</si>
  <si>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</si>
  <si>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</si>
  <si>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</si>
  <si>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</si>
  <si>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</si>
  <si>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</si>
  <si>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</si>
  <si>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</si>
  <si>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</si>
  <si>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</si>
  <si>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</si>
  <si>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</si>
  <si>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</si>
  <si>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</si>
  <si>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</si>
  <si>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</si>
  <si>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</si>
  <si>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</si>
  <si>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</si>
  <si>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</si>
  <si>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</si>
  <si>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</si>
  <si>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</si>
  <si>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</si>
  <si>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</si>
  <si>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</si>
  <si>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</si>
  <si>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</si>
  <si>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</si>
  <si>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</si>
  <si>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</si>
  <si>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</si>
  <si>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</si>
  <si>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</si>
  <si>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</si>
  <si>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</si>
  <si>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</si>
  <si>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</si>
  <si>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</si>
  <si>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</si>
  <si>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</si>
  <si>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</si>
  <si>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</si>
  <si>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</si>
  <si>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</si>
  <si>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</si>
  <si>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</si>
  <si>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</si>
  <si>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</si>
  <si>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</si>
  <si>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</si>
  <si>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</si>
  <si>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</si>
  <si>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</si>
  <si>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</si>
  <si>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</si>
  <si>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</si>
  <si>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</si>
  <si>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</si>
  <si>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</si>
  <si>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</si>
  <si>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</si>
  <si>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</si>
  <si>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</si>
  <si>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</si>
  <si>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</si>
  <si>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</si>
  <si>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</si>
  <si>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</si>
  <si>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</si>
  <si>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</si>
  <si>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</si>
  <si>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</si>
  <si>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</si>
  <si>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</si>
  <si>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</si>
  <si>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</si>
  <si>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</si>
  <si>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Konické vulkány(F100, F250, F500, F1000, F1500) nelze reklamovat ani vracet v rámci vratek po sezoně - důvody popsány v emailu 28.1.2019.</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</si>
  <si>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</si>
  <si>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</si>
  <si>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</si>
  <si>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</si>
  <si>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</si>
  <si>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</si>
  <si>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</si>
  <si>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</si>
  <si>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</si>
  <si>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</si>
  <si>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</si>
  <si>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</si>
  <si>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</si>
  <si>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</si>
  <si>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</si>
  <si>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</si>
  <si>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</si>
  <si>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</si>
  <si>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</si>
  <si>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</si>
  <si>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</si>
  <si>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</si>
  <si>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</si>
  <si>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</si>
  <si>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</si>
  <si>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</si>
  <si>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</si>
  <si>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</si>
  <si>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</si>
  <si>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</si>
  <si>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</si>
  <si>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</si>
  <si>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</si>
  <si>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</si>
  <si>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</si>
  <si>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</si>
  <si>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</si>
  <si>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</si>
  <si>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</si>
  <si>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</si>
  <si>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</si>
  <si>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</si>
  <si>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</si>
  <si>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</si>
  <si>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</si>
  <si>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</si>
  <si>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</si>
  <si>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</si>
  <si>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</si>
  <si>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</si>
  <si>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</si>
  <si>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</si>
  <si>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</si>
  <si>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</si>
  <si>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</si>
  <si>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</si>
  <si>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</si>
  <si>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</si>
  <si>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</si>
  <si>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</si>
  <si>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</si>
  <si>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</si>
  <si>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</si>
  <si>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</si>
  <si>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</si>
  <si>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</si>
  <si>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</si>
  <si>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</si>
  <si>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</si>
  <si>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</si>
  <si>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</si>
  <si>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</si>
  <si>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</si>
  <si>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</si>
  <si>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</si>
  <si>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</si>
  <si>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</si>
  <si>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</si>
  <si>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</si>
  <si>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</si>
  <si>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</si>
  <si>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</si>
  <si>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</si>
  <si>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</si>
  <si>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</si>
  <si>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</si>
  <si>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</si>
  <si>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</si>
  <si>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</si>
  <si>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</si>
  <si>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</si>
  <si>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</si>
  <si>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</si>
  <si>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</si>
  <si>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</si>
  <si>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</si>
  <si>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</si>
  <si>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</si>
  <si>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</si>
  <si>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</si>
  <si>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</si>
  <si>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</si>
  <si>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</si>
  <si>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</si>
  <si>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</si>
  <si>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</si>
  <si>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</si>
  <si>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</si>
  <si>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</si>
  <si>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</si>
  <si>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</si>
  <si>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</si>
  <si>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</si>
  <si>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</si>
  <si>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</si>
  <si>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</si>
  <si>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</si>
  <si>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</si>
  <si>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</si>
  <si>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</si>
  <si>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</si>
  <si>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</si>
  <si>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</si>
  <si>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</si>
  <si>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</si>
  <si>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</si>
  <si>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</si>
  <si>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</si>
  <si>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</si>
  <si>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</si>
  <si>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</si>
  <si>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</si>
  <si>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</si>
  <si>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</si>
  <si>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</si>
  <si>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</si>
  <si>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</si>
  <si>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</si>
  <si>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</si>
  <si>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</si>
  <si>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</si>
  <si>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</si>
  <si>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</si>
  <si>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</si>
  <si>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</si>
  <si>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</si>
  <si>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</si>
  <si>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</si>
  <si>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</si>
  <si>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</si>
  <si>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</si>
  <si>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</si>
  <si>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</si>
  <si>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</si>
  <si>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</si>
  <si>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</si>
  <si>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</si>
  <si>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</si>
  <si>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</si>
  <si>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</si>
  <si>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</si>
  <si>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</si>
  <si>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</si>
  <si>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</si>
  <si>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</si>
  <si>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</si>
  <si>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</si>
  <si>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</si>
  <si>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</si>
  <si>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</si>
  <si>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</si>
  <si>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</si>
  <si>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</si>
  <si>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</si>
  <si>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</si>
  <si>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</si>
  <si>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</si>
  <si>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</si>
  <si>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</si>
  <si>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</si>
  <si>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</si>
  <si>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</si>
  <si>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</si>
  <si>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</si>
  <si>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</si>
  <si>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</si>
  <si>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</si>
  <si>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</si>
  <si>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</si>
  <si>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</si>
  <si>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</si>
  <si>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</si>
  <si>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</si>
  <si>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</si>
  <si>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</si>
  <si>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</si>
  <si>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</si>
  <si>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</si>
  <si>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</si>
  <si>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</si>
  <si>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</si>
  <si>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</si>
  <si>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</si>
  <si>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</si>
  <si>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</si>
  <si>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</si>
  <si>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</si>
  <si>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</si>
  <si>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</si>
  <si>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</si>
  <si>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</si>
  <si>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</si>
  <si>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</si>
  <si>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</si>
  <si>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</si>
  <si>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</si>
  <si>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</si>
  <si>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</si>
  <si>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</si>
  <si>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</si>
  <si>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</si>
  <si>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</si>
  <si>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</si>
  <si>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</si>
  <si>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</si>
  <si>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</si>
  <si>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</si>
  <si>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</si>
  <si>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</si>
  <si>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</si>
  <si>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</si>
  <si>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</si>
  <si>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</si>
  <si>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</si>
  <si>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</si>
  <si>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</si>
  <si>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</si>
  <si>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</si>
  <si>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</si>
  <si>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</si>
  <si>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</si>
  <si>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</si>
  <si>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</si>
  <si>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</si>
  <si>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</si>
  <si>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</si>
  <si>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</si>
  <si>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</si>
  <si>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</si>
  <si>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</si>
  <si>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</si>
  <si>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</si>
  <si>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</si>
  <si>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</si>
  <si>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</si>
  <si>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</si>
  <si>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</si>
  <si>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</si>
  <si>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</si>
  <si>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</si>
  <si>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</si>
  <si>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</si>
  <si>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</si>
  <si>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</si>
  <si>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</si>
  <si>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</si>
  <si>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</si>
  <si>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</si>
  <si>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</si>
  <si>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</si>
  <si>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</si>
  <si>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</si>
  <si>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</si>
  <si>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</si>
  <si>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</si>
  <si>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</si>
  <si>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</si>
  <si>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</si>
  <si>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</si>
  <si>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</si>
  <si>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</si>
  <si>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</si>
  <si>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</si>
  <si>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</si>
  <si>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</si>
  <si>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</si>
  <si>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</si>
  <si>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</si>
  <si>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</si>
  <si>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</si>
  <si>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</si>
  <si>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</si>
  <si>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</si>
  <si>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</si>
  <si>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</si>
  <si>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</si>
  <si>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</si>
  <si>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</si>
  <si>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</si>
  <si>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</si>
  <si>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</si>
  <si>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</si>
  <si>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</si>
  <si>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</si>
  <si>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</si>
  <si>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</si>
  <si>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</si>
  <si>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</si>
  <si>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</si>
  <si>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</si>
  <si>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</si>
  <si>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</si>
  <si>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</si>
  <si>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</si>
  <si>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</si>
  <si>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</si>
  <si>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</si>
  <si>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</si>
  <si>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</si>
  <si>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</si>
  <si>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</si>
  <si>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</si>
  <si>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</si>
  <si>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</si>
  <si>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</si>
  <si>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</si>
  <si>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</si>
  <si>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</si>
  <si>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</si>
  <si>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</si>
  <si>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</si>
  <si>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</si>
  <si>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</si>
  <si>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</si>
  <si>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</si>
  <si>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</si>
  <si>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</si>
  <si>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</si>
  <si>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</si>
  <si>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</si>
  <si>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</si>
  <si>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</si>
  <si>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Baterie</t>
  </si>
  <si>
    <t>Batterien</t>
  </si>
  <si>
    <t>Battery</t>
  </si>
  <si>
    <t>Vatrometna kutija</t>
  </si>
  <si>
    <t>Batteria</t>
  </si>
  <si>
    <t>šūvių baterija</t>
  </si>
  <si>
    <t>Wyrzutnie rurowe</t>
  </si>
  <si>
    <t>Baterije</t>
  </si>
  <si>
    <t>"Compact"</t>
  </si>
  <si>
    <t>baterija</t>
  </si>
  <si>
    <t>patarei</t>
  </si>
  <si>
    <t>Telepek</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</si>
  <si>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</si>
  <si>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</si>
  <si>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</si>
  <si>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</si>
  <si>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</si>
  <si>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</si>
  <si>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</si>
  <si>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</si>
  <si>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</si>
  <si>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</si>
  <si>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</si>
  <si>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</si>
  <si>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je možné rezervovat také zboží, které je teprve na cestě(není skladem) </t>
  </si>
  <si>
    <t>○        není možné rezervovat žádné jiné zboží než to, co je v záložce Reservation</t>
  </si>
  <si>
    <t>○        v rámci jedné rezervace, je možné rezervovat  pouze zboží se stejným dnem doručení na náš sklad</t>
  </si>
  <si>
    <t>○        pro rezervace platí ceny, které jsou uvedeny v záložce Reservation a upozorňujeme, že tyto ceny jsou o 8% vyšší než naše standartní ceny</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</si>
  <si>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</si>
  <si>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</si>
  <si>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</si>
  <si>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</si>
  <si>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</si>
  <si>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</si>
  <si>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</si>
  <si>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</si>
  <si>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</si>
  <si>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</si>
  <si>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</si>
  <si>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</si>
  <si>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it is not possible to reserve any goods other than what is in the Reservation tab</t>
  </si>
  <si>
    <t>○        Es ist nicht möglich, andere Waren zu reservieren als die, die auf der Registerkarte „Reservierung“ aufgeführt sind</t>
  </si>
  <si>
    <t>○        nije moguće rezervirati bilo koju drugu robu osim one koja se nalazi na kartici Rezervacija</t>
  </si>
  <si>
    <t>○        non è possibile prenotare merce diversa da quella presente nella scheda Prenotazione</t>
  </si>
  <si>
    <t>○        negalima rezervuoti jokių prekių, išskyrus tas, kurios yra skirtuke Rezervacija</t>
  </si>
  <si>
    <t>○        nie ma możliwości rezerwacji innego towaru niż ten, który znajduje się w zakładce Rezerwacja</t>
  </si>
  <si>
    <t>○        nav iespējams rezervēt citas preces, izņemot tās, kas ir norādītas cilnē Rezervācija</t>
  </si>
  <si>
    <t>○        ei ole võimalik broneerida muid kaupu peale selle, mis on vahekaardil Broneering</t>
  </si>
  <si>
    <t>○        không thể đặt trước bất kỳ hàng hóa nào ngoài những hàng hóa có trong tab Đặt chỗ</t>
  </si>
  <si>
    <t>○        a Foglalás fülön kívül más árut nem lehet lefoglalni</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</si>
  <si>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</si>
  <si>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</si>
  <si>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</si>
  <si>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</si>
  <si>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</si>
  <si>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</si>
  <si>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</si>
  <si>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</si>
  <si>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</si>
  <si>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the prices listed in the Reservation tab apply to reservations and please note that these prices are 8% higher than our standard prices</t>
  </si>
  <si>
    <t>○        die auf der Registerkarte „Reservierung“ aufgeführten Preise gelten für Reservierungen und bitte beachten Sie, dass diese Preise 8 % über unseren Standardpreisen liegen</t>
  </si>
  <si>
    <t>○        Cijene navedene na kartici Rezervacija odnose se na rezervacije i imajte na umu da su ove cijene 8% više od naših standardnih cijena</t>
  </si>
  <si>
    <t>○        i prezzi elencati nella scheda Prenotazione si applicano alle prenotazioni e si prega di notare che questi prezzi sono superiori dell'8% rispetto ai nostri prezzi standard</t>
  </si>
  <si>
    <t>○        Rezervacijos skirtuke nurodytos kainos taikomos rezervacijai ir atkreipkite dėmesį, kad šios kainos yra 8 % didesnės nei mūsų standartinės kainos</t>
  </si>
  <si>
    <t>○        ceny podane w zakładce Rezerwacja dotyczą rezerwacji i należy pamiętać, że ceny te są o 8% wyższe niż nasze standardowe ceny</t>
  </si>
  <si>
    <t>○        vahekaardil Broneering toodud hinnad kehtivad broneeringutele ja pange tähele, et need hinnad on 8% kõrgemad kui meie tavahinnad</t>
  </si>
  <si>
    <t>○        giá được liệt kê trong tab Đặt chỗ áp dụng cho các đặt chỗ và xin lưu ý rằng giá này cao hơn 8% so với giá tiêu chuẩn của chúng tôi</t>
  </si>
  <si>
    <t>○        a Foglalás lapon feltüntetett árak érvényesek a foglalásokra, és kérjük, vegye figyelembe, hogy ezek az árak 8%-kal magasabbak, mint a normál áraink</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</si>
  <si>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</si>
  <si>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</si>
  <si>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</si>
  <si>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</si>
  <si>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</si>
  <si>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</si>
  <si>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</si>
  <si>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</si>
  <si>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</si>
  <si>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</si>
  <si>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</si>
  <si>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</si>
  <si>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</si>
  <si>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</si>
  <si>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</si>
  <si>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</si>
  <si>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</si>
  <si>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</si>
  <si>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</si>
  <si>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</si>
  <si>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</si>
  <si>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Zákazník může palety zaslat zpět také spediční službou(na vlastní náklady) a dobropis mu bude vystaven po doručení palet na náš sklad.</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</si>
  <si>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</si>
  <si>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</si>
  <si>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</si>
  <si>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</si>
  <si>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</si>
  <si>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</si>
  <si>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</si>
  <si>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</si>
  <si>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</si>
  <si>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</si>
  <si>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</si>
  <si>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</si>
  <si>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</si>
  <si>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</si>
  <si>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</si>
  <si>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</si>
  <si>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</si>
  <si>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</si>
  <si>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</si>
  <si>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</si>
  <si>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</si>
  <si>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</si>
  <si>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</si>
  <si>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</si>
  <si>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</si>
  <si>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</si>
  <si>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</si>
  <si>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</si>
  <si>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</si>
  <si>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</si>
  <si>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</si>
  <si>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</si>
  <si>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</si>
  <si>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</si>
  <si>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</si>
  <si>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</si>
  <si>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</si>
  <si>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</si>
  <si>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</si>
  <si>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</si>
  <si>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</si>
  <si>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</si>
  <si>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</si>
  <si>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</si>
  <si>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</si>
  <si>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</si>
  <si>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</si>
  <si>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</si>
  <si>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</si>
  <si>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</si>
  <si>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</si>
  <si>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</si>
  <si>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</si>
  <si>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</si>
  <si>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</si>
  <si>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</si>
  <si>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</si>
  <si>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</si>
  <si>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</si>
  <si>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</si>
  <si>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</si>
  <si>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</si>
  <si>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</si>
  <si>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</si>
  <si>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</si>
  <si>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</si>
  <si>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</si>
  <si>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</si>
  <si>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</si>
  <si>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</si>
  <si>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</si>
  <si>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</si>
  <si>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</si>
  <si>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</si>
  <si>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</si>
  <si>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</si>
  <si>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</si>
  <si>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</si>
  <si>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</si>
  <si>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</si>
  <si>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</si>
  <si>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</si>
  <si>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</si>
  <si>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</si>
  <si>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</si>
  <si>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</si>
  <si>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</si>
  <si>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</si>
  <si>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</si>
  <si>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</si>
  <si>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</si>
  <si>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</si>
  <si>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</si>
  <si>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</si>
  <si>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</si>
  <si>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</si>
  <si>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</si>
  <si>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</si>
  <si>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</si>
  <si>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</si>
  <si>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</si>
  <si>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</si>
  <si>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</si>
  <si>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</si>
  <si>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</si>
  <si>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</si>
  <si>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</si>
  <si>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</si>
  <si>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</si>
  <si>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</si>
  <si>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</si>
  <si>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</si>
  <si>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</si>
  <si>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</si>
  <si>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The novelty is the online availability of the warehouse, ie. all you have to do is be online and confirm the option to "allow editing" and „allow content“  after each opening of the Price list you can see what goods are in stock or when will it be in stock !!!</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</si>
  <si>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</si>
  <si>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</si>
  <si>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</si>
  <si>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</si>
  <si>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</si>
  <si>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</si>
  <si>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</si>
  <si>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</si>
  <si>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</si>
  <si>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</si>
  <si>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</si>
  <si>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</si>
  <si>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</si>
  <si>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</si>
  <si>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</si>
  <si>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</si>
  <si>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</si>
  <si>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</si>
  <si>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</si>
  <si>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</si>
  <si>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</si>
  <si>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</si>
  <si>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</si>
  <si>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</si>
  <si>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</si>
  <si>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</si>
  <si>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</si>
  <si>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</si>
  <si>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</si>
  <si>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</si>
  <si>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</si>
  <si>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</si>
  <si>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</si>
  <si>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</si>
  <si>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</si>
  <si>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</si>
  <si>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</si>
  <si>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</si>
  <si>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</si>
  <si>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</si>
  <si>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</si>
  <si>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</si>
  <si>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</si>
  <si>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30/1.</t>
  </si>
  <si>
    <t>Profi Fireworks show 96</t>
  </si>
  <si>
    <t>Profi Fireworks show 140</t>
  </si>
  <si>
    <t>C253SIG B</t>
  </si>
  <si>
    <t>CZ,SK,PL,LT,EN,FR</t>
  </si>
  <si>
    <t>CZ,PL,NL,SK,DE</t>
  </si>
  <si>
    <t>CZ,SK,PL,LT,DE,EN,NL,FR</t>
  </si>
  <si>
    <t>CZ,SK,DE,PL,LT,EN,FR,IT</t>
  </si>
  <si>
    <t>CZ,SK,PL,LT,DE,HR,DK,EST,EN,FR</t>
  </si>
  <si>
    <t>B</t>
  </si>
  <si>
    <t>Hlavička dummy</t>
  </si>
  <si>
    <t>Big Boss dummy</t>
  </si>
  <si>
    <t>The Sky Breaker dummy</t>
  </si>
  <si>
    <t>Prehistoric dummy</t>
  </si>
  <si>
    <t>Hamster dummy</t>
  </si>
  <si>
    <t>Bad boy dummy</t>
  </si>
  <si>
    <t>Fireworks show 223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</si>
  <si>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</si>
  <si>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</si>
  <si>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</si>
  <si>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</si>
  <si>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</si>
  <si>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</si>
  <si>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</si>
  <si>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</si>
  <si>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</si>
  <si>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</si>
  <si>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</si>
  <si>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</si>
  <si>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</si>
  <si>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</si>
  <si>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</si>
  <si>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</si>
  <si>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</si>
  <si>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</si>
  <si>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</si>
  <si>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</si>
  <si>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</si>
  <si>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</si>
  <si>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</si>
  <si>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</si>
  <si>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</si>
  <si>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</si>
  <si>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</si>
  <si>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</si>
  <si>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</si>
  <si>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</si>
  <si>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</si>
  <si>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</si>
  <si>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</si>
  <si>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</si>
  <si>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</si>
  <si>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</si>
  <si>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</si>
  <si>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</si>
  <si>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</si>
  <si>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</si>
  <si>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</si>
  <si>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</si>
  <si>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</si>
  <si>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</si>
  <si>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</si>
  <si>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</si>
  <si>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</si>
  <si>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</si>
  <si>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</si>
  <si>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</si>
  <si>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</si>
  <si>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</si>
  <si>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X</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</si>
  <si>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</si>
  <si>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</si>
  <si>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https://youtu.be/ArnCfL7P874</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</si>
  <si>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</si>
  <si>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</si>
  <si>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</si>
  <si>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</si>
  <si>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</si>
  <si>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</si>
  <si>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</si>
  <si>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</si>
  <si>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</si>
  <si>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</si>
  <si>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</si>
  <si>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</si>
  <si>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</si>
  <si>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</si>
  <si>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</si>
  <si>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</si>
  <si>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</si>
  <si>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</si>
  <si>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</si>
  <si>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</si>
  <si>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</si>
  <si>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</si>
  <si>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</si>
  <si>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</si>
  <si>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</si>
  <si>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</si>
  <si>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</si>
  <si>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</si>
  <si>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</si>
  <si>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</si>
  <si>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</si>
  <si>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</si>
  <si>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</si>
  <si>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</si>
  <si>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</si>
  <si>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</si>
  <si>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</si>
  <si>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</si>
  <si>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</si>
  <si>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</si>
  <si>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</si>
  <si>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</si>
  <si>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</si>
  <si>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</si>
  <si>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</si>
  <si>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Dumbum rocket with scream</t>
  </si>
  <si>
    <t>Signature range 90ran</t>
  </si>
  <si>
    <t>Signature range 196ran</t>
  </si>
  <si>
    <t>Scream battery 25sh</t>
  </si>
  <si>
    <t>Dumbum 49ran-mini</t>
  </si>
  <si>
    <t>Pyrotechnology 2020 64sh</t>
  </si>
  <si>
    <t>Signature range 98ran</t>
  </si>
  <si>
    <t>Signature range 16sh</t>
  </si>
  <si>
    <t>Big Brother F2</t>
  </si>
  <si>
    <t>Profi Fireworks show 192-I+V+W+FAN</t>
  </si>
  <si>
    <t>Signature range 200ran</t>
  </si>
  <si>
    <t>Pyrotechnology 2020 39sh</t>
  </si>
  <si>
    <t>Red Signature range 41sh</t>
  </si>
  <si>
    <t>Pyrotechnology 2020 68sh</t>
  </si>
  <si>
    <t>Pyrotechnology 2020 100sh</t>
  </si>
  <si>
    <t>Baterie 96ran B</t>
  </si>
  <si>
    <t>DOPRODEJ</t>
  </si>
  <si>
    <t>Sloupec1</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</si>
  <si>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</si>
  <si>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</si>
  <si>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</si>
  <si>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</si>
  <si>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</si>
  <si>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</si>
  <si>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</si>
  <si>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</si>
  <si>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</si>
  <si>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</si>
  <si>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</si>
  <si>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</si>
  <si>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</si>
  <si>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</si>
  <si>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</si>
  <si>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</si>
  <si>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</si>
  <si>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</si>
  <si>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</si>
  <si>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</si>
  <si>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</si>
  <si>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</si>
  <si>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</si>
  <si>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</si>
  <si>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</si>
  <si>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</si>
  <si>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</si>
  <si>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</si>
  <si>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</si>
  <si>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</si>
  <si>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</si>
  <si>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</si>
  <si>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</si>
  <si>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</si>
  <si>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</si>
  <si>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</si>
  <si>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</si>
  <si>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</si>
  <si>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</si>
  <si>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</si>
  <si>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</si>
  <si>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</si>
  <si>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</si>
  <si>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</si>
  <si>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</si>
  <si>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L</t>
  </si>
  <si>
    <t>Dumbum bunda fleece XXL</t>
  </si>
  <si>
    <t>Přišli jsme na jeden drobný problém, který se děje u nových ceníků = Rezervační ceník a Ceník ve kterém je pouze zboží skladem</t>
  </si>
  <si>
    <t>Tyto ceníky se několikrát denně aktualizují a je třeba, aby jste objednávku dokončili a odeslali nám ihned.</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</si>
  <si>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</si>
  <si>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</si>
  <si>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</si>
  <si>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</si>
  <si>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</si>
  <si>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</si>
  <si>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</si>
  <si>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</si>
  <si>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</si>
  <si>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</si>
  <si>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</si>
  <si>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</si>
  <si>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</si>
  <si>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</si>
  <si>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</si>
  <si>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</si>
  <si>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</si>
  <si>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</si>
  <si>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</si>
  <si>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</si>
  <si>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</si>
  <si>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</si>
  <si>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</si>
  <si>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</si>
  <si>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</si>
  <si>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</si>
  <si>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</si>
  <si>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</si>
  <si>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</si>
  <si>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</si>
  <si>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</si>
  <si>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</si>
  <si>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</si>
  <si>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</si>
  <si>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</si>
  <si>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</si>
  <si>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</si>
  <si>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</si>
  <si>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</si>
  <si>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</si>
  <si>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</si>
  <si>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</si>
  <si>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</si>
  <si>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</si>
  <si>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</si>
  <si>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</si>
  <si>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</si>
  <si>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</si>
  <si>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</si>
  <si>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</si>
  <si>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</si>
  <si>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</si>
  <si>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</si>
  <si>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</si>
  <si>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</si>
  <si>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</si>
  <si>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</si>
  <si>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</si>
  <si>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</si>
  <si>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</si>
  <si>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</si>
  <si>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</si>
  <si>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        je možné rezervovat jen takové zboží, které přijde do 20dní na sklad - Celá nabídka těchto položek je v ceníku "Reservation form"</t>
  </si>
  <si>
    <t>○        it is possible to reserve only those goods that arrive in stock within 20 days - The entire offer of these items is in the "Reservation form" price list</t>
  </si>
  <si>
    <t>○        Es ist möglich, nur solche Waren zu buchen, die innerhalb von 20 Tagen ins Lager kommen - Das gesamte Angebot dieser Artikel befindet sich in der Preisliste "Reservation form"</t>
  </si>
  <si>
    <t>○        moguće je rezervirati samo onu robu koja stigne na zalihu unutar 20 dana - Cjelokupna ponuda ovih artikala nalazi se u cjeniku "Reservation form"</t>
  </si>
  <si>
    <t>○        è possibile prenotare solo la merce che arriva in stock entro 20 giorni - L'intera offerta di questi articoli è nel listino "Reservation form"</t>
  </si>
  <si>
    <t>○        rezervuoti galima tik tas prekes, kurios į sandėlį patenka per 20 dienų – Visas šių prekių pasiūlymas yra „Reservation form“ kainoraštyje</t>
  </si>
  <si>
    <t>○        możliwa jest rezerwacja tylko tych towarów, które pojawią się w magazynie w ciągu 20 dni — cała oferta tych pozycji znajduje się w cenniku „Reservation form”</t>
  </si>
  <si>
    <t>○        on võimalik broneerida ainult neid kaupu, mis saabuvad laost 20 päeva jooksul - kogu nende kaupade pakkumine on "Reservation form" hinnakirjas</t>
  </si>
  <si>
    <t>○        csak a 20 napon belül raktáron lévő árukat lehet lefoglalni - Ezen termékek teljes kínálata a „Reservation form” árlistában található</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</si>
  <si>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</si>
  <si>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</si>
  <si>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</si>
  <si>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</si>
  <si>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</si>
  <si>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</si>
  <si>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</si>
  <si>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</si>
  <si>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</si>
  <si>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</si>
  <si>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</si>
  <si>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</si>
  <si>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r>
      <t xml:space="preserve">Ctrl+C =&gt; </t>
    </r>
    <r>
      <rPr>
        <sz val="11"/>
        <color theme="1"/>
        <rFont val="Webdings"/>
        <family val="1"/>
        <charset val="2"/>
      </rPr>
      <t xml:space="preserve"> </t>
    </r>
    <r>
      <rPr>
        <b/>
        <sz val="11"/>
        <color theme="1"/>
        <rFont val="Arial"/>
        <family val="2"/>
        <charset val="238"/>
      </rPr>
      <t>=&gt; Ctrl+V:</t>
    </r>
  </si>
  <si>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</si>
  <si>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</si>
  <si>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</si>
  <si>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</si>
  <si>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</si>
  <si>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</si>
  <si>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</si>
  <si>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</si>
  <si>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</si>
  <si>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</si>
  <si>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</si>
  <si>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</si>
  <si>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</si>
  <si>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</si>
  <si>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</si>
  <si>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</si>
  <si>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</si>
  <si>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</si>
  <si>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Reservation form.xlsx</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</si>
  <si>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</si>
  <si>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</si>
  <si>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</si>
  <si>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</si>
  <si>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</si>
  <si>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</si>
  <si>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</si>
  <si>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</si>
  <si>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</si>
  <si>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</si>
  <si>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</si>
  <si>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</si>
  <si>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</si>
  <si>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</si>
  <si>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</si>
  <si>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</si>
  <si>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</si>
  <si>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</si>
  <si>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</si>
  <si>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</si>
  <si>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</si>
  <si>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</si>
  <si>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</si>
  <si>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</si>
  <si>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</si>
  <si>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</si>
  <si>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</si>
  <si>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</si>
  <si>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</si>
  <si>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</si>
  <si>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</si>
  <si>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</si>
  <si>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</si>
  <si>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</si>
  <si>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</si>
  <si>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</si>
  <si>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</si>
  <si>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</si>
  <si>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</si>
  <si>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</si>
  <si>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</si>
  <si>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</si>
  <si>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</si>
  <si>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</si>
  <si>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</si>
  <si>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</si>
  <si>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</si>
  <si>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</si>
  <si>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</si>
  <si>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</si>
  <si>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</si>
  <si>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</si>
  <si>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</si>
  <si>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</si>
  <si>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</si>
  <si>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</si>
  <si>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</si>
  <si>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</si>
  <si>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</si>
  <si>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</si>
  <si>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</si>
  <si>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</si>
  <si>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</si>
  <si>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</si>
  <si>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</si>
  <si>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</si>
  <si>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</si>
  <si>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</si>
  <si>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</si>
  <si>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</si>
  <si>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</si>
  <si>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</si>
  <si>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</si>
  <si>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</si>
  <si>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</si>
  <si>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</si>
  <si>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</si>
  <si>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</si>
  <si>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</si>
  <si>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</si>
  <si>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</si>
  <si>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</si>
  <si>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</si>
  <si>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</si>
  <si>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</si>
  <si>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</si>
  <si>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</si>
  <si>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</si>
  <si>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</si>
  <si>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</si>
  <si>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</si>
  <si>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</si>
  <si>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</si>
  <si>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</si>
  <si>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</si>
  <si>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</si>
  <si>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</si>
  <si>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</si>
  <si>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</si>
  <si>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</si>
  <si>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</si>
  <si>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</si>
  <si>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</si>
  <si>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</si>
  <si>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</si>
  <si>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</si>
  <si>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</si>
  <si>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</si>
  <si>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</si>
  <si>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</si>
  <si>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</si>
  <si>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</si>
  <si>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</si>
  <si>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</si>
  <si>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</si>
  <si>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</si>
  <si>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</si>
  <si>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</si>
  <si>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</si>
  <si>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</si>
  <si>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</si>
  <si>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</si>
  <si>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</si>
  <si>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</si>
  <si>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</si>
  <si>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</si>
  <si>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</si>
  <si>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</si>
  <si>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</si>
  <si>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</si>
  <si>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</si>
  <si>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</si>
  <si>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</si>
  <si>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</si>
  <si>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</si>
  <si>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</si>
  <si>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</si>
  <si>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</si>
  <si>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</si>
  <si>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</si>
  <si>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</si>
  <si>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</si>
  <si>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</si>
  <si>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</si>
  <si>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</si>
  <si>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</si>
  <si>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</si>
  <si>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</si>
  <si>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</si>
  <si>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</si>
  <si>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</si>
  <si>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</si>
  <si>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</si>
  <si>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</si>
  <si>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</si>
  <si>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</si>
  <si>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</si>
  <si>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</si>
  <si>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</si>
  <si>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</si>
  <si>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</si>
  <si>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</si>
  <si>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</si>
  <si>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</si>
  <si>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</si>
  <si>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</si>
  <si>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</si>
  <si>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</si>
  <si>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</si>
  <si>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</si>
  <si>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</si>
  <si>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</si>
  <si>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</si>
  <si>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</si>
  <si>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</si>
  <si>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</si>
  <si>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</si>
  <si>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</si>
  <si>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</si>
  <si>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</si>
  <si>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</si>
  <si>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</si>
  <si>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</si>
  <si>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</si>
  <si>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</si>
  <si>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</si>
  <si>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</si>
  <si>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</si>
  <si>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</si>
  <si>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</si>
  <si>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</si>
  <si>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</si>
  <si>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</si>
  <si>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</si>
  <si>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</si>
  <si>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</si>
  <si>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</si>
  <si>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</si>
  <si>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</si>
  <si>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</si>
  <si>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</si>
  <si>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</si>
  <si>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</si>
  <si>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</si>
  <si>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</si>
  <si>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</si>
  <si>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</si>
  <si>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</si>
  <si>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</si>
  <si>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</si>
  <si>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</si>
  <si>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</si>
  <si>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</si>
  <si>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</si>
  <si>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</si>
  <si>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</si>
  <si>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</si>
  <si>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</si>
  <si>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</si>
  <si>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</si>
  <si>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</si>
  <si>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</si>
  <si>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могуће је резервисати само ону робу која стигне на лагер у року од 20 дана – Целокупна понуда ових артикала је у ценовнику „Резервациони образац“</t>
  </si>
  <si>
    <t>○        није могуће резервисати ниједну другу робу осим оне која се налази на картици Резервације</t>
  </si>
  <si>
    <t>○        у оквиру једне резервације, могуће је резервисати само робу са истим даном испоруке у наше складиште</t>
  </si>
  <si>
    <t>○        за резервације важе цене приказане на картици Резервације и имајте на уму да су ове цене 8% више од наших стандардних цена</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</si>
  <si>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</si>
  <si>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</si>
  <si>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</si>
  <si>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</si>
  <si>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</si>
  <si>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</si>
  <si>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</si>
  <si>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</si>
  <si>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</si>
  <si>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</si>
  <si>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</si>
  <si>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</si>
  <si>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</si>
  <si>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</si>
  <si>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</si>
  <si>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</si>
  <si>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</si>
  <si>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</si>
  <si>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</si>
  <si>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</si>
  <si>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</si>
  <si>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</si>
  <si>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</si>
  <si>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</si>
  <si>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</si>
  <si>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</si>
  <si>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</si>
  <si>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</si>
  <si>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</si>
  <si>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</si>
  <si>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</si>
  <si>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</si>
  <si>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</si>
  <si>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</si>
  <si>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</si>
  <si>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</si>
  <si>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</si>
  <si>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</si>
  <si>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</si>
  <si>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</si>
  <si>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</si>
  <si>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</si>
  <si>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</si>
  <si>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</si>
  <si>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</si>
  <si>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</si>
  <si>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</si>
  <si>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</si>
  <si>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</si>
  <si>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</si>
  <si>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</si>
  <si>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</si>
  <si>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</si>
  <si>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</si>
  <si>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</si>
  <si>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</si>
  <si>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</si>
  <si>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</si>
  <si>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</si>
  <si>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</si>
  <si>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</si>
  <si>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</si>
  <si>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</si>
  <si>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</si>
  <si>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</si>
  <si>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</si>
  <si>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</si>
  <si>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</si>
  <si>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</si>
  <si>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</si>
  <si>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</si>
  <si>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</si>
  <si>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</si>
  <si>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</si>
  <si>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</si>
  <si>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</si>
  <si>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</si>
  <si>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</si>
  <si>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</si>
  <si>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</si>
  <si>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</si>
  <si>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</si>
  <si>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</si>
  <si>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</si>
  <si>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</si>
  <si>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</si>
  <si>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</si>
  <si>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</si>
  <si>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</si>
  <si>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</si>
  <si>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ir iespējams rezervēt tikai tās preces, kas noliktavā nonāk 20 dienu laikā - Viss šo preču piedāvājums ir cenrādī "Rezervācijas forma"</t>
  </si>
  <si>
    <t>○        vienas rezervācijas ietvaros ir iespējams rezervēt tikai preces ar to pašu piegādes dienu mūsu noliktavā</t>
  </si>
  <si>
    <t>○        rezervācijām tiek piemērotas cenas, kas norādītas cilnē Rezervācija, un, lūdzu, ņemiet vērā, ka šīs cenas ir par 8% augstākas nekā mūsu standarta cenas.</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</si>
  <si>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</si>
  <si>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</si>
  <si>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</si>
  <si>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</si>
  <si>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</si>
  <si>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</si>
  <si>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</si>
  <si>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</si>
  <si>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</si>
  <si>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</si>
  <si>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</si>
  <si>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</si>
  <si>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</si>
  <si>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</si>
  <si>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</si>
  <si>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</si>
  <si>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</si>
  <si>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</si>
  <si>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</si>
  <si>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</si>
  <si>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</si>
  <si>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</si>
  <si>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</si>
  <si>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</si>
  <si>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</si>
  <si>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</si>
  <si>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</si>
  <si>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</si>
  <si>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</si>
  <si>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</si>
  <si>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</si>
  <si>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</si>
  <si>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</si>
  <si>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</si>
  <si>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</si>
  <si>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</si>
  <si>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</si>
  <si>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</si>
  <si>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</si>
  <si>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</si>
  <si>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</si>
  <si>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</si>
  <si>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</si>
  <si>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</si>
  <si>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        chỉ có thể đặt trước những hàng hóa về kho trong vòng 20 ngày - Toàn bộ ưu đãi của những mặt hàng này nằm trong bảng giá "Reservation form"</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</si>
  <si>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</si>
  <si>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</si>
  <si>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</si>
  <si>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</si>
  <si>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</si>
  <si>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</si>
  <si>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</si>
  <si>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</si>
  <si>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</si>
  <si>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</si>
  <si>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</si>
  <si>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</si>
  <si>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</si>
  <si>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</si>
  <si>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</si>
  <si>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</si>
  <si>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</si>
  <si>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</si>
  <si>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</si>
  <si>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</si>
  <si>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</si>
  <si>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</si>
  <si>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</si>
  <si>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</si>
  <si>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Goods which is only on shop.xlsx</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</si>
  <si>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</si>
  <si>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</si>
  <si>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</si>
  <si>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</si>
  <si>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</si>
  <si>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</si>
  <si>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</si>
  <si>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</si>
  <si>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</si>
  <si>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t>U paletových přeprav je cena pro dopravu v České republice cca 2000Kč/ paleta  a bude vždy vybrána nejlevnější možnost, která bude dostupná na trhu.</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</si>
  <si>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</si>
  <si>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</si>
  <si>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</si>
  <si>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</si>
  <si>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</si>
  <si>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</si>
  <si>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</si>
  <si>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</si>
  <si>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</si>
  <si>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</si>
  <si>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</si>
  <si>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</si>
  <si>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</si>
  <si>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</si>
  <si>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</si>
  <si>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</si>
  <si>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</si>
  <si>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</si>
  <si>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</si>
  <si>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</si>
  <si>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</si>
  <si>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</si>
  <si>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</si>
  <si>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</si>
  <si>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</si>
  <si>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Poplatek ve výši 10 000Kč bude  pokrývat veškeré způsobené škody na manipulaci, duplicitní práci na dokladech, skladné atd. a není důležité, zda se jedná o 1 karton nebo 100 kartonu. Dále za toto zboží bude účtováno skladné</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</si>
  <si>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</si>
  <si>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</si>
  <si>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</si>
  <si>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</si>
  <si>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</si>
  <si>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</si>
  <si>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</si>
  <si>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</si>
  <si>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</si>
  <si>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</si>
  <si>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</si>
  <si>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</si>
  <si>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</si>
  <si>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</si>
  <si>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</si>
  <si>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</si>
  <si>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</si>
  <si>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</si>
  <si>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</si>
  <si>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</si>
  <si>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</si>
  <si>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</si>
  <si>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</si>
  <si>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</si>
  <si>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</si>
  <si>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</si>
  <si>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</si>
  <si>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</si>
  <si>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</si>
  <si>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</si>
  <si>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</si>
  <si>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</si>
  <si>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</si>
  <si>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</si>
  <si>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</si>
  <si>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</si>
  <si>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</si>
  <si>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</si>
  <si>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</si>
  <si>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Fire ball Rotate fountain</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</si>
  <si>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</si>
  <si>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</si>
  <si>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</si>
  <si>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</si>
  <si>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</si>
  <si>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</si>
  <si>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</si>
  <si>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</si>
  <si>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</si>
  <si>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</si>
  <si>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</si>
  <si>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</si>
  <si>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</si>
  <si>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</si>
  <si>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</si>
  <si>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empty color carton</t>
  </si>
  <si>
    <t>K-C379XMK/C</t>
  </si>
  <si>
    <t>x</t>
  </si>
  <si>
    <t>Baterie raket 25-1000ran, 8mm moždíř-1.4G</t>
  </si>
  <si>
    <t>Baterie 208ran, 14mm moždíř-1.4G</t>
  </si>
  <si>
    <t>Baterie 100ran, 20mm šikmý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</si>
  <si>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</si>
  <si>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</si>
  <si>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</si>
  <si>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</si>
  <si>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</si>
  <si>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</si>
  <si>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</si>
  <si>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</si>
  <si>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</si>
  <si>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</si>
  <si>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</si>
  <si>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Batterien 208 schuss, 14mm Mörser-1.4G</t>
  </si>
  <si>
    <t>208sh Battery of shot tube, 14mm mortars-1.4G</t>
  </si>
  <si>
    <t>Vatrometna kutija 208 pucnjeva, 14mm cijev-1.4G</t>
  </si>
  <si>
    <t>Batteria di tubi di lancio 208 colpi, mortaio 14 mm-1.4g</t>
  </si>
  <si>
    <t>208 šūvių raketų baterija, 14mm vamzdžiai - 1.4G</t>
  </si>
  <si>
    <t>Wyrzutnie 208 strz. kaliber 14mm 1.4G</t>
  </si>
  <si>
    <t>208s Baterije, cev 14mm - 1.4G</t>
  </si>
  <si>
    <t>"Compact" 208 phát đạn, đường kính 14mm-1.4G</t>
  </si>
  <si>
    <t>208šv baterija no caurules, 14mm caurule - 1.4G</t>
  </si>
  <si>
    <t>208 lasku patarei, 14mm-1.4G</t>
  </si>
  <si>
    <t>Telepek 208 lövet, 14mm mozsár-1.4g</t>
  </si>
  <si>
    <t>Batterien 100 schuss, 20mm schräg Mörser-1.4G</t>
  </si>
  <si>
    <t>100sh Battery of shot tube, 20mm fan shaped mortars-1.4G</t>
  </si>
  <si>
    <t>Vatrometna kutija 100 pucnjeva, 20mm, oblik cijevi kosi-1.4G</t>
  </si>
  <si>
    <t>Batteria di tubi di lancio 100 colpi, mortaio 20mm a ventaglio-1.4G</t>
  </si>
  <si>
    <t>100 šūvių raketų baterija, 20mm vamzdžiai, šaudo vėduoklės principu - 1.4G</t>
  </si>
  <si>
    <t>100s Baterije, cev 20mm, FAN shape-1.4G</t>
  </si>
  <si>
    <t xml:space="preserve">"Compact" 100 phát đạn, hình quạt "V" 20mm-1.4G </t>
  </si>
  <si>
    <t>100šv baterija no caurules, 20mm caurule - 1.4G + apļveidīga caurule</t>
  </si>
  <si>
    <t>100 lasku patarei, 20mm lehvik-1.4G</t>
  </si>
  <si>
    <t>Telepek 100 lövet, 20mm ferde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</si>
  <si>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</si>
  <si>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</si>
  <si>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</si>
  <si>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</si>
  <si>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</si>
  <si>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</si>
  <si>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</si>
  <si>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</si>
  <si>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</si>
  <si>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</si>
  <si>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</si>
  <si>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</si>
  <si>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</si>
  <si>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</si>
  <si>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</si>
  <si>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</si>
  <si>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</si>
  <si>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</si>
  <si>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</si>
  <si>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</si>
  <si>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</si>
  <si>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</si>
  <si>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</si>
  <si>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</si>
  <si>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</si>
  <si>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</si>
  <si>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</si>
  <si>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</si>
  <si>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</si>
  <si>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</si>
  <si>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</si>
  <si>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</si>
  <si>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</si>
  <si>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</si>
  <si>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</si>
  <si>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</si>
  <si>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</si>
  <si>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</si>
  <si>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</si>
  <si>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</si>
  <si>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</si>
  <si>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</si>
  <si>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</si>
  <si>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</si>
  <si>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</si>
  <si>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</si>
  <si>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</si>
  <si>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</si>
  <si>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</si>
  <si>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</si>
  <si>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</si>
  <si>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</si>
  <si>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</si>
  <si>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</si>
  <si>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</si>
  <si>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</si>
  <si>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</si>
  <si>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</si>
  <si>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</si>
  <si>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</si>
  <si>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</si>
  <si>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</si>
  <si>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</si>
  <si>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</si>
  <si>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</si>
  <si>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</si>
  <si>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</si>
  <si>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</si>
  <si>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</si>
  <si>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 xml:space="preserve">Pokud chcete objednávat F4, </t>
  </si>
  <si>
    <t xml:space="preserve">musíte zatrhnout toto pole: </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</si>
  <si>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</si>
  <si>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</si>
  <si>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</si>
  <si>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</si>
  <si>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</si>
  <si>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</si>
  <si>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</si>
  <si>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</si>
  <si>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</si>
  <si>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</si>
  <si>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</si>
  <si>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</si>
  <si>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</si>
  <si>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</si>
  <si>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</si>
  <si>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</si>
  <si>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</si>
  <si>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</si>
  <si>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</si>
  <si>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</si>
  <si>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</si>
  <si>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</si>
  <si>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</si>
  <si>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</si>
  <si>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</si>
  <si>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</si>
  <si>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</si>
  <si>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</si>
  <si>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</si>
  <si>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</si>
  <si>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</si>
  <si>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</si>
  <si>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</si>
  <si>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</si>
  <si>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</si>
  <si>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</si>
  <si>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</si>
  <si>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</si>
  <si>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</si>
  <si>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</si>
  <si>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</si>
  <si>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</si>
  <si>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</si>
  <si>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</si>
  <si>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</si>
  <si>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</si>
  <si>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</si>
  <si>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</si>
  <si>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</si>
  <si>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</si>
  <si>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</si>
  <si>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</si>
  <si>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</si>
  <si>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</si>
  <si>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</si>
  <si>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</si>
  <si>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</si>
  <si>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</si>
  <si>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</si>
  <si>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</si>
  <si>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</si>
  <si>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</si>
  <si>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</si>
  <si>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</si>
  <si>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</si>
  <si>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Świadectwo przechowywania</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</si>
  <si>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</si>
  <si>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</si>
  <si>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</si>
  <si>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</si>
  <si>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</si>
  <si>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</si>
  <si>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</si>
  <si>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</si>
  <si>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</si>
  <si>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</si>
  <si>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</si>
  <si>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</si>
  <si>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</si>
  <si>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</si>
  <si>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</si>
  <si>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</si>
  <si>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</si>
  <si>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</si>
  <si>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</si>
  <si>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</si>
  <si>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</si>
  <si>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</si>
  <si>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</si>
  <si>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</si>
  <si>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</si>
  <si>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</si>
  <si>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</si>
  <si>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</si>
  <si>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</si>
  <si>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</si>
  <si>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</si>
  <si>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</si>
  <si>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</si>
  <si>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</si>
  <si>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</si>
  <si>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</si>
  <si>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</si>
  <si>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</si>
  <si>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</si>
  <si>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</si>
  <si>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</si>
  <si>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</si>
  <si>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</si>
  <si>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</si>
  <si>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</si>
  <si>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</si>
  <si>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</si>
  <si>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Dotazy a návody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</si>
  <si>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</si>
  <si>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</si>
  <si>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</si>
  <si>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</si>
  <si>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</si>
  <si>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</si>
  <si>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</si>
  <si>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</si>
  <si>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</si>
  <si>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</si>
  <si>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</si>
  <si>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</si>
  <si>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</si>
  <si>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</si>
  <si>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</si>
  <si>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</si>
  <si>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Zrušit</t>
  </si>
  <si>
    <t xml:space="preserve">Občané změnit </t>
  </si>
  <si>
    <t xml:space="preserve">Podnikatelé a firmy </t>
  </si>
  <si>
    <t xml:space="preserve">Korporace a instituce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</si>
  <si>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</si>
  <si>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</si>
  <si>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</si>
  <si>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</si>
  <si>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</si>
  <si>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</si>
  <si>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</si>
  <si>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</si>
  <si>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</si>
  <si>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</si>
  <si>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</si>
  <si>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Detail kurzu eur</t>
  </si>
  <si>
    <t>Evropská unie</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</si>
  <si>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</si>
  <si>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</si>
  <si>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</si>
  <si>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</si>
  <si>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</si>
  <si>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</si>
  <si>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</si>
  <si>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</si>
  <si>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</si>
  <si>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</si>
  <si>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</si>
  <si>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</si>
  <si>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</si>
  <si>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</si>
  <si>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</si>
  <si>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</si>
  <si>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</si>
  <si>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</si>
  <si>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</si>
  <si>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</si>
  <si>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</si>
  <si>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t>
  </si>
  <si>
    <t>Upravit nastavení</t>
  </si>
  <si>
    <t>Pobočky a bankomaty</t>
  </si>
  <si>
    <t xml:space="preserve">Pobočky a bankomaty </t>
  </si>
  <si>
    <t xml:space="preserve">Řekněte nám svůj názor </t>
  </si>
  <si>
    <t>PSF2D</t>
  </si>
  <si>
    <t>PBF2D</t>
  </si>
  <si>
    <t>Tričko I love Dumbum(bílé)-L</t>
  </si>
  <si>
    <t>RT1DU</t>
  </si>
  <si>
    <t>Reklamní tabule Dumbum</t>
  </si>
  <si>
    <t>KK2023</t>
  </si>
  <si>
    <t>Dumbum Big F2 silver</t>
  </si>
  <si>
    <t>Dumbum Big F2 black</t>
  </si>
  <si>
    <t>60/10</t>
  </si>
  <si>
    <t>Touto barvou jsou označeny novinky 2024.</t>
  </si>
  <si>
    <t>Orange lines mark the news for 2024.</t>
  </si>
  <si>
    <t>Orangefarbene Linien kennzeichnen die Nachrichten für 2024.</t>
  </si>
  <si>
    <t>Pomarańczowe komórki oznaczają nowości na rok 2024.</t>
  </si>
  <si>
    <t>Màu này được đánh dấu là sản phẩm mới của năm 2024.</t>
  </si>
  <si>
    <t>Oranžinės linijos žymi 2024 m. naujienas</t>
  </si>
  <si>
    <t>Narančase linije označavaju novosti za 2024.</t>
  </si>
  <si>
    <t>Narandžaste linije označavaju vesti za 2024. godinu.</t>
  </si>
  <si>
    <t>Le linee arancioni segnano le novità per il 2024.</t>
  </si>
  <si>
    <t>oranzid jooned tähendavad uusi tooteid 2024</t>
  </si>
  <si>
    <t>Ezzel a színnel a 2024 újdonságok vannak jelölve</t>
  </si>
  <si>
    <t>Oranžas līnijas iezīmē 2024. gada jaunumus.</t>
  </si>
  <si>
    <t>Rabaty przewidziane na zakup całoroczny od 01.01.2024 do 31.12.2024</t>
  </si>
  <si>
    <t>Slevy jsou poskytovány při celoročním odběru a to od 01.09.2023 do 31.08.2024.</t>
  </si>
  <si>
    <t>Discounds provided for year-round purchase from 01.09.2023 to 31.08.2024</t>
  </si>
  <si>
    <t>Rabatte bei ganzjährigem Kauf vom 01.09.2023 bis 31.08.2024</t>
  </si>
  <si>
    <t>Giảm giá được cung cấp cho các giao dịch mua quanh năm từ 01.09.2023 đến 31.08.2024</t>
  </si>
  <si>
    <t>Nuolaidos pritaikomos perkant ištisus metus nuo 2023 09 01 iki 2024 08 31</t>
  </si>
  <si>
    <t>Popust predviđen za kupovinu cele godine od 01.09.2023 - 31.08.2024</t>
  </si>
  <si>
    <t>i sconti  previsti per l'acquisto tutto l'anno dal 01.09.2023 al 31.08.2024</t>
  </si>
  <si>
    <t>Aastaringseks ostmiseks ette nähtud allahindlused kehtivad ajavahemikul 01.09.2023 kuni 31.08.2024</t>
  </si>
  <si>
    <t>Feltételezett kedvezmények biztosítottak az egész éves gyűjtésre 2023.09.01-2024.08.31-ig</t>
  </si>
  <si>
    <t>Atlaides, kas paredzētas pirkšanai visa gada garumā no 01.09.2023. Līdz 31.08.2024</t>
  </si>
  <si>
    <t>Navedeni popusti predviđeni su su za kupnju tijekom cijele godine tj. za razdoblje od 01.09.2023 do 31.08.2024.</t>
  </si>
  <si>
    <t>Přidělená sleva zákazníka se počítá na základě odběru od 01.09.2022 do 31.8.2023.</t>
  </si>
  <si>
    <t>Each customer has been allocated a discount baseed on purchase from 01.09.2022 to 31.08.2023.</t>
  </si>
  <si>
    <t>Jeder Kunde erhält einen Rabatt basierend auf einem Einkauf vom 01.09.2022 bis 31.08.2023.</t>
  </si>
  <si>
    <t>Każdemu klientowi przyznany został rabat na podstawie zakupów od 01.01.2022 do 31.12.2022.</t>
  </si>
  <si>
    <t>Mức chiết khấu khách hàng được phân bổ được tính trên cơ sở mức tiêu thụ từ 01.09.2022 đến 31.08.2023.</t>
  </si>
  <si>
    <t>Kiekvienam klientui buvo suteikta nuolaida pagal pirkimą nuo 2022 09 01 iki 2023 08 31.</t>
  </si>
  <si>
    <t>Svakom kupcu odobren je popust na osnovi ostvarene kupnje u periodu od 01.09.2022. do 31.08.2023.</t>
  </si>
  <si>
    <t>Svakom kupcu se dodeljuje popust na osnovu kupovine od 01.09.2022 do 31.08.2023.</t>
  </si>
  <si>
    <t>Ad ogni cliente è stato assegnato uno sconto in base all'acquisto dal 01.09.2022 al 31.08.2023.</t>
  </si>
  <si>
    <t>Igale kliendile on tehtud ostu alusel allahindlus ajavahemikul 01.09.2022 kuni 31.08.2023.</t>
  </si>
  <si>
    <t>A kiosztott ügyfélkedvezményt 2022.09.01-től 2023.8.31-ig kötött rendelések alapján számítjuk ki.</t>
  </si>
  <si>
    <t>Katram klientam ir piešķirta atlaide, pamatojoties uz pirkumu no 01.09.2022. Līdz 31.08.2023.</t>
  </si>
  <si>
    <t>Katalog Klásek 2023</t>
  </si>
  <si>
    <t>Waffenschein!!!</t>
  </si>
  <si>
    <t>25-40</t>
  </si>
  <si>
    <t>16-30</t>
  </si>
  <si>
    <t>13-24</t>
  </si>
  <si>
    <t>25+40</t>
  </si>
  <si>
    <t>16+30</t>
  </si>
  <si>
    <t>27-44</t>
  </si>
  <si>
    <t>18-33</t>
  </si>
  <si>
    <t>25-30</t>
  </si>
  <si>
    <t>16-22</t>
  </si>
  <si>
    <t>13-18</t>
  </si>
  <si>
    <t>17-31</t>
  </si>
  <si>
    <t>14-25</t>
  </si>
  <si>
    <t>30-40</t>
  </si>
  <si>
    <t>24-31</t>
  </si>
  <si>
    <t>40+60</t>
  </si>
  <si>
    <t>30+40</t>
  </si>
  <si>
    <t>25+50</t>
  </si>
  <si>
    <t>16+35</t>
  </si>
  <si>
    <t>48+60</t>
  </si>
  <si>
    <t>36+40</t>
  </si>
  <si>
    <t>30+50</t>
  </si>
  <si>
    <t>22+35</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</si>
  <si>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</si>
  <si>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</si>
  <si>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</si>
  <si>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</si>
  <si>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</si>
  <si>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</si>
  <si>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</si>
  <si>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</si>
  <si>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</si>
  <si>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</si>
  <si>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</si>
  <si>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</si>
  <si>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</si>
  <si>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</si>
  <si>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</si>
  <si>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</si>
  <si>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</si>
  <si>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</si>
  <si>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</si>
  <si>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</si>
  <si>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</si>
  <si>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</si>
  <si>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</si>
  <si>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</si>
  <si>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</si>
  <si>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</si>
  <si>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</si>
  <si>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</si>
  <si>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</si>
  <si>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</si>
  <si>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</si>
  <si>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</si>
  <si>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</si>
  <si>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</si>
  <si>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</si>
  <si>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</si>
  <si>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</si>
  <si>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</si>
  <si>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</si>
  <si>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</si>
  <si>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</si>
  <si>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</si>
  <si>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</si>
  <si>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</si>
  <si>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</si>
  <si>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</si>
  <si>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</si>
  <si>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</si>
  <si>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</si>
  <si>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</si>
  <si>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</si>
  <si>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</si>
  <si>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</si>
  <si>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</si>
  <si>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</si>
  <si>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</si>
  <si>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</si>
  <si>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</si>
  <si>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</si>
  <si>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</si>
  <si>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</si>
  <si>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</si>
  <si>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</si>
  <si>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</si>
  <si>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</si>
  <si>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</si>
  <si>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</si>
  <si>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</si>
  <si>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</si>
  <si>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</si>
  <si>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</si>
  <si>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</si>
  <si>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</si>
  <si>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</si>
  <si>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</si>
  <si>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</si>
  <si>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</si>
  <si>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</si>
  <si>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</si>
  <si>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</si>
  <si>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</si>
  <si>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</si>
  <si>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</si>
  <si>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</si>
  <si>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</si>
  <si>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</si>
  <si>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</si>
  <si>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</si>
  <si>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</si>
  <si>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</si>
  <si>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</si>
  <si>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</si>
  <si>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</si>
  <si>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</si>
  <si>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</si>
  <si>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</si>
  <si>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</si>
  <si>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</si>
  <si>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</si>
  <si>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</si>
  <si>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</si>
  <si>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</si>
  <si>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</si>
  <si>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</si>
  <si>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</si>
  <si>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</si>
  <si>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</si>
  <si>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</si>
  <si>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</si>
  <si>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</si>
  <si>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</si>
  <si>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</si>
  <si>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</si>
  <si>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</si>
  <si>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</si>
  <si>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</si>
  <si>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</si>
  <si>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</si>
  <si>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</si>
  <si>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</si>
  <si>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</si>
  <si>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</si>
  <si>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</si>
  <si>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</si>
  <si>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</si>
  <si>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</si>
  <si>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</si>
  <si>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</si>
  <si>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</si>
  <si>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</si>
  <si>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</si>
  <si>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</si>
  <si>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</si>
  <si>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</si>
  <si>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</si>
  <si>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</si>
  <si>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</si>
  <si>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</si>
  <si>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</si>
  <si>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</si>
  <si>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</si>
  <si>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</si>
  <si>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</si>
  <si>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</si>
  <si>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</si>
  <si>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</si>
  <si>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</si>
  <si>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</si>
  <si>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</si>
  <si>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</si>
  <si>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</si>
  <si>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</si>
  <si>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</si>
  <si>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</si>
  <si>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</si>
  <si>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</si>
  <si>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</si>
  <si>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</si>
  <si>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</si>
  <si>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</si>
  <si>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</si>
  <si>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</si>
  <si>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</si>
  <si>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</si>
  <si>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</si>
  <si>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</si>
  <si>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</si>
  <si>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</si>
  <si>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</si>
  <si>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</si>
  <si>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</si>
  <si>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Celkové shrnutí vaší objednávky najdete na řádku 1249, kde jsou tyto informace :</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</si>
  <si>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</si>
  <si>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</si>
  <si>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</si>
  <si>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</si>
  <si>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</si>
  <si>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</si>
  <si>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</si>
  <si>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</si>
  <si>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</si>
  <si>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</si>
  <si>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</si>
  <si>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</si>
  <si>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</si>
  <si>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</si>
  <si>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</si>
  <si>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</si>
  <si>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</si>
  <si>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</si>
  <si>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katalog produktů 2023</t>
  </si>
  <si>
    <t>product catalog 2023</t>
  </si>
  <si>
    <t>Produktkatalog 2023</t>
  </si>
  <si>
    <t xml:space="preserve"> prodotti 2023</t>
  </si>
  <si>
    <t>Catalog 2023</t>
  </si>
  <si>
    <t>termékkatalógus 2023</t>
  </si>
  <si>
    <t>Produkta katalogs 2023</t>
  </si>
  <si>
    <t>katalog produktów 2023</t>
  </si>
  <si>
    <t>produktų katalogas 2023</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</si>
  <si>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</si>
  <si>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</si>
  <si>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</si>
  <si>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</si>
  <si>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</si>
  <si>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</si>
  <si>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</si>
  <si>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 xml:space="preserve">Půjčka na udržitelné bydlení </t>
  </si>
  <si>
    <t>©2024 Komerční banka</t>
  </si>
  <si>
    <t>8/5/8.</t>
  </si>
  <si>
    <t>12/4.</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</si>
  <si>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</si>
  <si>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</si>
  <si>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</si>
  <si>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</si>
  <si>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</si>
  <si>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</si>
  <si>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</si>
  <si>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</si>
  <si>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</si>
  <si>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</si>
  <si>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</si>
  <si>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Taška Klásek</t>
  </si>
  <si>
    <t>Dummies</t>
  </si>
  <si>
    <t>CZ,DE</t>
  </si>
  <si>
    <t>CZ,SK,PL,DE,LT,EN,HR,HU,DK</t>
  </si>
  <si>
    <t>CZ,LT</t>
  </si>
  <si>
    <t>CZ,SK,PL,LT,DE,EN,HR</t>
  </si>
  <si>
    <t>CZ,SK,PL,DE,EN,LT</t>
  </si>
  <si>
    <t>CZ,SK,EN,PL,DE,LT,HU,HR</t>
  </si>
  <si>
    <t>CZ,SK,EN,PL,DE,LT</t>
  </si>
  <si>
    <t>CZ,SK,PL,DE,LT,EN,HU</t>
  </si>
  <si>
    <t>CZ,SK,PL,EN,LT,DE,HR,DK,HU</t>
  </si>
  <si>
    <t>CZ,SK,LT,Hu,EN,PL,DE,DK,HR</t>
  </si>
  <si>
    <t>CZ,SK,HU,HR,PL,LT,EN,DE,DK</t>
  </si>
  <si>
    <t>CZ,SK,PL,LT,DE,HU,HR</t>
  </si>
  <si>
    <t>CZ,SK,EN,PL,HR,DE,HU,LT</t>
  </si>
  <si>
    <t>CZ,PL,SK,LT,DE,NL,EN</t>
  </si>
  <si>
    <t>CZ,PL,SK,LT,DE,NL,DK,HR,EN,FR</t>
  </si>
  <si>
    <t>CZ,SK,PL,DE,NL,DK,LT,EN,HR,FR</t>
  </si>
  <si>
    <t>SK,DE</t>
  </si>
  <si>
    <t>CZ,SK,EN,HU,HR,LT,PL,DE</t>
  </si>
  <si>
    <t>CZ,SK,HU,PL,LT,DE</t>
  </si>
  <si>
    <t>CZ,SK,PL,LT,EN,DE</t>
  </si>
  <si>
    <t>CZ,SK,PL,LT,DE,EN,HR,HU</t>
  </si>
  <si>
    <t>CZ,SK,LT,PL,DE,HU,EN,DK</t>
  </si>
  <si>
    <t>CZ,SK,PL,EN,LT,HU,DE</t>
  </si>
  <si>
    <t>CZ,SK,PL,DE,LT,EN,EST,HU,DK</t>
  </si>
  <si>
    <t>CZ,SK,PL,LT,DE,EN,</t>
  </si>
  <si>
    <t>CZ,SK,PL,DE,LT,EST,DK,EN,HR,HU,SRB,LV</t>
  </si>
  <si>
    <t>CZ,SK,PL,DE</t>
  </si>
  <si>
    <t>CZ,SK,PL,DE,LT,EST,EN</t>
  </si>
  <si>
    <t>CZ,SK,PL,DE,LT,EN,EST,DK,LV,HR</t>
  </si>
  <si>
    <t>CZ,SK,EN,PL,LT,DE,LV,EST,HU</t>
  </si>
  <si>
    <t>CZ,SK,PL,LT,DE,EN,FR</t>
  </si>
  <si>
    <t>CZ,SK,LT,PL</t>
  </si>
  <si>
    <t>CZ,PL,SK,LT</t>
  </si>
  <si>
    <t>CZ,PL,SK,DE,LT</t>
  </si>
  <si>
    <t>CZ,SK,PL,LT,DE,FR,NL</t>
  </si>
  <si>
    <t>CZ,SK,DE,PL,LT,EN,HR,HU,SRB</t>
  </si>
  <si>
    <t>CZ,SK,PL,SRB,LT</t>
  </si>
  <si>
    <t>CZ,SK,PL,LT,EN</t>
  </si>
  <si>
    <t>CZ,SK,EN,PL,LT</t>
  </si>
  <si>
    <t>CZ,SK,PL,HR,HU,DE,LT,EN,DK,SRB,NL</t>
  </si>
  <si>
    <t>CZ,SK,PL,EN,LT,NL,HR,DE,HU,DK,SRB</t>
  </si>
  <si>
    <t>CZ,SK,PL,EN,LT,HU,HR,DE</t>
  </si>
  <si>
    <t>CZ,SK,PL,EN,LT,HU,DE,HR</t>
  </si>
  <si>
    <t>CZ,SK,PL,EN,LT,DE</t>
  </si>
  <si>
    <t>CZ,SK,DE,PL,HU</t>
  </si>
  <si>
    <t>CZ,SK,LT,PL,DE</t>
  </si>
  <si>
    <t>CZ,SK,PL,LT,NL,FR</t>
  </si>
  <si>
    <t>LT,PL,DE,EN,EST</t>
  </si>
  <si>
    <t>EN,PL,LT</t>
  </si>
  <si>
    <t>CZ,SK,EN,LT,DE,SRB</t>
  </si>
  <si>
    <t>CZ,SK,PL,HR,HU,EN,DE,LT,EST,SRB,LV,RO</t>
  </si>
  <si>
    <t>CZ,SK,PL,DE,IT,NL,EN,FR,LT</t>
  </si>
  <si>
    <t>CZ,SK,NL,DE,PL</t>
  </si>
  <si>
    <t>CZ,DE,FR,NL</t>
  </si>
  <si>
    <t>CZ,SK,PL,HR,NL,LT,DE,HU,EN,IT,SLO</t>
  </si>
  <si>
    <t>CZ,SK,PL,LT,EN,NL,SLO,DE,IT,HR,IT</t>
  </si>
  <si>
    <t>CZ,PL,SK,DE,NL,LT</t>
  </si>
  <si>
    <t>CZ,SK,PL,SRB,DE</t>
  </si>
  <si>
    <t>CZ,SK,PL,DE,SRB</t>
  </si>
  <si>
    <t>CZ,SK,PL,SRB</t>
  </si>
  <si>
    <t>CZ,SK,SRB,PL</t>
  </si>
  <si>
    <t>CZ,SK,PL,LT,IT,HR,DE,EN</t>
  </si>
  <si>
    <t>CZ,SK,PL,LT,DE,HU,EN,NL,HR,IT,FR</t>
  </si>
  <si>
    <t>CZ,SK,PL,LT,DE,HR,EN,IT</t>
  </si>
  <si>
    <t>CZ,SK,PL,LT,DE,HR,EN,HU,IT</t>
  </si>
  <si>
    <t>CZ,DE,PL,SK,NL,LT,EN</t>
  </si>
  <si>
    <t>CZ,SK,PL,LT,DE,EN,EST</t>
  </si>
  <si>
    <t>CZ,SK,PL,LT,EN,EST,DE,HU,HR,SRB,NL</t>
  </si>
  <si>
    <t>CZ,SK,PL,LT,EN,DE,EST,IT,NL,HU,HR,LV,SLO,DK,FR</t>
  </si>
  <si>
    <t>CZ,SK,PL,LT,EN,DE,EST,HR,FR</t>
  </si>
  <si>
    <t>CZ,SK,PL,LT,EN,DE,EST,HU,HR,HU,IT,SLO,NL,DK</t>
  </si>
  <si>
    <t>CZ,SK,DE,PL,EN,LT,DK,EST,HU,HR,IT,FR,SRB,NL</t>
  </si>
  <si>
    <t>CZ,SK,PL,LT,DE,EN,HR,EST,HU,LV,IT,NL,DK,ASLO,RO,FR,SRB</t>
  </si>
  <si>
    <t>CZ,SK,PL,LT,EN,DE,EST,HU,HR,NL,DK,LV,IT,SLO,FR,RO,SRB</t>
  </si>
  <si>
    <t>CZ,SK,EN,PL,LT,DE,EST,HU,HR,NL</t>
  </si>
  <si>
    <t>CZ,SK,PL,LT,DE,HR,EST,HU,IT,SLO,EN,DK,FR,NL,RO,SRB,LV</t>
  </si>
  <si>
    <t>CZ,SK,PL,LT,EN,DE,EST,HU,HR,LV,IT,NL,DK,SLO,RO,FR,SRB</t>
  </si>
  <si>
    <t>CZ,SK,PL,LT,DE,EST,HU,HR,LV,IT,SLO,EN,DK,FR,NL,RO,SRB</t>
  </si>
  <si>
    <t>CZ,SK,PL,LT,DE,EST,HU,HR,IT,SLO,EN,DK,FR,NL,RO,SRB,LV</t>
  </si>
  <si>
    <t>CZ,SK,PL,LT,DE,NL,DK,EST,HU,HR,LV,IT,SLO,EN,FR,RO,SRB</t>
  </si>
  <si>
    <t>CZ,SK,PL,LT,DE,HU,EN</t>
  </si>
  <si>
    <t>CZ,SK,PL,HU,HR,DE,LT,EN,EST,FR,NL,IT</t>
  </si>
  <si>
    <t>CZ,SK,PL,LT,DE,HU,EST,FR</t>
  </si>
  <si>
    <t>CZ,SK,DE,EN,PL,LT</t>
  </si>
  <si>
    <t>CZ,Sk,DE,EN,PL,LT</t>
  </si>
  <si>
    <t>CZ,SK,LT,NL,EN,PL,DE</t>
  </si>
  <si>
    <t>CZ,SK,PL,LT,HU,DE,EN</t>
  </si>
  <si>
    <t>CZ,SK,LT,PL,DE,EN</t>
  </si>
  <si>
    <t>CZ,SK,PL,LT,DE,EN,EST,FR,IT,DK</t>
  </si>
  <si>
    <t>CZ,SK,PL,LT,DE,EN,EST,HU,FR,NL</t>
  </si>
  <si>
    <t>CZ,SK,PL,LT,EN,DE,EST,HR,SRB,FR</t>
  </si>
  <si>
    <t>CZ,SK,PL,LT,EN,DE,EST,HR,FR,IT</t>
  </si>
  <si>
    <t>CZ,SK,PL,LT,EN,DE,EST</t>
  </si>
  <si>
    <t>CZ,SK,PL,EN,DE,LT,EST,HR,FR,HU</t>
  </si>
  <si>
    <t>CZ,SK,PL,EN,DE,LT,EST,HR,FR,IT</t>
  </si>
  <si>
    <t>CZ,SK,EN,DE,PL,NL,DK,LT,FR,HU,IT,EST,HR</t>
  </si>
  <si>
    <t>CZ,SK,EN,DE,PL,NL,DK,LT,FR,HU,IT,EST,HR,SRB</t>
  </si>
  <si>
    <t>CZ,SK,EN,LT,PL,HU,DE,EST,HR,DK,NL,FR,IT,SRB</t>
  </si>
  <si>
    <t>CZ,SK,LT,PL,DE,HU,EST,HR,SRB,FR,IT,EN</t>
  </si>
  <si>
    <t>CZ,SK,EN,PL,LT,DE,DK,HU,EST,LV,SRB,FR,IT,HR,RO</t>
  </si>
  <si>
    <t>CZ,SK,PL,LT,DE,EN,DK,HU,EST</t>
  </si>
  <si>
    <t>CZ,SK,LT,PL,DE,EN,EST,HR,HU,SLO,LV,FR,NL,DK,IT,RO,SRB</t>
  </si>
  <si>
    <t>CZ,SK,EN,PL,DE,DK,LT,RO,FR,IT,EST,HU,LV,HR,SLO,SRB</t>
  </si>
  <si>
    <t>CZ,SK,EN,PL,DE,DK,LT,RO,FR,IT,EST,HU,LV,HR,SRB,SLO,NL</t>
  </si>
  <si>
    <t>CZ,SK,EN,LT,PL,DE,DK,FR,IT,EST,NL,LV,HU,RO,HR,SRB,SLO</t>
  </si>
  <si>
    <t>CZ,SK,FR,PL,EN,LT,NL</t>
  </si>
  <si>
    <t>CZ,SK,DE,PL,LT,IT,EN,FR</t>
  </si>
  <si>
    <t>CZ,SK,DK,PL,DE,FR,NL,IT,HR,SRB,EN,LT</t>
  </si>
  <si>
    <t>CZ,SK,PL,DE,LT,EN,DK</t>
  </si>
  <si>
    <t>CZ,SK,DK,PL,EN,LT,NL,DE,FR</t>
  </si>
  <si>
    <t>CZ,SK,EN,PL,DE,LT,DK,IT,NL</t>
  </si>
  <si>
    <t>CZ,SK,EN,PL,DK,FR,LT,DE,NL</t>
  </si>
  <si>
    <t>CZ,SK,PL,LT,DE,FR</t>
  </si>
  <si>
    <t>CZ,SK,DK,PL,DE,FR,NL,IT,HR,SRB,LT</t>
  </si>
  <si>
    <t>CZ,SK,FR,PL.DE,LT,NL,EN,EST,IT</t>
  </si>
  <si>
    <t>CZ,SK,PL,DE,LT,EN,DK,NL</t>
  </si>
  <si>
    <t>CZ,SK,DK,PL,EN,LT,NL,DE,EST</t>
  </si>
  <si>
    <t>CZ,SK,EN,PL,FR,LT,DE,NL,DK,IT</t>
  </si>
  <si>
    <t>CZ,SK,DE,PL,EN,LT,NL</t>
  </si>
  <si>
    <t>CZ,SK,EN,FR,LT,NL,PL,DE,EST,IT,DK</t>
  </si>
  <si>
    <t>CZ,SK,PL,EN,IT,LT,DE,FR</t>
  </si>
  <si>
    <t>CZ,SK,EN,PL,DE,EST,LT,DK,IT</t>
  </si>
  <si>
    <t>CZ,SK,FR,PL,DE,LT,NL,EN,EST,IT</t>
  </si>
  <si>
    <t>CZ,SK,PL,LT,DE,FR,EN</t>
  </si>
  <si>
    <t>CZ,SK,EN,LT,NL,PL,IT,DE</t>
  </si>
  <si>
    <t>CZ,SK,PL,EN,DK,FR,IT,HR,SRB,EST,HU,DE,LT</t>
  </si>
  <si>
    <t>CZ,SK,PL,LT,DE,EN,DK,FR,IT</t>
  </si>
  <si>
    <t>CZ,SK,PL,LT,DE,HR,LV,EN,EST,FR,HU,IT,NL,DK</t>
  </si>
  <si>
    <t>CZ,SK,PL,LT,DE,EN,IT</t>
  </si>
  <si>
    <t>CZ,SK,PL,LT,DE,EN,FR,NL</t>
  </si>
  <si>
    <t>CZ,SK,EN,DE,PL,LT</t>
  </si>
  <si>
    <t>CZ,SK,LT,DE,PL,EN</t>
  </si>
  <si>
    <t>CZ,SK,PL,DE,LT,EN,EST,HU,FR</t>
  </si>
  <si>
    <t>CZ,SK,PL,LT,DE,EN,DK</t>
  </si>
  <si>
    <t>CZ,SK,PL,EN,LT,DE,HU,LV,EST,HR,FR,SRB,SLO,IT,DK,NL</t>
  </si>
  <si>
    <t>CZ,SK,PL,EN,LT,DE,EST,HR,FR,SRB,HU,IT,NL,DK.SLO,RO,LV</t>
  </si>
  <si>
    <t>CZ,SK,PL,LT,DE,EN,HR,EST,HU,IT,FR</t>
  </si>
  <si>
    <t>CZ,SK,PL,LT,DE,EN,HR,EST,HU,IT,FR,SRB,NL</t>
  </si>
  <si>
    <t>CZ,SK,PL,FR,LT,NL,DE,EN</t>
  </si>
  <si>
    <t>CZ,SK,PL,DE,IT,LT,EN,NL,DK,EST,HU</t>
  </si>
  <si>
    <t>CZ,SK,PL,LT,DE,HR,EN,FR</t>
  </si>
  <si>
    <t>CZ,SK,PL,EN,DE,LT</t>
  </si>
  <si>
    <t>CZ,SK,PL,DE,IT,LT,EN,NL,DK,EST,HU,FR</t>
  </si>
  <si>
    <t>CZ,SK,PL,DE,LT,EN,EST,HU,FR,IT,NL</t>
  </si>
  <si>
    <t>CZ,SK,PL,FR,LT,DK</t>
  </si>
  <si>
    <t>CZ,SK,PL,EN,DK,DE,FR,IT,HR,SRB,EST,HU,LT</t>
  </si>
  <si>
    <t>CZ,SK,PL,EN,LT</t>
  </si>
  <si>
    <t>CZ,SK,LT,PL,DE,EN,HR,EST,FR,HU,IT,NL</t>
  </si>
  <si>
    <t>CZ,SK,PL,DE,LT,NL,EN,HU,EST</t>
  </si>
  <si>
    <t>CZ,SK,PL,DE,LT,EN,HU,EST,FR,IT</t>
  </si>
  <si>
    <t>CZ,SK,PL,DE,LT,EN,HU,EST</t>
  </si>
  <si>
    <t>CZ,SK,PL,LT,DE,EST,EN,NU,FR,IT,HR</t>
  </si>
  <si>
    <t>CZ,SK,PL,LT,DE,EST,EN,HR,FR,IT,HU,DK</t>
  </si>
  <si>
    <t>CZ,SK,PL,LT,DE,EN,HR,FR,IT,DK,EST</t>
  </si>
  <si>
    <t>CZ,SK,PL,LT,DE,EN,EST,HR</t>
  </si>
  <si>
    <t>CZ,SK,PL,LT,DE,EN,EST,FR</t>
  </si>
  <si>
    <t>CZ,SK,PL,LT,DE,EN,EST,FR,NL</t>
  </si>
  <si>
    <t>CZ,SK,PL,LT,EN,DE,HU,EST,HR,SRB,FR</t>
  </si>
  <si>
    <t>CZ,SK,PL,LT,EN,DE,HU,EST,IT,FR,HR,DK,NL</t>
  </si>
  <si>
    <t>CZ,SK,PL,LT,EN,DE,HU,EST,LV,IT,FR,SRB,HR,DK,NL</t>
  </si>
  <si>
    <t>CZ,SK,PL,LT,EN,DE,HU,EST,LV,IT,FR,SRB,HR,DK,RO</t>
  </si>
  <si>
    <t>CZ,SK,PL,LT,EN,DE,EST,HR,SRB,FR,HU</t>
  </si>
  <si>
    <t>CZ,SK,PL,LT,DE,EN,HU,EST,HR,SRB,FR,IT,NL</t>
  </si>
  <si>
    <t>CZ,SK,PL,LT,DE,EN,HU,EST,NL,DK,FR,HR,IT,SLO,SRB</t>
  </si>
  <si>
    <t>CZ,SK,PL,LT,NL,DK,EN,DE,EST,HR,SRB,FR,HU,IT,SLO,LV</t>
  </si>
  <si>
    <t>CZ,SK,PL,LT,DE,EN,EST,HR,SRB,FR,HU,IT,NL,DK,SLO</t>
  </si>
  <si>
    <t>CZ,SK,PL,LT,EN,DE,IT,FR</t>
  </si>
  <si>
    <t>CZ,SK,PL,DE,FR,DK,NL,EN,LT,EST</t>
  </si>
  <si>
    <t>CZ,SK,PL,DE,FR,DK,NL,EN,LT,IT</t>
  </si>
  <si>
    <t>CZ,SK,PL,EN,DE,LT,NL,FR,HR,EST</t>
  </si>
  <si>
    <t>CZ,SK,PL,LT,EN,HU,DE,EST,IT,HR,FR</t>
  </si>
  <si>
    <t>CZ,SK,PL,DE,LT,EN,NL,EST,FR,DK,</t>
  </si>
  <si>
    <t>CZ,SK,PL,LT,EN,NL,FR,DE,NL,DK</t>
  </si>
  <si>
    <t>CZ,SK,PL,EN,DE,LT,NL,FR,HR,EST,IT</t>
  </si>
  <si>
    <t>CZ,SK,PL,LT,EN,HU,DE,EST,IT,HR,FR,NL</t>
  </si>
  <si>
    <t>CZ,SK,PL,LT,EN,DE,IT,FR,EST</t>
  </si>
  <si>
    <t>CZ,SK,PL,EN,LT,DK,DE,NL,EST,HU,HR,FR,IT,SRB,RO</t>
  </si>
  <si>
    <t>CZ,PL,LT,IT,SK,DE,HR,EN,HU,DK,FR,LV,EST,NL,SRB,SLO</t>
  </si>
  <si>
    <t>CZ,SK,PL,LT,NL,DE,EST,EN,FR,HU,IT,DK,SRB</t>
  </si>
  <si>
    <t>CZ,SK,PL,DE,LT,EN,EST,IT,FR</t>
  </si>
  <si>
    <t>CZ,SK,PL,DE,LT,EN,EST,FR,IT,LV,HU,HR,DK,SRB</t>
  </si>
  <si>
    <t>CZ,SK,PL,DE,LT,HR,IT,EN,HU,DK,FR,LV,EST,NL,SRB,SLO</t>
  </si>
  <si>
    <t>CZ,SK,PL,EN,LT,DE,EST,DK,IT,HR,FR,HU</t>
  </si>
  <si>
    <t>CZ,SK,PL,EN,LT,HR,EST,HU,LV,DE,FR,IT,SLO</t>
  </si>
  <si>
    <t>CZ,SK,PL,LT,EN,DE,HU,EST,SRB,FR,IT,NL</t>
  </si>
  <si>
    <t>CZ,SK,PL,LT,EN,DE,HU,EYST,HR,FR,IT,DK,SLO,NL,SRB,RO</t>
  </si>
  <si>
    <t>CZ,SK,PL,LT,EN,NL,DE,EST,HU,IT,FR,HR,SRB</t>
  </si>
  <si>
    <t>CZ,SK,PL,LT,EN,NL,DE,HU,EST,DK,IT,SLO,FR,HR,SRB,LV</t>
  </si>
  <si>
    <t>CZ,SK,PL,LT,EN,NL,DE,HU,EST,FR,HR,SRB,DK,SLO,IT,RO,LV</t>
  </si>
  <si>
    <t>CZ,SK,PL,LT,DE,EST,HU,EN,HR,SRB,LV</t>
  </si>
  <si>
    <t>CZ,SK,PL,DE,LT,EN,EST,HR,FR</t>
  </si>
  <si>
    <t>CZ,SKPL,EN,LT,DE,DK,NL,EST,HU,HR,FR,IT,SRB,SLO,LV</t>
  </si>
  <si>
    <t>CZ,SK,PL,LT,EN,DE,HR,DK,NL,EST,FR,IT,HU</t>
  </si>
  <si>
    <t>CZ,SK,PL,LT,EN,DE,LV,DK,NL,EST,FR,IT,HU</t>
  </si>
  <si>
    <t>CZ,SK,PL,LT,DE,EN,EST,FR,HU,IT</t>
  </si>
  <si>
    <t>CZ,SK,PL,DE,LT,DK,EN,NL</t>
  </si>
  <si>
    <t>CZ,SK,PL,DE,LT,EN,NL,EST,DK,FR</t>
  </si>
  <si>
    <t>CZ,SK,PL,LT,DE,HU,EST,FR,IT,NL,DK,EN,HR,LV</t>
  </si>
  <si>
    <t>CZ,SK,PL,LT,DE,HU,NL,FR,IT,EN,HR</t>
  </si>
  <si>
    <t>CZ,SK,PL,LT,EN,DE,HU,EST,HR,LV,SRB,SLO,NL,RO,IT,FR,DK</t>
  </si>
  <si>
    <t>CZ,SK,EN,PL,LT,DE,HU,EST,HR,LV,SRB,SLO,NL,IT,FR,DK,RO</t>
  </si>
  <si>
    <t>CZ,SK,PL,LT,EN,DE,HU,EST,DK,NL,LV,FR,IT,HR,SRB,SLO</t>
  </si>
  <si>
    <t>CZ,SK,PL,FR,LT,DK,NL,DE,EN</t>
  </si>
  <si>
    <t>CZ,SK,PL,LT,EN,NL,DE,FR</t>
  </si>
  <si>
    <t>CZ,SK,DE,PL,LT,EN,FR,NL</t>
  </si>
  <si>
    <t>CZ,SK,PL,FR,NL,DK,EST,IT,LT,DE,EN</t>
  </si>
  <si>
    <t>CZ,SK,PL,DE,LT,NL,FR,EN</t>
  </si>
  <si>
    <t>CZ,SK,DE,FR,IT,EST,PL,LT,EN,NL,DK,HU</t>
  </si>
  <si>
    <t>CZ,SK,PL,LT,EN,HU,DE,HR</t>
  </si>
  <si>
    <t>CZ,SK,LT,PL,DE,EN,FR</t>
  </si>
  <si>
    <t>CZ,SK,DE,PL,LT,EN,IT,NL</t>
  </si>
  <si>
    <t>CZ,SK,PL,DE,LT,FR,EST,EN</t>
  </si>
  <si>
    <t>CZ,SK,DE,FR,IT,EST,PL,LT,EN,NL,DK,HR</t>
  </si>
  <si>
    <t>CZ,SK,PL,LT,EN,EST,DE</t>
  </si>
  <si>
    <t>CZ,SK,PL,EN,LT,DK,DE,NL,EST,HU,HR,FR,IT,SRB,SLO</t>
  </si>
  <si>
    <t>CZ,SK,PL,EN,LT,DK,DE,FR,IT,HR,HU,SRB,EST</t>
  </si>
  <si>
    <t>CZ,SK,PL,EN,LT,NL,DK,DE,FR,IT,EST,HR</t>
  </si>
  <si>
    <t>CZ,SK,PL,LT,DE,EN,EST,HR,FR</t>
  </si>
  <si>
    <t>CZ,SK,PL,DE,LT,EN,HU,EST,FR,IT,NL</t>
  </si>
  <si>
    <t>CZ,SK,LV,PL,LT,DE,EN,EST,HU,IT,FR,DK,NL,SRB,SLO,HR,RO</t>
  </si>
  <si>
    <t>CZ,SK,PL,LT,DE,EN,EST,HU,DK,NL,SRB,SLO,HR,FR,IT,RO,SLO</t>
  </si>
  <si>
    <t>CZ,SK,PL,LT,DE,EN,LV,HR,HU,EST,FR,IT,SLO,SRB</t>
  </si>
  <si>
    <t>CZ,SK,PL,LT,DE,EN,HR,EST,SRB,FR,HU,IT,NL</t>
  </si>
  <si>
    <t>CZ,SK,PL,LT,DE,EN,HR,EST,SRB,FR,HU,IT,NL,DK</t>
  </si>
  <si>
    <t>CZ,SK,PL,LT,EN,DE,HU,EST,HR,FR,IT</t>
  </si>
  <si>
    <t>CZ,SK,PL,EN,LT,DE,DK,NL,EST,HU,HR,FR,IT,SRB,RO,SLO,LV</t>
  </si>
  <si>
    <t>CZ,SK,PL,EN,LT,NL,DK,DE,FR,IT,EST,HU,LV,HR,SLO,SRB,RO</t>
  </si>
  <si>
    <t>CZ,SK,PL,DE,LT,EN,HR</t>
  </si>
  <si>
    <t>CZ,SK,PL,DE,LT,EN,EST,FR,LV,HR,IT,SRB,SLO</t>
  </si>
  <si>
    <t>CZ,SK,PL,EN,LT,NL,DK,DE,FR,IT,EST,HU,LV,SRB,SLO,HR</t>
  </si>
  <si>
    <t>CZ,SK,PL,EN,LT,NL,DK,DE,FR,IT,EST,HU,LV,HR,SLO,SRB</t>
  </si>
  <si>
    <t>CZ,SK,PL,EN,LT,NL,DK,DE,FR,IT,EST</t>
  </si>
  <si>
    <t>CZ,SK,DE,PL,LT,EN,HR</t>
  </si>
  <si>
    <t>CZ,SK,DE,PL</t>
  </si>
  <si>
    <t>CZ,SK,LT,PL,EN,DE,NL,HU,DK,FR</t>
  </si>
  <si>
    <t>CZ,SK,EN,PL,DE,LT,LV,DK,NL,HR,HU,FR,EST,IT</t>
  </si>
  <si>
    <t>CZ,SK,PL,LT,DE,EN,EST,HR,HU,FR,IT</t>
  </si>
  <si>
    <t>CZ,SK,PL,DE,LV,SRB,LT,EST,EN,HU,HR</t>
  </si>
  <si>
    <t>Crazy Night /empty color carton</t>
  </si>
  <si>
    <t>CZ,SK,PL,DE,LT,HU,DK,HR,EN</t>
  </si>
  <si>
    <t>CZ,SK,PL,DE,HU</t>
  </si>
  <si>
    <t>CZ,SK,LT,PL,DE,HU,EN,DK,FR</t>
  </si>
  <si>
    <t>CZ,SK,PL,DE,LT,EN,LV,EST/úDEajznovétabulky.</t>
  </si>
  <si>
    <t>CZ,SK,PL,DE,LT/úDEajznovétabulky.</t>
  </si>
  <si>
    <t>CZ,SK,LT,DE,PL</t>
  </si>
  <si>
    <t>CZ,SKPL,DE,LT,EN</t>
  </si>
  <si>
    <t>CZ,SK,PL,LT,HU,HR,DE</t>
  </si>
  <si>
    <t>CZ,SK,LT,HU,DE,EN,PL,SRB</t>
  </si>
  <si>
    <t>CZ,FR,NL,DE</t>
  </si>
  <si>
    <t>CZ,SK,DE,EN,HU,PL,LT,HR,IT</t>
  </si>
  <si>
    <t>CZ,SK,</t>
  </si>
  <si>
    <t>CZ,SK,PL,DE,EN,HU,HR,LT</t>
  </si>
  <si>
    <t>CZ,SK,PL,DE,HR,EN,HU,LT</t>
  </si>
  <si>
    <t>CZ,SK,PL,NL,EN,HR,LT,DE</t>
  </si>
  <si>
    <t>CZ,SK,PL,DE,LT,DK,EN,HU,HR</t>
  </si>
  <si>
    <t>CZ,SK,PL,LT,EN,DE,EST,HU,HR,NL,DK,IT,SRB,FR</t>
  </si>
  <si>
    <t>CZ,SK,PL,LT,EN,DE,EST,HU,HR,LV,IT,NL,DK,SLO,FR,RO,SRB</t>
  </si>
  <si>
    <t>CZ,SK,PL,LT,DE,EN,HR,EST,HU,LV,IT,NL,DK,SLO,RO,FR,SRB</t>
  </si>
  <si>
    <t>CZ,SK,LT,PL,DE,EST,HU,HR,IT,SLO,EN,DK,FR,NL,RO,SRB,LV</t>
  </si>
  <si>
    <t>CZ,SK,PL,EN,EST,LT,DE</t>
  </si>
  <si>
    <t>CZ,SK,PL,EN,HU,LT,DE</t>
  </si>
  <si>
    <t>CZ,SK,PL,EN,FR,LT,DE</t>
  </si>
  <si>
    <t>CZ,SK,PL,LT,DE,EN,HU</t>
  </si>
  <si>
    <t>CZ,SK,PL,LT,DE,EN,EST,HU,HR,SLO,DK,IT,FR,NL,SRB,RO</t>
  </si>
  <si>
    <t>CZ,SK,DK,PL,DE,EN,NL,LT,FR</t>
  </si>
  <si>
    <t>CZ,SK,PL,LT,EN,EST,NL,DE</t>
  </si>
  <si>
    <t>CZ,SK,LT,PL,DE,HU,EST,HR,FR</t>
  </si>
  <si>
    <t>CZ,SK,PL,LV,EN,DE,NL,DK,EST,HU,HR,SRB</t>
  </si>
  <si>
    <t>CZ,SK,PL,LT,DE,EN,HR,EST,HU,IT,FR,SRB</t>
  </si>
  <si>
    <t>CZ,SK,PL,FR,LT,EN,DE,NL</t>
  </si>
  <si>
    <t>CZ,SK,PL,FR,LT,EN,DE,HR</t>
  </si>
  <si>
    <t>CZ,SK,PL,LT,DE,EN,IT,HU,FR,HR</t>
  </si>
  <si>
    <t>CZ,SK,PL,LT,DE,EN,IT,HU,FR</t>
  </si>
  <si>
    <t>CZ,SK,PL,LT,EN,DE,HU,EST,HR,IT,FR</t>
  </si>
  <si>
    <t>CZ,SK,PL,LT,EN,NL,DE,EST,HU,IT,FR,HR,SRB,SLO,LV,DK,RO</t>
  </si>
  <si>
    <t>CZ,SK,PL,DE,LT,EN,EST,SLO,HU,SRB,FR,IT,HR</t>
  </si>
  <si>
    <t>CZ,SK,PL,LT,EN,NL,DE,HU,EST,FR,HR,DK,SLO,IT,RO,LV,SRB</t>
  </si>
  <si>
    <t>CZ,SK,PL,EN,LT,DE,EST,HU,HR,FR,IT,SRB,NL</t>
  </si>
  <si>
    <t>CZ,SK,PL,DE,LT,LV,EN,EST,NL,DK,FR,IT,HU,SLO,HR,SRB,RO</t>
  </si>
  <si>
    <t>CZ,SK,PL,LT,DE,SRB,EN,EST,HU,HR,LV</t>
  </si>
  <si>
    <t>CZ,SK,PL,EN,LT,DK,DE,FR,IT,EST,NL,HR,SRB,SLO,HU</t>
  </si>
  <si>
    <t>CZ,SK,PL,LT,DE,EN,EST,HU,DK,HR,NL,SRB,FR,IT,RO,SLO,LV</t>
  </si>
  <si>
    <t>CZ,SK,PL,DE,LT,EN,HR,FR</t>
  </si>
  <si>
    <t>CZ,SK,PL,EN,LT,DE,DK,NL,FR,IT,SRB,EST,HU,SLO</t>
  </si>
  <si>
    <t>CZ,SK,PL,EN,LT,DK,DE,IT,HR,FR,HU,SRB,EST,NL</t>
  </si>
  <si>
    <t>CZ,SK,PL,LT,DE,EN,EST,IT,HU</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</si>
  <si>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</si>
  <si>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</si>
  <si>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</si>
  <si>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</si>
  <si>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</si>
  <si>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</si>
  <si>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</si>
  <si>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</si>
  <si>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</si>
  <si>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</si>
  <si>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</si>
  <si>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</si>
  <si>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</si>
  <si>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BAM-F2-2187</t>
  </si>
  <si>
    <t>BAM-F2-2189</t>
  </si>
  <si>
    <t>BAM-F2-2188</t>
  </si>
  <si>
    <t>D/BAM-2495/18</t>
  </si>
  <si>
    <t>BAM-F2-2190</t>
  </si>
  <si>
    <t>BAM-F2-2191</t>
  </si>
  <si>
    <t>BAM-F1-0388</t>
  </si>
  <si>
    <t>BAM-F2-2193</t>
  </si>
  <si>
    <t>BAM-F2-2193 # D/BAM-0931/22</t>
  </si>
  <si>
    <t>BAM-F2-2194</t>
  </si>
  <si>
    <t>BAM-F2-2195</t>
  </si>
  <si>
    <t>D/BAM-1003/20</t>
  </si>
  <si>
    <t>D/BAM-0934/22</t>
  </si>
  <si>
    <t>D/BAM-0935/22</t>
  </si>
  <si>
    <t>D/BAM-927/22</t>
  </si>
  <si>
    <t>D/BAM-0089/20</t>
  </si>
  <si>
    <t>D/BAM-2497/18</t>
  </si>
  <si>
    <t xml:space="preserve">D/BAM-2495/18 </t>
  </si>
  <si>
    <t>BAM-F2-2196</t>
  </si>
  <si>
    <t>BAM-F2-2197</t>
  </si>
  <si>
    <t>D/BAM-2496/18</t>
  </si>
  <si>
    <t xml:space="preserve">D/BAM-1002/20 </t>
  </si>
  <si>
    <t>BAM-F2-2199</t>
  </si>
  <si>
    <t>BAM-F2-2200</t>
  </si>
  <si>
    <t>BAM-F2-2201</t>
  </si>
  <si>
    <t>BAM-F2-2202</t>
  </si>
  <si>
    <t>BAM-F2-2203</t>
  </si>
  <si>
    <t>D/BAM-2498/18</t>
  </si>
  <si>
    <t>D/BAM-0990/19</t>
  </si>
  <si>
    <t>D/BAM-0933/22</t>
  </si>
  <si>
    <t>BAM-F2-2209</t>
  </si>
  <si>
    <t>BAM-F2-2206</t>
  </si>
  <si>
    <t>BAM-F2-2208</t>
  </si>
  <si>
    <t>BAM-F2-2192</t>
  </si>
  <si>
    <t xml:space="preserve">2.6/0756/19 </t>
  </si>
  <si>
    <t>=KDYŽ($W$17=$AF$1;"červená fólie";IFERROR(SVYHLEDAT("červená fólie";Jazyky_ceník!$A:$Q;POZVYHLEDAT($W$17;Jazyky_ceník!$A$1:$Q$1;0);NEPRAVDA);"!!!"))</t>
  </si>
  <si>
    <t>=KDYŽ($W$17=$AF$1;"design";IFERROR(SVYHLEDAT("design";Jazyky_ceník!$A:$Q;POZVYHLEDAT($W$17;Jazyky_ceník!$A$1:$Q$1;0);NEPRAVDA);"!!!"))</t>
  </si>
  <si>
    <t>=KDYŽ($W$17=$AF$1;"stříbrná fólie";IFERROR(SVYHLEDAT("stříbrná fólie";Jazyky_ceník!$A:$Q;POZVYHLEDAT($W$17;Jazyky_ceník!$A$1:$Q$1;0);NEPRAVDA);"!!!"))</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</si>
  <si>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</si>
  <si>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</si>
  <si>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</si>
  <si>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</si>
  <si>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</si>
  <si>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</si>
  <si>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</si>
  <si>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</si>
  <si>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</si>
  <si>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</si>
  <si>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</si>
  <si>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</si>
  <si>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</si>
  <si>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</si>
  <si>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</si>
  <si>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</si>
  <si>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</si>
  <si>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</si>
  <si>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</si>
  <si>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</si>
  <si>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</si>
  <si>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</si>
  <si>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</si>
  <si>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</si>
  <si>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</si>
  <si>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</si>
  <si>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</si>
  <si>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</si>
  <si>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</si>
  <si>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</si>
  <si>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</si>
  <si>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</si>
  <si>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</si>
  <si>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</si>
  <si>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</si>
  <si>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</si>
  <si>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</si>
  <si>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</si>
  <si>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</si>
  <si>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</si>
  <si>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</si>
  <si>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</si>
  <si>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</si>
  <si>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</si>
  <si>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</si>
  <si>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</si>
  <si>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</si>
  <si>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</si>
  <si>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</si>
  <si>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</si>
  <si>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</si>
  <si>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</si>
  <si>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</si>
  <si>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</si>
  <si>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</si>
  <si>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</si>
  <si>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</si>
  <si>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</si>
  <si>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</si>
  <si>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</si>
  <si>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</si>
  <si>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Platí: 01.01.2024 - 31.08.2024</t>
  </si>
  <si>
    <t>Valid from: 01.01.2024 - 31.08.2024</t>
  </si>
  <si>
    <t>Gültig von: 01.01.2024 - 31.08.2024</t>
  </si>
  <si>
    <t>Obowiązuje od: 01.01.2024 - 31.08.2024</t>
  </si>
  <si>
    <t>Hợp lệ: 01.01.2024 - 31.08.2024</t>
  </si>
  <si>
    <t>Galioja: 01.01.2024 - 31.08.2024</t>
  </si>
  <si>
    <t>Vrijedi od: 01.01.2024 - 31.08.2024</t>
  </si>
  <si>
    <t>Važi: 01.01.2024 - 31.08.2024</t>
  </si>
  <si>
    <t>Valido dal: 01.01.2024 - 31.08.2024</t>
  </si>
  <si>
    <t>Kehtib alates: 01.01.2024 - 31.08.2024</t>
  </si>
  <si>
    <t>Érvényes: 01.01.2024 - 31.08.2024</t>
  </si>
  <si>
    <t>Spēkā kopš: 01.01.2024 - 31.08.2024</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</si>
  <si>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</si>
  <si>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</si>
  <si>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</si>
  <si>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</si>
  <si>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</si>
  <si>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</si>
  <si>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</si>
  <si>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</si>
  <si>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</si>
  <si>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</si>
  <si>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</si>
  <si>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</si>
  <si>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Ve sloupci F jsou ceny před slevou v CZK bez DPH platné od 1.1.2024.</t>
  </si>
  <si>
    <t>In column F, prices before discount in CZK are valid from  1.1.2024</t>
  </si>
  <si>
    <t>In Spalte F gelten die Preise vor Rabatt in CZK ab dem 1.1.2024.</t>
  </si>
  <si>
    <t>U stupcu F istaknute su cijene u CZK bez rabata i važeće od  1.1.2024.</t>
  </si>
  <si>
    <t>W kolumnie F ceny przed rabatem w CZK obowiązują od 1.1.2024</t>
  </si>
  <si>
    <t>Veerus F kehtivad hinnad enne allahindlust Tšehhi kroonides alates 1.1.2024</t>
  </si>
  <si>
    <t>Trong cột F, giá trước khi giảm giá bằng CZK chưa có VAT có giá trị từ 1.1.2024.</t>
  </si>
  <si>
    <t>Nella colonna F, i prezzi prima dello sconto in CZK senza IVA sono validi dal 1 gennaio 2023.</t>
  </si>
  <si>
    <t>У колони Ф цене пре попуста у ЦЗК без ПДВ-а важе од 1. јануара 2024.</t>
  </si>
  <si>
    <t>Komplektā F cenas pirms atlaides CZK bez PVN ir spēkā no 2024. gada 1. janvāra.</t>
  </si>
  <si>
    <t>AZ F OSZLOPBAN AZ ÁRAK KEDVEZMÉNY ELŐTT CZK BAN ÁFA NÉLKÜL ÉRVENYESEK 2024.JAN. 1 TŐL.</t>
  </si>
  <si>
    <t>Ve sloupci G jsou ceny po slevě v CZK bez DPH platné od 1.1.2024.</t>
  </si>
  <si>
    <t>In column I, prices after discount in CZK are valid from  1.1.2024</t>
  </si>
  <si>
    <t>In Spalte I gelten die Preise nach Rabatt in CZK ab dem 1.1.2024.</t>
  </si>
  <si>
    <t>U stupcu I, istaknute su cijene u CZK s rabatom i važeće od 1.1.2024.</t>
  </si>
  <si>
    <t>W kolumnie I ceny po rabacie w CZK obowiązują od 1.1.2024</t>
  </si>
  <si>
    <t>I veerus kehtivad hinnad pärast allahindlust Tšehhi kroonides alates 1.1.2024</t>
  </si>
  <si>
    <t>Trong cột G, giá sau khi chiết khấu tính bằng CZK chưa có thuế VAT có giá trị từ 1.1.2024.</t>
  </si>
  <si>
    <t>Nella colonna G, i prezzi dopo lo sconto in CZK senza IVA sono validi dal 1 gennaio 2024.</t>
  </si>
  <si>
    <t xml:space="preserve">I stulpelyje kainos yra CZK kronomis po nuolaidos ir galioja nuo 2024 01 01 </t>
  </si>
  <si>
    <t>F stulpelyje kainos yra CZK kronomis, prieš nuolaidą ir galioja nuo 2024 01 01</t>
  </si>
  <si>
    <t>У колони Г цене након попуста у ЦЗК без ПДВ-а важе од 01. јануара 2024.</t>
  </si>
  <si>
    <t>G ailē cenas pēc atlaides CZK bez PVN ir spēkā no 2024. gada 1.  janvāra.</t>
  </si>
  <si>
    <t>A G OSZLOPBAN AZ ÁRAK KEDVEZMÉNY UTÁN CZK BAN ÁFA NÉLKÜL ÉRVENYESEK 2021.JAN. 1 TŐL.</t>
  </si>
  <si>
    <t>Výrobky zábavné pyrotechniky
Fireworks</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</si>
  <si>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</si>
  <si>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</si>
  <si>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</si>
  <si>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</si>
  <si>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</si>
  <si>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</si>
  <si>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</si>
  <si>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</si>
  <si>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</si>
  <si>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</si>
  <si>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</si>
  <si>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Bílá dýmovnice s trhací pojistkou </t>
  </si>
  <si>
    <t xml:space="preserve">Modrá dýmovnice s trhací pojistkou </t>
  </si>
  <si>
    <t xml:space="preserve">Oranžová dýmovnice s trhací pojistkou </t>
  </si>
  <si>
    <t xml:space="preserve">Černá dýmovnice s trhací pojistkou </t>
  </si>
  <si>
    <t xml:space="preserve">Bílá turbo dýmovnice s trhací pojistkou </t>
  </si>
  <si>
    <t xml:space="preserve">Žlutá turbo dýmovnice s trhací pojistkou </t>
  </si>
  <si>
    <t xml:space="preserve">Zelená turbo dýmovnice s trhací pojistkou </t>
  </si>
  <si>
    <t xml:space="preserve">Oranžová turbo dýmovnice s trhací pojistkou </t>
  </si>
  <si>
    <t xml:space="preserve">Černá turbo dýmovnice s trhací pojistkou </t>
  </si>
  <si>
    <t xml:space="preserve">Červená dýmová pochodeň s trhací pojistkou </t>
  </si>
  <si>
    <t xml:space="preserve">Modrá dýmová pochodeň s trhací pojistkou </t>
  </si>
  <si>
    <t xml:space="preserve">Černá dýmová pochodeň s trhací pojistkou </t>
  </si>
  <si>
    <t>Conic fountains 25</t>
  </si>
  <si>
    <t>Dumbum P1 (scatch head)</t>
  </si>
  <si>
    <t>Dumbum P1</t>
  </si>
  <si>
    <t>Dumbum 120 (scatch head)</t>
  </si>
  <si>
    <t>Dumbum F2</t>
  </si>
  <si>
    <t>Dumbum F3</t>
  </si>
  <si>
    <t>Dumbum 120</t>
  </si>
  <si>
    <t>Dumbum 2G</t>
  </si>
  <si>
    <t>Dumbum 5g</t>
  </si>
  <si>
    <t>Kalashnikov 50sh</t>
  </si>
  <si>
    <t>Kalashnikov 150sh</t>
  </si>
  <si>
    <t>Kalashnikov 70sh</t>
  </si>
  <si>
    <t>Kalashnikov 200sh</t>
  </si>
  <si>
    <t>Kalashnikov 500sh</t>
  </si>
  <si>
    <t>Kalashnikov 1000sh</t>
  </si>
  <si>
    <t>Plašič zvěře 420min</t>
  </si>
  <si>
    <t>Scream rocket micro</t>
  </si>
  <si>
    <t>Scream/Dumbum rocket</t>
  </si>
  <si>
    <t>Scream 25</t>
  </si>
  <si>
    <t>Scream 100</t>
  </si>
  <si>
    <t>Scream 300</t>
  </si>
  <si>
    <t>Scream 1000</t>
  </si>
  <si>
    <t>Dumbum 16</t>
  </si>
  <si>
    <t>Dumbum 16 (strong)</t>
  </si>
  <si>
    <t>Dumbum 16 (5sec)</t>
  </si>
  <si>
    <t>Best price-Frozen 16</t>
  </si>
  <si>
    <t>Best price 25</t>
  </si>
  <si>
    <t>Signature range 25</t>
  </si>
  <si>
    <t>Best price-Frozen 49</t>
  </si>
  <si>
    <t>Signature range 49/20mm</t>
  </si>
  <si>
    <t>Best price Wild fire 64</t>
  </si>
  <si>
    <t>Red Signature range 66</t>
  </si>
  <si>
    <t>Best price 100</t>
  </si>
  <si>
    <t>Best price-Frozen 100</t>
  </si>
  <si>
    <t>Best price Slow motion 100</t>
  </si>
  <si>
    <t>New identity series 100</t>
  </si>
  <si>
    <t>Best price Wild fire multi 100</t>
  </si>
  <si>
    <t>Best price multi shape 100</t>
  </si>
  <si>
    <t>Profi show multi shape 100</t>
  </si>
  <si>
    <t>Best price 130</t>
  </si>
  <si>
    <t>Emperor Fireworks</t>
  </si>
  <si>
    <t>Strike</t>
  </si>
  <si>
    <t>Best price 200</t>
  </si>
  <si>
    <t>Best price-Frozen 200</t>
  </si>
  <si>
    <t>Best price Slow motion 200</t>
  </si>
  <si>
    <t>Profi show 200</t>
  </si>
  <si>
    <t>Best price multi shape 200</t>
  </si>
  <si>
    <t>Best price Wild fire multi 200</t>
  </si>
  <si>
    <t>Profi show multi shape 200</t>
  </si>
  <si>
    <t>Fireworks show 128</t>
  </si>
  <si>
    <t>Profi show multi shape 400</t>
  </si>
  <si>
    <t>Dumbum 64</t>
  </si>
  <si>
    <t>Best price Wild fire 25</t>
  </si>
  <si>
    <t>Panda</t>
  </si>
  <si>
    <t>Best price 49</t>
  </si>
  <si>
    <t>Signature range 49</t>
  </si>
  <si>
    <t>Dumbum mini</t>
  </si>
  <si>
    <t>Brocade war 49sh</t>
  </si>
  <si>
    <t>Best price Wild fire 100</t>
  </si>
  <si>
    <t>Best price Wild fire 300</t>
  </si>
  <si>
    <t>Best price 16</t>
  </si>
  <si>
    <t>Best price 19</t>
  </si>
  <si>
    <t>Dumbum 25</t>
  </si>
  <si>
    <t>Best price-Frozen 25</t>
  </si>
  <si>
    <t>Best price-Frozen 36</t>
  </si>
  <si>
    <t>Best price Slow motion 49</t>
  </si>
  <si>
    <t>Dumbum 49</t>
  </si>
  <si>
    <t>Signature range 50</t>
  </si>
  <si>
    <t>Best price-Frozen 64</t>
  </si>
  <si>
    <t>New identity series 50</t>
  </si>
  <si>
    <t>Best price-Frozen 150</t>
  </si>
  <si>
    <t>Wild Fireworks</t>
  </si>
  <si>
    <t>No Limit 49!</t>
  </si>
  <si>
    <t>Pyrotechnology 2020 253</t>
  </si>
  <si>
    <t>Brutal power</t>
  </si>
  <si>
    <t>City of Earth</t>
  </si>
  <si>
    <t>Signature range 175</t>
  </si>
  <si>
    <t>CZ,SK,DE,EN,PL,LT,EST</t>
  </si>
  <si>
    <t>Slevový systém na řádku 1194</t>
  </si>
  <si>
    <t>Discount system on line 1194</t>
  </si>
  <si>
    <t>Rabattsystem auf Linie 1194</t>
  </si>
  <si>
    <t>System rabatowy na linii 1194</t>
  </si>
  <si>
    <t>Hệ thống chiết khấu trên đường dây 1194</t>
  </si>
  <si>
    <t>Nuolaidų sistema 1194 linijoje</t>
  </si>
  <si>
    <t>Sustav popusta na liniji 1194</t>
  </si>
  <si>
    <t>Sistem popusta na liniji 1194</t>
  </si>
  <si>
    <t>Sistema di sconti sulla linea 1194</t>
  </si>
  <si>
    <t>Soodustussüsteem real 1194</t>
  </si>
  <si>
    <t>Kedvezményrendszer a 1194 -es vonalon</t>
  </si>
  <si>
    <t>Atlaižu sistēma 1194. rindā</t>
  </si>
  <si>
    <t>Shell 150mm brocade crown to blue to red strobe w/red strobe pistil</t>
  </si>
  <si>
    <t>New identity series 100/20mm /dummie</t>
  </si>
  <si>
    <t>Ghost  /dummie</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</si>
  <si>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</si>
  <si>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</si>
  <si>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</si>
  <si>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</si>
  <si>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</si>
  <si>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</si>
  <si>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</si>
  <si>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</si>
  <si>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</si>
  <si>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</si>
  <si>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</si>
  <si>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</si>
  <si>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</si>
  <si>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</si>
  <si>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</si>
  <si>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</si>
  <si>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</si>
  <si>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</si>
  <si>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</si>
  <si>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</si>
  <si>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</si>
  <si>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</si>
  <si>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</si>
  <si>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</si>
  <si>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</si>
  <si>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</si>
  <si>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</si>
  <si>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</si>
  <si>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</si>
  <si>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</si>
  <si>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</si>
  <si>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</si>
  <si>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</si>
  <si>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</si>
  <si>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</si>
  <si>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</si>
  <si>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</si>
  <si>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</si>
  <si>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</si>
  <si>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King fireworks 379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</si>
  <si>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</si>
  <si>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</si>
  <si>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</si>
  <si>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</si>
  <si>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</si>
  <si>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</si>
  <si>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</si>
  <si>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</si>
  <si>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</si>
  <si>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</si>
  <si>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</si>
  <si>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</si>
  <si>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</si>
  <si>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</si>
  <si>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</si>
  <si>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</si>
  <si>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</si>
  <si>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</si>
  <si>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</si>
  <si>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</si>
  <si>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</si>
  <si>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</si>
  <si>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</si>
  <si>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</si>
  <si>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Velká Británie</t>
  </si>
  <si>
    <t>€</t>
  </si>
  <si>
    <t>£</t>
  </si>
  <si>
    <t>Cena GBP</t>
  </si>
  <si>
    <t>Price in GBP</t>
  </si>
  <si>
    <t>Preis in GBP</t>
  </si>
  <si>
    <t>Giá GBP</t>
  </si>
  <si>
    <t>Kaina GBP</t>
  </si>
  <si>
    <t>Cijena u GBP</t>
  </si>
  <si>
    <t>Cena u GBP</t>
  </si>
  <si>
    <t>Ár GBP</t>
  </si>
  <si>
    <t>Prezzo in GBP</t>
  </si>
  <si>
    <t>hind GBP</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</si>
  <si>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</si>
  <si>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</si>
  <si>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</si>
  <si>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</si>
  <si>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</si>
  <si>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</si>
  <si>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</si>
  <si>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</si>
  <si>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</si>
  <si>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</si>
  <si>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</si>
  <si>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</si>
  <si>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</si>
  <si>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</si>
  <si>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</si>
  <si>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</si>
  <si>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</si>
  <si>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</si>
  <si>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</si>
  <si>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</si>
  <si>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</si>
  <si>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</si>
  <si>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</si>
  <si>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</si>
  <si>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</si>
  <si>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</si>
  <si>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</si>
  <si>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</si>
  <si>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</si>
  <si>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</si>
  <si>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</si>
  <si>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</si>
  <si>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</si>
  <si>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</si>
  <si>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</si>
  <si>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</si>
  <si>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</si>
  <si>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</si>
  <si>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</si>
  <si>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</si>
  <si>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Dumbum 30</t>
  </si>
  <si>
    <t>54/4</t>
  </si>
  <si>
    <t>Dumbum 50</t>
  </si>
  <si>
    <t>Dumbum 170</t>
  </si>
  <si>
    <t>21/3</t>
  </si>
  <si>
    <t>CZ,SK,PL,LT,D</t>
  </si>
  <si>
    <t>CZ, SK, PL, D</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</si>
  <si>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</si>
  <si>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</si>
  <si>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</si>
  <si>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</si>
  <si>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</si>
  <si>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</si>
  <si>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</si>
  <si>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</si>
  <si>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</si>
  <si>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</si>
  <si>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</si>
  <si>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</si>
  <si>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</si>
  <si>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Získejte bonus 2&amp;nbsp;000&amp;nbsp;Kč</t>
  </si>
  <si>
    <t>Získejte bonus 2 000 Kč</t>
  </si>
  <si>
    <t xml:space="preserve">Staňte se klientem </t>
  </si>
  <si>
    <t xml:space="preserve">2 000 Kč pro nové klienty </t>
  </si>
  <si>
    <t xml:space="preserve">Podnikáme udržitelně </t>
  </si>
  <si>
    <t>Nejlevněji nakoupíte vždy u nás = poskytujeme garanci nejlevnější ceny!</t>
  </si>
  <si>
    <t>Snížili jsme ceny všech porovnatelnych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</si>
  <si>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nakupu o další 3% levněji, než nabízí konkurence!</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</si>
  <si>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</si>
  <si>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</si>
  <si>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</si>
  <si>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</si>
  <si>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</si>
  <si>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</si>
  <si>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</si>
  <si>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</si>
  <si>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</si>
  <si>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</si>
  <si>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</si>
  <si>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</si>
  <si>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</si>
  <si>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</si>
  <si>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</si>
  <si>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</si>
  <si>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</si>
  <si>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</si>
  <si>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</si>
  <si>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</si>
  <si>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</si>
  <si>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</si>
  <si>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</si>
  <si>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</si>
  <si>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</si>
  <si>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</si>
  <si>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</si>
  <si>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</si>
  <si>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</si>
  <si>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</si>
  <si>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</si>
  <si>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</si>
  <si>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</si>
  <si>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</si>
  <si>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</si>
  <si>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</si>
  <si>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</si>
  <si>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</si>
  <si>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</si>
  <si>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</si>
  <si>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</si>
  <si>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</si>
  <si>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</si>
  <si>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</si>
  <si>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</si>
  <si>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</si>
  <si>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</si>
  <si>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Detail kurzu z 8. 3. 2024, 7:00</t>
  </si>
  <si>
    <t>KB 25,3700</t>
  </si>
  <si>
    <t>ČNB 25,3600</t>
  </si>
  <si>
    <t>Nakupujeme 24,4567</t>
  </si>
  <si>
    <t>Prodáváme 26,2833</t>
  </si>
  <si>
    <t>Nakupujeme 24,6089</t>
  </si>
  <si>
    <t>Prodáváme 26,1311</t>
  </si>
  <si>
    <t>KB 29,6882</t>
  </si>
  <si>
    <t>ČNB 29,6860</t>
  </si>
  <si>
    <t>Nakupujeme 28,6194</t>
  </si>
  <si>
    <t>Prodáváme 30,7570</t>
  </si>
  <si>
    <t>Nakupujeme 28,7976</t>
  </si>
  <si>
    <t>Prodáváme 30,5788</t>
  </si>
  <si>
    <t>120/12</t>
  </si>
  <si>
    <t>ver.08.03.2024-v.3.3-dbF4-BBP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</si>
</sst>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36">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u/>
      <sz val="8"/>
      <color theme="1"/>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u/>
      <sz val="10"/>
      <color indexed="12"/>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u/>
      <sz val="10"/>
      <color theme="9" tint="-0.249977111117893"/>
      <name val="Arial"/>
      <family val="2"/>
      <charset val="238"/>
    </font>
    <font>
      <sz val="11"/>
      <color theme="1"/>
      <name val="Webdings"/>
      <family val="1"/>
      <charset val="2"/>
    </font>
    <font>
      <b/>
      <sz val="8"/>
      <color theme="0"/>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s>
  <fills count="58">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gradientFill degree="18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gradientFill type="path" left="0.5" right="0.5" top="0.5" bottom="0.5">
        <stop position="0">
          <color theme="0"/>
        </stop>
        <stop position="1">
          <color theme="0" tint="-0.34900967436750391"/>
        </stop>
      </gradientFill>
    </fill>
    <fill>
      <patternFill patternType="solid">
        <fgColor rgb="FFFFFF00"/>
        <bgColor rgb="FFFFFF00"/>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patternFill patternType="solid">
        <fgColor theme="1"/>
        <bgColor theme="9" tint="0.79998168889431442"/>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2" tint="-0.74901577806939912"/>
        <bgColor indexed="64"/>
      </patternFill>
    </fill>
  </fills>
  <borders count="19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ck">
        <color rgb="FFE95721"/>
      </left>
      <right style="thick">
        <color rgb="FFE95721"/>
      </right>
      <top style="thick">
        <color rgb="FFE95721"/>
      </top>
      <bottom style="thick">
        <color rgb="FFE95721"/>
      </bottom>
      <diagonal/>
    </border>
    <border>
      <left style="thin">
        <color indexed="64"/>
      </left>
      <right style="thin">
        <color indexed="64"/>
      </right>
      <top/>
      <bottom style="double">
        <color indexed="64"/>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double">
        <color indexed="64"/>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indexed="64"/>
      </left>
      <right/>
      <top style="thin">
        <color theme="9" tint="0.39997558519241921"/>
      </top>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indexed="64"/>
      </left>
      <right/>
      <top style="thin">
        <color indexed="64"/>
      </top>
      <bottom style="double">
        <color indexed="64"/>
      </bottom>
      <diagonal/>
    </border>
    <border>
      <left style="thin">
        <color indexed="64"/>
      </left>
      <right style="thin">
        <color indexed="64"/>
      </right>
      <top style="double">
        <color theme="2" tint="-0.749961851863155"/>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9"/>
      </left>
      <right/>
      <top style="thin">
        <color theme="9"/>
      </top>
      <bottom/>
      <diagonal/>
    </border>
    <border>
      <left style="thin">
        <color theme="9"/>
      </left>
      <right/>
      <top style="double">
        <color indexed="64"/>
      </top>
      <bottom/>
      <diagonal/>
    </border>
    <border>
      <left style="thin">
        <color theme="9"/>
      </left>
      <right/>
      <top style="thin">
        <color theme="9" tint="0.39997558519241921"/>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indexed="64"/>
      </top>
      <bottom style="thin">
        <color indexed="64"/>
      </bottom>
      <diagonal/>
    </border>
    <border>
      <left style="thick">
        <color rgb="FF8E8E8E"/>
      </left>
      <right/>
      <top style="thin">
        <color theme="1"/>
      </top>
      <bottom style="thin">
        <color theme="1"/>
      </bottom>
      <diagonal/>
    </border>
    <border>
      <left style="thick">
        <color rgb="FF8E8E8E"/>
      </left>
      <right/>
      <top style="thick">
        <color rgb="FF8E8E8E"/>
      </top>
      <bottom style="thin">
        <color theme="1"/>
      </bottom>
      <diagonal/>
    </border>
    <border>
      <left/>
      <right style="thick">
        <color rgb="FF8E8E8E"/>
      </right>
      <top style="thick">
        <color rgb="FF8E8E8E"/>
      </top>
      <bottom style="thin">
        <color theme="1"/>
      </bottom>
      <diagonal/>
    </border>
    <border>
      <left/>
      <right style="thick">
        <color rgb="FF8E8E8E"/>
      </right>
      <top style="thin">
        <color theme="1"/>
      </top>
      <bottom style="thin">
        <color theme="1"/>
      </bottom>
      <diagonal/>
    </border>
    <border>
      <left style="thick">
        <color rgb="FF8E8E8E"/>
      </left>
      <right/>
      <top style="thin">
        <color theme="1"/>
      </top>
      <bottom style="thick">
        <color rgb="FF8E8E8E"/>
      </bottom>
      <diagonal/>
    </border>
    <border>
      <left/>
      <right style="thick">
        <color rgb="FF8E8E8E"/>
      </right>
      <top style="thin">
        <color theme="1"/>
      </top>
      <bottom style="thick">
        <color rgb="FF8E8E8E"/>
      </bottom>
      <diagonal/>
    </border>
    <border>
      <left/>
      <right/>
      <top style="thick">
        <color rgb="FF8E8E8E"/>
      </top>
      <bottom style="thin">
        <color theme="1"/>
      </bottom>
      <diagonal/>
    </border>
    <border>
      <left/>
      <right/>
      <top style="thin">
        <color theme="1"/>
      </top>
      <bottom style="thin">
        <color theme="1"/>
      </bottom>
      <diagonal/>
    </border>
    <border>
      <left/>
      <right/>
      <top style="thin">
        <color theme="1"/>
      </top>
      <bottom style="thick">
        <color rgb="FF8E8E8E"/>
      </bottom>
      <diagonal/>
    </border>
    <border>
      <left style="double">
        <color indexed="64"/>
      </left>
      <right/>
      <top style="thin">
        <color indexed="64"/>
      </top>
      <bottom style="thin">
        <color indexed="64"/>
      </bottom>
      <diagonal/>
    </border>
    <border>
      <left style="hair">
        <color auto="1"/>
      </left>
      <right style="double">
        <color auto="1"/>
      </right>
      <top style="thin">
        <color auto="1"/>
      </top>
      <bottom style="thin">
        <color auto="1"/>
      </bottom>
      <diagonal/>
    </border>
    <border>
      <left style="thick">
        <color auto="1"/>
      </left>
      <right style="hair">
        <color auto="1"/>
      </right>
      <top style="thick">
        <color auto="1"/>
      </top>
      <bottom/>
      <diagonal/>
    </border>
    <border>
      <left style="hair">
        <color auto="1"/>
      </left>
      <right/>
      <top style="thick">
        <color auto="1"/>
      </top>
      <bottom/>
      <diagonal/>
    </border>
    <border>
      <left style="double">
        <color auto="1"/>
      </left>
      <right style="hair">
        <color auto="1"/>
      </right>
      <top style="thick">
        <color auto="1"/>
      </top>
      <bottom/>
      <diagonal/>
    </border>
    <border>
      <left style="hair">
        <color auto="1"/>
      </left>
      <right style="thick">
        <color auto="1"/>
      </right>
      <top style="thick">
        <color auto="1"/>
      </top>
      <bottom/>
      <diagonal/>
    </border>
    <border>
      <left style="thick">
        <color auto="1"/>
      </left>
      <right/>
      <top style="thin">
        <color indexed="64"/>
      </top>
      <bottom style="thin">
        <color indexed="64"/>
      </bottom>
      <diagonal/>
    </border>
    <border>
      <left style="hair">
        <color auto="1"/>
      </left>
      <right style="thick">
        <color auto="1"/>
      </right>
      <top style="thin">
        <color auto="1"/>
      </top>
      <bottom style="thin">
        <color auto="1"/>
      </bottom>
      <diagonal/>
    </border>
    <border>
      <left style="thick">
        <color auto="1"/>
      </left>
      <right/>
      <top style="thin">
        <color auto="1"/>
      </top>
      <bottom style="thick">
        <color auto="1"/>
      </bottom>
      <diagonal/>
    </border>
    <border>
      <left style="hair">
        <color auto="1"/>
      </left>
      <right style="double">
        <color auto="1"/>
      </right>
      <top style="thin">
        <color auto="1"/>
      </top>
      <bottom style="thick">
        <color auto="1"/>
      </bottom>
      <diagonal/>
    </border>
    <border>
      <left style="double">
        <color auto="1"/>
      </left>
      <right/>
      <top style="thin">
        <color auto="1"/>
      </top>
      <bottom style="thick">
        <color auto="1"/>
      </bottom>
      <diagonal/>
    </border>
    <border>
      <left style="hair">
        <color auto="1"/>
      </left>
      <right style="thick">
        <color auto="1"/>
      </right>
      <top style="thin">
        <color auto="1"/>
      </top>
      <bottom style="thick">
        <color auto="1"/>
      </bottom>
      <diagonal/>
    </border>
    <border>
      <left style="hair">
        <color auto="1"/>
      </left>
      <right/>
      <top style="thin">
        <color auto="1"/>
      </top>
      <bottom style="thin">
        <color auto="1"/>
      </bottom>
      <diagonal/>
    </border>
    <border>
      <left style="hair">
        <color auto="1"/>
      </left>
      <right/>
      <top style="thin">
        <color auto="1"/>
      </top>
      <bottom style="thick">
        <color auto="1"/>
      </bottom>
      <diagonal/>
    </border>
    <border>
      <left/>
      <right style="hair">
        <color auto="1"/>
      </right>
      <top style="thick">
        <color auto="1"/>
      </top>
      <bottom/>
      <diagonal/>
    </border>
    <border>
      <left/>
      <right/>
      <top style="thin">
        <color auto="1"/>
      </top>
      <bottom style="thick">
        <color auto="1"/>
      </bottom>
      <diagonal/>
    </border>
    <border>
      <left style="hair">
        <color auto="1"/>
      </left>
      <right style="double">
        <color auto="1"/>
      </right>
      <top style="thick">
        <color auto="1"/>
      </top>
      <bottom/>
      <diagonal/>
    </border>
    <border>
      <left/>
      <right style="double">
        <color auto="1"/>
      </right>
      <top style="double">
        <color auto="1"/>
      </top>
      <bottom style="double">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indexed="64"/>
      </bottom>
      <diagonal/>
    </border>
    <border>
      <left/>
      <right style="double">
        <color auto="1"/>
      </right>
      <top/>
      <bottom style="double">
        <color indexed="64"/>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style="double">
        <color indexed="64"/>
      </left>
      <right/>
      <top/>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9"/>
      </left>
      <right/>
      <top style="thin">
        <color auto="1"/>
      </top>
      <bottom/>
      <diagonal/>
    </border>
    <border>
      <left style="thin">
        <color theme="0" tint="-0.14996795556505021"/>
      </left>
      <right/>
      <top style="thin">
        <color indexed="64"/>
      </top>
      <bottom/>
      <diagonal/>
    </border>
    <border>
      <left style="thin">
        <color theme="0" tint="-0.14996795556505021"/>
      </left>
      <right/>
      <top style="thin">
        <color theme="9"/>
      </top>
      <bottom/>
      <diagonal/>
    </border>
    <border>
      <left style="thin">
        <color auto="1"/>
      </left>
      <right/>
      <top style="thin">
        <color theme="9"/>
      </top>
      <bottom/>
      <diagonal/>
    </border>
    <border>
      <left style="thin">
        <color theme="9"/>
      </left>
      <right/>
      <top style="thin">
        <color theme="1"/>
      </top>
      <bottom/>
      <diagonal/>
    </border>
    <border>
      <left style="thin">
        <color theme="0" tint="-0.14996795556505021"/>
      </left>
      <right/>
      <top style="thin">
        <color theme="1"/>
      </top>
      <bottom/>
      <diagonal/>
    </border>
    <border>
      <left style="thin">
        <color indexed="64"/>
      </left>
      <right/>
      <top style="thin">
        <color theme="1"/>
      </top>
      <bottom/>
      <diagonal/>
    </border>
    <border>
      <left/>
      <right/>
      <top style="thin">
        <color theme="9"/>
      </top>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2">
      <alignment vertical="top" wrapText="1"/>
    </xf>
    <xf numFmtId="0" fontId="7" fillId="3" borderId="12">
      <alignment vertical="top" wrapText="1"/>
    </xf>
    <xf numFmtId="0" fontId="7" fillId="4" borderId="12">
      <alignment vertical="top" wrapText="1"/>
    </xf>
    <xf numFmtId="0" fontId="7" fillId="5" borderId="12">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979">
    <xf numFmtId="0" fontId="0" fillId="0" borderId="0" xfId="0"/>
    <xf numFmtId="0" fontId="0" fillId="0" borderId="1" xfId="0" applyBorder="1"/>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10" xfId="0" applyFont="1" applyFill="1" applyBorder="1" applyAlignment="1">
      <alignment horizontal="center" vertical="center" shrinkToFit="1"/>
    </xf>
    <xf numFmtId="0" fontId="17" fillId="7" borderId="11"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1" xfId="0" applyFont="1" applyBorder="1"/>
    <xf numFmtId="0" fontId="86" fillId="0" borderId="1" xfId="0" applyFont="1" applyBorder="1" applyAlignment="1">
      <alignment horizontal="left"/>
    </xf>
    <xf numFmtId="0" fontId="91" fillId="0" borderId="1" xfId="0" applyFont="1" applyBorder="1"/>
    <xf numFmtId="0" fontId="86" fillId="0" borderId="4" xfId="0" applyFont="1" applyBorder="1" applyAlignment="1">
      <alignment horizontal="left"/>
    </xf>
    <xf numFmtId="0" fontId="86" fillId="0" borderId="6" xfId="0" applyFont="1" applyBorder="1" applyAlignment="1">
      <alignment shrinkToFit="1"/>
    </xf>
    <xf numFmtId="0" fontId="86" fillId="0" borderId="6" xfId="0" applyFont="1" applyBorder="1" applyAlignment="1">
      <alignment horizontal="center" shrinkToFit="1"/>
    </xf>
    <xf numFmtId="0" fontId="86" fillId="0" borderId="11" xfId="0" applyFont="1" applyBorder="1" applyAlignment="1">
      <alignment horizontal="center" shrinkToFit="1"/>
    </xf>
    <xf numFmtId="0" fontId="86" fillId="0" borderId="54" xfId="0" applyFont="1" applyBorder="1" applyAlignment="1">
      <alignment shrinkToFit="1"/>
    </xf>
    <xf numFmtId="0" fontId="86" fillId="0" borderId="55" xfId="0" applyFont="1" applyBorder="1" applyAlignment="1">
      <alignment shrinkToFit="1"/>
    </xf>
    <xf numFmtId="0" fontId="86" fillId="0" borderId="55" xfId="0" applyFont="1" applyBorder="1" applyAlignment="1">
      <alignment horizontal="center" shrinkToFit="1"/>
    </xf>
    <xf numFmtId="0" fontId="68" fillId="0" borderId="55" xfId="0" applyFont="1" applyBorder="1" applyAlignment="1">
      <alignment horizontal="center" shrinkToFit="1"/>
    </xf>
    <xf numFmtId="166" fontId="68" fillId="0" borderId="55" xfId="15" applyFont="1" applyBorder="1" applyAlignment="1">
      <alignment horizontal="center" shrinkToFit="1"/>
    </xf>
    <xf numFmtId="0" fontId="86" fillId="0" borderId="55" xfId="0" applyFont="1" applyBorder="1" applyAlignment="1">
      <alignment horizontal="center"/>
    </xf>
    <xf numFmtId="0" fontId="86" fillId="0" borderId="56" xfId="0" applyFont="1" applyBorder="1" applyAlignment="1">
      <alignment horizontal="center" shrinkToFit="1"/>
    </xf>
    <xf numFmtId="0" fontId="68" fillId="0" borderId="57" xfId="0" applyFont="1" applyBorder="1" applyAlignment="1">
      <alignment shrinkToFit="1"/>
    </xf>
    <xf numFmtId="0" fontId="68" fillId="0" borderId="58" xfId="0" applyFont="1" applyBorder="1" applyAlignment="1">
      <alignment shrinkToFit="1"/>
    </xf>
    <xf numFmtId="0" fontId="86" fillId="0" borderId="58" xfId="0" applyFont="1" applyBorder="1" applyAlignment="1">
      <alignment horizontal="center" shrinkToFit="1"/>
    </xf>
    <xf numFmtId="0" fontId="68" fillId="0" borderId="58" xfId="0" applyFont="1" applyBorder="1" applyAlignment="1">
      <alignment horizontal="center" shrinkToFit="1"/>
    </xf>
    <xf numFmtId="166" fontId="68" fillId="0" borderId="58" xfId="15" applyFont="1" applyBorder="1" applyAlignment="1">
      <alignment horizontal="center" shrinkToFit="1"/>
    </xf>
    <xf numFmtId="0" fontId="86" fillId="0" borderId="58" xfId="0" applyFont="1" applyBorder="1" applyAlignment="1">
      <alignment horizontal="center"/>
    </xf>
    <xf numFmtId="0" fontId="86" fillId="0" borderId="59" xfId="0" applyFont="1" applyBorder="1" applyAlignment="1">
      <alignment horizontal="center" shrinkToFit="1"/>
    </xf>
    <xf numFmtId="0" fontId="0" fillId="0" borderId="58" xfId="0" applyBorder="1"/>
    <xf numFmtId="0" fontId="0" fillId="0" borderId="59" xfId="0" applyBorder="1"/>
    <xf numFmtId="0" fontId="87" fillId="0" borderId="60" xfId="0" applyFont="1" applyBorder="1" applyAlignment="1">
      <alignment horizontal="center" shrinkToFit="1"/>
    </xf>
    <xf numFmtId="0" fontId="87" fillId="0" borderId="61" xfId="0" applyFont="1" applyBorder="1" applyAlignment="1">
      <alignment horizontal="center" shrinkToFit="1"/>
    </xf>
    <xf numFmtId="0" fontId="86" fillId="0" borderId="61" xfId="0" applyFont="1" applyBorder="1" applyAlignment="1">
      <alignment horizontal="center" shrinkToFit="1"/>
    </xf>
    <xf numFmtId="0" fontId="0" fillId="0" borderId="61" xfId="0" applyBorder="1"/>
    <xf numFmtId="0" fontId="86" fillId="0" borderId="62" xfId="0" applyFont="1" applyBorder="1" applyAlignment="1">
      <alignment horizontal="center" shrinkToFit="1"/>
    </xf>
    <xf numFmtId="0" fontId="92" fillId="15" borderId="43" xfId="0" applyFont="1" applyFill="1" applyBorder="1" applyAlignment="1">
      <alignment horizontal="center"/>
    </xf>
    <xf numFmtId="0" fontId="93" fillId="15" borderId="43" xfId="0" applyFont="1" applyFill="1" applyBorder="1" applyAlignment="1">
      <alignment horizontal="center"/>
    </xf>
    <xf numFmtId="0" fontId="17" fillId="7" borderId="9" xfId="0" applyFont="1" applyFill="1" applyBorder="1" applyAlignment="1">
      <alignment horizontal="center" vertical="center" shrinkToFit="1"/>
    </xf>
    <xf numFmtId="0" fontId="17" fillId="6" borderId="1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6" xfId="0" applyBorder="1" applyAlignment="1">
      <alignment horizontal="center"/>
    </xf>
    <xf numFmtId="0" fontId="0" fillId="9" borderId="66" xfId="0" applyFill="1" applyBorder="1" applyAlignment="1">
      <alignment horizontal="center"/>
    </xf>
    <xf numFmtId="0" fontId="0" fillId="0" borderId="13" xfId="0" applyBorder="1" applyAlignment="1">
      <alignment horizontal="center" shrinkToFit="1"/>
    </xf>
    <xf numFmtId="0" fontId="0" fillId="0" borderId="7" xfId="0" applyBorder="1" applyAlignment="1">
      <alignment horizontal="center" shrinkToFit="1"/>
    </xf>
    <xf numFmtId="0" fontId="0" fillId="0" borderId="15" xfId="0" applyBorder="1" applyAlignment="1">
      <alignment horizontal="center" shrinkToFit="1"/>
    </xf>
    <xf numFmtId="0" fontId="0" fillId="9" borderId="67" xfId="0" applyFill="1" applyBorder="1" applyAlignment="1">
      <alignment horizontal="center" shrinkToFit="1"/>
    </xf>
    <xf numFmtId="0" fontId="0" fillId="9" borderId="68" xfId="0" applyFill="1" applyBorder="1" applyAlignment="1">
      <alignment horizontal="center" shrinkToFit="1"/>
    </xf>
    <xf numFmtId="0" fontId="74" fillId="9" borderId="67" xfId="0" applyFont="1" applyFill="1" applyBorder="1" applyAlignment="1">
      <alignment horizontal="center" shrinkToFit="1"/>
    </xf>
    <xf numFmtId="0" fontId="0" fillId="0" borderId="9" xfId="0" applyBorder="1" applyAlignment="1">
      <alignment horizontal="center" shrinkToFit="1"/>
    </xf>
    <xf numFmtId="0" fontId="0" fillId="7" borderId="75" xfId="0" applyFill="1" applyBorder="1" applyAlignment="1">
      <alignment horizontal="center" shrinkToFit="1"/>
    </xf>
    <xf numFmtId="0" fontId="0" fillId="7" borderId="76" xfId="0" applyFill="1" applyBorder="1" applyAlignment="1">
      <alignment horizontal="center" shrinkToFit="1"/>
    </xf>
    <xf numFmtId="0" fontId="0" fillId="7" borderId="79" xfId="0" applyFill="1" applyBorder="1" applyAlignment="1">
      <alignment horizontal="center" shrinkToFit="1"/>
    </xf>
    <xf numFmtId="0" fontId="0" fillId="7" borderId="80" xfId="0" applyFill="1" applyBorder="1" applyAlignment="1">
      <alignment horizontal="center" shrinkToFit="1"/>
    </xf>
    <xf numFmtId="0" fontId="0" fillId="0" borderId="52" xfId="0" applyBorder="1" applyAlignment="1">
      <alignment horizontal="center" shrinkToFit="1"/>
    </xf>
    <xf numFmtId="0" fontId="0" fillId="0" borderId="52" xfId="0" applyBorder="1" applyAlignment="1">
      <alignment horizontal="center"/>
    </xf>
    <xf numFmtId="0" fontId="0" fillId="0" borderId="72" xfId="0" applyBorder="1" applyAlignment="1">
      <alignment horizontal="center"/>
    </xf>
    <xf numFmtId="0" fontId="0" fillId="0" borderId="87" xfId="0" applyBorder="1" applyAlignment="1">
      <alignment horizontal="center" shrinkToFit="1"/>
    </xf>
    <xf numFmtId="0" fontId="0" fillId="7" borderId="15" xfId="0" applyFill="1" applyBorder="1"/>
    <xf numFmtId="0" fontId="17" fillId="7" borderId="0" xfId="0" applyFont="1" applyFill="1" applyAlignment="1">
      <alignment horizontal="center" vertical="center" shrinkToFit="1"/>
    </xf>
    <xf numFmtId="0" fontId="0" fillId="7" borderId="66" xfId="0" applyFill="1" applyBorder="1" applyAlignment="1">
      <alignment horizontal="center"/>
    </xf>
    <xf numFmtId="0" fontId="74" fillId="7" borderId="72"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81" xfId="0" applyFont="1" applyFill="1" applyBorder="1" applyAlignment="1">
      <alignment horizontal="center" shrinkToFit="1"/>
    </xf>
    <xf numFmtId="0" fontId="8" fillId="7" borderId="81" xfId="0" applyFont="1" applyFill="1" applyBorder="1" applyAlignment="1">
      <alignment horizontal="center" shrinkToFit="1"/>
    </xf>
    <xf numFmtId="0" fontId="0" fillId="16" borderId="81" xfId="0" applyFill="1" applyBorder="1" applyAlignment="1">
      <alignment horizontal="center"/>
    </xf>
    <xf numFmtId="0" fontId="0" fillId="7" borderId="81" xfId="0" applyFill="1" applyBorder="1" applyAlignment="1">
      <alignment horizontal="center"/>
    </xf>
    <xf numFmtId="0" fontId="74" fillId="7" borderId="71" xfId="0" applyFont="1" applyFill="1" applyBorder="1" applyAlignment="1">
      <alignment horizontal="center" shrinkToFit="1"/>
    </xf>
    <xf numFmtId="0" fontId="17" fillId="6" borderId="88" xfId="0" applyFont="1" applyFill="1" applyBorder="1" applyAlignment="1">
      <alignment horizontal="center" vertical="center" shrinkToFit="1"/>
    </xf>
    <xf numFmtId="0" fontId="17" fillId="6" borderId="89" xfId="0" applyFont="1" applyFill="1" applyBorder="1" applyAlignment="1">
      <alignment horizontal="center" vertical="center" shrinkToFit="1"/>
    </xf>
    <xf numFmtId="0" fontId="0" fillId="7" borderId="1" xfId="0" applyFill="1" applyBorder="1"/>
    <xf numFmtId="0" fontId="0" fillId="7" borderId="74" xfId="0" applyFill="1" applyBorder="1" applyAlignment="1">
      <alignment horizontal="center" shrinkToFit="1"/>
    </xf>
    <xf numFmtId="0" fontId="0" fillId="7" borderId="78" xfId="0" applyFill="1" applyBorder="1" applyAlignment="1">
      <alignment horizontal="center" shrinkToFit="1"/>
    </xf>
    <xf numFmtId="0" fontId="0" fillId="7" borderId="90" xfId="0" applyFill="1" applyBorder="1" applyAlignment="1">
      <alignment shrinkToFit="1"/>
    </xf>
    <xf numFmtId="0" fontId="0" fillId="7" borderId="82"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91" xfId="0" applyFill="1" applyBorder="1" applyAlignment="1">
      <alignment shrinkToFit="1"/>
    </xf>
    <xf numFmtId="0" fontId="0" fillId="7" borderId="14" xfId="0" applyFill="1" applyBorder="1" applyAlignment="1">
      <alignment shrinkToFit="1"/>
    </xf>
    <xf numFmtId="0" fontId="0" fillId="7" borderId="92" xfId="0" applyFill="1" applyBorder="1" applyAlignment="1">
      <alignment shrinkToFit="1"/>
    </xf>
    <xf numFmtId="0" fontId="0" fillId="0" borderId="6" xfId="0" applyBorder="1"/>
    <xf numFmtId="0" fontId="0" fillId="14" borderId="0" xfId="0" applyFill="1"/>
    <xf numFmtId="0" fontId="93" fillId="7" borderId="43" xfId="0" applyFont="1" applyFill="1" applyBorder="1" applyAlignment="1">
      <alignment horizontal="center"/>
    </xf>
    <xf numFmtId="0" fontId="0" fillId="7" borderId="87" xfId="0" applyFill="1" applyBorder="1" applyAlignment="1">
      <alignment horizontal="center" shrinkToFit="1"/>
    </xf>
    <xf numFmtId="0" fontId="0" fillId="7" borderId="52" xfId="0" applyFill="1" applyBorder="1" applyAlignment="1">
      <alignment horizontal="center" shrinkToFit="1"/>
    </xf>
    <xf numFmtId="0" fontId="0" fillId="7" borderId="72" xfId="0" applyFill="1" applyBorder="1" applyAlignment="1">
      <alignment horizontal="center" shrinkToFit="1"/>
    </xf>
    <xf numFmtId="0" fontId="0" fillId="7" borderId="103" xfId="0" applyFill="1" applyBorder="1" applyAlignment="1">
      <alignment horizontal="center" shrinkToFit="1"/>
    </xf>
    <xf numFmtId="0" fontId="0" fillId="7" borderId="104" xfId="0" applyFill="1" applyBorder="1" applyAlignment="1">
      <alignment horizontal="center" shrinkToFit="1"/>
    </xf>
    <xf numFmtId="0" fontId="0" fillId="7" borderId="105" xfId="0" applyFill="1" applyBorder="1" applyAlignment="1">
      <alignment horizontal="center" shrinkToFit="1"/>
    </xf>
    <xf numFmtId="0" fontId="0" fillId="0" borderId="97"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6" fillId="0" borderId="5" xfId="0" applyFont="1" applyBorder="1" applyAlignment="1">
      <alignment horizontal="left"/>
    </xf>
    <xf numFmtId="0" fontId="86" fillId="0" borderId="11" xfId="0" applyFont="1" applyBorder="1" applyAlignment="1">
      <alignment horizontal="left"/>
    </xf>
    <xf numFmtId="0" fontId="86" fillId="0" borderId="6" xfId="0" applyFont="1" applyBorder="1" applyAlignment="1">
      <alignment horizontal="left"/>
    </xf>
    <xf numFmtId="0" fontId="86" fillId="0" borderId="6" xfId="0" applyFont="1" applyBorder="1"/>
    <xf numFmtId="0" fontId="88" fillId="0" borderId="113" xfId="0" applyFont="1" applyBorder="1" applyAlignment="1">
      <alignment horizontal="center"/>
    </xf>
    <xf numFmtId="0" fontId="88" fillId="0" borderId="113" xfId="149" applyFont="1" applyBorder="1" applyAlignment="1">
      <alignment horizontal="center"/>
    </xf>
    <xf numFmtId="0" fontId="74" fillId="0" borderId="113" xfId="0" applyFont="1" applyBorder="1" applyAlignment="1">
      <alignment horizontal="center"/>
    </xf>
    <xf numFmtId="0" fontId="0" fillId="9" borderId="114" xfId="0" applyFill="1" applyBorder="1" applyAlignment="1">
      <alignment horizontal="center"/>
    </xf>
    <xf numFmtId="0" fontId="86" fillId="0" borderId="114" xfId="0" applyFont="1" applyBorder="1" applyAlignment="1">
      <alignment horizontal="center"/>
    </xf>
    <xf numFmtId="0" fontId="91" fillId="0" borderId="114" xfId="0" applyFont="1" applyBorder="1" applyAlignment="1">
      <alignment horizontal="center"/>
    </xf>
    <xf numFmtId="0" fontId="0" fillId="0" borderId="114" xfId="0" applyBorder="1" applyAlignment="1">
      <alignment horizontal="center"/>
    </xf>
    <xf numFmtId="0" fontId="87" fillId="0" borderId="115" xfId="0" applyFont="1" applyBorder="1" applyAlignment="1">
      <alignment horizontal="center"/>
    </xf>
    <xf numFmtId="0" fontId="74" fillId="0" borderId="115"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14"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20" xfId="0" applyNumberFormat="1" applyFont="1" applyFill="1" applyBorder="1" applyAlignment="1">
      <alignment horizontal="center" vertical="center" shrinkToFit="1"/>
    </xf>
    <xf numFmtId="0" fontId="11" fillId="0" borderId="121" xfId="0" applyFont="1" applyBorder="1" applyAlignment="1">
      <alignment horizontal="left" vertical="center" shrinkToFit="1"/>
    </xf>
    <xf numFmtId="0" fontId="11" fillId="0" borderId="122" xfId="0" applyFont="1" applyBorder="1" applyAlignment="1">
      <alignment horizontal="left" vertical="center" shrinkToFit="1"/>
    </xf>
    <xf numFmtId="0" fontId="14" fillId="0" borderId="122" xfId="0" applyFont="1" applyBorder="1" applyAlignment="1">
      <alignment horizontal="left" vertical="center" shrinkToFit="1"/>
    </xf>
    <xf numFmtId="0" fontId="0" fillId="0" borderId="122" xfId="0" applyBorder="1" applyAlignment="1">
      <alignment horizontal="left" shrinkToFit="1"/>
    </xf>
    <xf numFmtId="0" fontId="0" fillId="0" borderId="123" xfId="0" applyBorder="1" applyAlignment="1">
      <alignment horizontal="left" shrinkToFit="1"/>
    </xf>
    <xf numFmtId="0" fontId="11" fillId="0" borderId="124" xfId="0" applyFont="1" applyBorder="1" applyAlignment="1">
      <alignment horizontal="left" vertical="center" shrinkToFit="1"/>
    </xf>
    <xf numFmtId="0" fontId="11" fillId="0" borderId="125" xfId="0" applyFont="1" applyBorder="1" applyAlignment="1">
      <alignment horizontal="left" vertical="center" shrinkToFit="1"/>
    </xf>
    <xf numFmtId="0" fontId="11" fillId="0" borderId="126" xfId="0" applyFont="1" applyBorder="1" applyAlignment="1">
      <alignment horizontal="left" vertical="center" shrinkToFit="1"/>
    </xf>
    <xf numFmtId="0" fontId="11" fillId="0" borderId="126" xfId="0" applyFont="1" applyBorder="1" applyAlignment="1">
      <alignment horizontal="left" shrinkToFit="1"/>
    </xf>
    <xf numFmtId="0" fontId="14" fillId="0" borderId="126" xfId="0" applyFont="1" applyBorder="1" applyAlignment="1">
      <alignment horizontal="left" vertical="center" shrinkToFit="1"/>
    </xf>
    <xf numFmtId="0" fontId="0" fillId="0" borderId="126" xfId="0" applyBorder="1" applyAlignment="1">
      <alignment horizontal="left" shrinkToFit="1"/>
    </xf>
    <xf numFmtId="0" fontId="0" fillId="9" borderId="0" xfId="0" applyFill="1"/>
    <xf numFmtId="0" fontId="0" fillId="7" borderId="3" xfId="0" applyFill="1" applyBorder="1"/>
    <xf numFmtId="0" fontId="70" fillId="0" borderId="9" xfId="0" applyFont="1" applyBorder="1"/>
    <xf numFmtId="0" fontId="45" fillId="7" borderId="9" xfId="0" applyFont="1" applyFill="1" applyBorder="1"/>
    <xf numFmtId="0" fontId="70" fillId="0" borderId="15" xfId="0" applyFont="1" applyBorder="1"/>
    <xf numFmtId="0" fontId="102" fillId="0" borderId="15" xfId="0" applyFont="1" applyBorder="1" applyAlignment="1">
      <alignment shrinkToFit="1"/>
    </xf>
    <xf numFmtId="0" fontId="101" fillId="0" borderId="15" xfId="0" applyFont="1" applyBorder="1"/>
    <xf numFmtId="0" fontId="102" fillId="0" borderId="15" xfId="0" applyFont="1" applyBorder="1" applyAlignment="1">
      <alignment vertical="center" shrinkToFit="1"/>
    </xf>
    <xf numFmtId="0" fontId="45" fillId="0" borderId="15" xfId="0" applyFont="1" applyBorder="1"/>
    <xf numFmtId="0" fontId="81" fillId="0" borderId="0" xfId="0" applyFont="1" applyAlignment="1">
      <alignment shrinkToFit="1"/>
    </xf>
    <xf numFmtId="0" fontId="70" fillId="7" borderId="9" xfId="0" applyFont="1" applyFill="1" applyBorder="1"/>
    <xf numFmtId="0" fontId="70" fillId="7" borderId="11"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15" xfId="0" applyFont="1" applyFill="1" applyBorder="1"/>
    <xf numFmtId="0" fontId="70" fillId="9" borderId="0" xfId="0" applyFont="1" applyFill="1"/>
    <xf numFmtId="0" fontId="106" fillId="0" borderId="127" xfId="0" applyFont="1" applyBorder="1" applyAlignment="1">
      <alignment horizontal="center" vertical="center"/>
    </xf>
    <xf numFmtId="0" fontId="11" fillId="0" borderId="122" xfId="0" applyFont="1" applyBorder="1" applyAlignment="1">
      <alignment horizontal="left" wrapText="1" shrinkToFit="1"/>
    </xf>
    <xf numFmtId="0" fontId="0" fillId="27" borderId="0" xfId="0" applyFill="1"/>
    <xf numFmtId="0" fontId="86" fillId="0" borderId="9" xfId="0" applyFont="1" applyBorder="1" applyAlignment="1">
      <alignment horizontal="left"/>
    </xf>
    <xf numFmtId="0" fontId="86" fillId="0" borderId="119" xfId="0" applyFont="1" applyBorder="1" applyAlignment="1">
      <alignment shrinkToFit="1"/>
    </xf>
    <xf numFmtId="0" fontId="86" fillId="8" borderId="119" xfId="0" applyFont="1" applyFill="1" applyBorder="1" applyAlignment="1">
      <alignment shrinkToFit="1"/>
    </xf>
    <xf numFmtId="0" fontId="86" fillId="13" borderId="119" xfId="0" applyFont="1" applyFill="1" applyBorder="1" applyAlignment="1">
      <alignment shrinkToFit="1"/>
    </xf>
    <xf numFmtId="0" fontId="0" fillId="0" borderId="119" xfId="0" applyBorder="1"/>
    <xf numFmtId="0" fontId="68" fillId="8" borderId="119" xfId="0" applyFont="1" applyFill="1" applyBorder="1" applyAlignment="1">
      <alignment shrinkToFit="1"/>
    </xf>
    <xf numFmtId="0" fontId="91" fillId="13" borderId="119" xfId="0" applyFont="1" applyFill="1" applyBorder="1" applyAlignment="1">
      <alignment vertical="center"/>
    </xf>
    <xf numFmtId="0" fontId="91" fillId="0" borderId="119" xfId="0" applyFont="1" applyBorder="1" applyAlignment="1">
      <alignment vertical="center"/>
    </xf>
    <xf numFmtId="0" fontId="86" fillId="9" borderId="119" xfId="0" applyFont="1" applyFill="1" applyBorder="1" applyAlignment="1">
      <alignment shrinkToFit="1"/>
    </xf>
    <xf numFmtId="0" fontId="86" fillId="0" borderId="119" xfId="0" applyFont="1" applyBorder="1" applyAlignment="1">
      <alignment horizontal="center" shrinkToFit="1"/>
    </xf>
    <xf numFmtId="0" fontId="90" fillId="0" borderId="119" xfId="0" applyFont="1" applyBorder="1" applyAlignment="1">
      <alignment shrinkToFit="1"/>
    </xf>
    <xf numFmtId="0" fontId="68" fillId="0" borderId="119" xfId="0" applyFont="1" applyBorder="1" applyAlignment="1">
      <alignment horizontal="center" shrinkToFit="1"/>
    </xf>
    <xf numFmtId="0" fontId="0" fillId="0" borderId="119" xfId="0" applyBorder="1" applyAlignment="1">
      <alignment horizontal="center" shrinkToFit="1"/>
    </xf>
    <xf numFmtId="0" fontId="0" fillId="0" borderId="119" xfId="0" applyBorder="1" applyAlignment="1">
      <alignment shrinkToFit="1"/>
    </xf>
    <xf numFmtId="0" fontId="47" fillId="0" borderId="119" xfId="0" applyFont="1" applyBorder="1" applyAlignment="1">
      <alignment shrinkToFit="1"/>
    </xf>
    <xf numFmtId="0" fontId="86" fillId="0" borderId="119" xfId="0" applyFont="1" applyBorder="1" applyAlignment="1">
      <alignment horizontal="left" shrinkToFit="1"/>
    </xf>
    <xf numFmtId="0" fontId="86" fillId="9" borderId="119" xfId="0" applyFont="1" applyFill="1" applyBorder="1" applyAlignment="1">
      <alignment horizontal="center" shrinkToFit="1"/>
    </xf>
    <xf numFmtId="0" fontId="68" fillId="0" borderId="119" xfId="0" applyFont="1" applyBorder="1" applyAlignment="1">
      <alignment shrinkToFit="1"/>
    </xf>
    <xf numFmtId="165" fontId="19" fillId="17" borderId="116" xfId="0" applyNumberFormat="1" applyFont="1" applyFill="1" applyBorder="1" applyAlignment="1">
      <alignment horizontal="center" shrinkToFit="1"/>
    </xf>
    <xf numFmtId="0" fontId="88" fillId="0" borderId="1" xfId="0" applyFont="1" applyBorder="1" applyAlignment="1">
      <alignment horizontal="center"/>
    </xf>
    <xf numFmtId="0" fontId="88" fillId="0" borderId="8"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5" xfId="0" applyFont="1" applyBorder="1" applyAlignment="1">
      <alignment horizontal="center" vertical="center" wrapText="1" shrinkToFit="1"/>
    </xf>
    <xf numFmtId="0" fontId="84" fillId="0" borderId="6" xfId="0" applyFont="1" applyBorder="1" applyAlignment="1">
      <alignment horizontal="center" vertical="center" wrapText="1" shrinkToFit="1"/>
    </xf>
    <xf numFmtId="0" fontId="14" fillId="0" borderId="17" xfId="0" applyFont="1" applyBorder="1" applyAlignment="1">
      <alignment horizontal="left" shrinkToFit="1"/>
    </xf>
    <xf numFmtId="0" fontId="14" fillId="0" borderId="35"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99" fillId="7" borderId="0" xfId="0" applyFont="1" applyFill="1" applyAlignment="1">
      <alignment shrinkToFit="1"/>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0" fillId="36" borderId="0" xfId="0" applyFill="1"/>
    <xf numFmtId="0" fontId="70" fillId="36" borderId="0" xfId="0" applyFont="1" applyFill="1" applyAlignment="1">
      <alignment horizontal="center"/>
    </xf>
    <xf numFmtId="0" fontId="81" fillId="36" borderId="0" xfId="0" applyFont="1" applyFill="1"/>
    <xf numFmtId="0" fontId="70" fillId="36" borderId="0" xfId="0" applyFont="1" applyFill="1"/>
    <xf numFmtId="0" fontId="81" fillId="0" borderId="0" xfId="0" applyFont="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8"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8"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5" xfId="0" applyNumberFormat="1" applyFont="1" applyFill="1" applyBorder="1" applyAlignment="1" applyProtection="1">
      <alignment horizontal="center" vertical="center" shrinkToFit="1"/>
      <protection hidden="1"/>
    </xf>
    <xf numFmtId="1" fontId="52" fillId="19" borderId="25" xfId="0" applyNumberFormat="1" applyFont="1" applyFill="1" applyBorder="1" applyAlignment="1" applyProtection="1">
      <alignment horizontal="center" vertical="center" shrinkToFit="1"/>
      <protection hidden="1"/>
    </xf>
    <xf numFmtId="165" fontId="52" fillId="20" borderId="25" xfId="0" applyNumberFormat="1" applyFont="1" applyFill="1" applyBorder="1" applyAlignment="1" applyProtection="1">
      <alignment horizontal="center" vertical="center" shrinkToFit="1"/>
      <protection hidden="1"/>
    </xf>
    <xf numFmtId="165" fontId="52" fillId="21" borderId="25"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6" xfId="0" applyNumberFormat="1" applyFont="1" applyFill="1" applyBorder="1" applyAlignment="1" applyProtection="1">
      <alignment horizontal="center" vertical="center" shrinkToFit="1"/>
      <protection hidden="1"/>
    </xf>
    <xf numFmtId="165" fontId="52" fillId="20" borderId="6" xfId="0" applyNumberFormat="1" applyFont="1" applyFill="1" applyBorder="1" applyAlignment="1" applyProtection="1">
      <alignment horizontal="center" vertical="center" shrinkToFit="1"/>
      <protection hidden="1"/>
    </xf>
    <xf numFmtId="1" fontId="52" fillId="19" borderId="10" xfId="0" applyNumberFormat="1" applyFont="1" applyFill="1" applyBorder="1" applyAlignment="1" applyProtection="1">
      <alignment horizontal="center" vertical="center" shrinkToFit="1"/>
      <protection hidden="1"/>
    </xf>
    <xf numFmtId="165" fontId="52" fillId="21" borderId="10" xfId="0" applyNumberFormat="1" applyFont="1" applyFill="1" applyBorder="1" applyAlignment="1" applyProtection="1">
      <alignment horizontal="center" shrinkToFit="1" readingOrder="1"/>
      <protection hidden="1"/>
    </xf>
    <xf numFmtId="0" fontId="51" fillId="0" borderId="17" xfId="0" applyFont="1" applyBorder="1" applyAlignment="1" applyProtection="1">
      <alignment horizontal="left" shrinkToFit="1"/>
      <protection hidden="1"/>
    </xf>
    <xf numFmtId="165" fontId="52" fillId="11" borderId="17" xfId="0" applyNumberFormat="1" applyFont="1" applyFill="1" applyBorder="1" applyAlignment="1" applyProtection="1">
      <alignment horizontal="center" vertical="center" shrinkToFit="1"/>
      <protection hidden="1"/>
    </xf>
    <xf numFmtId="0" fontId="15" fillId="0" borderId="16" xfId="0" applyFont="1" applyBorder="1" applyAlignment="1" applyProtection="1">
      <alignment horizontal="right" vertical="center" shrinkToFit="1"/>
      <protection hidden="1"/>
    </xf>
    <xf numFmtId="0" fontId="17" fillId="7" borderId="111" xfId="0" applyFont="1" applyFill="1" applyBorder="1" applyAlignment="1" applyProtection="1">
      <alignment horizontal="center" vertical="center" shrinkToFit="1"/>
      <protection hidden="1"/>
    </xf>
    <xf numFmtId="0" fontId="53" fillId="19" borderId="27" xfId="0" applyFont="1" applyFill="1" applyBorder="1" applyAlignment="1" applyProtection="1">
      <alignment horizontal="center" shrinkToFit="1"/>
      <protection hidden="1"/>
    </xf>
    <xf numFmtId="0" fontId="53" fillId="21" borderId="27" xfId="0" applyFont="1" applyFill="1" applyBorder="1" applyAlignment="1" applyProtection="1">
      <alignment horizontal="center" shrinkToFit="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68" fillId="7" borderId="0" xfId="0" applyFont="1" applyFill="1" applyAlignment="1" applyProtection="1">
      <alignment horizontal="center" vertical="center"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8" xfId="0" applyNumberFormat="1" applyFont="1" applyFill="1" applyBorder="1" applyAlignment="1" applyProtection="1">
      <alignment horizontal="center" shrinkToFit="1"/>
      <protection hidden="1"/>
    </xf>
    <xf numFmtId="4" fontId="60" fillId="7" borderId="38" xfId="0" applyNumberFormat="1" applyFont="1" applyFill="1" applyBorder="1" applyAlignment="1" applyProtection="1">
      <alignment horizontal="center" shrinkToFit="1"/>
      <protection hidden="1"/>
    </xf>
    <xf numFmtId="4" fontId="60" fillId="7" borderId="39" xfId="0" applyNumberFormat="1" applyFont="1" applyFill="1" applyBorder="1" applyAlignment="1" applyProtection="1">
      <alignment horizontal="center" shrinkToFit="1"/>
      <protection hidden="1"/>
    </xf>
    <xf numFmtId="0" fontId="52" fillId="19" borderId="8" xfId="0" applyFont="1" applyFill="1" applyBorder="1" applyAlignment="1" applyProtection="1">
      <alignment horizontal="center" shrinkToFit="1"/>
      <protection hidden="1"/>
    </xf>
    <xf numFmtId="165" fontId="52" fillId="21" borderId="8" xfId="0" applyNumberFormat="1" applyFont="1" applyFill="1" applyBorder="1" applyAlignment="1" applyProtection="1">
      <alignment horizontal="center" shrinkToFit="1"/>
      <protection hidden="1"/>
    </xf>
    <xf numFmtId="0" fontId="17" fillId="7" borderId="8" xfId="0" applyFont="1" applyFill="1" applyBorder="1" applyAlignment="1" applyProtection="1">
      <alignment horizontal="center" shrinkToFit="1"/>
      <protection hidden="1"/>
    </xf>
    <xf numFmtId="0" fontId="17" fillId="7" borderId="13" xfId="0" applyFont="1" applyFill="1" applyBorder="1" applyAlignment="1" applyProtection="1">
      <alignment horizontal="center" shrinkToFit="1"/>
      <protection hidden="1"/>
    </xf>
    <xf numFmtId="0" fontId="17" fillId="7" borderId="40" xfId="0" applyFont="1" applyFill="1" applyBorder="1" applyAlignment="1" applyProtection="1">
      <alignment horizontal="center" shrinkToFit="1"/>
      <protection hidden="1"/>
    </xf>
    <xf numFmtId="0" fontId="74" fillId="6" borderId="53" xfId="0" applyFont="1" applyFill="1" applyBorder="1" applyProtection="1">
      <protection hidden="1"/>
    </xf>
    <xf numFmtId="0" fontId="52" fillId="19" borderId="24" xfId="0" applyFont="1" applyFill="1" applyBorder="1" applyAlignment="1" applyProtection="1">
      <alignment horizontal="center" shrinkToFit="1"/>
      <protection hidden="1"/>
    </xf>
    <xf numFmtId="165" fontId="52" fillId="21" borderId="24" xfId="0" applyNumberFormat="1" applyFont="1" applyFill="1" applyBorder="1" applyAlignment="1" applyProtection="1">
      <alignment horizontal="center" shrinkToFit="1"/>
      <protection hidden="1"/>
    </xf>
    <xf numFmtId="0" fontId="17" fillId="7" borderId="24" xfId="0" applyFont="1" applyFill="1" applyBorder="1" applyAlignment="1" applyProtection="1">
      <alignment horizontal="center" shrinkToFit="1"/>
      <protection hidden="1"/>
    </xf>
    <xf numFmtId="0" fontId="17" fillId="7" borderId="41" xfId="0" applyFont="1" applyFill="1" applyBorder="1" applyAlignment="1" applyProtection="1">
      <alignment horizontal="center" shrinkToFit="1"/>
      <protection hidden="1"/>
    </xf>
    <xf numFmtId="0" fontId="17" fillId="7" borderId="42" xfId="0" applyFont="1" applyFill="1" applyBorder="1" applyAlignment="1" applyProtection="1">
      <alignment horizontal="center" shrinkToFit="1"/>
      <protection hidden="1"/>
    </xf>
    <xf numFmtId="0" fontId="74" fillId="6" borderId="36" xfId="0" applyFont="1" applyFill="1" applyBorder="1" applyAlignment="1" applyProtection="1">
      <alignment horizontal="left"/>
      <protection hidden="1"/>
    </xf>
    <xf numFmtId="0" fontId="0" fillId="7" borderId="28"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8"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4" borderId="0" xfId="0" applyFill="1" applyProtection="1">
      <protection hidden="1"/>
    </xf>
    <xf numFmtId="0" fontId="0" fillId="34"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8" borderId="0" xfId="0" applyFont="1" applyFill="1" applyAlignment="1">
      <alignment horizontal="left" vertical="center" shrinkToFit="1"/>
    </xf>
    <xf numFmtId="0" fontId="11" fillId="38" borderId="0" xfId="0" applyFont="1" applyFill="1" applyAlignment="1">
      <alignment horizontal="left" shrinkToFit="1"/>
    </xf>
    <xf numFmtId="0" fontId="14" fillId="38" borderId="0" xfId="0" applyFont="1" applyFill="1" applyAlignment="1">
      <alignment horizontal="left" vertical="center" shrinkToFit="1"/>
    </xf>
    <xf numFmtId="0" fontId="0" fillId="38" borderId="0" xfId="0" applyFill="1" applyAlignment="1">
      <alignment horizontal="left" shrinkToFit="1"/>
    </xf>
    <xf numFmtId="0" fontId="0" fillId="38" borderId="128" xfId="0" applyFill="1" applyBorder="1" applyAlignment="1">
      <alignment horizontal="left" shrinkToFit="1"/>
    </xf>
    <xf numFmtId="0" fontId="0" fillId="38" borderId="122" xfId="0" applyFill="1" applyBorder="1" applyAlignment="1">
      <alignment horizontal="left" shrinkToFit="1"/>
    </xf>
    <xf numFmtId="0" fontId="0" fillId="38" borderId="123" xfId="0" applyFill="1" applyBorder="1" applyAlignment="1">
      <alignment horizontal="left" shrinkToFit="1"/>
    </xf>
    <xf numFmtId="0" fontId="13" fillId="38" borderId="0" xfId="150" applyFill="1" applyBorder="1" applyAlignment="1" applyProtection="1">
      <alignment horizontal="left" vertical="center" shrinkToFit="1"/>
    </xf>
    <xf numFmtId="0" fontId="13" fillId="38" borderId="0" xfId="150" applyFill="1" applyAlignment="1" applyProtection="1"/>
    <xf numFmtId="0" fontId="13" fillId="38" borderId="0" xfId="150" applyFill="1" applyAlignment="1" applyProtection="1">
      <alignment horizontal="left" shrinkToFit="1"/>
    </xf>
    <xf numFmtId="0" fontId="17" fillId="7" borderId="34"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19" fillId="7" borderId="0" xfId="0" applyFont="1" applyFill="1" applyAlignment="1">
      <alignment horizontal="left" vertical="center" indent="5"/>
    </xf>
    <xf numFmtId="0" fontId="17" fillId="7" borderId="25" xfId="0" applyFont="1" applyFill="1" applyBorder="1" applyAlignment="1" applyProtection="1">
      <alignment horizontal="center" vertical="center" shrinkToFit="1"/>
      <protection hidden="1"/>
    </xf>
    <xf numFmtId="0" fontId="17" fillId="7" borderId="6"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9" xfId="0" applyFill="1" applyBorder="1" applyProtection="1">
      <protection hidden="1"/>
    </xf>
    <xf numFmtId="0" fontId="0" fillId="7" borderId="0" xfId="0" quotePrefix="1" applyFill="1" applyAlignment="1" applyProtection="1">
      <alignment horizontal="center"/>
      <protection hidden="1"/>
    </xf>
    <xf numFmtId="0" fontId="0" fillId="7" borderId="131" xfId="0" quotePrefix="1" applyFill="1" applyBorder="1" applyProtection="1">
      <protection hidden="1"/>
    </xf>
    <xf numFmtId="0" fontId="0" fillId="7" borderId="131" xfId="0" applyFill="1" applyBorder="1" applyAlignment="1" applyProtection="1">
      <alignment horizontal="center"/>
      <protection hidden="1"/>
    </xf>
    <xf numFmtId="0" fontId="0" fillId="7" borderId="131" xfId="0" applyFill="1" applyBorder="1" applyProtection="1">
      <protection hidden="1"/>
    </xf>
    <xf numFmtId="0" fontId="70" fillId="35" borderId="0" xfId="0" applyFont="1" applyFill="1" applyAlignment="1">
      <alignment horizontal="left"/>
    </xf>
    <xf numFmtId="0" fontId="70" fillId="0" borderId="0" xfId="0" applyFont="1" applyAlignment="1">
      <alignment horizontal="left"/>
    </xf>
    <xf numFmtId="0" fontId="120" fillId="35" borderId="0" xfId="0" applyFont="1" applyFill="1" applyAlignment="1">
      <alignment vertical="center" shrinkToFit="1"/>
    </xf>
    <xf numFmtId="0" fontId="122" fillId="36" borderId="0" xfId="0" applyFont="1" applyFill="1" applyAlignment="1">
      <alignment vertical="top"/>
    </xf>
    <xf numFmtId="0" fontId="84" fillId="0" borderId="0" xfId="0" applyFont="1" applyAlignment="1">
      <alignment horizontal="left" vertical="center" shrinkToFit="1"/>
    </xf>
    <xf numFmtId="0" fontId="86" fillId="0" borderId="140" xfId="0" applyFont="1" applyBorder="1" applyAlignment="1">
      <alignment horizontal="left"/>
    </xf>
    <xf numFmtId="0" fontId="86" fillId="0" borderId="119" xfId="0" applyFont="1" applyBorder="1" applyAlignment="1">
      <alignment horizontal="left"/>
    </xf>
    <xf numFmtId="0" fontId="86" fillId="0" borderId="119" xfId="0" applyFont="1" applyBorder="1"/>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123" fillId="7" borderId="0" xfId="150" applyFont="1" applyFill="1" applyAlignment="1" applyProtection="1">
      <alignment vertical="center"/>
    </xf>
    <xf numFmtId="0" fontId="0" fillId="38"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5"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9" borderId="0" xfId="0" applyFont="1" applyFill="1" applyAlignment="1" applyProtection="1">
      <alignment horizontal="center" vertical="center" shrinkToFit="1"/>
      <protection hidden="1"/>
    </xf>
    <xf numFmtId="0" fontId="17" fillId="27" borderId="18" xfId="0" applyFont="1" applyFill="1" applyBorder="1" applyAlignment="1" applyProtection="1">
      <alignment horizontal="center" vertical="center" shrinkToFit="1"/>
      <protection hidden="1"/>
    </xf>
    <xf numFmtId="0" fontId="17" fillId="27" borderId="119" xfId="0" applyFont="1" applyFill="1" applyBorder="1" applyAlignment="1" applyProtection="1">
      <alignment horizontal="center" vertical="center" shrinkToFit="1"/>
      <protection hidden="1"/>
    </xf>
    <xf numFmtId="0" fontId="54" fillId="27" borderId="17" xfId="0" applyFont="1" applyFill="1" applyBorder="1" applyAlignment="1" applyProtection="1">
      <alignment horizontal="left"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9" borderId="0" xfId="0" applyNumberFormat="1" applyFont="1" applyFill="1" applyAlignment="1" applyProtection="1">
      <alignment horizontal="center"/>
      <protection hidden="1"/>
    </xf>
    <xf numFmtId="1" fontId="17" fillId="27" borderId="49" xfId="0" applyNumberFormat="1" applyFont="1" applyFill="1" applyBorder="1" applyAlignment="1" applyProtection="1">
      <alignment horizontal="center" vertical="center" shrinkToFit="1"/>
      <protection hidden="1"/>
    </xf>
    <xf numFmtId="1" fontId="17" fillId="27" borderId="14"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36"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9" borderId="0" xfId="0" applyFont="1" applyFill="1" applyProtection="1">
      <protection hidden="1"/>
    </xf>
    <xf numFmtId="0" fontId="12" fillId="39" borderId="0" xfId="0" applyFont="1" applyFill="1" applyAlignment="1" applyProtection="1">
      <alignment horizontal="center"/>
      <protection hidden="1"/>
    </xf>
    <xf numFmtId="0" fontId="14" fillId="39" borderId="0" xfId="0" applyFont="1" applyFill="1" applyAlignment="1" applyProtection="1">
      <alignment horizontal="center"/>
      <protection hidden="1"/>
    </xf>
    <xf numFmtId="0" fontId="17" fillId="27" borderId="25" xfId="0" applyFont="1" applyFill="1" applyBorder="1" applyAlignment="1" applyProtection="1">
      <alignment horizontal="center" vertical="center" shrinkToFit="1"/>
      <protection hidden="1"/>
    </xf>
    <xf numFmtId="0" fontId="17" fillId="27" borderId="6" xfId="0" applyFont="1" applyFill="1" applyBorder="1" applyAlignment="1" applyProtection="1">
      <alignment horizontal="center" vertical="center" shrinkToFit="1"/>
      <protection hidden="1"/>
    </xf>
    <xf numFmtId="0" fontId="0" fillId="7" borderId="143" xfId="0" applyFill="1" applyBorder="1" applyProtection="1">
      <protection hidden="1"/>
    </xf>
    <xf numFmtId="0" fontId="0" fillId="0" borderId="143" xfId="0" applyBorder="1" applyProtection="1">
      <protection hidden="1"/>
    </xf>
    <xf numFmtId="0" fontId="11" fillId="27" borderId="0" xfId="0" applyFont="1" applyFill="1" applyAlignment="1" applyProtection="1">
      <alignment horizontal="left" vertical="center" shrinkToFit="1"/>
      <protection hidden="1"/>
    </xf>
    <xf numFmtId="0" fontId="50" fillId="39" borderId="0" xfId="0" applyFont="1" applyFill="1" applyAlignment="1" applyProtection="1">
      <alignment shrinkToFit="1"/>
      <protection hidden="1"/>
    </xf>
    <xf numFmtId="0" fontId="50" fillId="39" borderId="0" xfId="0" applyFont="1" applyFill="1" applyAlignment="1" applyProtection="1">
      <alignment horizontal="left" vertical="center"/>
      <protection hidden="1"/>
    </xf>
    <xf numFmtId="0" fontId="96" fillId="39" borderId="0" xfId="0" applyFont="1" applyFill="1" applyAlignment="1" applyProtection="1">
      <alignment horizontal="center" vertical="center" shrinkToFit="1"/>
      <protection hidden="1"/>
    </xf>
    <xf numFmtId="0" fontId="17" fillId="27" borderId="34" xfId="0" applyFont="1" applyFill="1" applyBorder="1" applyAlignment="1" applyProtection="1">
      <alignment horizontal="center" vertical="center" shrinkToFit="1"/>
      <protection hidden="1"/>
    </xf>
    <xf numFmtId="0" fontId="17" fillId="27" borderId="11" xfId="0" applyFont="1" applyFill="1" applyBorder="1" applyAlignment="1" applyProtection="1">
      <alignment horizontal="center" vertical="center" shrinkToFit="1"/>
      <protection hidden="1"/>
    </xf>
    <xf numFmtId="0" fontId="17" fillId="27" borderId="27" xfId="0" applyFont="1" applyFill="1" applyBorder="1" applyAlignment="1" applyProtection="1">
      <alignment horizontal="center" vertical="center" shrinkToFit="1"/>
      <protection hidden="1"/>
    </xf>
    <xf numFmtId="0" fontId="17" fillId="27" borderId="17" xfId="0" applyFont="1" applyFill="1" applyBorder="1" applyAlignment="1" applyProtection="1">
      <alignment horizontal="left"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9" borderId="0" xfId="0" applyNumberFormat="1" applyFont="1" applyFill="1" applyProtection="1">
      <protection hidden="1"/>
    </xf>
    <xf numFmtId="0" fontId="53" fillId="39" borderId="0" xfId="0" applyFont="1" applyFill="1" applyProtection="1">
      <protection hidden="1"/>
    </xf>
    <xf numFmtId="14" fontId="49" fillId="27" borderId="25" xfId="0" applyNumberFormat="1" applyFont="1" applyFill="1" applyBorder="1" applyAlignment="1" applyProtection="1">
      <alignment horizontal="center" vertical="center" wrapText="1" shrinkToFit="1"/>
      <protection hidden="1"/>
    </xf>
    <xf numFmtId="14" fontId="49" fillId="27" borderId="10" xfId="0" applyNumberFormat="1" applyFont="1" applyFill="1" applyBorder="1" applyAlignment="1" applyProtection="1">
      <alignment horizontal="center" vertical="center" wrapText="1" shrinkToFit="1"/>
      <protection hidden="1"/>
    </xf>
    <xf numFmtId="14" fontId="49" fillId="27" borderId="27" xfId="0" applyNumberFormat="1" applyFont="1" applyFill="1" applyBorder="1" applyAlignment="1" applyProtection="1">
      <alignment horizontal="center" wrapText="1" shrinkToFit="1"/>
      <protection hidden="1"/>
    </xf>
    <xf numFmtId="14" fontId="0" fillId="27" borderId="0" xfId="0" applyNumberFormat="1" applyFill="1" applyAlignment="1" applyProtection="1">
      <alignment horizontal="center" shrinkToFit="1"/>
      <protection hidden="1"/>
    </xf>
    <xf numFmtId="3" fontId="60" fillId="27" borderId="48" xfId="0" applyNumberFormat="1" applyFont="1" applyFill="1" applyBorder="1" applyAlignment="1" applyProtection="1">
      <alignment shrinkToFit="1"/>
      <protection hidden="1"/>
    </xf>
    <xf numFmtId="0" fontId="17" fillId="27" borderId="141" xfId="0" applyFont="1" applyFill="1" applyBorder="1" applyAlignment="1" applyProtection="1">
      <alignment vertical="center" shrinkToFit="1"/>
      <protection hidden="1"/>
    </xf>
    <xf numFmtId="0" fontId="17" fillId="27" borderId="142"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9" borderId="0" xfId="0" applyFont="1" applyFill="1" applyAlignment="1" applyProtection="1">
      <alignment shrinkToFit="1" readingOrder="1"/>
      <protection hidden="1"/>
    </xf>
    <xf numFmtId="0" fontId="17" fillId="27" borderId="25" xfId="0" applyFont="1" applyFill="1" applyBorder="1" applyAlignment="1" applyProtection="1">
      <alignment horizontal="center" vertical="center" shrinkToFit="1" readingOrder="1"/>
      <protection hidden="1"/>
    </xf>
    <xf numFmtId="0" fontId="17" fillId="27" borderId="6"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40" fillId="0" borderId="0" xfId="214" applyAlignment="1">
      <alignment horizontal="left" vertical="center" indent="1"/>
    </xf>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8"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84" fillId="39" borderId="135" xfId="0" applyFont="1" applyFill="1" applyBorder="1" applyAlignment="1">
      <alignment horizontal="center" vertical="center" shrinkToFit="1"/>
    </xf>
    <xf numFmtId="0" fontId="13" fillId="7" borderId="0" xfId="150" applyFill="1" applyAlignment="1" applyProtection="1">
      <alignment vertical="center"/>
    </xf>
    <xf numFmtId="0" fontId="69" fillId="0" borderId="0" xfId="0" applyFont="1"/>
    <xf numFmtId="0" fontId="84" fillId="7" borderId="0" xfId="0" applyFont="1" applyFill="1" applyAlignment="1">
      <alignment vertical="center"/>
    </xf>
    <xf numFmtId="1" fontId="126" fillId="42" borderId="144" xfId="0" applyNumberFormat="1" applyFont="1" applyFill="1" applyBorder="1" applyAlignment="1">
      <alignment horizontal="center" vertical="center" shrinkToFit="1"/>
    </xf>
    <xf numFmtId="0" fontId="70" fillId="41" borderId="144" xfId="0" applyFont="1" applyFill="1" applyBorder="1"/>
    <xf numFmtId="0" fontId="70" fillId="40" borderId="144" xfId="0" applyFont="1" applyFill="1" applyBorder="1"/>
    <xf numFmtId="0" fontId="128" fillId="7" borderId="0" xfId="0" applyFont="1" applyFill="1" applyAlignment="1">
      <alignment vertical="center"/>
    </xf>
    <xf numFmtId="0" fontId="127"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0" fontId="81" fillId="9" borderId="0" xfId="0" applyFont="1" applyFill="1"/>
    <xf numFmtId="172" fontId="14" fillId="27" borderId="0" xfId="0" applyNumberFormat="1" applyFont="1" applyFill="1" applyAlignment="1" applyProtection="1">
      <alignment horizontal="left" vertical="center"/>
      <protection hidden="1"/>
    </xf>
    <xf numFmtId="172" fontId="14" fillId="9" borderId="117" xfId="0" applyNumberFormat="1" applyFont="1" applyFill="1" applyBorder="1" applyAlignment="1" applyProtection="1">
      <alignment vertical="center" shrinkToFit="1"/>
      <protection hidden="1"/>
    </xf>
    <xf numFmtId="0" fontId="12" fillId="0" borderId="119" xfId="0" applyFont="1" applyBorder="1" applyAlignment="1">
      <alignment horizontal="center" shrinkToFit="1"/>
    </xf>
    <xf numFmtId="0" fontId="12" fillId="0" borderId="119" xfId="149" applyFont="1" applyBorder="1" applyAlignment="1">
      <alignment horizontal="center" shrinkToFit="1"/>
    </xf>
    <xf numFmtId="0" fontId="110" fillId="9" borderId="119"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9" xfId="0" applyFont="1" applyFill="1" applyBorder="1" applyAlignment="1">
      <alignment horizontal="center" vertical="center"/>
    </xf>
    <xf numFmtId="172" fontId="14" fillId="7" borderId="154" xfId="0" applyNumberFormat="1" applyFont="1" applyFill="1" applyBorder="1" applyAlignment="1">
      <alignment vertical="center" shrinkToFit="1"/>
    </xf>
    <xf numFmtId="172" fontId="14" fillId="6" borderId="154" xfId="0" applyNumberFormat="1" applyFont="1" applyFill="1" applyBorder="1" applyAlignment="1">
      <alignment vertical="center" shrinkToFit="1"/>
    </xf>
    <xf numFmtId="9" fontId="69" fillId="7" borderId="155" xfId="0" applyNumberFormat="1" applyFont="1" applyFill="1" applyBorder="1" applyAlignment="1">
      <alignment horizontal="center" vertical="center"/>
    </xf>
    <xf numFmtId="9" fontId="69" fillId="6" borderId="155" xfId="0" applyNumberFormat="1" applyFont="1" applyFill="1" applyBorder="1" applyAlignment="1">
      <alignment horizontal="center" vertical="center"/>
    </xf>
    <xf numFmtId="165" fontId="84" fillId="44" borderId="156" xfId="0" applyNumberFormat="1" applyFont="1" applyFill="1" applyBorder="1" applyAlignment="1">
      <alignment horizontal="center" vertical="center" shrinkToFit="1"/>
    </xf>
    <xf numFmtId="165" fontId="84" fillId="44" borderId="157" xfId="0" applyNumberFormat="1" applyFont="1" applyFill="1" applyBorder="1" applyAlignment="1">
      <alignment horizontal="center" vertical="center" shrinkToFit="1"/>
    </xf>
    <xf numFmtId="165" fontId="84" fillId="44" borderId="158" xfId="0" applyNumberFormat="1" applyFont="1" applyFill="1" applyBorder="1" applyAlignment="1">
      <alignment horizontal="center" vertical="center" shrinkToFit="1"/>
    </xf>
    <xf numFmtId="165" fontId="84" fillId="44" borderId="159" xfId="0" applyNumberFormat="1" applyFont="1" applyFill="1" applyBorder="1" applyAlignment="1">
      <alignment horizontal="center" vertical="center" shrinkToFit="1"/>
    </xf>
    <xf numFmtId="172" fontId="14" fillId="7" borderId="160" xfId="0" applyNumberFormat="1" applyFont="1" applyFill="1" applyBorder="1" applyAlignment="1">
      <alignment vertical="center" shrinkToFit="1"/>
    </xf>
    <xf numFmtId="9" fontId="69" fillId="7" borderId="161" xfId="0" applyNumberFormat="1" applyFont="1" applyFill="1" applyBorder="1" applyAlignment="1">
      <alignment horizontal="center" vertical="center"/>
    </xf>
    <xf numFmtId="172" fontId="14" fillId="6" borderId="160" xfId="0" applyNumberFormat="1" applyFont="1" applyFill="1" applyBorder="1" applyAlignment="1">
      <alignment vertical="center" shrinkToFit="1"/>
    </xf>
    <xf numFmtId="9" fontId="69" fillId="6" borderId="161" xfId="0" applyNumberFormat="1" applyFont="1" applyFill="1" applyBorder="1" applyAlignment="1">
      <alignment horizontal="center" vertical="center"/>
    </xf>
    <xf numFmtId="172" fontId="14" fillId="7" borderId="162" xfId="0" applyNumberFormat="1" applyFont="1" applyFill="1" applyBorder="1" applyAlignment="1">
      <alignment vertical="center" shrinkToFit="1"/>
    </xf>
    <xf numFmtId="9" fontId="69" fillId="7" borderId="163" xfId="0" applyNumberFormat="1" applyFont="1" applyFill="1" applyBorder="1" applyAlignment="1">
      <alignment horizontal="center" vertical="center"/>
    </xf>
    <xf numFmtId="172" fontId="14" fillId="7" borderId="164" xfId="0" applyNumberFormat="1" applyFont="1" applyFill="1" applyBorder="1" applyAlignment="1">
      <alignment vertical="center" shrinkToFit="1"/>
    </xf>
    <xf numFmtId="9" fontId="69" fillId="7" borderId="165" xfId="0" applyNumberFormat="1"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8"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172" fontId="14" fillId="7" borderId="0" xfId="0" applyNumberFormat="1" applyFont="1" applyFill="1" applyAlignment="1">
      <alignment vertical="center" shrinkToFit="1"/>
    </xf>
    <xf numFmtId="9" fontId="69" fillId="7" borderId="0" xfId="0" applyNumberFormat="1" applyFont="1" applyFill="1" applyAlignment="1">
      <alignment horizontal="center" vertical="center"/>
    </xf>
    <xf numFmtId="172" fontId="14" fillId="6" borderId="162" xfId="0" applyNumberFormat="1" applyFont="1" applyFill="1" applyBorder="1" applyAlignment="1">
      <alignment vertical="center" shrinkToFit="1"/>
    </xf>
    <xf numFmtId="9" fontId="69" fillId="6" borderId="163" xfId="0" applyNumberFormat="1" applyFont="1" applyFill="1" applyBorder="1" applyAlignment="1">
      <alignment horizontal="center" vertical="center"/>
    </xf>
    <xf numFmtId="9" fontId="69" fillId="6" borderId="165" xfId="0" applyNumberFormat="1" applyFont="1" applyFill="1" applyBorder="1" applyAlignment="1">
      <alignment horizontal="center" vertical="center"/>
    </xf>
    <xf numFmtId="0" fontId="131" fillId="7" borderId="0" xfId="0" applyFont="1" applyFill="1" applyAlignment="1">
      <alignment vertical="center"/>
    </xf>
    <xf numFmtId="165" fontId="84" fillId="0" borderId="0" xfId="0" applyNumberFormat="1" applyFont="1" applyAlignment="1">
      <alignment horizontal="center" vertical="center" shrinkToFit="1"/>
    </xf>
    <xf numFmtId="0" fontId="120" fillId="0" borderId="0" xfId="0" applyFont="1" applyAlignment="1">
      <alignment vertical="center" shrinkToFit="1"/>
    </xf>
    <xf numFmtId="9" fontId="69" fillId="7" borderId="166" xfId="0" applyNumberFormat="1" applyFont="1" applyFill="1" applyBorder="1" applyAlignment="1">
      <alignment horizontal="center" vertical="center"/>
    </xf>
    <xf numFmtId="9" fontId="69" fillId="6" borderId="166" xfId="0" applyNumberFormat="1" applyFont="1" applyFill="1" applyBorder="1" applyAlignment="1">
      <alignment horizontal="center" vertical="center"/>
    </xf>
    <xf numFmtId="9" fontId="69" fillId="7" borderId="167" xfId="0" applyNumberFormat="1" applyFont="1" applyFill="1" applyBorder="1" applyAlignment="1">
      <alignment horizontal="center" vertical="center"/>
    </xf>
    <xf numFmtId="165" fontId="84" fillId="44" borderId="168" xfId="0" applyNumberFormat="1" applyFont="1" applyFill="1" applyBorder="1" applyAlignment="1">
      <alignment horizontal="center" vertical="center" shrinkToFit="1"/>
    </xf>
    <xf numFmtId="172" fontId="14" fillId="7" borderId="141" xfId="0" applyNumberFormat="1" applyFont="1" applyFill="1" applyBorder="1" applyAlignment="1">
      <alignment vertical="center" shrinkToFit="1"/>
    </xf>
    <xf numFmtId="172" fontId="14" fillId="6" borderId="141" xfId="0" applyNumberFormat="1" applyFont="1" applyFill="1" applyBorder="1" applyAlignment="1">
      <alignment vertical="center" shrinkToFit="1"/>
    </xf>
    <xf numFmtId="172" fontId="14" fillId="7" borderId="169" xfId="0" applyNumberFormat="1" applyFont="1" applyFill="1" applyBorder="1" applyAlignment="1">
      <alignment vertical="center" shrinkToFit="1"/>
    </xf>
    <xf numFmtId="165" fontId="84" fillId="44" borderId="170" xfId="0" applyNumberFormat="1" applyFont="1" applyFill="1" applyBorder="1" applyAlignment="1">
      <alignment horizontal="center" vertical="center" shrinkToFit="1"/>
    </xf>
    <xf numFmtId="0" fontId="84" fillId="7" borderId="0" xfId="357" applyFont="1" applyFill="1"/>
    <xf numFmtId="0" fontId="132" fillId="18" borderId="0" xfId="0" applyFont="1" applyFill="1" applyProtection="1">
      <protection hidden="1"/>
    </xf>
    <xf numFmtId="0" fontId="11" fillId="34"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86" fillId="0" borderId="0" xfId="0" applyFont="1" applyAlignment="1">
      <alignment horizontal="left"/>
    </xf>
    <xf numFmtId="0" fontId="131" fillId="0" borderId="0" xfId="0" applyFont="1" applyAlignment="1">
      <alignment shrinkToFit="1"/>
    </xf>
    <xf numFmtId="0" fontId="131" fillId="9" borderId="0" xfId="0" applyFont="1" applyFill="1" applyAlignment="1">
      <alignment vertical="center" shrinkToFit="1"/>
    </xf>
    <xf numFmtId="0" fontId="3" fillId="0" borderId="0" xfId="0" applyFont="1"/>
    <xf numFmtId="0" fontId="3" fillId="0" borderId="9" xfId="0" applyFont="1" applyBorder="1"/>
    <xf numFmtId="0" fontId="3" fillId="3" borderId="64" xfId="0" applyFont="1" applyFill="1" applyBorder="1" applyAlignment="1">
      <alignment shrinkToFit="1"/>
    </xf>
    <xf numFmtId="0" fontId="3" fillId="3" borderId="171" xfId="0" applyFont="1" applyFill="1" applyBorder="1" applyAlignment="1">
      <alignment shrinkToFit="1"/>
    </xf>
    <xf numFmtId="0" fontId="63" fillId="3" borderId="174" xfId="0" applyFont="1" applyFill="1" applyBorder="1" applyAlignment="1">
      <alignment shrinkToFit="1"/>
    </xf>
    <xf numFmtId="0" fontId="70" fillId="0" borderId="177" xfId="0" applyFont="1" applyBorder="1"/>
    <xf numFmtId="0" fontId="70" fillId="0" borderId="176" xfId="0" applyFont="1" applyBorder="1"/>
    <xf numFmtId="0" fontId="70" fillId="0" borderId="178" xfId="0" applyFont="1" applyBorder="1"/>
    <xf numFmtId="0" fontId="0" fillId="0" borderId="176" xfId="0" applyBorder="1"/>
    <xf numFmtId="165" fontId="84" fillId="24" borderId="180" xfId="0" applyNumberFormat="1" applyFont="1" applyFill="1" applyBorder="1" applyAlignment="1">
      <alignment horizontal="center" vertical="center" shrinkToFit="1"/>
    </xf>
    <xf numFmtId="172" fontId="14" fillId="25" borderId="140" xfId="0" applyNumberFormat="1" applyFont="1" applyFill="1" applyBorder="1" applyAlignment="1">
      <alignment vertical="center" shrinkToFit="1"/>
    </xf>
    <xf numFmtId="0" fontId="70" fillId="0" borderId="179" xfId="0" applyFont="1" applyBorder="1"/>
    <xf numFmtId="0" fontId="0" fillId="0" borderId="179" xfId="0" applyBorder="1"/>
    <xf numFmtId="0" fontId="45" fillId="0" borderId="179" xfId="0" applyFont="1" applyBorder="1"/>
    <xf numFmtId="0" fontId="0" fillId="0" borderId="181" xfId="0" applyBorder="1"/>
    <xf numFmtId="0" fontId="0" fillId="0" borderId="182" xfId="0" applyBorder="1"/>
    <xf numFmtId="0" fontId="70" fillId="3" borderId="171" xfId="0" applyFont="1" applyFill="1" applyBorder="1" applyAlignment="1">
      <alignment shrinkToFit="1"/>
    </xf>
    <xf numFmtId="0" fontId="0" fillId="45" borderId="172" xfId="0" applyFill="1" applyBorder="1"/>
    <xf numFmtId="0" fontId="0" fillId="45" borderId="35" xfId="0" applyFill="1" applyBorder="1"/>
    <xf numFmtId="0" fontId="0" fillId="45" borderId="173" xfId="0" applyFill="1" applyBorder="1"/>
    <xf numFmtId="0" fontId="0" fillId="45" borderId="183" xfId="0" applyFill="1" applyBorder="1"/>
    <xf numFmtId="0" fontId="0" fillId="45" borderId="0" xfId="0" applyFill="1"/>
    <xf numFmtId="0" fontId="0" fillId="45" borderId="28" xfId="0" applyFill="1" applyBorder="1"/>
    <xf numFmtId="0" fontId="3" fillId="45" borderId="175" xfId="0" applyFont="1" applyFill="1" applyBorder="1" applyAlignment="1">
      <alignment shrinkToFit="1"/>
    </xf>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8" xfId="0" applyFont="1" applyFill="1" applyBorder="1" applyAlignment="1" applyProtection="1">
      <alignment shrinkToFit="1"/>
      <protection hidden="1"/>
    </xf>
    <xf numFmtId="0" fontId="11" fillId="10" borderId="6"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10" xfId="0" applyFont="1" applyBorder="1" applyAlignment="1">
      <alignment shrinkToFit="1"/>
    </xf>
    <xf numFmtId="0" fontId="0" fillId="0" borderId="10" xfId="0" applyBorder="1" applyAlignment="1">
      <alignment shrinkToFit="1"/>
    </xf>
    <xf numFmtId="0" fontId="0" fillId="6" borderId="0" xfId="0" applyFill="1"/>
    <xf numFmtId="0" fontId="84" fillId="7" borderId="185" xfId="0" applyFont="1" applyFill="1" applyBorder="1" applyAlignment="1" applyProtection="1">
      <alignment horizontal="center" vertical="center" wrapText="1" shrinkToFit="1"/>
      <protection hidden="1"/>
    </xf>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8"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6" borderId="0" xfId="0" applyFill="1"/>
    <xf numFmtId="14" fontId="84" fillId="47" borderId="135" xfId="0" applyNumberFormat="1" applyFont="1" applyFill="1" applyBorder="1" applyAlignment="1">
      <alignment horizontal="center" vertical="center" shrinkToFit="1"/>
    </xf>
    <xf numFmtId="0" fontId="84" fillId="48" borderId="135" xfId="0" applyFont="1" applyFill="1" applyBorder="1" applyAlignment="1">
      <alignment horizontal="center" vertical="center" shrinkToFit="1"/>
    </xf>
    <xf numFmtId="165" fontId="84" fillId="50" borderId="135" xfId="0" applyNumberFormat="1" applyFont="1" applyFill="1" applyBorder="1" applyAlignment="1">
      <alignment horizontal="center" vertical="center" shrinkToFit="1"/>
    </xf>
    <xf numFmtId="1" fontId="84" fillId="50" borderId="135" xfId="0" applyNumberFormat="1" applyFont="1" applyFill="1" applyBorder="1" applyAlignment="1">
      <alignment horizontal="center" vertical="center" shrinkToFit="1"/>
    </xf>
    <xf numFmtId="49" fontId="84" fillId="50" borderId="135" xfId="0" applyNumberFormat="1" applyFont="1" applyFill="1" applyBorder="1" applyAlignment="1">
      <alignment horizontal="center" vertical="center" shrinkToFit="1"/>
    </xf>
    <xf numFmtId="0" fontId="84" fillId="50" borderId="135" xfId="0" applyFont="1" applyFill="1" applyBorder="1" applyAlignment="1">
      <alignment horizontal="center" vertical="center" shrinkToFit="1"/>
    </xf>
    <xf numFmtId="1" fontId="84" fillId="10" borderId="135" xfId="0" applyNumberFormat="1" applyFont="1" applyFill="1" applyBorder="1" applyAlignment="1">
      <alignment horizontal="center" vertical="center" shrinkToFit="1"/>
    </xf>
    <xf numFmtId="49" fontId="17" fillId="50" borderId="135" xfId="0" applyNumberFormat="1" applyFont="1" applyFill="1" applyBorder="1" applyAlignment="1">
      <alignment horizontal="center" vertical="center" shrinkToFit="1"/>
    </xf>
    <xf numFmtId="0" fontId="84" fillId="10" borderId="107" xfId="0" applyFont="1" applyFill="1" applyBorder="1" applyAlignment="1">
      <alignment horizontal="center" vertical="center" shrinkToFit="1"/>
    </xf>
    <xf numFmtId="49" fontId="84" fillId="50" borderId="133" xfId="0" applyNumberFormat="1" applyFont="1" applyFill="1" applyBorder="1" applyAlignment="1">
      <alignment horizontal="center" vertical="center" shrinkToFit="1"/>
    </xf>
    <xf numFmtId="49" fontId="84" fillId="10" borderId="133" xfId="0" applyNumberFormat="1" applyFont="1" applyFill="1" applyBorder="1" applyAlignment="1">
      <alignment horizontal="center" vertical="center" shrinkToFit="1"/>
    </xf>
    <xf numFmtId="14" fontId="84" fillId="10" borderId="135" xfId="0" applyNumberFormat="1" applyFont="1" applyFill="1" applyBorder="1" applyAlignment="1">
      <alignment horizontal="center" vertical="center" shrinkToFit="1"/>
    </xf>
    <xf numFmtId="14" fontId="84" fillId="50" borderId="135" xfId="0" applyNumberFormat="1" applyFont="1" applyFill="1" applyBorder="1" applyAlignment="1">
      <alignment horizontal="center" vertical="center" shrinkToFit="1"/>
    </xf>
    <xf numFmtId="0" fontId="84" fillId="50" borderId="133" xfId="0" applyFont="1" applyFill="1" applyBorder="1" applyAlignment="1">
      <alignment horizontal="center" vertical="center" shrinkToFit="1"/>
    </xf>
    <xf numFmtId="1" fontId="52" fillId="52" borderId="25" xfId="0" applyNumberFormat="1" applyFont="1" applyFill="1" applyBorder="1" applyAlignment="1" applyProtection="1">
      <alignment horizontal="center" vertical="center" shrinkToFit="1"/>
      <protection hidden="1"/>
    </xf>
    <xf numFmtId="1" fontId="52" fillId="52" borderId="6" xfId="0" applyNumberFormat="1" applyFont="1" applyFill="1" applyBorder="1" applyAlignment="1" applyProtection="1">
      <alignment horizontal="center" vertical="center" shrinkToFit="1"/>
      <protection hidden="1"/>
    </xf>
    <xf numFmtId="0" fontId="134" fillId="10" borderId="28" xfId="150" applyFont="1" applyFill="1" applyBorder="1" applyAlignment="1" applyProtection="1">
      <alignment wrapText="1"/>
      <protection hidden="1"/>
    </xf>
    <xf numFmtId="0" fontId="12" fillId="10" borderId="28" xfId="150" applyFont="1" applyFill="1" applyBorder="1" applyAlignment="1" applyProtection="1">
      <protection hidden="1"/>
    </xf>
    <xf numFmtId="0" fontId="0" fillId="0" borderId="14" xfId="0" applyBorder="1"/>
    <xf numFmtId="0" fontId="0" fillId="0" borderId="15" xfId="0" applyBorder="1"/>
    <xf numFmtId="0" fontId="0" fillId="0" borderId="10" xfId="0" applyBorder="1"/>
    <xf numFmtId="0" fontId="56" fillId="54" borderId="16" xfId="0" applyFont="1" applyFill="1" applyBorder="1" applyAlignment="1" applyProtection="1">
      <alignment horizontal="center" vertical="center" shrinkToFit="1"/>
      <protection hidden="1"/>
    </xf>
    <xf numFmtId="1" fontId="52" fillId="55" borderId="26" xfId="0" applyNumberFormat="1" applyFont="1" applyFill="1" applyBorder="1" applyAlignment="1" applyProtection="1">
      <alignment horizontal="center" vertical="center"/>
      <protection hidden="1"/>
    </xf>
    <xf numFmtId="0" fontId="0" fillId="0" borderId="11" xfId="0" applyBorder="1"/>
    <xf numFmtId="0" fontId="0" fillId="0" borderId="3" xfId="0" applyBorder="1" applyAlignment="1">
      <alignment horizontal="center"/>
    </xf>
    <xf numFmtId="0" fontId="74" fillId="0" borderId="0" xfId="0" applyFont="1" applyAlignment="1">
      <alignment horizontal="center"/>
    </xf>
    <xf numFmtId="0" fontId="74" fillId="56" borderId="0" xfId="0" applyFont="1" applyFill="1" applyAlignment="1">
      <alignment horizontal="center"/>
    </xf>
    <xf numFmtId="0" fontId="0" fillId="56" borderId="0" xfId="0" applyFill="1" applyAlignment="1">
      <alignment horizontal="center"/>
    </xf>
    <xf numFmtId="0" fontId="0" fillId="56" borderId="3" xfId="0" applyFill="1" applyBorder="1" applyAlignment="1">
      <alignment horizontal="center"/>
    </xf>
    <xf numFmtId="0" fontId="0" fillId="56" borderId="0" xfId="0" applyFill="1"/>
    <xf numFmtId="0" fontId="74" fillId="56" borderId="15" xfId="0" applyFont="1" applyFill="1" applyBorder="1" applyAlignment="1">
      <alignment horizontal="center"/>
    </xf>
    <xf numFmtId="0" fontId="0" fillId="56" borderId="15" xfId="0" applyFill="1" applyBorder="1" applyAlignment="1">
      <alignment horizontal="center"/>
    </xf>
    <xf numFmtId="0" fontId="0" fillId="56" borderId="14" xfId="0" applyFill="1" applyBorder="1" applyAlignment="1">
      <alignment horizontal="center"/>
    </xf>
    <xf numFmtId="0" fontId="0" fillId="56" borderId="15" xfId="0" applyFill="1" applyBorder="1"/>
    <xf numFmtId="0" fontId="0" fillId="56" borderId="0" xfId="0" applyFill="1" applyAlignment="1">
      <alignment horizontal="right"/>
    </xf>
    <xf numFmtId="0" fontId="0" fillId="56" borderId="0" xfId="0" quotePrefix="1" applyFill="1"/>
    <xf numFmtId="0" fontId="74" fillId="0" borderId="15" xfId="0" applyFont="1" applyBorder="1" applyAlignment="1">
      <alignment horizontal="center"/>
    </xf>
    <xf numFmtId="0" fontId="0" fillId="0" borderId="15" xfId="0" applyBorder="1" applyAlignment="1">
      <alignment horizontal="center"/>
    </xf>
    <xf numFmtId="0" fontId="124" fillId="7" borderId="0" xfId="0" applyFont="1" applyFill="1" applyAlignment="1" applyProtection="1">
      <alignment vertical="center" shrinkToFit="1"/>
      <protection hidden="1"/>
    </xf>
    <xf numFmtId="0" fontId="0" fillId="0" borderId="0" xfId="0" applyProtection="1">
      <protection locked="0"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84" fillId="57" borderId="134" xfId="0" applyFont="1" applyFill="1" applyBorder="1" applyAlignment="1">
      <alignment horizontal="center" vertical="center" shrinkToFit="1"/>
    </xf>
    <xf numFmtId="49" fontId="84" fillId="50" borderId="191" xfId="0" applyNumberFormat="1" applyFont="1" applyFill="1" applyBorder="1" applyAlignment="1">
      <alignment horizontal="center" vertical="center" shrinkToFit="1"/>
    </xf>
    <xf numFmtId="0" fontId="84" fillId="48" borderId="191" xfId="0" applyFont="1" applyFill="1" applyBorder="1" applyAlignment="1">
      <alignment horizontal="center" vertical="center" shrinkToFit="1"/>
    </xf>
    <xf numFmtId="1" fontId="14" fillId="3" borderId="192" xfId="0" applyNumberFormat="1" applyFont="1" applyFill="1" applyBorder="1" applyAlignment="1">
      <alignment horizontal="center" vertical="center" shrinkToFit="1"/>
    </xf>
    <xf numFmtId="0" fontId="14" fillId="3" borderId="191" xfId="0" applyFont="1" applyFill="1" applyBorder="1" applyAlignment="1">
      <alignment horizontal="center" shrinkToFit="1"/>
    </xf>
    <xf numFmtId="0" fontId="14" fillId="3" borderId="139" xfId="1713" applyFont="1" applyFill="1" applyBorder="1" applyAlignment="1">
      <alignment horizontal="left" vertical="center" shrinkToFit="1"/>
    </xf>
    <xf numFmtId="0" fontId="14" fillId="3" borderId="192" xfId="1713" applyFont="1" applyFill="1" applyBorder="1" applyAlignment="1">
      <alignment horizontal="left" shrinkToFit="1"/>
    </xf>
    <xf numFmtId="0" fontId="14" fillId="3" borderId="192" xfId="1713" applyFont="1" applyFill="1" applyBorder="1" applyAlignment="1">
      <alignment horizontal="center" shrinkToFit="1"/>
    </xf>
    <xf numFmtId="1" fontId="84" fillId="3" borderId="192" xfId="0" applyNumberFormat="1" applyFont="1" applyFill="1" applyBorder="1" applyAlignment="1">
      <alignment horizontal="center" vertical="center" shrinkToFit="1"/>
    </xf>
    <xf numFmtId="2" fontId="84" fillId="3" borderId="192" xfId="0" applyNumberFormat="1" applyFont="1" applyFill="1" applyBorder="1" applyAlignment="1">
      <alignment horizontal="center" vertical="center" shrinkToFit="1"/>
    </xf>
    <xf numFmtId="1" fontId="14" fillId="3" borderId="192" xfId="0" applyNumberFormat="1" applyFont="1" applyFill="1" applyBorder="1" applyAlignment="1">
      <alignment horizontal="center"/>
    </xf>
    <xf numFmtId="0" fontId="14" fillId="10" borderId="139" xfId="0" applyFont="1" applyFill="1" applyBorder="1" applyAlignment="1">
      <alignment horizontal="center" shrinkToFit="1" readingOrder="1"/>
    </xf>
    <xf numFmtId="14" fontId="14" fillId="3" borderId="139" xfId="0" applyNumberFormat="1" applyFont="1" applyFill="1" applyBorder="1" applyAlignment="1">
      <alignment horizontal="center" shrinkToFit="1" readingOrder="1"/>
    </xf>
    <xf numFmtId="14" fontId="14" fillId="3" borderId="192" xfId="0" applyNumberFormat="1" applyFont="1" applyFill="1" applyBorder="1" applyAlignment="1">
      <alignment horizontal="center" shrinkToFit="1" readingOrder="1"/>
    </xf>
    <xf numFmtId="1" fontId="14" fillId="3" borderId="192" xfId="1713" applyNumberFormat="1" applyFont="1" applyFill="1" applyBorder="1" applyAlignment="1">
      <alignment horizontal="center" shrinkToFit="1"/>
    </xf>
    <xf numFmtId="2" fontId="14" fillId="3" borderId="192" xfId="1713" applyNumberFormat="1" applyFont="1" applyFill="1" applyBorder="1" applyAlignment="1">
      <alignment horizontal="center" shrinkToFit="1"/>
    </xf>
    <xf numFmtId="1" fontId="14" fillId="7" borderId="192" xfId="0" applyNumberFormat="1" applyFont="1" applyFill="1" applyBorder="1" applyAlignment="1">
      <alignment horizontal="center" vertical="center" shrinkToFit="1"/>
    </xf>
    <xf numFmtId="0" fontId="14" fillId="7" borderId="133" xfId="0" applyFont="1" applyFill="1" applyBorder="1" applyAlignment="1">
      <alignment horizontal="center" shrinkToFit="1"/>
    </xf>
    <xf numFmtId="0" fontId="14" fillId="7" borderId="139" xfId="1713" applyFont="1" applyFill="1" applyBorder="1" applyAlignment="1">
      <alignment horizontal="left" vertical="center" shrinkToFit="1"/>
    </xf>
    <xf numFmtId="0" fontId="14" fillId="7" borderId="192" xfId="1713" applyFont="1" applyFill="1" applyBorder="1" applyAlignment="1">
      <alignment horizontal="left" shrinkToFit="1"/>
    </xf>
    <xf numFmtId="0" fontId="14" fillId="7" borderId="192" xfId="1713" applyFont="1" applyFill="1" applyBorder="1" applyAlignment="1">
      <alignment horizontal="center" shrinkToFit="1"/>
    </xf>
    <xf numFmtId="1" fontId="84" fillId="7" borderId="192" xfId="0" applyNumberFormat="1" applyFont="1" applyFill="1" applyBorder="1" applyAlignment="1">
      <alignment horizontal="center" vertical="center" shrinkToFit="1"/>
    </xf>
    <xf numFmtId="2" fontId="84" fillId="7" borderId="192" xfId="0" applyNumberFormat="1" applyFont="1" applyFill="1" applyBorder="1" applyAlignment="1">
      <alignment horizontal="center" vertical="center" shrinkToFit="1"/>
    </xf>
    <xf numFmtId="1" fontId="14" fillId="7" borderId="193" xfId="0" applyNumberFormat="1" applyFont="1" applyFill="1" applyBorder="1" applyAlignment="1">
      <alignment horizontal="center"/>
    </xf>
    <xf numFmtId="14" fontId="14" fillId="7" borderId="194" xfId="0" applyNumberFormat="1" applyFont="1" applyFill="1" applyBorder="1" applyAlignment="1">
      <alignment horizontal="center" shrinkToFit="1" readingOrder="1"/>
    </xf>
    <xf numFmtId="14" fontId="14" fillId="7" borderId="193" xfId="0" applyNumberFormat="1" applyFont="1" applyFill="1" applyBorder="1" applyAlignment="1">
      <alignment horizontal="center" shrinkToFit="1" readingOrder="1"/>
    </xf>
    <xf numFmtId="1" fontId="14" fillId="7" borderId="192" xfId="1713" applyNumberFormat="1" applyFont="1" applyFill="1" applyBorder="1" applyAlignment="1">
      <alignment horizontal="center" shrinkToFit="1"/>
    </xf>
    <xf numFmtId="2" fontId="14" fillId="7" borderId="192" xfId="1713" applyNumberFormat="1" applyFont="1" applyFill="1" applyBorder="1" applyAlignment="1">
      <alignment horizontal="center" shrinkToFit="1"/>
    </xf>
    <xf numFmtId="0" fontId="14" fillId="3" borderId="195" xfId="0" applyFont="1" applyFill="1" applyBorder="1" applyAlignment="1">
      <alignment horizontal="center" shrinkToFit="1"/>
    </xf>
    <xf numFmtId="1" fontId="14" fillId="3" borderId="196" xfId="0" applyNumberFormat="1" applyFont="1" applyFill="1" applyBorder="1" applyAlignment="1">
      <alignment horizontal="center"/>
    </xf>
    <xf numFmtId="14" fontId="14" fillId="3" borderId="197" xfId="0" applyNumberFormat="1" applyFont="1" applyFill="1" applyBorder="1" applyAlignment="1">
      <alignment horizontal="center" shrinkToFit="1" readingOrder="1"/>
    </xf>
    <xf numFmtId="14" fontId="14" fillId="3" borderId="196" xfId="0" applyNumberFormat="1" applyFont="1" applyFill="1" applyBorder="1" applyAlignment="1">
      <alignment horizontal="center" shrinkToFit="1" readingOrder="1"/>
    </xf>
    <xf numFmtId="0" fontId="14" fillId="7" borderId="191" xfId="0" applyFont="1" applyFill="1" applyBorder="1" applyAlignment="1">
      <alignment horizontal="center" shrinkToFit="1"/>
    </xf>
    <xf numFmtId="1" fontId="14" fillId="7" borderId="192" xfId="0" applyNumberFormat="1" applyFont="1" applyFill="1" applyBorder="1" applyAlignment="1">
      <alignment horizontal="center"/>
    </xf>
    <xf numFmtId="14" fontId="14" fillId="7" borderId="139" xfId="0" applyNumberFormat="1" applyFont="1" applyFill="1" applyBorder="1" applyAlignment="1">
      <alignment horizontal="center" shrinkToFit="1" readingOrder="1"/>
    </xf>
    <xf numFmtId="14" fontId="14" fillId="7" borderId="192" xfId="0" applyNumberFormat="1" applyFont="1" applyFill="1" applyBorder="1" applyAlignment="1">
      <alignment horizontal="center" shrinkToFit="1" readingOrder="1"/>
    </xf>
    <xf numFmtId="0" fontId="14" fillId="3" borderId="133" xfId="0" applyFont="1" applyFill="1" applyBorder="1" applyAlignment="1">
      <alignment horizontal="center" shrinkToFit="1"/>
    </xf>
    <xf numFmtId="1" fontId="14" fillId="3" borderId="193" xfId="0" applyNumberFormat="1" applyFont="1" applyFill="1" applyBorder="1" applyAlignment="1">
      <alignment horizontal="center"/>
    </xf>
    <xf numFmtId="14" fontId="14" fillId="3" borderId="194" xfId="0" applyNumberFormat="1"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0" fontId="14" fillId="7" borderId="195" xfId="0" applyFont="1" applyFill="1" applyBorder="1" applyAlignment="1">
      <alignment horizontal="center" shrinkToFit="1"/>
    </xf>
    <xf numFmtId="1" fontId="14" fillId="7" borderId="196" xfId="0" applyNumberFormat="1" applyFont="1" applyFill="1" applyBorder="1" applyAlignment="1">
      <alignment horizontal="center"/>
    </xf>
    <xf numFmtId="14" fontId="14" fillId="7" borderId="197" xfId="0" applyNumberFormat="1" applyFont="1" applyFill="1" applyBorder="1" applyAlignment="1">
      <alignment horizontal="center" shrinkToFit="1" readingOrder="1"/>
    </xf>
    <xf numFmtId="14" fontId="14" fillId="7" borderId="196" xfId="0" applyNumberFormat="1" applyFont="1" applyFill="1" applyBorder="1" applyAlignment="1">
      <alignment horizontal="center" shrinkToFit="1" readingOrder="1"/>
    </xf>
    <xf numFmtId="0" fontId="13" fillId="3" borderId="192" xfId="150" applyFill="1" applyBorder="1" applyAlignment="1" applyProtection="1">
      <alignment horizontal="center" shrinkToFit="1"/>
    </xf>
    <xf numFmtId="0" fontId="13" fillId="7" borderId="192" xfId="150" applyFill="1" applyBorder="1" applyAlignment="1" applyProtection="1">
      <alignment horizontal="center" shrinkToFit="1"/>
    </xf>
    <xf numFmtId="0" fontId="14" fillId="27" borderId="195" xfId="0" applyFont="1" applyFill="1" applyBorder="1" applyAlignment="1">
      <alignment horizontal="center" shrinkToFit="1"/>
    </xf>
    <xf numFmtId="165" fontId="84" fillId="7" borderId="192" xfId="0" applyNumberFormat="1" applyFont="1" applyFill="1" applyBorder="1" applyAlignment="1">
      <alignment horizontal="center" vertical="center" shrinkToFit="1"/>
    </xf>
    <xf numFmtId="1" fontId="14" fillId="27" borderId="196" xfId="0" applyNumberFormat="1" applyFont="1" applyFill="1" applyBorder="1" applyAlignment="1">
      <alignment horizontal="center"/>
    </xf>
    <xf numFmtId="0" fontId="12" fillId="7" borderId="192" xfId="150" applyFont="1" applyFill="1" applyBorder="1" applyAlignment="1" applyProtection="1">
      <alignment horizontal="center" shrinkToFit="1"/>
    </xf>
    <xf numFmtId="0" fontId="14" fillId="51" borderId="139" xfId="0" applyFont="1" applyFill="1" applyBorder="1" applyAlignment="1">
      <alignment horizontal="center" shrinkToFit="1" readingOrder="1"/>
    </xf>
    <xf numFmtId="1" fontId="14" fillId="3" borderId="196" xfId="0" applyNumberFormat="1" applyFont="1" applyFill="1" applyBorder="1" applyAlignment="1">
      <alignment horizontal="center" vertical="center" shrinkToFit="1"/>
    </xf>
    <xf numFmtId="0" fontId="14" fillId="3" borderId="197" xfId="1713" applyFont="1" applyFill="1" applyBorder="1" applyAlignment="1">
      <alignment horizontal="left" vertical="center" shrinkToFit="1"/>
    </xf>
    <xf numFmtId="0" fontId="14" fillId="3" borderId="196" xfId="1713" applyFont="1" applyFill="1" applyBorder="1" applyAlignment="1">
      <alignment horizontal="left" shrinkToFit="1"/>
    </xf>
    <xf numFmtId="0" fontId="14" fillId="3" borderId="196" xfId="1713" applyFont="1" applyFill="1" applyBorder="1" applyAlignment="1">
      <alignment horizontal="center" shrinkToFit="1"/>
    </xf>
    <xf numFmtId="1" fontId="84" fillId="3" borderId="196" xfId="0" applyNumberFormat="1" applyFont="1" applyFill="1" applyBorder="1" applyAlignment="1">
      <alignment horizontal="center" vertical="center" shrinkToFit="1"/>
    </xf>
    <xf numFmtId="2" fontId="84" fillId="3" borderId="196" xfId="0" applyNumberFormat="1" applyFont="1" applyFill="1" applyBorder="1" applyAlignment="1">
      <alignment horizontal="center" vertical="center" shrinkToFit="1"/>
    </xf>
    <xf numFmtId="0" fontId="14" fillId="10" borderId="197" xfId="0" applyFont="1" applyFill="1" applyBorder="1" applyAlignment="1">
      <alignment horizontal="center" shrinkToFit="1" readingOrder="1"/>
    </xf>
    <xf numFmtId="1" fontId="14" fillId="3" borderId="196" xfId="1713" applyNumberFormat="1" applyFont="1" applyFill="1" applyBorder="1" applyAlignment="1">
      <alignment horizontal="center" shrinkToFit="1"/>
    </xf>
    <xf numFmtId="2" fontId="14" fillId="3" borderId="196" xfId="1713" applyNumberFormat="1" applyFont="1" applyFill="1" applyBorder="1" applyAlignment="1">
      <alignment horizontal="center" shrinkToFit="1"/>
    </xf>
    <xf numFmtId="49" fontId="14" fillId="3" borderId="192" xfId="0" applyNumberFormat="1" applyFont="1" applyFill="1" applyBorder="1" applyAlignment="1">
      <alignment horizontal="center" vertical="center" shrinkToFit="1"/>
    </xf>
    <xf numFmtId="0" fontId="14" fillId="9" borderId="192" xfId="1713" applyFont="1" applyFill="1" applyBorder="1" applyAlignment="1">
      <alignment horizontal="center" shrinkToFit="1"/>
    </xf>
    <xf numFmtId="0" fontId="14" fillId="3" borderId="0" xfId="1713" applyFont="1" applyFill="1" applyAlignment="1">
      <alignment horizontal="center" shrinkToFit="1"/>
    </xf>
    <xf numFmtId="14" fontId="14" fillId="3" borderId="198" xfId="0" applyNumberFormat="1" applyFont="1" applyFill="1" applyBorder="1" applyAlignment="1">
      <alignment horizontal="center" shrinkToFit="1" readingOrder="1"/>
    </xf>
    <xf numFmtId="0" fontId="53" fillId="49" borderId="139" xfId="0" applyFont="1" applyFill="1" applyBorder="1" applyAlignment="1">
      <alignment horizontal="left" vertical="center"/>
    </xf>
    <xf numFmtId="0" fontId="53" fillId="49" borderId="131" xfId="0" applyFont="1" applyFill="1" applyBorder="1" applyAlignment="1">
      <alignment horizontal="left" vertical="center"/>
    </xf>
    <xf numFmtId="14" fontId="53" fillId="49" borderId="131" xfId="0" applyNumberFormat="1" applyFont="1" applyFill="1" applyBorder="1" applyAlignment="1">
      <alignment horizontal="left" vertical="center"/>
    </xf>
    <xf numFmtId="0" fontId="0" fillId="56" borderId="119" xfId="0" applyFill="1" applyBorder="1"/>
    <xf numFmtId="0" fontId="0" fillId="56" borderId="190" xfId="0" applyFill="1" applyBorder="1"/>
    <xf numFmtId="0" fontId="0" fillId="56" borderId="91" xfId="0" applyFill="1" applyBorder="1"/>
    <xf numFmtId="0" fontId="0" fillId="56" borderId="140" xfId="0" applyFill="1" applyBorder="1"/>
    <xf numFmtId="0" fontId="135"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4" borderId="0" xfId="0" applyFont="1" applyFill="1" applyAlignment="1" applyProtection="1">
      <alignment horizontal="right" vertical="center" shrinkToFit="1"/>
      <protection hidden="1"/>
    </xf>
    <xf numFmtId="0" fontId="133"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69" fillId="7" borderId="9" xfId="0" applyFont="1" applyFill="1" applyBorder="1" applyAlignment="1" applyProtection="1">
      <alignment horizontal="left" shrinkToFit="1"/>
      <protection hidden="1"/>
    </xf>
    <xf numFmtId="0" fontId="11" fillId="10" borderId="0" xfId="0" applyFont="1" applyFill="1" applyAlignment="1" applyProtection="1">
      <alignment horizontal="center" shrinkToFit="1"/>
      <protection hidden="1"/>
    </xf>
    <xf numFmtId="0" fontId="49" fillId="7" borderId="25" xfId="0" applyFont="1" applyFill="1" applyBorder="1" applyAlignment="1" applyProtection="1">
      <alignment horizontal="center" vertical="center" shrinkToFit="1"/>
      <protection hidden="1"/>
    </xf>
    <xf numFmtId="0" fontId="49" fillId="7" borderId="10" xfId="0" applyFont="1" applyFill="1" applyBorder="1" applyAlignment="1" applyProtection="1">
      <alignment horizontal="center" vertical="center" shrinkToFit="1"/>
      <protection hidden="1"/>
    </xf>
    <xf numFmtId="0" fontId="15" fillId="7" borderId="0" xfId="1713" applyFont="1" applyFill="1" applyAlignment="1" applyProtection="1">
      <alignment horizontal="left" vertical="center" shrinkToFit="1"/>
      <protection hidden="1"/>
    </xf>
    <xf numFmtId="0" fontId="110" fillId="18" borderId="43" xfId="0" applyFont="1" applyFill="1" applyBorder="1" applyAlignment="1" applyProtection="1">
      <alignment horizontal="right" vertical="center"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130" fillId="10" borderId="0" xfId="0" applyNumberFormat="1" applyFont="1" applyFill="1" applyAlignment="1" applyProtection="1">
      <alignment horizontal="center" vertical="center"/>
      <protection hidden="1"/>
    </xf>
    <xf numFmtId="165" fontId="51" fillId="10" borderId="0" xfId="0" applyNumberFormat="1" applyFont="1" applyFill="1" applyAlignment="1" applyProtection="1">
      <alignment horizontal="center" vertical="center"/>
      <protection hidden="1"/>
    </xf>
    <xf numFmtId="165" fontId="130" fillId="10" borderId="0" xfId="0" applyNumberFormat="1" applyFont="1" applyFill="1" applyAlignment="1" applyProtection="1">
      <alignment horizontal="center" vertical="center" shrinkToFit="1"/>
      <protection hidden="1"/>
    </xf>
    <xf numFmtId="165" fontId="51" fillId="10" borderId="0" xfId="0" applyNumberFormat="1" applyFont="1" applyFill="1" applyAlignment="1" applyProtection="1">
      <alignment horizontal="center" vertical="center" shrinkToFit="1"/>
      <protection hidden="1"/>
    </xf>
    <xf numFmtId="0" fontId="17" fillId="7" borderId="25" xfId="0" applyFont="1" applyFill="1" applyBorder="1" applyAlignment="1" applyProtection="1">
      <alignment horizontal="center" vertical="center" wrapText="1" shrinkToFit="1"/>
      <protection hidden="1"/>
    </xf>
    <xf numFmtId="0" fontId="0" fillId="0" borderId="10" xfId="0" applyBorder="1" applyAlignment="1" applyProtection="1">
      <alignment horizontal="center" vertical="center" wrapText="1" shrinkToFit="1"/>
      <protection hidden="1"/>
    </xf>
    <xf numFmtId="0" fontId="0" fillId="0" borderId="27" xfId="0" applyBorder="1" applyAlignment="1" applyProtection="1">
      <alignment horizontal="center" vertical="center" wrapText="1" shrinkToFit="1"/>
      <protection hidden="1"/>
    </xf>
    <xf numFmtId="0" fontId="17" fillId="7" borderId="10" xfId="0" applyFont="1" applyFill="1" applyBorder="1" applyAlignment="1" applyProtection="1">
      <alignment horizontal="center" vertical="center" wrapText="1" shrinkToFit="1"/>
      <protection hidden="1"/>
    </xf>
    <xf numFmtId="0" fontId="17" fillId="7" borderId="27" xfId="0" applyFont="1" applyFill="1" applyBorder="1" applyAlignment="1" applyProtection="1">
      <alignment horizontal="center" vertical="center" wrapText="1" shrinkToFit="1"/>
      <protection hidden="1"/>
    </xf>
    <xf numFmtId="0" fontId="17" fillId="7" borderId="6" xfId="0" applyFont="1" applyFill="1" applyBorder="1" applyAlignment="1" applyProtection="1">
      <alignment horizontal="center" vertical="center" wrapText="1" shrinkToFit="1"/>
      <protection hidden="1"/>
    </xf>
    <xf numFmtId="0" fontId="104" fillId="49" borderId="108" xfId="0" applyFont="1" applyFill="1" applyBorder="1" applyAlignment="1" applyProtection="1">
      <alignment horizontal="center" vertical="center" shrinkToFit="1"/>
      <protection hidden="1"/>
    </xf>
    <xf numFmtId="0" fontId="104" fillId="49" borderId="109" xfId="0" applyFont="1" applyFill="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12" xfId="0" applyFont="1" applyBorder="1" applyAlignment="1" applyProtection="1">
      <alignment horizontal="center" vertical="center" shrinkToFit="1"/>
      <protection hidden="1"/>
    </xf>
    <xf numFmtId="0" fontId="73" fillId="7" borderId="25" xfId="0" applyFont="1" applyFill="1" applyBorder="1" applyAlignment="1" applyProtection="1">
      <alignment horizontal="center" vertical="center" wrapText="1" shrinkToFit="1"/>
      <protection hidden="1"/>
    </xf>
    <xf numFmtId="0" fontId="73" fillId="7" borderId="6" xfId="0" applyFont="1" applyFill="1" applyBorder="1" applyAlignment="1" applyProtection="1">
      <alignment horizontal="center" vertical="center" wrapText="1" shrinkToFit="1"/>
      <protection hidden="1"/>
    </xf>
    <xf numFmtId="0" fontId="17" fillId="7" borderId="50" xfId="0" applyFont="1" applyFill="1" applyBorder="1" applyAlignment="1" applyProtection="1">
      <alignment horizontal="center" vertical="center" shrinkToFit="1"/>
      <protection hidden="1"/>
    </xf>
    <xf numFmtId="0" fontId="17" fillId="7" borderId="51" xfId="0" applyFont="1" applyFill="1" applyBorder="1" applyAlignment="1" applyProtection="1">
      <alignment horizontal="center" vertical="center" shrinkToFit="1"/>
      <protection hidden="1"/>
    </xf>
    <xf numFmtId="0" fontId="17" fillId="22" borderId="25" xfId="0" applyFont="1" applyFill="1" applyBorder="1" applyAlignment="1" applyProtection="1">
      <alignment horizontal="center" vertical="center" wrapText="1" shrinkToFit="1"/>
      <protection hidden="1"/>
    </xf>
    <xf numFmtId="0" fontId="17" fillId="22" borderId="10" xfId="0" applyFont="1" applyFill="1" applyBorder="1" applyAlignment="1" applyProtection="1">
      <alignment horizontal="center" vertical="center" wrapText="1" shrinkToFit="1"/>
      <protection hidden="1"/>
    </xf>
    <xf numFmtId="0" fontId="17" fillId="22" borderId="27" xfId="0" applyFont="1" applyFill="1" applyBorder="1" applyAlignment="1" applyProtection="1">
      <alignment horizontal="center" vertical="center" wrapText="1" shrinkToFit="1"/>
      <protection hidden="1"/>
    </xf>
    <xf numFmtId="0" fontId="49" fillId="27" borderId="25" xfId="0" applyFont="1" applyFill="1" applyBorder="1" applyAlignment="1" applyProtection="1">
      <alignment horizontal="center" vertical="center" wrapText="1" shrinkToFit="1"/>
      <protection hidden="1"/>
    </xf>
    <xf numFmtId="0" fontId="49" fillId="27" borderId="10" xfId="0" applyFont="1" applyFill="1" applyBorder="1" applyAlignment="1" applyProtection="1">
      <alignment horizontal="center" vertical="center" wrapText="1" shrinkToFit="1"/>
      <protection hidden="1"/>
    </xf>
    <xf numFmtId="0" fontId="49" fillId="27" borderId="27" xfId="0" applyFont="1" applyFill="1" applyBorder="1" applyAlignment="1" applyProtection="1">
      <alignment horizontal="center" vertical="center" wrapText="1" shrinkToFit="1"/>
      <protection hidden="1"/>
    </xf>
    <xf numFmtId="0" fontId="17" fillId="0" borderId="110" xfId="0" applyFont="1" applyBorder="1" applyAlignment="1" applyProtection="1">
      <alignment horizontal="right" vertical="center" shrinkToFit="1"/>
      <protection hidden="1"/>
    </xf>
    <xf numFmtId="0" fontId="17" fillId="0" borderId="16" xfId="0" applyFont="1" applyBorder="1" applyAlignment="1" applyProtection="1">
      <alignment horizontal="right" vertical="center" shrinkToFit="1"/>
      <protection hidden="1"/>
    </xf>
    <xf numFmtId="22" fontId="16" fillId="53" borderId="110" xfId="0" applyNumberFormat="1" applyFont="1" applyFill="1" applyBorder="1" applyAlignment="1" applyProtection="1">
      <alignment horizontal="center" vertical="center" shrinkToFit="1"/>
      <protection hidden="1"/>
    </xf>
    <xf numFmtId="22" fontId="16" fillId="53" borderId="16" xfId="0" applyNumberFormat="1" applyFont="1" applyFill="1" applyBorder="1" applyAlignment="1" applyProtection="1">
      <alignment horizontal="center" vertical="center" shrinkToFit="1"/>
      <protection hidden="1"/>
    </xf>
    <xf numFmtId="22" fontId="16" fillId="53" borderId="112" xfId="0" applyNumberFormat="1" applyFont="1" applyFill="1" applyBorder="1" applyAlignment="1" applyProtection="1">
      <alignment horizontal="center" vertical="center" shrinkToFit="1"/>
      <protection hidden="1"/>
    </xf>
    <xf numFmtId="0" fontId="73" fillId="7" borderId="10" xfId="0" applyFont="1" applyFill="1" applyBorder="1" applyAlignment="1" applyProtection="1">
      <alignment horizontal="center" vertical="center" wrapText="1" shrinkToFit="1"/>
      <protection hidden="1"/>
    </xf>
    <xf numFmtId="0" fontId="73" fillId="7" borderId="27" xfId="0" applyFont="1" applyFill="1" applyBorder="1" applyAlignment="1" applyProtection="1">
      <alignment horizontal="center" vertical="center" wrapText="1" shrinkToFit="1"/>
      <protection hidden="1"/>
    </xf>
    <xf numFmtId="0" fontId="17" fillId="7" borderId="29" xfId="0" applyFont="1" applyFill="1" applyBorder="1" applyAlignment="1" applyProtection="1">
      <alignment horizontal="center" vertical="center" wrapText="1" shrinkToFit="1"/>
      <protection hidden="1"/>
    </xf>
    <xf numFmtId="0" fontId="0" fillId="0" borderId="30" xfId="0" applyBorder="1" applyAlignment="1" applyProtection="1">
      <alignment horizontal="center" vertical="center" wrapText="1" shrinkToFit="1"/>
      <protection hidden="1"/>
    </xf>
    <xf numFmtId="0" fontId="0" fillId="0" borderId="31" xfId="0" applyBorder="1" applyAlignment="1" applyProtection="1">
      <alignment horizontal="center" vertical="center" wrapText="1" shrinkToFit="1"/>
      <protection hidden="1"/>
    </xf>
    <xf numFmtId="0" fontId="112" fillId="7" borderId="25" xfId="0" applyFont="1" applyFill="1" applyBorder="1" applyAlignment="1" applyProtection="1">
      <alignment horizontal="center" vertical="center" wrapText="1" shrinkToFit="1"/>
      <protection hidden="1"/>
    </xf>
    <xf numFmtId="0" fontId="112" fillId="7" borderId="6" xfId="0" applyFont="1" applyFill="1" applyBorder="1" applyAlignment="1" applyProtection="1">
      <alignment horizontal="center" vertical="center" wrapText="1" shrinkToFit="1"/>
      <protection hidden="1"/>
    </xf>
    <xf numFmtId="0" fontId="0" fillId="0" borderId="138" xfId="0" applyBorder="1" applyAlignment="1" applyProtection="1">
      <alignment horizontal="center"/>
      <protection hidden="1"/>
    </xf>
    <xf numFmtId="3" fontId="61" fillId="7" borderId="32" xfId="0" applyNumberFormat="1" applyFont="1" applyFill="1" applyBorder="1" applyAlignment="1" applyProtection="1">
      <alignment horizontal="center" vertical="center" shrinkToFit="1"/>
      <protection hidden="1"/>
    </xf>
    <xf numFmtId="3" fontId="61" fillId="7" borderId="33" xfId="0" applyNumberFormat="1" applyFont="1" applyFill="1" applyBorder="1" applyAlignment="1" applyProtection="1">
      <alignment horizontal="center" vertical="center" shrinkToFit="1"/>
      <protection hidden="1"/>
    </xf>
    <xf numFmtId="3" fontId="0" fillId="7" borderId="23" xfId="0" applyNumberFormat="1" applyFill="1" applyBorder="1" applyAlignment="1" applyProtection="1">
      <alignment horizontal="center" vertical="center" shrinkToFit="1"/>
      <protection hidden="1"/>
    </xf>
    <xf numFmtId="3" fontId="0" fillId="7" borderId="24" xfId="0" applyNumberForma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0" fontId="77" fillId="7" borderId="20" xfId="0" applyFont="1" applyFill="1" applyBorder="1" applyAlignment="1" applyProtection="1">
      <alignment horizontal="center" vertical="center" wrapText="1"/>
      <protection hidden="1"/>
    </xf>
    <xf numFmtId="0" fontId="77" fillId="7" borderId="21" xfId="0" applyFont="1" applyFill="1" applyBorder="1" applyAlignment="1" applyProtection="1">
      <alignment horizontal="center" vertical="center"/>
      <protection hidden="1"/>
    </xf>
    <xf numFmtId="0" fontId="77" fillId="7" borderId="22" xfId="0" applyFont="1" applyFill="1" applyBorder="1" applyAlignment="1" applyProtection="1">
      <alignment horizontal="center" vertical="center"/>
      <protection hidden="1"/>
    </xf>
    <xf numFmtId="0" fontId="77" fillId="7" borderId="19" xfId="0" applyFont="1" applyFill="1" applyBorder="1" applyAlignment="1" applyProtection="1">
      <alignment horizontal="center" vertical="center"/>
      <protection hidden="1"/>
    </xf>
    <xf numFmtId="0" fontId="78" fillId="6" borderId="37" xfId="0" applyFont="1" applyFill="1" applyBorder="1" applyAlignment="1" applyProtection="1">
      <alignment horizontal="center" vertical="top" shrinkToFit="1"/>
      <protection hidden="1"/>
    </xf>
    <xf numFmtId="0" fontId="78" fillId="6" borderId="53" xfId="0" applyFont="1" applyFill="1" applyBorder="1" applyAlignment="1" applyProtection="1">
      <alignment horizontal="center" vertical="top" shrinkToFit="1"/>
      <protection hidden="1"/>
    </xf>
    <xf numFmtId="0" fontId="49" fillId="7" borderId="27" xfId="0" applyFont="1" applyFill="1" applyBorder="1" applyAlignment="1" applyProtection="1">
      <alignment horizontal="center" vertical="center" shrinkToFit="1"/>
      <protection hidden="1"/>
    </xf>
    <xf numFmtId="0" fontId="84" fillId="0" borderId="25" xfId="0" applyFont="1" applyBorder="1" applyAlignment="1" applyProtection="1">
      <alignment horizontal="center" vertical="center" wrapText="1" shrinkToFit="1"/>
      <protection hidden="1"/>
    </xf>
    <xf numFmtId="0" fontId="84" fillId="0" borderId="10" xfId="0" applyFont="1" applyBorder="1" applyAlignment="1" applyProtection="1">
      <alignment horizontal="center" vertical="center" wrapText="1" shrinkToFit="1"/>
      <protection hidden="1"/>
    </xf>
    <xf numFmtId="0" fontId="84" fillId="0" borderId="27" xfId="0" applyFont="1" applyBorder="1" applyAlignment="1" applyProtection="1">
      <alignment horizontal="center" vertical="center" wrapText="1" shrinkToFit="1"/>
      <protection hidden="1"/>
    </xf>
    <xf numFmtId="0" fontId="17" fillId="7" borderId="14" xfId="0" applyFont="1" applyFill="1" applyBorder="1" applyAlignment="1" applyProtection="1">
      <alignment horizontal="center" vertical="center" shrinkToFit="1"/>
      <protection hidden="1"/>
    </xf>
    <xf numFmtId="0" fontId="17" fillId="7" borderId="184" xfId="0" applyFont="1" applyFill="1" applyBorder="1" applyAlignment="1" applyProtection="1">
      <alignment horizontal="center" vertical="center" shrinkToFit="1"/>
      <protection hidden="1"/>
    </xf>
    <xf numFmtId="0" fontId="125" fillId="7" borderId="0" xfId="0" applyFont="1" applyFill="1" applyAlignment="1" applyProtection="1">
      <alignment horizontal="center" vertical="center" shrinkToFit="1"/>
      <protection hidden="1"/>
    </xf>
    <xf numFmtId="0" fontId="76" fillId="7" borderId="21" xfId="0" applyFont="1" applyFill="1" applyBorder="1" applyAlignment="1" applyProtection="1">
      <alignment horizontal="left" vertical="center" shrinkToFit="1"/>
      <protection hidden="1"/>
    </xf>
    <xf numFmtId="0" fontId="76" fillId="27" borderId="21" xfId="0" applyFont="1" applyFill="1" applyBorder="1" applyAlignment="1" applyProtection="1">
      <alignment horizontal="left" vertical="center" shrinkToFit="1"/>
      <protection hidden="1"/>
    </xf>
    <xf numFmtId="3" fontId="60" fillId="7" borderId="47" xfId="0" applyNumberFormat="1" applyFont="1" applyFill="1" applyBorder="1" applyAlignment="1" applyProtection="1">
      <alignment horizontal="center" shrinkToFit="1"/>
      <protection hidden="1"/>
    </xf>
    <xf numFmtId="3" fontId="60" fillId="7" borderId="46" xfId="0" applyNumberFormat="1" applyFont="1" applyFill="1" applyBorder="1" applyAlignment="1" applyProtection="1">
      <alignment horizontal="center" shrinkToFit="1"/>
      <protection hidden="1"/>
    </xf>
    <xf numFmtId="0" fontId="17" fillId="6" borderId="130" xfId="0" applyFont="1" applyFill="1" applyBorder="1" applyAlignment="1" applyProtection="1">
      <alignment horizontal="center" vertical="center" shrinkToFit="1"/>
      <protection hidden="1"/>
    </xf>
    <xf numFmtId="0" fontId="17" fillId="6" borderId="22" xfId="0" applyFont="1" applyFill="1" applyBorder="1" applyAlignment="1" applyProtection="1">
      <alignment horizontal="center" vertical="center" shrinkToFit="1"/>
      <protection hidden="1"/>
    </xf>
    <xf numFmtId="1" fontId="52" fillId="19" borderId="139" xfId="0" applyNumberFormat="1" applyFont="1" applyFill="1" applyBorder="1" applyAlignment="1" applyProtection="1">
      <alignment horizontal="center" vertical="center" shrinkToFit="1"/>
      <protection hidden="1"/>
    </xf>
    <xf numFmtId="1" fontId="52" fillId="19" borderId="132" xfId="0" applyNumberFormat="1" applyFont="1" applyFill="1" applyBorder="1" applyAlignment="1" applyProtection="1">
      <alignment horizontal="center" vertical="center" shrinkToFit="1"/>
      <protection hidden="1"/>
    </xf>
    <xf numFmtId="0" fontId="52" fillId="19" borderId="41" xfId="0" applyFont="1" applyFill="1" applyBorder="1" applyAlignment="1" applyProtection="1">
      <alignment horizontal="center" shrinkToFit="1"/>
      <protection hidden="1"/>
    </xf>
    <xf numFmtId="0" fontId="52" fillId="19" borderId="44" xfId="0" applyFont="1" applyFill="1" applyBorder="1" applyAlignment="1" applyProtection="1">
      <alignment horizontal="center" shrinkToFit="1"/>
      <protection hidden="1"/>
    </xf>
    <xf numFmtId="3" fontId="6" fillId="7" borderId="137" xfId="0" applyNumberFormat="1" applyFont="1" applyFill="1" applyBorder="1" applyAlignment="1" applyProtection="1">
      <alignment horizontal="center" vertical="center" shrinkToFit="1"/>
      <protection hidden="1"/>
    </xf>
    <xf numFmtId="3" fontId="70" fillId="7" borderId="137" xfId="0" applyNumberFormat="1" applyFont="1" applyFill="1" applyBorder="1" applyAlignment="1" applyProtection="1">
      <alignment horizontal="center" vertical="center" shrinkToFit="1"/>
      <protection hidden="1"/>
    </xf>
    <xf numFmtId="49" fontId="6" fillId="7" borderId="137" xfId="0" applyNumberFormat="1" applyFont="1" applyFill="1" applyBorder="1" applyAlignment="1" applyProtection="1">
      <alignment horizontal="center" vertical="center" shrinkToFit="1"/>
      <protection hidden="1"/>
    </xf>
    <xf numFmtId="49" fontId="70" fillId="7" borderId="137" xfId="0" applyNumberFormat="1" applyFont="1" applyFill="1" applyBorder="1" applyAlignment="1" applyProtection="1">
      <alignment horizontal="center" vertical="center" shrinkToFit="1"/>
      <protection hidden="1"/>
    </xf>
    <xf numFmtId="49" fontId="6" fillId="7" borderId="137" xfId="0" quotePrefix="1" applyNumberFormat="1" applyFont="1" applyFill="1" applyBorder="1" applyAlignment="1" applyProtection="1">
      <alignment horizontal="center" vertical="center" shrinkToFit="1"/>
      <protection hidden="1"/>
    </xf>
    <xf numFmtId="4" fontId="0" fillId="0" borderId="137" xfId="0" applyNumberFormat="1" applyBorder="1" applyAlignment="1" applyProtection="1">
      <alignment horizontal="center" vertical="center"/>
      <protection hidden="1"/>
    </xf>
    <xf numFmtId="0" fontId="115" fillId="7" borderId="137" xfId="0" applyFont="1" applyFill="1" applyBorder="1" applyAlignment="1" applyProtection="1">
      <alignment horizontal="left" vertical="center" shrinkToFit="1"/>
      <protection hidden="1"/>
    </xf>
    <xf numFmtId="0" fontId="115" fillId="0" borderId="137" xfId="0" applyFont="1" applyBorder="1" applyAlignment="1" applyProtection="1">
      <alignment horizontal="left" vertical="center" shrinkToFit="1"/>
      <protection hidden="1"/>
    </xf>
    <xf numFmtId="14" fontId="2" fillId="27" borderId="137" xfId="0" applyNumberFormat="1" applyFont="1" applyFill="1" applyBorder="1" applyAlignment="1" applyProtection="1">
      <alignment horizontal="center" shrinkToFit="1"/>
      <protection hidden="1"/>
    </xf>
    <xf numFmtId="14" fontId="6" fillId="27" borderId="137" xfId="0" applyNumberFormat="1" applyFont="1" applyFill="1" applyBorder="1" applyAlignment="1" applyProtection="1">
      <alignment horizontal="center" shrinkToFit="1"/>
      <protection hidden="1"/>
    </xf>
    <xf numFmtId="14" fontId="70" fillId="27" borderId="137" xfId="0" applyNumberFormat="1" applyFont="1" applyFill="1" applyBorder="1" applyAlignment="1" applyProtection="1">
      <alignment horizontal="center" shrinkToFit="1"/>
      <protection hidden="1"/>
    </xf>
    <xf numFmtId="0" fontId="15" fillId="7" borderId="15" xfId="1713" applyFont="1" applyFill="1" applyBorder="1" applyAlignment="1" applyProtection="1">
      <alignment horizontal="left" vertical="center" shrinkToFit="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9" xfId="0" applyFont="1" applyFill="1" applyBorder="1" applyAlignment="1" applyProtection="1">
      <alignment horizontal="center" vertical="center" wrapText="1"/>
      <protection hidden="1"/>
    </xf>
    <xf numFmtId="0" fontId="0" fillId="0" borderId="186" xfId="0" applyBorder="1" applyAlignment="1" applyProtection="1">
      <alignment horizontal="center" vertical="center" wrapText="1"/>
      <protection hidden="1"/>
    </xf>
    <xf numFmtId="0" fontId="0" fillId="0" borderId="187" xfId="0" applyBorder="1" applyAlignment="1" applyProtection="1">
      <alignment horizontal="center" vertical="center" wrapText="1"/>
      <protection hidden="1"/>
    </xf>
    <xf numFmtId="0" fontId="0" fillId="0" borderId="188"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89" xfId="0" applyFont="1" applyFill="1" applyBorder="1" applyAlignment="1" applyProtection="1">
      <alignment horizontal="center" shrinkToFit="1"/>
      <protection hidden="1"/>
    </xf>
    <xf numFmtId="3" fontId="0" fillId="0" borderId="137" xfId="0" applyNumberFormat="1" applyBorder="1" applyAlignment="1" applyProtection="1">
      <alignment horizontal="center" vertical="center"/>
      <protection hidden="1"/>
    </xf>
    <xf numFmtId="0" fontId="3" fillId="45" borderId="174" xfId="0" applyFont="1" applyFill="1" applyBorder="1" applyAlignment="1">
      <alignment horizontal="center" shrinkToFit="1"/>
    </xf>
    <xf numFmtId="0" fontId="3" fillId="45" borderId="43" xfId="0" applyFont="1" applyFill="1" applyBorder="1" applyAlignment="1">
      <alignment horizontal="center" shrinkToFit="1"/>
    </xf>
    <xf numFmtId="0" fontId="3" fillId="45" borderId="175" xfId="0" applyFont="1" applyFill="1" applyBorder="1" applyAlignment="1">
      <alignment horizontal="center" shrinkToFit="1"/>
    </xf>
    <xf numFmtId="0" fontId="131" fillId="45" borderId="0" xfId="0" applyFont="1" applyFill="1" applyAlignment="1">
      <alignment horizontal="center" shrinkToFit="1"/>
    </xf>
    <xf numFmtId="0" fontId="109" fillId="32" borderId="0" xfId="0" applyFont="1" applyFill="1" applyAlignment="1">
      <alignment horizontal="center" vertical="center" shrinkToFit="1"/>
    </xf>
    <xf numFmtId="0" fontId="99" fillId="37" borderId="0" xfId="0" applyFont="1" applyFill="1" applyAlignment="1">
      <alignment horizontal="center" shrinkToFit="1"/>
    </xf>
    <xf numFmtId="0" fontId="0" fillId="45" borderId="35" xfId="0" applyFill="1" applyBorder="1" applyAlignment="1">
      <alignment horizontal="left" shrinkToFit="1"/>
    </xf>
    <xf numFmtId="0" fontId="108" fillId="7" borderId="0" xfId="0" applyFont="1" applyFill="1" applyAlignment="1">
      <alignment horizontal="right" vertical="center" shrinkToFit="1"/>
    </xf>
    <xf numFmtId="0" fontId="99" fillId="31" borderId="0" xfId="0" applyFont="1" applyFill="1" applyAlignment="1">
      <alignment horizontal="center" shrinkToFit="1"/>
    </xf>
    <xf numFmtId="0" fontId="81" fillId="36" borderId="0" xfId="0" applyFont="1" applyFill="1" applyAlignment="1">
      <alignment horizontal="left"/>
    </xf>
    <xf numFmtId="0" fontId="49" fillId="7" borderId="129" xfId="0" applyFont="1" applyFill="1" applyBorder="1" applyAlignment="1">
      <alignment horizontal="center" shrinkToFit="1"/>
    </xf>
    <xf numFmtId="0" fontId="49" fillId="7" borderId="118" xfId="0" applyFont="1" applyFill="1" applyBorder="1" applyAlignment="1">
      <alignment horizontal="center" shrinkToFit="1"/>
    </xf>
    <xf numFmtId="0" fontId="120" fillId="35" borderId="0" xfId="0" applyFont="1" applyFill="1" applyAlignment="1">
      <alignment horizontal="center" vertical="center" shrinkToFit="1"/>
    </xf>
    <xf numFmtId="0" fontId="99" fillId="7" borderId="0" xfId="0" applyFont="1" applyFill="1" applyAlignment="1">
      <alignment horizontal="right" shrinkToFit="1"/>
    </xf>
    <xf numFmtId="0" fontId="70" fillId="35" borderId="0" xfId="0" applyFont="1" applyFill="1" applyAlignment="1">
      <alignment horizontal="center" shrinkToFit="1"/>
    </xf>
    <xf numFmtId="0" fontId="99" fillId="7" borderId="0" xfId="0" applyFont="1" applyFill="1" applyAlignment="1">
      <alignment horizontal="left" shrinkToFit="1"/>
    </xf>
    <xf numFmtId="0" fontId="49" fillId="33" borderId="146" xfId="0" applyFont="1" applyFill="1" applyBorder="1" applyAlignment="1">
      <alignment horizontal="left" shrinkToFit="1"/>
    </xf>
    <xf numFmtId="0" fontId="49" fillId="33" borderId="151" xfId="0" applyFont="1" applyFill="1" applyBorder="1" applyAlignment="1">
      <alignment horizontal="left" shrinkToFit="1"/>
    </xf>
    <xf numFmtId="0" fontId="49" fillId="33" borderId="149" xfId="0" applyFont="1" applyFill="1" applyBorder="1" applyAlignment="1">
      <alignment horizontal="left" shrinkToFit="1"/>
    </xf>
    <xf numFmtId="0" fontId="49" fillId="33" borderId="153" xfId="0" applyFont="1" applyFill="1" applyBorder="1" applyAlignment="1">
      <alignment horizontal="left" shrinkToFit="1"/>
    </xf>
    <xf numFmtId="0" fontId="49" fillId="33" borderId="145" xfId="0" applyFont="1" applyFill="1" applyBorder="1" applyAlignment="1">
      <alignment horizontal="left" shrinkToFit="1"/>
    </xf>
    <xf numFmtId="0" fontId="49" fillId="33" borderId="152" xfId="0" applyFont="1" applyFill="1" applyBorder="1" applyAlignment="1">
      <alignment horizontal="left" shrinkToFit="1"/>
    </xf>
    <xf numFmtId="0" fontId="49" fillId="43" borderId="146" xfId="0" applyFont="1" applyFill="1" applyBorder="1" applyAlignment="1">
      <alignment horizontal="center" shrinkToFit="1"/>
    </xf>
    <xf numFmtId="0" fontId="49" fillId="43" borderId="147" xfId="0" applyFont="1" applyFill="1" applyBorder="1" applyAlignment="1">
      <alignment horizontal="center" shrinkToFit="1"/>
    </xf>
    <xf numFmtId="0" fontId="49" fillId="7" borderId="149" xfId="0" applyFont="1" applyFill="1" applyBorder="1" applyAlignment="1">
      <alignment horizontal="center" shrinkToFit="1"/>
    </xf>
    <xf numFmtId="0" fontId="49" fillId="7" borderId="150" xfId="0" applyFont="1" applyFill="1" applyBorder="1" applyAlignment="1">
      <alignment horizontal="center" shrinkToFit="1"/>
    </xf>
    <xf numFmtId="0" fontId="49" fillId="43" borderId="145" xfId="0" applyFont="1" applyFill="1" applyBorder="1" applyAlignment="1">
      <alignment horizontal="center" shrinkToFit="1"/>
    </xf>
    <xf numFmtId="0" fontId="49" fillId="43" borderId="148" xfId="0" applyFont="1" applyFill="1" applyBorder="1" applyAlignment="1">
      <alignment horizontal="center" shrinkToFit="1"/>
    </xf>
    <xf numFmtId="0" fontId="49" fillId="7" borderId="145" xfId="0" applyFont="1" applyFill="1" applyBorder="1" applyAlignment="1">
      <alignment horizontal="center" shrinkToFit="1"/>
    </xf>
    <xf numFmtId="0" fontId="49" fillId="7" borderId="148" xfId="0" applyFont="1" applyFill="1" applyBorder="1" applyAlignment="1">
      <alignment horizontal="center" shrinkToFit="1"/>
    </xf>
    <xf numFmtId="0" fontId="81" fillId="7" borderId="0" xfId="0" applyFont="1" applyFill="1" applyAlignment="1">
      <alignment horizontal="center"/>
    </xf>
    <xf numFmtId="0" fontId="70" fillId="36" borderId="0" xfId="0" applyFont="1" applyFill="1" applyAlignment="1">
      <alignment horizontal="right" shrinkToFit="1"/>
    </xf>
    <xf numFmtId="0" fontId="70" fillId="35" borderId="0" xfId="0" applyFont="1" applyFill="1" applyAlignment="1">
      <alignment horizontal="left" shrinkToFit="1"/>
    </xf>
    <xf numFmtId="0" fontId="63" fillId="3" borderId="172" xfId="0" applyFont="1" applyFill="1" applyBorder="1" applyAlignment="1">
      <alignment horizontal="right" shrinkToFit="1"/>
    </xf>
    <xf numFmtId="0" fontId="63" fillId="3" borderId="35" xfId="0" applyFont="1" applyFill="1" applyBorder="1" applyAlignment="1">
      <alignment horizontal="right" shrinkToFit="1"/>
    </xf>
    <xf numFmtId="0" fontId="63" fillId="3" borderId="173" xfId="0" applyFont="1" applyFill="1" applyBorder="1" applyAlignment="1">
      <alignment horizontal="right" shrinkToFit="1"/>
    </xf>
    <xf numFmtId="0" fontId="63" fillId="3" borderId="43" xfId="0" applyFont="1" applyFill="1" applyBorder="1" applyAlignment="1">
      <alignment shrinkToFit="1"/>
    </xf>
    <xf numFmtId="0" fontId="0" fillId="0" borderId="43" xfId="0" applyBorder="1" applyAlignment="1">
      <alignment shrinkToFit="1"/>
    </xf>
    <xf numFmtId="0" fontId="0" fillId="0" borderId="175" xfId="0" applyBorder="1" applyAlignment="1">
      <alignment shrinkToFit="1"/>
    </xf>
    <xf numFmtId="0" fontId="120" fillId="37" borderId="0" xfId="0" applyFont="1" applyFill="1" applyAlignment="1">
      <alignment horizontal="center" vertical="center" shrinkToFit="1"/>
    </xf>
    <xf numFmtId="0" fontId="121" fillId="35" borderId="0" xfId="0" applyFont="1" applyFill="1" applyAlignment="1">
      <alignment horizontal="center" vertical="center" shrinkToFit="1"/>
    </xf>
    <xf numFmtId="0" fontId="122" fillId="36" borderId="0" xfId="0" applyFont="1" applyFill="1" applyAlignment="1">
      <alignment horizontal="center" vertical="top"/>
    </xf>
    <xf numFmtId="0" fontId="1" fillId="7" borderId="0" xfId="0" applyFont="1" applyFill="1" applyAlignment="1">
      <alignment horizontal="left" vertical="top" wrapText="1"/>
    </xf>
    <xf numFmtId="0" fontId="0" fillId="9" borderId="15" xfId="0" applyFill="1" applyBorder="1" applyAlignment="1">
      <alignment horizontal="center"/>
    </xf>
    <xf numFmtId="0" fontId="0" fillId="9" borderId="0" xfId="0" applyFill="1" applyAlignment="1">
      <alignment horizontal="center"/>
    </xf>
    <xf numFmtId="0" fontId="0" fillId="9" borderId="9" xfId="0" applyFill="1" applyBorder="1" applyAlignment="1">
      <alignment horizontal="center"/>
    </xf>
    <xf numFmtId="0" fontId="17" fillId="9" borderId="63" xfId="0" applyFont="1" applyFill="1" applyBorder="1" applyAlignment="1">
      <alignment horizontal="center" vertical="center" shrinkToFit="1"/>
    </xf>
    <xf numFmtId="0" fontId="17" fillId="9" borderId="64" xfId="0" applyFont="1" applyFill="1" applyBorder="1" applyAlignment="1">
      <alignment horizontal="center" vertical="center" shrinkToFit="1"/>
    </xf>
    <xf numFmtId="0" fontId="17" fillId="9" borderId="6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67" fillId="10" borderId="69" xfId="0" applyFont="1" applyFill="1" applyBorder="1" applyAlignment="1">
      <alignment horizontal="center" shrinkToFit="1"/>
    </xf>
    <xf numFmtId="0" fontId="67" fillId="10" borderId="70" xfId="0" applyFont="1" applyFill="1" applyBorder="1" applyAlignment="1">
      <alignment horizontal="center" shrinkToFit="1"/>
    </xf>
    <xf numFmtId="0" fontId="67" fillId="10" borderId="84" xfId="0" applyFont="1" applyFill="1" applyBorder="1" applyAlignment="1">
      <alignment horizontal="center" shrinkToFit="1"/>
    </xf>
    <xf numFmtId="0" fontId="67" fillId="10" borderId="85" xfId="0" applyFont="1" applyFill="1" applyBorder="1" applyAlignment="1">
      <alignment horizontal="center" shrinkToFit="1"/>
    </xf>
    <xf numFmtId="0" fontId="67" fillId="10" borderId="86" xfId="0" applyFont="1" applyFill="1" applyBorder="1" applyAlignment="1">
      <alignment horizontal="center" shrinkToFit="1"/>
    </xf>
    <xf numFmtId="0" fontId="17" fillId="6" borderId="50" xfId="0" applyFont="1" applyFill="1" applyBorder="1" applyAlignment="1">
      <alignment horizontal="center" vertical="center" shrinkToFit="1"/>
    </xf>
    <xf numFmtId="0" fontId="17" fillId="6" borderId="51" xfId="0" applyFont="1" applyFill="1" applyBorder="1" applyAlignment="1">
      <alignment horizontal="center" vertical="center" shrinkToFit="1"/>
    </xf>
    <xf numFmtId="0" fontId="74" fillId="7" borderId="69" xfId="0" applyFont="1" applyFill="1" applyBorder="1" applyAlignment="1">
      <alignment horizontal="center" shrinkToFit="1"/>
    </xf>
    <xf numFmtId="0" fontId="74" fillId="7" borderId="70" xfId="0" applyFont="1" applyFill="1" applyBorder="1" applyAlignment="1">
      <alignment horizontal="center" shrinkToFit="1"/>
    </xf>
    <xf numFmtId="0" fontId="74" fillId="9" borderId="69" xfId="0" applyFont="1" applyFill="1" applyBorder="1" applyAlignment="1">
      <alignment horizontal="center" shrinkToFit="1"/>
    </xf>
    <xf numFmtId="0" fontId="74" fillId="9" borderId="70" xfId="0" applyFont="1" applyFill="1" applyBorder="1" applyAlignment="1">
      <alignment horizontal="center" shrinkToFit="1"/>
    </xf>
    <xf numFmtId="0" fontId="74" fillId="9" borderId="86" xfId="0" applyFont="1" applyFill="1" applyBorder="1" applyAlignment="1">
      <alignment horizontal="center" shrinkToFit="1"/>
    </xf>
    <xf numFmtId="0" fontId="47" fillId="7" borderId="69" xfId="0" applyFont="1" applyFill="1" applyBorder="1" applyAlignment="1">
      <alignment horizontal="center" shrinkToFit="1"/>
    </xf>
    <xf numFmtId="0" fontId="47" fillId="7" borderId="106" xfId="0" applyFont="1" applyFill="1" applyBorder="1" applyAlignment="1">
      <alignment horizontal="center" shrinkToFit="1"/>
    </xf>
    <xf numFmtId="0" fontId="46" fillId="7" borderId="101" xfId="0" applyFont="1" applyFill="1" applyBorder="1" applyAlignment="1">
      <alignment horizontal="center" shrinkToFit="1"/>
    </xf>
    <xf numFmtId="0" fontId="46" fillId="7" borderId="102" xfId="0" applyFont="1" applyFill="1" applyBorder="1" applyAlignment="1">
      <alignment horizontal="center" shrinkToFit="1"/>
    </xf>
    <xf numFmtId="0" fontId="8" fillId="16" borderId="82" xfId="0" applyFont="1" applyFill="1" applyBorder="1" applyAlignment="1">
      <alignment horizontal="center" shrinkToFit="1"/>
    </xf>
    <xf numFmtId="0" fontId="8" fillId="16" borderId="83"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7" borderId="73" xfId="0" applyFill="1" applyBorder="1" applyAlignment="1">
      <alignment horizontal="center" shrinkToFit="1"/>
    </xf>
    <xf numFmtId="0" fontId="0" fillId="7" borderId="74" xfId="0" applyFill="1" applyBorder="1" applyAlignment="1">
      <alignment horizontal="center" shrinkToFit="1"/>
    </xf>
    <xf numFmtId="0" fontId="0" fillId="7" borderId="77" xfId="0" applyFill="1" applyBorder="1" applyAlignment="1">
      <alignment horizontal="center" shrinkToFit="1"/>
    </xf>
    <xf numFmtId="0" fontId="0" fillId="7" borderId="78" xfId="0" applyFill="1" applyBorder="1" applyAlignment="1">
      <alignment horizontal="center" shrinkToFit="1"/>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0" fillId="7" borderId="96" xfId="0" applyFill="1" applyBorder="1" applyAlignment="1">
      <alignment horizontal="center"/>
    </xf>
    <xf numFmtId="0" fontId="0" fillId="7" borderId="0" xfId="0" applyFill="1" applyAlignment="1">
      <alignment horizontal="center"/>
    </xf>
    <xf numFmtId="0" fontId="0" fillId="7" borderId="97" xfId="0" applyFill="1" applyBorder="1" applyAlignment="1">
      <alignment horizontal="center"/>
    </xf>
    <xf numFmtId="0" fontId="0" fillId="7" borderId="98" xfId="0" applyFill="1" applyBorder="1" applyAlignment="1">
      <alignment horizontal="center"/>
    </xf>
    <xf numFmtId="0" fontId="0" fillId="7" borderId="99" xfId="0" applyFill="1" applyBorder="1" applyAlignment="1">
      <alignment horizontal="center"/>
    </xf>
    <xf numFmtId="0" fontId="0" fillId="7" borderId="100" xfId="0" applyFill="1" applyBorder="1" applyAlignment="1">
      <alignment horizontal="center"/>
    </xf>
    <xf numFmtId="0" fontId="67" fillId="10" borderId="0" xfId="0" applyFont="1" applyFill="1" applyAlignment="1">
      <alignment horizontal="center"/>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0">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color rgb="FFFF0000"/>
      </font>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font>
      <fill>
        <gradientFill type="path" left="0.5" right="0.5" top="0.5" bottom="0.5">
          <stop position="0">
            <color rgb="FF008000"/>
          </stop>
          <stop position="1">
            <color rgb="FFE3F3D1"/>
          </stop>
        </gradientFill>
      </fill>
      <border>
        <left/>
        <right/>
        <top style="thin">
          <color auto="1"/>
        </top>
        <bottom style="thin">
          <color auto="1"/>
        </bottom>
      </border>
    </dxf>
    <dxf>
      <font>
        <b/>
        <i val="0"/>
      </font>
      <fill>
        <gradientFill type="path" left="0.5" right="0.5" top="0.5" bottom="0.5">
          <stop position="0">
            <color theme="9"/>
          </stop>
          <stop position="1">
            <color theme="9" tint="0.80001220740379042"/>
          </stop>
        </gradientFill>
      </fill>
      <border>
        <left style="thin">
          <color auto="1"/>
        </left>
        <right style="thin">
          <color theme="0" tint="-0.14996795556505021"/>
        </right>
        <top style="thin">
          <color auto="1"/>
        </top>
        <bottom style="thin">
          <color auto="1"/>
        </bottom>
      </border>
    </dxf>
    <dxf>
      <fill>
        <gradientFill type="path" left="0.5" right="0.5" top="0.5" bottom="0.5">
          <stop position="0">
            <color rgb="FFFFFF00"/>
          </stop>
          <stop position="1">
            <color theme="0"/>
          </stop>
        </gradientFill>
      </fill>
      <border>
        <left style="thin">
          <color auto="1"/>
        </left>
        <right style="thin">
          <color theme="0" tint="-0.14996795556505021"/>
        </right>
        <top style="thin">
          <color auto="1"/>
        </top>
        <bottom style="thin">
          <color auto="1"/>
        </bottom>
      </border>
    </dxf>
    <dxf>
      <font>
        <b/>
        <i val="0"/>
        <color auto="1"/>
      </font>
      <fill>
        <gradientFill type="path" left="0.5" right="0.5" top="0.5" bottom="0.5">
          <stop position="0">
            <color rgb="FFFF7575"/>
          </stop>
          <stop position="1">
            <color theme="5" tint="0.80001220740379042"/>
          </stop>
        </gradientFill>
      </fill>
      <border>
        <left style="thin">
          <color auto="1"/>
        </left>
        <right style="thin">
          <color theme="0" tint="-0.14996795556505021"/>
        </right>
        <top style="thin">
          <color auto="1"/>
        </top>
        <bottom style="thin">
          <color auto="1"/>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9"/>
        </top>
        <bottom/>
        <vertical/>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59"/>
      <tableStyleElement type="firstRowStripe" dxfId="58"/>
      <tableStyleElement type="secondRowStripe" dxfId="57"/>
    </tableStyle>
  </tableStyles>
  <colors>
    <mruColors>
      <color rgb="FF008000"/>
      <color rgb="FF003600"/>
      <color rgb="FF005C00"/>
      <color rgb="FFE3F3D1"/>
      <color rgb="FFE95721"/>
      <color rgb="FF474747"/>
      <color rgb="FF997567"/>
      <color rgb="FFA6A6A6"/>
      <color rgb="FFD9D9D9"/>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CheckBox" fmlaLink="$AI$1"/>
</file>

<file path=xl/ctrlProps/ctrlProp15.xml><?xml version="1.0" encoding="utf-8"?>
<formControlPr xmlns="http://schemas.microsoft.com/office/spreadsheetml/2009/9/main" objectType="Drop" dropStyle="combo" dx="22" fmlaLink="$G$19" fmlaRange="$AT$1:$AT$2" noThreeD="1" sel="1"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Drop" dropLines="2" dropStyle="combo" dx="22" fmlaLink="$AC$6" fmlaRange="$AC$4:$AC$5" sel="2" val="0"/>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hyperlink" Target="https://youtu.be/7VjovCRBPv4" TargetMode="External"/><Relationship Id="rId13" Type="http://schemas.openxmlformats.org/officeDocument/2006/relationships/hyperlink" Target="https://www.youtube.com/watch?v=A7b8qDceAKM" TargetMode="External"/><Relationship Id="rId3" Type="http://schemas.openxmlformats.org/officeDocument/2006/relationships/image" Target="../media/image3.emf"/><Relationship Id="rId7" Type="http://schemas.openxmlformats.org/officeDocument/2006/relationships/image" Target="../media/image6.emf"/><Relationship Id="rId12" Type="http://schemas.openxmlformats.org/officeDocument/2006/relationships/image" Target="../media/image10.emf"/><Relationship Id="rId17" Type="http://schemas.openxmlformats.org/officeDocument/2006/relationships/image" Target="../media/image14.png"/><Relationship Id="rId2" Type="http://schemas.openxmlformats.org/officeDocument/2006/relationships/image" Target="../media/image2.png"/><Relationship Id="rId16"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hyperlink" Target="https://www.youtube.com/watch?v=7VjovCRBPv4" TargetMode="External"/><Relationship Id="rId11"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image" Target="../media/image12.png"/><Relationship Id="rId10" Type="http://schemas.openxmlformats.org/officeDocument/2006/relationships/image" Target="../media/image8.emf"/><Relationship Id="rId4" Type="http://schemas.openxmlformats.org/officeDocument/2006/relationships/image" Target="../media/image4.emf"/><Relationship Id="rId9" Type="http://schemas.openxmlformats.org/officeDocument/2006/relationships/image" Target="../media/image7.png"/><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3</xdr:col>
      <xdr:colOff>42332</xdr:colOff>
      <xdr:row>0</xdr:row>
      <xdr:rowOff>0</xdr:rowOff>
    </xdr:from>
    <xdr:to>
      <xdr:col>38</xdr:col>
      <xdr:colOff>560917</xdr:colOff>
      <xdr:row>11</xdr:row>
      <xdr:rowOff>137368</xdr:rowOff>
    </xdr:to>
    <xdr:pic>
      <xdr:nvPicPr>
        <xdr:cNvPr id="23" name="Obrázek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8165" y="0"/>
          <a:ext cx="23971252" cy="1566118"/>
        </a:xfrm>
        <a:prstGeom prst="rect">
          <a:avLst/>
        </a:prstGeom>
      </xdr:spPr>
    </xdr:pic>
    <xdr:clientData/>
  </xdr:twoCellAnchor>
  <xdr:twoCellAnchor editAs="oneCell">
    <xdr:from>
      <xdr:col>20</xdr:col>
      <xdr:colOff>66259</xdr:colOff>
      <xdr:row>7</xdr:row>
      <xdr:rowOff>66676</xdr:rowOff>
    </xdr:from>
    <xdr:to>
      <xdr:col>27</xdr:col>
      <xdr:colOff>349249</xdr:colOff>
      <xdr:row>15</xdr:row>
      <xdr:rowOff>152401</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77259" y="860426"/>
          <a:ext cx="5193657" cy="8794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1193</xdr:row>
          <xdr:rowOff>0</xdr:rowOff>
        </xdr:from>
        <xdr:to>
          <xdr:col>23</xdr:col>
          <xdr:colOff>0</xdr:colOff>
          <xdr:row>1195</xdr:row>
          <xdr:rowOff>9525</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381000</xdr:colOff>
      <xdr:row>1195</xdr:row>
      <xdr:rowOff>4430</xdr:rowOff>
    </xdr:from>
    <xdr:to>
      <xdr:col>25</xdr:col>
      <xdr:colOff>101334</xdr:colOff>
      <xdr:row>1195</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1192</xdr:row>
      <xdr:rowOff>89297</xdr:rowOff>
    </xdr:from>
    <xdr:to>
      <xdr:col>21</xdr:col>
      <xdr:colOff>276225</xdr:colOff>
      <xdr:row>1195</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1192</xdr:row>
      <xdr:rowOff>152400</xdr:rowOff>
    </xdr:from>
    <xdr:to>
      <xdr:col>25</xdr:col>
      <xdr:colOff>107024</xdr:colOff>
      <xdr:row>1195</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1192</xdr:row>
      <xdr:rowOff>143149</xdr:rowOff>
    </xdr:from>
    <xdr:to>
      <xdr:col>25</xdr:col>
      <xdr:colOff>32107</xdr:colOff>
      <xdr:row>1193</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1192</xdr:row>
      <xdr:rowOff>89297</xdr:rowOff>
    </xdr:from>
    <xdr:to>
      <xdr:col>22</xdr:col>
      <xdr:colOff>3256</xdr:colOff>
      <xdr:row>1195</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236714"/>
                </a:ext>
              </a:extLst>
            </xdr:cNvPicPr>
          </xdr:nvPicPr>
          <xdr:blipFill>
            <a:blip xmlns:r="http://schemas.openxmlformats.org/officeDocument/2006/relationships" r:embed="rId3"/>
            <a:srcRect/>
            <a:stretch>
              <a:fillRect/>
            </a:stretch>
          </xdr:blipFill>
          <xdr:spPr bwMode="auto">
            <a:xfrm>
              <a:off x="8283" y="890618"/>
              <a:ext cx="1374085" cy="614495"/>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68924</xdr:colOff>
          <xdr:row>8</xdr:row>
          <xdr:rowOff>24850</xdr:rowOff>
        </xdr:from>
        <xdr:to>
          <xdr:col>11</xdr:col>
          <xdr:colOff>191879</xdr:colOff>
          <xdr:row>11</xdr:row>
          <xdr:rowOff>5518</xdr:rowOff>
        </xdr:to>
        <xdr:pic>
          <xdr:nvPicPr>
            <xdr:cNvPr id="59" name="Obrázek 5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HLAVIČKA!$AI$27:$AX$30" spid="_x0000_s236715"/>
                </a:ext>
              </a:extLst>
            </xdr:cNvPicPr>
          </xdr:nvPicPr>
          <xdr:blipFill>
            <a:blip xmlns:r="http://schemas.openxmlformats.org/officeDocument/2006/relationships" r:embed="rId4"/>
            <a:srcRect/>
            <a:stretch>
              <a:fillRect/>
            </a:stretch>
          </xdr:blipFill>
          <xdr:spPr bwMode="auto">
            <a:xfrm>
              <a:off x="1452120" y="1018763"/>
              <a:ext cx="5473520" cy="470722"/>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110756</xdr:colOff>
          <xdr:row>6</xdr:row>
          <xdr:rowOff>155058</xdr:rowOff>
        </xdr:from>
        <xdr:to>
          <xdr:col>33</xdr:col>
          <xdr:colOff>836832</xdr:colOff>
          <xdr:row>11</xdr:row>
          <xdr:rowOff>101711</xdr:rowOff>
        </xdr:to>
        <xdr:pic>
          <xdr:nvPicPr>
            <xdr:cNvPr id="60" name="Obrázek 59">
              <a:extLst>
                <a:ext uri="{FF2B5EF4-FFF2-40B4-BE49-F238E27FC236}">
                  <a16:creationId xmlns:a16="http://schemas.microsoft.com/office/drawing/2014/main" id="{00000000-0008-0000-0000-00003C000000}"/>
                </a:ext>
              </a:extLst>
            </xdr:cNvPr>
            <xdr:cNvPicPr>
              <a:picLocks noChangeAspect="1" noChangeArrowheads="1"/>
              <a:extLst>
                <a:ext uri="{84589F7E-364E-4C9E-8A38-B11213B215E9}">
                  <a14:cameraTool cellRange="HLAVIČKA!$BC$16:$BH$21" spid="_x0000_s236716"/>
                </a:ext>
              </a:extLst>
            </xdr:cNvPicPr>
          </xdr:nvPicPr>
          <xdr:blipFill rotWithShape="1">
            <a:blip xmlns:r="http://schemas.openxmlformats.org/officeDocument/2006/relationships" r:embed="rId5"/>
            <a:srcRect t="1458" b="3416"/>
            <a:stretch>
              <a:fillRect/>
            </a:stretch>
          </xdr:blipFill>
          <xdr:spPr bwMode="auto">
            <a:xfrm>
              <a:off x="19117947" y="1118260"/>
              <a:ext cx="4182902" cy="743845"/>
            </a:xfrm>
            <a:prstGeom prst="rect">
              <a:avLst/>
            </a:prstGeom>
            <a:ln>
              <a:noFill/>
            </a:ln>
            <a:effectLst>
              <a:outerShdw blurRad="190500" algn="tl" rotWithShape="0">
                <a:srgbClr val="000000">
                  <a:alpha val="70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651641</xdr:colOff>
          <xdr:row>0</xdr:row>
          <xdr:rowOff>109950</xdr:rowOff>
        </xdr:from>
        <xdr:to>
          <xdr:col>39</xdr:col>
          <xdr:colOff>736193</xdr:colOff>
          <xdr:row>1</xdr:row>
          <xdr:rowOff>111762</xdr:rowOff>
        </xdr:to>
        <xdr:pic>
          <xdr:nvPicPr>
            <xdr:cNvPr id="54" name="Obrázek 53">
              <a:hlinkClick xmlns:r="http://schemas.openxmlformats.org/officeDocument/2006/relationships" r:id="rId6"/>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236717"/>
                </a:ext>
              </a:extLst>
            </xdr:cNvPicPr>
          </xdr:nvPicPr>
          <xdr:blipFill>
            <a:blip xmlns:r="http://schemas.openxmlformats.org/officeDocument/2006/relationships" r:embed="rId7"/>
            <a:srcRect/>
            <a:stretch>
              <a:fillRect/>
            </a:stretch>
          </xdr:blipFill>
          <xdr:spPr bwMode="auto">
            <a:xfrm>
              <a:off x="25464266" y="109950"/>
              <a:ext cx="837027" cy="16373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38</xdr:col>
      <xdr:colOff>603734</xdr:colOff>
      <xdr:row>1</xdr:row>
      <xdr:rowOff>63487</xdr:rowOff>
    </xdr:from>
    <xdr:to>
      <xdr:col>40</xdr:col>
      <xdr:colOff>43293</xdr:colOff>
      <xdr:row>7</xdr:row>
      <xdr:rowOff>149272</xdr:rowOff>
    </xdr:to>
    <xdr:pic>
      <xdr:nvPicPr>
        <xdr:cNvPr id="10" name="Obrázek 9">
          <a:hlinkClick xmlns:r="http://schemas.openxmlformats.org/officeDocument/2006/relationships" r:id="rId8"/>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416359" y="225412"/>
          <a:ext cx="944509" cy="733485"/>
        </a:xfrm>
        <a:prstGeom prst="rect">
          <a:avLst/>
        </a:prstGeom>
      </xdr:spPr>
    </xdr:pic>
    <xdr:clientData/>
  </xdr:twoCellAnchor>
  <xdr:twoCellAnchor>
    <xdr:from>
      <xdr:col>21</xdr:col>
      <xdr:colOff>371475</xdr:colOff>
      <xdr:row>1192</xdr:row>
      <xdr:rowOff>133349</xdr:rowOff>
    </xdr:from>
    <xdr:to>
      <xdr:col>22</xdr:col>
      <xdr:colOff>0</xdr:colOff>
      <xdr:row>1195</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20</xdr:col>
          <xdr:colOff>66551</xdr:colOff>
          <xdr:row>1195</xdr:row>
          <xdr:rowOff>149018</xdr:rowOff>
        </xdr:from>
        <xdr:to>
          <xdr:col>25</xdr:col>
          <xdr:colOff>22283</xdr:colOff>
          <xdr:row>1204</xdr:row>
          <xdr:rowOff>182796</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236718"/>
                </a:ext>
              </a:extLst>
            </xdr:cNvPicPr>
          </xdr:nvPicPr>
          <xdr:blipFill>
            <a:blip xmlns:r="http://schemas.openxmlformats.org/officeDocument/2006/relationships" r:embed="rId10"/>
            <a:srcRect/>
            <a:stretch>
              <a:fillRect/>
            </a:stretch>
          </xdr:blipFill>
          <xdr:spPr bwMode="auto">
            <a:xfrm>
              <a:off x="11953751" y="235406993"/>
              <a:ext cx="3794307" cy="172922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938827</xdr:colOff>
          <xdr:row>0</xdr:row>
          <xdr:rowOff>107022</xdr:rowOff>
        </xdr:from>
        <xdr:to>
          <xdr:col>26</xdr:col>
          <xdr:colOff>333161</xdr:colOff>
          <xdr:row>7</xdr:row>
          <xdr:rowOff>139128</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236719"/>
                </a:ext>
              </a:extLst>
            </xdr:cNvPicPr>
          </xdr:nvPicPr>
          <xdr:blipFill>
            <a:blip xmlns:r="http://schemas.openxmlformats.org/officeDocument/2006/relationships" r:embed="rId11"/>
            <a:srcRect/>
            <a:stretch>
              <a:fillRect/>
            </a:stretch>
          </xdr:blipFill>
          <xdr:spPr bwMode="auto">
            <a:xfrm>
              <a:off x="10387627" y="107022"/>
              <a:ext cx="6147559" cy="8417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254690</xdr:colOff>
          <xdr:row>8</xdr:row>
          <xdr:rowOff>16482</xdr:rowOff>
        </xdr:from>
        <xdr:to>
          <xdr:col>19</xdr:col>
          <xdr:colOff>413940</xdr:colOff>
          <xdr:row>15</xdr:row>
          <xdr:rowOff>18944</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6985690" y="968982"/>
              <a:ext cx="4614833" cy="637462"/>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236720"/>
                  </a:ext>
                </a:extLst>
              </xdr:cNvPicPr>
            </xdr:nvPicPr>
            <xdr:blipFill>
              <a:blip xmlns:r="http://schemas.openxmlformats.org/officeDocument/2006/relationships" r:embed="rId12"/>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43605" y="1193939"/>
                <a:ext cx="266287" cy="3085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38</xdr:col>
      <xdr:colOff>600075</xdr:colOff>
      <xdr:row>7</xdr:row>
      <xdr:rowOff>133350</xdr:rowOff>
    </xdr:from>
    <xdr:to>
      <xdr:col>39</xdr:col>
      <xdr:colOff>723790</xdr:colOff>
      <xdr:row>10</xdr:row>
      <xdr:rowOff>152337</xdr:rowOff>
    </xdr:to>
    <xdr:pic>
      <xdr:nvPicPr>
        <xdr:cNvPr id="12" name="Obrázek 11">
          <a:hlinkClick xmlns:r="http://schemas.openxmlformats.org/officeDocument/2006/relationships" r:id="rId1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4"/>
        <a:stretch>
          <a:fillRect/>
        </a:stretch>
      </xdr:blipFill>
      <xdr:spPr>
        <a:xfrm>
          <a:off x="25412700" y="942975"/>
          <a:ext cx="876190" cy="504762"/>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19050</xdr:colOff>
          <xdr:row>18</xdr:row>
          <xdr:rowOff>0</xdr:rowOff>
        </xdr:from>
        <xdr:to>
          <xdr:col>7</xdr:col>
          <xdr:colOff>28575</xdr:colOff>
          <xdr:row>19</xdr:row>
          <xdr:rowOff>9525</xdr:rowOff>
        </xdr:to>
        <xdr:sp macro="" textlink="">
          <xdr:nvSpPr>
            <xdr:cNvPr id="212131" name="Drop Down 10403" hidden="1">
              <a:extLst>
                <a:ext uri="{63B3BB69-23CF-44E3-9099-C40C66FF867C}">
                  <a14:compatExt spid="_x0000_s212131"/>
                </a:ext>
                <a:ext uri="{FF2B5EF4-FFF2-40B4-BE49-F238E27FC236}">
                  <a16:creationId xmlns:a16="http://schemas.microsoft.com/office/drawing/2014/main" id="{00000000-0008-0000-0000-0000A33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53177</xdr:colOff>
      <xdr:row>8</xdr:row>
      <xdr:rowOff>121492</xdr:rowOff>
    </xdr:from>
    <xdr:to>
      <xdr:col>26</xdr:col>
      <xdr:colOff>338665</xdr:colOff>
      <xdr:row>10</xdr:row>
      <xdr:rowOff>142321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308677" y="1073992"/>
          <a:ext cx="4222488" cy="338329"/>
          <a:chOff x="12331391" y="1143890"/>
          <a:chExt cx="4060738"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59" y="1143890"/>
                <a:ext cx="4055470" cy="160591"/>
                <a:chOff x="12336659" y="1143890"/>
                <a:chExt cx="4055470"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59"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60"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1198267</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xdr:twoCellAnchor editAs="oneCell">
    <xdr:from>
      <xdr:col>3</xdr:col>
      <xdr:colOff>256793</xdr:colOff>
      <xdr:row>1</xdr:row>
      <xdr:rowOff>7168</xdr:rowOff>
    </xdr:from>
    <xdr:to>
      <xdr:col>17</xdr:col>
      <xdr:colOff>754209</xdr:colOff>
      <xdr:row>4</xdr:row>
      <xdr:rowOff>150043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7"/>
        <a:stretch>
          <a:fillRect/>
        </a:stretch>
      </xdr:blipFill>
      <xdr:spPr>
        <a:xfrm>
          <a:off x="1632626" y="165918"/>
          <a:ext cx="85725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65900</xdr:rowOff>
    </xdr:from>
    <xdr:to>
      <xdr:col>3</xdr:col>
      <xdr:colOff>180974</xdr:colOff>
      <xdr:row>77</xdr:row>
      <xdr:rowOff>21971</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289" y="13753325"/>
          <a:ext cx="379685" cy="384696"/>
        </a:xfrm>
        <a:prstGeom prst="rect">
          <a:avLst/>
        </a:prstGeom>
      </xdr:spPr>
    </xdr:pic>
    <xdr:clientData/>
  </xdr:twoCellAnchor>
  <xdr:twoCellAnchor editAs="oneCell">
    <xdr:from>
      <xdr:col>10</xdr:col>
      <xdr:colOff>106089</xdr:colOff>
      <xdr:row>75</xdr:row>
      <xdr:rowOff>65900</xdr:rowOff>
    </xdr:from>
    <xdr:to>
      <xdr:col>10</xdr:col>
      <xdr:colOff>485774</xdr:colOff>
      <xdr:row>77</xdr:row>
      <xdr:rowOff>21971</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4839" y="13753325"/>
          <a:ext cx="379685" cy="384696"/>
        </a:xfrm>
        <a:prstGeom prst="rect">
          <a:avLst/>
        </a:prstGeom>
      </xdr:spPr>
    </xdr:pic>
    <xdr:clientData/>
  </xdr:twoCellAnchor>
  <xdr:twoCellAnchor editAs="oneCell">
    <xdr:from>
      <xdr:col>66</xdr:col>
      <xdr:colOff>604345</xdr:colOff>
      <xdr:row>41</xdr:row>
      <xdr:rowOff>6568</xdr:rowOff>
    </xdr:from>
    <xdr:to>
      <xdr:col>67</xdr:col>
      <xdr:colOff>259849</xdr:colOff>
      <xdr:row>42</xdr:row>
      <xdr:rowOff>34531</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416828" y="6785740"/>
          <a:ext cx="266418" cy="218463"/>
        </a:xfrm>
        <a:prstGeom prst="rect">
          <a:avLst/>
        </a:prstGeom>
      </xdr:spPr>
    </xdr:pic>
    <xdr:clientData/>
  </xdr:twoCellAnchor>
  <xdr:twoCellAnchor editAs="oneCell">
    <xdr:from>
      <xdr:col>70</xdr:col>
      <xdr:colOff>361293</xdr:colOff>
      <xdr:row>41</xdr:row>
      <xdr:rowOff>19706</xdr:rowOff>
    </xdr:from>
    <xdr:to>
      <xdr:col>71</xdr:col>
      <xdr:colOff>16797</xdr:colOff>
      <xdr:row>42</xdr:row>
      <xdr:rowOff>47669</xdr:rowOff>
    </xdr:to>
    <xdr:pic>
      <xdr:nvPicPr>
        <xdr:cNvPr id="22" name="Obrázek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617431" y="6798878"/>
          <a:ext cx="266418" cy="218463"/>
        </a:xfrm>
        <a:prstGeom prst="rect">
          <a:avLst/>
        </a:prstGeom>
      </xdr:spPr>
    </xdr:pic>
    <xdr:clientData/>
  </xdr:twoCellAnchor>
  <xdr:twoCellAnchor editAs="oneCell">
    <xdr:from>
      <xdr:col>49</xdr:col>
      <xdr:colOff>91965</xdr:colOff>
      <xdr:row>26</xdr:row>
      <xdr:rowOff>42018</xdr:rowOff>
    </xdr:from>
    <xdr:to>
      <xdr:col>49</xdr:col>
      <xdr:colOff>243052</xdr:colOff>
      <xdr:row>27</xdr:row>
      <xdr:rowOff>54237</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83086" y="4298708"/>
          <a:ext cx="151087" cy="123891"/>
        </a:xfrm>
        <a:prstGeom prst="rect">
          <a:avLst/>
        </a:prstGeom>
      </xdr:spPr>
    </xdr:pic>
    <xdr:clientData/>
  </xdr:twoCellAnchor>
  <xdr:twoCellAnchor editAs="oneCell">
    <xdr:from>
      <xdr:col>49</xdr:col>
      <xdr:colOff>91965</xdr:colOff>
      <xdr:row>28</xdr:row>
      <xdr:rowOff>137269</xdr:rowOff>
    </xdr:from>
    <xdr:to>
      <xdr:col>49</xdr:col>
      <xdr:colOff>243052</xdr:colOff>
      <xdr:row>29</xdr:row>
      <xdr:rowOff>70660</xdr:rowOff>
    </xdr:to>
    <xdr:pic>
      <xdr:nvPicPr>
        <xdr:cNvPr id="25" name="Obrázek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83086" y="4696131"/>
          <a:ext cx="151087" cy="123891"/>
        </a:xfrm>
        <a:prstGeom prst="rect">
          <a:avLst/>
        </a:prstGeom>
      </xdr:spPr>
    </xdr:pic>
    <xdr:clientData/>
  </xdr:twoCellAnchor>
  <xdr:twoCellAnchor editAs="oneCell">
    <xdr:from>
      <xdr:col>34</xdr:col>
      <xdr:colOff>30944</xdr:colOff>
      <xdr:row>28</xdr:row>
      <xdr:rowOff>170805</xdr:rowOff>
    </xdr:from>
    <xdr:to>
      <xdr:col>35</xdr:col>
      <xdr:colOff>11238</xdr:colOff>
      <xdr:row>29</xdr:row>
      <xdr:rowOff>104196</xdr:rowOff>
    </xdr:to>
    <xdr:pic>
      <xdr:nvPicPr>
        <xdr:cNvPr id="26" name="Obrázek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22891" y="4712726"/>
          <a:ext cx="150742" cy="123891"/>
        </a:xfrm>
        <a:prstGeom prst="rect">
          <a:avLst/>
        </a:prstGeom>
      </xdr:spPr>
    </xdr:pic>
    <xdr:clientData/>
  </xdr:twoCellAnchor>
  <xdr:twoCellAnchor editAs="oneCell">
    <xdr:from>
      <xdr:col>34</xdr:col>
      <xdr:colOff>59121</xdr:colOff>
      <xdr:row>26</xdr:row>
      <xdr:rowOff>61725</xdr:rowOff>
    </xdr:from>
    <xdr:to>
      <xdr:col>35</xdr:col>
      <xdr:colOff>39415</xdr:colOff>
      <xdr:row>27</xdr:row>
      <xdr:rowOff>73944</xdr:rowOff>
    </xdr:to>
    <xdr:pic>
      <xdr:nvPicPr>
        <xdr:cNvPr id="27" name="Obrázek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31707" y="4318415"/>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45358.574247685188</v>
          </cell>
          <cell r="C2" t="str">
            <v>dní</v>
          </cell>
          <cell r="D2"/>
          <cell r="E2" t="str">
            <v>KUSY</v>
          </cell>
        </row>
        <row r="3">
          <cell r="A3" t="str">
            <v>BD1L</v>
          </cell>
          <cell r="B3" t="str">
            <v>DOCHÁZÍ</v>
          </cell>
          <cell r="C3" t="str">
            <v/>
          </cell>
          <cell r="D3">
            <v>0</v>
          </cell>
          <cell r="E3">
            <v>1</v>
          </cell>
        </row>
        <row r="4">
          <cell r="A4" t="str">
            <v>BD1XL</v>
          </cell>
          <cell r="B4" t="str">
            <v>VYPRODÁNO</v>
          </cell>
          <cell r="C4" t="str">
            <v/>
          </cell>
          <cell r="D4">
            <v>0</v>
          </cell>
          <cell r="E4" t="str">
            <v/>
          </cell>
        </row>
        <row r="5">
          <cell r="A5" t="str">
            <v>BD1XXL</v>
          </cell>
          <cell r="B5" t="str">
            <v>SKLADEM</v>
          </cell>
          <cell r="C5" t="str">
            <v/>
          </cell>
          <cell r="D5">
            <v>0</v>
          </cell>
          <cell r="E5" t="str">
            <v/>
          </cell>
        </row>
        <row r="6">
          <cell r="A6" t="str">
            <v>BDLE1L</v>
          </cell>
          <cell r="B6" t="str">
            <v>DOCHÁZÍ</v>
          </cell>
          <cell r="C6" t="str">
            <v/>
          </cell>
          <cell r="D6">
            <v>0</v>
          </cell>
          <cell r="E6">
            <v>2</v>
          </cell>
        </row>
        <row r="7">
          <cell r="A7" t="str">
            <v>BDLE1M</v>
          </cell>
          <cell r="B7" t="str">
            <v>VYPRODÁNO</v>
          </cell>
          <cell r="C7" t="str">
            <v/>
          </cell>
          <cell r="D7">
            <v>10</v>
          </cell>
          <cell r="E7" t="str">
            <v/>
          </cell>
        </row>
        <row r="8">
          <cell r="A8" t="str">
            <v>BDLE1XL</v>
          </cell>
          <cell r="B8" t="str">
            <v>VYPRODÁNO</v>
          </cell>
          <cell r="C8" t="str">
            <v/>
          </cell>
          <cell r="D8">
            <v>10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SKLADEM</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15.05.2024</v>
          </cell>
          <cell r="C22">
            <v>69</v>
          </cell>
          <cell r="D22">
            <v>0</v>
          </cell>
          <cell r="E22" t="str">
            <v/>
          </cell>
        </row>
        <row r="23">
          <cell r="A23" t="str">
            <v>C10008R</v>
          </cell>
          <cell r="B23" t="str">
            <v>SKLADEM</v>
          </cell>
          <cell r="C23" t="str">
            <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SKLADEM</v>
          </cell>
          <cell r="C30" t="str">
            <v/>
          </cell>
          <cell r="D30">
            <v>0</v>
          </cell>
          <cell r="E30" t="str">
            <v/>
          </cell>
        </row>
        <row r="31">
          <cell r="A31" t="str">
            <v>C10020BPF14</v>
          </cell>
          <cell r="B31" t="str">
            <v>SKLADEM</v>
          </cell>
          <cell r="C31" t="str">
            <v/>
          </cell>
          <cell r="D31">
            <v>0</v>
          </cell>
          <cell r="E31" t="str">
            <v/>
          </cell>
        </row>
        <row r="32">
          <cell r="A32" t="str">
            <v>C10020BPS14</v>
          </cell>
          <cell r="B32" t="str">
            <v>SKLADEM</v>
          </cell>
          <cell r="C32" t="str">
            <v/>
          </cell>
          <cell r="D32">
            <v>0</v>
          </cell>
          <cell r="E32" t="str">
            <v/>
          </cell>
        </row>
        <row r="33">
          <cell r="A33" t="str">
            <v>C10020BPW14</v>
          </cell>
          <cell r="B33" t="str">
            <v>VYPRODÁNO</v>
          </cell>
          <cell r="C33" t="str">
            <v/>
          </cell>
          <cell r="D33">
            <v>0</v>
          </cell>
          <cell r="E33" t="str">
            <v/>
          </cell>
        </row>
        <row r="34">
          <cell r="A34" t="str">
            <v>C10020NID14</v>
          </cell>
          <cell r="B34" t="str">
            <v>30.09.2024</v>
          </cell>
          <cell r="C34">
            <v>207</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SKLADEM</v>
          </cell>
          <cell r="C38" t="str">
            <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SKLADEM</v>
          </cell>
          <cell r="C43" t="str">
            <v/>
          </cell>
          <cell r="D43">
            <v>0</v>
          </cell>
          <cell r="E43" t="str">
            <v/>
          </cell>
        </row>
        <row r="44">
          <cell r="A44" t="str">
            <v>C10025BPS</v>
          </cell>
          <cell r="B44" t="str">
            <v>15.06.2024</v>
          </cell>
          <cell r="C44">
            <v>100</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SKLADEM</v>
          </cell>
          <cell r="C49" t="str">
            <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15.05.2024</v>
          </cell>
          <cell r="C52">
            <v>69</v>
          </cell>
          <cell r="D52">
            <v>0</v>
          </cell>
          <cell r="E52" t="str">
            <v/>
          </cell>
        </row>
        <row r="53">
          <cell r="A53" t="str">
            <v>C10025PR2</v>
          </cell>
          <cell r="B53" t="str">
            <v>15.05.2024</v>
          </cell>
          <cell r="C53">
            <v>69</v>
          </cell>
          <cell r="D53">
            <v>0</v>
          </cell>
          <cell r="E53" t="str">
            <v/>
          </cell>
        </row>
        <row r="54">
          <cell r="A54" t="str">
            <v>C10025S</v>
          </cell>
          <cell r="B54" t="str">
            <v>VYPRODÁNO</v>
          </cell>
          <cell r="C54" t="str">
            <v/>
          </cell>
          <cell r="D54">
            <v>0</v>
          </cell>
          <cell r="E54" t="str">
            <v/>
          </cell>
        </row>
        <row r="55">
          <cell r="A55" t="str">
            <v>C10025S E</v>
          </cell>
          <cell r="B55" t="str">
            <v>SKLADEM</v>
          </cell>
          <cell r="C55" t="str">
            <v/>
          </cell>
          <cell r="D55">
            <v>0</v>
          </cell>
          <cell r="E55" t="str">
            <v/>
          </cell>
        </row>
        <row r="56">
          <cell r="A56" t="str">
            <v>C10025SIG/C</v>
          </cell>
          <cell r="B56" t="str">
            <v>VYPRODÁNO</v>
          </cell>
          <cell r="C56" t="str">
            <v/>
          </cell>
          <cell r="D56">
            <v>0</v>
          </cell>
          <cell r="E56" t="str">
            <v/>
          </cell>
        </row>
        <row r="57">
          <cell r="A57" t="str">
            <v>C10025SIG/C(T)</v>
          </cell>
          <cell r="B57" t="str">
            <v>VYPRODÁNO</v>
          </cell>
          <cell r="C57" t="str">
            <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SKLADEM</v>
          </cell>
          <cell r="C60" t="str">
            <v/>
          </cell>
          <cell r="D60">
            <v>0</v>
          </cell>
          <cell r="E60" t="str">
            <v/>
          </cell>
        </row>
        <row r="61">
          <cell r="A61" t="str">
            <v>C10030XF/C14(T)</v>
          </cell>
          <cell r="B61" t="str">
            <v>SKLADEM</v>
          </cell>
          <cell r="C61" t="str">
            <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15.05.2024</v>
          </cell>
          <cell r="C64">
            <v>69</v>
          </cell>
          <cell r="D64">
            <v>0</v>
          </cell>
          <cell r="E64" t="str">
            <v/>
          </cell>
        </row>
        <row r="65">
          <cell r="A65" t="str">
            <v>C1003B/C14(T)</v>
          </cell>
          <cell r="B65" t="str">
            <v>15.05.2024</v>
          </cell>
          <cell r="C65">
            <v>69</v>
          </cell>
          <cell r="D65">
            <v>0</v>
          </cell>
          <cell r="E65" t="str">
            <v/>
          </cell>
        </row>
        <row r="66">
          <cell r="A66" t="str">
            <v>C1003BB/C</v>
          </cell>
          <cell r="B66" t="str">
            <v>15.05.2024</v>
          </cell>
          <cell r="C66">
            <v>69</v>
          </cell>
          <cell r="D66">
            <v>0</v>
          </cell>
          <cell r="E66" t="str">
            <v/>
          </cell>
        </row>
        <row r="67">
          <cell r="A67" t="str">
            <v>C1003BB/C(T)</v>
          </cell>
          <cell r="B67" t="str">
            <v>15.05.2024</v>
          </cell>
          <cell r="C67">
            <v>69</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SKLADEM</v>
          </cell>
          <cell r="C72" t="str">
            <v/>
          </cell>
          <cell r="D72">
            <v>0</v>
          </cell>
          <cell r="E72" t="str">
            <v/>
          </cell>
        </row>
        <row r="73">
          <cell r="A73" t="str">
            <v>C1003BP/C(T)</v>
          </cell>
          <cell r="B73" t="str">
            <v>SKLADEM</v>
          </cell>
          <cell r="C73" t="str">
            <v/>
          </cell>
          <cell r="D73">
            <v>0</v>
          </cell>
          <cell r="E73" t="str">
            <v/>
          </cell>
        </row>
        <row r="74">
          <cell r="A74" t="str">
            <v>C1003BPF/C</v>
          </cell>
          <cell r="B74" t="str">
            <v>SKLADEM</v>
          </cell>
          <cell r="C74" t="str">
            <v/>
          </cell>
          <cell r="D74">
            <v>0</v>
          </cell>
          <cell r="E74" t="str">
            <v/>
          </cell>
        </row>
        <row r="75">
          <cell r="A75" t="str">
            <v>C1003BPF/C(T)</v>
          </cell>
          <cell r="B75" t="str">
            <v>SKLADEM</v>
          </cell>
          <cell r="C75" t="str">
            <v/>
          </cell>
          <cell r="D75">
            <v>0</v>
          </cell>
          <cell r="E75" t="str">
            <v/>
          </cell>
        </row>
        <row r="76">
          <cell r="A76" t="str">
            <v>C1003BPS/C</v>
          </cell>
          <cell r="B76" t="str">
            <v>SKLADEM</v>
          </cell>
          <cell r="C76" t="str">
            <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v>0</v>
          </cell>
          <cell r="E85" t="str">
            <v/>
          </cell>
        </row>
        <row r="86">
          <cell r="A86" t="str">
            <v>C1003F/C14</v>
          </cell>
          <cell r="B86" t="str">
            <v>DOCHÁZÍ</v>
          </cell>
          <cell r="C86" t="str">
            <v/>
          </cell>
          <cell r="D86">
            <v>0</v>
          </cell>
          <cell r="E86">
            <v>21</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15.09.2024</v>
          </cell>
          <cell r="C103">
            <v>192</v>
          </cell>
          <cell r="D103">
            <v>0</v>
          </cell>
          <cell r="E103" t="str">
            <v/>
          </cell>
        </row>
        <row r="104">
          <cell r="A104" t="str">
            <v>C1003SIG/C(T)</v>
          </cell>
          <cell r="B104" t="str">
            <v>15.09.2024</v>
          </cell>
          <cell r="C104">
            <v>192</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15.09.2024</v>
          </cell>
          <cell r="C108">
            <v>192</v>
          </cell>
          <cell r="D108">
            <v>0</v>
          </cell>
          <cell r="E108" t="str">
            <v/>
          </cell>
        </row>
        <row r="109">
          <cell r="A109" t="str">
            <v>C1003VS/C(T)</v>
          </cell>
          <cell r="B109" t="str">
            <v>15.09.2024</v>
          </cell>
          <cell r="C109">
            <v>192</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SKLADEM</v>
          </cell>
          <cell r="C121" t="str">
            <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15.06.2024</v>
          </cell>
          <cell r="C127">
            <v>100</v>
          </cell>
          <cell r="D127">
            <v>0</v>
          </cell>
          <cell r="E127" t="str">
            <v/>
          </cell>
        </row>
        <row r="128">
          <cell r="A128" t="str">
            <v>C10545GI/C(T)</v>
          </cell>
          <cell r="B128" t="str">
            <v>15.06.2024</v>
          </cell>
          <cell r="C128">
            <v>100</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SKLADEM</v>
          </cell>
          <cell r="C133" t="str">
            <v/>
          </cell>
          <cell r="D133">
            <v>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SKLADEM</v>
          </cell>
          <cell r="C137" t="str">
            <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SKLADEM</v>
          </cell>
          <cell r="C141" t="str">
            <v/>
          </cell>
          <cell r="D141">
            <v>0</v>
          </cell>
          <cell r="E141" t="str">
            <v/>
          </cell>
        </row>
        <row r="142">
          <cell r="A142" t="str">
            <v>C111MF/C(T)</v>
          </cell>
          <cell r="B142" t="str">
            <v>SKLADEM</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SKLADEM</v>
          </cell>
          <cell r="C147" t="str">
            <v/>
          </cell>
          <cell r="D147">
            <v>0</v>
          </cell>
          <cell r="E147" t="str">
            <v/>
          </cell>
        </row>
        <row r="148">
          <cell r="A148" t="str">
            <v>C12230XPT/C14(T)</v>
          </cell>
          <cell r="B148" t="str">
            <v>SKLADEM</v>
          </cell>
          <cell r="C148" t="str">
            <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SKLADEM</v>
          </cell>
          <cell r="C153" t="str">
            <v/>
          </cell>
          <cell r="D153">
            <v>0</v>
          </cell>
          <cell r="E153" t="str">
            <v/>
          </cell>
        </row>
        <row r="154">
          <cell r="A154" t="str">
            <v>C12820F/C(T)</v>
          </cell>
          <cell r="B154" t="str">
            <v>SKLADEM</v>
          </cell>
          <cell r="C154" t="str">
            <v/>
          </cell>
          <cell r="D154">
            <v>0</v>
          </cell>
          <cell r="E154" t="str">
            <v/>
          </cell>
        </row>
        <row r="155">
          <cell r="A155" t="str">
            <v>C12820F/C14</v>
          </cell>
          <cell r="B155" t="str">
            <v>30.04.2024</v>
          </cell>
          <cell r="C155">
            <v>54</v>
          </cell>
          <cell r="D155">
            <v>0</v>
          </cell>
          <cell r="E155" t="str">
            <v/>
          </cell>
        </row>
        <row r="156">
          <cell r="A156" t="str">
            <v>C12820F/C14 E</v>
          </cell>
          <cell r="B156" t="str">
            <v>VYPRODÁNO</v>
          </cell>
          <cell r="C156" t="str">
            <v/>
          </cell>
          <cell r="D156">
            <v>0</v>
          </cell>
          <cell r="E156" t="str">
            <v/>
          </cell>
        </row>
        <row r="157">
          <cell r="A157" t="str">
            <v>C12820F/C14(T)</v>
          </cell>
          <cell r="B157" t="str">
            <v>30.04.2024</v>
          </cell>
          <cell r="C157">
            <v>54</v>
          </cell>
          <cell r="D157">
            <v>0</v>
          </cell>
          <cell r="E157" t="str">
            <v/>
          </cell>
        </row>
        <row r="158">
          <cell r="A158" t="str">
            <v>C12820NID/C</v>
          </cell>
          <cell r="B158" t="str">
            <v>SKLADEM</v>
          </cell>
          <cell r="C158" t="str">
            <v/>
          </cell>
          <cell r="D158">
            <v>0</v>
          </cell>
          <cell r="E158" t="str">
            <v/>
          </cell>
        </row>
        <row r="159">
          <cell r="A159" t="str">
            <v>C12820NID/C(T)</v>
          </cell>
          <cell r="B159" t="str">
            <v>SKLADEM</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SKLADEM</v>
          </cell>
          <cell r="C167" t="str">
            <v/>
          </cell>
          <cell r="D167">
            <v>0</v>
          </cell>
          <cell r="E167" t="str">
            <v/>
          </cell>
        </row>
        <row r="168">
          <cell r="A168" t="str">
            <v>C128XMB/C E</v>
          </cell>
          <cell r="B168" t="str">
            <v>VYPRODÁNO</v>
          </cell>
          <cell r="C168" t="str">
            <v/>
          </cell>
          <cell r="D168">
            <v>0</v>
          </cell>
          <cell r="E168" t="str">
            <v/>
          </cell>
        </row>
        <row r="169">
          <cell r="A169" t="str">
            <v>C128XMB/C(T)</v>
          </cell>
          <cell r="B169" t="str">
            <v>SKLADEM</v>
          </cell>
          <cell r="C169" t="str">
            <v/>
          </cell>
          <cell r="D169">
            <v>0</v>
          </cell>
          <cell r="E169" t="str">
            <v/>
          </cell>
        </row>
        <row r="170">
          <cell r="A170" t="str">
            <v>C128XMB/C14</v>
          </cell>
          <cell r="B170" t="str">
            <v>VYPRODÁNO</v>
          </cell>
          <cell r="C170" t="str">
            <v/>
          </cell>
          <cell r="D170">
            <v>0</v>
          </cell>
          <cell r="E170" t="str">
            <v/>
          </cell>
        </row>
        <row r="171">
          <cell r="A171" t="str">
            <v>C128XMPT/C</v>
          </cell>
          <cell r="B171" t="str">
            <v>SKLADEM</v>
          </cell>
          <cell r="C171" t="str">
            <v/>
          </cell>
          <cell r="D171">
            <v>0</v>
          </cell>
          <cell r="E171" t="str">
            <v/>
          </cell>
        </row>
        <row r="172">
          <cell r="A172" t="str">
            <v>C128XMPT/C(T)</v>
          </cell>
          <cell r="B172" t="str">
            <v>SKLADEM</v>
          </cell>
          <cell r="C172" t="str">
            <v/>
          </cell>
          <cell r="D172">
            <v>0</v>
          </cell>
          <cell r="E172" t="str">
            <v/>
          </cell>
        </row>
        <row r="173">
          <cell r="A173" t="str">
            <v>C13020B</v>
          </cell>
          <cell r="B173" t="str">
            <v>SKLADEM</v>
          </cell>
          <cell r="C173" t="str">
            <v/>
          </cell>
          <cell r="D173">
            <v>0</v>
          </cell>
          <cell r="E173" t="str">
            <v/>
          </cell>
        </row>
        <row r="174">
          <cell r="A174" t="str">
            <v>C13020B E</v>
          </cell>
          <cell r="B174" t="str">
            <v>SKLADEM</v>
          </cell>
          <cell r="C174" t="str">
            <v/>
          </cell>
          <cell r="D174">
            <v>0</v>
          </cell>
          <cell r="E174" t="str">
            <v/>
          </cell>
        </row>
        <row r="175">
          <cell r="A175" t="str">
            <v>C13020BP</v>
          </cell>
          <cell r="B175" t="str">
            <v>SKLADEM</v>
          </cell>
          <cell r="C175" t="str">
            <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SKLADEM</v>
          </cell>
          <cell r="C178" t="str">
            <v/>
          </cell>
          <cell r="D178">
            <v>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SKLADEM</v>
          </cell>
          <cell r="C182" t="str">
            <v/>
          </cell>
          <cell r="D182">
            <v>0</v>
          </cell>
          <cell r="E182" t="str">
            <v/>
          </cell>
        </row>
        <row r="183">
          <cell r="A183" t="str">
            <v>C13220B/C(T)</v>
          </cell>
          <cell r="B183" t="str">
            <v>SKLADEM</v>
          </cell>
          <cell r="C183" t="str">
            <v/>
          </cell>
          <cell r="D183">
            <v>0</v>
          </cell>
          <cell r="E183" t="str">
            <v/>
          </cell>
        </row>
        <row r="184">
          <cell r="A184" t="str">
            <v>C13220B/C14</v>
          </cell>
          <cell r="B184" t="str">
            <v>SKLADEM</v>
          </cell>
          <cell r="C184" t="str">
            <v/>
          </cell>
          <cell r="D184">
            <v>0</v>
          </cell>
          <cell r="E184" t="str">
            <v/>
          </cell>
        </row>
        <row r="185">
          <cell r="A185" t="str">
            <v>C13220B/C14 E</v>
          </cell>
          <cell r="B185" t="str">
            <v>VYPRODÁNO</v>
          </cell>
          <cell r="C185" t="str">
            <v/>
          </cell>
          <cell r="D185">
            <v>0</v>
          </cell>
          <cell r="E185" t="str">
            <v/>
          </cell>
        </row>
        <row r="186">
          <cell r="A186" t="str">
            <v>C13220B/C14(T)</v>
          </cell>
          <cell r="B186" t="str">
            <v>SKLADEM</v>
          </cell>
          <cell r="C186" t="str">
            <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SKLADEM</v>
          </cell>
          <cell r="C189" t="str">
            <v/>
          </cell>
          <cell r="D189">
            <v>0</v>
          </cell>
          <cell r="E189" t="str">
            <v/>
          </cell>
        </row>
        <row r="190">
          <cell r="A190" t="str">
            <v>C132XMPT/C(T)</v>
          </cell>
          <cell r="B190" t="str">
            <v>SKLADEM</v>
          </cell>
          <cell r="C190" t="str">
            <v/>
          </cell>
          <cell r="D190">
            <v>0</v>
          </cell>
          <cell r="E190" t="str">
            <v/>
          </cell>
        </row>
        <row r="191">
          <cell r="A191" t="str">
            <v>C132XMPT/C14</v>
          </cell>
          <cell r="B191" t="str">
            <v>SKLADEM</v>
          </cell>
          <cell r="C191" t="str">
            <v/>
          </cell>
          <cell r="D191">
            <v>0</v>
          </cell>
          <cell r="E191" t="str">
            <v/>
          </cell>
        </row>
        <row r="192">
          <cell r="A192" t="str">
            <v>C132XMPT/C14(T)</v>
          </cell>
          <cell r="B192" t="str">
            <v>SKLADEM</v>
          </cell>
          <cell r="C192" t="str">
            <v/>
          </cell>
          <cell r="D192">
            <v>0</v>
          </cell>
          <cell r="E192" t="str">
            <v/>
          </cell>
        </row>
        <row r="193">
          <cell r="A193" t="str">
            <v>C13420B</v>
          </cell>
          <cell r="B193" t="str">
            <v>SKLADEM</v>
          </cell>
          <cell r="C193" t="str">
            <v/>
          </cell>
          <cell r="D193">
            <v>0</v>
          </cell>
          <cell r="E193" t="str">
            <v/>
          </cell>
        </row>
        <row r="194">
          <cell r="A194" t="str">
            <v>C13420B E</v>
          </cell>
          <cell r="B194" t="str">
            <v>SKLADEM</v>
          </cell>
          <cell r="C194" t="str">
            <v/>
          </cell>
          <cell r="D194">
            <v>0</v>
          </cell>
          <cell r="E194" t="str">
            <v/>
          </cell>
        </row>
        <row r="195">
          <cell r="A195" t="str">
            <v>C13420H</v>
          </cell>
          <cell r="B195" t="str">
            <v>20.06.2024</v>
          </cell>
          <cell r="C195">
            <v>105</v>
          </cell>
          <cell r="D195">
            <v>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v>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15.09.2024</v>
          </cell>
          <cell r="C201">
            <v>192</v>
          </cell>
          <cell r="D201">
            <v>0</v>
          </cell>
          <cell r="E201" t="str">
            <v/>
          </cell>
        </row>
        <row r="202">
          <cell r="A202" t="str">
            <v>C14025XFS/C(T)</v>
          </cell>
          <cell r="B202" t="str">
            <v>15.09.2024</v>
          </cell>
          <cell r="C202">
            <v>192</v>
          </cell>
          <cell r="D202">
            <v>0</v>
          </cell>
          <cell r="E202" t="str">
            <v/>
          </cell>
        </row>
        <row r="203">
          <cell r="A203" t="str">
            <v>C14025XFS/C14</v>
          </cell>
          <cell r="B203" t="str">
            <v>20.06.2024</v>
          </cell>
          <cell r="C203">
            <v>105</v>
          </cell>
          <cell r="D203">
            <v>0</v>
          </cell>
          <cell r="E203" t="str">
            <v/>
          </cell>
        </row>
        <row r="204">
          <cell r="A204" t="str">
            <v>C14025XFS/C14(T)</v>
          </cell>
          <cell r="B204" t="str">
            <v>20.06.2024</v>
          </cell>
          <cell r="C204">
            <v>105</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DOCHÁZÍ</v>
          </cell>
          <cell r="C210" t="str">
            <v/>
          </cell>
          <cell r="D210">
            <v>0</v>
          </cell>
          <cell r="E210">
            <v>67</v>
          </cell>
        </row>
        <row r="211">
          <cell r="A211" t="str">
            <v>C1503X/C(T)</v>
          </cell>
          <cell r="B211" t="str">
            <v>DOCHÁZÍ</v>
          </cell>
          <cell r="C211" t="str">
            <v/>
          </cell>
          <cell r="D211">
            <v>0</v>
          </cell>
          <cell r="E211">
            <v>67</v>
          </cell>
        </row>
        <row r="212">
          <cell r="A212" t="str">
            <v>C150MF/C</v>
          </cell>
          <cell r="B212" t="str">
            <v>DOCHÁZÍ</v>
          </cell>
          <cell r="C212" t="str">
            <v/>
          </cell>
          <cell r="D212">
            <v>0</v>
          </cell>
          <cell r="E212">
            <v>1</v>
          </cell>
        </row>
        <row r="213">
          <cell r="A213" t="str">
            <v>C150MF/C(T)</v>
          </cell>
          <cell r="B213" t="str">
            <v>DOCHÁZÍ</v>
          </cell>
          <cell r="C213" t="str">
            <v/>
          </cell>
          <cell r="D213">
            <v>0</v>
          </cell>
          <cell r="E213">
            <v>1</v>
          </cell>
        </row>
        <row r="214">
          <cell r="A214" t="str">
            <v>C150MF/C14</v>
          </cell>
          <cell r="B214" t="str">
            <v>SKLADEM</v>
          </cell>
          <cell r="C214" t="str">
            <v/>
          </cell>
          <cell r="D214">
            <v>0</v>
          </cell>
          <cell r="E214" t="str">
            <v/>
          </cell>
        </row>
        <row r="215">
          <cell r="A215" t="str">
            <v>C150MF/C14 E</v>
          </cell>
          <cell r="B215" t="str">
            <v>VYPRODÁNO</v>
          </cell>
          <cell r="C215" t="str">
            <v/>
          </cell>
          <cell r="D215">
            <v>0</v>
          </cell>
          <cell r="E215" t="str">
            <v/>
          </cell>
        </row>
        <row r="216">
          <cell r="A216" t="str">
            <v>C150MF/C14(T)</v>
          </cell>
          <cell r="B216" t="str">
            <v>SKLADEM</v>
          </cell>
          <cell r="C216" t="str">
            <v/>
          </cell>
          <cell r="D216">
            <v>0</v>
          </cell>
          <cell r="E216" t="str">
            <v/>
          </cell>
        </row>
        <row r="217">
          <cell r="A217" t="str">
            <v>C150MPT/C</v>
          </cell>
          <cell r="B217" t="str">
            <v>15.05.2024</v>
          </cell>
          <cell r="C217">
            <v>69</v>
          </cell>
          <cell r="D217">
            <v>0</v>
          </cell>
          <cell r="E217" t="str">
            <v/>
          </cell>
        </row>
        <row r="218">
          <cell r="A218" t="str">
            <v>C150MPT/C(T)</v>
          </cell>
          <cell r="B218" t="str">
            <v>15.05.2024</v>
          </cell>
          <cell r="C218">
            <v>69</v>
          </cell>
          <cell r="D218">
            <v>0</v>
          </cell>
          <cell r="E218" t="str">
            <v/>
          </cell>
        </row>
        <row r="219">
          <cell r="A219" t="str">
            <v>C16100A</v>
          </cell>
          <cell r="B219" t="str">
            <v>VYPRODÁNO</v>
          </cell>
          <cell r="C219" t="str">
            <v/>
          </cell>
          <cell r="D219">
            <v>0</v>
          </cell>
          <cell r="E219" t="str">
            <v/>
          </cell>
        </row>
        <row r="220">
          <cell r="A220" t="str">
            <v>C1614E14</v>
          </cell>
          <cell r="B220" t="str">
            <v>30.09.2024</v>
          </cell>
          <cell r="C220">
            <v>207</v>
          </cell>
          <cell r="D220">
            <v>0</v>
          </cell>
          <cell r="E220" t="str">
            <v/>
          </cell>
        </row>
        <row r="221">
          <cell r="A221" t="str">
            <v>C1614E14 E</v>
          </cell>
          <cell r="B221" t="str">
            <v>SKLADEM</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SKLADEM</v>
          </cell>
          <cell r="C227" t="str">
            <v/>
          </cell>
          <cell r="D227">
            <v>0</v>
          </cell>
          <cell r="E227" t="str">
            <v/>
          </cell>
        </row>
        <row r="228">
          <cell r="A228" t="str">
            <v>C1620DU</v>
          </cell>
          <cell r="B228" t="str">
            <v>15.06.2024</v>
          </cell>
          <cell r="C228">
            <v>100</v>
          </cell>
          <cell r="D228">
            <v>0</v>
          </cell>
          <cell r="E228" t="str">
            <v/>
          </cell>
        </row>
        <row r="229">
          <cell r="A229" t="str">
            <v>C1620DU(5)</v>
          </cell>
          <cell r="B229" t="str">
            <v>SKLADEM</v>
          </cell>
          <cell r="C229" t="str">
            <v/>
          </cell>
          <cell r="D229">
            <v>0</v>
          </cell>
          <cell r="E229" t="str">
            <v/>
          </cell>
        </row>
        <row r="230">
          <cell r="A230" t="str">
            <v>C1620DU(S)</v>
          </cell>
          <cell r="B230" t="str">
            <v>SKLADEM</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v>0</v>
          </cell>
          <cell r="E233" t="str">
            <v/>
          </cell>
        </row>
        <row r="234">
          <cell r="A234" t="str">
            <v>C1620F E</v>
          </cell>
          <cell r="B234" t="str">
            <v>VYPRODÁNO</v>
          </cell>
          <cell r="C234" t="str">
            <v/>
          </cell>
          <cell r="D234">
            <v>0</v>
          </cell>
          <cell r="E234" t="str">
            <v/>
          </cell>
        </row>
        <row r="235">
          <cell r="A235" t="str">
            <v>C1620F14</v>
          </cell>
          <cell r="B235" t="str">
            <v>SKLADEM</v>
          </cell>
          <cell r="C235" t="str">
            <v/>
          </cell>
          <cell r="D235">
            <v>0</v>
          </cell>
          <cell r="E235" t="str">
            <v/>
          </cell>
        </row>
        <row r="236">
          <cell r="A236" t="str">
            <v>C1620F14 E</v>
          </cell>
          <cell r="B236" t="str">
            <v>VYPRODÁNO</v>
          </cell>
          <cell r="C236" t="str">
            <v/>
          </cell>
          <cell r="D236">
            <v>0</v>
          </cell>
          <cell r="E236" t="str">
            <v/>
          </cell>
        </row>
        <row r="237">
          <cell r="A237" t="str">
            <v>C1620H</v>
          </cell>
          <cell r="B237" t="str">
            <v>SKLADEM</v>
          </cell>
          <cell r="C237" t="str">
            <v/>
          </cell>
          <cell r="D237">
            <v>0</v>
          </cell>
          <cell r="E237" t="str">
            <v/>
          </cell>
        </row>
        <row r="238">
          <cell r="A238" t="str">
            <v>C1620H E</v>
          </cell>
          <cell r="B238" t="str">
            <v>VYPRODÁNO</v>
          </cell>
          <cell r="C238" t="str">
            <v/>
          </cell>
          <cell r="D238">
            <v>0</v>
          </cell>
          <cell r="E238" t="str">
            <v/>
          </cell>
        </row>
        <row r="239">
          <cell r="A239" t="str">
            <v>C1620H14</v>
          </cell>
          <cell r="B239" t="str">
            <v>SKLADEM</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15.09.2024</v>
          </cell>
          <cell r="C242">
            <v>192</v>
          </cell>
          <cell r="D242">
            <v>0</v>
          </cell>
          <cell r="E242" t="str">
            <v/>
          </cell>
        </row>
        <row r="243">
          <cell r="A243" t="str">
            <v>C1620M E</v>
          </cell>
          <cell r="B243" t="str">
            <v>VYPRODÁNO</v>
          </cell>
          <cell r="C243" t="str">
            <v/>
          </cell>
          <cell r="D243">
            <v>0</v>
          </cell>
          <cell r="E243" t="str">
            <v/>
          </cell>
        </row>
        <row r="244">
          <cell r="A244" t="str">
            <v>C1620M14</v>
          </cell>
          <cell r="B244" t="str">
            <v>SKLADEM</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v>0</v>
          </cell>
          <cell r="E248" t="str">
            <v/>
          </cell>
        </row>
        <row r="249">
          <cell r="A249" t="str">
            <v>C1620N E</v>
          </cell>
          <cell r="B249" t="str">
            <v>VYPRODÁNO</v>
          </cell>
          <cell r="C249" t="str">
            <v/>
          </cell>
          <cell r="D249">
            <v>0</v>
          </cell>
          <cell r="E249" t="str">
            <v/>
          </cell>
        </row>
        <row r="250">
          <cell r="A250" t="str">
            <v>C1620N14</v>
          </cell>
          <cell r="B250" t="str">
            <v>SKLADEM</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SKLADEM</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SKLADEM</v>
          </cell>
          <cell r="C261" t="str">
            <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DOCHÁZÍ</v>
          </cell>
          <cell r="C267" t="str">
            <v/>
          </cell>
          <cell r="D267">
            <v>0</v>
          </cell>
          <cell r="E267">
            <v>13</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DOCHÁZÍ</v>
          </cell>
          <cell r="C271" t="str">
            <v/>
          </cell>
          <cell r="D271">
            <v>0</v>
          </cell>
          <cell r="E271">
            <v>2</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15.09.2024</v>
          </cell>
          <cell r="C280">
            <v>192</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15.09.2024</v>
          </cell>
          <cell r="C293">
            <v>192</v>
          </cell>
          <cell r="D293">
            <v>0</v>
          </cell>
          <cell r="E293" t="str">
            <v/>
          </cell>
        </row>
        <row r="294">
          <cell r="A294" t="str">
            <v>C163K14</v>
          </cell>
          <cell r="B294" t="str">
            <v>VYPRODÁNO</v>
          </cell>
          <cell r="C294" t="str">
            <v/>
          </cell>
          <cell r="D294">
            <v>0</v>
          </cell>
          <cell r="E294" t="str">
            <v/>
          </cell>
        </row>
        <row r="295">
          <cell r="A295" t="str">
            <v>C163L</v>
          </cell>
          <cell r="B295" t="str">
            <v>15.09.2024</v>
          </cell>
          <cell r="C295">
            <v>192</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30.04.2024</v>
          </cell>
          <cell r="C305">
            <v>54</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SKLADEM</v>
          </cell>
          <cell r="C315" t="str">
            <v/>
          </cell>
          <cell r="D315">
            <v>0</v>
          </cell>
          <cell r="E315" t="str">
            <v/>
          </cell>
        </row>
        <row r="316">
          <cell r="A316" t="str">
            <v>C165JE</v>
          </cell>
          <cell r="B316" t="str">
            <v>VYPRODÁNO</v>
          </cell>
          <cell r="C316" t="str">
            <v/>
          </cell>
          <cell r="D316">
            <v>0</v>
          </cell>
          <cell r="E316" t="str">
            <v/>
          </cell>
        </row>
        <row r="317">
          <cell r="A317" t="str">
            <v>C165P</v>
          </cell>
          <cell r="B317" t="str">
            <v>DOCHÁZÍ</v>
          </cell>
          <cell r="C317" t="str">
            <v/>
          </cell>
          <cell r="D317">
            <v>0</v>
          </cell>
          <cell r="E317">
            <v>16</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SKLADEM</v>
          </cell>
          <cell r="C331" t="str">
            <v/>
          </cell>
          <cell r="D331">
            <v>0</v>
          </cell>
          <cell r="E331" t="str">
            <v/>
          </cell>
        </row>
        <row r="332">
          <cell r="A332" t="str">
            <v>C175MF/C(T)</v>
          </cell>
          <cell r="B332" t="str">
            <v>SKLADEM</v>
          </cell>
          <cell r="C332" t="str">
            <v/>
          </cell>
          <cell r="D332">
            <v>0</v>
          </cell>
          <cell r="E332" t="str">
            <v/>
          </cell>
        </row>
        <row r="333">
          <cell r="A333" t="str">
            <v>C175MSIG/C</v>
          </cell>
          <cell r="B333" t="str">
            <v>15.09.2024</v>
          </cell>
          <cell r="C333">
            <v>192</v>
          </cell>
          <cell r="D333">
            <v>0</v>
          </cell>
          <cell r="E333" t="str">
            <v/>
          </cell>
        </row>
        <row r="334">
          <cell r="A334" t="str">
            <v>C175MSIG/C E</v>
          </cell>
          <cell r="B334" t="str">
            <v>VYPRODÁNO</v>
          </cell>
          <cell r="C334" t="str">
            <v/>
          </cell>
          <cell r="D334">
            <v>0</v>
          </cell>
          <cell r="E334" t="str">
            <v/>
          </cell>
        </row>
        <row r="335">
          <cell r="A335" t="str">
            <v>C175MSIG/C(T)</v>
          </cell>
          <cell r="B335" t="str">
            <v>15.09.2024</v>
          </cell>
          <cell r="C335">
            <v>192</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SKLADEM</v>
          </cell>
          <cell r="C338" t="str">
            <v/>
          </cell>
          <cell r="D338">
            <v>0</v>
          </cell>
          <cell r="E338" t="str">
            <v/>
          </cell>
        </row>
        <row r="339">
          <cell r="A339" t="str">
            <v>C17825W/C E</v>
          </cell>
          <cell r="B339" t="str">
            <v>VYPRODÁNO</v>
          </cell>
          <cell r="C339" t="str">
            <v/>
          </cell>
          <cell r="D339">
            <v>0</v>
          </cell>
          <cell r="E339" t="str">
            <v/>
          </cell>
        </row>
        <row r="340">
          <cell r="A340" t="str">
            <v>C17825W/C(T)</v>
          </cell>
          <cell r="B340" t="str">
            <v>SKLADEM</v>
          </cell>
          <cell r="C340" t="str">
            <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SKLADEM</v>
          </cell>
          <cell r="C351" t="str">
            <v/>
          </cell>
          <cell r="D351" t="str">
            <v>100+</v>
          </cell>
          <cell r="E351" t="str">
            <v/>
          </cell>
        </row>
        <row r="352">
          <cell r="A352" t="str">
            <v>C19220F/C(T)</v>
          </cell>
          <cell r="B352" t="str">
            <v>SKLADEM</v>
          </cell>
          <cell r="C352" t="str">
            <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SKLADEM</v>
          </cell>
          <cell r="C356" t="str">
            <v/>
          </cell>
          <cell r="D356">
            <v>0</v>
          </cell>
          <cell r="E356" t="str">
            <v/>
          </cell>
        </row>
        <row r="357">
          <cell r="A357" t="str">
            <v>C19225MF/C14 E</v>
          </cell>
          <cell r="B357" t="str">
            <v>VYPRODÁNO</v>
          </cell>
          <cell r="C357" t="str">
            <v/>
          </cell>
          <cell r="D357">
            <v>0</v>
          </cell>
          <cell r="E357" t="str">
            <v/>
          </cell>
        </row>
        <row r="358">
          <cell r="A358" t="str">
            <v>C19225MF/C14(T)</v>
          </cell>
          <cell r="B358" t="str">
            <v>SKLADEM</v>
          </cell>
          <cell r="C358" t="str">
            <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SKLADEM</v>
          </cell>
          <cell r="C370" t="str">
            <v/>
          </cell>
          <cell r="D370">
            <v>0</v>
          </cell>
          <cell r="E370" t="str">
            <v/>
          </cell>
        </row>
        <row r="371">
          <cell r="A371" t="str">
            <v>C193C14</v>
          </cell>
          <cell r="B371" t="str">
            <v>VYPRODÁNO</v>
          </cell>
          <cell r="C371" t="str">
            <v/>
          </cell>
          <cell r="D371">
            <v>0</v>
          </cell>
          <cell r="E371" t="str">
            <v/>
          </cell>
        </row>
        <row r="372">
          <cell r="A372" t="str">
            <v>C193D</v>
          </cell>
          <cell r="B372" t="str">
            <v>SKLADEM</v>
          </cell>
          <cell r="C372" t="str">
            <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SKLADEM</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SKLADEM</v>
          </cell>
          <cell r="C385" t="str">
            <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SKLADEM</v>
          </cell>
          <cell r="C391" t="str">
            <v/>
          </cell>
          <cell r="D391">
            <v>0</v>
          </cell>
          <cell r="E391" t="str">
            <v/>
          </cell>
        </row>
        <row r="392">
          <cell r="A392" t="str">
            <v>C19620SIG/C(T)</v>
          </cell>
          <cell r="B392" t="str">
            <v>SKLADEM</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15.09.2024</v>
          </cell>
          <cell r="C397">
            <v>192</v>
          </cell>
          <cell r="D397">
            <v>0</v>
          </cell>
          <cell r="E397" t="str">
            <v/>
          </cell>
        </row>
        <row r="398">
          <cell r="A398" t="str">
            <v>C19625F/C(T)</v>
          </cell>
          <cell r="B398" t="str">
            <v>15.09.2024</v>
          </cell>
          <cell r="C398">
            <v>192</v>
          </cell>
          <cell r="D398">
            <v>0</v>
          </cell>
          <cell r="E398" t="str">
            <v/>
          </cell>
        </row>
        <row r="399">
          <cell r="A399" t="str">
            <v>C20020BP</v>
          </cell>
          <cell r="B399" t="str">
            <v>30.09.2024</v>
          </cell>
          <cell r="C399">
            <v>207</v>
          </cell>
          <cell r="D399">
            <v>0</v>
          </cell>
          <cell r="E399" t="str">
            <v/>
          </cell>
        </row>
        <row r="400">
          <cell r="A400" t="str">
            <v>C20020BPF</v>
          </cell>
          <cell r="B400" t="str">
            <v>DOCHÁZÍ</v>
          </cell>
          <cell r="C400" t="str">
            <v/>
          </cell>
          <cell r="D400">
            <v>0</v>
          </cell>
          <cell r="E400">
            <v>92</v>
          </cell>
        </row>
        <row r="401">
          <cell r="A401" t="str">
            <v>C20020BPS</v>
          </cell>
          <cell r="B401" t="str">
            <v>30.09.2024</v>
          </cell>
          <cell r="C401">
            <v>207</v>
          </cell>
          <cell r="D401">
            <v>0</v>
          </cell>
          <cell r="E401" t="str">
            <v/>
          </cell>
        </row>
        <row r="402">
          <cell r="A402" t="str">
            <v>C20020PR</v>
          </cell>
          <cell r="B402" t="str">
            <v>SKLADEM</v>
          </cell>
          <cell r="C402" t="str">
            <v/>
          </cell>
          <cell r="D402">
            <v>0</v>
          </cell>
          <cell r="E402" t="str">
            <v/>
          </cell>
        </row>
        <row r="403">
          <cell r="A403" t="str">
            <v>C20020XBP</v>
          </cell>
          <cell r="B403" t="str">
            <v>SKLADEM</v>
          </cell>
          <cell r="C403" t="str">
            <v/>
          </cell>
          <cell r="D403">
            <v>0</v>
          </cell>
          <cell r="E403" t="str">
            <v/>
          </cell>
        </row>
        <row r="404">
          <cell r="A404" t="str">
            <v>C20020XBPW</v>
          </cell>
          <cell r="B404" t="str">
            <v>SKLADEM</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SKLADEM</v>
          </cell>
          <cell r="C409" t="str">
            <v/>
          </cell>
          <cell r="D409">
            <v>0</v>
          </cell>
          <cell r="E409" t="str">
            <v/>
          </cell>
        </row>
        <row r="410">
          <cell r="A410" t="str">
            <v>C20020XTS/C14(T)</v>
          </cell>
          <cell r="B410" t="str">
            <v>SKLADEM</v>
          </cell>
          <cell r="C410" t="str">
            <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SKLADEM</v>
          </cell>
          <cell r="C413" t="str">
            <v/>
          </cell>
          <cell r="D413">
            <v>12</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SKLADEM</v>
          </cell>
          <cell r="C422" t="str">
            <v/>
          </cell>
          <cell r="D422">
            <v>0</v>
          </cell>
          <cell r="E422" t="str">
            <v/>
          </cell>
        </row>
        <row r="423">
          <cell r="A423" t="str">
            <v>C2003SIG/C(T)</v>
          </cell>
          <cell r="B423" t="str">
            <v>SKLADEM</v>
          </cell>
          <cell r="C423" t="str">
            <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15.06.2024</v>
          </cell>
          <cell r="C426">
            <v>100</v>
          </cell>
          <cell r="D426">
            <v>0</v>
          </cell>
          <cell r="E426" t="str">
            <v/>
          </cell>
        </row>
        <row r="427">
          <cell r="A427" t="str">
            <v>C2003U/C(T)</v>
          </cell>
          <cell r="B427" t="str">
            <v>15.06.2024</v>
          </cell>
          <cell r="C427">
            <v>100</v>
          </cell>
          <cell r="D427">
            <v>0</v>
          </cell>
          <cell r="E427" t="str">
            <v/>
          </cell>
        </row>
        <row r="428">
          <cell r="A428" t="str">
            <v>C2003X</v>
          </cell>
          <cell r="B428" t="str">
            <v>VYPRODÁNO</v>
          </cell>
          <cell r="C428" t="str">
            <v/>
          </cell>
          <cell r="D428">
            <v>0</v>
          </cell>
          <cell r="E428" t="str">
            <v/>
          </cell>
        </row>
        <row r="429">
          <cell r="A429" t="str">
            <v>C200MF/C</v>
          </cell>
          <cell r="B429" t="str">
            <v>SKLADEM</v>
          </cell>
          <cell r="C429" t="str">
            <v/>
          </cell>
          <cell r="D429">
            <v>0</v>
          </cell>
          <cell r="E429" t="str">
            <v/>
          </cell>
        </row>
        <row r="430">
          <cell r="A430" t="str">
            <v>C200MF/C(T)</v>
          </cell>
          <cell r="B430" t="str">
            <v>SKLADEM</v>
          </cell>
          <cell r="C430" t="str">
            <v/>
          </cell>
          <cell r="D430">
            <v>0</v>
          </cell>
          <cell r="E430" t="str">
            <v/>
          </cell>
        </row>
        <row r="431">
          <cell r="A431" t="str">
            <v>C200MF/C14</v>
          </cell>
          <cell r="B431" t="str">
            <v>30.09.2024</v>
          </cell>
          <cell r="C431">
            <v>207</v>
          </cell>
          <cell r="D431">
            <v>0</v>
          </cell>
          <cell r="E431" t="str">
            <v/>
          </cell>
        </row>
        <row r="432">
          <cell r="A432" t="str">
            <v>C200MF/C14 E</v>
          </cell>
          <cell r="B432" t="str">
            <v>VYPRODÁNO</v>
          </cell>
          <cell r="C432" t="str">
            <v/>
          </cell>
          <cell r="D432">
            <v>0</v>
          </cell>
          <cell r="E432" t="str">
            <v/>
          </cell>
        </row>
        <row r="433">
          <cell r="A433" t="str">
            <v>C200MF/C14(T)</v>
          </cell>
          <cell r="B433" t="str">
            <v>30.09.2024</v>
          </cell>
          <cell r="C433">
            <v>207</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SKLADEM</v>
          </cell>
          <cell r="C440" t="str">
            <v/>
          </cell>
          <cell r="D440">
            <v>0</v>
          </cell>
          <cell r="E440" t="str">
            <v/>
          </cell>
        </row>
        <row r="441">
          <cell r="A441" t="str">
            <v>C204XMPT/C(T)</v>
          </cell>
          <cell r="B441" t="str">
            <v>SKLADEM</v>
          </cell>
          <cell r="C441" t="str">
            <v/>
          </cell>
          <cell r="D441">
            <v>0</v>
          </cell>
          <cell r="E441" t="str">
            <v/>
          </cell>
        </row>
        <row r="442">
          <cell r="A442" t="str">
            <v>C204XMPT/C14</v>
          </cell>
          <cell r="B442" t="str">
            <v>15.09.2024</v>
          </cell>
          <cell r="C442">
            <v>192</v>
          </cell>
          <cell r="D442">
            <v>0</v>
          </cell>
          <cell r="E442" t="str">
            <v/>
          </cell>
        </row>
        <row r="443">
          <cell r="A443" t="str">
            <v>C204XMPT/C14(T)</v>
          </cell>
          <cell r="B443" t="str">
            <v>15.09.2024</v>
          </cell>
          <cell r="C443">
            <v>192</v>
          </cell>
          <cell r="D443">
            <v>0</v>
          </cell>
          <cell r="E443" t="str">
            <v/>
          </cell>
        </row>
        <row r="444">
          <cell r="A444" t="str">
            <v>C20814XPR</v>
          </cell>
          <cell r="B444" t="str">
            <v>VYPRODÁNO</v>
          </cell>
          <cell r="C444" t="str">
            <v/>
          </cell>
          <cell r="D444">
            <v>0</v>
          </cell>
          <cell r="E444" t="str">
            <v/>
          </cell>
        </row>
        <row r="445">
          <cell r="A445" t="str">
            <v>C20814XPR14</v>
          </cell>
          <cell r="B445" t="str">
            <v>30.09.2024</v>
          </cell>
          <cell r="C445">
            <v>207</v>
          </cell>
          <cell r="D445">
            <v>0</v>
          </cell>
          <cell r="E445" t="str">
            <v/>
          </cell>
        </row>
        <row r="446">
          <cell r="A446" t="str">
            <v>C210M1</v>
          </cell>
          <cell r="B446" t="str">
            <v>VYPRODÁNO</v>
          </cell>
          <cell r="C446" t="str">
            <v/>
          </cell>
          <cell r="D446">
            <v>0</v>
          </cell>
          <cell r="E446" t="str">
            <v/>
          </cell>
        </row>
        <row r="447">
          <cell r="A447" t="str">
            <v>C212MF/C</v>
          </cell>
          <cell r="B447" t="str">
            <v>15.05.2024</v>
          </cell>
          <cell r="C447">
            <v>69</v>
          </cell>
          <cell r="D447">
            <v>0</v>
          </cell>
          <cell r="E447" t="str">
            <v/>
          </cell>
        </row>
        <row r="448">
          <cell r="A448" t="str">
            <v>C212MF/C(T)</v>
          </cell>
          <cell r="B448" t="str">
            <v>15.05.2024</v>
          </cell>
          <cell r="C448">
            <v>69</v>
          </cell>
          <cell r="D448">
            <v>0</v>
          </cell>
          <cell r="E448" t="str">
            <v/>
          </cell>
        </row>
        <row r="449">
          <cell r="A449" t="str">
            <v>C216XMFS/C</v>
          </cell>
          <cell r="B449" t="str">
            <v>SKLADEM</v>
          </cell>
          <cell r="C449" t="str">
            <v/>
          </cell>
          <cell r="D449">
            <v>0</v>
          </cell>
          <cell r="E449" t="str">
            <v/>
          </cell>
        </row>
        <row r="450">
          <cell r="A450" t="str">
            <v>C216XMFS/C(T)</v>
          </cell>
          <cell r="B450" t="str">
            <v>SKLADEM</v>
          </cell>
          <cell r="C450" t="str">
            <v/>
          </cell>
          <cell r="D450">
            <v>0</v>
          </cell>
          <cell r="E450" t="str">
            <v/>
          </cell>
        </row>
        <row r="451">
          <cell r="A451" t="str">
            <v>C216XMFS/C14</v>
          </cell>
          <cell r="B451" t="str">
            <v>DOCHÁZÍ</v>
          </cell>
          <cell r="C451" t="str">
            <v/>
          </cell>
          <cell r="D451">
            <v>0</v>
          </cell>
          <cell r="E451">
            <v>9</v>
          </cell>
        </row>
        <row r="452">
          <cell r="A452" t="str">
            <v>C216XMFS/C14(T)</v>
          </cell>
          <cell r="B452" t="str">
            <v>DOCHÁZÍ</v>
          </cell>
          <cell r="C452" t="str">
            <v/>
          </cell>
          <cell r="D452">
            <v>0</v>
          </cell>
          <cell r="E452">
            <v>9</v>
          </cell>
        </row>
        <row r="453">
          <cell r="A453" t="str">
            <v>C219XMPT/C</v>
          </cell>
          <cell r="B453" t="str">
            <v>15.08.2024</v>
          </cell>
          <cell r="C453">
            <v>161</v>
          </cell>
          <cell r="D453">
            <v>0</v>
          </cell>
          <cell r="E453" t="str">
            <v/>
          </cell>
        </row>
        <row r="454">
          <cell r="A454" t="str">
            <v>C219XMPT/C(T)</v>
          </cell>
          <cell r="B454" t="str">
            <v>15.08.2024</v>
          </cell>
          <cell r="C454">
            <v>161</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30.09.2024</v>
          </cell>
          <cell r="C457">
            <v>207</v>
          </cell>
          <cell r="D457">
            <v>0</v>
          </cell>
          <cell r="E457" t="str">
            <v/>
          </cell>
        </row>
        <row r="458">
          <cell r="A458" t="str">
            <v>C222MF/C(T)</v>
          </cell>
          <cell r="B458" t="str">
            <v>30.09.2024</v>
          </cell>
          <cell r="C458">
            <v>207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15.08.2024</v>
          </cell>
          <cell r="C461">
            <v>161</v>
          </cell>
          <cell r="D461">
            <v>0</v>
          </cell>
          <cell r="E461" t="str">
            <v/>
          </cell>
        </row>
        <row r="462">
          <cell r="A462" t="str">
            <v>C222MNPT/C(T)</v>
          </cell>
          <cell r="B462" t="str">
            <v>15.08.2024</v>
          </cell>
          <cell r="C462">
            <v>161</v>
          </cell>
          <cell r="D462">
            <v>0</v>
          </cell>
          <cell r="E462" t="str">
            <v/>
          </cell>
        </row>
        <row r="463">
          <cell r="A463" t="str">
            <v>C223MF/C</v>
          </cell>
          <cell r="B463" t="str">
            <v>SKLADEM</v>
          </cell>
          <cell r="C463" t="str">
            <v/>
          </cell>
          <cell r="D463">
            <v>0</v>
          </cell>
          <cell r="E463" t="str">
            <v/>
          </cell>
        </row>
        <row r="464">
          <cell r="A464" t="str">
            <v>C223MF/C E</v>
          </cell>
          <cell r="B464" t="str">
            <v>SKLADEM</v>
          </cell>
          <cell r="C464" t="str">
            <v/>
          </cell>
          <cell r="D464">
            <v>0</v>
          </cell>
          <cell r="E464" t="str">
            <v/>
          </cell>
        </row>
        <row r="465">
          <cell r="A465" t="str">
            <v>C223MF/C(T)</v>
          </cell>
          <cell r="B465" t="str">
            <v>SKLADEM</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20.06.2024</v>
          </cell>
          <cell r="C470">
            <v>105</v>
          </cell>
          <cell r="D470">
            <v>0</v>
          </cell>
          <cell r="E470" t="str">
            <v/>
          </cell>
        </row>
        <row r="471">
          <cell r="A471" t="str">
            <v>C223XMK/C(T)</v>
          </cell>
          <cell r="B471" t="str">
            <v>20.06.2024</v>
          </cell>
          <cell r="C471">
            <v>105</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SKLADEM</v>
          </cell>
          <cell r="C479" t="str">
            <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30.04.2024</v>
          </cell>
          <cell r="C482">
            <v>54</v>
          </cell>
          <cell r="D482">
            <v>0</v>
          </cell>
          <cell r="E482" t="str">
            <v/>
          </cell>
        </row>
        <row r="483">
          <cell r="A483" t="str">
            <v>C24MG</v>
          </cell>
          <cell r="B483" t="str">
            <v>VYPRODÁNO</v>
          </cell>
          <cell r="C483" t="str">
            <v/>
          </cell>
          <cell r="D483">
            <v>0</v>
          </cell>
          <cell r="E483" t="str">
            <v/>
          </cell>
        </row>
        <row r="484">
          <cell r="A484" t="str">
            <v>C24MH</v>
          </cell>
          <cell r="B484" t="str">
            <v>15.08.2024</v>
          </cell>
          <cell r="C484">
            <v>161</v>
          </cell>
          <cell r="D484">
            <v>0</v>
          </cell>
          <cell r="E484" t="str">
            <v/>
          </cell>
        </row>
        <row r="485">
          <cell r="A485" t="str">
            <v>C24MS</v>
          </cell>
          <cell r="B485" t="str">
            <v>VYPRODÁNO</v>
          </cell>
          <cell r="C485" t="str">
            <v/>
          </cell>
          <cell r="D485">
            <v>0</v>
          </cell>
          <cell r="E485" t="str">
            <v/>
          </cell>
        </row>
        <row r="486">
          <cell r="A486" t="str">
            <v>C2505D</v>
          </cell>
          <cell r="B486" t="str">
            <v>15.07.2024</v>
          </cell>
          <cell r="C486">
            <v>130</v>
          </cell>
          <cell r="D486">
            <v>0</v>
          </cell>
          <cell r="E486" t="str">
            <v/>
          </cell>
        </row>
        <row r="487">
          <cell r="A487" t="str">
            <v>C2508R</v>
          </cell>
          <cell r="B487" t="str">
            <v>SKLADEM</v>
          </cell>
          <cell r="C487" t="str">
            <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30.09.2024</v>
          </cell>
          <cell r="C490">
            <v>207</v>
          </cell>
          <cell r="D490">
            <v>0</v>
          </cell>
          <cell r="E490" t="str">
            <v/>
          </cell>
        </row>
        <row r="491">
          <cell r="A491" t="str">
            <v>C2520DI14</v>
          </cell>
          <cell r="B491" t="str">
            <v>20.03.2024</v>
          </cell>
          <cell r="C491">
            <v>13</v>
          </cell>
          <cell r="D491" t="str">
            <v>100+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15.09.2024</v>
          </cell>
          <cell r="C511">
            <v>192</v>
          </cell>
          <cell r="D511">
            <v>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SKLADEM</v>
          </cell>
          <cell r="C514" t="str">
            <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t="str">
            <v>100+</v>
          </cell>
          <cell r="E516" t="str">
            <v/>
          </cell>
        </row>
        <row r="517">
          <cell r="A517" t="str">
            <v>C2520SE14 E</v>
          </cell>
          <cell r="B517" t="str">
            <v>VYPRODÁNO</v>
          </cell>
          <cell r="C517" t="str">
            <v/>
          </cell>
          <cell r="D517">
            <v>0</v>
          </cell>
          <cell r="E517" t="str">
            <v/>
          </cell>
        </row>
        <row r="518">
          <cell r="A518" t="str">
            <v>C2520SIG</v>
          </cell>
          <cell r="B518" t="str">
            <v>SKLADEM</v>
          </cell>
          <cell r="C518" t="str">
            <v/>
          </cell>
          <cell r="D518">
            <v>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15.09.2024</v>
          </cell>
          <cell r="C521">
            <v>192</v>
          </cell>
          <cell r="D521">
            <v>0</v>
          </cell>
          <cell r="E521" t="str">
            <v/>
          </cell>
        </row>
        <row r="522">
          <cell r="A522" t="str">
            <v>C2520ST E</v>
          </cell>
          <cell r="B522" t="str">
            <v>SKLADEM</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15.09.2024</v>
          </cell>
          <cell r="C525">
            <v>192</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15.09.2024</v>
          </cell>
          <cell r="C529">
            <v>192</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SKLADEM</v>
          </cell>
          <cell r="C543" t="str">
            <v/>
          </cell>
          <cell r="D543">
            <v>0</v>
          </cell>
          <cell r="E543" t="str">
            <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VYPRODÁNO</v>
          </cell>
          <cell r="C558" t="str">
            <v/>
          </cell>
          <cell r="D558">
            <v>0</v>
          </cell>
          <cell r="E558" t="str">
            <v/>
          </cell>
        </row>
        <row r="559">
          <cell r="A559" t="str">
            <v>C2525SIG</v>
          </cell>
          <cell r="B559" t="str">
            <v>SKLADEM</v>
          </cell>
          <cell r="C559" t="str">
            <v/>
          </cell>
          <cell r="D559">
            <v>0</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SKLADEM</v>
          </cell>
          <cell r="C571" t="str">
            <v/>
          </cell>
          <cell r="D571">
            <v>0</v>
          </cell>
          <cell r="E571" t="str">
            <v/>
          </cell>
        </row>
        <row r="572">
          <cell r="A572" t="str">
            <v>C253BP14</v>
          </cell>
          <cell r="B572" t="str">
            <v>SKLADEM</v>
          </cell>
          <cell r="C572" t="str">
            <v/>
          </cell>
          <cell r="D572">
            <v>0</v>
          </cell>
          <cell r="E572" t="str">
            <v/>
          </cell>
        </row>
        <row r="573">
          <cell r="A573" t="str">
            <v>C253BPF14</v>
          </cell>
          <cell r="B573" t="str">
            <v>SKLADEM</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20.06.2024</v>
          </cell>
          <cell r="C584">
            <v>105</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SKLADEM</v>
          </cell>
          <cell r="C591" t="str">
            <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30.09.2024</v>
          </cell>
          <cell r="C594">
            <v>207</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30.04.2024</v>
          </cell>
          <cell r="C599">
            <v>54</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DOCHÁZÍ</v>
          </cell>
          <cell r="C605" t="str">
            <v/>
          </cell>
          <cell r="D605">
            <v>0</v>
          </cell>
          <cell r="E605">
            <v>4</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30.04.2024</v>
          </cell>
          <cell r="C612">
            <v>54</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15.09.2024</v>
          </cell>
          <cell r="C615">
            <v>192</v>
          </cell>
          <cell r="D615">
            <v>0</v>
          </cell>
          <cell r="E615" t="str">
            <v/>
          </cell>
        </row>
        <row r="616">
          <cell r="A616" t="str">
            <v>C253NO14 E</v>
          </cell>
          <cell r="B616" t="str">
            <v>VYPRODÁNO</v>
          </cell>
          <cell r="C616" t="str">
            <v/>
          </cell>
          <cell r="D616">
            <v>0</v>
          </cell>
          <cell r="E616" t="str">
            <v/>
          </cell>
        </row>
        <row r="617">
          <cell r="A617" t="str">
            <v>C253O</v>
          </cell>
          <cell r="B617" t="str">
            <v>15.08.2024</v>
          </cell>
          <cell r="C617">
            <v>161</v>
          </cell>
          <cell r="D617">
            <v>0</v>
          </cell>
          <cell r="E617" t="str">
            <v/>
          </cell>
        </row>
        <row r="618">
          <cell r="A618" t="str">
            <v>C253P</v>
          </cell>
          <cell r="B618" t="str">
            <v>VYPRODÁNO</v>
          </cell>
          <cell r="C618" t="str">
            <v/>
          </cell>
          <cell r="D618">
            <v>0</v>
          </cell>
          <cell r="E618" t="str">
            <v/>
          </cell>
        </row>
        <row r="619">
          <cell r="A619" t="str">
            <v>C253P/2</v>
          </cell>
          <cell r="B619" t="str">
            <v>VYPRODÁNO</v>
          </cell>
          <cell r="C619" t="str">
            <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VYPRODÁNO</v>
          </cell>
          <cell r="C623" t="str">
            <v/>
          </cell>
          <cell r="D623">
            <v>0</v>
          </cell>
          <cell r="E623" t="str">
            <v/>
          </cell>
        </row>
        <row r="624">
          <cell r="A624" t="str">
            <v>C253S</v>
          </cell>
          <cell r="B624" t="str">
            <v>VYPRODÁNO</v>
          </cell>
          <cell r="C624" t="str">
            <v/>
          </cell>
          <cell r="D624">
            <v>0</v>
          </cell>
          <cell r="E624" t="str">
            <v/>
          </cell>
        </row>
        <row r="625">
          <cell r="A625" t="str">
            <v>C253SIG</v>
          </cell>
          <cell r="B625" t="str">
            <v>15.08.2024</v>
          </cell>
          <cell r="C625">
            <v>161</v>
          </cell>
          <cell r="D625">
            <v>0</v>
          </cell>
          <cell r="E625" t="str">
            <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SKLADEM</v>
          </cell>
          <cell r="C633" t="str">
            <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15.06.2024</v>
          </cell>
          <cell r="C647">
            <v>100</v>
          </cell>
          <cell r="D647">
            <v>0</v>
          </cell>
          <cell r="E647" t="str">
            <v/>
          </cell>
        </row>
        <row r="648">
          <cell r="A648" t="str">
            <v>C2545MA</v>
          </cell>
          <cell r="B648" t="str">
            <v>DOCHÁZÍ</v>
          </cell>
          <cell r="C648" t="str">
            <v/>
          </cell>
          <cell r="D648">
            <v>0</v>
          </cell>
          <cell r="E648">
            <v>66</v>
          </cell>
        </row>
        <row r="649">
          <cell r="A649" t="str">
            <v>C2545NO</v>
          </cell>
          <cell r="B649" t="str">
            <v>SKLADEM</v>
          </cell>
          <cell r="C649" t="str">
            <v/>
          </cell>
          <cell r="D649">
            <v>0</v>
          </cell>
          <cell r="E649" t="str">
            <v/>
          </cell>
        </row>
        <row r="650">
          <cell r="A650" t="str">
            <v>C255BP</v>
          </cell>
          <cell r="B650" t="str">
            <v>20.06.2024</v>
          </cell>
          <cell r="C650">
            <v>105</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SKLADEM</v>
          </cell>
          <cell r="C660" t="str">
            <v/>
          </cell>
          <cell r="D660">
            <v>0</v>
          </cell>
          <cell r="E660" t="str">
            <v/>
          </cell>
        </row>
        <row r="661">
          <cell r="A661" t="str">
            <v>C25620F/C(T)</v>
          </cell>
          <cell r="B661" t="str">
            <v>SKLADEM</v>
          </cell>
          <cell r="C661" t="str">
            <v/>
          </cell>
          <cell r="D661">
            <v>0</v>
          </cell>
          <cell r="E661" t="str">
            <v/>
          </cell>
        </row>
        <row r="662">
          <cell r="A662" t="str">
            <v>C25620F/C14</v>
          </cell>
          <cell r="B662" t="str">
            <v>SKLADEM</v>
          </cell>
          <cell r="C662" t="str">
            <v/>
          </cell>
          <cell r="D662">
            <v>0</v>
          </cell>
          <cell r="E662" t="str">
            <v/>
          </cell>
        </row>
        <row r="663">
          <cell r="A663" t="str">
            <v>C25620F/C14 E</v>
          </cell>
          <cell r="B663" t="str">
            <v>VYPRODÁNO</v>
          </cell>
          <cell r="C663" t="str">
            <v/>
          </cell>
          <cell r="D663">
            <v>0</v>
          </cell>
          <cell r="E663" t="str">
            <v/>
          </cell>
        </row>
        <row r="664">
          <cell r="A664" t="str">
            <v>C25620F/C14(T)</v>
          </cell>
          <cell r="B664" t="str">
            <v>SKLADEM</v>
          </cell>
          <cell r="C664" t="str">
            <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SKLADEM</v>
          </cell>
          <cell r="C667" t="str">
            <v/>
          </cell>
          <cell r="D667">
            <v>0</v>
          </cell>
          <cell r="E667" t="str">
            <v/>
          </cell>
        </row>
        <row r="668">
          <cell r="A668" t="str">
            <v>C2563XMF/C(T)</v>
          </cell>
          <cell r="B668" t="str">
            <v>SKLADEM</v>
          </cell>
          <cell r="C668" t="str">
            <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30.04.2024</v>
          </cell>
          <cell r="C671">
            <v>54</v>
          </cell>
          <cell r="D671">
            <v>0</v>
          </cell>
          <cell r="E671" t="str">
            <v/>
          </cell>
        </row>
        <row r="672">
          <cell r="A672" t="str">
            <v>C26020F/C</v>
          </cell>
          <cell r="B672" t="str">
            <v>SKLADEM</v>
          </cell>
          <cell r="C672" t="str">
            <v/>
          </cell>
          <cell r="D672">
            <v>0</v>
          </cell>
          <cell r="E672" t="str">
            <v/>
          </cell>
        </row>
        <row r="673">
          <cell r="A673" t="str">
            <v>C26020F/C(T)</v>
          </cell>
          <cell r="B673" t="str">
            <v>SKLADEM</v>
          </cell>
          <cell r="C673" t="str">
            <v/>
          </cell>
          <cell r="D673">
            <v>0</v>
          </cell>
          <cell r="E673" t="str">
            <v/>
          </cell>
        </row>
        <row r="674">
          <cell r="A674" t="str">
            <v>C26020G/C</v>
          </cell>
          <cell r="B674" t="str">
            <v>VYPRODÁNO</v>
          </cell>
          <cell r="C674" t="str">
            <v/>
          </cell>
          <cell r="D674">
            <v>0</v>
          </cell>
          <cell r="E674" t="str">
            <v/>
          </cell>
        </row>
        <row r="675">
          <cell r="A675" t="str">
            <v>C26020NID/C</v>
          </cell>
          <cell r="B675" t="str">
            <v>15.06.2024</v>
          </cell>
          <cell r="C675">
            <v>100</v>
          </cell>
          <cell r="D675">
            <v>0</v>
          </cell>
          <cell r="E675" t="str">
            <v/>
          </cell>
        </row>
        <row r="676">
          <cell r="A676" t="str">
            <v>C26020NID/C(T)</v>
          </cell>
          <cell r="B676" t="str">
            <v>15.06.2024</v>
          </cell>
          <cell r="C676">
            <v>100</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29</v>
          </cell>
        </row>
        <row r="679">
          <cell r="A679" t="str">
            <v>C26420N/C(T)</v>
          </cell>
          <cell r="B679" t="str">
            <v>DOCHÁZÍ</v>
          </cell>
          <cell r="C679" t="str">
            <v/>
          </cell>
          <cell r="D679">
            <v>0</v>
          </cell>
          <cell r="E679">
            <v>29</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DOCHÁZÍ</v>
          </cell>
          <cell r="C684" t="str">
            <v/>
          </cell>
          <cell r="D684">
            <v>0</v>
          </cell>
          <cell r="E684">
            <v>22</v>
          </cell>
        </row>
        <row r="685">
          <cell r="A685" t="str">
            <v>C26820F/C E</v>
          </cell>
          <cell r="B685" t="str">
            <v>SKLADEM</v>
          </cell>
          <cell r="C685" t="str">
            <v/>
          </cell>
          <cell r="D685">
            <v>0</v>
          </cell>
          <cell r="E685" t="str">
            <v/>
          </cell>
        </row>
        <row r="686">
          <cell r="A686" t="str">
            <v>C26820F/C(T)</v>
          </cell>
          <cell r="B686" t="str">
            <v>DOCHÁZÍ</v>
          </cell>
          <cell r="C686" t="str">
            <v/>
          </cell>
          <cell r="D686">
            <v>0</v>
          </cell>
          <cell r="E686">
            <v>22</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SKLADEM</v>
          </cell>
          <cell r="C693" t="str">
            <v/>
          </cell>
          <cell r="D693">
            <v>0</v>
          </cell>
          <cell r="E693" t="str">
            <v/>
          </cell>
        </row>
        <row r="694">
          <cell r="A694" t="str">
            <v>C30025BPW/C</v>
          </cell>
          <cell r="B694" t="str">
            <v>SKLADEM</v>
          </cell>
          <cell r="C694" t="str">
            <v/>
          </cell>
          <cell r="D694">
            <v>0</v>
          </cell>
          <cell r="E694" t="str">
            <v/>
          </cell>
        </row>
        <row r="695">
          <cell r="A695" t="str">
            <v>C30025BPW/C(T)</v>
          </cell>
          <cell r="B695" t="str">
            <v>SKLADEM</v>
          </cell>
          <cell r="C695" t="str">
            <v/>
          </cell>
          <cell r="D695">
            <v>0</v>
          </cell>
          <cell r="E695" t="str">
            <v/>
          </cell>
        </row>
        <row r="696">
          <cell r="A696" t="str">
            <v>C30025F/C</v>
          </cell>
          <cell r="B696" t="str">
            <v>DOCHÁZÍ</v>
          </cell>
          <cell r="C696" t="str">
            <v/>
          </cell>
          <cell r="D696">
            <v>0</v>
          </cell>
          <cell r="E696">
            <v>38</v>
          </cell>
        </row>
        <row r="697">
          <cell r="A697" t="str">
            <v>C30025F/C(T)</v>
          </cell>
          <cell r="B697" t="str">
            <v>DOCHÁZÍ</v>
          </cell>
          <cell r="C697" t="str">
            <v/>
          </cell>
          <cell r="D697">
            <v>0</v>
          </cell>
          <cell r="E697">
            <v>38</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15.06.2024</v>
          </cell>
          <cell r="C701">
            <v>100</v>
          </cell>
          <cell r="D701">
            <v>0</v>
          </cell>
          <cell r="E701" t="str">
            <v/>
          </cell>
        </row>
        <row r="702">
          <cell r="A702" t="str">
            <v>C320D</v>
          </cell>
          <cell r="B702" t="str">
            <v>15.06.2024</v>
          </cell>
          <cell r="C702">
            <v>100</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20.03.2024</v>
          </cell>
          <cell r="C707">
            <v>13</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DOCHÁZÍ</v>
          </cell>
          <cell r="C718" t="str">
            <v/>
          </cell>
          <cell r="D718">
            <v>0</v>
          </cell>
          <cell r="E718">
            <v>29</v>
          </cell>
        </row>
        <row r="719">
          <cell r="A719" t="str">
            <v>C3545NO</v>
          </cell>
          <cell r="B719" t="str">
            <v>15.09.2024</v>
          </cell>
          <cell r="C719">
            <v>192</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SKLADEM</v>
          </cell>
          <cell r="C722" t="str">
            <v/>
          </cell>
          <cell r="D722">
            <v>0</v>
          </cell>
          <cell r="E722" t="str">
            <v/>
          </cell>
        </row>
        <row r="723">
          <cell r="A723" t="str">
            <v>C363C</v>
          </cell>
          <cell r="B723" t="str">
            <v>VYPRODÁNO</v>
          </cell>
          <cell r="C723" t="str">
            <v/>
          </cell>
          <cell r="D723">
            <v>0</v>
          </cell>
          <cell r="E723" t="str">
            <v/>
          </cell>
        </row>
        <row r="724">
          <cell r="A724" t="str">
            <v>C363DR</v>
          </cell>
          <cell r="B724" t="str">
            <v>15.09.2024</v>
          </cell>
          <cell r="C724">
            <v>192</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15.09.2024</v>
          </cell>
          <cell r="C737">
            <v>192</v>
          </cell>
          <cell r="D737">
            <v>0</v>
          </cell>
          <cell r="E737" t="str">
            <v/>
          </cell>
        </row>
        <row r="738">
          <cell r="A738" t="str">
            <v>C363PL</v>
          </cell>
          <cell r="B738" t="str">
            <v>DOCHÁZÍ</v>
          </cell>
          <cell r="C738" t="str">
            <v/>
          </cell>
          <cell r="D738">
            <v>0</v>
          </cell>
          <cell r="E738">
            <v>29</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15.09.2024</v>
          </cell>
          <cell r="C741">
            <v>192</v>
          </cell>
          <cell r="D741">
            <v>0</v>
          </cell>
          <cell r="E741" t="str">
            <v/>
          </cell>
        </row>
        <row r="742">
          <cell r="A742" t="str">
            <v>C3645SE</v>
          </cell>
          <cell r="B742" t="str">
            <v>15.09.2024</v>
          </cell>
          <cell r="C742">
            <v>192</v>
          </cell>
          <cell r="D742">
            <v>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20.06.2024</v>
          </cell>
          <cell r="C745">
            <v>105</v>
          </cell>
          <cell r="D745">
            <v>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15.08.2024</v>
          </cell>
          <cell r="C753">
            <v>161</v>
          </cell>
          <cell r="D753">
            <v>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SKLADEM</v>
          </cell>
          <cell r="C759" t="str">
            <v/>
          </cell>
          <cell r="D759">
            <v>0</v>
          </cell>
          <cell r="E759" t="str">
            <v/>
          </cell>
        </row>
        <row r="760">
          <cell r="A760" t="str">
            <v>C39020F/C(T)</v>
          </cell>
          <cell r="B760" t="str">
            <v>SKLADEM</v>
          </cell>
          <cell r="C760" t="str">
            <v/>
          </cell>
          <cell r="D760">
            <v>0</v>
          </cell>
          <cell r="E760" t="str">
            <v/>
          </cell>
        </row>
        <row r="761">
          <cell r="A761" t="str">
            <v>C39020Z</v>
          </cell>
          <cell r="B761" t="str">
            <v>VYPRODÁNO</v>
          </cell>
          <cell r="C761" t="str">
            <v/>
          </cell>
          <cell r="D761">
            <v>0</v>
          </cell>
          <cell r="E761" t="str">
            <v/>
          </cell>
        </row>
        <row r="762">
          <cell r="A762" t="str">
            <v>C39MPT</v>
          </cell>
          <cell r="B762" t="str">
            <v>SKLADEM</v>
          </cell>
          <cell r="C762" t="str">
            <v/>
          </cell>
          <cell r="D762">
            <v>0</v>
          </cell>
          <cell r="E762" t="str">
            <v/>
          </cell>
        </row>
        <row r="763">
          <cell r="A763" t="str">
            <v>C39MPT14</v>
          </cell>
          <cell r="B763" t="str">
            <v>SKLADEM</v>
          </cell>
          <cell r="C763" t="str">
            <v/>
          </cell>
          <cell r="D763">
            <v>0</v>
          </cell>
          <cell r="E763" t="str">
            <v/>
          </cell>
        </row>
        <row r="764">
          <cell r="A764" t="str">
            <v>C40020XPR/C14</v>
          </cell>
          <cell r="B764" t="str">
            <v>15.06.2024</v>
          </cell>
          <cell r="C764">
            <v>100</v>
          </cell>
          <cell r="D764">
            <v>0</v>
          </cell>
          <cell r="E764" t="str">
            <v/>
          </cell>
        </row>
        <row r="765">
          <cell r="A765" t="str">
            <v>C40020XPR/C14(T)</v>
          </cell>
          <cell r="B765" t="str">
            <v>15.06.2024</v>
          </cell>
          <cell r="C765">
            <v>100</v>
          </cell>
          <cell r="D765">
            <v>0</v>
          </cell>
          <cell r="E765" t="str">
            <v/>
          </cell>
        </row>
        <row r="766">
          <cell r="A766" t="str">
            <v>C40025F/C</v>
          </cell>
          <cell r="B766" t="str">
            <v>DOCHÁZÍ</v>
          </cell>
          <cell r="C766" t="str">
            <v/>
          </cell>
          <cell r="D766" t="str">
            <v>100+</v>
          </cell>
          <cell r="E766">
            <v>71</v>
          </cell>
        </row>
        <row r="767">
          <cell r="A767" t="str">
            <v>C40025F/C(T)</v>
          </cell>
          <cell r="B767" t="str">
            <v>DOCHÁZÍ</v>
          </cell>
          <cell r="C767" t="str">
            <v/>
          </cell>
          <cell r="D767">
            <v>0</v>
          </cell>
          <cell r="E767">
            <v>71</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SKLADEM</v>
          </cell>
          <cell r="C774" t="str">
            <v/>
          </cell>
          <cell r="D774">
            <v>0</v>
          </cell>
          <cell r="E774" t="str">
            <v/>
          </cell>
        </row>
        <row r="775">
          <cell r="A775" t="str">
            <v>C40FMP</v>
          </cell>
          <cell r="B775" t="str">
            <v>VYPRODÁNO</v>
          </cell>
          <cell r="C775" t="str">
            <v/>
          </cell>
          <cell r="D775">
            <v>0</v>
          </cell>
          <cell r="E775" t="str">
            <v/>
          </cell>
        </row>
        <row r="776">
          <cell r="A776" t="str">
            <v>C41MSIG</v>
          </cell>
          <cell r="B776" t="str">
            <v>SKLADEM</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15.08.2024</v>
          </cell>
          <cell r="C782">
            <v>161</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15.05.2024</v>
          </cell>
          <cell r="C793">
            <v>69</v>
          </cell>
          <cell r="D793">
            <v>0</v>
          </cell>
          <cell r="E793" t="str">
            <v/>
          </cell>
        </row>
        <row r="794">
          <cell r="A794" t="str">
            <v>C446MM/C(T)</v>
          </cell>
          <cell r="B794" t="str">
            <v>15.05.2024</v>
          </cell>
          <cell r="C794">
            <v>69</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VYPRODÁNO</v>
          </cell>
          <cell r="C797" t="str">
            <v/>
          </cell>
          <cell r="D797">
            <v>0</v>
          </cell>
          <cell r="E797" t="str">
            <v/>
          </cell>
        </row>
        <row r="798">
          <cell r="A798" t="str">
            <v>C47MB E</v>
          </cell>
          <cell r="B798" t="str">
            <v>VYPRODÁNO</v>
          </cell>
          <cell r="C798" t="str">
            <v/>
          </cell>
          <cell r="D798">
            <v>0</v>
          </cell>
          <cell r="E798" t="str">
            <v/>
          </cell>
        </row>
        <row r="799">
          <cell r="A799" t="str">
            <v>C47MI</v>
          </cell>
          <cell r="B799" t="str">
            <v>SKLADEM</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SKLADEM</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SKLADEM</v>
          </cell>
          <cell r="C812" t="str">
            <v/>
          </cell>
          <cell r="D812">
            <v>0</v>
          </cell>
          <cell r="E812" t="str">
            <v/>
          </cell>
        </row>
        <row r="813">
          <cell r="A813" t="str">
            <v>C4825MP</v>
          </cell>
          <cell r="B813" t="str">
            <v>SKLADEM</v>
          </cell>
          <cell r="C813" t="str">
            <v/>
          </cell>
          <cell r="D813">
            <v>90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SKLADEM</v>
          </cell>
          <cell r="C828" t="str">
            <v/>
          </cell>
          <cell r="D828">
            <v>0</v>
          </cell>
          <cell r="E828" t="str">
            <v/>
          </cell>
        </row>
        <row r="829">
          <cell r="A829" t="str">
            <v>C4920K</v>
          </cell>
          <cell r="B829" t="str">
            <v>SKLADEM</v>
          </cell>
          <cell r="C829" t="str">
            <v/>
          </cell>
          <cell r="D829">
            <v>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SKLADEM</v>
          </cell>
          <cell r="C833" t="str">
            <v/>
          </cell>
          <cell r="D833">
            <v>0</v>
          </cell>
          <cell r="E833" t="str">
            <v/>
          </cell>
        </row>
        <row r="834">
          <cell r="A834" t="str">
            <v>C4920S</v>
          </cell>
          <cell r="B834" t="str">
            <v>SKLADEM</v>
          </cell>
          <cell r="C834" t="str">
            <v/>
          </cell>
          <cell r="D834">
            <v>0</v>
          </cell>
          <cell r="E834" t="str">
            <v/>
          </cell>
        </row>
        <row r="835">
          <cell r="A835" t="str">
            <v>C4920S E</v>
          </cell>
          <cell r="B835" t="str">
            <v>30.09.2024</v>
          </cell>
          <cell r="C835">
            <v>207</v>
          </cell>
          <cell r="D835">
            <v>0</v>
          </cell>
          <cell r="E835" t="str">
            <v/>
          </cell>
        </row>
        <row r="836">
          <cell r="A836" t="str">
            <v>C4920S14</v>
          </cell>
          <cell r="B836" t="str">
            <v>20.06.2024</v>
          </cell>
          <cell r="C836">
            <v>105</v>
          </cell>
          <cell r="D836">
            <v>0</v>
          </cell>
          <cell r="E836" t="str">
            <v/>
          </cell>
        </row>
        <row r="837">
          <cell r="A837" t="str">
            <v>C4920S14 E</v>
          </cell>
          <cell r="B837" t="str">
            <v>VYPRODÁNO</v>
          </cell>
          <cell r="C837" t="str">
            <v/>
          </cell>
          <cell r="D837">
            <v>0</v>
          </cell>
          <cell r="E837" t="str">
            <v/>
          </cell>
        </row>
        <row r="838">
          <cell r="A838" t="str">
            <v>C4920SIG</v>
          </cell>
          <cell r="B838" t="str">
            <v>20.06.2024</v>
          </cell>
          <cell r="C838">
            <v>105</v>
          </cell>
          <cell r="D838">
            <v>0</v>
          </cell>
          <cell r="E838" t="str">
            <v/>
          </cell>
        </row>
        <row r="839">
          <cell r="A839" t="str">
            <v>C4920SIG E</v>
          </cell>
          <cell r="B839" t="str">
            <v>VYPRODÁNO</v>
          </cell>
          <cell r="C839" t="str">
            <v/>
          </cell>
          <cell r="D839">
            <v>0</v>
          </cell>
          <cell r="E839" t="str">
            <v/>
          </cell>
        </row>
        <row r="840">
          <cell r="A840" t="str">
            <v>C4920SIG14</v>
          </cell>
          <cell r="B840" t="str">
            <v>SKLADEM</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SKLADEM</v>
          </cell>
          <cell r="C845" t="str">
            <v/>
          </cell>
          <cell r="D845">
            <v>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SKLADEM</v>
          </cell>
          <cell r="C852" t="str">
            <v/>
          </cell>
          <cell r="D852">
            <v>0</v>
          </cell>
          <cell r="E852" t="str">
            <v/>
          </cell>
        </row>
        <row r="853">
          <cell r="A853" t="str">
            <v>C4925NO14 E</v>
          </cell>
          <cell r="B853" t="str">
            <v>VYPRODÁNO</v>
          </cell>
          <cell r="C853" t="str">
            <v/>
          </cell>
          <cell r="D853">
            <v>0</v>
          </cell>
          <cell r="E853" t="str">
            <v/>
          </cell>
        </row>
        <row r="854">
          <cell r="A854" t="str">
            <v>C4925P</v>
          </cell>
          <cell r="B854" t="str">
            <v>SKLADEM</v>
          </cell>
          <cell r="C854" t="str">
            <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SKLADEM</v>
          </cell>
          <cell r="C859" t="str">
            <v/>
          </cell>
          <cell r="D859">
            <v>0</v>
          </cell>
          <cell r="E859" t="str">
            <v/>
          </cell>
        </row>
        <row r="860">
          <cell r="A860" t="str">
            <v>C4925V14</v>
          </cell>
          <cell r="B860" t="str">
            <v>15.06.2024</v>
          </cell>
          <cell r="C860">
            <v>100</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SKLADEM</v>
          </cell>
          <cell r="C867" t="str">
            <v/>
          </cell>
          <cell r="D867">
            <v>0</v>
          </cell>
          <cell r="E867" t="str">
            <v/>
          </cell>
        </row>
        <row r="868">
          <cell r="A868" t="str">
            <v>C493BPF</v>
          </cell>
          <cell r="B868" t="str">
            <v>VYPRODÁNO</v>
          </cell>
          <cell r="C868" t="str">
            <v/>
          </cell>
          <cell r="D868">
            <v>0</v>
          </cell>
          <cell r="E868" t="str">
            <v/>
          </cell>
        </row>
        <row r="869">
          <cell r="A869" t="str">
            <v>C493BPS</v>
          </cell>
          <cell r="B869" t="str">
            <v>SKLADEM</v>
          </cell>
          <cell r="C869" t="str">
            <v/>
          </cell>
          <cell r="D869">
            <v>0</v>
          </cell>
          <cell r="E869" t="str">
            <v/>
          </cell>
        </row>
        <row r="870">
          <cell r="A870" t="str">
            <v>C493BW</v>
          </cell>
          <cell r="B870" t="str">
            <v>20.06.2024</v>
          </cell>
          <cell r="C870">
            <v>105</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15.05.2024</v>
          </cell>
          <cell r="C874">
            <v>69</v>
          </cell>
          <cell r="D874">
            <v>0</v>
          </cell>
          <cell r="E874" t="str">
            <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VYPRODÁNO</v>
          </cell>
          <cell r="C881" t="str">
            <v/>
          </cell>
          <cell r="D881">
            <v>0</v>
          </cell>
          <cell r="E881" t="str">
            <v/>
          </cell>
        </row>
        <row r="882">
          <cell r="A882" t="str">
            <v>C493GH</v>
          </cell>
          <cell r="B882" t="str">
            <v>SKLADEM</v>
          </cell>
          <cell r="C882" t="str">
            <v/>
          </cell>
          <cell r="D882">
            <v>0</v>
          </cell>
          <cell r="E882" t="str">
            <v/>
          </cell>
        </row>
        <row r="883">
          <cell r="A883" t="str">
            <v>C493GH E</v>
          </cell>
          <cell r="B883" t="str">
            <v>SKLADEM</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30.04.2024</v>
          </cell>
          <cell r="C890">
            <v>54</v>
          </cell>
          <cell r="D890">
            <v>0</v>
          </cell>
          <cell r="E890" t="str">
            <v/>
          </cell>
        </row>
        <row r="891">
          <cell r="A891" t="str">
            <v>C493M</v>
          </cell>
          <cell r="B891" t="str">
            <v>VYPRODÁNO</v>
          </cell>
          <cell r="C891" t="str">
            <v/>
          </cell>
          <cell r="D891">
            <v>0</v>
          </cell>
          <cell r="E891" t="str">
            <v/>
          </cell>
        </row>
        <row r="892">
          <cell r="A892" t="str">
            <v>C493MA</v>
          </cell>
          <cell r="B892" t="str">
            <v>15.09.2024</v>
          </cell>
          <cell r="C892">
            <v>192</v>
          </cell>
          <cell r="D892">
            <v>0</v>
          </cell>
          <cell r="E892" t="str">
            <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15.09.2024</v>
          </cell>
          <cell r="C895">
            <v>192</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SKLADEM</v>
          </cell>
          <cell r="C898" t="str">
            <v/>
          </cell>
          <cell r="D898">
            <v>6</v>
          </cell>
          <cell r="E898" t="str">
            <v/>
          </cell>
        </row>
        <row r="899">
          <cell r="A899" t="str">
            <v>C493RG E</v>
          </cell>
          <cell r="B899" t="str">
            <v>VYPRODÁNO</v>
          </cell>
          <cell r="C899" t="str">
            <v/>
          </cell>
          <cell r="D899">
            <v>0</v>
          </cell>
          <cell r="E899" t="str">
            <v/>
          </cell>
        </row>
        <row r="900">
          <cell r="A900" t="str">
            <v>C493RU</v>
          </cell>
          <cell r="B900" t="str">
            <v>SKLADEM</v>
          </cell>
          <cell r="C900" t="str">
            <v/>
          </cell>
          <cell r="D900">
            <v>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SKLADEM</v>
          </cell>
          <cell r="C904" t="str">
            <v/>
          </cell>
          <cell r="D904">
            <v>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SKLADEM</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DOCHÁZÍ</v>
          </cell>
          <cell r="C926" t="str">
            <v/>
          </cell>
          <cell r="D926">
            <v>0</v>
          </cell>
          <cell r="E926">
            <v>1</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SKLADEM</v>
          </cell>
          <cell r="C931" t="str">
            <v/>
          </cell>
          <cell r="D931">
            <v>0</v>
          </cell>
          <cell r="E931" t="str">
            <v/>
          </cell>
        </row>
        <row r="932">
          <cell r="A932" t="str">
            <v>C503BW/C14(T)</v>
          </cell>
          <cell r="B932" t="str">
            <v>SKLADEM</v>
          </cell>
          <cell r="C932" t="str">
            <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SKLADEM</v>
          </cell>
          <cell r="C939" t="str">
            <v/>
          </cell>
          <cell r="D939">
            <v>0</v>
          </cell>
          <cell r="E939" t="str">
            <v/>
          </cell>
        </row>
        <row r="940">
          <cell r="A940" t="str">
            <v>C503F/C14 E</v>
          </cell>
          <cell r="B940" t="str">
            <v>VYPRODÁNO</v>
          </cell>
          <cell r="C940" t="str">
            <v/>
          </cell>
          <cell r="D940">
            <v>0</v>
          </cell>
          <cell r="E940" t="str">
            <v/>
          </cell>
        </row>
        <row r="941">
          <cell r="A941" t="str">
            <v>C503F/C14(T)</v>
          </cell>
          <cell r="B941" t="str">
            <v>SKLADEM</v>
          </cell>
          <cell r="C941" t="str">
            <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SKLADEM</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DOCHÁZÍ</v>
          </cell>
          <cell r="C955" t="str">
            <v/>
          </cell>
          <cell r="D955">
            <v>0</v>
          </cell>
          <cell r="E955">
            <v>20</v>
          </cell>
        </row>
        <row r="956">
          <cell r="A956" t="str">
            <v>C503NID/C14(T)</v>
          </cell>
          <cell r="B956" t="str">
            <v>DOCHÁZÍ</v>
          </cell>
          <cell r="C956" t="str">
            <v/>
          </cell>
          <cell r="D956">
            <v>0</v>
          </cell>
          <cell r="E956">
            <v>20</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SKLADEM</v>
          </cell>
          <cell r="C963" t="str">
            <v/>
          </cell>
          <cell r="D963">
            <v>0</v>
          </cell>
          <cell r="E963" t="str">
            <v/>
          </cell>
        </row>
        <row r="964">
          <cell r="A964" t="str">
            <v>C503RO E</v>
          </cell>
          <cell r="B964" t="str">
            <v>VYPRODÁNO</v>
          </cell>
          <cell r="C964" t="str">
            <v/>
          </cell>
          <cell r="D964">
            <v>0</v>
          </cell>
          <cell r="E964" t="str">
            <v/>
          </cell>
        </row>
        <row r="965">
          <cell r="A965" t="str">
            <v>C503RO/C14</v>
          </cell>
          <cell r="B965" t="str">
            <v>15.05.2024</v>
          </cell>
          <cell r="C965">
            <v>69</v>
          </cell>
          <cell r="D965">
            <v>0</v>
          </cell>
          <cell r="E965" t="str">
            <v/>
          </cell>
        </row>
        <row r="966">
          <cell r="A966" t="str">
            <v>C503RO/C14 E</v>
          </cell>
          <cell r="B966" t="str">
            <v>VYPRODÁNO</v>
          </cell>
          <cell r="C966" t="str">
            <v/>
          </cell>
          <cell r="D966">
            <v>0</v>
          </cell>
          <cell r="E966" t="str">
            <v/>
          </cell>
        </row>
        <row r="967">
          <cell r="A967" t="str">
            <v>C503RO/C14(T)</v>
          </cell>
          <cell r="B967" t="str">
            <v>15.05.2024</v>
          </cell>
          <cell r="C967">
            <v>69</v>
          </cell>
          <cell r="D967">
            <v>0</v>
          </cell>
          <cell r="E967" t="str">
            <v/>
          </cell>
        </row>
        <row r="968">
          <cell r="A968" t="str">
            <v>C503S</v>
          </cell>
          <cell r="B968" t="str">
            <v>VYPRODÁNO</v>
          </cell>
          <cell r="C968" t="str">
            <v/>
          </cell>
          <cell r="D968">
            <v>0</v>
          </cell>
          <cell r="E968" t="str">
            <v/>
          </cell>
        </row>
        <row r="969">
          <cell r="A969" t="str">
            <v>C503SIG/C14</v>
          </cell>
          <cell r="B969" t="str">
            <v>SKLADEM</v>
          </cell>
          <cell r="C969" t="str">
            <v/>
          </cell>
          <cell r="D969">
            <v>0</v>
          </cell>
          <cell r="E969" t="str">
            <v/>
          </cell>
        </row>
        <row r="970">
          <cell r="A970" t="str">
            <v>C503SIG/C14(T)</v>
          </cell>
          <cell r="B970" t="str">
            <v>SKLADEM</v>
          </cell>
          <cell r="C970" t="str">
            <v/>
          </cell>
          <cell r="D970">
            <v>0</v>
          </cell>
          <cell r="E970" t="str">
            <v/>
          </cell>
        </row>
        <row r="971">
          <cell r="A971" t="str">
            <v>C503SIGA</v>
          </cell>
          <cell r="B971" t="str">
            <v>15.05.2024</v>
          </cell>
          <cell r="C971">
            <v>69</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SKLADEM</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15.06.2024</v>
          </cell>
          <cell r="C982">
            <v>100</v>
          </cell>
          <cell r="D982">
            <v>0</v>
          </cell>
          <cell r="E982" t="str">
            <v/>
          </cell>
        </row>
        <row r="983">
          <cell r="A983" t="str">
            <v>C505V/C(T)</v>
          </cell>
          <cell r="B983" t="str">
            <v>15.06.2024</v>
          </cell>
          <cell r="C983">
            <v>100</v>
          </cell>
          <cell r="D983">
            <v>0</v>
          </cell>
          <cell r="E983" t="str">
            <v/>
          </cell>
        </row>
        <row r="984">
          <cell r="A984" t="str">
            <v>C505X</v>
          </cell>
          <cell r="B984" t="str">
            <v>VYPRODÁNO</v>
          </cell>
          <cell r="C984" t="str">
            <v/>
          </cell>
          <cell r="D984">
            <v>0</v>
          </cell>
          <cell r="E984" t="str">
            <v/>
          </cell>
        </row>
        <row r="985">
          <cell r="A985" t="str">
            <v>C505X/C</v>
          </cell>
          <cell r="B985" t="str">
            <v>15.06.2024</v>
          </cell>
          <cell r="C985">
            <v>100</v>
          </cell>
          <cell r="D985">
            <v>0</v>
          </cell>
          <cell r="E985" t="str">
            <v/>
          </cell>
        </row>
        <row r="986">
          <cell r="A986" t="str">
            <v>C505X/C(T)</v>
          </cell>
          <cell r="B986" t="str">
            <v>15.06.2024</v>
          </cell>
          <cell r="C986">
            <v>100</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SKLADEM</v>
          </cell>
          <cell r="C989" t="str">
            <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DOCHÁZÍ</v>
          </cell>
          <cell r="C994" t="str">
            <v/>
          </cell>
          <cell r="D994">
            <v>0</v>
          </cell>
          <cell r="E994">
            <v>4</v>
          </cell>
        </row>
        <row r="995">
          <cell r="A995" t="str">
            <v>C50MO E</v>
          </cell>
          <cell r="B995" t="str">
            <v>VYPRODÁNO</v>
          </cell>
          <cell r="C995" t="str">
            <v/>
          </cell>
          <cell r="D995">
            <v>0</v>
          </cell>
          <cell r="E995" t="str">
            <v/>
          </cell>
        </row>
        <row r="996">
          <cell r="A996" t="str">
            <v>C50MO14</v>
          </cell>
          <cell r="B996" t="str">
            <v>SKLADEM</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15.09.2024</v>
          </cell>
          <cell r="C998">
            <v>192</v>
          </cell>
          <cell r="D998">
            <v>0</v>
          </cell>
          <cell r="E998" t="str">
            <v/>
          </cell>
        </row>
        <row r="999">
          <cell r="A999" t="str">
            <v>C52020F/C(T)</v>
          </cell>
          <cell r="B999" t="str">
            <v>15.09.2024</v>
          </cell>
          <cell r="C999">
            <v>192</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15.09.2024</v>
          </cell>
          <cell r="C1010">
            <v>192</v>
          </cell>
          <cell r="D1010">
            <v>0</v>
          </cell>
          <cell r="E1010" t="str">
            <v/>
          </cell>
        </row>
        <row r="1011">
          <cell r="A1011" t="str">
            <v>C53620F/C(T)</v>
          </cell>
          <cell r="B1011" t="str">
            <v>15.09.2024</v>
          </cell>
          <cell r="C1011">
            <v>192</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SKLADEM</v>
          </cell>
          <cell r="C1034" t="str">
            <v/>
          </cell>
          <cell r="D1034">
            <v>0</v>
          </cell>
          <cell r="E1034" t="str">
            <v/>
          </cell>
        </row>
        <row r="1035">
          <cell r="A1035" t="str">
            <v>C62SMT E</v>
          </cell>
          <cell r="B1035" t="str">
            <v>SKLADEM</v>
          </cell>
          <cell r="C1035" t="str">
            <v/>
          </cell>
          <cell r="D1035">
            <v>0</v>
          </cell>
          <cell r="E1035" t="str">
            <v/>
          </cell>
        </row>
        <row r="1036">
          <cell r="A1036" t="str">
            <v>C63MM</v>
          </cell>
          <cell r="B1036" t="str">
            <v>SKLADEM</v>
          </cell>
          <cell r="C1036" t="str">
            <v/>
          </cell>
          <cell r="D1036">
            <v>0</v>
          </cell>
          <cell r="E1036" t="str">
            <v/>
          </cell>
        </row>
        <row r="1037">
          <cell r="A1037" t="str">
            <v>C63MP</v>
          </cell>
          <cell r="B1037" t="str">
            <v>SKLADEM</v>
          </cell>
          <cell r="C1037" t="str">
            <v/>
          </cell>
          <cell r="D1037">
            <v>0</v>
          </cell>
          <cell r="E1037" t="str">
            <v/>
          </cell>
        </row>
        <row r="1038">
          <cell r="A1038" t="str">
            <v>C63MP E</v>
          </cell>
          <cell r="B1038" t="str">
            <v>SKLADEM</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SKLADEM</v>
          </cell>
          <cell r="C1044" t="str">
            <v/>
          </cell>
          <cell r="D1044">
            <v>0</v>
          </cell>
          <cell r="E1044" t="str">
            <v/>
          </cell>
        </row>
        <row r="1045">
          <cell r="A1045" t="str">
            <v>C6420D</v>
          </cell>
          <cell r="B1045" t="str">
            <v>SKLADEM</v>
          </cell>
          <cell r="C1045" t="str">
            <v/>
          </cell>
          <cell r="D1045">
            <v>0</v>
          </cell>
          <cell r="E1045" t="str">
            <v/>
          </cell>
        </row>
        <row r="1046">
          <cell r="A1046" t="str">
            <v>C6420D14</v>
          </cell>
          <cell r="B1046" t="str">
            <v>30.04.2024</v>
          </cell>
          <cell r="C1046">
            <v>54</v>
          </cell>
          <cell r="D1046">
            <v>0</v>
          </cell>
          <cell r="E1046" t="str">
            <v/>
          </cell>
        </row>
        <row r="1047">
          <cell r="A1047" t="str">
            <v>C6420D14 E</v>
          </cell>
          <cell r="B1047" t="str">
            <v>VYPRODÁNO</v>
          </cell>
          <cell r="C1047" t="str">
            <v/>
          </cell>
          <cell r="D1047">
            <v>0</v>
          </cell>
          <cell r="E1047" t="str">
            <v/>
          </cell>
        </row>
        <row r="1048">
          <cell r="A1048" t="str">
            <v>C6420DU/C</v>
          </cell>
          <cell r="B1048" t="str">
            <v>30.04.2024</v>
          </cell>
          <cell r="C1048">
            <v>54</v>
          </cell>
          <cell r="D1048">
            <v>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0</v>
          </cell>
          <cell r="E1051" t="str">
            <v/>
          </cell>
        </row>
        <row r="1052">
          <cell r="A1052" t="str">
            <v>C6420G E</v>
          </cell>
          <cell r="B1052" t="str">
            <v>VYPRODÁNO</v>
          </cell>
          <cell r="C1052" t="str">
            <v/>
          </cell>
          <cell r="D1052">
            <v>0</v>
          </cell>
          <cell r="E1052" t="str">
            <v/>
          </cell>
        </row>
        <row r="1053">
          <cell r="A1053" t="str">
            <v>C6420G14</v>
          </cell>
          <cell r="B1053" t="str">
            <v>SKLADEM</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15.06.2024</v>
          </cell>
          <cell r="C1061">
            <v>100</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SKLADEM</v>
          </cell>
          <cell r="C1066" t="str">
            <v/>
          </cell>
          <cell r="D1066">
            <v>21</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SKLADEM</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SKLADEM</v>
          </cell>
          <cell r="C1078" t="str">
            <v/>
          </cell>
          <cell r="D1078">
            <v>31</v>
          </cell>
          <cell r="E1078" t="str">
            <v/>
          </cell>
        </row>
        <row r="1079">
          <cell r="A1079" t="str">
            <v>C643MCOMA</v>
          </cell>
          <cell r="B1079" t="str">
            <v>VYPRODÁNO</v>
          </cell>
          <cell r="C1079" t="str">
            <v/>
          </cell>
          <cell r="D1079">
            <v>0</v>
          </cell>
          <cell r="E1079" t="str">
            <v/>
          </cell>
        </row>
        <row r="1080">
          <cell r="A1080" t="str">
            <v>C643MN</v>
          </cell>
          <cell r="B1080" t="str">
            <v>SKLADEM</v>
          </cell>
          <cell r="C1080" t="str">
            <v/>
          </cell>
          <cell r="D1080">
            <v>0</v>
          </cell>
          <cell r="E1080" t="str">
            <v/>
          </cell>
        </row>
        <row r="1081">
          <cell r="A1081" t="str">
            <v>C643MN E</v>
          </cell>
          <cell r="B1081" t="str">
            <v>SKLADEM</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SKLADEM</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20.03.2024</v>
          </cell>
          <cell r="C1110">
            <v>13</v>
          </cell>
          <cell r="D1110" t="str">
            <v>100+</v>
          </cell>
          <cell r="E1110" t="str">
            <v/>
          </cell>
        </row>
        <row r="1111">
          <cell r="A1111" t="str">
            <v>C6620L E</v>
          </cell>
          <cell r="B1111" t="str">
            <v>VYPRODÁNO</v>
          </cell>
          <cell r="C1111" t="str">
            <v/>
          </cell>
          <cell r="D1111">
            <v>0</v>
          </cell>
          <cell r="E1111" t="str">
            <v/>
          </cell>
        </row>
        <row r="1112">
          <cell r="A1112" t="str">
            <v>C6620L14</v>
          </cell>
          <cell r="B1112" t="str">
            <v>SKLADEM</v>
          </cell>
          <cell r="C1112" t="str">
            <v/>
          </cell>
          <cell r="D1112">
            <v>0</v>
          </cell>
          <cell r="E1112" t="str">
            <v/>
          </cell>
        </row>
        <row r="1113">
          <cell r="A1113" t="str">
            <v>C6620P</v>
          </cell>
          <cell r="B1113" t="str">
            <v>15.06.2024</v>
          </cell>
          <cell r="C1113">
            <v>100</v>
          </cell>
          <cell r="D1113">
            <v>0</v>
          </cell>
          <cell r="E1113" t="str">
            <v/>
          </cell>
        </row>
        <row r="1114">
          <cell r="A1114" t="str">
            <v>C6620P E</v>
          </cell>
          <cell r="B1114" t="str">
            <v>VYPRODÁNO</v>
          </cell>
          <cell r="C1114" t="str">
            <v/>
          </cell>
          <cell r="D1114">
            <v>0</v>
          </cell>
          <cell r="E1114" t="str">
            <v/>
          </cell>
        </row>
        <row r="1115">
          <cell r="A1115" t="str">
            <v>C6620P14</v>
          </cell>
          <cell r="B1115" t="str">
            <v>SKLADEM</v>
          </cell>
          <cell r="C1115" t="str">
            <v/>
          </cell>
          <cell r="D1115">
            <v>0</v>
          </cell>
          <cell r="E1115" t="str">
            <v/>
          </cell>
        </row>
        <row r="1116">
          <cell r="A1116" t="str">
            <v>C6620S14</v>
          </cell>
          <cell r="B1116" t="str">
            <v>VYPRODÁNO</v>
          </cell>
          <cell r="C1116" t="str">
            <v/>
          </cell>
          <cell r="D1116">
            <v>0</v>
          </cell>
          <cell r="E1116" t="str">
            <v/>
          </cell>
        </row>
        <row r="1117">
          <cell r="A1117" t="str">
            <v>C6620SIG</v>
          </cell>
          <cell r="B1117" t="str">
            <v>SKLADEM</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SKLADEM</v>
          </cell>
          <cell r="C1126" t="str">
            <v/>
          </cell>
          <cell r="D1126">
            <v>0</v>
          </cell>
          <cell r="E1126" t="str">
            <v/>
          </cell>
        </row>
        <row r="1127">
          <cell r="A1127" t="str">
            <v>C66SMMO E</v>
          </cell>
          <cell r="B1127" t="str">
            <v>VYPRODÁNO</v>
          </cell>
          <cell r="C1127" t="str">
            <v/>
          </cell>
          <cell r="D1127">
            <v>0</v>
          </cell>
          <cell r="E1127" t="str">
            <v/>
          </cell>
        </row>
        <row r="1128">
          <cell r="A1128" t="str">
            <v>C68XMCS</v>
          </cell>
          <cell r="B1128" t="str">
            <v>DOCHÁZÍ</v>
          </cell>
          <cell r="C1128" t="str">
            <v/>
          </cell>
          <cell r="D1128">
            <v>0</v>
          </cell>
          <cell r="E1128">
            <v>24</v>
          </cell>
        </row>
        <row r="1129">
          <cell r="A1129" t="str">
            <v>C68XMCS14</v>
          </cell>
          <cell r="B1129" t="str">
            <v>SKLADEM</v>
          </cell>
          <cell r="C1129" t="str">
            <v/>
          </cell>
          <cell r="D1129">
            <v>0</v>
          </cell>
          <cell r="E1129" t="str">
            <v/>
          </cell>
        </row>
        <row r="1130">
          <cell r="A1130" t="str">
            <v>C68XMPT</v>
          </cell>
          <cell r="B1130" t="str">
            <v>SKLADEM</v>
          </cell>
          <cell r="C1130" t="str">
            <v/>
          </cell>
          <cell r="D1130">
            <v>0</v>
          </cell>
          <cell r="E1130" t="str">
            <v/>
          </cell>
        </row>
        <row r="1131">
          <cell r="A1131" t="str">
            <v>C68XMPT14</v>
          </cell>
          <cell r="B1131" t="str">
            <v>DOCHÁZÍ</v>
          </cell>
          <cell r="C1131" t="str">
            <v/>
          </cell>
          <cell r="D1131">
            <v>0</v>
          </cell>
          <cell r="E1131">
            <v>4</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15.08.2024</v>
          </cell>
          <cell r="C1135">
            <v>161</v>
          </cell>
          <cell r="D1135">
            <v>0</v>
          </cell>
          <cell r="E1135" t="str">
            <v/>
          </cell>
        </row>
        <row r="1136">
          <cell r="A1136" t="str">
            <v>C755R/C(T)</v>
          </cell>
          <cell r="B1136" t="str">
            <v>15.08.2024</v>
          </cell>
          <cell r="C1136">
            <v>161</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30.09.2024</v>
          </cell>
          <cell r="C1147">
            <v>207</v>
          </cell>
          <cell r="D1147">
            <v>0</v>
          </cell>
          <cell r="E1147" t="str">
            <v/>
          </cell>
        </row>
        <row r="1148">
          <cell r="A1148" t="str">
            <v>C84M12F/C(T)</v>
          </cell>
          <cell r="B1148" t="str">
            <v>30.09.2024</v>
          </cell>
          <cell r="C1148">
            <v>207</v>
          </cell>
          <cell r="D1148">
            <v>0</v>
          </cell>
          <cell r="E1148" t="str">
            <v/>
          </cell>
        </row>
        <row r="1149">
          <cell r="A1149" t="str">
            <v>C84M12S/C</v>
          </cell>
          <cell r="B1149" t="str">
            <v>15.07.2024</v>
          </cell>
          <cell r="C1149">
            <v>130</v>
          </cell>
          <cell r="D1149">
            <v>0</v>
          </cell>
          <cell r="E1149" t="str">
            <v/>
          </cell>
        </row>
        <row r="1150">
          <cell r="A1150" t="str">
            <v>C84M12S/C(T)</v>
          </cell>
          <cell r="B1150" t="str">
            <v>15.07.2024</v>
          </cell>
          <cell r="C1150">
            <v>130</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15.08.2024</v>
          </cell>
          <cell r="C1154">
            <v>161</v>
          </cell>
          <cell r="D1154">
            <v>0</v>
          </cell>
          <cell r="E1154" t="str">
            <v/>
          </cell>
        </row>
        <row r="1155">
          <cell r="A1155" t="str">
            <v>C84MC/C(T)</v>
          </cell>
          <cell r="B1155" t="str">
            <v>15.08.2024</v>
          </cell>
          <cell r="C1155">
            <v>161</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SKLADEM</v>
          </cell>
          <cell r="C1162" t="str">
            <v/>
          </cell>
          <cell r="D1162">
            <v>0</v>
          </cell>
          <cell r="E1162" t="str">
            <v/>
          </cell>
        </row>
        <row r="1163">
          <cell r="A1163" t="str">
            <v>C8825G E</v>
          </cell>
          <cell r="B1163" t="str">
            <v>VYPRODÁNO</v>
          </cell>
          <cell r="C1163" t="str">
            <v/>
          </cell>
          <cell r="D1163">
            <v>0</v>
          </cell>
          <cell r="E1163" t="str">
            <v/>
          </cell>
        </row>
        <row r="1164">
          <cell r="A1164" t="str">
            <v>C8825M</v>
          </cell>
          <cell r="B1164" t="str">
            <v>DOCHÁZÍ</v>
          </cell>
          <cell r="C1164" t="str">
            <v/>
          </cell>
          <cell r="D1164">
            <v>0</v>
          </cell>
          <cell r="E1164">
            <v>59</v>
          </cell>
        </row>
        <row r="1165">
          <cell r="A1165" t="str">
            <v>C8825M E</v>
          </cell>
          <cell r="B1165" t="str">
            <v>SKLADEM</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SKLADEM</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DOCHÁZÍ</v>
          </cell>
          <cell r="C1174" t="str">
            <v/>
          </cell>
          <cell r="D1174">
            <v>0</v>
          </cell>
          <cell r="E1174">
            <v>1</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30.09.2024</v>
          </cell>
          <cell r="C1179">
            <v>207</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SKLADEM</v>
          </cell>
          <cell r="C1182" t="str">
            <v/>
          </cell>
          <cell r="D1182">
            <v>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55</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15.06.2024</v>
          </cell>
          <cell r="C1187">
            <v>100</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v>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SKLADEM</v>
          </cell>
          <cell r="C1194" t="str">
            <v/>
          </cell>
          <cell r="D1194">
            <v>0</v>
          </cell>
          <cell r="E1194" t="str">
            <v/>
          </cell>
        </row>
        <row r="1195">
          <cell r="A1195" t="str">
            <v>C9825C/C</v>
          </cell>
          <cell r="B1195" t="str">
            <v>15.09.2024</v>
          </cell>
          <cell r="C1195">
            <v>192</v>
          </cell>
          <cell r="D1195">
            <v>0</v>
          </cell>
          <cell r="E1195" t="str">
            <v/>
          </cell>
        </row>
        <row r="1196">
          <cell r="A1196" t="str">
            <v>C9825C/C E</v>
          </cell>
          <cell r="B1196" t="str">
            <v>VYPRODÁNO</v>
          </cell>
          <cell r="C1196" t="str">
            <v/>
          </cell>
          <cell r="D1196">
            <v>0</v>
          </cell>
          <cell r="E1196" t="str">
            <v/>
          </cell>
        </row>
        <row r="1197">
          <cell r="A1197" t="str">
            <v>C9825C/C(T)</v>
          </cell>
          <cell r="B1197" t="str">
            <v>15.09.2024</v>
          </cell>
          <cell r="C1197">
            <v>192</v>
          </cell>
          <cell r="D1197">
            <v>0</v>
          </cell>
          <cell r="E1197" t="str">
            <v/>
          </cell>
        </row>
        <row r="1198">
          <cell r="A1198" t="str">
            <v>C9825C/C14</v>
          </cell>
          <cell r="B1198" t="str">
            <v>30.04.2024</v>
          </cell>
          <cell r="C1198">
            <v>54</v>
          </cell>
          <cell r="D1198">
            <v>0</v>
          </cell>
          <cell r="E1198" t="str">
            <v/>
          </cell>
        </row>
        <row r="1199">
          <cell r="A1199" t="str">
            <v>C9825C/C14 E</v>
          </cell>
          <cell r="B1199" t="str">
            <v>VYPRODÁNO</v>
          </cell>
          <cell r="C1199" t="str">
            <v/>
          </cell>
          <cell r="D1199">
            <v>0</v>
          </cell>
          <cell r="E1199" t="str">
            <v/>
          </cell>
        </row>
        <row r="1200">
          <cell r="A1200" t="str">
            <v>C9825C/C14(T)</v>
          </cell>
          <cell r="B1200" t="str">
            <v>30.04.2024</v>
          </cell>
          <cell r="C1200">
            <v>54</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SKLADEM</v>
          </cell>
          <cell r="C1203" t="str">
            <v/>
          </cell>
          <cell r="D1203">
            <v>0</v>
          </cell>
          <cell r="E1203" t="str">
            <v/>
          </cell>
        </row>
        <row r="1204">
          <cell r="A1204" t="str">
            <v>C9825SIG/C E</v>
          </cell>
          <cell r="B1204" t="str">
            <v>SKLADEM</v>
          </cell>
          <cell r="C1204" t="str">
            <v/>
          </cell>
          <cell r="D1204">
            <v>0</v>
          </cell>
          <cell r="E1204" t="str">
            <v/>
          </cell>
        </row>
        <row r="1205">
          <cell r="A1205" t="str">
            <v>C9825SIG/C(T)</v>
          </cell>
          <cell r="B1205" t="str">
            <v>SKLADEM</v>
          </cell>
          <cell r="C1205" t="str">
            <v/>
          </cell>
          <cell r="D1205">
            <v>0</v>
          </cell>
          <cell r="E1205" t="str">
            <v/>
          </cell>
        </row>
        <row r="1206">
          <cell r="A1206" t="str">
            <v>C9825SIG/C14</v>
          </cell>
          <cell r="B1206" t="str">
            <v>15.09.2024</v>
          </cell>
          <cell r="C1206">
            <v>192</v>
          </cell>
          <cell r="D1206">
            <v>0</v>
          </cell>
          <cell r="E1206" t="str">
            <v/>
          </cell>
        </row>
        <row r="1207">
          <cell r="A1207" t="str">
            <v>C9825SIG/C14(T)</v>
          </cell>
          <cell r="B1207" t="str">
            <v>15.09.2024</v>
          </cell>
          <cell r="C1207">
            <v>192</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SKLADEM</v>
          </cell>
          <cell r="C1214" t="str">
            <v/>
          </cell>
          <cell r="D1214">
            <v>0</v>
          </cell>
          <cell r="E1214" t="str">
            <v/>
          </cell>
        </row>
        <row r="1215">
          <cell r="A1215" t="str">
            <v>CF10020G E</v>
          </cell>
          <cell r="B1215" t="str">
            <v>SKLADEM</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SKLADEM</v>
          </cell>
          <cell r="C1261" t="str">
            <v/>
          </cell>
          <cell r="D1261">
            <v>0</v>
          </cell>
          <cell r="E1261" t="str">
            <v/>
          </cell>
        </row>
        <row r="1262">
          <cell r="A1262" t="str">
            <v>CF1352X7</v>
          </cell>
          <cell r="B1262" t="str">
            <v>SKLADEM</v>
          </cell>
          <cell r="C1262" t="str">
            <v/>
          </cell>
          <cell r="D1262">
            <v>0</v>
          </cell>
          <cell r="E1262" t="str">
            <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15.05.2024</v>
          </cell>
          <cell r="C1283">
            <v>69</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15.05.2024</v>
          </cell>
          <cell r="C1286">
            <v>69</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15.05.2024</v>
          </cell>
          <cell r="C1292">
            <v>69</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20.06.2024</v>
          </cell>
          <cell r="C1315">
            <v>105</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SKLADEM</v>
          </cell>
          <cell r="C1320" t="str">
            <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SKLADEM</v>
          </cell>
          <cell r="C1325" t="str">
            <v/>
          </cell>
          <cell r="D1325">
            <v>0</v>
          </cell>
          <cell r="E1325" t="str">
            <v/>
          </cell>
        </row>
        <row r="1326">
          <cell r="A1326" t="str">
            <v>CF4920G E</v>
          </cell>
          <cell r="B1326" t="str">
            <v>VYPRODÁNO</v>
          </cell>
          <cell r="C1326" t="str">
            <v/>
          </cell>
          <cell r="D1326">
            <v>0</v>
          </cell>
          <cell r="E1326" t="str">
            <v/>
          </cell>
        </row>
        <row r="1327">
          <cell r="A1327" t="str">
            <v>CF4920G14</v>
          </cell>
          <cell r="B1327" t="str">
            <v>30.09.2024</v>
          </cell>
          <cell r="C1327">
            <v>207</v>
          </cell>
          <cell r="D1327">
            <v>0</v>
          </cell>
          <cell r="E1327" t="str">
            <v/>
          </cell>
        </row>
        <row r="1328">
          <cell r="A1328" t="str">
            <v>CF4920J</v>
          </cell>
          <cell r="B1328" t="str">
            <v>30.09.2024</v>
          </cell>
          <cell r="C1328">
            <v>207</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SKLADEM</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15.06.2024</v>
          </cell>
          <cell r="C1341">
            <v>100</v>
          </cell>
          <cell r="D1341">
            <v>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SKLADEM</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DOCHÁZÍ</v>
          </cell>
          <cell r="C1349" t="str">
            <v/>
          </cell>
          <cell r="D1349">
            <v>0</v>
          </cell>
          <cell r="E1349">
            <v>5</v>
          </cell>
        </row>
        <row r="1350">
          <cell r="A1350" t="str">
            <v>CF493ST</v>
          </cell>
          <cell r="B1350" t="str">
            <v>SKLADEM</v>
          </cell>
          <cell r="C1350" t="str">
            <v/>
          </cell>
          <cell r="D1350">
            <v>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20.06.2024</v>
          </cell>
          <cell r="C1357">
            <v>105</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20.06.2024</v>
          </cell>
          <cell r="C1364">
            <v>105</v>
          </cell>
          <cell r="D1364">
            <v>0</v>
          </cell>
          <cell r="E1364" t="str">
            <v/>
          </cell>
        </row>
        <row r="1365">
          <cell r="A1365" t="str">
            <v>CF503X13</v>
          </cell>
          <cell r="B1365" t="str">
            <v>VYPRODÁNO</v>
          </cell>
          <cell r="C1365" t="str">
            <v/>
          </cell>
          <cell r="D1365">
            <v>0</v>
          </cell>
          <cell r="E1365" t="str">
            <v/>
          </cell>
        </row>
        <row r="1366">
          <cell r="A1366" t="str">
            <v>CF503X14</v>
          </cell>
          <cell r="B1366" t="str">
            <v>SKLADEM</v>
          </cell>
          <cell r="C1366" t="str">
            <v/>
          </cell>
          <cell r="D1366">
            <v>0</v>
          </cell>
          <cell r="E1366" t="str">
            <v/>
          </cell>
        </row>
        <row r="1367">
          <cell r="A1367" t="str">
            <v>CF503X15</v>
          </cell>
          <cell r="B1367" t="str">
            <v>SKLADEM</v>
          </cell>
          <cell r="C1367" t="str">
            <v/>
          </cell>
          <cell r="D1367">
            <v>0</v>
          </cell>
          <cell r="E1367" t="str">
            <v/>
          </cell>
        </row>
        <row r="1368">
          <cell r="A1368" t="str">
            <v>CF503X16</v>
          </cell>
          <cell r="B1368" t="str">
            <v>SKLADEM</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30.09.2024</v>
          </cell>
          <cell r="C1383">
            <v>207</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SKLADEM</v>
          </cell>
          <cell r="C1387" t="str">
            <v/>
          </cell>
          <cell r="D1387">
            <v>0</v>
          </cell>
          <cell r="E1387" t="str">
            <v/>
          </cell>
        </row>
        <row r="1388">
          <cell r="A1388" t="str">
            <v>CF503X48</v>
          </cell>
          <cell r="B1388" t="str">
            <v>20.06.2024</v>
          </cell>
          <cell r="C1388">
            <v>105</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30.09.2024</v>
          </cell>
          <cell r="C1393">
            <v>207</v>
          </cell>
          <cell r="D1393">
            <v>0</v>
          </cell>
          <cell r="E1393" t="str">
            <v/>
          </cell>
        </row>
        <row r="1394">
          <cell r="A1394" t="str">
            <v>CF503X6</v>
          </cell>
          <cell r="B1394" t="str">
            <v>VYPRODÁNO</v>
          </cell>
          <cell r="C1394" t="str">
            <v/>
          </cell>
          <cell r="D1394">
            <v>0</v>
          </cell>
          <cell r="E1394" t="str">
            <v/>
          </cell>
        </row>
        <row r="1395">
          <cell r="A1395" t="str">
            <v>CF503X7</v>
          </cell>
          <cell r="B1395" t="str">
            <v>20.06.2024</v>
          </cell>
          <cell r="C1395">
            <v>105</v>
          </cell>
          <cell r="D1395">
            <v>0</v>
          </cell>
          <cell r="E1395" t="str">
            <v/>
          </cell>
        </row>
        <row r="1396">
          <cell r="A1396" t="str">
            <v>CF503X8</v>
          </cell>
          <cell r="B1396" t="str">
            <v>SKLADEM</v>
          </cell>
          <cell r="C1396" t="str">
            <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20.03.2024</v>
          </cell>
          <cell r="C1403">
            <v>13</v>
          </cell>
          <cell r="D1403">
            <v>98</v>
          </cell>
          <cell r="E1403" t="str">
            <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SKLADEM</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SKLADEM</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SKLADEM</v>
          </cell>
          <cell r="C1419" t="str">
            <v/>
          </cell>
          <cell r="D1419">
            <v>0</v>
          </cell>
          <cell r="E1419" t="str">
            <v/>
          </cell>
        </row>
        <row r="1420">
          <cell r="A1420" t="str">
            <v>CP5DU14(G)1</v>
          </cell>
          <cell r="B1420" t="str">
            <v>SKLADEM</v>
          </cell>
          <cell r="C1420" t="str">
            <v/>
          </cell>
          <cell r="D1420">
            <v>0</v>
          </cell>
          <cell r="E1420" t="str">
            <v/>
          </cell>
        </row>
        <row r="1421">
          <cell r="A1421" t="str">
            <v>CP5DU14(R)</v>
          </cell>
          <cell r="B1421" t="str">
            <v>SKLADEM</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15.06.2024</v>
          </cell>
          <cell r="C1455">
            <v>100</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DOCHÁZÍ</v>
          </cell>
          <cell r="C1458" t="str">
            <v/>
          </cell>
          <cell r="D1458">
            <v>0</v>
          </cell>
          <cell r="E1458">
            <v>5</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SKLADEM</v>
          </cell>
          <cell r="C1463" t="str">
            <v/>
          </cell>
          <cell r="D1463">
            <v>0</v>
          </cell>
          <cell r="E1463" t="str">
            <v/>
          </cell>
        </row>
        <row r="1464">
          <cell r="A1464" t="str">
            <v>CS1352X9</v>
          </cell>
          <cell r="B1464" t="str">
            <v>SKLADEM</v>
          </cell>
          <cell r="C1464" t="str">
            <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30.04.2024</v>
          </cell>
          <cell r="C1473">
            <v>54</v>
          </cell>
          <cell r="D1473">
            <v>0</v>
          </cell>
          <cell r="E1473" t="str">
            <v/>
          </cell>
        </row>
        <row r="1474">
          <cell r="A1474" t="str">
            <v>CS503X10</v>
          </cell>
          <cell r="B1474" t="str">
            <v>VYPRODÁNO</v>
          </cell>
          <cell r="C1474" t="str">
            <v/>
          </cell>
          <cell r="D1474">
            <v>0</v>
          </cell>
          <cell r="E1474" t="str">
            <v/>
          </cell>
        </row>
        <row r="1475">
          <cell r="A1475" t="str">
            <v>CS503X11</v>
          </cell>
          <cell r="B1475" t="str">
            <v>20.06.2024</v>
          </cell>
          <cell r="C1475">
            <v>105</v>
          </cell>
          <cell r="D1475">
            <v>0</v>
          </cell>
          <cell r="E1475" t="str">
            <v/>
          </cell>
        </row>
        <row r="1476">
          <cell r="A1476" t="str">
            <v>CS503X12</v>
          </cell>
          <cell r="B1476" t="str">
            <v>DOCHÁZÍ</v>
          </cell>
          <cell r="C1476" t="str">
            <v/>
          </cell>
          <cell r="D1476">
            <v>0</v>
          </cell>
          <cell r="E1476">
            <v>5</v>
          </cell>
        </row>
        <row r="1477">
          <cell r="A1477" t="str">
            <v>CS503X13</v>
          </cell>
          <cell r="B1477" t="str">
            <v>VYPRODÁNO</v>
          </cell>
          <cell r="C1477" t="str">
            <v/>
          </cell>
          <cell r="D1477">
            <v>0</v>
          </cell>
          <cell r="E1477" t="str">
            <v/>
          </cell>
        </row>
        <row r="1478">
          <cell r="A1478" t="str">
            <v>CS503X14</v>
          </cell>
          <cell r="B1478" t="str">
            <v>DOCHÁZÍ</v>
          </cell>
          <cell r="C1478" t="str">
            <v/>
          </cell>
          <cell r="D1478">
            <v>0</v>
          </cell>
          <cell r="E1478">
            <v>5</v>
          </cell>
        </row>
        <row r="1479">
          <cell r="A1479" t="str">
            <v>CS503X15</v>
          </cell>
          <cell r="B1479" t="str">
            <v>SKLADEM</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SKLADEM</v>
          </cell>
          <cell r="C1481" t="str">
            <v/>
          </cell>
          <cell r="D1481">
            <v>0</v>
          </cell>
          <cell r="E1481" t="str">
            <v/>
          </cell>
        </row>
        <row r="1482">
          <cell r="A1482" t="str">
            <v>CS503X18</v>
          </cell>
          <cell r="B1482" t="str">
            <v>SKLADEM</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SKLADEM</v>
          </cell>
          <cell r="C1484" t="str">
            <v/>
          </cell>
          <cell r="D1484">
            <v>0</v>
          </cell>
          <cell r="E1484" t="str">
            <v/>
          </cell>
        </row>
        <row r="1485">
          <cell r="A1485" t="str">
            <v>CS503X21</v>
          </cell>
          <cell r="B1485" t="str">
            <v>SKLADEM</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SKLADEM</v>
          </cell>
          <cell r="C1493" t="str">
            <v/>
          </cell>
          <cell r="D1493">
            <v>0</v>
          </cell>
          <cell r="E1493" t="str">
            <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SKLADEM</v>
          </cell>
          <cell r="C1496" t="str">
            <v/>
          </cell>
          <cell r="D1496">
            <v>0</v>
          </cell>
          <cell r="E1496" t="str">
            <v/>
          </cell>
        </row>
        <row r="1497">
          <cell r="A1497" t="str">
            <v>CS503X34</v>
          </cell>
          <cell r="B1497" t="str">
            <v>VYPRODÁNO</v>
          </cell>
          <cell r="C1497" t="str">
            <v/>
          </cell>
          <cell r="D1497">
            <v>0</v>
          </cell>
          <cell r="E1497" t="str">
            <v/>
          </cell>
        </row>
        <row r="1498">
          <cell r="A1498" t="str">
            <v>CS503X35</v>
          </cell>
          <cell r="B1498" t="str">
            <v>SKLADEM</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DOCHÁZÍ</v>
          </cell>
          <cell r="C1500" t="str">
            <v/>
          </cell>
          <cell r="D1500">
            <v>0</v>
          </cell>
          <cell r="E1500">
            <v>5</v>
          </cell>
        </row>
        <row r="1501">
          <cell r="A1501" t="str">
            <v>CS503X38</v>
          </cell>
          <cell r="B1501" t="str">
            <v>SKLADEM</v>
          </cell>
          <cell r="C1501" t="str">
            <v/>
          </cell>
          <cell r="D1501">
            <v>0</v>
          </cell>
          <cell r="E1501" t="str">
            <v/>
          </cell>
        </row>
        <row r="1502">
          <cell r="A1502" t="str">
            <v>CS503X52</v>
          </cell>
          <cell r="B1502" t="str">
            <v>VYPRODÁNO</v>
          </cell>
          <cell r="C1502" t="str">
            <v/>
          </cell>
          <cell r="D1502">
            <v>0</v>
          </cell>
          <cell r="E1502" t="str">
            <v/>
          </cell>
        </row>
        <row r="1503">
          <cell r="A1503" t="str">
            <v>CS503X55</v>
          </cell>
          <cell r="B1503" t="str">
            <v>SKLADEM</v>
          </cell>
          <cell r="C1503" t="str">
            <v/>
          </cell>
          <cell r="D1503">
            <v>0</v>
          </cell>
          <cell r="E1503" t="str">
            <v/>
          </cell>
        </row>
        <row r="1504">
          <cell r="A1504" t="str">
            <v>CS503X8</v>
          </cell>
          <cell r="B1504" t="str">
            <v>SKLADEM</v>
          </cell>
          <cell r="C1504" t="str">
            <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SKLADEM</v>
          </cell>
          <cell r="C1522" t="str">
            <v/>
          </cell>
          <cell r="D1522">
            <v>0</v>
          </cell>
          <cell r="E1522" t="str">
            <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SKLADEM</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SKLADEM</v>
          </cell>
          <cell r="C1545" t="str">
            <v/>
          </cell>
          <cell r="D1545">
            <v>0</v>
          </cell>
          <cell r="E1545" t="str">
            <v/>
          </cell>
        </row>
        <row r="1546">
          <cell r="A1546" t="str">
            <v>CV503X45</v>
          </cell>
          <cell r="B1546" t="str">
            <v>SKLADEM</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15.06.2024</v>
          </cell>
          <cell r="C1555">
            <v>100</v>
          </cell>
          <cell r="D1555">
            <v>0</v>
          </cell>
          <cell r="E1555" t="str">
            <v/>
          </cell>
        </row>
        <row r="1556">
          <cell r="A1556" t="str">
            <v>CX1352X2</v>
          </cell>
          <cell r="B1556" t="str">
            <v>SKLADEM</v>
          </cell>
          <cell r="C1556" t="str">
            <v/>
          </cell>
          <cell r="D1556">
            <v>0</v>
          </cell>
          <cell r="E1556" t="str">
            <v/>
          </cell>
        </row>
        <row r="1557">
          <cell r="A1557" t="str">
            <v>CX1352X3</v>
          </cell>
          <cell r="B1557" t="str">
            <v>VYPRODÁNO</v>
          </cell>
          <cell r="C1557" t="str">
            <v/>
          </cell>
          <cell r="D1557">
            <v>0</v>
          </cell>
          <cell r="E1557" t="str">
            <v/>
          </cell>
        </row>
        <row r="1558">
          <cell r="A1558" t="str">
            <v>CX1620D</v>
          </cell>
          <cell r="B1558" t="str">
            <v>SKLADEM</v>
          </cell>
          <cell r="C1558" t="str">
            <v/>
          </cell>
          <cell r="D1558">
            <v>0</v>
          </cell>
          <cell r="E1558" t="str">
            <v/>
          </cell>
        </row>
        <row r="1559">
          <cell r="A1559" t="str">
            <v>CX1620X</v>
          </cell>
          <cell r="B1559" t="str">
            <v>15.08.2024</v>
          </cell>
          <cell r="C1559">
            <v>161</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SKLADEM</v>
          </cell>
          <cell r="C1571" t="str">
            <v/>
          </cell>
          <cell r="D1571">
            <v>0</v>
          </cell>
          <cell r="E1571" t="str">
            <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SKLADEM</v>
          </cell>
          <cell r="C1574" t="str">
            <v/>
          </cell>
          <cell r="D1574">
            <v>0</v>
          </cell>
          <cell r="E1574" t="str">
            <v/>
          </cell>
        </row>
        <row r="1575">
          <cell r="A1575" t="str">
            <v>DBB1E</v>
          </cell>
          <cell r="B1575" t="str">
            <v>25.04.2024</v>
          </cell>
          <cell r="C1575">
            <v>49</v>
          </cell>
          <cell r="D1575">
            <v>90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15.08.2024</v>
          </cell>
          <cell r="C1578">
            <v>161</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20.03.2024</v>
          </cell>
          <cell r="C1603">
            <v>13</v>
          </cell>
          <cell r="D1603" t="str">
            <v>100+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15.09.2024</v>
          </cell>
          <cell r="C1607">
            <v>192</v>
          </cell>
          <cell r="D1607">
            <v>0</v>
          </cell>
          <cell r="E1607" t="str">
            <v/>
          </cell>
        </row>
        <row r="1608">
          <cell r="A1608" t="str">
            <v>DP1BP(1)</v>
          </cell>
          <cell r="B1608" t="str">
            <v>VYPRODÁNO</v>
          </cell>
          <cell r="C1608" t="str">
            <v/>
          </cell>
          <cell r="D1608">
            <v>0</v>
          </cell>
          <cell r="E1608" t="str">
            <v/>
          </cell>
        </row>
        <row r="1609">
          <cell r="A1609" t="str">
            <v>DP1BS</v>
          </cell>
          <cell r="B1609" t="str">
            <v>DOCHÁZÍ</v>
          </cell>
          <cell r="C1609" t="str">
            <v/>
          </cell>
          <cell r="D1609">
            <v>0</v>
          </cell>
          <cell r="E1609">
            <v>10</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SKLADEM</v>
          </cell>
          <cell r="C1612" t="str">
            <v/>
          </cell>
          <cell r="D1612">
            <v>0</v>
          </cell>
          <cell r="E1612" t="str">
            <v/>
          </cell>
        </row>
        <row r="1613">
          <cell r="A1613" t="str">
            <v>DP1EM</v>
          </cell>
          <cell r="B1613" t="str">
            <v>SKLADEM</v>
          </cell>
          <cell r="C1613" t="str">
            <v/>
          </cell>
          <cell r="D1613">
            <v>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15.05.2024</v>
          </cell>
          <cell r="C1617">
            <v>69</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SKLADEM</v>
          </cell>
          <cell r="C1622" t="str">
            <v/>
          </cell>
          <cell r="D1622">
            <v>0</v>
          </cell>
          <cell r="E1622" t="str">
            <v/>
          </cell>
        </row>
        <row r="1623">
          <cell r="A1623" t="str">
            <v>DP1P(1)</v>
          </cell>
          <cell r="B1623" t="str">
            <v>SKLADEM</v>
          </cell>
          <cell r="C1623" t="str">
            <v/>
          </cell>
          <cell r="D1623">
            <v>0</v>
          </cell>
          <cell r="E1623" t="str">
            <v/>
          </cell>
        </row>
        <row r="1624">
          <cell r="A1624" t="str">
            <v>DP1R</v>
          </cell>
          <cell r="B1624" t="str">
            <v>20.03.2024</v>
          </cell>
          <cell r="C1624">
            <v>13</v>
          </cell>
          <cell r="D1624" t="str">
            <v>100+</v>
          </cell>
          <cell r="E1624" t="str">
            <v/>
          </cell>
        </row>
        <row r="1625">
          <cell r="A1625" t="str">
            <v>DP1R(1)</v>
          </cell>
          <cell r="B1625" t="str">
            <v>20.03.2024</v>
          </cell>
          <cell r="C1625">
            <v>13</v>
          </cell>
          <cell r="D1625">
            <v>50</v>
          </cell>
          <cell r="E1625" t="str">
            <v/>
          </cell>
        </row>
        <row r="1626">
          <cell r="A1626" t="str">
            <v>DP1SW</v>
          </cell>
          <cell r="B1626" t="str">
            <v>SKLADEM</v>
          </cell>
          <cell r="C1626" t="str">
            <v/>
          </cell>
          <cell r="D1626">
            <v>0</v>
          </cell>
          <cell r="E1626" t="str">
            <v/>
          </cell>
        </row>
        <row r="1627">
          <cell r="A1627" t="str">
            <v>DP1T</v>
          </cell>
          <cell r="B1627" t="str">
            <v>20.06.2024</v>
          </cell>
          <cell r="C1627">
            <v>105</v>
          </cell>
          <cell r="D1627">
            <v>0</v>
          </cell>
          <cell r="E1627" t="str">
            <v/>
          </cell>
        </row>
        <row r="1628">
          <cell r="A1628" t="str">
            <v>DP1T SK</v>
          </cell>
          <cell r="B1628" t="str">
            <v>SKLADEM</v>
          </cell>
          <cell r="C1628" t="str">
            <v/>
          </cell>
          <cell r="D1628">
            <v>0</v>
          </cell>
          <cell r="E1628" t="str">
            <v/>
          </cell>
        </row>
        <row r="1629">
          <cell r="A1629" t="str">
            <v>DP1TA</v>
          </cell>
          <cell r="B1629" t="str">
            <v>SKLADEM</v>
          </cell>
          <cell r="C1629" t="str">
            <v/>
          </cell>
          <cell r="D1629">
            <v>0</v>
          </cell>
          <cell r="E1629" t="str">
            <v/>
          </cell>
        </row>
        <row r="1630">
          <cell r="A1630" t="str">
            <v>DP1TA(1)</v>
          </cell>
          <cell r="B1630" t="str">
            <v>SKLADEM</v>
          </cell>
          <cell r="C1630" t="str">
            <v/>
          </cell>
          <cell r="D1630">
            <v>0</v>
          </cell>
          <cell r="E1630" t="str">
            <v/>
          </cell>
        </row>
        <row r="1631">
          <cell r="A1631" t="str">
            <v>DP1VC</v>
          </cell>
          <cell r="B1631" t="str">
            <v>30.09.2024</v>
          </cell>
          <cell r="C1631">
            <v>207</v>
          </cell>
          <cell r="D1631">
            <v>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15.09.2024</v>
          </cell>
          <cell r="C1635">
            <v>192</v>
          </cell>
          <cell r="D1635">
            <v>0</v>
          </cell>
          <cell r="E1635" t="str">
            <v/>
          </cell>
        </row>
        <row r="1636">
          <cell r="A1636" t="str">
            <v>DP1Z20</v>
          </cell>
          <cell r="B1636" t="str">
            <v>20.03.2024</v>
          </cell>
          <cell r="C1636">
            <v>13</v>
          </cell>
          <cell r="D1636" t="str">
            <v>100+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DOCHÁZÍ</v>
          </cell>
          <cell r="C1640" t="str">
            <v/>
          </cell>
          <cell r="D1640" t="str">
            <v>100+</v>
          </cell>
          <cell r="E1640">
            <v>13</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15.09.2024</v>
          </cell>
          <cell r="C1643">
            <v>192</v>
          </cell>
          <cell r="D1643">
            <v>0</v>
          </cell>
          <cell r="E1643" t="str">
            <v/>
          </cell>
        </row>
        <row r="1644">
          <cell r="A1644" t="str">
            <v>EB9</v>
          </cell>
          <cell r="B1644" t="str">
            <v>DOCHÁZÍ</v>
          </cell>
          <cell r="C1644" t="str">
            <v/>
          </cell>
          <cell r="D1644">
            <v>0</v>
          </cell>
          <cell r="E1644">
            <v>1</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SKLADEM</v>
          </cell>
          <cell r="C1649" t="str">
            <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SKLADEM</v>
          </cell>
          <cell r="C1656" t="str">
            <v/>
          </cell>
          <cell r="D1656">
            <v>0</v>
          </cell>
          <cell r="E1656" t="str">
            <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t="str">
            <v>100+</v>
          </cell>
          <cell r="E1659" t="str">
            <v/>
          </cell>
        </row>
        <row r="1660">
          <cell r="A1660" t="str">
            <v>F100DC</v>
          </cell>
          <cell r="B1660" t="str">
            <v>SKLADEM</v>
          </cell>
          <cell r="C1660" t="str">
            <v/>
          </cell>
          <cell r="D1660">
            <v>0</v>
          </cell>
          <cell r="E1660" t="str">
            <v/>
          </cell>
        </row>
        <row r="1661">
          <cell r="A1661" t="str">
            <v>F10E</v>
          </cell>
          <cell r="B1661" t="str">
            <v>SKLADEM</v>
          </cell>
          <cell r="C1661" t="str">
            <v/>
          </cell>
          <cell r="D1661">
            <v>0</v>
          </cell>
          <cell r="E1661" t="str">
            <v/>
          </cell>
        </row>
        <row r="1662">
          <cell r="A1662" t="str">
            <v>F11M</v>
          </cell>
          <cell r="B1662" t="str">
            <v>20.06.2024</v>
          </cell>
          <cell r="C1662">
            <v>105</v>
          </cell>
          <cell r="D1662">
            <v>0</v>
          </cell>
          <cell r="E1662" t="str">
            <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20.06.2024</v>
          </cell>
          <cell r="C1665">
            <v>105</v>
          </cell>
          <cell r="D1665">
            <v>0</v>
          </cell>
          <cell r="E1665" t="str">
            <v/>
          </cell>
        </row>
        <row r="1666">
          <cell r="A1666" t="str">
            <v>F14R F</v>
          </cell>
          <cell r="B1666" t="str">
            <v>SKLADEM</v>
          </cell>
          <cell r="C1666" t="str">
            <v/>
          </cell>
          <cell r="D1666">
            <v>0</v>
          </cell>
          <cell r="E1666" t="str">
            <v/>
          </cell>
        </row>
        <row r="1667">
          <cell r="A1667" t="str">
            <v>F1500C</v>
          </cell>
          <cell r="B1667" t="str">
            <v>SKLADEM</v>
          </cell>
          <cell r="C1667" t="str">
            <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30.09.2024</v>
          </cell>
          <cell r="C1676">
            <v>207</v>
          </cell>
          <cell r="D1676">
            <v>0</v>
          </cell>
          <cell r="E1676" t="str">
            <v/>
          </cell>
        </row>
        <row r="1677">
          <cell r="A1677" t="str">
            <v>F250SC</v>
          </cell>
          <cell r="B1677" t="str">
            <v>SKLADEM</v>
          </cell>
          <cell r="C1677" t="str">
            <v/>
          </cell>
          <cell r="D1677">
            <v>0</v>
          </cell>
          <cell r="E1677" t="str">
            <v/>
          </cell>
        </row>
        <row r="1678">
          <cell r="A1678" t="str">
            <v>F250SS</v>
          </cell>
          <cell r="B1678" t="str">
            <v>SKLADEM</v>
          </cell>
          <cell r="C1678" t="str">
            <v/>
          </cell>
          <cell r="D1678">
            <v>0</v>
          </cell>
          <cell r="E1678" t="str">
            <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SKLADEM</v>
          </cell>
          <cell r="C1682" t="str">
            <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DOCHÁZÍ</v>
          </cell>
          <cell r="C1689" t="str">
            <v/>
          </cell>
          <cell r="D1689">
            <v>0</v>
          </cell>
          <cell r="E1689">
            <v>4</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SKLADEM</v>
          </cell>
          <cell r="C1693" t="str">
            <v/>
          </cell>
          <cell r="D1693">
            <v>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t="str">
            <v>100+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50</v>
          </cell>
          <cell r="E1703" t="str">
            <v/>
          </cell>
        </row>
        <row r="1704">
          <cell r="A1704" t="str">
            <v>HDP60C</v>
          </cell>
          <cell r="B1704" t="str">
            <v>SKLADEM</v>
          </cell>
          <cell r="C1704" t="str">
            <v/>
          </cell>
          <cell r="D1704">
            <v>0</v>
          </cell>
          <cell r="E1704" t="str">
            <v/>
          </cell>
        </row>
        <row r="1705">
          <cell r="A1705" t="str">
            <v>HDP60CER</v>
          </cell>
          <cell r="B1705" t="str">
            <v>DOCHÁZÍ</v>
          </cell>
          <cell r="C1705" t="str">
            <v/>
          </cell>
          <cell r="D1705">
            <v>0</v>
          </cell>
          <cell r="E1705">
            <v>19</v>
          </cell>
        </row>
        <row r="1706">
          <cell r="A1706" t="str">
            <v>HDP60M</v>
          </cell>
          <cell r="B1706" t="str">
            <v>SKLADEM</v>
          </cell>
          <cell r="C1706" t="str">
            <v/>
          </cell>
          <cell r="D1706">
            <v>0</v>
          </cell>
          <cell r="E1706" t="str">
            <v/>
          </cell>
        </row>
        <row r="1707">
          <cell r="A1707" t="str">
            <v>HDP60O</v>
          </cell>
          <cell r="B1707" t="str">
            <v>SKLADEM</v>
          </cell>
          <cell r="C1707" t="str">
            <v/>
          </cell>
          <cell r="D1707">
            <v>0</v>
          </cell>
          <cell r="E1707" t="str">
            <v/>
          </cell>
        </row>
        <row r="1708">
          <cell r="A1708" t="str">
            <v>HDP60ZE</v>
          </cell>
          <cell r="B1708" t="str">
            <v>SKLADEM</v>
          </cell>
          <cell r="C1708" t="str">
            <v/>
          </cell>
          <cell r="D1708">
            <v>13</v>
          </cell>
          <cell r="E1708" t="str">
            <v/>
          </cell>
        </row>
        <row r="1709">
          <cell r="A1709" t="str">
            <v>HDP60ZL</v>
          </cell>
          <cell r="B1709" t="str">
            <v>SKLADEM</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15.08.2024</v>
          </cell>
          <cell r="C1712">
            <v>161</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SKLADEM</v>
          </cell>
          <cell r="C1715" t="str">
            <v/>
          </cell>
          <cell r="D1715">
            <v>0</v>
          </cell>
          <cell r="E1715" t="str">
            <v/>
          </cell>
        </row>
        <row r="1716">
          <cell r="A1716" t="str">
            <v>IF5M10</v>
          </cell>
          <cell r="B1716" t="str">
            <v>VYPRODÁNO</v>
          </cell>
          <cell r="C1716" t="str">
            <v/>
          </cell>
          <cell r="D1716">
            <v>0</v>
          </cell>
          <cell r="E1716" t="str">
            <v/>
          </cell>
        </row>
        <row r="1717">
          <cell r="A1717" t="str">
            <v>IF660B</v>
          </cell>
          <cell r="B1717" t="str">
            <v>SKLADEM</v>
          </cell>
          <cell r="C1717" t="str">
            <v/>
          </cell>
          <cell r="D1717">
            <v>0</v>
          </cell>
          <cell r="E1717" t="str">
            <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SKLADEM</v>
          </cell>
          <cell r="C1723" t="str">
            <v/>
          </cell>
          <cell r="D1723">
            <v>0</v>
          </cell>
          <cell r="E1723" t="str">
            <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t="str">
            <v>100+</v>
          </cell>
          <cell r="E1733">
            <v>43</v>
          </cell>
        </row>
        <row r="1734">
          <cell r="A1734" t="str">
            <v>K0203K</v>
          </cell>
          <cell r="B1734" t="str">
            <v>SKLADEM</v>
          </cell>
          <cell r="C1734" t="str">
            <v/>
          </cell>
          <cell r="D1734">
            <v>0</v>
          </cell>
          <cell r="E1734" t="str">
            <v/>
          </cell>
        </row>
        <row r="1735">
          <cell r="A1735" t="str">
            <v>K0203KB</v>
          </cell>
          <cell r="B1735" t="str">
            <v>15.06.2024</v>
          </cell>
          <cell r="C1735">
            <v>100</v>
          </cell>
          <cell r="D1735">
            <v>0</v>
          </cell>
          <cell r="E1735" t="str">
            <v/>
          </cell>
        </row>
        <row r="1736">
          <cell r="A1736" t="str">
            <v>K1000R</v>
          </cell>
          <cell r="B1736" t="str">
            <v>SKLADEM</v>
          </cell>
          <cell r="C1736" t="str">
            <v/>
          </cell>
          <cell r="D1736">
            <v>0</v>
          </cell>
          <cell r="E1736" t="str">
            <v/>
          </cell>
        </row>
        <row r="1737">
          <cell r="A1737" t="str">
            <v>K100R</v>
          </cell>
          <cell r="B1737" t="str">
            <v>VYPRODÁNO</v>
          </cell>
          <cell r="C1737" t="str">
            <v/>
          </cell>
          <cell r="D1737">
            <v>0</v>
          </cell>
          <cell r="E1737" t="str">
            <v/>
          </cell>
        </row>
        <row r="1738">
          <cell r="A1738" t="str">
            <v>K10M</v>
          </cell>
          <cell r="B1738" t="str">
            <v>30.04.2024</v>
          </cell>
          <cell r="C1738">
            <v>54</v>
          </cell>
          <cell r="D1738">
            <v>0</v>
          </cell>
          <cell r="E1738" t="str">
            <v/>
          </cell>
        </row>
        <row r="1739">
          <cell r="A1739" t="str">
            <v>K1969R</v>
          </cell>
          <cell r="B1739" t="str">
            <v>SKLADEM</v>
          </cell>
          <cell r="C1739" t="str">
            <v/>
          </cell>
          <cell r="D1739">
            <v>0</v>
          </cell>
          <cell r="E1739" t="str">
            <v/>
          </cell>
        </row>
        <row r="1740">
          <cell r="A1740" t="str">
            <v>K200R</v>
          </cell>
          <cell r="B1740" t="str">
            <v>SKLADEM</v>
          </cell>
          <cell r="C1740" t="str">
            <v/>
          </cell>
          <cell r="D1740">
            <v>0</v>
          </cell>
          <cell r="E1740" t="str">
            <v/>
          </cell>
        </row>
        <row r="1741">
          <cell r="A1741" t="str">
            <v>K20K</v>
          </cell>
          <cell r="B1741" t="str">
            <v>SKLADEM</v>
          </cell>
          <cell r="C1741" t="str">
            <v/>
          </cell>
          <cell r="D1741">
            <v>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KK2021</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SKLADEM</v>
          </cell>
          <cell r="C1841" t="str">
            <v/>
          </cell>
          <cell r="D1841">
            <v>0</v>
          </cell>
          <cell r="E1841" t="str">
            <v/>
          </cell>
        </row>
        <row r="1842">
          <cell r="A1842" t="str">
            <v>LM0SW(1)</v>
          </cell>
          <cell r="B1842" t="str">
            <v>SKLADEM</v>
          </cell>
          <cell r="C1842" t="str">
            <v/>
          </cell>
          <cell r="D1842">
            <v>0</v>
          </cell>
          <cell r="E1842" t="str">
            <v/>
          </cell>
        </row>
        <row r="1843">
          <cell r="A1843" t="str">
            <v>LM1O</v>
          </cell>
          <cell r="B1843" t="str">
            <v>15.06.2024</v>
          </cell>
          <cell r="C1843">
            <v>100</v>
          </cell>
          <cell r="D1843">
            <v>0</v>
          </cell>
          <cell r="E1843" t="str">
            <v/>
          </cell>
        </row>
        <row r="1844">
          <cell r="A1844" t="str">
            <v>LM2C</v>
          </cell>
          <cell r="B1844" t="str">
            <v>15.09.2024</v>
          </cell>
          <cell r="C1844">
            <v>192</v>
          </cell>
          <cell r="D1844">
            <v>0</v>
          </cell>
          <cell r="E1844" t="str">
            <v/>
          </cell>
        </row>
        <row r="1845">
          <cell r="A1845" t="str">
            <v>LM2V</v>
          </cell>
          <cell r="B1845" t="str">
            <v>15.08.2024</v>
          </cell>
          <cell r="C1845">
            <v>161</v>
          </cell>
          <cell r="D1845">
            <v>0</v>
          </cell>
          <cell r="E1845" t="str">
            <v/>
          </cell>
        </row>
        <row r="1846">
          <cell r="A1846" t="str">
            <v>LM3T</v>
          </cell>
          <cell r="B1846" t="str">
            <v>SKLADEM</v>
          </cell>
          <cell r="C1846" t="str">
            <v/>
          </cell>
          <cell r="D1846">
            <v>0</v>
          </cell>
          <cell r="E1846" t="str">
            <v/>
          </cell>
        </row>
        <row r="1847">
          <cell r="A1847" t="str">
            <v>LM4O</v>
          </cell>
          <cell r="B1847" t="str">
            <v>SKLADEM</v>
          </cell>
          <cell r="C1847" t="str">
            <v/>
          </cell>
          <cell r="D1847">
            <v>0</v>
          </cell>
          <cell r="E1847" t="str">
            <v/>
          </cell>
        </row>
        <row r="1848">
          <cell r="A1848" t="str">
            <v>LM5W</v>
          </cell>
          <cell r="B1848" t="str">
            <v>SKLADEM</v>
          </cell>
          <cell r="C1848" t="str">
            <v/>
          </cell>
          <cell r="D1848">
            <v>0</v>
          </cell>
          <cell r="E1848" t="str">
            <v/>
          </cell>
        </row>
        <row r="1849">
          <cell r="A1849" t="str">
            <v>LM6M</v>
          </cell>
          <cell r="B1849" t="str">
            <v>15.06.2024</v>
          </cell>
          <cell r="C1849">
            <v>100</v>
          </cell>
          <cell r="D1849">
            <v>0</v>
          </cell>
          <cell r="E1849" t="str">
            <v/>
          </cell>
        </row>
        <row r="1850">
          <cell r="A1850" t="str">
            <v>LM7S</v>
          </cell>
          <cell r="B1850" t="str">
            <v>30.04.2024</v>
          </cell>
          <cell r="C1850">
            <v>54</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SKLADEM</v>
          </cell>
          <cell r="C1854" t="str">
            <v/>
          </cell>
          <cell r="D1854">
            <v>0</v>
          </cell>
          <cell r="E1854" t="str">
            <v/>
          </cell>
        </row>
        <row r="1855">
          <cell r="A1855" t="str">
            <v>M25</v>
          </cell>
          <cell r="B1855" t="str">
            <v>VYPRODÁNO</v>
          </cell>
          <cell r="C1855" t="str">
            <v/>
          </cell>
          <cell r="D1855">
            <v>0</v>
          </cell>
          <cell r="E1855" t="str">
            <v/>
          </cell>
        </row>
        <row r="1856">
          <cell r="A1856" t="str">
            <v>M3</v>
          </cell>
          <cell r="B1856" t="str">
            <v>SKLADEM</v>
          </cell>
          <cell r="C1856" t="str">
            <v/>
          </cell>
          <cell r="D1856">
            <v>0</v>
          </cell>
          <cell r="E1856" t="str">
            <v/>
          </cell>
        </row>
        <row r="1857">
          <cell r="A1857" t="str">
            <v>M4</v>
          </cell>
          <cell r="B1857" t="str">
            <v>15.06.2024</v>
          </cell>
          <cell r="C1857">
            <v>100</v>
          </cell>
          <cell r="D1857">
            <v>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v>0</v>
          </cell>
          <cell r="E1859" t="str">
            <v/>
          </cell>
        </row>
        <row r="1860">
          <cell r="A1860" t="str">
            <v>MDLE1L</v>
          </cell>
          <cell r="B1860" t="str">
            <v>SKLADEM</v>
          </cell>
          <cell r="C1860" t="str">
            <v/>
          </cell>
          <cell r="D1860">
            <v>15</v>
          </cell>
          <cell r="E1860" t="str">
            <v/>
          </cell>
        </row>
        <row r="1861">
          <cell r="A1861" t="str">
            <v>MDLE1M</v>
          </cell>
          <cell r="B1861" t="str">
            <v>SKLADEM</v>
          </cell>
          <cell r="C1861" t="str">
            <v/>
          </cell>
          <cell r="D1861">
            <v>15</v>
          </cell>
          <cell r="E1861" t="str">
            <v/>
          </cell>
        </row>
        <row r="1862">
          <cell r="A1862" t="str">
            <v>MDLE1XL</v>
          </cell>
          <cell r="B1862" t="str">
            <v>DOCHÁZÍ</v>
          </cell>
          <cell r="C1862" t="str">
            <v/>
          </cell>
          <cell r="D1862">
            <v>0</v>
          </cell>
          <cell r="E1862">
            <v>1</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30.06.2024</v>
          </cell>
          <cell r="C1871">
            <v>115</v>
          </cell>
          <cell r="D1871">
            <v>0</v>
          </cell>
          <cell r="E1871" t="str">
            <v/>
          </cell>
        </row>
        <row r="1872">
          <cell r="A1872" t="str">
            <v>P066D20</v>
          </cell>
          <cell r="B1872" t="str">
            <v>25.03.2024</v>
          </cell>
          <cell r="C1872">
            <v>18</v>
          </cell>
          <cell r="D1872" t="str">
            <v>100+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SKLADEM</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01.09.2024</v>
          </cell>
          <cell r="C1877">
            <v>178</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01.09.2024</v>
          </cell>
          <cell r="C1883">
            <v>178</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SKLADEM</v>
          </cell>
          <cell r="C1890" t="str">
            <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DOCHÁZÍ</v>
          </cell>
          <cell r="C1894" t="str">
            <v/>
          </cell>
          <cell r="D1894">
            <v>0</v>
          </cell>
          <cell r="E1894">
            <v>11</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SKLADEM</v>
          </cell>
          <cell r="C1898" t="str">
            <v/>
          </cell>
          <cell r="D1898">
            <v>0</v>
          </cell>
          <cell r="E1898" t="str">
            <v/>
          </cell>
        </row>
        <row r="1899">
          <cell r="A1899" t="str">
            <v>P4B</v>
          </cell>
          <cell r="B1899" t="str">
            <v>SKLADEM</v>
          </cell>
          <cell r="C1899" t="str">
            <v/>
          </cell>
          <cell r="D1899">
            <v>0</v>
          </cell>
          <cell r="E1899" t="str">
            <v/>
          </cell>
        </row>
        <row r="1900">
          <cell r="A1900" t="str">
            <v>P50D</v>
          </cell>
          <cell r="B1900" t="str">
            <v>01.09.2024</v>
          </cell>
          <cell r="C1900">
            <v>178</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v>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SKLADEM</v>
          </cell>
          <cell r="C1906" t="str">
            <v/>
          </cell>
          <cell r="D1906">
            <v>0</v>
          </cell>
          <cell r="E1906" t="str">
            <v/>
          </cell>
        </row>
        <row r="1907">
          <cell r="A1907" t="str">
            <v>P5D13(W)</v>
          </cell>
          <cell r="B1907" t="str">
            <v>SKLADEM</v>
          </cell>
          <cell r="C1907" t="str">
            <v/>
          </cell>
          <cell r="D1907">
            <v>0</v>
          </cell>
          <cell r="E1907" t="str">
            <v/>
          </cell>
        </row>
        <row r="1908">
          <cell r="A1908" t="str">
            <v>P5DU</v>
          </cell>
          <cell r="B1908" t="str">
            <v>10.04.2024</v>
          </cell>
          <cell r="C1908">
            <v>34</v>
          </cell>
          <cell r="D1908" t="str">
            <v>100+</v>
          </cell>
          <cell r="E1908" t="str">
            <v/>
          </cell>
        </row>
        <row r="1909">
          <cell r="A1909" t="str">
            <v>P5DU13</v>
          </cell>
          <cell r="B1909" t="str">
            <v>15.06.2024</v>
          </cell>
          <cell r="C1909">
            <v>100</v>
          </cell>
          <cell r="D1909">
            <v>0</v>
          </cell>
          <cell r="E1909" t="str">
            <v/>
          </cell>
        </row>
        <row r="1910">
          <cell r="A1910" t="str">
            <v>P5DU13(1)</v>
          </cell>
          <cell r="B1910" t="str">
            <v>30.09.2024</v>
          </cell>
          <cell r="C1910">
            <v>207</v>
          </cell>
          <cell r="D1910">
            <v>0</v>
          </cell>
          <cell r="E1910" t="str">
            <v/>
          </cell>
        </row>
        <row r="1911">
          <cell r="A1911" t="str">
            <v>P5DU13(1)B</v>
          </cell>
          <cell r="B1911" t="str">
            <v>VYPRODÁNO</v>
          </cell>
          <cell r="C1911" t="str">
            <v/>
          </cell>
          <cell r="D1911">
            <v>0</v>
          </cell>
          <cell r="E1911" t="str">
            <v/>
          </cell>
        </row>
        <row r="1912">
          <cell r="A1912" t="str">
            <v>P5DU13(M)</v>
          </cell>
          <cell r="B1912" t="str">
            <v>SKLADEM</v>
          </cell>
          <cell r="C1912" t="str">
            <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01.09.2024</v>
          </cell>
          <cell r="C1918">
            <v>178</v>
          </cell>
          <cell r="D1918">
            <v>0</v>
          </cell>
          <cell r="E1918" t="str">
            <v/>
          </cell>
        </row>
        <row r="1919">
          <cell r="A1919" t="str">
            <v>P6A13(G)F3-1</v>
          </cell>
          <cell r="B1919" t="str">
            <v>DOCHÁZÍ</v>
          </cell>
          <cell r="C1919" t="str">
            <v/>
          </cell>
          <cell r="D1919">
            <v>0</v>
          </cell>
          <cell r="E1919">
            <v>31</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SKLADEM</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15.08.2024</v>
          </cell>
          <cell r="C1925">
            <v>161</v>
          </cell>
          <cell r="D1925">
            <v>0</v>
          </cell>
          <cell r="E1925" t="str">
            <v/>
          </cell>
        </row>
        <row r="1926">
          <cell r="A1926" t="str">
            <v>P6A14F3(R)</v>
          </cell>
          <cell r="B1926" t="str">
            <v>SKLADEM</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25.03.2024</v>
          </cell>
          <cell r="C1928">
            <v>18</v>
          </cell>
          <cell r="D1928" t="str">
            <v>100+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SKLADEM</v>
          </cell>
          <cell r="C1938" t="str">
            <v/>
          </cell>
          <cell r="D1938">
            <v>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DOCHÁZÍ</v>
          </cell>
          <cell r="C1941" t="str">
            <v/>
          </cell>
          <cell r="D1941">
            <v>0</v>
          </cell>
          <cell r="E1941">
            <v>20</v>
          </cell>
        </row>
        <row r="1942">
          <cell r="A1942" t="str">
            <v>P8DCH(CH)</v>
          </cell>
          <cell r="B1942" t="str">
            <v>VYPRODÁNO</v>
          </cell>
          <cell r="C1942" t="str">
            <v/>
          </cell>
          <cell r="D1942">
            <v>0</v>
          </cell>
          <cell r="E1942" t="str">
            <v/>
          </cell>
        </row>
        <row r="1943">
          <cell r="A1943" t="str">
            <v>PB120D</v>
          </cell>
          <cell r="B1943" t="str">
            <v>30.04.2024</v>
          </cell>
          <cell r="C1943">
            <v>54</v>
          </cell>
          <cell r="D1943">
            <v>0</v>
          </cell>
          <cell r="E1943" t="str">
            <v/>
          </cell>
        </row>
        <row r="1944">
          <cell r="A1944" t="str">
            <v>PB120D E</v>
          </cell>
          <cell r="B1944" t="str">
            <v>30.09.2024</v>
          </cell>
          <cell r="C1944">
            <v>207</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DOCHÁZÍ</v>
          </cell>
          <cell r="C1952" t="str">
            <v/>
          </cell>
          <cell r="D1952">
            <v>0</v>
          </cell>
          <cell r="E1952">
            <v>16</v>
          </cell>
        </row>
        <row r="1953">
          <cell r="A1953" t="str">
            <v>PLZ720D</v>
          </cell>
          <cell r="B1953" t="str">
            <v>VYPRODÁNO</v>
          </cell>
          <cell r="C1953" t="str">
            <v/>
          </cell>
          <cell r="D1953">
            <v>0</v>
          </cell>
          <cell r="E1953" t="str">
            <v/>
          </cell>
        </row>
        <row r="1954">
          <cell r="A1954" t="str">
            <v>PPMD1</v>
          </cell>
          <cell r="B1954" t="str">
            <v>DOCHÁZÍ</v>
          </cell>
          <cell r="C1954" t="str">
            <v/>
          </cell>
          <cell r="D1954">
            <v>0</v>
          </cell>
          <cell r="E1954">
            <v>5</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20.03.2024</v>
          </cell>
          <cell r="C1959">
            <v>13</v>
          </cell>
          <cell r="D1959" t="str">
            <v>100+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SKLADEM</v>
          </cell>
          <cell r="C1969" t="str">
            <v/>
          </cell>
          <cell r="D1969">
            <v>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t="str">
            <v>100+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v>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SKLADEM</v>
          </cell>
          <cell r="C2065" t="str">
            <v/>
          </cell>
          <cell r="D2065">
            <v>0</v>
          </cell>
          <cell r="E2065" t="str">
            <v/>
          </cell>
        </row>
        <row r="2066">
          <cell r="A2066" t="str">
            <v>R7508SIG</v>
          </cell>
          <cell r="B2066" t="str">
            <v>SKLADEM</v>
          </cell>
          <cell r="C2066" t="str">
            <v/>
          </cell>
          <cell r="D2066">
            <v>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SKLADEM</v>
          </cell>
          <cell r="C2072" t="str">
            <v/>
          </cell>
          <cell r="D2072">
            <v>0</v>
          </cell>
          <cell r="E2072" t="str">
            <v/>
          </cell>
        </row>
        <row r="2073">
          <cell r="A2073" t="str">
            <v>R7538E</v>
          </cell>
          <cell r="B2073" t="str">
            <v>SKLADEM</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DOCHÁZÍ</v>
          </cell>
          <cell r="C2077" t="str">
            <v/>
          </cell>
          <cell r="D2077">
            <v>0</v>
          </cell>
          <cell r="E2077">
            <v>3</v>
          </cell>
        </row>
        <row r="2078">
          <cell r="A2078" t="str">
            <v>R7538CH</v>
          </cell>
          <cell r="B2078" t="str">
            <v>SKLADEM</v>
          </cell>
          <cell r="C2078" t="str">
            <v/>
          </cell>
          <cell r="D2078">
            <v>0</v>
          </cell>
          <cell r="E2078" t="str">
            <v/>
          </cell>
        </row>
        <row r="2079">
          <cell r="A2079" t="str">
            <v>R7538I</v>
          </cell>
          <cell r="B2079" t="str">
            <v>SKLADEM</v>
          </cell>
          <cell r="C2079" t="str">
            <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SKLADEM</v>
          </cell>
          <cell r="C2087" t="str">
            <v/>
          </cell>
          <cell r="D2087">
            <v>0</v>
          </cell>
          <cell r="E2087" t="str">
            <v/>
          </cell>
        </row>
        <row r="2088">
          <cell r="A2088" t="str">
            <v>RDG1B</v>
          </cell>
          <cell r="B2088" t="str">
            <v>15.06.2024</v>
          </cell>
          <cell r="C2088">
            <v>100</v>
          </cell>
          <cell r="D2088">
            <v>0</v>
          </cell>
          <cell r="E2088" t="str">
            <v/>
          </cell>
        </row>
        <row r="2089">
          <cell r="A2089" t="str">
            <v>RDG1B(1)</v>
          </cell>
          <cell r="B2089" t="str">
            <v>SKLADEM</v>
          </cell>
          <cell r="C2089" t="str">
            <v/>
          </cell>
          <cell r="D2089">
            <v>0</v>
          </cell>
          <cell r="E2089" t="str">
            <v/>
          </cell>
        </row>
        <row r="2090">
          <cell r="A2090" t="str">
            <v>RDG1B-P</v>
          </cell>
          <cell r="B2090" t="str">
            <v>DOCHÁZÍ</v>
          </cell>
          <cell r="C2090" t="str">
            <v/>
          </cell>
          <cell r="D2090">
            <v>0</v>
          </cell>
          <cell r="E2090">
            <v>2</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DOCHÁZÍ</v>
          </cell>
          <cell r="C2093" t="str">
            <v/>
          </cell>
          <cell r="D2093">
            <v>0</v>
          </cell>
          <cell r="E2093">
            <v>3</v>
          </cell>
        </row>
        <row r="2094">
          <cell r="A2094" t="str">
            <v>RDG1C-P</v>
          </cell>
          <cell r="B2094" t="str">
            <v>SKLADEM</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DOCHÁZÍ</v>
          </cell>
          <cell r="C2098" t="str">
            <v/>
          </cell>
          <cell r="D2098">
            <v>0</v>
          </cell>
          <cell r="E2098">
            <v>4</v>
          </cell>
        </row>
        <row r="2099">
          <cell r="A2099" t="str">
            <v>RDG1M-P(1)</v>
          </cell>
          <cell r="B2099" t="str">
            <v>VYPRODÁNO</v>
          </cell>
          <cell r="C2099" t="str">
            <v/>
          </cell>
          <cell r="D2099">
            <v>0</v>
          </cell>
          <cell r="E2099" t="str">
            <v/>
          </cell>
        </row>
        <row r="2100">
          <cell r="A2100" t="str">
            <v>RDG1O</v>
          </cell>
          <cell r="B2100" t="str">
            <v>SKLADEM</v>
          </cell>
          <cell r="C2100" t="str">
            <v/>
          </cell>
          <cell r="D2100">
            <v>0</v>
          </cell>
          <cell r="E2100" t="str">
            <v/>
          </cell>
        </row>
        <row r="2101">
          <cell r="A2101" t="str">
            <v>RDG1O(1)</v>
          </cell>
          <cell r="B2101" t="str">
            <v>DOCHÁZÍ</v>
          </cell>
          <cell r="C2101" t="str">
            <v/>
          </cell>
          <cell r="D2101">
            <v>0</v>
          </cell>
          <cell r="E2101">
            <v>9</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SKLADEM</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SKLADEM</v>
          </cell>
          <cell r="C2107" t="str">
            <v/>
          </cell>
          <cell r="D2107">
            <v>0</v>
          </cell>
          <cell r="E2107" t="str">
            <v/>
          </cell>
        </row>
        <row r="2108">
          <cell r="A2108" t="str">
            <v>RDG1ZL</v>
          </cell>
          <cell r="B2108" t="str">
            <v>SKLADEM</v>
          </cell>
          <cell r="C2108" t="str">
            <v/>
          </cell>
          <cell r="D2108">
            <v>0</v>
          </cell>
          <cell r="E2108" t="str">
            <v/>
          </cell>
        </row>
        <row r="2109">
          <cell r="A2109" t="str">
            <v>RDG1ZL(1)</v>
          </cell>
          <cell r="B2109" t="str">
            <v>SKLADEM</v>
          </cell>
          <cell r="C2109" t="str">
            <v/>
          </cell>
          <cell r="D2109">
            <v>0</v>
          </cell>
          <cell r="E2109" t="str">
            <v/>
          </cell>
        </row>
        <row r="2110">
          <cell r="A2110" t="str">
            <v>RDG1ZL-P</v>
          </cell>
          <cell r="B2110" t="str">
            <v>SKLADEM</v>
          </cell>
          <cell r="C2110" t="str">
            <v/>
          </cell>
          <cell r="D2110">
            <v>0</v>
          </cell>
          <cell r="E2110" t="str">
            <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8</v>
          </cell>
        </row>
        <row r="2113">
          <cell r="A2113" t="str">
            <v>RDG25C</v>
          </cell>
          <cell r="B2113" t="str">
            <v>VYPRODÁNO</v>
          </cell>
          <cell r="C2113" t="str">
            <v/>
          </cell>
          <cell r="D2113">
            <v>0</v>
          </cell>
          <cell r="E2113" t="str">
            <v/>
          </cell>
        </row>
        <row r="2114">
          <cell r="A2114" t="str">
            <v>RDG25CER</v>
          </cell>
          <cell r="B2114" t="str">
            <v>DOCHÁZÍ</v>
          </cell>
          <cell r="C2114" t="str">
            <v/>
          </cell>
          <cell r="D2114">
            <v>0</v>
          </cell>
          <cell r="E2114">
            <v>7</v>
          </cell>
        </row>
        <row r="2115">
          <cell r="A2115" t="str">
            <v>RDG25M</v>
          </cell>
          <cell r="B2115" t="str">
            <v>VYPRODÁNO</v>
          </cell>
          <cell r="C2115" t="str">
            <v/>
          </cell>
          <cell r="D2115">
            <v>0</v>
          </cell>
          <cell r="E2115" t="str">
            <v/>
          </cell>
        </row>
        <row r="2116">
          <cell r="A2116" t="str">
            <v>RDG25O</v>
          </cell>
          <cell r="B2116" t="str">
            <v>SKLADEM</v>
          </cell>
          <cell r="C2116" t="str">
            <v/>
          </cell>
          <cell r="D2116">
            <v>0</v>
          </cell>
          <cell r="E2116" t="str">
            <v/>
          </cell>
        </row>
        <row r="2117">
          <cell r="A2117" t="str">
            <v>RDG25ZE</v>
          </cell>
          <cell r="B2117" t="str">
            <v>DOCHÁZÍ</v>
          </cell>
          <cell r="C2117" t="str">
            <v/>
          </cell>
          <cell r="D2117">
            <v>0</v>
          </cell>
          <cell r="E2117">
            <v>8</v>
          </cell>
        </row>
        <row r="2118">
          <cell r="A2118" t="str">
            <v>RDG25ZL</v>
          </cell>
          <cell r="B2118" t="str">
            <v>DOCHÁZÍ</v>
          </cell>
          <cell r="C2118" t="str">
            <v/>
          </cell>
          <cell r="D2118">
            <v>0</v>
          </cell>
          <cell r="E2118">
            <v>9</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DOCHÁZÍ</v>
          </cell>
          <cell r="C2125" t="str">
            <v/>
          </cell>
          <cell r="D2125">
            <v>0</v>
          </cell>
          <cell r="E2125">
            <v>3</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SKLADEM</v>
          </cell>
          <cell r="C2128" t="str">
            <v/>
          </cell>
          <cell r="D2128">
            <v>0</v>
          </cell>
          <cell r="E2128" t="str">
            <v/>
          </cell>
        </row>
        <row r="2129">
          <cell r="A2129" t="str">
            <v>RDG60CER</v>
          </cell>
          <cell r="B2129" t="str">
            <v>DOCHÁZÍ</v>
          </cell>
          <cell r="C2129" t="str">
            <v/>
          </cell>
          <cell r="D2129">
            <v>0</v>
          </cell>
          <cell r="E2129">
            <v>5</v>
          </cell>
        </row>
        <row r="2130">
          <cell r="A2130" t="str">
            <v>RDG60CER(SH)</v>
          </cell>
          <cell r="B2130" t="str">
            <v>SKLADEM</v>
          </cell>
          <cell r="C2130" t="str">
            <v/>
          </cell>
          <cell r="D2130">
            <v>0</v>
          </cell>
          <cell r="E2130" t="str">
            <v/>
          </cell>
        </row>
        <row r="2131">
          <cell r="A2131" t="str">
            <v>RDG60M</v>
          </cell>
          <cell r="B2131" t="str">
            <v>DOCHÁZÍ</v>
          </cell>
          <cell r="C2131" t="str">
            <v/>
          </cell>
          <cell r="D2131">
            <v>0</v>
          </cell>
          <cell r="E2131">
            <v>13</v>
          </cell>
        </row>
        <row r="2132">
          <cell r="A2132" t="str">
            <v>RDG60M(SH)</v>
          </cell>
          <cell r="B2132" t="str">
            <v>SKLADEM</v>
          </cell>
          <cell r="C2132" t="str">
            <v/>
          </cell>
          <cell r="D2132">
            <v>0</v>
          </cell>
          <cell r="E2132" t="str">
            <v/>
          </cell>
        </row>
        <row r="2133">
          <cell r="A2133" t="str">
            <v>RDG60O</v>
          </cell>
          <cell r="B2133" t="str">
            <v>DOCHÁZÍ</v>
          </cell>
          <cell r="C2133" t="str">
            <v/>
          </cell>
          <cell r="D2133">
            <v>0</v>
          </cell>
          <cell r="E2133">
            <v>14</v>
          </cell>
        </row>
        <row r="2134">
          <cell r="A2134" t="str">
            <v>RDG60O(SH)</v>
          </cell>
          <cell r="B2134" t="str">
            <v>SKLADEM</v>
          </cell>
          <cell r="C2134" t="str">
            <v/>
          </cell>
          <cell r="D2134">
            <v>0</v>
          </cell>
          <cell r="E2134" t="str">
            <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SKLADEM</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SKLADEM</v>
          </cell>
          <cell r="C2141" t="str">
            <v/>
          </cell>
          <cell r="D2141">
            <v>0</v>
          </cell>
          <cell r="E2141" t="str">
            <v/>
          </cell>
        </row>
        <row r="2142">
          <cell r="A2142" t="str">
            <v>RDP60CER</v>
          </cell>
          <cell r="B2142" t="str">
            <v>DOCHÁZÍ</v>
          </cell>
          <cell r="C2142" t="str">
            <v/>
          </cell>
          <cell r="D2142">
            <v>0</v>
          </cell>
          <cell r="E2142">
            <v>5</v>
          </cell>
        </row>
        <row r="2143">
          <cell r="A2143" t="str">
            <v>RDP60M</v>
          </cell>
          <cell r="B2143" t="str">
            <v>SKLADEM</v>
          </cell>
          <cell r="C2143" t="str">
            <v/>
          </cell>
          <cell r="D2143">
            <v>0</v>
          </cell>
          <cell r="E2143" t="str">
            <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SKLADEM</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20.06.2024</v>
          </cell>
          <cell r="C2152">
            <v>105</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SKLADEM</v>
          </cell>
          <cell r="C2161" t="str">
            <v/>
          </cell>
          <cell r="D2161">
            <v>0</v>
          </cell>
          <cell r="E2161" t="str">
            <v/>
          </cell>
        </row>
        <row r="2162">
          <cell r="A2162" t="str">
            <v>RS18S14</v>
          </cell>
          <cell r="B2162" t="str">
            <v>VYPRODÁNO</v>
          </cell>
          <cell r="C2162" t="str">
            <v/>
          </cell>
          <cell r="D2162">
            <v>0</v>
          </cell>
          <cell r="E2162" t="str">
            <v/>
          </cell>
        </row>
        <row r="2163">
          <cell r="A2163" t="str">
            <v>RS18T</v>
          </cell>
          <cell r="B2163" t="str">
            <v>SKLADEM</v>
          </cell>
          <cell r="C2163" t="str">
            <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15.06.2024</v>
          </cell>
          <cell r="C2167">
            <v>100</v>
          </cell>
          <cell r="D2167">
            <v>0</v>
          </cell>
          <cell r="E2167" t="str">
            <v/>
          </cell>
        </row>
        <row r="2168">
          <cell r="A2168" t="str">
            <v>RS33R</v>
          </cell>
          <cell r="B2168" t="str">
            <v>SKLADEM</v>
          </cell>
          <cell r="C2168" t="str">
            <v/>
          </cell>
          <cell r="D2168">
            <v>0</v>
          </cell>
          <cell r="E2168" t="str">
            <v/>
          </cell>
        </row>
        <row r="2169">
          <cell r="A2169" t="str">
            <v>RS33R14</v>
          </cell>
          <cell r="B2169" t="str">
            <v>SKLADEM</v>
          </cell>
          <cell r="C2169" t="str">
            <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0</v>
          </cell>
          <cell r="E2174" t="str">
            <v/>
          </cell>
        </row>
        <row r="2175">
          <cell r="A2175" t="str">
            <v>RS5DU</v>
          </cell>
          <cell r="B2175" t="str">
            <v>SKLADEM</v>
          </cell>
          <cell r="C2175" t="str">
            <v/>
          </cell>
          <cell r="D2175">
            <v>0</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DOCHÁZÍ</v>
          </cell>
          <cell r="C2180" t="str">
            <v/>
          </cell>
          <cell r="D2180">
            <v>0</v>
          </cell>
          <cell r="E2180">
            <v>2</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15.09.2024</v>
          </cell>
          <cell r="C2183">
            <v>192</v>
          </cell>
          <cell r="D2183">
            <v>0</v>
          </cell>
          <cell r="E2183" t="str">
            <v/>
          </cell>
        </row>
        <row r="2184">
          <cell r="A2184" t="str">
            <v>RS6P E</v>
          </cell>
          <cell r="B2184" t="str">
            <v>VYPRODÁNO</v>
          </cell>
          <cell r="C2184" t="str">
            <v/>
          </cell>
          <cell r="D2184">
            <v>0</v>
          </cell>
          <cell r="E2184" t="str">
            <v/>
          </cell>
        </row>
        <row r="2185">
          <cell r="A2185" t="str">
            <v>RS6S</v>
          </cell>
          <cell r="B2185" t="str">
            <v>SKLADEM</v>
          </cell>
          <cell r="C2185" t="str">
            <v/>
          </cell>
          <cell r="D2185">
            <v>0</v>
          </cell>
          <cell r="E2185" t="str">
            <v/>
          </cell>
        </row>
        <row r="2186">
          <cell r="A2186" t="str">
            <v>RS6S SK</v>
          </cell>
          <cell r="B2186" t="str">
            <v>VYPRODÁNO</v>
          </cell>
          <cell r="C2186" t="str">
            <v/>
          </cell>
          <cell r="D2186">
            <v>0</v>
          </cell>
          <cell r="E2186" t="str">
            <v/>
          </cell>
        </row>
        <row r="2187">
          <cell r="A2187" t="str">
            <v>RS6XS</v>
          </cell>
          <cell r="B2187" t="str">
            <v>30.09.2024</v>
          </cell>
          <cell r="C2187">
            <v>207</v>
          </cell>
          <cell r="D2187">
            <v>0</v>
          </cell>
          <cell r="E2187" t="str">
            <v/>
          </cell>
        </row>
        <row r="2188">
          <cell r="A2188" t="str">
            <v>RS6XS E</v>
          </cell>
          <cell r="B2188" t="str">
            <v>30.09.2024</v>
          </cell>
          <cell r="C2188">
            <v>207</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20.06.2024</v>
          </cell>
          <cell r="C2203">
            <v>105</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30.09.2024</v>
          </cell>
          <cell r="C2206">
            <v>207</v>
          </cell>
          <cell r="D2206">
            <v>0</v>
          </cell>
          <cell r="E2206" t="str">
            <v/>
          </cell>
        </row>
        <row r="2207">
          <cell r="A2207" t="str">
            <v>RSSF2I14</v>
          </cell>
          <cell r="B2207" t="str">
            <v>VYPRODÁNO</v>
          </cell>
          <cell r="C2207" t="str">
            <v/>
          </cell>
          <cell r="D2207">
            <v>0</v>
          </cell>
          <cell r="E2207" t="str">
            <v/>
          </cell>
        </row>
        <row r="2208">
          <cell r="A2208" t="str">
            <v>RSSF3</v>
          </cell>
          <cell r="B2208" t="str">
            <v>DOCHÁZÍ</v>
          </cell>
          <cell r="C2208" t="str">
            <v/>
          </cell>
          <cell r="D2208">
            <v>0</v>
          </cell>
          <cell r="E2208">
            <v>4</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SKLADEM</v>
          </cell>
          <cell r="C2213" t="str">
            <v/>
          </cell>
          <cell r="D2213">
            <v>0</v>
          </cell>
          <cell r="E2213" t="str">
            <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SKLADEM</v>
          </cell>
          <cell r="C2216" t="str">
            <v/>
          </cell>
          <cell r="D2216">
            <v>0</v>
          </cell>
          <cell r="E2216" t="str">
            <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15.09.2024</v>
          </cell>
          <cell r="C2225">
            <v>192</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15.08.2024</v>
          </cell>
          <cell r="C2235">
            <v>161</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SKLADEM</v>
          </cell>
          <cell r="C2240" t="str">
            <v/>
          </cell>
          <cell r="D2240">
            <v>0</v>
          </cell>
          <cell r="E2240" t="str">
            <v/>
          </cell>
        </row>
        <row r="2241">
          <cell r="A2241" t="str">
            <v>S3J/P</v>
          </cell>
          <cell r="B2241" t="str">
            <v>20.06.2024</v>
          </cell>
          <cell r="C2241">
            <v>105</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SKLADEM</v>
          </cell>
          <cell r="C2244" t="str">
            <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15.08.2024</v>
          </cell>
          <cell r="C2250">
            <v>161</v>
          </cell>
          <cell r="D2250">
            <v>0</v>
          </cell>
          <cell r="E2250" t="str">
            <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SKLADEM</v>
          </cell>
          <cell r="C2259" t="str">
            <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15.06.2024</v>
          </cell>
          <cell r="C2267">
            <v>100</v>
          </cell>
          <cell r="D2267">
            <v>0</v>
          </cell>
          <cell r="E2267" t="str">
            <v/>
          </cell>
        </row>
        <row r="2268">
          <cell r="A2268" t="str">
            <v>S4K</v>
          </cell>
          <cell r="B2268" t="str">
            <v>VYPRODÁNO</v>
          </cell>
          <cell r="C2268" t="str">
            <v/>
          </cell>
          <cell r="D2268">
            <v>0</v>
          </cell>
          <cell r="E2268" t="str">
            <v/>
          </cell>
        </row>
        <row r="2269">
          <cell r="A2269" t="str">
            <v>S4K/P</v>
          </cell>
          <cell r="B2269" t="str">
            <v>SKLADEM</v>
          </cell>
          <cell r="C2269" t="str">
            <v/>
          </cell>
          <cell r="D2269">
            <v>0</v>
          </cell>
          <cell r="E2269" t="str">
            <v/>
          </cell>
        </row>
        <row r="2270">
          <cell r="A2270" t="str">
            <v>S4L/P</v>
          </cell>
          <cell r="B2270" t="str">
            <v>30.09.2024</v>
          </cell>
          <cell r="C2270">
            <v>207</v>
          </cell>
          <cell r="D2270">
            <v>0</v>
          </cell>
          <cell r="E2270" t="str">
            <v/>
          </cell>
        </row>
        <row r="2271">
          <cell r="A2271" t="str">
            <v>S4M/P</v>
          </cell>
          <cell r="B2271" t="str">
            <v>30.09.2024</v>
          </cell>
          <cell r="C2271">
            <v>207</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15.06.2024</v>
          </cell>
          <cell r="C2275">
            <v>100</v>
          </cell>
          <cell r="D2275">
            <v>0</v>
          </cell>
          <cell r="E2275" t="str">
            <v/>
          </cell>
        </row>
        <row r="2276">
          <cell r="A2276" t="str">
            <v>S4O/P</v>
          </cell>
          <cell r="B2276" t="str">
            <v>SKLADEM</v>
          </cell>
          <cell r="C2276" t="str">
            <v/>
          </cell>
          <cell r="D2276">
            <v>0</v>
          </cell>
          <cell r="E2276" t="str">
            <v/>
          </cell>
        </row>
        <row r="2277">
          <cell r="A2277" t="str">
            <v>S4P/P</v>
          </cell>
          <cell r="B2277" t="str">
            <v>SKLADEM</v>
          </cell>
          <cell r="C2277" t="str">
            <v/>
          </cell>
          <cell r="D2277">
            <v>0</v>
          </cell>
          <cell r="E2277" t="str">
            <v/>
          </cell>
        </row>
        <row r="2278">
          <cell r="A2278" t="str">
            <v>S4Q/P</v>
          </cell>
          <cell r="B2278" t="str">
            <v>DOCHÁZÍ</v>
          </cell>
          <cell r="C2278" t="str">
            <v/>
          </cell>
          <cell r="D2278">
            <v>0</v>
          </cell>
          <cell r="E2278">
            <v>1</v>
          </cell>
        </row>
        <row r="2279">
          <cell r="A2279" t="str">
            <v>S4R/P</v>
          </cell>
          <cell r="B2279" t="str">
            <v>VYPRODÁNO</v>
          </cell>
          <cell r="C2279" t="str">
            <v/>
          </cell>
          <cell r="D2279">
            <v>0</v>
          </cell>
          <cell r="E2279" t="str">
            <v/>
          </cell>
        </row>
        <row r="2280">
          <cell r="A2280" t="str">
            <v>S4S/P</v>
          </cell>
          <cell r="B2280" t="str">
            <v>SKLADEM</v>
          </cell>
          <cell r="C2280" t="str">
            <v/>
          </cell>
          <cell r="D2280">
            <v>0</v>
          </cell>
          <cell r="E2280" t="str">
            <v/>
          </cell>
        </row>
        <row r="2281">
          <cell r="A2281" t="str">
            <v>S4T</v>
          </cell>
          <cell r="B2281" t="str">
            <v>15.06.2024</v>
          </cell>
          <cell r="C2281">
            <v>100</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DOCHÁZÍ</v>
          </cell>
          <cell r="C2284" t="str">
            <v/>
          </cell>
          <cell r="D2284">
            <v>0</v>
          </cell>
          <cell r="E2284">
            <v>2</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15.09.2024</v>
          </cell>
          <cell r="C2294">
            <v>192</v>
          </cell>
          <cell r="D2294">
            <v>0</v>
          </cell>
          <cell r="E2294" t="str">
            <v/>
          </cell>
        </row>
        <row r="2295">
          <cell r="A2295" t="str">
            <v>S4Z12/P</v>
          </cell>
          <cell r="B2295" t="str">
            <v>DOCHÁZÍ</v>
          </cell>
          <cell r="C2295" t="str">
            <v/>
          </cell>
          <cell r="D2295">
            <v>0</v>
          </cell>
          <cell r="E2295">
            <v>5</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20.06.2024</v>
          </cell>
          <cell r="C2301">
            <v>105</v>
          </cell>
          <cell r="D2301">
            <v>0</v>
          </cell>
          <cell r="E2301" t="str">
            <v/>
          </cell>
        </row>
        <row r="2302">
          <cell r="A2302" t="str">
            <v>S4Z6/P</v>
          </cell>
          <cell r="B2302" t="str">
            <v>30.09.2024</v>
          </cell>
          <cell r="C2302">
            <v>207</v>
          </cell>
          <cell r="D2302">
            <v>0</v>
          </cell>
          <cell r="E2302" t="str">
            <v/>
          </cell>
        </row>
        <row r="2303">
          <cell r="A2303" t="str">
            <v>S4Z7/P</v>
          </cell>
          <cell r="B2303" t="str">
            <v>VYPRODÁNO</v>
          </cell>
          <cell r="C2303" t="str">
            <v/>
          </cell>
          <cell r="D2303">
            <v>0</v>
          </cell>
          <cell r="E2303" t="str">
            <v/>
          </cell>
        </row>
        <row r="2304">
          <cell r="A2304" t="str">
            <v>S4Z8/P</v>
          </cell>
          <cell r="B2304" t="str">
            <v>30.09.2024</v>
          </cell>
          <cell r="C2304">
            <v>207</v>
          </cell>
          <cell r="D2304">
            <v>0</v>
          </cell>
          <cell r="E2304" t="str">
            <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15.06.2024</v>
          </cell>
          <cell r="C2315">
            <v>100</v>
          </cell>
          <cell r="D2315">
            <v>0</v>
          </cell>
          <cell r="E2315" t="str">
            <v/>
          </cell>
        </row>
        <row r="2316">
          <cell r="A2316" t="str">
            <v>S5F</v>
          </cell>
          <cell r="B2316" t="str">
            <v>VYPRODÁNO</v>
          </cell>
          <cell r="C2316" t="str">
            <v/>
          </cell>
          <cell r="D2316">
            <v>0</v>
          </cell>
          <cell r="E2316" t="str">
            <v/>
          </cell>
        </row>
        <row r="2317">
          <cell r="A2317" t="str">
            <v>S5F/P</v>
          </cell>
          <cell r="B2317" t="str">
            <v>30.09.2024</v>
          </cell>
          <cell r="C2317">
            <v>207</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30.09.2024</v>
          </cell>
          <cell r="C2329">
            <v>207</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20.06.2024</v>
          </cell>
          <cell r="C2332">
            <v>105</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20.03.2024</v>
          </cell>
          <cell r="C2345">
            <v>13</v>
          </cell>
          <cell r="D2345" t="str">
            <v>100+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30.09.2024</v>
          </cell>
          <cell r="C2366">
            <v>207</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SKLADEM</v>
          </cell>
          <cell r="C2378" t="str">
            <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20.06.2024</v>
          </cell>
          <cell r="C2382">
            <v>105</v>
          </cell>
          <cell r="D2382">
            <v>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30.09.2024</v>
          </cell>
          <cell r="C2396">
            <v>207</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30.04.2024</v>
          </cell>
          <cell r="C2408">
            <v>54</v>
          </cell>
          <cell r="D2408">
            <v>0</v>
          </cell>
          <cell r="E2408" t="str">
            <v/>
          </cell>
        </row>
        <row r="2409">
          <cell r="A2409" t="str">
            <v>S90S</v>
          </cell>
          <cell r="B2409" t="str">
            <v>20.03.2024</v>
          </cell>
          <cell r="C2409">
            <v>13</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30.09.2024</v>
          </cell>
          <cell r="C2424">
            <v>207</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DOCHÁZÍ</v>
          </cell>
          <cell r="C2432" t="str">
            <v/>
          </cell>
          <cell r="D2432">
            <v>0</v>
          </cell>
          <cell r="E2432">
            <v>1</v>
          </cell>
        </row>
        <row r="2433">
          <cell r="A2433" t="str">
            <v>SR1930E</v>
          </cell>
          <cell r="B2433" t="str">
            <v>SKLADEM</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DOCHÁZÍ</v>
          </cell>
          <cell r="C2435" t="str">
            <v/>
          </cell>
          <cell r="D2435">
            <v>0</v>
          </cell>
          <cell r="E2435">
            <v>2</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DOCHÁZÍ</v>
          </cell>
          <cell r="C2438" t="str">
            <v/>
          </cell>
          <cell r="D2438">
            <v>0</v>
          </cell>
          <cell r="E2438">
            <v>3</v>
          </cell>
        </row>
        <row r="2439">
          <cell r="A2439" t="str">
            <v>SR1930J</v>
          </cell>
          <cell r="B2439" t="str">
            <v>DOCHÁZÍ</v>
          </cell>
          <cell r="C2439" t="str">
            <v/>
          </cell>
          <cell r="D2439">
            <v>0</v>
          </cell>
          <cell r="E2439">
            <v>3</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20.06.2024</v>
          </cell>
          <cell r="C2473">
            <v>105</v>
          </cell>
          <cell r="D2473">
            <v>0</v>
          </cell>
          <cell r="E2473" t="str">
            <v/>
          </cell>
        </row>
        <row r="2474">
          <cell r="A2474" t="str">
            <v>SS20D E</v>
          </cell>
          <cell r="B2474" t="str">
            <v>30.09.2024</v>
          </cell>
          <cell r="C2474">
            <v>207</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SKLADEM</v>
          </cell>
          <cell r="C2477" t="str">
            <v/>
          </cell>
          <cell r="D2477">
            <v>0</v>
          </cell>
          <cell r="E2477" t="str">
            <v/>
          </cell>
        </row>
        <row r="2478">
          <cell r="A2478" t="str">
            <v>SS30A</v>
          </cell>
          <cell r="B2478" t="str">
            <v>20.06.2024</v>
          </cell>
          <cell r="C2478">
            <v>105</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v>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SKLADEM</v>
          </cell>
          <cell r="C2486" t="str">
            <v/>
          </cell>
          <cell r="D2486">
            <v>0</v>
          </cell>
          <cell r="E2486" t="str">
            <v/>
          </cell>
        </row>
        <row r="2487">
          <cell r="A2487" t="str">
            <v>SS30H</v>
          </cell>
          <cell r="B2487" t="str">
            <v>SKLADEM</v>
          </cell>
          <cell r="C2487" t="str">
            <v/>
          </cell>
          <cell r="D2487">
            <v>0</v>
          </cell>
          <cell r="E2487" t="str">
            <v/>
          </cell>
        </row>
        <row r="2488">
          <cell r="A2488" t="str">
            <v>SS30CH</v>
          </cell>
          <cell r="B2488" t="str">
            <v>DOCHÁZÍ</v>
          </cell>
          <cell r="C2488" t="str">
            <v/>
          </cell>
          <cell r="D2488">
            <v>0</v>
          </cell>
          <cell r="E2488">
            <v>2</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SKLADEM</v>
          </cell>
          <cell r="C2491" t="str">
            <v/>
          </cell>
          <cell r="D2491">
            <v>0</v>
          </cell>
          <cell r="E2491" t="str">
            <v/>
          </cell>
        </row>
        <row r="2492">
          <cell r="A2492" t="str">
            <v>SS37K</v>
          </cell>
          <cell r="B2492" t="str">
            <v>15.06.2024</v>
          </cell>
          <cell r="C2492">
            <v>100</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DOCHÁZÍ</v>
          </cell>
          <cell r="C2500" t="str">
            <v/>
          </cell>
          <cell r="D2500">
            <v>0</v>
          </cell>
          <cell r="E2500">
            <v>3</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30.04.2024</v>
          </cell>
          <cell r="C2506">
            <v>54</v>
          </cell>
          <cell r="D2506">
            <v>0</v>
          </cell>
          <cell r="E2506" t="str">
            <v/>
          </cell>
        </row>
        <row r="2507">
          <cell r="A2507" t="str">
            <v>SS50K E</v>
          </cell>
          <cell r="B2507" t="str">
            <v>SKLADEM</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SKLADEM</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SKLADEM</v>
          </cell>
          <cell r="C2540" t="str">
            <v/>
          </cell>
          <cell r="D2540">
            <v>0</v>
          </cell>
          <cell r="E2540" t="str">
            <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3</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3</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SKLADEM</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SKLADEM</v>
          </cell>
          <cell r="C2552" t="str">
            <v/>
          </cell>
          <cell r="D2552">
            <v>0</v>
          </cell>
          <cell r="E2552" t="str">
            <v/>
          </cell>
        </row>
        <row r="2553">
          <cell r="A2553" t="str">
            <v>VP12T1</v>
          </cell>
          <cell r="B2553" t="str">
            <v>SKLADEM</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SKLADEM</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30.04.2024</v>
          </cell>
          <cell r="C2563">
            <v>54</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t="str">
            <v>100+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15.05.2024</v>
          </cell>
          <cell r="C2592">
            <v>69</v>
          </cell>
          <cell r="D2592">
            <v>0</v>
          </cell>
          <cell r="E2592" t="str">
            <v/>
          </cell>
        </row>
        <row r="2593">
          <cell r="A2593" t="str">
            <v>PBF2D</v>
          </cell>
          <cell r="B2593" t="str">
            <v>SKLADEM</v>
          </cell>
          <cell r="C2593" t="str">
            <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DOCHÁZÍ</v>
          </cell>
          <cell r="C2596" t="str">
            <v/>
          </cell>
          <cell r="D2596">
            <v>0</v>
          </cell>
          <cell r="E2596">
            <v>6</v>
          </cell>
        </row>
        <row r="2597">
          <cell r="A2597" t="str">
            <v>C60020XPR/C(T)</v>
          </cell>
          <cell r="B2597" t="str">
            <v>15.05.2024</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30.06.2024</v>
          </cell>
          <cell r="C2599">
            <v>115</v>
          </cell>
          <cell r="D2599">
            <v>0</v>
          </cell>
          <cell r="E2599" t="str">
            <v/>
          </cell>
        </row>
        <row r="2600">
          <cell r="A2600" t="str">
            <v>P066D20P1</v>
          </cell>
          <cell r="B2600" t="str">
            <v>30.06.2024</v>
          </cell>
          <cell r="C2600">
            <v>115</v>
          </cell>
          <cell r="D2600">
            <v>0</v>
          </cell>
          <cell r="E2600" t="str">
            <v/>
          </cell>
        </row>
        <row r="2601">
          <cell r="A2601" t="str">
            <v>P10D20SP1</v>
          </cell>
          <cell r="B2601" t="str">
            <v>30.06.2024</v>
          </cell>
          <cell r="C2601">
            <v>115</v>
          </cell>
          <cell r="D2601">
            <v>0</v>
          </cell>
          <cell r="E2601" t="str">
            <v/>
          </cell>
        </row>
        <row r="2602">
          <cell r="A2602" t="str">
            <v>MDLEZ1M</v>
          </cell>
          <cell r="B2602" t="str">
            <v>VYPRODÁNO</v>
          </cell>
          <cell r="C2602" t="str">
            <v/>
          </cell>
          <cell r="D2602">
            <v>0</v>
          </cell>
          <cell r="E2602" t="str">
            <v/>
          </cell>
        </row>
        <row r="2603">
          <cell r="A2603" t="str">
            <v>MDLEZ1L</v>
          </cell>
          <cell r="B2603" t="str">
            <v>SKLADEM</v>
          </cell>
          <cell r="C2603" t="str">
            <v/>
          </cell>
          <cell r="D2603">
            <v>0</v>
          </cell>
          <cell r="E2603" t="str">
            <v/>
          </cell>
        </row>
        <row r="2604">
          <cell r="A2604" t="str">
            <v>MDLEZ1XL</v>
          </cell>
          <cell r="B2604" t="str">
            <v>VYPRODÁNO</v>
          </cell>
          <cell r="C2604" t="str">
            <v/>
          </cell>
          <cell r="D2604">
            <v>0</v>
          </cell>
          <cell r="E2604" t="str">
            <v/>
          </cell>
        </row>
        <row r="2605">
          <cell r="A2605" t="str">
            <v>MDLEZ1XXL</v>
          </cell>
          <cell r="B2605" t="str">
            <v>VYPRODÁNO</v>
          </cell>
          <cell r="C2605" t="str">
            <v/>
          </cell>
          <cell r="D2605">
            <v>0</v>
          </cell>
          <cell r="E2605"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Základní 2024</v>
          </cell>
          <cell r="C1">
            <v>45329</v>
          </cell>
          <cell r="D1" t="str">
            <v>16.02.</v>
          </cell>
        </row>
        <row r="2">
          <cell r="A2" t="str">
            <v>number</v>
          </cell>
          <cell r="B2" t="str">
            <v>prodejní cena</v>
          </cell>
        </row>
        <row r="3">
          <cell r="A3" t="str">
            <v>DP1TA</v>
          </cell>
          <cell r="B3">
            <v>49</v>
          </cell>
        </row>
        <row r="4">
          <cell r="A4" t="str">
            <v>DP1TA(1)</v>
          </cell>
          <cell r="B4">
            <v>49</v>
          </cell>
        </row>
        <row r="5">
          <cell r="A5" t="str">
            <v>DP1BS</v>
          </cell>
          <cell r="B5">
            <v>37</v>
          </cell>
        </row>
        <row r="6">
          <cell r="A6" t="str">
            <v>DP1BS(1)</v>
          </cell>
          <cell r="B6">
            <v>37</v>
          </cell>
        </row>
        <row r="7">
          <cell r="A7" t="str">
            <v>DP1R</v>
          </cell>
          <cell r="B7">
            <v>311</v>
          </cell>
        </row>
        <row r="8">
          <cell r="A8" t="str">
            <v>DP1R(1)</v>
          </cell>
          <cell r="B8">
            <v>311</v>
          </cell>
        </row>
        <row r="9">
          <cell r="A9" t="str">
            <v>DP1EM</v>
          </cell>
          <cell r="B9">
            <v>840</v>
          </cell>
        </row>
        <row r="10">
          <cell r="A10" t="str">
            <v>DP1VR</v>
          </cell>
          <cell r="B10">
            <v>33</v>
          </cell>
        </row>
        <row r="11">
          <cell r="A11" t="str">
            <v>DP1SW</v>
          </cell>
          <cell r="B11">
            <v>251</v>
          </cell>
        </row>
        <row r="12">
          <cell r="A12" t="str">
            <v>DP1T</v>
          </cell>
          <cell r="B12">
            <v>31</v>
          </cell>
        </row>
        <row r="13">
          <cell r="A13" t="str">
            <v>DP1T SK</v>
          </cell>
          <cell r="B13">
            <v>217</v>
          </cell>
        </row>
        <row r="14">
          <cell r="A14" t="str">
            <v>DP1Z20</v>
          </cell>
          <cell r="B14">
            <v>756</v>
          </cell>
        </row>
        <row r="15">
          <cell r="A15" t="str">
            <v>DP1Z50</v>
          </cell>
          <cell r="B15">
            <v>43</v>
          </cell>
        </row>
        <row r="16">
          <cell r="A16" t="str">
            <v>CDK1</v>
          </cell>
          <cell r="B16">
            <v>139</v>
          </cell>
        </row>
        <row r="17">
          <cell r="A17" t="str">
            <v>CDK1(1)</v>
          </cell>
          <cell r="B17">
            <v>139</v>
          </cell>
        </row>
        <row r="18">
          <cell r="A18" t="str">
            <v>DP1M</v>
          </cell>
          <cell r="B18">
            <v>450</v>
          </cell>
        </row>
        <row r="19">
          <cell r="A19" t="str">
            <v>DP1CB</v>
          </cell>
          <cell r="B19">
            <v>718</v>
          </cell>
        </row>
        <row r="20">
          <cell r="A20" t="str">
            <v>DP1CB(1)</v>
          </cell>
          <cell r="B20">
            <v>718</v>
          </cell>
        </row>
        <row r="21">
          <cell r="A21" t="str">
            <v>DP2CB</v>
          </cell>
          <cell r="B21">
            <v>268</v>
          </cell>
        </row>
        <row r="22">
          <cell r="A22" t="str">
            <v>DP1P</v>
          </cell>
          <cell r="B22">
            <v>656</v>
          </cell>
        </row>
        <row r="23">
          <cell r="A23" t="str">
            <v>DP1P(1)</v>
          </cell>
          <cell r="B23">
            <v>656</v>
          </cell>
        </row>
        <row r="24">
          <cell r="A24" t="str">
            <v>DP2W</v>
          </cell>
          <cell r="B24">
            <v>65</v>
          </cell>
        </row>
        <row r="25">
          <cell r="A25" t="str">
            <v>DP1BP</v>
          </cell>
          <cell r="B25">
            <v>388</v>
          </cell>
        </row>
        <row r="26">
          <cell r="A26" t="str">
            <v>DP1FD</v>
          </cell>
          <cell r="B26">
            <v>107</v>
          </cell>
        </row>
        <row r="27">
          <cell r="A27" t="str">
            <v>DP1FR</v>
          </cell>
          <cell r="B27">
            <v>648</v>
          </cell>
        </row>
        <row r="28">
          <cell r="A28" t="str">
            <v>DP1FM</v>
          </cell>
          <cell r="B28">
            <v>252</v>
          </cell>
        </row>
        <row r="29">
          <cell r="A29" t="str">
            <v>S12S</v>
          </cell>
          <cell r="B29">
            <v>148</v>
          </cell>
        </row>
        <row r="30">
          <cell r="A30" t="str">
            <v>S12S(1)</v>
          </cell>
          <cell r="B30">
            <v>148</v>
          </cell>
        </row>
        <row r="31">
          <cell r="A31" t="str">
            <v>BP30S</v>
          </cell>
          <cell r="B31">
            <v>83</v>
          </cell>
        </row>
        <row r="32">
          <cell r="A32" t="str">
            <v>CST12S</v>
          </cell>
          <cell r="B32">
            <v>75</v>
          </cell>
        </row>
        <row r="33">
          <cell r="A33" t="str">
            <v>BK1P</v>
          </cell>
          <cell r="B33">
            <v>269</v>
          </cell>
        </row>
        <row r="34">
          <cell r="A34" t="str">
            <v>BK1P(1)</v>
          </cell>
          <cell r="B34">
            <v>269</v>
          </cell>
        </row>
        <row r="35">
          <cell r="A35" t="str">
            <v>BK2V</v>
          </cell>
          <cell r="B35">
            <v>379</v>
          </cell>
        </row>
        <row r="36">
          <cell r="A36" t="str">
            <v>BK2V(1)</v>
          </cell>
          <cell r="B36">
            <v>379</v>
          </cell>
        </row>
        <row r="37">
          <cell r="A37" t="str">
            <v>LM0SW</v>
          </cell>
          <cell r="B37">
            <v>995</v>
          </cell>
        </row>
        <row r="38">
          <cell r="A38" t="str">
            <v>LM0SW(1)</v>
          </cell>
          <cell r="B38">
            <v>995</v>
          </cell>
        </row>
        <row r="39">
          <cell r="A39" t="str">
            <v>LM1O</v>
          </cell>
          <cell r="B39">
            <v>44</v>
          </cell>
        </row>
        <row r="40">
          <cell r="A40" t="str">
            <v>LM2C</v>
          </cell>
          <cell r="B40">
            <v>48</v>
          </cell>
        </row>
        <row r="41">
          <cell r="A41" t="str">
            <v>LM2V</v>
          </cell>
          <cell r="B41">
            <v>48</v>
          </cell>
        </row>
        <row r="42">
          <cell r="A42" t="str">
            <v>LM3T</v>
          </cell>
          <cell r="B42">
            <v>69</v>
          </cell>
        </row>
        <row r="43">
          <cell r="A43" t="str">
            <v>LM4O</v>
          </cell>
          <cell r="B43">
            <v>79</v>
          </cell>
        </row>
        <row r="44">
          <cell r="A44" t="str">
            <v>LM5W</v>
          </cell>
          <cell r="B44">
            <v>93</v>
          </cell>
        </row>
        <row r="45">
          <cell r="A45" t="str">
            <v>LM6M</v>
          </cell>
          <cell r="B45">
            <v>190</v>
          </cell>
        </row>
        <row r="46">
          <cell r="A46" t="str">
            <v>LM7S</v>
          </cell>
          <cell r="B46">
            <v>124</v>
          </cell>
        </row>
        <row r="47">
          <cell r="A47" t="str">
            <v>SU45B</v>
          </cell>
          <cell r="B47">
            <v>960</v>
          </cell>
        </row>
        <row r="48">
          <cell r="A48" t="str">
            <v>RD8</v>
          </cell>
          <cell r="B48">
            <v>185</v>
          </cell>
        </row>
        <row r="49">
          <cell r="A49" t="str">
            <v>DS1</v>
          </cell>
          <cell r="B49">
            <v>212</v>
          </cell>
        </row>
        <row r="50">
          <cell r="A50" t="str">
            <v>P8DCH</v>
          </cell>
          <cell r="B50">
            <v>138</v>
          </cell>
        </row>
        <row r="51">
          <cell r="A51" t="str">
            <v>RB1</v>
          </cell>
          <cell r="B51">
            <v>440</v>
          </cell>
        </row>
        <row r="52">
          <cell r="A52" t="str">
            <v>FPS1</v>
          </cell>
          <cell r="B52">
            <v>122</v>
          </cell>
        </row>
        <row r="53">
          <cell r="A53" t="str">
            <v>VP70E</v>
          </cell>
          <cell r="B53">
            <v>53</v>
          </cell>
        </row>
        <row r="54">
          <cell r="A54" t="str">
            <v>VP40E</v>
          </cell>
          <cell r="B54">
            <v>280</v>
          </cell>
        </row>
        <row r="55">
          <cell r="A55" t="str">
            <v>VP28E</v>
          </cell>
          <cell r="B55">
            <v>275</v>
          </cell>
        </row>
        <row r="56">
          <cell r="A56" t="str">
            <v>VP90</v>
          </cell>
          <cell r="B56">
            <v>33</v>
          </cell>
        </row>
        <row r="57">
          <cell r="A57" t="str">
            <v>VP70</v>
          </cell>
          <cell r="B57">
            <v>29</v>
          </cell>
        </row>
        <row r="58">
          <cell r="A58" t="str">
            <v>VP70W</v>
          </cell>
          <cell r="B58">
            <v>32</v>
          </cell>
        </row>
        <row r="59">
          <cell r="A59" t="str">
            <v>VP40</v>
          </cell>
          <cell r="B59">
            <v>25</v>
          </cell>
        </row>
        <row r="60">
          <cell r="A60" t="str">
            <v>VP40/20</v>
          </cell>
          <cell r="B60">
            <v>460</v>
          </cell>
        </row>
        <row r="61">
          <cell r="A61" t="str">
            <v>VP40W</v>
          </cell>
          <cell r="B61">
            <v>32</v>
          </cell>
        </row>
        <row r="62">
          <cell r="A62" t="str">
            <v>VP28</v>
          </cell>
          <cell r="B62">
            <v>249</v>
          </cell>
        </row>
        <row r="63">
          <cell r="A63" t="str">
            <v>VP16A</v>
          </cell>
          <cell r="B63">
            <v>118</v>
          </cell>
        </row>
        <row r="64">
          <cell r="A64" t="str">
            <v>VP16A(1)</v>
          </cell>
          <cell r="B64">
            <v>118</v>
          </cell>
        </row>
        <row r="65">
          <cell r="A65" t="str">
            <v>VP28N</v>
          </cell>
          <cell r="B65">
            <v>46</v>
          </cell>
        </row>
        <row r="66">
          <cell r="A66" t="str">
            <v>VP40N</v>
          </cell>
          <cell r="B66">
            <v>62</v>
          </cell>
        </row>
        <row r="67">
          <cell r="A67" t="str">
            <v>VP12T1</v>
          </cell>
          <cell r="B67">
            <v>349</v>
          </cell>
        </row>
        <row r="68">
          <cell r="A68" t="str">
            <v>VP12TS</v>
          </cell>
          <cell r="B68">
            <v>349</v>
          </cell>
        </row>
        <row r="69">
          <cell r="A69" t="str">
            <v>VP12TH</v>
          </cell>
          <cell r="B69">
            <v>349</v>
          </cell>
        </row>
        <row r="70">
          <cell r="A70" t="str">
            <v>VP12MIX</v>
          </cell>
          <cell r="B70">
            <v>125</v>
          </cell>
        </row>
        <row r="71">
          <cell r="A71" t="str">
            <v>SPRS1E</v>
          </cell>
          <cell r="B71">
            <v>9367</v>
          </cell>
        </row>
        <row r="72">
          <cell r="A72" t="str">
            <v>D1D</v>
          </cell>
          <cell r="B72">
            <v>189</v>
          </cell>
        </row>
        <row r="73">
          <cell r="A73" t="str">
            <v>D1M</v>
          </cell>
          <cell r="B73">
            <v>446</v>
          </cell>
        </row>
        <row r="74">
          <cell r="A74" t="str">
            <v>D2C</v>
          </cell>
          <cell r="B74">
            <v>103</v>
          </cell>
        </row>
        <row r="75">
          <cell r="A75" t="str">
            <v>D2CN</v>
          </cell>
          <cell r="B75">
            <v>103</v>
          </cell>
        </row>
        <row r="76">
          <cell r="A76" t="str">
            <v>D2C(1)</v>
          </cell>
          <cell r="B76">
            <v>103</v>
          </cell>
        </row>
        <row r="77">
          <cell r="A77" t="str">
            <v>D2CN(1)</v>
          </cell>
          <cell r="B77">
            <v>103</v>
          </cell>
        </row>
        <row r="78">
          <cell r="A78" t="str">
            <v>D3SK</v>
          </cell>
          <cell r="B78">
            <v>55</v>
          </cell>
        </row>
        <row r="79">
          <cell r="A79" t="str">
            <v>RDG1B</v>
          </cell>
          <cell r="B79">
            <v>250</v>
          </cell>
        </row>
        <row r="80">
          <cell r="A80" t="str">
            <v>RDG1B(1)</v>
          </cell>
          <cell r="B80">
            <v>62</v>
          </cell>
        </row>
        <row r="81">
          <cell r="A81" t="str">
            <v>RDG1C</v>
          </cell>
          <cell r="B81">
            <v>62</v>
          </cell>
        </row>
        <row r="82">
          <cell r="A82" t="str">
            <v>RDG1C(1)</v>
          </cell>
          <cell r="B82">
            <v>62</v>
          </cell>
        </row>
        <row r="83">
          <cell r="A83" t="str">
            <v>RDG1M</v>
          </cell>
          <cell r="B83">
            <v>62</v>
          </cell>
        </row>
        <row r="84">
          <cell r="A84" t="str">
            <v>RDG1ZL</v>
          </cell>
          <cell r="B84">
            <v>62</v>
          </cell>
        </row>
        <row r="85">
          <cell r="A85" t="str">
            <v>RDG1ZL(1)</v>
          </cell>
          <cell r="B85">
            <v>62</v>
          </cell>
        </row>
        <row r="86">
          <cell r="A86" t="str">
            <v>RDG1ZE</v>
          </cell>
          <cell r="B86">
            <v>62</v>
          </cell>
        </row>
        <row r="87">
          <cell r="A87" t="str">
            <v>RDG1ZE(1)</v>
          </cell>
          <cell r="B87">
            <v>62</v>
          </cell>
        </row>
        <row r="88">
          <cell r="A88" t="str">
            <v>RDG1O</v>
          </cell>
          <cell r="B88">
            <v>62</v>
          </cell>
        </row>
        <row r="89">
          <cell r="A89" t="str">
            <v>RDG1O(1)</v>
          </cell>
          <cell r="B89">
            <v>62</v>
          </cell>
        </row>
        <row r="90">
          <cell r="A90" t="str">
            <v>RDG2B</v>
          </cell>
          <cell r="B90">
            <v>132</v>
          </cell>
        </row>
        <row r="91">
          <cell r="A91" t="str">
            <v>RDG2C</v>
          </cell>
          <cell r="B91">
            <v>132</v>
          </cell>
        </row>
        <row r="92">
          <cell r="A92" t="str">
            <v>RDG2M</v>
          </cell>
          <cell r="B92">
            <v>132</v>
          </cell>
        </row>
        <row r="93">
          <cell r="A93" t="str">
            <v>RDG60B</v>
          </cell>
          <cell r="B93">
            <v>420</v>
          </cell>
        </row>
        <row r="94">
          <cell r="A94" t="str">
            <v>RDG60M</v>
          </cell>
          <cell r="B94">
            <v>420</v>
          </cell>
        </row>
        <row r="95">
          <cell r="A95" t="str">
            <v>RDG60O</v>
          </cell>
          <cell r="B95">
            <v>420</v>
          </cell>
        </row>
        <row r="96">
          <cell r="A96" t="str">
            <v>RDG60CER</v>
          </cell>
          <cell r="B96">
            <v>420</v>
          </cell>
        </row>
        <row r="97">
          <cell r="A97" t="str">
            <v>RDG25B</v>
          </cell>
          <cell r="B97">
            <v>420</v>
          </cell>
        </row>
        <row r="98">
          <cell r="A98" t="str">
            <v>RDG25ZL</v>
          </cell>
          <cell r="B98">
            <v>420</v>
          </cell>
        </row>
        <row r="99">
          <cell r="A99" t="str">
            <v>RDG25ZE</v>
          </cell>
          <cell r="B99">
            <v>420</v>
          </cell>
        </row>
        <row r="100">
          <cell r="A100" t="str">
            <v>RDG25O</v>
          </cell>
          <cell r="B100">
            <v>420</v>
          </cell>
        </row>
        <row r="101">
          <cell r="A101" t="str">
            <v>RDG25CER</v>
          </cell>
          <cell r="B101">
            <v>420</v>
          </cell>
        </row>
        <row r="102">
          <cell r="A102" t="str">
            <v>RDG60B(SH)</v>
          </cell>
          <cell r="B102">
            <v>290</v>
          </cell>
        </row>
        <row r="103">
          <cell r="A103" t="str">
            <v>RDG60C(SH)</v>
          </cell>
          <cell r="B103">
            <v>290</v>
          </cell>
        </row>
        <row r="104">
          <cell r="A104" t="str">
            <v>RDG60M(SH)</v>
          </cell>
          <cell r="B104">
            <v>290</v>
          </cell>
        </row>
        <row r="105">
          <cell r="A105" t="str">
            <v>RDG60ZL(SH)</v>
          </cell>
          <cell r="B105">
            <v>290</v>
          </cell>
        </row>
        <row r="106">
          <cell r="A106" t="str">
            <v>RDG60ZE(SH)</v>
          </cell>
          <cell r="B106">
            <v>290</v>
          </cell>
        </row>
        <row r="107">
          <cell r="A107" t="str">
            <v>RDG60O(SH)</v>
          </cell>
          <cell r="B107">
            <v>290</v>
          </cell>
        </row>
        <row r="108">
          <cell r="A108" t="str">
            <v>RDG60CER(SH)</v>
          </cell>
          <cell r="B108">
            <v>290</v>
          </cell>
        </row>
        <row r="109">
          <cell r="A109" t="str">
            <v>RDG60R(SH)</v>
          </cell>
          <cell r="B109">
            <v>290</v>
          </cell>
        </row>
        <row r="110">
          <cell r="A110" t="str">
            <v>RDG1B-P</v>
          </cell>
          <cell r="B110">
            <v>370</v>
          </cell>
        </row>
        <row r="111">
          <cell r="A111" t="str">
            <v>RDG1C-P</v>
          </cell>
          <cell r="B111">
            <v>370</v>
          </cell>
        </row>
        <row r="112">
          <cell r="A112" t="str">
            <v>RDG1M-P</v>
          </cell>
          <cell r="B112">
            <v>370</v>
          </cell>
        </row>
        <row r="113">
          <cell r="A113" t="str">
            <v>RDG1ZL-P</v>
          </cell>
          <cell r="B113">
            <v>370</v>
          </cell>
        </row>
        <row r="114">
          <cell r="A114" t="str">
            <v>RDG1ZL-P(1)</v>
          </cell>
          <cell r="B114">
            <v>370</v>
          </cell>
        </row>
        <row r="115">
          <cell r="A115" t="str">
            <v>RDG1ZE-P</v>
          </cell>
          <cell r="B115">
            <v>370</v>
          </cell>
        </row>
        <row r="116">
          <cell r="A116" t="str">
            <v>RDG1ZE-P(1)</v>
          </cell>
          <cell r="B116">
            <v>370</v>
          </cell>
        </row>
        <row r="117">
          <cell r="A117" t="str">
            <v>RDG1O-P</v>
          </cell>
          <cell r="B117">
            <v>370</v>
          </cell>
        </row>
        <row r="118">
          <cell r="A118" t="str">
            <v>RDG1O-P(1)</v>
          </cell>
          <cell r="B118">
            <v>370</v>
          </cell>
        </row>
        <row r="119">
          <cell r="A119" t="str">
            <v>RDP60C</v>
          </cell>
          <cell r="B119">
            <v>399</v>
          </cell>
        </row>
        <row r="120">
          <cell r="A120" t="str">
            <v>RDP60M</v>
          </cell>
          <cell r="B120">
            <v>399</v>
          </cell>
        </row>
        <row r="121">
          <cell r="A121" t="str">
            <v>RDP60CER</v>
          </cell>
          <cell r="B121">
            <v>399</v>
          </cell>
        </row>
        <row r="122">
          <cell r="A122" t="str">
            <v>HDP60B</v>
          </cell>
          <cell r="B122">
            <v>325</v>
          </cell>
        </row>
        <row r="123">
          <cell r="A123" t="str">
            <v>HDP60C</v>
          </cell>
          <cell r="B123">
            <v>325</v>
          </cell>
        </row>
        <row r="124">
          <cell r="A124" t="str">
            <v>HDP60M</v>
          </cell>
          <cell r="B124">
            <v>325</v>
          </cell>
        </row>
        <row r="125">
          <cell r="A125" t="str">
            <v>HDP60ZL</v>
          </cell>
          <cell r="B125">
            <v>325</v>
          </cell>
        </row>
        <row r="126">
          <cell r="A126" t="str">
            <v>HDP60ZE</v>
          </cell>
          <cell r="B126">
            <v>325</v>
          </cell>
        </row>
        <row r="127">
          <cell r="A127" t="str">
            <v>HDP60O</v>
          </cell>
          <cell r="B127">
            <v>325</v>
          </cell>
        </row>
        <row r="128">
          <cell r="A128" t="str">
            <v>HDP60CER</v>
          </cell>
          <cell r="B128">
            <v>325</v>
          </cell>
        </row>
        <row r="129">
          <cell r="A129" t="str">
            <v>P40C25</v>
          </cell>
          <cell r="B129">
            <v>250</v>
          </cell>
        </row>
        <row r="130">
          <cell r="A130" t="str">
            <v>P40Z25</v>
          </cell>
          <cell r="B130">
            <v>250</v>
          </cell>
        </row>
        <row r="131">
          <cell r="A131" t="str">
            <v>P40B25</v>
          </cell>
          <cell r="B131">
            <v>250</v>
          </cell>
        </row>
        <row r="132">
          <cell r="A132" t="str">
            <v>P40ZL25</v>
          </cell>
          <cell r="B132">
            <v>250</v>
          </cell>
        </row>
        <row r="133">
          <cell r="A133" t="str">
            <v>P40MO25</v>
          </cell>
          <cell r="B133">
            <v>250</v>
          </cell>
        </row>
        <row r="134">
          <cell r="A134" t="str">
            <v>BP60S</v>
          </cell>
          <cell r="B134">
            <v>111</v>
          </cell>
        </row>
        <row r="135">
          <cell r="A135" t="str">
            <v>S90S</v>
          </cell>
          <cell r="B135">
            <v>85</v>
          </cell>
        </row>
        <row r="136">
          <cell r="A136" t="str">
            <v>S60S</v>
          </cell>
          <cell r="B136">
            <v>106</v>
          </cell>
        </row>
        <row r="137">
          <cell r="A137" t="str">
            <v>F1M</v>
          </cell>
          <cell r="B137">
            <v>119</v>
          </cell>
        </row>
        <row r="138">
          <cell r="A138" t="str">
            <v>F2M</v>
          </cell>
          <cell r="B138">
            <v>95</v>
          </cell>
        </row>
        <row r="139">
          <cell r="A139" t="str">
            <v>F3CC</v>
          </cell>
          <cell r="B139">
            <v>108</v>
          </cell>
        </row>
        <row r="140">
          <cell r="A140" t="str">
            <v>F6K</v>
          </cell>
          <cell r="B140">
            <v>159</v>
          </cell>
        </row>
        <row r="141">
          <cell r="A141" t="str">
            <v>F16CS</v>
          </cell>
          <cell r="B141">
            <v>215</v>
          </cell>
        </row>
        <row r="142">
          <cell r="A142" t="str">
            <v>F8B</v>
          </cell>
          <cell r="B142">
            <v>87</v>
          </cell>
        </row>
        <row r="143">
          <cell r="A143" t="str">
            <v>F10E</v>
          </cell>
          <cell r="B143">
            <v>53</v>
          </cell>
        </row>
        <row r="144">
          <cell r="A144" t="str">
            <v>F11M</v>
          </cell>
          <cell r="B144">
            <v>252</v>
          </cell>
        </row>
        <row r="145">
          <cell r="A145" t="str">
            <v>F14R</v>
          </cell>
          <cell r="B145">
            <v>449</v>
          </cell>
        </row>
        <row r="146">
          <cell r="A146" t="str">
            <v>F14R F</v>
          </cell>
          <cell r="B146">
            <v>529</v>
          </cell>
        </row>
        <row r="147">
          <cell r="A147" t="str">
            <v>F15BR</v>
          </cell>
          <cell r="B147">
            <v>1190</v>
          </cell>
        </row>
        <row r="148">
          <cell r="A148" t="str">
            <v>F100C</v>
          </cell>
          <cell r="B148">
            <v>219</v>
          </cell>
        </row>
        <row r="149">
          <cell r="A149" t="str">
            <v>F100DC</v>
          </cell>
          <cell r="B149">
            <v>149</v>
          </cell>
        </row>
        <row r="150">
          <cell r="A150" t="str">
            <v>F250SS</v>
          </cell>
          <cell r="B150">
            <v>189</v>
          </cell>
        </row>
        <row r="151">
          <cell r="A151" t="str">
            <v>F250SC</v>
          </cell>
          <cell r="B151">
            <v>189</v>
          </cell>
        </row>
        <row r="152">
          <cell r="A152" t="str">
            <v>F250C</v>
          </cell>
          <cell r="B152">
            <v>189</v>
          </cell>
        </row>
        <row r="153">
          <cell r="A153" t="str">
            <v>F500SIG</v>
          </cell>
          <cell r="B153">
            <v>451</v>
          </cell>
        </row>
        <row r="154">
          <cell r="A154" t="str">
            <v>F500SS</v>
          </cell>
          <cell r="B154">
            <v>329</v>
          </cell>
        </row>
        <row r="155">
          <cell r="A155" t="str">
            <v>F500C</v>
          </cell>
          <cell r="B155">
            <v>329</v>
          </cell>
        </row>
        <row r="156">
          <cell r="A156" t="str">
            <v>F1000SC</v>
          </cell>
          <cell r="B156">
            <v>309</v>
          </cell>
        </row>
        <row r="157">
          <cell r="A157" t="str">
            <v>F1000SS</v>
          </cell>
          <cell r="B157">
            <v>309</v>
          </cell>
        </row>
        <row r="158">
          <cell r="A158" t="str">
            <v>F1500SS</v>
          </cell>
          <cell r="B158">
            <v>349</v>
          </cell>
        </row>
        <row r="159">
          <cell r="A159" t="str">
            <v>F1500C</v>
          </cell>
          <cell r="B159">
            <v>349</v>
          </cell>
        </row>
        <row r="160">
          <cell r="A160" t="str">
            <v>F3N</v>
          </cell>
          <cell r="B160">
            <v>60</v>
          </cell>
        </row>
        <row r="161">
          <cell r="A161" t="str">
            <v>DF10CM</v>
          </cell>
          <cell r="B161">
            <v>34</v>
          </cell>
        </row>
        <row r="162">
          <cell r="A162" t="str">
            <v>DF20CM</v>
          </cell>
          <cell r="B162">
            <v>53</v>
          </cell>
        </row>
        <row r="163">
          <cell r="A163" t="str">
            <v>DF30CM</v>
          </cell>
          <cell r="B163">
            <v>79</v>
          </cell>
        </row>
        <row r="164">
          <cell r="A164" t="str">
            <v>DF12CM</v>
          </cell>
          <cell r="B164">
            <v>26</v>
          </cell>
        </row>
        <row r="165">
          <cell r="A165" t="str">
            <v>CON40P</v>
          </cell>
          <cell r="B165">
            <v>56</v>
          </cell>
        </row>
        <row r="166">
          <cell r="A166" t="str">
            <v>CON40S</v>
          </cell>
          <cell r="B166">
            <v>56</v>
          </cell>
        </row>
        <row r="167">
          <cell r="A167" t="str">
            <v>CON40F</v>
          </cell>
          <cell r="B167">
            <v>56</v>
          </cell>
        </row>
        <row r="168">
          <cell r="A168" t="str">
            <v>CON80P</v>
          </cell>
          <cell r="B168">
            <v>88</v>
          </cell>
        </row>
        <row r="169">
          <cell r="A169" t="str">
            <v>R4420B</v>
          </cell>
          <cell r="B169">
            <v>99</v>
          </cell>
        </row>
        <row r="170">
          <cell r="A170" t="str">
            <v>R7040C</v>
          </cell>
          <cell r="B170">
            <v>86</v>
          </cell>
        </row>
        <row r="171">
          <cell r="A171" t="str">
            <v>R5410B</v>
          </cell>
          <cell r="B171">
            <v>61</v>
          </cell>
        </row>
        <row r="172">
          <cell r="A172" t="str">
            <v>R5420K</v>
          </cell>
          <cell r="B172">
            <v>249</v>
          </cell>
        </row>
        <row r="173">
          <cell r="A173" t="str">
            <v>R7020K</v>
          </cell>
          <cell r="B173">
            <v>289</v>
          </cell>
        </row>
        <row r="174">
          <cell r="A174" t="str">
            <v>R6020B</v>
          </cell>
          <cell r="B174">
            <v>229</v>
          </cell>
        </row>
        <row r="175">
          <cell r="A175" t="str">
            <v>R6520BK/2</v>
          </cell>
          <cell r="B175">
            <v>139</v>
          </cell>
        </row>
        <row r="176">
          <cell r="A176" t="str">
            <v>R6020M</v>
          </cell>
          <cell r="B176">
            <v>136</v>
          </cell>
        </row>
        <row r="177">
          <cell r="A177" t="str">
            <v>R7020M</v>
          </cell>
          <cell r="B177">
            <v>282</v>
          </cell>
        </row>
        <row r="178">
          <cell r="A178" t="str">
            <v>R5808D</v>
          </cell>
          <cell r="B178">
            <v>113</v>
          </cell>
        </row>
        <row r="179">
          <cell r="A179" t="str">
            <v>R6008E</v>
          </cell>
          <cell r="B179">
            <v>112</v>
          </cell>
        </row>
        <row r="180">
          <cell r="A180" t="str">
            <v>R6008M</v>
          </cell>
          <cell r="B180">
            <v>207</v>
          </cell>
        </row>
        <row r="181">
          <cell r="A181" t="str">
            <v>R6508S</v>
          </cell>
          <cell r="B181">
            <v>235</v>
          </cell>
        </row>
        <row r="182">
          <cell r="A182" t="str">
            <v>R7508E</v>
          </cell>
          <cell r="B182">
            <v>229</v>
          </cell>
        </row>
        <row r="183">
          <cell r="A183" t="str">
            <v>R7508SIG</v>
          </cell>
          <cell r="B183">
            <v>244</v>
          </cell>
        </row>
        <row r="184">
          <cell r="A184" t="str">
            <v>R7538S</v>
          </cell>
          <cell r="B184">
            <v>157</v>
          </cell>
        </row>
        <row r="185">
          <cell r="A185" t="str">
            <v>R7538E</v>
          </cell>
          <cell r="B185">
            <v>140</v>
          </cell>
        </row>
        <row r="186">
          <cell r="A186" t="str">
            <v>R7538I</v>
          </cell>
          <cell r="B186">
            <v>140</v>
          </cell>
        </row>
        <row r="187">
          <cell r="A187" t="str">
            <v>R100M</v>
          </cell>
          <cell r="B187">
            <v>71</v>
          </cell>
        </row>
        <row r="188">
          <cell r="A188" t="str">
            <v>SS20D</v>
          </cell>
          <cell r="B188">
            <v>128</v>
          </cell>
        </row>
        <row r="189">
          <cell r="A189" t="str">
            <v>SS25SC</v>
          </cell>
          <cell r="B189">
            <v>187</v>
          </cell>
        </row>
        <row r="190">
          <cell r="A190" t="str">
            <v>SS30SIGF2</v>
          </cell>
          <cell r="B190">
            <v>148</v>
          </cell>
        </row>
        <row r="191">
          <cell r="A191" t="str">
            <v>SS30D</v>
          </cell>
          <cell r="B191">
            <v>134</v>
          </cell>
        </row>
        <row r="192">
          <cell r="A192" t="str">
            <v>SS30A</v>
          </cell>
          <cell r="B192">
            <v>122</v>
          </cell>
        </row>
        <row r="193">
          <cell r="A193" t="str">
            <v>SS37K</v>
          </cell>
          <cell r="B193">
            <v>216</v>
          </cell>
        </row>
        <row r="194">
          <cell r="A194" t="str">
            <v>SS50K</v>
          </cell>
          <cell r="B194">
            <v>465</v>
          </cell>
        </row>
        <row r="195">
          <cell r="A195" t="str">
            <v>C320D</v>
          </cell>
          <cell r="B195">
            <v>197</v>
          </cell>
        </row>
        <row r="196">
          <cell r="A196" t="str">
            <v>C330D</v>
          </cell>
          <cell r="B196">
            <v>127</v>
          </cell>
        </row>
        <row r="197">
          <cell r="A197" t="str">
            <v>CS2BB</v>
          </cell>
          <cell r="B197">
            <v>1773</v>
          </cell>
        </row>
        <row r="198">
          <cell r="A198" t="str">
            <v>RP5DU14</v>
          </cell>
          <cell r="B198">
            <v>61</v>
          </cell>
        </row>
        <row r="199">
          <cell r="A199" t="str">
            <v>RP5DU14(1)</v>
          </cell>
          <cell r="B199">
            <v>61</v>
          </cell>
        </row>
        <row r="200">
          <cell r="A200" t="str">
            <v>CP5DU14(R)</v>
          </cell>
          <cell r="B200">
            <v>75</v>
          </cell>
        </row>
        <row r="201">
          <cell r="A201" t="str">
            <v>CP5DU14(R)1</v>
          </cell>
          <cell r="B201">
            <v>75</v>
          </cell>
        </row>
        <row r="202">
          <cell r="A202" t="str">
            <v>CP5DU14(G)</v>
          </cell>
          <cell r="B202">
            <v>75</v>
          </cell>
        </row>
        <row r="203">
          <cell r="A203" t="str">
            <v>CP5DU14(G)1</v>
          </cell>
          <cell r="B203">
            <v>75</v>
          </cell>
        </row>
        <row r="204">
          <cell r="A204" t="str">
            <v>K0203BP</v>
          </cell>
          <cell r="B204">
            <v>71</v>
          </cell>
        </row>
        <row r="205">
          <cell r="A205" t="str">
            <v>P05DSP1</v>
          </cell>
          <cell r="B205">
            <v>49</v>
          </cell>
        </row>
        <row r="206">
          <cell r="A206" t="str">
            <v>P066D20P1</v>
          </cell>
          <cell r="B206">
            <v>86</v>
          </cell>
        </row>
        <row r="207">
          <cell r="A207" t="str">
            <v>P10D20SP1</v>
          </cell>
          <cell r="B207">
            <v>99</v>
          </cell>
        </row>
        <row r="208">
          <cell r="A208" t="str">
            <v>P1D</v>
          </cell>
          <cell r="B208">
            <v>468</v>
          </cell>
        </row>
        <row r="209">
          <cell r="A209" t="str">
            <v>P2D</v>
          </cell>
          <cell r="B209">
            <v>645</v>
          </cell>
        </row>
        <row r="210">
          <cell r="A210" t="str">
            <v>K0203K</v>
          </cell>
          <cell r="B210">
            <v>52</v>
          </cell>
        </row>
        <row r="211">
          <cell r="A211" t="str">
            <v>K0203KB</v>
          </cell>
          <cell r="B211">
            <v>29</v>
          </cell>
        </row>
        <row r="212">
          <cell r="A212" t="str">
            <v>P05D</v>
          </cell>
          <cell r="B212">
            <v>49</v>
          </cell>
        </row>
        <row r="213">
          <cell r="A213" t="str">
            <v>PB120D</v>
          </cell>
          <cell r="B213">
            <v>93</v>
          </cell>
        </row>
        <row r="214">
          <cell r="A214" t="str">
            <v>PSF2D</v>
          </cell>
          <cell r="B214">
            <v>39</v>
          </cell>
        </row>
        <row r="215">
          <cell r="A215" t="str">
            <v>PBF2D</v>
          </cell>
          <cell r="B215">
            <v>42</v>
          </cell>
        </row>
        <row r="216">
          <cell r="A216" t="str">
            <v>P066D20</v>
          </cell>
          <cell r="B216">
            <v>86</v>
          </cell>
        </row>
        <row r="217">
          <cell r="A217" t="str">
            <v>P10D20</v>
          </cell>
          <cell r="B217">
            <v>99</v>
          </cell>
        </row>
        <row r="218">
          <cell r="A218" t="str">
            <v>P6A14F3</v>
          </cell>
          <cell r="B218">
            <v>57</v>
          </cell>
        </row>
        <row r="219">
          <cell r="A219" t="str">
            <v>P6A14F3(R)</v>
          </cell>
          <cell r="B219">
            <v>57</v>
          </cell>
        </row>
        <row r="220">
          <cell r="A220" t="str">
            <v>P7A14</v>
          </cell>
          <cell r="B220">
            <v>73</v>
          </cell>
        </row>
        <row r="221">
          <cell r="A221" t="str">
            <v>P4A(1)</v>
          </cell>
          <cell r="B221">
            <v>47</v>
          </cell>
        </row>
        <row r="222">
          <cell r="A222" t="str">
            <v>P4B</v>
          </cell>
          <cell r="B222">
            <v>56</v>
          </cell>
        </row>
        <row r="223">
          <cell r="A223" t="str">
            <v>P5DU13</v>
          </cell>
          <cell r="B223">
            <v>63</v>
          </cell>
        </row>
        <row r="224">
          <cell r="A224" t="str">
            <v>P5DU13(M)</v>
          </cell>
          <cell r="B224">
            <v>51</v>
          </cell>
        </row>
        <row r="225">
          <cell r="A225" t="str">
            <v>P5DU</v>
          </cell>
          <cell r="B225">
            <v>129</v>
          </cell>
        </row>
        <row r="226">
          <cell r="A226" t="str">
            <v>P5A13</v>
          </cell>
          <cell r="B226">
            <v>49</v>
          </cell>
        </row>
        <row r="227">
          <cell r="A227" t="str">
            <v>P5D13</v>
          </cell>
          <cell r="B227">
            <v>49</v>
          </cell>
        </row>
        <row r="228">
          <cell r="A228" t="str">
            <v>P5D13(W)</v>
          </cell>
          <cell r="B228">
            <v>49</v>
          </cell>
        </row>
        <row r="229">
          <cell r="A229" t="str">
            <v>P6A13(G)F3</v>
          </cell>
          <cell r="B229">
            <v>93</v>
          </cell>
        </row>
        <row r="230">
          <cell r="A230" t="str">
            <v>P6A13(R)F3</v>
          </cell>
          <cell r="B230">
            <v>93</v>
          </cell>
        </row>
        <row r="231">
          <cell r="A231" t="str">
            <v>P6A13(R)F3-1</v>
          </cell>
          <cell r="B231">
            <v>93</v>
          </cell>
        </row>
        <row r="232">
          <cell r="A232" t="str">
            <v>P6AE</v>
          </cell>
          <cell r="B232">
            <v>168</v>
          </cell>
        </row>
        <row r="233">
          <cell r="A233" t="str">
            <v>P30D</v>
          </cell>
          <cell r="B233">
            <v>57</v>
          </cell>
        </row>
        <row r="234">
          <cell r="A234" t="str">
            <v>P50D</v>
          </cell>
          <cell r="B234">
            <v>102</v>
          </cell>
        </row>
        <row r="235">
          <cell r="A235" t="str">
            <v>P170</v>
          </cell>
          <cell r="B235">
            <v>153</v>
          </cell>
        </row>
        <row r="236">
          <cell r="A236" t="str">
            <v>EB15</v>
          </cell>
          <cell r="B236">
            <v>63</v>
          </cell>
        </row>
        <row r="237">
          <cell r="A237" t="str">
            <v>EB9</v>
          </cell>
          <cell r="B237">
            <v>71</v>
          </cell>
        </row>
        <row r="238">
          <cell r="A238" t="str">
            <v>K20K</v>
          </cell>
          <cell r="B238">
            <v>117</v>
          </cell>
        </row>
        <row r="239">
          <cell r="A239" t="str">
            <v>K60K</v>
          </cell>
          <cell r="B239">
            <v>213</v>
          </cell>
        </row>
        <row r="240">
          <cell r="A240" t="str">
            <v>K01M</v>
          </cell>
          <cell r="B240">
            <v>767</v>
          </cell>
        </row>
        <row r="241">
          <cell r="A241" t="str">
            <v>K200R</v>
          </cell>
          <cell r="B241">
            <v>356</v>
          </cell>
        </row>
        <row r="242">
          <cell r="A242" t="str">
            <v>K500R</v>
          </cell>
          <cell r="B242">
            <v>88</v>
          </cell>
        </row>
        <row r="243">
          <cell r="A243" t="str">
            <v>K1000R</v>
          </cell>
          <cell r="B243">
            <v>175</v>
          </cell>
        </row>
        <row r="244">
          <cell r="A244" t="str">
            <v>K1969R</v>
          </cell>
          <cell r="B244">
            <v>1370</v>
          </cell>
        </row>
        <row r="245">
          <cell r="A245" t="str">
            <v>K10M</v>
          </cell>
          <cell r="B245">
            <v>1999</v>
          </cell>
        </row>
        <row r="246">
          <cell r="A246" t="str">
            <v>PLZ420</v>
          </cell>
          <cell r="B246">
            <v>2064</v>
          </cell>
        </row>
        <row r="247">
          <cell r="A247" t="str">
            <v>DBB1E</v>
          </cell>
          <cell r="B247">
            <v>666</v>
          </cell>
          <cell r="D247">
            <v>420</v>
          </cell>
        </row>
        <row r="248">
          <cell r="A248" t="str">
            <v>RS1</v>
          </cell>
          <cell r="B248">
            <v>245</v>
          </cell>
        </row>
        <row r="249">
          <cell r="A249" t="str">
            <v>RS6P</v>
          </cell>
          <cell r="B249">
            <v>72</v>
          </cell>
        </row>
        <row r="250">
          <cell r="A250" t="str">
            <v>RS6O</v>
          </cell>
          <cell r="B250">
            <v>57</v>
          </cell>
        </row>
        <row r="251">
          <cell r="A251" t="str">
            <v>RS6S</v>
          </cell>
          <cell r="B251">
            <v>57</v>
          </cell>
        </row>
        <row r="252">
          <cell r="A252" t="str">
            <v>R12T1</v>
          </cell>
          <cell r="B252">
            <v>120</v>
          </cell>
        </row>
        <row r="253">
          <cell r="A253" t="str">
            <v>R12T3</v>
          </cell>
          <cell r="B253">
            <v>211</v>
          </cell>
        </row>
        <row r="254">
          <cell r="A254" t="str">
            <v>RSD6</v>
          </cell>
          <cell r="B254">
            <v>520</v>
          </cell>
        </row>
        <row r="255">
          <cell r="A255" t="str">
            <v>RS6NO14</v>
          </cell>
          <cell r="B255">
            <v>295</v>
          </cell>
        </row>
        <row r="256">
          <cell r="A256" t="str">
            <v>RS5DU</v>
          </cell>
          <cell r="B256">
            <v>225</v>
          </cell>
        </row>
        <row r="257">
          <cell r="A257" t="str">
            <v>RS4H14</v>
          </cell>
          <cell r="B257">
            <v>90</v>
          </cell>
        </row>
        <row r="258">
          <cell r="A258" t="str">
            <v>RS7MD14</v>
          </cell>
          <cell r="B258">
            <v>203</v>
          </cell>
        </row>
        <row r="259">
          <cell r="A259" t="str">
            <v>RS7T14</v>
          </cell>
          <cell r="B259">
            <v>293</v>
          </cell>
        </row>
        <row r="260">
          <cell r="A260" t="str">
            <v>RS9T14</v>
          </cell>
          <cell r="B260">
            <v>357</v>
          </cell>
        </row>
        <row r="261">
          <cell r="A261" t="str">
            <v>RS9P14</v>
          </cell>
          <cell r="B261">
            <v>357</v>
          </cell>
        </row>
        <row r="262">
          <cell r="A262" t="str">
            <v>RS21Z14</v>
          </cell>
          <cell r="B262">
            <v>869</v>
          </cell>
        </row>
        <row r="263">
          <cell r="A263" t="str">
            <v>RS33R14</v>
          </cell>
          <cell r="B263">
            <v>1463</v>
          </cell>
        </row>
        <row r="264">
          <cell r="A264" t="str">
            <v>RSSF2</v>
          </cell>
          <cell r="B264">
            <v>489</v>
          </cell>
        </row>
        <row r="265">
          <cell r="A265" t="str">
            <v>RS4D</v>
          </cell>
          <cell r="B265">
            <v>165</v>
          </cell>
        </row>
        <row r="266">
          <cell r="A266" t="str">
            <v>RS11H</v>
          </cell>
          <cell r="B266">
            <v>565</v>
          </cell>
        </row>
        <row r="267">
          <cell r="A267" t="str">
            <v>SP3C</v>
          </cell>
          <cell r="B267">
            <v>666</v>
          </cell>
        </row>
        <row r="268">
          <cell r="A268" t="str">
            <v>RS18T</v>
          </cell>
          <cell r="B268">
            <v>906</v>
          </cell>
        </row>
        <row r="269">
          <cell r="A269" t="str">
            <v>RS18S</v>
          </cell>
          <cell r="B269">
            <v>906</v>
          </cell>
        </row>
        <row r="270">
          <cell r="A270" t="str">
            <v>RS21Z</v>
          </cell>
          <cell r="B270">
            <v>869</v>
          </cell>
        </row>
        <row r="271">
          <cell r="A271" t="str">
            <v>RS33R</v>
          </cell>
          <cell r="B271">
            <v>1463</v>
          </cell>
        </row>
        <row r="272">
          <cell r="A272" t="str">
            <v>RSS100</v>
          </cell>
          <cell r="B272">
            <v>687</v>
          </cell>
        </row>
        <row r="273">
          <cell r="A273" t="str">
            <v>R170B</v>
          </cell>
          <cell r="B273">
            <v>633</v>
          </cell>
        </row>
        <row r="274">
          <cell r="A274" t="str">
            <v>R170X</v>
          </cell>
          <cell r="B274">
            <v>995</v>
          </cell>
        </row>
        <row r="275">
          <cell r="A275" t="str">
            <v>R170M</v>
          </cell>
          <cell r="B275">
            <v>1424</v>
          </cell>
        </row>
        <row r="276">
          <cell r="A276" t="str">
            <v>RSSF3</v>
          </cell>
          <cell r="B276">
            <v>1509</v>
          </cell>
        </row>
        <row r="277">
          <cell r="A277" t="str">
            <v>TIDB1L</v>
          </cell>
          <cell r="B277">
            <v>380</v>
          </cell>
        </row>
        <row r="278">
          <cell r="A278" t="str">
            <v>TPD1L</v>
          </cell>
          <cell r="B278">
            <v>880</v>
          </cell>
        </row>
        <row r="279">
          <cell r="A279" t="str">
            <v>TPD1XL</v>
          </cell>
          <cell r="B279">
            <v>880</v>
          </cell>
        </row>
        <row r="280">
          <cell r="A280" t="str">
            <v>BD1L</v>
          </cell>
          <cell r="B280">
            <v>1800</v>
          </cell>
        </row>
        <row r="281">
          <cell r="A281" t="str">
            <v>BD1XXL</v>
          </cell>
          <cell r="B281">
            <v>1800</v>
          </cell>
        </row>
        <row r="282">
          <cell r="A282" t="str">
            <v>TDLE1M</v>
          </cell>
          <cell r="B282">
            <v>380</v>
          </cell>
        </row>
        <row r="283">
          <cell r="A283" t="str">
            <v>TDLE1L</v>
          </cell>
          <cell r="B283">
            <v>380</v>
          </cell>
        </row>
        <row r="284">
          <cell r="A284" t="str">
            <v>TDLE1XL</v>
          </cell>
          <cell r="B284">
            <v>380</v>
          </cell>
        </row>
        <row r="285">
          <cell r="A285" t="str">
            <v>TDLE1XXL</v>
          </cell>
          <cell r="B285">
            <v>380</v>
          </cell>
        </row>
        <row r="286">
          <cell r="A286" t="str">
            <v>TPDLE1M</v>
          </cell>
          <cell r="B286">
            <v>900</v>
          </cell>
        </row>
        <row r="287">
          <cell r="A287" t="str">
            <v>TPDLE1L</v>
          </cell>
          <cell r="B287">
            <v>900</v>
          </cell>
        </row>
        <row r="288">
          <cell r="A288" t="str">
            <v>TPDLE1XL</v>
          </cell>
          <cell r="B288">
            <v>900</v>
          </cell>
        </row>
        <row r="289">
          <cell r="A289" t="str">
            <v>TPDLE1XXL</v>
          </cell>
          <cell r="B289">
            <v>900</v>
          </cell>
        </row>
        <row r="290">
          <cell r="A290" t="str">
            <v>VDLE1M</v>
          </cell>
          <cell r="B290">
            <v>1830</v>
          </cell>
        </row>
        <row r="291">
          <cell r="A291" t="str">
            <v>VDLE1L</v>
          </cell>
          <cell r="B291">
            <v>1830</v>
          </cell>
        </row>
        <row r="292">
          <cell r="A292" t="str">
            <v>VDLE1XL</v>
          </cell>
          <cell r="B292">
            <v>1830</v>
          </cell>
        </row>
        <row r="293">
          <cell r="A293" t="str">
            <v>VDLE1XXL</v>
          </cell>
          <cell r="B293">
            <v>1830</v>
          </cell>
        </row>
        <row r="294">
          <cell r="A294" t="str">
            <v>BDLE1M</v>
          </cell>
          <cell r="B294">
            <v>2330</v>
          </cell>
        </row>
        <row r="295">
          <cell r="A295" t="str">
            <v>BDLE1L</v>
          </cell>
          <cell r="B295">
            <v>2330</v>
          </cell>
        </row>
        <row r="296">
          <cell r="A296" t="str">
            <v>BDLE1XL</v>
          </cell>
          <cell r="B296">
            <v>2330</v>
          </cell>
        </row>
        <row r="297">
          <cell r="A297" t="str">
            <v>BDLE1XXL</v>
          </cell>
          <cell r="B297">
            <v>2330</v>
          </cell>
        </row>
        <row r="298">
          <cell r="A298" t="str">
            <v>MDLE1M</v>
          </cell>
          <cell r="B298">
            <v>1780</v>
          </cell>
        </row>
        <row r="299">
          <cell r="A299" t="str">
            <v>MDLE1L</v>
          </cell>
          <cell r="B299">
            <v>1780</v>
          </cell>
        </row>
        <row r="300">
          <cell r="A300" t="str">
            <v>MDLE1XL</v>
          </cell>
          <cell r="B300">
            <v>1780</v>
          </cell>
        </row>
        <row r="301">
          <cell r="A301" t="str">
            <v>MDLE1XXL</v>
          </cell>
          <cell r="B301">
            <v>1780</v>
          </cell>
        </row>
        <row r="302">
          <cell r="A302" t="str">
            <v>MDLEZ1M</v>
          </cell>
          <cell r="B302">
            <v>1380</v>
          </cell>
        </row>
        <row r="303">
          <cell r="A303" t="str">
            <v>MDLEZ1L</v>
          </cell>
          <cell r="B303">
            <v>1380</v>
          </cell>
        </row>
        <row r="304">
          <cell r="A304" t="str">
            <v>MDLEZ1XL</v>
          </cell>
          <cell r="B304">
            <v>1380</v>
          </cell>
        </row>
        <row r="305">
          <cell r="A305" t="str">
            <v>MDLEZ1XXL</v>
          </cell>
          <cell r="B305">
            <v>1380</v>
          </cell>
        </row>
        <row r="306">
          <cell r="A306" t="str">
            <v>KDLE1</v>
          </cell>
          <cell r="B306">
            <v>300</v>
          </cell>
        </row>
        <row r="307">
          <cell r="A307" t="str">
            <v>CDLE1</v>
          </cell>
          <cell r="B307">
            <v>360</v>
          </cell>
        </row>
        <row r="308">
          <cell r="A308" t="str">
            <v>N1</v>
          </cell>
          <cell r="B308">
            <v>31</v>
          </cell>
        </row>
        <row r="309">
          <cell r="A309" t="str">
            <v>RUN1</v>
          </cell>
          <cell r="B309">
            <v>2199</v>
          </cell>
        </row>
        <row r="310">
          <cell r="A310" t="str">
            <v>RT1DU</v>
          </cell>
          <cell r="B310">
            <v>3500</v>
          </cell>
        </row>
        <row r="311">
          <cell r="A311" t="str">
            <v>PL1DU</v>
          </cell>
          <cell r="B311">
            <v>36</v>
          </cell>
        </row>
        <row r="312">
          <cell r="A312" t="str">
            <v>ZD1</v>
          </cell>
          <cell r="B312">
            <v>1880</v>
          </cell>
        </row>
        <row r="313">
          <cell r="A313" t="str">
            <v>UZD2</v>
          </cell>
          <cell r="B313">
            <v>175</v>
          </cell>
        </row>
        <row r="314">
          <cell r="A314" t="str">
            <v>ND1</v>
          </cell>
          <cell r="B314">
            <v>14</v>
          </cell>
        </row>
        <row r="315">
          <cell r="A315" t="str">
            <v>T1</v>
          </cell>
          <cell r="B315">
            <v>15</v>
          </cell>
        </row>
        <row r="316">
          <cell r="A316" t="str">
            <v>T2</v>
          </cell>
          <cell r="B316">
            <v>20</v>
          </cell>
        </row>
        <row r="317">
          <cell r="A317" t="str">
            <v>KK2023</v>
          </cell>
          <cell r="B317">
            <v>658</v>
          </cell>
        </row>
        <row r="318">
          <cell r="A318" t="str">
            <v>HD1</v>
          </cell>
          <cell r="B318">
            <v>320</v>
          </cell>
        </row>
        <row r="319">
          <cell r="A319" t="str">
            <v>PPMD1</v>
          </cell>
          <cell r="B319">
            <v>180</v>
          </cell>
        </row>
        <row r="320">
          <cell r="A320" t="str">
            <v>DD1</v>
          </cell>
          <cell r="B320">
            <v>1071</v>
          </cell>
        </row>
        <row r="321">
          <cell r="A321" t="str">
            <v>KKD1</v>
          </cell>
          <cell r="B321">
            <v>88</v>
          </cell>
        </row>
        <row r="322">
          <cell r="A322" t="str">
            <v>OZ4</v>
          </cell>
          <cell r="B322">
            <v>992</v>
          </cell>
          <cell r="C322">
            <v>870</v>
          </cell>
        </row>
        <row r="323">
          <cell r="A323" t="str">
            <v>ZS5M</v>
          </cell>
          <cell r="B323">
            <v>70</v>
          </cell>
        </row>
        <row r="324">
          <cell r="A324" t="str">
            <v>C2508R</v>
          </cell>
          <cell r="B324">
            <v>134</v>
          </cell>
        </row>
        <row r="325">
          <cell r="A325" t="str">
            <v>C10008R</v>
          </cell>
          <cell r="B325">
            <v>132</v>
          </cell>
        </row>
        <row r="326">
          <cell r="A326" t="str">
            <v>C30008R</v>
          </cell>
          <cell r="B326">
            <v>363</v>
          </cell>
        </row>
        <row r="327">
          <cell r="A327" t="str">
            <v>C100008R</v>
          </cell>
          <cell r="B327">
            <v>1299</v>
          </cell>
        </row>
        <row r="328">
          <cell r="A328" t="str">
            <v>C1008CC</v>
          </cell>
          <cell r="B328">
            <v>128</v>
          </cell>
        </row>
        <row r="329">
          <cell r="A329" t="str">
            <v>C1614E14</v>
          </cell>
          <cell r="B329">
            <v>106</v>
          </cell>
        </row>
        <row r="330">
          <cell r="A330" t="str">
            <v>C10014A</v>
          </cell>
          <cell r="B330">
            <v>592</v>
          </cell>
        </row>
        <row r="331">
          <cell r="A331" t="str">
            <v>C20814XPR14</v>
          </cell>
          <cell r="B331">
            <v>1628</v>
          </cell>
        </row>
        <row r="332">
          <cell r="A332" t="str">
            <v>C920L</v>
          </cell>
          <cell r="B332">
            <v>83</v>
          </cell>
        </row>
        <row r="333">
          <cell r="A333" t="str">
            <v>C920M</v>
          </cell>
          <cell r="B333">
            <v>83</v>
          </cell>
        </row>
        <row r="334">
          <cell r="A334" t="str">
            <v>C1620DU</v>
          </cell>
          <cell r="B334">
            <v>141</v>
          </cell>
        </row>
        <row r="335">
          <cell r="A335" t="str">
            <v>C1620DU(S)</v>
          </cell>
          <cell r="B335">
            <v>149</v>
          </cell>
        </row>
        <row r="336">
          <cell r="A336" t="str">
            <v>C1620DU(5)</v>
          </cell>
          <cell r="B336">
            <v>141</v>
          </cell>
        </row>
        <row r="337">
          <cell r="A337" t="str">
            <v>C1620BPF</v>
          </cell>
          <cell r="B337">
            <v>125</v>
          </cell>
        </row>
        <row r="338">
          <cell r="A338" t="str">
            <v>C1620H</v>
          </cell>
          <cell r="B338">
            <v>135</v>
          </cell>
        </row>
        <row r="339">
          <cell r="A339" t="str">
            <v>C1620N</v>
          </cell>
          <cell r="B339">
            <v>135</v>
          </cell>
        </row>
        <row r="340">
          <cell r="A340" t="str">
            <v>C1620M</v>
          </cell>
          <cell r="B340">
            <v>135</v>
          </cell>
        </row>
        <row r="341">
          <cell r="A341" t="str">
            <v>C1620F</v>
          </cell>
          <cell r="B341">
            <v>135</v>
          </cell>
        </row>
        <row r="342">
          <cell r="A342" t="str">
            <v>C1620H14</v>
          </cell>
          <cell r="B342">
            <v>135</v>
          </cell>
        </row>
        <row r="343">
          <cell r="A343" t="str">
            <v>C1620N14</v>
          </cell>
          <cell r="B343">
            <v>135</v>
          </cell>
        </row>
        <row r="344">
          <cell r="A344" t="str">
            <v>C1620M14</v>
          </cell>
          <cell r="B344">
            <v>135</v>
          </cell>
        </row>
        <row r="345">
          <cell r="A345" t="str">
            <v>C1620F14</v>
          </cell>
          <cell r="B345">
            <v>135</v>
          </cell>
        </row>
        <row r="346">
          <cell r="A346" t="str">
            <v>CX1620D</v>
          </cell>
          <cell r="B346">
            <v>177</v>
          </cell>
        </row>
        <row r="347">
          <cell r="A347" t="str">
            <v>CX1620X</v>
          </cell>
          <cell r="B347">
            <v>177</v>
          </cell>
        </row>
        <row r="348">
          <cell r="A348" t="str">
            <v>C2520BP</v>
          </cell>
          <cell r="B348">
            <v>199</v>
          </cell>
        </row>
        <row r="349">
          <cell r="A349" t="str">
            <v>C2520SIG</v>
          </cell>
          <cell r="B349">
            <v>312</v>
          </cell>
        </row>
        <row r="350">
          <cell r="A350" t="str">
            <v>C2520Z</v>
          </cell>
          <cell r="B350">
            <v>206</v>
          </cell>
        </row>
        <row r="351">
          <cell r="A351" t="str">
            <v>C2520DI</v>
          </cell>
          <cell r="B351">
            <v>206</v>
          </cell>
        </row>
        <row r="352">
          <cell r="A352" t="str">
            <v>C2520T</v>
          </cell>
          <cell r="B352">
            <v>206</v>
          </cell>
        </row>
        <row r="353">
          <cell r="A353" t="str">
            <v>C2520SE</v>
          </cell>
          <cell r="B353">
            <v>206</v>
          </cell>
        </row>
        <row r="354">
          <cell r="A354" t="str">
            <v>C2520ST</v>
          </cell>
          <cell r="B354">
            <v>206</v>
          </cell>
        </row>
        <row r="355">
          <cell r="A355" t="str">
            <v>C2520SL</v>
          </cell>
          <cell r="B355">
            <v>206</v>
          </cell>
        </row>
        <row r="356">
          <cell r="A356" t="str">
            <v>C2520R</v>
          </cell>
          <cell r="B356">
            <v>206</v>
          </cell>
        </row>
        <row r="357">
          <cell r="A357" t="str">
            <v>C2520VI</v>
          </cell>
          <cell r="B357">
            <v>206</v>
          </cell>
        </row>
        <row r="358">
          <cell r="A358" t="str">
            <v>C2520DI14</v>
          </cell>
          <cell r="B358">
            <v>206</v>
          </cell>
        </row>
        <row r="359">
          <cell r="A359" t="str">
            <v>C2520T14</v>
          </cell>
          <cell r="B359">
            <v>206</v>
          </cell>
        </row>
        <row r="360">
          <cell r="A360" t="str">
            <v>C2520SE14</v>
          </cell>
          <cell r="B360">
            <v>206</v>
          </cell>
        </row>
        <row r="361">
          <cell r="A361" t="str">
            <v>C4920BPF</v>
          </cell>
          <cell r="B361">
            <v>379</v>
          </cell>
        </row>
        <row r="362">
          <cell r="A362" t="str">
            <v>C4920NID</v>
          </cell>
          <cell r="B362">
            <v>399</v>
          </cell>
        </row>
        <row r="363">
          <cell r="A363" t="str">
            <v>C4920SIG</v>
          </cell>
          <cell r="B363">
            <v>522</v>
          </cell>
        </row>
        <row r="364">
          <cell r="A364" t="str">
            <v>C4920DR</v>
          </cell>
          <cell r="B364">
            <v>399</v>
          </cell>
        </row>
        <row r="365">
          <cell r="A365" t="str">
            <v>C4920K</v>
          </cell>
          <cell r="B365">
            <v>399</v>
          </cell>
        </row>
        <row r="366">
          <cell r="A366" t="str">
            <v>C4920S</v>
          </cell>
          <cell r="B366">
            <v>399</v>
          </cell>
        </row>
        <row r="367">
          <cell r="A367" t="str">
            <v>C4920SIG14</v>
          </cell>
          <cell r="B367">
            <v>522</v>
          </cell>
        </row>
        <row r="368">
          <cell r="A368" t="str">
            <v>C4920DR14</v>
          </cell>
          <cell r="B368">
            <v>399</v>
          </cell>
        </row>
        <row r="369">
          <cell r="A369" t="str">
            <v>C4920S14</v>
          </cell>
          <cell r="B369">
            <v>399</v>
          </cell>
        </row>
        <row r="370">
          <cell r="A370" t="str">
            <v>CF4920G</v>
          </cell>
          <cell r="B370">
            <v>479</v>
          </cell>
        </row>
        <row r="371">
          <cell r="A371" t="str">
            <v>CF4920J</v>
          </cell>
          <cell r="B371">
            <v>479</v>
          </cell>
        </row>
        <row r="372">
          <cell r="A372" t="str">
            <v>CF4920A</v>
          </cell>
          <cell r="B372">
            <v>479</v>
          </cell>
        </row>
        <row r="373">
          <cell r="A373" t="str">
            <v>CF4920VIP</v>
          </cell>
          <cell r="B373">
            <v>479</v>
          </cell>
        </row>
        <row r="374">
          <cell r="A374" t="str">
            <v>CF4920G14</v>
          </cell>
          <cell r="B374">
            <v>479</v>
          </cell>
        </row>
        <row r="375">
          <cell r="A375" t="str">
            <v>C6420BPW</v>
          </cell>
          <cell r="B375">
            <v>499</v>
          </cell>
        </row>
        <row r="376">
          <cell r="A376" t="str">
            <v>C6420B</v>
          </cell>
          <cell r="B376">
            <v>509</v>
          </cell>
        </row>
        <row r="377">
          <cell r="A377" t="str">
            <v>C6420G</v>
          </cell>
          <cell r="B377">
            <v>509</v>
          </cell>
        </row>
        <row r="378">
          <cell r="A378" t="str">
            <v>C6420D</v>
          </cell>
          <cell r="B378">
            <v>509</v>
          </cell>
        </row>
        <row r="379">
          <cell r="A379" t="str">
            <v>C6420G14</v>
          </cell>
          <cell r="B379">
            <v>509</v>
          </cell>
        </row>
        <row r="380">
          <cell r="A380" t="str">
            <v>C6420D14</v>
          </cell>
          <cell r="B380">
            <v>509</v>
          </cell>
        </row>
        <row r="381">
          <cell r="A381" t="str">
            <v>C6620SIG</v>
          </cell>
          <cell r="B381">
            <v>788</v>
          </cell>
        </row>
        <row r="382">
          <cell r="A382" t="str">
            <v>C6620P</v>
          </cell>
          <cell r="B382">
            <v>729</v>
          </cell>
        </row>
        <row r="383">
          <cell r="A383" t="str">
            <v>C6620L</v>
          </cell>
          <cell r="B383">
            <v>729</v>
          </cell>
        </row>
        <row r="384">
          <cell r="A384" t="str">
            <v>C6620P14</v>
          </cell>
          <cell r="B384">
            <v>729</v>
          </cell>
        </row>
        <row r="385">
          <cell r="A385" t="str">
            <v>C6620L14</v>
          </cell>
          <cell r="B385">
            <v>729</v>
          </cell>
        </row>
        <row r="386">
          <cell r="A386" t="str">
            <v>C9020SIG</v>
          </cell>
          <cell r="B386">
            <v>818</v>
          </cell>
        </row>
        <row r="387">
          <cell r="A387" t="str">
            <v>C9020V</v>
          </cell>
          <cell r="B387">
            <v>699</v>
          </cell>
        </row>
        <row r="388">
          <cell r="A388" t="str">
            <v>C9020X</v>
          </cell>
          <cell r="B388">
            <v>699</v>
          </cell>
        </row>
        <row r="389">
          <cell r="A389" t="str">
            <v>C10020BP14</v>
          </cell>
          <cell r="B389">
            <v>729</v>
          </cell>
        </row>
        <row r="390">
          <cell r="A390" t="str">
            <v>C10020BPF14</v>
          </cell>
          <cell r="B390">
            <v>729</v>
          </cell>
        </row>
        <row r="391">
          <cell r="A391" t="str">
            <v>C10020BPS14</v>
          </cell>
          <cell r="B391">
            <v>729</v>
          </cell>
        </row>
        <row r="392">
          <cell r="A392" t="str">
            <v>C10020NID14</v>
          </cell>
          <cell r="B392">
            <v>779</v>
          </cell>
        </row>
        <row r="393">
          <cell r="A393" t="str">
            <v>C10020XBPW14</v>
          </cell>
          <cell r="B393">
            <v>915</v>
          </cell>
        </row>
        <row r="394">
          <cell r="A394" t="str">
            <v>C10020XBP14</v>
          </cell>
          <cell r="B394">
            <v>915</v>
          </cell>
        </row>
        <row r="395">
          <cell r="A395" t="str">
            <v>C10020XTS14</v>
          </cell>
          <cell r="B395">
            <v>926</v>
          </cell>
        </row>
        <row r="396">
          <cell r="A396" t="str">
            <v>C10020XPR14</v>
          </cell>
          <cell r="B396">
            <v>926</v>
          </cell>
        </row>
        <row r="397">
          <cell r="A397" t="str">
            <v>CF10020P</v>
          </cell>
          <cell r="B397">
            <v>1039</v>
          </cell>
        </row>
        <row r="398">
          <cell r="A398" t="str">
            <v>CF10020G</v>
          </cell>
          <cell r="B398">
            <v>1039</v>
          </cell>
        </row>
        <row r="399">
          <cell r="A399" t="str">
            <v>C13020BP</v>
          </cell>
          <cell r="B399">
            <v>999</v>
          </cell>
        </row>
        <row r="400">
          <cell r="A400" t="str">
            <v>C13020M</v>
          </cell>
          <cell r="B400">
            <v>1009</v>
          </cell>
        </row>
        <row r="401">
          <cell r="A401" t="str">
            <v>C13020B</v>
          </cell>
          <cell r="B401">
            <v>1009</v>
          </cell>
        </row>
        <row r="402">
          <cell r="A402" t="str">
            <v>C13420B</v>
          </cell>
          <cell r="B402">
            <v>1545</v>
          </cell>
        </row>
        <row r="403">
          <cell r="A403" t="str">
            <v>C13420H</v>
          </cell>
          <cell r="B403">
            <v>1545</v>
          </cell>
        </row>
        <row r="404">
          <cell r="A404" t="str">
            <v>C20020BP</v>
          </cell>
          <cell r="B404">
            <v>1549</v>
          </cell>
        </row>
        <row r="405">
          <cell r="A405" t="str">
            <v>C20020BPF</v>
          </cell>
          <cell r="B405">
            <v>1549</v>
          </cell>
        </row>
        <row r="406">
          <cell r="A406" t="str">
            <v>C20020BPS</v>
          </cell>
          <cell r="B406">
            <v>1549</v>
          </cell>
        </row>
        <row r="407">
          <cell r="A407" t="str">
            <v>C20020PR</v>
          </cell>
          <cell r="B407">
            <v>1599</v>
          </cell>
        </row>
        <row r="408">
          <cell r="A408" t="str">
            <v>C20020XBP</v>
          </cell>
          <cell r="B408">
            <v>1898</v>
          </cell>
        </row>
        <row r="409">
          <cell r="A409" t="str">
            <v>C20020XBPW</v>
          </cell>
          <cell r="B409">
            <v>1898</v>
          </cell>
        </row>
        <row r="410">
          <cell r="A410" t="str">
            <v>C20020XPR</v>
          </cell>
          <cell r="B410">
            <v>1979</v>
          </cell>
        </row>
        <row r="411">
          <cell r="A411" t="str">
            <v>C12820F/C14</v>
          </cell>
          <cell r="B411">
            <v>1367</v>
          </cell>
        </row>
        <row r="412">
          <cell r="A412" t="str">
            <v>C13220B/C14</v>
          </cell>
          <cell r="B412">
            <v>1896</v>
          </cell>
        </row>
        <row r="413">
          <cell r="A413" t="str">
            <v>C13220TS/C14</v>
          </cell>
          <cell r="B413">
            <v>1896</v>
          </cell>
        </row>
        <row r="414">
          <cell r="A414" t="str">
            <v>C20020XPR/C14</v>
          </cell>
          <cell r="B414">
            <v>2095</v>
          </cell>
        </row>
        <row r="415">
          <cell r="A415" t="str">
            <v>C20020XTS/C14</v>
          </cell>
          <cell r="B415">
            <v>2095</v>
          </cell>
        </row>
        <row r="416">
          <cell r="A416" t="str">
            <v>C19220F/C14</v>
          </cell>
          <cell r="B416">
            <v>1912</v>
          </cell>
        </row>
        <row r="417">
          <cell r="A417" t="str">
            <v>C25220XFS/C14</v>
          </cell>
          <cell r="B417">
            <v>3336</v>
          </cell>
        </row>
        <row r="418">
          <cell r="A418" t="str">
            <v>C25620F/C14</v>
          </cell>
          <cell r="B418">
            <v>2631</v>
          </cell>
        </row>
        <row r="419">
          <cell r="A419" t="str">
            <v>C26420N/C14</v>
          </cell>
          <cell r="B419">
            <v>3554</v>
          </cell>
        </row>
        <row r="420">
          <cell r="A420" t="str">
            <v>C40020XPR/C14</v>
          </cell>
          <cell r="B420">
            <v>4476</v>
          </cell>
        </row>
        <row r="421">
          <cell r="A421" t="str">
            <v>C12820F/C14(T)</v>
          </cell>
          <cell r="B421">
            <v>1532</v>
          </cell>
        </row>
        <row r="422">
          <cell r="A422" t="str">
            <v>C13220B/C14(T)</v>
          </cell>
          <cell r="B422">
            <v>2124</v>
          </cell>
        </row>
        <row r="423">
          <cell r="A423" t="str">
            <v>C13220TS/C14(T)</v>
          </cell>
          <cell r="B423">
            <v>2124</v>
          </cell>
        </row>
        <row r="424">
          <cell r="A424" t="str">
            <v>C20020XPR/C14(T)</v>
          </cell>
          <cell r="B424">
            <v>2347</v>
          </cell>
        </row>
        <row r="425">
          <cell r="A425" t="str">
            <v>C20020XTS/C14(T)</v>
          </cell>
          <cell r="B425">
            <v>2347</v>
          </cell>
        </row>
        <row r="426">
          <cell r="A426" t="str">
            <v>C19220F/C14(T)</v>
          </cell>
          <cell r="B426">
            <v>2142</v>
          </cell>
        </row>
        <row r="427">
          <cell r="A427" t="str">
            <v>C25220XFS/C14(T)</v>
          </cell>
          <cell r="B427">
            <v>3737</v>
          </cell>
        </row>
        <row r="428">
          <cell r="A428" t="str">
            <v>C25620F/C14(T)</v>
          </cell>
          <cell r="B428">
            <v>2947</v>
          </cell>
        </row>
        <row r="429">
          <cell r="A429" t="str">
            <v>C26420N/C14(T)</v>
          </cell>
          <cell r="B429">
            <v>3981</v>
          </cell>
        </row>
        <row r="430">
          <cell r="A430" t="str">
            <v>C40020XPR/C14(T)</v>
          </cell>
          <cell r="B430">
            <v>5014</v>
          </cell>
        </row>
        <row r="431">
          <cell r="A431" t="str">
            <v>C6420DU/C</v>
          </cell>
          <cell r="B431">
            <v>705</v>
          </cell>
        </row>
        <row r="432">
          <cell r="A432" t="str">
            <v>C12820F/C</v>
          </cell>
          <cell r="B432">
            <v>1367</v>
          </cell>
        </row>
        <row r="433">
          <cell r="A433" t="str">
            <v>C12820NID/C</v>
          </cell>
          <cell r="B433">
            <v>1367</v>
          </cell>
        </row>
        <row r="434">
          <cell r="A434" t="str">
            <v>C13220B/C</v>
          </cell>
          <cell r="B434">
            <v>1896</v>
          </cell>
        </row>
        <row r="435">
          <cell r="A435" t="str">
            <v>C19220F/C</v>
          </cell>
          <cell r="B435">
            <v>1912</v>
          </cell>
        </row>
        <row r="436">
          <cell r="A436" t="str">
            <v>C19620SIG/C</v>
          </cell>
          <cell r="B436">
            <v>2265</v>
          </cell>
        </row>
        <row r="437">
          <cell r="A437" t="str">
            <v>C25220XFS/C</v>
          </cell>
          <cell r="B437">
            <v>3336</v>
          </cell>
        </row>
        <row r="438">
          <cell r="A438" t="str">
            <v>C25620F/C</v>
          </cell>
          <cell r="B438">
            <v>2631</v>
          </cell>
        </row>
        <row r="439">
          <cell r="A439" t="str">
            <v>C26420N/C</v>
          </cell>
          <cell r="B439">
            <v>3554</v>
          </cell>
        </row>
        <row r="440">
          <cell r="A440" t="str">
            <v>C12820F/C(T)</v>
          </cell>
          <cell r="B440">
            <v>1532</v>
          </cell>
        </row>
        <row r="441">
          <cell r="A441" t="str">
            <v>C12820NID/C(T)</v>
          </cell>
          <cell r="B441">
            <v>1532</v>
          </cell>
        </row>
        <row r="442">
          <cell r="A442" t="str">
            <v>C13220B/C(T)</v>
          </cell>
          <cell r="B442">
            <v>2124</v>
          </cell>
        </row>
        <row r="443">
          <cell r="A443" t="str">
            <v>C19220F/C(T)</v>
          </cell>
          <cell r="B443">
            <v>2142</v>
          </cell>
        </row>
        <row r="444">
          <cell r="A444" t="str">
            <v>C19620SIG/C(T)</v>
          </cell>
          <cell r="B444">
            <v>2537</v>
          </cell>
        </row>
        <row r="445">
          <cell r="A445" t="str">
            <v>C25220XFS/C(T)</v>
          </cell>
          <cell r="B445">
            <v>3737</v>
          </cell>
        </row>
        <row r="446">
          <cell r="A446" t="str">
            <v>C25620F/C(T)</v>
          </cell>
          <cell r="B446">
            <v>2947</v>
          </cell>
        </row>
        <row r="447">
          <cell r="A447" t="str">
            <v>C26420N/C(T)</v>
          </cell>
          <cell r="B447">
            <v>3981</v>
          </cell>
        </row>
        <row r="448">
          <cell r="A448" t="str">
            <v>C18020SIG/C</v>
          </cell>
          <cell r="B448">
            <v>2089</v>
          </cell>
        </row>
        <row r="449">
          <cell r="A449" t="str">
            <v>C26020F/C</v>
          </cell>
          <cell r="B449">
            <v>2591</v>
          </cell>
        </row>
        <row r="450">
          <cell r="A450" t="str">
            <v>C26020NID/C</v>
          </cell>
          <cell r="B450">
            <v>2591</v>
          </cell>
        </row>
        <row r="451">
          <cell r="A451" t="str">
            <v>C26820F/C</v>
          </cell>
          <cell r="B451">
            <v>3248</v>
          </cell>
        </row>
        <row r="452">
          <cell r="A452" t="str">
            <v>C39020F/C</v>
          </cell>
          <cell r="B452">
            <v>3494</v>
          </cell>
        </row>
        <row r="453">
          <cell r="A453" t="str">
            <v>C52020F/C</v>
          </cell>
          <cell r="B453">
            <v>5290</v>
          </cell>
        </row>
        <row r="454">
          <cell r="A454" t="str">
            <v>C53620F/C</v>
          </cell>
          <cell r="B454">
            <v>6809</v>
          </cell>
        </row>
        <row r="455">
          <cell r="A455" t="str">
            <v>C60020XPR/C</v>
          </cell>
          <cell r="B455">
            <v>7198</v>
          </cell>
        </row>
        <row r="456">
          <cell r="A456" t="str">
            <v>C18020SIG/C(T)</v>
          </cell>
          <cell r="B456">
            <v>2340</v>
          </cell>
        </row>
        <row r="457">
          <cell r="A457" t="str">
            <v>C26020F/C(T)</v>
          </cell>
          <cell r="B457">
            <v>2902</v>
          </cell>
        </row>
        <row r="458">
          <cell r="A458" t="str">
            <v>C26020NID/C(T)</v>
          </cell>
          <cell r="B458">
            <v>2902</v>
          </cell>
        </row>
        <row r="459">
          <cell r="A459" t="str">
            <v>C26820F/C(T)</v>
          </cell>
          <cell r="B459">
            <v>3638</v>
          </cell>
        </row>
        <row r="460">
          <cell r="A460" t="str">
            <v>C39020F/C(T)</v>
          </cell>
          <cell r="B460">
            <v>3914</v>
          </cell>
        </row>
        <row r="461">
          <cell r="A461" t="str">
            <v>C52020F/C(T)</v>
          </cell>
          <cell r="B461">
            <v>5925</v>
          </cell>
        </row>
        <row r="462">
          <cell r="A462" t="str">
            <v>C53620F/C(T)</v>
          </cell>
          <cell r="B462">
            <v>7627</v>
          </cell>
        </row>
        <row r="463">
          <cell r="A463" t="str">
            <v>C1625B</v>
          </cell>
          <cell r="B463">
            <v>222</v>
          </cell>
        </row>
        <row r="464">
          <cell r="A464" t="str">
            <v>C1625D</v>
          </cell>
          <cell r="B464">
            <v>222</v>
          </cell>
        </row>
        <row r="465">
          <cell r="A465" t="str">
            <v>C1625F</v>
          </cell>
          <cell r="B465">
            <v>222</v>
          </cell>
        </row>
        <row r="466">
          <cell r="A466" t="str">
            <v>C1625G</v>
          </cell>
          <cell r="B466">
            <v>222</v>
          </cell>
        </row>
        <row r="467">
          <cell r="A467" t="str">
            <v>C1625B14</v>
          </cell>
          <cell r="B467">
            <v>222</v>
          </cell>
        </row>
        <row r="468">
          <cell r="A468" t="str">
            <v>C1625D14</v>
          </cell>
          <cell r="B468">
            <v>222</v>
          </cell>
        </row>
        <row r="469">
          <cell r="A469" t="str">
            <v>C1625F14</v>
          </cell>
          <cell r="B469">
            <v>222</v>
          </cell>
        </row>
        <row r="470">
          <cell r="A470" t="str">
            <v>C2525BPW</v>
          </cell>
          <cell r="B470">
            <v>324</v>
          </cell>
        </row>
        <row r="471">
          <cell r="A471" t="str">
            <v>C2525SIG</v>
          </cell>
          <cell r="B471">
            <v>398</v>
          </cell>
        </row>
        <row r="472">
          <cell r="A472" t="str">
            <v>C2525DU</v>
          </cell>
          <cell r="B472">
            <v>345</v>
          </cell>
        </row>
        <row r="473">
          <cell r="A473" t="str">
            <v>C2525C</v>
          </cell>
          <cell r="B473">
            <v>329</v>
          </cell>
        </row>
        <row r="474">
          <cell r="A474" t="str">
            <v>C2525L</v>
          </cell>
          <cell r="B474">
            <v>329</v>
          </cell>
        </row>
        <row r="475">
          <cell r="A475" t="str">
            <v>C2525SC14</v>
          </cell>
          <cell r="B475">
            <v>680</v>
          </cell>
        </row>
        <row r="476">
          <cell r="A476" t="str">
            <v>CF2525D</v>
          </cell>
          <cell r="B476">
            <v>414</v>
          </cell>
        </row>
        <row r="477">
          <cell r="A477" t="str">
            <v>CF2525O</v>
          </cell>
          <cell r="B477">
            <v>414</v>
          </cell>
        </row>
        <row r="478">
          <cell r="A478" t="str">
            <v>CF2525S</v>
          </cell>
          <cell r="B478">
            <v>414</v>
          </cell>
        </row>
        <row r="479">
          <cell r="A479" t="str">
            <v>C4825MP</v>
          </cell>
          <cell r="B479">
            <v>678</v>
          </cell>
        </row>
        <row r="480">
          <cell r="A480" t="str">
            <v>C4925G</v>
          </cell>
          <cell r="B480">
            <v>652</v>
          </cell>
        </row>
        <row r="481">
          <cell r="A481" t="str">
            <v>C4925P</v>
          </cell>
          <cell r="B481">
            <v>652</v>
          </cell>
        </row>
        <row r="482">
          <cell r="A482" t="str">
            <v>C4925V</v>
          </cell>
          <cell r="B482">
            <v>652</v>
          </cell>
        </row>
        <row r="483">
          <cell r="A483" t="str">
            <v>C4925BP14</v>
          </cell>
          <cell r="B483">
            <v>645</v>
          </cell>
        </row>
        <row r="484">
          <cell r="A484" t="str">
            <v>C4925NO14</v>
          </cell>
          <cell r="B484">
            <v>728</v>
          </cell>
        </row>
        <row r="485">
          <cell r="A485" t="str">
            <v>C4925V14</v>
          </cell>
          <cell r="B485">
            <v>652</v>
          </cell>
        </row>
        <row r="486">
          <cell r="A486" t="str">
            <v>C4925SIG</v>
          </cell>
          <cell r="B486">
            <v>980</v>
          </cell>
        </row>
        <row r="487">
          <cell r="A487" t="str">
            <v>C4925D</v>
          </cell>
          <cell r="B487">
            <v>671</v>
          </cell>
        </row>
        <row r="488">
          <cell r="A488" t="str">
            <v>C4925VS</v>
          </cell>
          <cell r="B488">
            <v>678</v>
          </cell>
        </row>
        <row r="489">
          <cell r="A489" t="str">
            <v>CF4925S</v>
          </cell>
          <cell r="B489">
            <v>806</v>
          </cell>
        </row>
        <row r="490">
          <cell r="A490" t="str">
            <v>CF4925D</v>
          </cell>
          <cell r="B490">
            <v>849</v>
          </cell>
        </row>
        <row r="491">
          <cell r="A491" t="str">
            <v>CF4925B</v>
          </cell>
          <cell r="B491">
            <v>806</v>
          </cell>
        </row>
        <row r="492">
          <cell r="A492" t="str">
            <v>C6425XPT</v>
          </cell>
          <cell r="B492">
            <v>1099</v>
          </cell>
        </row>
        <row r="493">
          <cell r="A493" t="str">
            <v>C8825M</v>
          </cell>
          <cell r="B493">
            <v>1269</v>
          </cell>
        </row>
        <row r="494">
          <cell r="A494" t="str">
            <v>C8825G</v>
          </cell>
          <cell r="B494">
            <v>1269</v>
          </cell>
        </row>
        <row r="495">
          <cell r="A495" t="str">
            <v>C8825PA</v>
          </cell>
          <cell r="B495">
            <v>1269</v>
          </cell>
        </row>
        <row r="496">
          <cell r="A496" t="str">
            <v>C8825BR</v>
          </cell>
          <cell r="B496">
            <v>1269</v>
          </cell>
        </row>
        <row r="497">
          <cell r="A497" t="str">
            <v>C8925B</v>
          </cell>
          <cell r="B497">
            <v>1591</v>
          </cell>
        </row>
        <row r="498">
          <cell r="A498" t="str">
            <v>C8925N</v>
          </cell>
          <cell r="B498">
            <v>1591</v>
          </cell>
        </row>
        <row r="499">
          <cell r="A499" t="str">
            <v>C10025BP</v>
          </cell>
          <cell r="B499">
            <v>1309</v>
          </cell>
        </row>
        <row r="500">
          <cell r="A500" t="str">
            <v>C10025BPS</v>
          </cell>
          <cell r="B500">
            <v>1309</v>
          </cell>
        </row>
        <row r="501">
          <cell r="A501" t="str">
            <v>C10025PR1</v>
          </cell>
          <cell r="B501">
            <v>1329</v>
          </cell>
        </row>
        <row r="502">
          <cell r="A502" t="str">
            <v>C10025PR2</v>
          </cell>
          <cell r="B502">
            <v>1329</v>
          </cell>
        </row>
        <row r="503">
          <cell r="A503" t="str">
            <v>C10025I</v>
          </cell>
          <cell r="B503">
            <v>1329</v>
          </cell>
        </row>
        <row r="504">
          <cell r="A504" t="str">
            <v>C9625MF/C14</v>
          </cell>
          <cell r="B504">
            <v>1872</v>
          </cell>
        </row>
        <row r="505">
          <cell r="A505" t="str">
            <v>C9825C/C14</v>
          </cell>
          <cell r="B505">
            <v>1786</v>
          </cell>
        </row>
        <row r="506">
          <cell r="A506" t="str">
            <v>C9825SIG/C14</v>
          </cell>
          <cell r="B506">
            <v>2098</v>
          </cell>
        </row>
        <row r="507">
          <cell r="A507" t="str">
            <v>C10025BPW/C14</v>
          </cell>
          <cell r="B507">
            <v>1750</v>
          </cell>
        </row>
        <row r="508">
          <cell r="A508" t="str">
            <v>C14025XFS/C14</v>
          </cell>
          <cell r="B508">
            <v>2916</v>
          </cell>
        </row>
        <row r="509">
          <cell r="A509" t="str">
            <v>C19225MF/C14</v>
          </cell>
          <cell r="B509">
            <v>3425</v>
          </cell>
        </row>
        <row r="510">
          <cell r="A510" t="str">
            <v>C19625/C14</v>
          </cell>
          <cell r="B510">
            <v>3255</v>
          </cell>
        </row>
        <row r="511">
          <cell r="A511" t="str">
            <v>C9625MF/C14(T)</v>
          </cell>
          <cell r="B511">
            <v>2097</v>
          </cell>
        </row>
        <row r="512">
          <cell r="A512" t="str">
            <v>C9825C/C14(T)</v>
          </cell>
          <cell r="B512">
            <v>2001</v>
          </cell>
        </row>
        <row r="513">
          <cell r="A513" t="str">
            <v>C9825SIG/C14(T)</v>
          </cell>
          <cell r="B513">
            <v>2350</v>
          </cell>
        </row>
        <row r="514">
          <cell r="A514" t="str">
            <v>C14025XFS/C14(T)</v>
          </cell>
          <cell r="B514">
            <v>3266</v>
          </cell>
        </row>
        <row r="515">
          <cell r="A515" t="str">
            <v>C19225MF/C14(T)</v>
          </cell>
          <cell r="B515">
            <v>3836</v>
          </cell>
        </row>
        <row r="516">
          <cell r="A516" t="str">
            <v>C19625/C14(T)</v>
          </cell>
          <cell r="B516">
            <v>3646</v>
          </cell>
        </row>
        <row r="517">
          <cell r="A517" t="str">
            <v>C9825C/C</v>
          </cell>
          <cell r="B517">
            <v>1736</v>
          </cell>
        </row>
        <row r="518">
          <cell r="A518" t="str">
            <v>C14025XFS/C</v>
          </cell>
          <cell r="B518">
            <v>2916</v>
          </cell>
        </row>
        <row r="519">
          <cell r="A519" t="str">
            <v>C19625F/C</v>
          </cell>
          <cell r="B519">
            <v>3255</v>
          </cell>
        </row>
        <row r="520">
          <cell r="A520" t="str">
            <v>C9825C/C(T)</v>
          </cell>
          <cell r="B520">
            <v>1945</v>
          </cell>
        </row>
        <row r="521">
          <cell r="A521" t="str">
            <v>C14025XFS/C(T)</v>
          </cell>
          <cell r="B521">
            <v>3266</v>
          </cell>
        </row>
        <row r="522">
          <cell r="A522" t="str">
            <v>C19625F/C(T)</v>
          </cell>
          <cell r="B522">
            <v>3646</v>
          </cell>
        </row>
        <row r="523">
          <cell r="A523" t="str">
            <v>C9825SIG/C</v>
          </cell>
          <cell r="B523">
            <v>1827</v>
          </cell>
        </row>
        <row r="524">
          <cell r="A524" t="str">
            <v>C17825W/C</v>
          </cell>
          <cell r="B524">
            <v>3368</v>
          </cell>
        </row>
        <row r="525">
          <cell r="A525" t="str">
            <v>C20025F/C</v>
          </cell>
          <cell r="B525">
            <v>2899</v>
          </cell>
        </row>
        <row r="526">
          <cell r="A526" t="str">
            <v>C20025BPS/C</v>
          </cell>
          <cell r="B526">
            <v>2799</v>
          </cell>
        </row>
        <row r="527">
          <cell r="A527" t="str">
            <v>C30025F/C</v>
          </cell>
          <cell r="B527">
            <v>4499</v>
          </cell>
        </row>
        <row r="528">
          <cell r="A528" t="str">
            <v>C30025BPW/C</v>
          </cell>
          <cell r="B528">
            <v>4399</v>
          </cell>
        </row>
        <row r="529">
          <cell r="A529" t="str">
            <v>C40025F/C</v>
          </cell>
          <cell r="B529">
            <v>5880</v>
          </cell>
        </row>
        <row r="530">
          <cell r="A530" t="str">
            <v>C9825SIG/C(T)</v>
          </cell>
          <cell r="B530">
            <v>2047</v>
          </cell>
        </row>
        <row r="531">
          <cell r="A531" t="str">
            <v>C17825W/C(T)</v>
          </cell>
          <cell r="B531">
            <v>3773</v>
          </cell>
        </row>
        <row r="532">
          <cell r="A532" t="str">
            <v>C20025F/C(T)</v>
          </cell>
          <cell r="B532">
            <v>3247</v>
          </cell>
        </row>
        <row r="533">
          <cell r="A533" t="str">
            <v>C30025F/C(T)</v>
          </cell>
          <cell r="B533">
            <v>5039</v>
          </cell>
        </row>
        <row r="534">
          <cell r="A534" t="str">
            <v>C30025BPW/C(T)</v>
          </cell>
          <cell r="B534">
            <v>4927</v>
          </cell>
        </row>
        <row r="535">
          <cell r="A535" t="str">
            <v>C40025F/C(T)</v>
          </cell>
          <cell r="B535">
            <v>6586</v>
          </cell>
        </row>
        <row r="536">
          <cell r="A536" t="str">
            <v>C163BP</v>
          </cell>
          <cell r="B536">
            <v>299</v>
          </cell>
        </row>
        <row r="537">
          <cell r="A537" t="str">
            <v>C163SIG</v>
          </cell>
          <cell r="B537">
            <v>394</v>
          </cell>
        </row>
        <row r="538">
          <cell r="A538" t="str">
            <v>C163A</v>
          </cell>
          <cell r="B538">
            <v>329</v>
          </cell>
        </row>
        <row r="539">
          <cell r="A539" t="str">
            <v>C163B</v>
          </cell>
          <cell r="B539">
            <v>329</v>
          </cell>
        </row>
        <row r="540">
          <cell r="A540" t="str">
            <v>C163L</v>
          </cell>
          <cell r="B540">
            <v>329</v>
          </cell>
        </row>
        <row r="541">
          <cell r="A541" t="str">
            <v>C163E</v>
          </cell>
          <cell r="B541">
            <v>329</v>
          </cell>
        </row>
        <row r="542">
          <cell r="A542" t="str">
            <v>C163K</v>
          </cell>
          <cell r="B542">
            <v>329</v>
          </cell>
        </row>
        <row r="543">
          <cell r="A543" t="str">
            <v>C163A14</v>
          </cell>
          <cell r="B543">
            <v>329</v>
          </cell>
        </row>
        <row r="544">
          <cell r="A544" t="str">
            <v>C193BP</v>
          </cell>
          <cell r="B544">
            <v>399</v>
          </cell>
        </row>
        <row r="545">
          <cell r="A545" t="str">
            <v>C193C</v>
          </cell>
          <cell r="B545">
            <v>409</v>
          </cell>
        </row>
        <row r="546">
          <cell r="A546" t="str">
            <v>C193D</v>
          </cell>
          <cell r="B546">
            <v>409</v>
          </cell>
        </row>
        <row r="547">
          <cell r="A547" t="str">
            <v>C193J</v>
          </cell>
          <cell r="B547">
            <v>409</v>
          </cell>
        </row>
        <row r="548">
          <cell r="A548" t="str">
            <v>C193F</v>
          </cell>
          <cell r="B548">
            <v>409</v>
          </cell>
        </row>
        <row r="549">
          <cell r="A549" t="str">
            <v>C193I</v>
          </cell>
          <cell r="B549">
            <v>409</v>
          </cell>
        </row>
        <row r="550">
          <cell r="A550" t="str">
            <v>C253SIG</v>
          </cell>
          <cell r="B550">
            <v>637</v>
          </cell>
        </row>
        <row r="551">
          <cell r="A551" t="str">
            <v>C253SIG B</v>
          </cell>
          <cell r="B551">
            <v>637</v>
          </cell>
        </row>
        <row r="552">
          <cell r="A552" t="str">
            <v>C253FR</v>
          </cell>
          <cell r="B552">
            <v>549</v>
          </cell>
        </row>
        <row r="553">
          <cell r="A553" t="str">
            <v>C253MY</v>
          </cell>
          <cell r="B553">
            <v>549</v>
          </cell>
        </row>
        <row r="554">
          <cell r="A554" t="str">
            <v>C253DU</v>
          </cell>
          <cell r="B554">
            <v>549</v>
          </cell>
        </row>
        <row r="555">
          <cell r="A555" t="str">
            <v>C253BP14</v>
          </cell>
          <cell r="B555">
            <v>509</v>
          </cell>
        </row>
        <row r="556">
          <cell r="A556" t="str">
            <v>C253BPF14</v>
          </cell>
          <cell r="B556">
            <v>509</v>
          </cell>
        </row>
        <row r="557">
          <cell r="A557" t="str">
            <v>C253NO14</v>
          </cell>
          <cell r="B557">
            <v>637</v>
          </cell>
        </row>
        <row r="558">
          <cell r="A558" t="str">
            <v>C253B14</v>
          </cell>
          <cell r="B558">
            <v>549</v>
          </cell>
        </row>
        <row r="559">
          <cell r="A559" t="str">
            <v>C253TH14</v>
          </cell>
          <cell r="B559">
            <v>549</v>
          </cell>
        </row>
        <row r="560">
          <cell r="A560" t="str">
            <v>C253E14</v>
          </cell>
          <cell r="B560">
            <v>549</v>
          </cell>
        </row>
        <row r="561">
          <cell r="A561" t="str">
            <v>C253F14</v>
          </cell>
          <cell r="B561">
            <v>549</v>
          </cell>
        </row>
        <row r="562">
          <cell r="A562" t="str">
            <v>CF253R14</v>
          </cell>
          <cell r="B562">
            <v>639</v>
          </cell>
        </row>
        <row r="563">
          <cell r="A563" t="str">
            <v>CF253D14</v>
          </cell>
          <cell r="B563">
            <v>639</v>
          </cell>
        </row>
        <row r="564">
          <cell r="A564" t="str">
            <v>CF253K14</v>
          </cell>
          <cell r="B564">
            <v>639</v>
          </cell>
        </row>
        <row r="565">
          <cell r="A565" t="str">
            <v>C363BPF</v>
          </cell>
          <cell r="B565">
            <v>759</v>
          </cell>
        </row>
        <row r="566">
          <cell r="A566" t="str">
            <v>C363PL</v>
          </cell>
          <cell r="B566">
            <v>769</v>
          </cell>
        </row>
        <row r="567">
          <cell r="A567" t="str">
            <v>C363PA</v>
          </cell>
          <cell r="B567">
            <v>769</v>
          </cell>
        </row>
        <row r="568">
          <cell r="A568" t="str">
            <v>C363DR</v>
          </cell>
          <cell r="B568">
            <v>769</v>
          </cell>
        </row>
        <row r="569">
          <cell r="A569" t="str">
            <v>CF363S</v>
          </cell>
          <cell r="B569">
            <v>979</v>
          </cell>
        </row>
        <row r="570">
          <cell r="A570" t="str">
            <v>C493BP</v>
          </cell>
          <cell r="B570">
            <v>1019</v>
          </cell>
        </row>
        <row r="571">
          <cell r="A571" t="str">
            <v>C493BPS</v>
          </cell>
          <cell r="B571">
            <v>1019</v>
          </cell>
        </row>
        <row r="572">
          <cell r="A572" t="str">
            <v>C493PR</v>
          </cell>
          <cell r="B572">
            <v>1079</v>
          </cell>
        </row>
        <row r="573">
          <cell r="A573" t="str">
            <v>C493RU</v>
          </cell>
          <cell r="B573">
            <v>1079</v>
          </cell>
        </row>
        <row r="574">
          <cell r="A574" t="str">
            <v>C493MA</v>
          </cell>
          <cell r="B574">
            <v>1079</v>
          </cell>
        </row>
        <row r="575">
          <cell r="A575" t="str">
            <v>C493LI</v>
          </cell>
          <cell r="B575">
            <v>1079</v>
          </cell>
        </row>
        <row r="576">
          <cell r="A576" t="str">
            <v>C493DU</v>
          </cell>
          <cell r="B576">
            <v>1206</v>
          </cell>
        </row>
        <row r="577">
          <cell r="A577" t="str">
            <v>C493SW</v>
          </cell>
          <cell r="B577">
            <v>1099</v>
          </cell>
        </row>
        <row r="578">
          <cell r="A578" t="str">
            <v>C493GH</v>
          </cell>
          <cell r="B578">
            <v>1099</v>
          </cell>
        </row>
        <row r="579">
          <cell r="A579" t="str">
            <v>C493RG</v>
          </cell>
          <cell r="B579">
            <v>1099</v>
          </cell>
        </row>
        <row r="580">
          <cell r="A580" t="str">
            <v>C493BW</v>
          </cell>
          <cell r="B580">
            <v>1099</v>
          </cell>
        </row>
        <row r="581">
          <cell r="A581" t="str">
            <v>CF493ST</v>
          </cell>
          <cell r="B581">
            <v>1319</v>
          </cell>
        </row>
        <row r="582">
          <cell r="A582" t="str">
            <v>CF493SA</v>
          </cell>
          <cell r="B582">
            <v>1319</v>
          </cell>
        </row>
        <row r="583">
          <cell r="A583" t="str">
            <v>CF493W</v>
          </cell>
          <cell r="B583">
            <v>1319</v>
          </cell>
        </row>
        <row r="584">
          <cell r="A584" t="str">
            <v>CF493ME</v>
          </cell>
          <cell r="B584">
            <v>1319</v>
          </cell>
        </row>
        <row r="585">
          <cell r="A585" t="str">
            <v>C503SIGA</v>
          </cell>
          <cell r="B585">
            <v>1298</v>
          </cell>
        </row>
        <row r="586">
          <cell r="A586" t="str">
            <v>C503RA</v>
          </cell>
          <cell r="B586">
            <v>1099</v>
          </cell>
        </row>
        <row r="587">
          <cell r="A587" t="str">
            <v>C503RO</v>
          </cell>
          <cell r="B587">
            <v>1099</v>
          </cell>
        </row>
        <row r="588">
          <cell r="A588" t="str">
            <v>C503WI</v>
          </cell>
          <cell r="B588">
            <v>1099</v>
          </cell>
        </row>
        <row r="589">
          <cell r="A589" t="str">
            <v>C503BI</v>
          </cell>
          <cell r="B589">
            <v>1099</v>
          </cell>
        </row>
        <row r="590">
          <cell r="A590" t="str">
            <v>C503ME</v>
          </cell>
          <cell r="B590">
            <v>1099</v>
          </cell>
        </row>
        <row r="591">
          <cell r="A591" t="str">
            <v>C643BPF</v>
          </cell>
          <cell r="B591">
            <v>1299</v>
          </cell>
        </row>
        <row r="592">
          <cell r="A592" t="str">
            <v>C643BI</v>
          </cell>
          <cell r="B592">
            <v>1359</v>
          </cell>
        </row>
        <row r="593">
          <cell r="A593" t="str">
            <v>C643H</v>
          </cell>
          <cell r="B593">
            <v>1359</v>
          </cell>
        </row>
        <row r="594">
          <cell r="A594" t="str">
            <v>C643M</v>
          </cell>
          <cell r="B594">
            <v>1359</v>
          </cell>
        </row>
        <row r="595">
          <cell r="A595" t="str">
            <v>CF643M</v>
          </cell>
          <cell r="B595">
            <v>1699</v>
          </cell>
        </row>
        <row r="596">
          <cell r="A596" t="str">
            <v>CF643T</v>
          </cell>
          <cell r="B596">
            <v>1699</v>
          </cell>
        </row>
        <row r="597">
          <cell r="A597" t="str">
            <v>C643MN</v>
          </cell>
          <cell r="B597">
            <v>1605</v>
          </cell>
        </row>
        <row r="598">
          <cell r="A598" t="str">
            <v>C643XMO</v>
          </cell>
          <cell r="B598">
            <v>1648</v>
          </cell>
        </row>
        <row r="599">
          <cell r="A599" t="str">
            <v>C643XMS</v>
          </cell>
          <cell r="B599">
            <v>1648</v>
          </cell>
        </row>
        <row r="600">
          <cell r="A600" t="str">
            <v>C503BW/C14</v>
          </cell>
          <cell r="B600">
            <v>1187</v>
          </cell>
        </row>
        <row r="601">
          <cell r="A601" t="str">
            <v>C503TS/C14</v>
          </cell>
          <cell r="B601">
            <v>1187</v>
          </cell>
        </row>
        <row r="602">
          <cell r="A602" t="str">
            <v>C503RO/C14</v>
          </cell>
          <cell r="B602">
            <v>1187</v>
          </cell>
        </row>
        <row r="603">
          <cell r="A603" t="str">
            <v>C503F/C14</v>
          </cell>
          <cell r="B603">
            <v>1187</v>
          </cell>
        </row>
        <row r="604">
          <cell r="A604" t="str">
            <v>C503NID/C14</v>
          </cell>
          <cell r="B604">
            <v>1187</v>
          </cell>
        </row>
        <row r="605">
          <cell r="A605" t="str">
            <v>C503SIG/C14</v>
          </cell>
          <cell r="B605">
            <v>1513</v>
          </cell>
        </row>
        <row r="606">
          <cell r="A606" t="str">
            <v>C1003B/C14</v>
          </cell>
          <cell r="B606">
            <v>2398</v>
          </cell>
        </row>
        <row r="607">
          <cell r="A607" t="str">
            <v>C1003F/C14</v>
          </cell>
          <cell r="B607">
            <v>2398</v>
          </cell>
        </row>
        <row r="608">
          <cell r="A608" t="str">
            <v>C10030XF/C14</v>
          </cell>
          <cell r="B608">
            <v>2848</v>
          </cell>
        </row>
        <row r="609">
          <cell r="A609" t="str">
            <v>C1163MB/C14</v>
          </cell>
          <cell r="B609">
            <v>4069</v>
          </cell>
        </row>
        <row r="610">
          <cell r="A610" t="str">
            <v>C12230XPT/C14</v>
          </cell>
          <cell r="B610">
            <v>3539</v>
          </cell>
        </row>
        <row r="611">
          <cell r="A611" t="str">
            <v>C503BW/C14(T)</v>
          </cell>
          <cell r="B611">
            <v>1330</v>
          </cell>
        </row>
        <row r="612">
          <cell r="A612" t="str">
            <v>C503TS/C14(T)</v>
          </cell>
          <cell r="B612">
            <v>1330</v>
          </cell>
        </row>
        <row r="613">
          <cell r="A613" t="str">
            <v>C503RO/C14(T)</v>
          </cell>
          <cell r="B613">
            <v>1330</v>
          </cell>
        </row>
        <row r="614">
          <cell r="A614" t="str">
            <v>C503F/C14(T)</v>
          </cell>
          <cell r="B614">
            <v>1330</v>
          </cell>
        </row>
        <row r="615">
          <cell r="A615" t="str">
            <v>C503NID/C14(T)</v>
          </cell>
          <cell r="B615">
            <v>1330</v>
          </cell>
        </row>
        <row r="616">
          <cell r="A616" t="str">
            <v>C503SIG/C14(T)</v>
          </cell>
          <cell r="B616">
            <v>1695</v>
          </cell>
        </row>
        <row r="617">
          <cell r="A617" t="str">
            <v>C1003B/C14(T)</v>
          </cell>
          <cell r="B617">
            <v>2686</v>
          </cell>
        </row>
        <row r="618">
          <cell r="A618" t="str">
            <v>C10030XF/C14(T)</v>
          </cell>
          <cell r="B618">
            <v>3190</v>
          </cell>
        </row>
        <row r="619">
          <cell r="A619" t="str">
            <v>C1163MB/C14(T)</v>
          </cell>
          <cell r="B619">
            <v>4558</v>
          </cell>
        </row>
        <row r="620">
          <cell r="A620" t="str">
            <v>C12230XPT/C14(T)</v>
          </cell>
          <cell r="B620">
            <v>3964</v>
          </cell>
        </row>
        <row r="621">
          <cell r="A621" t="str">
            <v>C1003BP/C</v>
          </cell>
          <cell r="B621">
            <v>2199</v>
          </cell>
        </row>
        <row r="622">
          <cell r="A622" t="str">
            <v>C1003BPF/C</v>
          </cell>
          <cell r="B622">
            <v>2199</v>
          </cell>
        </row>
        <row r="623">
          <cell r="A623" t="str">
            <v>C1003BPS/C</v>
          </cell>
          <cell r="B623">
            <v>2199</v>
          </cell>
        </row>
        <row r="624">
          <cell r="A624" t="str">
            <v>C1003BB/C</v>
          </cell>
          <cell r="B624">
            <v>2229</v>
          </cell>
        </row>
        <row r="625">
          <cell r="A625" t="str">
            <v>C1003F/C</v>
          </cell>
          <cell r="B625">
            <v>2229</v>
          </cell>
        </row>
        <row r="626">
          <cell r="A626" t="str">
            <v>C1003SIG/C</v>
          </cell>
          <cell r="B626">
            <v>2751</v>
          </cell>
        </row>
        <row r="627">
          <cell r="A627" t="str">
            <v>C1003VS/C</v>
          </cell>
          <cell r="B627">
            <v>2563</v>
          </cell>
        </row>
        <row r="628">
          <cell r="A628" t="str">
            <v>CF1003P/C</v>
          </cell>
          <cell r="B628">
            <v>3079</v>
          </cell>
        </row>
        <row r="629">
          <cell r="A629" t="str">
            <v>C128XMPT/C</v>
          </cell>
          <cell r="B629">
            <v>3888</v>
          </cell>
        </row>
        <row r="630">
          <cell r="A630" t="str">
            <v>C128XMB/C</v>
          </cell>
          <cell r="B630">
            <v>3790</v>
          </cell>
        </row>
        <row r="631">
          <cell r="A631" t="str">
            <v>C1503X/C</v>
          </cell>
          <cell r="B631">
            <v>3699</v>
          </cell>
        </row>
        <row r="632">
          <cell r="A632" t="str">
            <v>C1503BPF/C</v>
          </cell>
          <cell r="B632">
            <v>3599</v>
          </cell>
        </row>
        <row r="633">
          <cell r="A633" t="str">
            <v>C1923XMF/C</v>
          </cell>
          <cell r="B633">
            <v>5493</v>
          </cell>
        </row>
        <row r="634">
          <cell r="A634" t="str">
            <v>C2003BP/C</v>
          </cell>
          <cell r="B634">
            <v>4739</v>
          </cell>
        </row>
        <row r="635">
          <cell r="A635" t="str">
            <v>C2003U/C</v>
          </cell>
          <cell r="B635">
            <v>4799</v>
          </cell>
        </row>
        <row r="636">
          <cell r="A636" t="str">
            <v>C2003F/C</v>
          </cell>
          <cell r="B636">
            <v>4799</v>
          </cell>
        </row>
        <row r="637">
          <cell r="A637" t="str">
            <v>C2003SIG/C</v>
          </cell>
          <cell r="B637">
            <v>5625</v>
          </cell>
        </row>
        <row r="638">
          <cell r="A638" t="str">
            <v>C2563XMF/C</v>
          </cell>
          <cell r="B638">
            <v>7935</v>
          </cell>
        </row>
        <row r="639">
          <cell r="A639" t="str">
            <v>C1003BP/C(T)</v>
          </cell>
          <cell r="B639">
            <v>2463</v>
          </cell>
        </row>
        <row r="640">
          <cell r="A640" t="str">
            <v>C1003BPF/C(T)</v>
          </cell>
          <cell r="B640">
            <v>2463</v>
          </cell>
        </row>
        <row r="641">
          <cell r="A641" t="str">
            <v>C1003BB/C(T)</v>
          </cell>
          <cell r="B641">
            <v>2497</v>
          </cell>
        </row>
        <row r="642">
          <cell r="A642" t="str">
            <v>C1003SIG/C(T)</v>
          </cell>
          <cell r="B642">
            <v>3082</v>
          </cell>
        </row>
        <row r="643">
          <cell r="A643" t="str">
            <v>C1003VS/C(T)</v>
          </cell>
          <cell r="B643">
            <v>2871</v>
          </cell>
        </row>
        <row r="644">
          <cell r="A644" t="str">
            <v>CF1003P/C(T)</v>
          </cell>
          <cell r="B644">
            <v>3449</v>
          </cell>
        </row>
        <row r="645">
          <cell r="A645" t="str">
            <v>C128XMPT/C(T)</v>
          </cell>
          <cell r="B645">
            <v>4355</v>
          </cell>
        </row>
        <row r="646">
          <cell r="A646" t="str">
            <v>C128XMB/C(T)</v>
          </cell>
          <cell r="B646">
            <v>4245</v>
          </cell>
        </row>
        <row r="647">
          <cell r="A647" t="str">
            <v>C1503X/C(T)</v>
          </cell>
          <cell r="B647">
            <v>4143</v>
          </cell>
        </row>
        <row r="648">
          <cell r="A648" t="str">
            <v>C1503BPF/C(T)</v>
          </cell>
          <cell r="B648">
            <v>4031</v>
          </cell>
        </row>
        <row r="649">
          <cell r="A649" t="str">
            <v>C2003BP/C(T)</v>
          </cell>
          <cell r="B649">
            <v>5308</v>
          </cell>
        </row>
        <row r="650">
          <cell r="A650" t="str">
            <v>C2003U/C(T)</v>
          </cell>
          <cell r="B650">
            <v>5375</v>
          </cell>
        </row>
        <row r="651">
          <cell r="A651" t="str">
            <v>C2003SIG/C(T)</v>
          </cell>
          <cell r="B651">
            <v>6300</v>
          </cell>
        </row>
        <row r="652">
          <cell r="A652" t="str">
            <v>C2563XMF/C(T)</v>
          </cell>
          <cell r="B652">
            <v>8888</v>
          </cell>
        </row>
        <row r="653">
          <cell r="A653" t="str">
            <v>C165JA</v>
          </cell>
          <cell r="B653">
            <v>1158</v>
          </cell>
        </row>
        <row r="654">
          <cell r="A654" t="str">
            <v>C165P</v>
          </cell>
          <cell r="B654">
            <v>1158</v>
          </cell>
        </row>
        <row r="655">
          <cell r="A655" t="str">
            <v>C2545NO</v>
          </cell>
          <cell r="B655">
            <v>1435</v>
          </cell>
        </row>
        <row r="656">
          <cell r="A656" t="str">
            <v>C2545DI</v>
          </cell>
          <cell r="B656">
            <v>1435</v>
          </cell>
        </row>
        <row r="657">
          <cell r="A657" t="str">
            <v>C2545MA</v>
          </cell>
          <cell r="B657">
            <v>1435</v>
          </cell>
        </row>
        <row r="658">
          <cell r="A658" t="str">
            <v>C255BP</v>
          </cell>
          <cell r="B658">
            <v>1809</v>
          </cell>
        </row>
        <row r="659">
          <cell r="A659" t="str">
            <v>C3545MF</v>
          </cell>
          <cell r="B659">
            <v>2041</v>
          </cell>
        </row>
        <row r="660">
          <cell r="A660" t="str">
            <v>C3545NO</v>
          </cell>
          <cell r="B660">
            <v>2041</v>
          </cell>
        </row>
        <row r="661">
          <cell r="A661" t="str">
            <v>C3645BA</v>
          </cell>
          <cell r="B661">
            <v>2100</v>
          </cell>
        </row>
        <row r="662">
          <cell r="A662" t="str">
            <v>C3645SE</v>
          </cell>
          <cell r="B662">
            <v>2100</v>
          </cell>
        </row>
        <row r="663">
          <cell r="A663" t="str">
            <v>C365DU</v>
          </cell>
          <cell r="B663">
            <v>3064</v>
          </cell>
        </row>
        <row r="664">
          <cell r="A664" t="str">
            <v>C505X/C</v>
          </cell>
          <cell r="B664">
            <v>3880</v>
          </cell>
        </row>
        <row r="665">
          <cell r="A665" t="str">
            <v>C505V/C</v>
          </cell>
          <cell r="B665">
            <v>3880</v>
          </cell>
        </row>
        <row r="666">
          <cell r="A666" t="str">
            <v>C755R/C</v>
          </cell>
          <cell r="B666">
            <v>5531</v>
          </cell>
        </row>
        <row r="667">
          <cell r="A667" t="str">
            <v>C10545GI/C</v>
          </cell>
          <cell r="B667">
            <v>6991</v>
          </cell>
        </row>
        <row r="668">
          <cell r="A668" t="str">
            <v>C505X/C(T)</v>
          </cell>
          <cell r="B668">
            <v>4346</v>
          </cell>
        </row>
        <row r="669">
          <cell r="A669" t="str">
            <v>C505V/C(T)</v>
          </cell>
          <cell r="B669">
            <v>4346</v>
          </cell>
        </row>
        <row r="670">
          <cell r="A670" t="str">
            <v>C755R/C(T)</v>
          </cell>
          <cell r="B670">
            <v>6195</v>
          </cell>
        </row>
        <row r="671">
          <cell r="A671" t="str">
            <v>C10545GI/C(T)</v>
          </cell>
          <cell r="B671">
            <v>7830</v>
          </cell>
        </row>
        <row r="672">
          <cell r="A672" t="str">
            <v>C2505D</v>
          </cell>
          <cell r="B672">
            <v>2034</v>
          </cell>
        </row>
        <row r="673">
          <cell r="A673" t="str">
            <v>C2463B</v>
          </cell>
          <cell r="B673">
            <v>4438</v>
          </cell>
        </row>
        <row r="674">
          <cell r="A674" t="str">
            <v>C4963V</v>
          </cell>
          <cell r="B674">
            <v>8965</v>
          </cell>
        </row>
        <row r="675">
          <cell r="A675" t="str">
            <v>C2575C</v>
          </cell>
          <cell r="B675">
            <v>7444</v>
          </cell>
        </row>
        <row r="676">
          <cell r="A676" t="str">
            <v>C39MPT</v>
          </cell>
          <cell r="B676">
            <v>671</v>
          </cell>
        </row>
        <row r="677">
          <cell r="A677" t="str">
            <v>C39MPT14</v>
          </cell>
          <cell r="B677">
            <v>671</v>
          </cell>
        </row>
        <row r="678">
          <cell r="A678" t="str">
            <v>C40FMH</v>
          </cell>
          <cell r="B678">
            <v>681</v>
          </cell>
        </row>
        <row r="679">
          <cell r="A679" t="str">
            <v>C41MSIG</v>
          </cell>
          <cell r="B679">
            <v>699</v>
          </cell>
        </row>
        <row r="680">
          <cell r="A680" t="str">
            <v>C50MO</v>
          </cell>
          <cell r="B680">
            <v>795</v>
          </cell>
        </row>
        <row r="681">
          <cell r="A681" t="str">
            <v>C50MCH</v>
          </cell>
          <cell r="B681">
            <v>795</v>
          </cell>
        </row>
        <row r="682">
          <cell r="A682" t="str">
            <v>C50MO14</v>
          </cell>
          <cell r="B682">
            <v>795</v>
          </cell>
        </row>
        <row r="683">
          <cell r="A683" t="str">
            <v>C64MT</v>
          </cell>
          <cell r="B683">
            <v>753</v>
          </cell>
        </row>
        <row r="684">
          <cell r="A684" t="str">
            <v>C64MP</v>
          </cell>
          <cell r="B684">
            <v>753</v>
          </cell>
        </row>
        <row r="685">
          <cell r="A685" t="str">
            <v>C64MT14</v>
          </cell>
          <cell r="B685">
            <v>753</v>
          </cell>
        </row>
        <row r="686">
          <cell r="A686" t="str">
            <v>C68XMPT</v>
          </cell>
          <cell r="B686">
            <v>961</v>
          </cell>
        </row>
        <row r="687">
          <cell r="A687" t="str">
            <v>C68XMCS</v>
          </cell>
          <cell r="B687">
            <v>961</v>
          </cell>
        </row>
        <row r="688">
          <cell r="A688" t="str">
            <v>C68XMPT14</v>
          </cell>
          <cell r="B688">
            <v>961</v>
          </cell>
        </row>
        <row r="689">
          <cell r="A689" t="str">
            <v>C68XMCS14</v>
          </cell>
          <cell r="B689">
            <v>961</v>
          </cell>
        </row>
        <row r="690">
          <cell r="A690" t="str">
            <v>C100MPT</v>
          </cell>
          <cell r="B690">
            <v>1684</v>
          </cell>
        </row>
        <row r="691">
          <cell r="A691" t="str">
            <v>C100MN</v>
          </cell>
          <cell r="B691">
            <v>1684</v>
          </cell>
        </row>
        <row r="692">
          <cell r="A692" t="str">
            <v>C106MH</v>
          </cell>
          <cell r="B692">
            <v>1698</v>
          </cell>
        </row>
        <row r="693">
          <cell r="A693" t="str">
            <v>C106MB</v>
          </cell>
          <cell r="B693">
            <v>1698</v>
          </cell>
        </row>
        <row r="694">
          <cell r="A694" t="str">
            <v>C109MG</v>
          </cell>
          <cell r="B694">
            <v>1550</v>
          </cell>
        </row>
        <row r="695">
          <cell r="A695" t="str">
            <v>C109MM</v>
          </cell>
          <cell r="B695">
            <v>1550</v>
          </cell>
        </row>
        <row r="696">
          <cell r="A696" t="str">
            <v>C100MTS/C14</v>
          </cell>
          <cell r="B696">
            <v>1854</v>
          </cell>
        </row>
        <row r="697">
          <cell r="A697" t="str">
            <v>C100MPT/C14</v>
          </cell>
          <cell r="B697">
            <v>1854</v>
          </cell>
        </row>
        <row r="698">
          <cell r="A698" t="str">
            <v>C128MS/C14</v>
          </cell>
          <cell r="B698">
            <v>1912</v>
          </cell>
        </row>
        <row r="699">
          <cell r="A699" t="str">
            <v>C132XMPT/C14</v>
          </cell>
          <cell r="B699">
            <v>2830</v>
          </cell>
        </row>
        <row r="700">
          <cell r="A700" t="str">
            <v>C136XMTS/C14</v>
          </cell>
          <cell r="B700">
            <v>2255</v>
          </cell>
        </row>
        <row r="701">
          <cell r="A701" t="str">
            <v>C136XMK/C14</v>
          </cell>
          <cell r="B701">
            <v>2255</v>
          </cell>
        </row>
        <row r="702">
          <cell r="A702" t="str">
            <v>C150MF/C14</v>
          </cell>
          <cell r="B702">
            <v>2957</v>
          </cell>
        </row>
        <row r="703">
          <cell r="A703" t="str">
            <v>C200MF/C14</v>
          </cell>
          <cell r="B703">
            <v>3885</v>
          </cell>
        </row>
        <row r="704">
          <cell r="A704" t="str">
            <v>C204XMPT/C14</v>
          </cell>
          <cell r="B704">
            <v>3459</v>
          </cell>
        </row>
        <row r="705">
          <cell r="A705" t="str">
            <v>C216XMFS/C14</v>
          </cell>
          <cell r="B705">
            <v>3639</v>
          </cell>
        </row>
        <row r="706">
          <cell r="A706" t="str">
            <v>C223XMK/C14</v>
          </cell>
          <cell r="B706">
            <v>4381</v>
          </cell>
        </row>
        <row r="707">
          <cell r="A707" t="str">
            <v>C100MTS/C14(T)</v>
          </cell>
          <cell r="B707">
            <v>2077</v>
          </cell>
        </row>
        <row r="708">
          <cell r="A708" t="str">
            <v>C100MPT/C14(T)</v>
          </cell>
          <cell r="B708">
            <v>2077</v>
          </cell>
        </row>
        <row r="709">
          <cell r="A709" t="str">
            <v>C128MS/C14(T)</v>
          </cell>
          <cell r="B709">
            <v>2142</v>
          </cell>
        </row>
        <row r="710">
          <cell r="A710" t="str">
            <v>C132XMPT/C14(T)</v>
          </cell>
          <cell r="B710">
            <v>3170</v>
          </cell>
        </row>
        <row r="711">
          <cell r="A711" t="str">
            <v>C136XMTS/C14(T)</v>
          </cell>
          <cell r="B711">
            <v>2526</v>
          </cell>
        </row>
        <row r="712">
          <cell r="A712" t="str">
            <v>C136XMK/C14(T)</v>
          </cell>
          <cell r="B712">
            <v>2526</v>
          </cell>
        </row>
        <row r="713">
          <cell r="A713" t="str">
            <v>C150MF/C14(T)</v>
          </cell>
          <cell r="B713">
            <v>3312</v>
          </cell>
        </row>
        <row r="714">
          <cell r="A714" t="str">
            <v>C200MF/C14(T)</v>
          </cell>
          <cell r="B714">
            <v>4352</v>
          </cell>
        </row>
        <row r="715">
          <cell r="A715" t="str">
            <v>C204XMPT/C14(T)</v>
          </cell>
          <cell r="B715">
            <v>3875</v>
          </cell>
        </row>
        <row r="716">
          <cell r="A716" t="str">
            <v>C216XMFS/C14(T)</v>
          </cell>
          <cell r="B716">
            <v>4076</v>
          </cell>
        </row>
        <row r="717">
          <cell r="A717" t="str">
            <v>C223XMK/C14(T)</v>
          </cell>
          <cell r="B717">
            <v>4907</v>
          </cell>
        </row>
        <row r="718">
          <cell r="A718" t="str">
            <v>C132XMPT/C</v>
          </cell>
          <cell r="B718">
            <v>2830</v>
          </cell>
        </row>
        <row r="719">
          <cell r="A719" t="str">
            <v>C150MPT/C</v>
          </cell>
          <cell r="B719">
            <v>2957</v>
          </cell>
        </row>
        <row r="720">
          <cell r="A720" t="str">
            <v>C150MF/C</v>
          </cell>
          <cell r="B720">
            <v>2957</v>
          </cell>
        </row>
        <row r="721">
          <cell r="A721" t="str">
            <v>C200MF/C</v>
          </cell>
          <cell r="B721">
            <v>3885</v>
          </cell>
        </row>
        <row r="722">
          <cell r="A722" t="str">
            <v>C204XMPT/C</v>
          </cell>
          <cell r="B722">
            <v>3459</v>
          </cell>
        </row>
        <row r="723">
          <cell r="A723" t="str">
            <v>C216XMFS/C</v>
          </cell>
          <cell r="B723">
            <v>3639</v>
          </cell>
        </row>
        <row r="724">
          <cell r="A724" t="str">
            <v>C223XMK/C</v>
          </cell>
          <cell r="B724">
            <v>4381</v>
          </cell>
        </row>
        <row r="725">
          <cell r="A725" t="str">
            <v>C132XMPT/C(T)</v>
          </cell>
          <cell r="B725">
            <v>3170</v>
          </cell>
        </row>
        <row r="726">
          <cell r="A726" t="str">
            <v>C150MPT/C(T)</v>
          </cell>
          <cell r="B726">
            <v>3312</v>
          </cell>
        </row>
        <row r="727">
          <cell r="A727" t="str">
            <v>C150MF/C(T)</v>
          </cell>
          <cell r="B727">
            <v>3312</v>
          </cell>
        </row>
        <row r="728">
          <cell r="A728" t="str">
            <v>C200MF/C(T)</v>
          </cell>
          <cell r="B728">
            <v>4352</v>
          </cell>
        </row>
        <row r="729">
          <cell r="A729" t="str">
            <v>C204XMPT/C(T)</v>
          </cell>
          <cell r="B729">
            <v>3875</v>
          </cell>
        </row>
        <row r="730">
          <cell r="A730" t="str">
            <v>C216XMFS/C(T)</v>
          </cell>
          <cell r="B730">
            <v>4076</v>
          </cell>
        </row>
        <row r="731">
          <cell r="A731" t="str">
            <v>C223XMK/C(T)</v>
          </cell>
          <cell r="B731">
            <v>4907</v>
          </cell>
        </row>
        <row r="732">
          <cell r="A732" t="str">
            <v>C212MF/C</v>
          </cell>
          <cell r="B732">
            <v>3643</v>
          </cell>
        </row>
        <row r="733">
          <cell r="A733" t="str">
            <v>C219XMPT/C</v>
          </cell>
          <cell r="B733">
            <v>6307</v>
          </cell>
        </row>
        <row r="734">
          <cell r="A734" t="str">
            <v>C223MF/C</v>
          </cell>
          <cell r="B734">
            <v>3568</v>
          </cell>
        </row>
        <row r="735">
          <cell r="A735" t="str">
            <v>C253XMPT/C</v>
          </cell>
          <cell r="B735">
            <v>6524</v>
          </cell>
        </row>
        <row r="736">
          <cell r="A736" t="str">
            <v>C379XMK/C</v>
          </cell>
          <cell r="B736">
            <v>10732</v>
          </cell>
        </row>
        <row r="737">
          <cell r="A737" t="str">
            <v>C446MM/C</v>
          </cell>
          <cell r="B737">
            <v>6779</v>
          </cell>
        </row>
        <row r="738">
          <cell r="A738" t="str">
            <v>C212MF/C(T)</v>
          </cell>
          <cell r="B738">
            <v>4081</v>
          </cell>
        </row>
        <row r="739">
          <cell r="A739" t="str">
            <v>C219XMPT/C(T)</v>
          </cell>
          <cell r="B739">
            <v>7064</v>
          </cell>
        </row>
        <row r="740">
          <cell r="A740" t="str">
            <v>C223MF/C(T)</v>
          </cell>
          <cell r="B740">
            <v>3997</v>
          </cell>
        </row>
        <row r="741">
          <cell r="A741" t="str">
            <v>C253XMPT/C(T)</v>
          </cell>
          <cell r="B741">
            <v>7307</v>
          </cell>
        </row>
        <row r="742">
          <cell r="A742" t="str">
            <v>C379XMK/C(T)</v>
          </cell>
          <cell r="B742">
            <v>12020</v>
          </cell>
        </row>
        <row r="743">
          <cell r="A743" t="str">
            <v>C446MM/C(T)</v>
          </cell>
          <cell r="B743">
            <v>7593</v>
          </cell>
        </row>
        <row r="744">
          <cell r="A744" t="str">
            <v>C23MO</v>
          </cell>
          <cell r="B744">
            <v>766</v>
          </cell>
        </row>
        <row r="745">
          <cell r="A745" t="str">
            <v>C24MH</v>
          </cell>
          <cell r="B745">
            <v>565</v>
          </cell>
        </row>
        <row r="746">
          <cell r="A746" t="str">
            <v>C36MH</v>
          </cell>
          <cell r="B746">
            <v>1759</v>
          </cell>
        </row>
        <row r="747">
          <cell r="A747" t="str">
            <v>C42MM</v>
          </cell>
          <cell r="B747">
            <v>1085</v>
          </cell>
        </row>
        <row r="748">
          <cell r="A748" t="str">
            <v>C47MB</v>
          </cell>
          <cell r="B748">
            <v>1673</v>
          </cell>
        </row>
        <row r="749">
          <cell r="A749" t="str">
            <v>C47MI</v>
          </cell>
          <cell r="B749">
            <v>1673</v>
          </cell>
        </row>
        <row r="750">
          <cell r="A750" t="str">
            <v>C47XMT</v>
          </cell>
          <cell r="B750">
            <v>1948</v>
          </cell>
        </row>
        <row r="751">
          <cell r="A751" t="str">
            <v>C47XMA</v>
          </cell>
          <cell r="B751">
            <v>1948</v>
          </cell>
        </row>
        <row r="752">
          <cell r="A752" t="str">
            <v>C62SMT</v>
          </cell>
          <cell r="B752">
            <v>1858</v>
          </cell>
        </row>
        <row r="753">
          <cell r="A753" t="str">
            <v>C63MM</v>
          </cell>
          <cell r="B753">
            <v>1487</v>
          </cell>
        </row>
        <row r="754">
          <cell r="A754" t="str">
            <v>C63MP</v>
          </cell>
          <cell r="B754">
            <v>1487</v>
          </cell>
        </row>
        <row r="755">
          <cell r="A755" t="str">
            <v>C66SMMO</v>
          </cell>
          <cell r="B755">
            <v>1961</v>
          </cell>
        </row>
        <row r="756">
          <cell r="A756" t="str">
            <v>C84M12F/C</v>
          </cell>
          <cell r="B756">
            <v>3319</v>
          </cell>
        </row>
        <row r="757">
          <cell r="A757" t="str">
            <v>C84M12S/C</v>
          </cell>
          <cell r="B757">
            <v>3319</v>
          </cell>
        </row>
        <row r="758">
          <cell r="A758" t="str">
            <v>C84MC/C</v>
          </cell>
          <cell r="B758">
            <v>3887</v>
          </cell>
        </row>
        <row r="759">
          <cell r="A759" t="str">
            <v>C111MF/C</v>
          </cell>
          <cell r="B759">
            <v>3837</v>
          </cell>
        </row>
        <row r="760">
          <cell r="A760" t="str">
            <v>C175MF/C</v>
          </cell>
          <cell r="B760">
            <v>6391</v>
          </cell>
        </row>
        <row r="761">
          <cell r="A761" t="str">
            <v>C175MF/C(T)</v>
          </cell>
          <cell r="B761">
            <v>7158</v>
          </cell>
        </row>
        <row r="762">
          <cell r="A762" t="str">
            <v>C175MSIG/C</v>
          </cell>
          <cell r="B762">
            <v>6930</v>
          </cell>
        </row>
        <row r="763">
          <cell r="A763" t="str">
            <v>C222MNPT/C</v>
          </cell>
          <cell r="B763">
            <v>8875</v>
          </cell>
        </row>
        <row r="764">
          <cell r="A764" t="str">
            <v>C222MF/C</v>
          </cell>
          <cell r="B764">
            <v>8594</v>
          </cell>
        </row>
        <row r="765">
          <cell r="A765" t="str">
            <v>C84M12F/C(T)</v>
          </cell>
          <cell r="B765">
            <v>3718</v>
          </cell>
        </row>
        <row r="766">
          <cell r="A766" t="str">
            <v>C84M12S/C(T)</v>
          </cell>
          <cell r="B766">
            <v>3718</v>
          </cell>
        </row>
        <row r="767">
          <cell r="A767" t="str">
            <v>C84MC/C(T)</v>
          </cell>
          <cell r="B767">
            <v>4354</v>
          </cell>
        </row>
        <row r="768">
          <cell r="A768" t="str">
            <v>C111MF/C(T)</v>
          </cell>
          <cell r="B768">
            <v>4298</v>
          </cell>
        </row>
        <row r="769">
          <cell r="A769" t="str">
            <v>C175MSIG/C(T)</v>
          </cell>
          <cell r="B769">
            <v>7762</v>
          </cell>
        </row>
        <row r="770">
          <cell r="A770" t="str">
            <v>C222MNPT/C(T)</v>
          </cell>
          <cell r="B770">
            <v>9940</v>
          </cell>
        </row>
        <row r="771">
          <cell r="A771" t="str">
            <v>C222MF/C(T)</v>
          </cell>
          <cell r="B771">
            <v>9626</v>
          </cell>
        </row>
        <row r="772">
          <cell r="A772" t="str">
            <v>C96MB</v>
          </cell>
          <cell r="B772">
            <v>8000</v>
          </cell>
        </row>
        <row r="773">
          <cell r="A773" t="str">
            <v>C304MK</v>
          </cell>
          <cell r="B773">
            <v>16200</v>
          </cell>
        </row>
        <row r="774">
          <cell r="A774" t="str">
            <v>R7538D</v>
          </cell>
          <cell r="B774">
            <v>299</v>
          </cell>
        </row>
        <row r="775">
          <cell r="A775" t="str">
            <v>R7538H</v>
          </cell>
          <cell r="B775">
            <v>299</v>
          </cell>
        </row>
        <row r="776">
          <cell r="A776" t="str">
            <v>R7538CH</v>
          </cell>
          <cell r="B776">
            <v>299</v>
          </cell>
        </row>
        <row r="777">
          <cell r="A777" t="str">
            <v>SS30G</v>
          </cell>
          <cell r="B777">
            <v>799</v>
          </cell>
        </row>
        <row r="778">
          <cell r="A778" t="str">
            <v>SS30H</v>
          </cell>
          <cell r="B778">
            <v>799</v>
          </cell>
        </row>
        <row r="779">
          <cell r="A779" t="str">
            <v>SS30CH</v>
          </cell>
          <cell r="B779">
            <v>799</v>
          </cell>
        </row>
        <row r="780">
          <cell r="A780" t="str">
            <v>SS50F</v>
          </cell>
          <cell r="B780">
            <v>459</v>
          </cell>
        </row>
        <row r="781">
          <cell r="A781" t="str">
            <v>SS50M</v>
          </cell>
          <cell r="B781">
            <v>459</v>
          </cell>
        </row>
        <row r="782">
          <cell r="A782" t="str">
            <v>CX1352X2</v>
          </cell>
          <cell r="B782">
            <v>1736</v>
          </cell>
        </row>
        <row r="783">
          <cell r="A783" t="str">
            <v>CS1352X5</v>
          </cell>
          <cell r="B783">
            <v>1670</v>
          </cell>
        </row>
        <row r="784">
          <cell r="A784" t="str">
            <v>CF1352X6</v>
          </cell>
          <cell r="B784">
            <v>1670</v>
          </cell>
        </row>
        <row r="785">
          <cell r="A785" t="str">
            <v>CF1352X7</v>
          </cell>
          <cell r="B785">
            <v>1670</v>
          </cell>
        </row>
        <row r="786">
          <cell r="A786" t="str">
            <v>CS1352X9</v>
          </cell>
          <cell r="B786">
            <v>1670</v>
          </cell>
        </row>
        <row r="787">
          <cell r="A787" t="str">
            <v>CS1352X10</v>
          </cell>
          <cell r="B787">
            <v>1670</v>
          </cell>
        </row>
        <row r="788">
          <cell r="A788" t="str">
            <v>CX1352X11</v>
          </cell>
          <cell r="B788">
            <v>1670</v>
          </cell>
        </row>
        <row r="789">
          <cell r="A789" t="str">
            <v>CS1352X14</v>
          </cell>
          <cell r="B789">
            <v>1831</v>
          </cell>
        </row>
        <row r="790">
          <cell r="A790" t="str">
            <v>C253CH</v>
          </cell>
          <cell r="B790">
            <v>565</v>
          </cell>
        </row>
        <row r="791">
          <cell r="A791" t="str">
            <v>C253O</v>
          </cell>
          <cell r="B791">
            <v>565</v>
          </cell>
        </row>
        <row r="792">
          <cell r="A792" t="str">
            <v>C503T</v>
          </cell>
          <cell r="B792">
            <v>1142</v>
          </cell>
        </row>
        <row r="793">
          <cell r="A793" t="str">
            <v>CF503X3</v>
          </cell>
          <cell r="B793">
            <v>1655</v>
          </cell>
        </row>
        <row r="794">
          <cell r="A794" t="str">
            <v>CF503X4</v>
          </cell>
          <cell r="B794">
            <v>1600</v>
          </cell>
        </row>
        <row r="795">
          <cell r="A795" t="str">
            <v>CF503X5</v>
          </cell>
          <cell r="B795">
            <v>1600</v>
          </cell>
        </row>
        <row r="796">
          <cell r="A796" t="str">
            <v>CF503X7</v>
          </cell>
          <cell r="B796">
            <v>1600</v>
          </cell>
        </row>
        <row r="797">
          <cell r="A797" t="str">
            <v>CF503X8</v>
          </cell>
          <cell r="B797">
            <v>1600</v>
          </cell>
        </row>
        <row r="798">
          <cell r="A798" t="str">
            <v>CF503X12</v>
          </cell>
          <cell r="B798">
            <v>1600</v>
          </cell>
        </row>
        <row r="799">
          <cell r="A799" t="str">
            <v>CF503X14</v>
          </cell>
          <cell r="B799">
            <v>1600</v>
          </cell>
        </row>
        <row r="800">
          <cell r="A800" t="str">
            <v>CF503X15</v>
          </cell>
          <cell r="B800">
            <v>1600</v>
          </cell>
        </row>
        <row r="801">
          <cell r="A801" t="str">
            <v>CF503X16</v>
          </cell>
          <cell r="B801">
            <v>1600</v>
          </cell>
        </row>
        <row r="802">
          <cell r="A802" t="str">
            <v>CF503X17</v>
          </cell>
          <cell r="B802">
            <v>1600</v>
          </cell>
        </row>
        <row r="803">
          <cell r="A803" t="str">
            <v>CF503X29</v>
          </cell>
          <cell r="B803">
            <v>1600</v>
          </cell>
        </row>
        <row r="804">
          <cell r="A804" t="str">
            <v>CF503X48</v>
          </cell>
          <cell r="B804">
            <v>1600</v>
          </cell>
        </row>
        <row r="805">
          <cell r="A805" t="str">
            <v>CF503X54</v>
          </cell>
          <cell r="B805">
            <v>2048</v>
          </cell>
        </row>
        <row r="806">
          <cell r="A806" t="str">
            <v>CS503X8</v>
          </cell>
          <cell r="B806">
            <v>1600</v>
          </cell>
        </row>
        <row r="807">
          <cell r="A807" t="str">
            <v>CS503X9</v>
          </cell>
          <cell r="B807">
            <v>1655</v>
          </cell>
        </row>
        <row r="808">
          <cell r="A808" t="str">
            <v>CS503X11</v>
          </cell>
          <cell r="B808">
            <v>1600</v>
          </cell>
        </row>
        <row r="809">
          <cell r="A809" t="str">
            <v>CS503X12</v>
          </cell>
          <cell r="B809">
            <v>1300</v>
          </cell>
        </row>
        <row r="810">
          <cell r="A810" t="str">
            <v>CS503X14</v>
          </cell>
          <cell r="B810">
            <v>1600</v>
          </cell>
        </row>
        <row r="811">
          <cell r="A811" t="str">
            <v>CS503X15</v>
          </cell>
          <cell r="B811">
            <v>1600</v>
          </cell>
        </row>
        <row r="812">
          <cell r="A812" t="str">
            <v>CS503X17</v>
          </cell>
          <cell r="B812">
            <v>1300</v>
          </cell>
        </row>
        <row r="813">
          <cell r="A813" t="str">
            <v>CS503X18</v>
          </cell>
          <cell r="B813">
            <v>1300</v>
          </cell>
        </row>
        <row r="814">
          <cell r="A814" t="str">
            <v>CS503X19</v>
          </cell>
          <cell r="B814">
            <v>1300</v>
          </cell>
        </row>
        <row r="815">
          <cell r="A815" t="str">
            <v>CS503X20</v>
          </cell>
          <cell r="B815">
            <v>1600</v>
          </cell>
        </row>
        <row r="816">
          <cell r="A816" t="str">
            <v>CS503X21</v>
          </cell>
          <cell r="B816">
            <v>1300</v>
          </cell>
        </row>
        <row r="817">
          <cell r="A817" t="str">
            <v>CS503X26</v>
          </cell>
          <cell r="B817">
            <v>1300</v>
          </cell>
        </row>
        <row r="818">
          <cell r="A818" t="str">
            <v>CS503X29</v>
          </cell>
          <cell r="B818">
            <v>1300</v>
          </cell>
        </row>
        <row r="819">
          <cell r="A819" t="str">
            <v>CS503X33</v>
          </cell>
          <cell r="B819">
            <v>1600</v>
          </cell>
        </row>
        <row r="820">
          <cell r="A820" t="str">
            <v>CS503X35</v>
          </cell>
          <cell r="B820">
            <v>1600</v>
          </cell>
        </row>
        <row r="821">
          <cell r="A821" t="str">
            <v>CS503X37</v>
          </cell>
          <cell r="B821">
            <v>1600</v>
          </cell>
        </row>
        <row r="822">
          <cell r="A822" t="str">
            <v>CS503X38</v>
          </cell>
          <cell r="B822">
            <v>1600</v>
          </cell>
        </row>
        <row r="823">
          <cell r="A823" t="str">
            <v>CS503X55</v>
          </cell>
          <cell r="B823">
            <v>1600</v>
          </cell>
        </row>
        <row r="824">
          <cell r="A824" t="str">
            <v>CV503X41</v>
          </cell>
          <cell r="B824">
            <v>1300</v>
          </cell>
        </row>
        <row r="825">
          <cell r="A825" t="str">
            <v>CV503X44</v>
          </cell>
          <cell r="B825">
            <v>1300</v>
          </cell>
        </row>
        <row r="826">
          <cell r="A826" t="str">
            <v>CV503X45</v>
          </cell>
          <cell r="B826">
            <v>1300</v>
          </cell>
        </row>
        <row r="827">
          <cell r="A827" t="str">
            <v>SR1930D</v>
          </cell>
          <cell r="B827">
            <v>599</v>
          </cell>
        </row>
        <row r="828">
          <cell r="A828" t="str">
            <v>SR1930E</v>
          </cell>
          <cell r="B828">
            <v>599</v>
          </cell>
        </row>
        <row r="829">
          <cell r="A829" t="str">
            <v>SR1930G</v>
          </cell>
          <cell r="B829">
            <v>599</v>
          </cell>
        </row>
        <row r="830">
          <cell r="A830" t="str">
            <v>SR1930I</v>
          </cell>
          <cell r="B830">
            <v>599</v>
          </cell>
        </row>
        <row r="831">
          <cell r="A831" t="str">
            <v>SR1930J</v>
          </cell>
          <cell r="B831">
            <v>599</v>
          </cell>
        </row>
        <row r="832">
          <cell r="A832" t="str">
            <v>S2M</v>
          </cell>
          <cell r="B832">
            <v>1049</v>
          </cell>
        </row>
        <row r="833">
          <cell r="A833" t="str">
            <v>S3F/P</v>
          </cell>
          <cell r="B833">
            <v>1006</v>
          </cell>
        </row>
        <row r="834">
          <cell r="A834" t="str">
            <v>S3IA/P</v>
          </cell>
          <cell r="B834">
            <v>1029</v>
          </cell>
        </row>
        <row r="835">
          <cell r="A835" t="str">
            <v>S3J/P</v>
          </cell>
          <cell r="B835">
            <v>1075</v>
          </cell>
        </row>
        <row r="836">
          <cell r="A836" t="str">
            <v>S3S/P</v>
          </cell>
          <cell r="B836">
            <v>967</v>
          </cell>
        </row>
        <row r="837">
          <cell r="A837" t="str">
            <v>S3M/P</v>
          </cell>
          <cell r="B837">
            <v>965</v>
          </cell>
        </row>
        <row r="838">
          <cell r="A838" t="str">
            <v>S4T</v>
          </cell>
          <cell r="B838">
            <v>1430</v>
          </cell>
        </row>
        <row r="839">
          <cell r="A839" t="str">
            <v>S4C/P</v>
          </cell>
          <cell r="B839">
            <v>1200</v>
          </cell>
        </row>
        <row r="840">
          <cell r="A840" t="str">
            <v>S4J/P</v>
          </cell>
          <cell r="B840">
            <v>1200</v>
          </cell>
        </row>
        <row r="841">
          <cell r="A841" t="str">
            <v>S4K/P</v>
          </cell>
          <cell r="B841">
            <v>1200</v>
          </cell>
        </row>
        <row r="842">
          <cell r="A842" t="str">
            <v>S4L/P</v>
          </cell>
          <cell r="B842">
            <v>1200</v>
          </cell>
        </row>
        <row r="843">
          <cell r="A843" t="str">
            <v>S4NA/P</v>
          </cell>
          <cell r="B843">
            <v>1246</v>
          </cell>
        </row>
        <row r="844">
          <cell r="A844" t="str">
            <v>S4O/P</v>
          </cell>
          <cell r="B844">
            <v>1200</v>
          </cell>
        </row>
        <row r="845">
          <cell r="A845" t="str">
            <v>S4P/P</v>
          </cell>
          <cell r="B845">
            <v>1200</v>
          </cell>
        </row>
        <row r="846">
          <cell r="A846" t="str">
            <v>S4Q/P</v>
          </cell>
          <cell r="B846">
            <v>1200</v>
          </cell>
        </row>
        <row r="847">
          <cell r="A847" t="str">
            <v>S4S/P</v>
          </cell>
          <cell r="B847">
            <v>1200</v>
          </cell>
        </row>
        <row r="848">
          <cell r="A848" t="str">
            <v>S4W/P</v>
          </cell>
          <cell r="B848">
            <v>1200</v>
          </cell>
        </row>
        <row r="849">
          <cell r="A849" t="str">
            <v>S4Z5/P</v>
          </cell>
          <cell r="B849">
            <v>1200</v>
          </cell>
        </row>
        <row r="850">
          <cell r="A850" t="str">
            <v>S4Z6/P</v>
          </cell>
          <cell r="B850">
            <v>1200</v>
          </cell>
        </row>
        <row r="851">
          <cell r="A851" t="str">
            <v>S4Z8/P</v>
          </cell>
          <cell r="B851">
            <v>1338</v>
          </cell>
        </row>
        <row r="852">
          <cell r="A852" t="str">
            <v>S4Z11/P</v>
          </cell>
          <cell r="B852">
            <v>1200</v>
          </cell>
        </row>
        <row r="853">
          <cell r="A853" t="str">
            <v>S4Z12/P</v>
          </cell>
          <cell r="B853">
            <v>1200</v>
          </cell>
        </row>
        <row r="854">
          <cell r="A854" t="str">
            <v>S4M/P</v>
          </cell>
          <cell r="B854">
            <v>1272</v>
          </cell>
        </row>
        <row r="855">
          <cell r="A855" t="str">
            <v>S5E/P</v>
          </cell>
          <cell r="B855">
            <v>580</v>
          </cell>
        </row>
        <row r="856">
          <cell r="A856" t="str">
            <v>S5F/P</v>
          </cell>
          <cell r="B856">
            <v>580</v>
          </cell>
        </row>
        <row r="857">
          <cell r="A857" t="str">
            <v>S5K/P</v>
          </cell>
          <cell r="B857">
            <v>580</v>
          </cell>
        </row>
        <row r="858">
          <cell r="A858" t="str">
            <v>S5M/P</v>
          </cell>
          <cell r="B858">
            <v>580</v>
          </cell>
        </row>
        <row r="859">
          <cell r="A859" t="str">
            <v>S6M</v>
          </cell>
          <cell r="B859">
            <v>809</v>
          </cell>
        </row>
        <row r="860">
          <cell r="A860" t="str">
            <v>S6F/P(9)</v>
          </cell>
          <cell r="B860">
            <v>886</v>
          </cell>
        </row>
        <row r="861">
          <cell r="A861" t="str">
            <v>S6I/P(9)</v>
          </cell>
          <cell r="B861">
            <v>971</v>
          </cell>
        </row>
        <row r="862">
          <cell r="A862" t="str">
            <v>S6R/P(9)</v>
          </cell>
          <cell r="B862">
            <v>987</v>
          </cell>
        </row>
        <row r="863">
          <cell r="A863" t="str">
            <v>S6Z3/P(9)</v>
          </cell>
          <cell r="B863">
            <v>886</v>
          </cell>
        </row>
        <row r="864">
          <cell r="A864" t="str">
            <v>M2</v>
          </cell>
          <cell r="B864">
            <v>86</v>
          </cell>
        </row>
        <row r="865">
          <cell r="A865" t="str">
            <v>M3</v>
          </cell>
          <cell r="B865">
            <v>231</v>
          </cell>
        </row>
        <row r="866">
          <cell r="A866" t="str">
            <v>M4</v>
          </cell>
          <cell r="B866">
            <v>411</v>
          </cell>
        </row>
        <row r="867">
          <cell r="A867" t="str">
            <v>M5</v>
          </cell>
          <cell r="B867">
            <v>651</v>
          </cell>
        </row>
        <row r="868">
          <cell r="A868" t="str">
            <v>M6</v>
          </cell>
          <cell r="B868">
            <v>835</v>
          </cell>
        </row>
        <row r="869">
          <cell r="A869" t="str">
            <v>IF220A</v>
          </cell>
          <cell r="B869">
            <v>244</v>
          </cell>
        </row>
        <row r="870">
          <cell r="A870" t="str">
            <v>IF3MA</v>
          </cell>
          <cell r="B870">
            <v>314</v>
          </cell>
        </row>
        <row r="871">
          <cell r="A871" t="str">
            <v>IF560B</v>
          </cell>
          <cell r="B871">
            <v>1180</v>
          </cell>
        </row>
        <row r="872">
          <cell r="A872" t="str">
            <v>IF660B</v>
          </cell>
          <cell r="B872">
            <v>328</v>
          </cell>
        </row>
        <row r="873">
          <cell r="A873" t="str">
            <v>EP03M</v>
          </cell>
          <cell r="B873">
            <v>1047</v>
          </cell>
        </row>
        <row r="874">
          <cell r="A874" t="str">
            <v>EP1M</v>
          </cell>
          <cell r="B874">
            <v>736</v>
          </cell>
        </row>
        <row r="875">
          <cell r="A875" t="str">
            <v>EP2M</v>
          </cell>
          <cell r="B875">
            <v>925</v>
          </cell>
        </row>
        <row r="876">
          <cell r="A876" t="str">
            <v>EP3M</v>
          </cell>
          <cell r="B876">
            <v>633</v>
          </cell>
        </row>
        <row r="877">
          <cell r="A877" t="str">
            <v>EP5M</v>
          </cell>
          <cell r="B877">
            <v>903</v>
          </cell>
        </row>
        <row r="878">
          <cell r="A878" t="str">
            <v>DF10CM E</v>
          </cell>
          <cell r="B878">
            <v>21</v>
          </cell>
        </row>
        <row r="879">
          <cell r="A879" t="str">
            <v>C1614E14 E</v>
          </cell>
          <cell r="B879">
            <v>64</v>
          </cell>
        </row>
        <row r="880">
          <cell r="A880" t="str">
            <v>C2520ST E</v>
          </cell>
          <cell r="B880">
            <v>129</v>
          </cell>
        </row>
        <row r="881">
          <cell r="A881" t="str">
            <v>C2520VI E</v>
          </cell>
          <cell r="B881">
            <v>129</v>
          </cell>
        </row>
        <row r="882">
          <cell r="A882" t="str">
            <v>C9020X E</v>
          </cell>
          <cell r="B882">
            <v>435</v>
          </cell>
        </row>
        <row r="883">
          <cell r="A883" t="str">
            <v>C10020NID14 E</v>
          </cell>
          <cell r="B883">
            <v>479</v>
          </cell>
        </row>
        <row r="884">
          <cell r="A884" t="str">
            <v>CF10020G E</v>
          </cell>
          <cell r="B884">
            <v>636</v>
          </cell>
        </row>
        <row r="885">
          <cell r="A885" t="str">
            <v>C13020B E</v>
          </cell>
          <cell r="B885">
            <v>648</v>
          </cell>
        </row>
        <row r="886">
          <cell r="A886" t="str">
            <v>C13420B E</v>
          </cell>
          <cell r="B886">
            <v>903</v>
          </cell>
        </row>
        <row r="887">
          <cell r="A887" t="str">
            <v>C13420H E</v>
          </cell>
          <cell r="B887">
            <v>903</v>
          </cell>
        </row>
        <row r="888">
          <cell r="A888" t="str">
            <v>C26820F/C E</v>
          </cell>
          <cell r="B888">
            <v>1949</v>
          </cell>
        </row>
        <row r="889">
          <cell r="A889" t="str">
            <v>C8825M E</v>
          </cell>
          <cell r="B889">
            <v>774</v>
          </cell>
        </row>
        <row r="890">
          <cell r="A890" t="str">
            <v>C8825PA E</v>
          </cell>
          <cell r="B890">
            <v>774</v>
          </cell>
        </row>
        <row r="891">
          <cell r="A891" t="str">
            <v>C8925N E</v>
          </cell>
          <cell r="B891">
            <v>955</v>
          </cell>
        </row>
        <row r="892">
          <cell r="A892" t="str">
            <v>C10025S E</v>
          </cell>
          <cell r="B892">
            <v>835</v>
          </cell>
        </row>
        <row r="893">
          <cell r="A893" t="str">
            <v>C9825SIG/C E</v>
          </cell>
          <cell r="B893">
            <v>1097</v>
          </cell>
        </row>
        <row r="894">
          <cell r="A894" t="str">
            <v>C493RU E</v>
          </cell>
          <cell r="B894">
            <v>668</v>
          </cell>
        </row>
        <row r="895">
          <cell r="A895" t="str">
            <v>C493GH E</v>
          </cell>
          <cell r="B895">
            <v>668</v>
          </cell>
        </row>
        <row r="896">
          <cell r="A896" t="str">
            <v>CF493ME E</v>
          </cell>
          <cell r="B896">
            <v>814</v>
          </cell>
        </row>
        <row r="897">
          <cell r="A897" t="str">
            <v>CF643M E</v>
          </cell>
          <cell r="B897">
            <v>1058</v>
          </cell>
        </row>
        <row r="898">
          <cell r="A898" t="str">
            <v>C643MN E</v>
          </cell>
          <cell r="B898">
            <v>963</v>
          </cell>
        </row>
        <row r="899">
          <cell r="A899" t="str">
            <v>C165P E</v>
          </cell>
          <cell r="B899">
            <v>695</v>
          </cell>
        </row>
        <row r="900">
          <cell r="A900" t="str">
            <v>C36MH E</v>
          </cell>
          <cell r="B900">
            <v>1056</v>
          </cell>
        </row>
        <row r="901">
          <cell r="A901" t="str">
            <v>C47MB E</v>
          </cell>
          <cell r="B901">
            <v>1004</v>
          </cell>
        </row>
        <row r="902">
          <cell r="A902" t="str">
            <v>C62SMT E</v>
          </cell>
          <cell r="B902">
            <v>1115</v>
          </cell>
        </row>
        <row r="903">
          <cell r="A903" t="str">
            <v>C63MP E</v>
          </cell>
          <cell r="B903">
            <v>893</v>
          </cell>
        </row>
        <row r="904">
          <cell r="A904" t="str">
            <v>C106MH E</v>
          </cell>
          <cell r="B904">
            <v>1019</v>
          </cell>
        </row>
        <row r="905">
          <cell r="A905" t="str">
            <v>C106MB E</v>
          </cell>
          <cell r="B905">
            <v>1019</v>
          </cell>
        </row>
        <row r="906">
          <cell r="A906" t="str">
            <v>C223MF/C E</v>
          </cell>
          <cell r="B906">
            <v>2141</v>
          </cell>
        </row>
        <row r="907">
          <cell r="A907" t="str">
            <v>K-C10025BPW/C14</v>
          </cell>
          <cell r="B907">
            <v>140</v>
          </cell>
        </row>
        <row r="908">
          <cell r="A908" t="str">
            <v>K-C10030XF/C14</v>
          </cell>
          <cell r="B908">
            <v>228</v>
          </cell>
        </row>
        <row r="909">
          <cell r="A909" t="str">
            <v>K-C1003BB/C</v>
          </cell>
          <cell r="B909">
            <v>190</v>
          </cell>
        </row>
        <row r="910">
          <cell r="A910" t="str">
            <v>K-C1003BP/C</v>
          </cell>
          <cell r="B910">
            <v>185</v>
          </cell>
        </row>
        <row r="911">
          <cell r="A911" t="str">
            <v>K-C1003BPF/C</v>
          </cell>
          <cell r="B911">
            <v>185</v>
          </cell>
        </row>
        <row r="912">
          <cell r="A912" t="str">
            <v>K-C1003NO/C14</v>
          </cell>
          <cell r="B912">
            <v>221</v>
          </cell>
        </row>
        <row r="913">
          <cell r="A913" t="str">
            <v>K-C1003SIG/C</v>
          </cell>
          <cell r="B913">
            <v>221</v>
          </cell>
        </row>
        <row r="914">
          <cell r="A914" t="str">
            <v>K-C10545GI/C</v>
          </cell>
          <cell r="B914">
            <v>560</v>
          </cell>
        </row>
        <row r="915">
          <cell r="A915" t="str">
            <v>K-C12230XPT/C14</v>
          </cell>
          <cell r="B915">
            <v>284</v>
          </cell>
        </row>
        <row r="916">
          <cell r="A916" t="str">
            <v>K-C128XMB/C</v>
          </cell>
          <cell r="B916">
            <v>304</v>
          </cell>
        </row>
        <row r="917">
          <cell r="A917" t="str">
            <v>K-C128XMPT/C</v>
          </cell>
          <cell r="B917">
            <v>312</v>
          </cell>
        </row>
        <row r="918">
          <cell r="A918" t="str">
            <v>K-C13220B/C14</v>
          </cell>
          <cell r="B918">
            <v>152</v>
          </cell>
        </row>
        <row r="919">
          <cell r="A919" t="str">
            <v>K-C13220TS/C14(T)</v>
          </cell>
          <cell r="B919">
            <v>152</v>
          </cell>
        </row>
        <row r="920">
          <cell r="A920" t="str">
            <v>K-C132XMPT/C</v>
          </cell>
          <cell r="B920">
            <v>227</v>
          </cell>
        </row>
        <row r="921">
          <cell r="A921" t="str">
            <v>K-C132XMPT/C14</v>
          </cell>
          <cell r="B921">
            <v>227</v>
          </cell>
        </row>
        <row r="922">
          <cell r="A922" t="str">
            <v>K-C14025XFS/C</v>
          </cell>
          <cell r="B922">
            <v>234</v>
          </cell>
        </row>
        <row r="923">
          <cell r="A923" t="str">
            <v>K-C14025XFS/C14</v>
          </cell>
          <cell r="B923">
            <v>234</v>
          </cell>
        </row>
        <row r="924">
          <cell r="A924" t="str">
            <v>K-C1503BPF/C</v>
          </cell>
          <cell r="B924">
            <v>295</v>
          </cell>
        </row>
        <row r="925">
          <cell r="A925" t="str">
            <v>K-C150MF/C</v>
          </cell>
          <cell r="B925">
            <v>237</v>
          </cell>
        </row>
        <row r="926">
          <cell r="A926" t="str">
            <v>K-C150MPT/C</v>
          </cell>
          <cell r="B926">
            <v>237</v>
          </cell>
        </row>
        <row r="927">
          <cell r="A927" t="str">
            <v>K-C175MSIG/C</v>
          </cell>
          <cell r="B927">
            <v>555</v>
          </cell>
        </row>
        <row r="928">
          <cell r="A928" t="str">
            <v>K-C18020SIG/C</v>
          </cell>
          <cell r="B928">
            <v>168</v>
          </cell>
        </row>
        <row r="929">
          <cell r="A929" t="str">
            <v>K-C19220F/C</v>
          </cell>
          <cell r="B929">
            <v>153</v>
          </cell>
        </row>
        <row r="930">
          <cell r="A930" t="str">
            <v>K-C20020XPR/C14</v>
          </cell>
          <cell r="B930">
            <v>168</v>
          </cell>
        </row>
        <row r="931">
          <cell r="A931" t="str">
            <v>K-C2003BP/C</v>
          </cell>
          <cell r="B931">
            <v>391</v>
          </cell>
        </row>
        <row r="932">
          <cell r="A932" t="str">
            <v>K-C200MF/C</v>
          </cell>
          <cell r="B932">
            <v>311</v>
          </cell>
        </row>
        <row r="933">
          <cell r="A933" t="str">
            <v>K-C204XMPT/C</v>
          </cell>
          <cell r="B933">
            <v>277</v>
          </cell>
        </row>
        <row r="934">
          <cell r="A934" t="str">
            <v>K-C204XMPT/C14</v>
          </cell>
          <cell r="B934">
            <v>277</v>
          </cell>
        </row>
        <row r="935">
          <cell r="A935" t="str">
            <v>K-C212MF/C</v>
          </cell>
          <cell r="B935">
            <v>292</v>
          </cell>
        </row>
        <row r="936">
          <cell r="A936" t="str">
            <v>K-C216XMFS/C</v>
          </cell>
          <cell r="B936">
            <v>292</v>
          </cell>
        </row>
        <row r="937">
          <cell r="A937" t="str">
            <v>K-C216XMFS/C14</v>
          </cell>
          <cell r="B937">
            <v>292</v>
          </cell>
        </row>
        <row r="938">
          <cell r="A938" t="str">
            <v>K-C219XMPT/C</v>
          </cell>
          <cell r="B938">
            <v>505</v>
          </cell>
        </row>
        <row r="939">
          <cell r="A939" t="str">
            <v>K-C222MF/C</v>
          </cell>
          <cell r="B939">
            <v>688</v>
          </cell>
        </row>
        <row r="940">
          <cell r="A940" t="str">
            <v>K-C222MNPT/C</v>
          </cell>
          <cell r="B940">
            <v>710</v>
          </cell>
        </row>
        <row r="941">
          <cell r="A941" t="str">
            <v>K-C223XMK/C</v>
          </cell>
          <cell r="B941">
            <v>351</v>
          </cell>
        </row>
        <row r="942">
          <cell r="A942" t="str">
            <v>K-C223XMK/C14</v>
          </cell>
          <cell r="B942">
            <v>351</v>
          </cell>
        </row>
        <row r="943">
          <cell r="A943" t="str">
            <v>K-C25220XFS/C14</v>
          </cell>
          <cell r="B943">
            <v>267</v>
          </cell>
        </row>
        <row r="944">
          <cell r="A944" t="str">
            <v>K-C253XMPT/C</v>
          </cell>
          <cell r="B944">
            <v>522</v>
          </cell>
        </row>
        <row r="945">
          <cell r="A945" t="str">
            <v>K-C25620F/C</v>
          </cell>
          <cell r="B945">
            <v>211</v>
          </cell>
        </row>
        <row r="946">
          <cell r="A946" t="str">
            <v>K-C2563XMF/C</v>
          </cell>
          <cell r="B946">
            <v>635</v>
          </cell>
        </row>
        <row r="947">
          <cell r="A947" t="str">
            <v>K-C26020F/C</v>
          </cell>
          <cell r="B947">
            <v>208</v>
          </cell>
        </row>
        <row r="948">
          <cell r="A948" t="str">
            <v>K-C26420N/C</v>
          </cell>
          <cell r="B948">
            <v>285</v>
          </cell>
        </row>
        <row r="949">
          <cell r="A949" t="str">
            <v>K-C30025BPW/C</v>
          </cell>
          <cell r="B949">
            <v>360</v>
          </cell>
        </row>
        <row r="950">
          <cell r="A950" t="str">
            <v>K-C30025F/C</v>
          </cell>
          <cell r="B950">
            <v>369</v>
          </cell>
        </row>
        <row r="951">
          <cell r="A951" t="str">
            <v>K-C379XMK/C</v>
          </cell>
          <cell r="B951">
            <v>859</v>
          </cell>
        </row>
        <row r="952">
          <cell r="A952" t="str">
            <v>K-C39020F/C</v>
          </cell>
          <cell r="B952">
            <v>280</v>
          </cell>
        </row>
        <row r="953">
          <cell r="A953" t="str">
            <v>K-C40020XPR/C14</v>
          </cell>
          <cell r="B953">
            <v>359</v>
          </cell>
        </row>
        <row r="954">
          <cell r="A954" t="str">
            <v>K-C40025F/C</v>
          </cell>
          <cell r="B954">
            <v>471</v>
          </cell>
        </row>
        <row r="955">
          <cell r="A955" t="str">
            <v>K-C503ME/C14</v>
          </cell>
          <cell r="B955">
            <v>95</v>
          </cell>
        </row>
        <row r="956">
          <cell r="A956" t="str">
            <v>K-C503NID/C14</v>
          </cell>
          <cell r="B956">
            <v>95</v>
          </cell>
        </row>
        <row r="957">
          <cell r="A957" t="str">
            <v>K-C505V/C</v>
          </cell>
          <cell r="B957">
            <v>311</v>
          </cell>
        </row>
        <row r="958">
          <cell r="A958" t="str">
            <v>K-C505X/C</v>
          </cell>
          <cell r="B958">
            <v>311</v>
          </cell>
        </row>
        <row r="959">
          <cell r="A959" t="str">
            <v>K-C52020F/C</v>
          </cell>
          <cell r="B959">
            <v>424</v>
          </cell>
        </row>
        <row r="960">
          <cell r="A960" t="str">
            <v>K-C53620F/C</v>
          </cell>
          <cell r="B960">
            <v>545</v>
          </cell>
        </row>
        <row r="961">
          <cell r="A961" t="str">
            <v>K-C6420DU/C</v>
          </cell>
          <cell r="B961">
            <v>57</v>
          </cell>
        </row>
        <row r="962">
          <cell r="A962" t="str">
            <v>K-C755R/C</v>
          </cell>
          <cell r="B962">
            <v>443</v>
          </cell>
        </row>
        <row r="963">
          <cell r="A963" t="str">
            <v>K-C84M12F/C</v>
          </cell>
          <cell r="B963">
            <v>266</v>
          </cell>
        </row>
        <row r="964">
          <cell r="A964" t="str">
            <v>K-C84M12S/C</v>
          </cell>
          <cell r="B964">
            <v>266</v>
          </cell>
        </row>
        <row r="965">
          <cell r="A965" t="str">
            <v>K-C84MC/C</v>
          </cell>
          <cell r="B965">
            <v>311</v>
          </cell>
        </row>
        <row r="966">
          <cell r="A966" t="str">
            <v>K-C9625MF/C14</v>
          </cell>
          <cell r="B966">
            <v>150</v>
          </cell>
        </row>
        <row r="967">
          <cell r="A967" t="str">
            <v>K-C9825C/C14</v>
          </cell>
          <cell r="B967">
            <v>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Weight 15</v>
          </cell>
          <cell r="C1" t="str">
            <v>NEQ/ NEC 11</v>
          </cell>
          <cell r="D1" t="str">
            <v>CBM 10</v>
          </cell>
        </row>
        <row r="2">
          <cell r="A2" t="str">
            <v>BD1L</v>
          </cell>
          <cell r="B2">
            <v>823</v>
          </cell>
        </row>
        <row r="3">
          <cell r="A3" t="str">
            <v>BD1XL</v>
          </cell>
          <cell r="B3">
            <v>862</v>
          </cell>
        </row>
        <row r="4">
          <cell r="A4" t="str">
            <v>BD1XXL</v>
          </cell>
          <cell r="B4">
            <v>912</v>
          </cell>
        </row>
        <row r="5">
          <cell r="A5" t="str">
            <v>BDLE1L</v>
          </cell>
          <cell r="B5">
            <v>823</v>
          </cell>
        </row>
        <row r="6">
          <cell r="A6" t="str">
            <v>BDLE1M</v>
          </cell>
          <cell r="B6">
            <v>805</v>
          </cell>
        </row>
        <row r="7">
          <cell r="A7" t="str">
            <v>BDLE1XL</v>
          </cell>
          <cell r="B7">
            <v>862</v>
          </cell>
        </row>
        <row r="8">
          <cell r="A8" t="str">
            <v>BDLE1XXL</v>
          </cell>
          <cell r="B8">
            <v>912</v>
          </cell>
        </row>
        <row r="9">
          <cell r="A9" t="str">
            <v>BK1P</v>
          </cell>
          <cell r="B9">
            <v>7100</v>
          </cell>
          <cell r="C9">
            <v>18</v>
          </cell>
          <cell r="D9">
            <v>2.5937499999999999E-2</v>
          </cell>
        </row>
        <row r="10">
          <cell r="A10" t="str">
            <v>BK1P(1)</v>
          </cell>
          <cell r="B10">
            <v>7100</v>
          </cell>
          <cell r="C10">
            <v>18</v>
          </cell>
          <cell r="D10">
            <v>2.5937499999999999E-2</v>
          </cell>
        </row>
        <row r="11">
          <cell r="A11" t="str">
            <v>BK2V</v>
          </cell>
          <cell r="B11">
            <v>9800</v>
          </cell>
          <cell r="C11">
            <v>9.6000000000000014</v>
          </cell>
          <cell r="D11">
            <v>3.2912000000000004E-2</v>
          </cell>
        </row>
        <row r="12">
          <cell r="A12" t="str">
            <v>BK2V(1)</v>
          </cell>
          <cell r="B12">
            <v>9800</v>
          </cell>
          <cell r="C12">
            <v>9.6000000000000014</v>
          </cell>
          <cell r="D12">
            <v>3.2912000000000004E-2</v>
          </cell>
        </row>
        <row r="13">
          <cell r="A13" t="str">
            <v>BP30S</v>
          </cell>
          <cell r="B13">
            <v>10000</v>
          </cell>
          <cell r="C13">
            <v>1440</v>
          </cell>
          <cell r="D13">
            <v>1.2332250000000001E-2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5.4450000000000005E-2</v>
          </cell>
        </row>
        <row r="17">
          <cell r="A17" t="str">
            <v>C10014A</v>
          </cell>
          <cell r="B17">
            <v>21000</v>
          </cell>
          <cell r="C17">
            <v>3360</v>
          </cell>
          <cell r="D17">
            <v>4.1496000000000005E-2</v>
          </cell>
        </row>
        <row r="18">
          <cell r="A18" t="str">
            <v>C10020BP14</v>
          </cell>
          <cell r="B18">
            <v>17000</v>
          </cell>
          <cell r="C18">
            <v>2000</v>
          </cell>
          <cell r="D18">
            <v>3.6414000000000002E-2</v>
          </cell>
        </row>
        <row r="19">
          <cell r="A19" t="str">
            <v>C10020BPF14</v>
          </cell>
          <cell r="B19">
            <v>16800</v>
          </cell>
          <cell r="C19">
            <v>2000</v>
          </cell>
          <cell r="D19">
            <v>3.6414000000000002E-2</v>
          </cell>
        </row>
        <row r="20">
          <cell r="A20" t="str">
            <v>C10020BPS14</v>
          </cell>
          <cell r="B20">
            <v>17000</v>
          </cell>
          <cell r="C20">
            <v>2000</v>
          </cell>
          <cell r="D20">
            <v>3.6414000000000002E-2</v>
          </cell>
        </row>
        <row r="21">
          <cell r="A21" t="str">
            <v>C10020NID14</v>
          </cell>
          <cell r="B21">
            <v>16800</v>
          </cell>
          <cell r="C21">
            <v>2000</v>
          </cell>
          <cell r="D21">
            <v>3.6414000000000002E-2</v>
          </cell>
        </row>
        <row r="22">
          <cell r="A22" t="str">
            <v>C10020NID14 E</v>
          </cell>
          <cell r="B22">
            <v>3700</v>
          </cell>
          <cell r="D22">
            <v>9.1035000000000005E-3</v>
          </cell>
        </row>
        <row r="23">
          <cell r="A23" t="str">
            <v>C10020XBP14</v>
          </cell>
          <cell r="B23">
            <v>18000</v>
          </cell>
          <cell r="C23">
            <v>2000</v>
          </cell>
          <cell r="D23">
            <v>4.9492124999999998E-2</v>
          </cell>
        </row>
        <row r="24">
          <cell r="A24" t="str">
            <v>C10020XBPW14</v>
          </cell>
          <cell r="B24">
            <v>18000</v>
          </cell>
          <cell r="C24">
            <v>2000</v>
          </cell>
          <cell r="D24">
            <v>4.9492124999999998E-2</v>
          </cell>
        </row>
        <row r="25">
          <cell r="A25" t="str">
            <v>C10020XPR14</v>
          </cell>
          <cell r="B25">
            <v>18000</v>
          </cell>
          <cell r="C25">
            <v>2000</v>
          </cell>
          <cell r="D25">
            <v>5.6318625000000011E-2</v>
          </cell>
        </row>
        <row r="26">
          <cell r="A26" t="str">
            <v>C10020XTS14</v>
          </cell>
          <cell r="B26">
            <v>18000</v>
          </cell>
          <cell r="C26">
            <v>2000</v>
          </cell>
          <cell r="D26">
            <v>5.6318625000000011E-2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1.6868250000000001E-2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D34">
            <v>1.6864000000000001E-2</v>
          </cell>
        </row>
        <row r="35">
          <cell r="A35" t="str">
            <v>C10030XF/C14</v>
          </cell>
          <cell r="B35">
            <v>12200</v>
          </cell>
          <cell r="C35">
            <v>2000</v>
          </cell>
          <cell r="D35">
            <v>4.6396875000000004E-2</v>
          </cell>
        </row>
        <row r="36">
          <cell r="A36" t="str">
            <v>C10030XF/C14(T)</v>
          </cell>
          <cell r="B36">
            <v>12200</v>
          </cell>
          <cell r="C36">
            <v>2000</v>
          </cell>
          <cell r="D36">
            <v>4.6396875000000004E-2</v>
          </cell>
        </row>
        <row r="37">
          <cell r="A37" t="str">
            <v>C1003B/C14</v>
          </cell>
          <cell r="B37">
            <v>13200</v>
          </cell>
          <cell r="C37">
            <v>1900</v>
          </cell>
          <cell r="D37">
            <v>3.1640625000000006E-2</v>
          </cell>
        </row>
        <row r="38">
          <cell r="A38" t="str">
            <v>C1003B/C14(T)</v>
          </cell>
          <cell r="B38">
            <v>13200</v>
          </cell>
          <cell r="C38">
            <v>1900</v>
          </cell>
          <cell r="D38">
            <v>3.1640625000000006E-2</v>
          </cell>
        </row>
        <row r="39">
          <cell r="A39" t="str">
            <v>C1003BB/C</v>
          </cell>
          <cell r="B39">
            <v>13500</v>
          </cell>
          <cell r="C39">
            <v>1900</v>
          </cell>
          <cell r="D39">
            <v>3.5625000000000004E-2</v>
          </cell>
        </row>
        <row r="40">
          <cell r="A40" t="str">
            <v>C1003BB/C(T)</v>
          </cell>
          <cell r="B40">
            <v>13500</v>
          </cell>
          <cell r="C40">
            <v>1900</v>
          </cell>
          <cell r="D40">
            <v>3.5625000000000004E-2</v>
          </cell>
        </row>
        <row r="41">
          <cell r="A41" t="str">
            <v>C1003BP/C</v>
          </cell>
          <cell r="B41">
            <v>13500</v>
          </cell>
          <cell r="C41">
            <v>1800</v>
          </cell>
          <cell r="D41">
            <v>3.5625000000000004E-2</v>
          </cell>
        </row>
        <row r="42">
          <cell r="A42" t="str">
            <v>C1003BP/C(T)</v>
          </cell>
          <cell r="B42">
            <v>13500</v>
          </cell>
          <cell r="C42">
            <v>1800</v>
          </cell>
          <cell r="D42">
            <v>3.5625000000000004E-2</v>
          </cell>
        </row>
        <row r="43">
          <cell r="A43" t="str">
            <v>C1003BPF/C</v>
          </cell>
          <cell r="B43">
            <v>13500</v>
          </cell>
          <cell r="C43">
            <v>1800</v>
          </cell>
          <cell r="D43">
            <v>3.5625000000000004E-2</v>
          </cell>
        </row>
        <row r="44">
          <cell r="A44" t="str">
            <v>C1003BPF/C(T)</v>
          </cell>
          <cell r="B44">
            <v>13500</v>
          </cell>
          <cell r="C44">
            <v>1800</v>
          </cell>
          <cell r="D44">
            <v>3.5625000000000004E-2</v>
          </cell>
        </row>
        <row r="45">
          <cell r="A45" t="str">
            <v>C1003BPS/C</v>
          </cell>
          <cell r="B45">
            <v>12500</v>
          </cell>
          <cell r="C45">
            <v>1800</v>
          </cell>
          <cell r="D45">
            <v>3.5625000000000004E-2</v>
          </cell>
        </row>
        <row r="46">
          <cell r="A46" t="str">
            <v>C1003F/C</v>
          </cell>
          <cell r="B46">
            <v>13500</v>
          </cell>
          <cell r="C46">
            <v>1900</v>
          </cell>
          <cell r="D46">
            <v>3.5625000000000004E-2</v>
          </cell>
        </row>
        <row r="47">
          <cell r="A47" t="str">
            <v>C1003F/C14</v>
          </cell>
          <cell r="B47">
            <v>13400</v>
          </cell>
          <cell r="C47">
            <v>1900</v>
          </cell>
          <cell r="D47">
            <v>3.1640625000000006E-2</v>
          </cell>
        </row>
        <row r="48">
          <cell r="A48" t="str">
            <v>C1003NID/C</v>
          </cell>
          <cell r="B48">
            <v>13500</v>
          </cell>
          <cell r="C48">
            <v>1900</v>
          </cell>
          <cell r="D48">
            <v>3.5625000000000004E-2</v>
          </cell>
        </row>
        <row r="49">
          <cell r="A49" t="str">
            <v>C1003NID/C(T)</v>
          </cell>
          <cell r="B49">
            <v>13500</v>
          </cell>
          <cell r="C49">
            <v>1900</v>
          </cell>
          <cell r="D49">
            <v>3.5625000000000004E-2</v>
          </cell>
        </row>
        <row r="50">
          <cell r="A50" t="str">
            <v>C1003NO/C14</v>
          </cell>
          <cell r="B50">
            <v>12000</v>
          </cell>
          <cell r="C50">
            <v>1972</v>
          </cell>
          <cell r="D50">
            <v>3.1640625000000006E-2</v>
          </cell>
        </row>
        <row r="51">
          <cell r="A51" t="str">
            <v>C1003NO/C14(T)</v>
          </cell>
          <cell r="B51">
            <v>12000</v>
          </cell>
          <cell r="C51">
            <v>1972</v>
          </cell>
          <cell r="D51">
            <v>3.1640625000000006E-2</v>
          </cell>
        </row>
        <row r="52">
          <cell r="A52" t="str">
            <v>C1003SIG/C</v>
          </cell>
          <cell r="B52">
            <v>14000</v>
          </cell>
          <cell r="C52">
            <v>1998</v>
          </cell>
          <cell r="D52">
            <v>3.5625000000000004E-2</v>
          </cell>
        </row>
        <row r="53">
          <cell r="A53" t="str">
            <v>C1003SIG/C(T)</v>
          </cell>
          <cell r="B53">
            <v>14000</v>
          </cell>
          <cell r="C53">
            <v>1998</v>
          </cell>
          <cell r="D53">
            <v>3.5625000000000004E-2</v>
          </cell>
        </row>
        <row r="54">
          <cell r="A54" t="str">
            <v>C1003VS/C</v>
          </cell>
          <cell r="B54">
            <v>13500</v>
          </cell>
          <cell r="C54">
            <v>1900</v>
          </cell>
          <cell r="D54">
            <v>3.5625000000000004E-2</v>
          </cell>
        </row>
        <row r="55">
          <cell r="A55" t="str">
            <v>C1003VS/C(T)</v>
          </cell>
          <cell r="B55">
            <v>13500</v>
          </cell>
          <cell r="C55">
            <v>1900</v>
          </cell>
          <cell r="D55">
            <v>3.5625000000000004E-2</v>
          </cell>
        </row>
        <row r="56">
          <cell r="A56" t="str">
            <v>C1008CC</v>
          </cell>
          <cell r="B56">
            <v>13500</v>
          </cell>
          <cell r="C56">
            <v>1368</v>
          </cell>
          <cell r="D56">
            <v>2.6533499999999998E-2</v>
          </cell>
        </row>
        <row r="57">
          <cell r="A57" t="str">
            <v>C100MN</v>
          </cell>
          <cell r="B57">
            <v>15900</v>
          </cell>
          <cell r="C57">
            <v>1976</v>
          </cell>
          <cell r="D57">
            <v>5.6250000000000001E-2</v>
          </cell>
        </row>
        <row r="58">
          <cell r="A58" t="str">
            <v>C100MPT</v>
          </cell>
          <cell r="B58">
            <v>15900</v>
          </cell>
          <cell r="C58">
            <v>1996</v>
          </cell>
          <cell r="D58">
            <v>5.6250000000000001E-2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9.9066000000000015E-2</v>
          </cell>
        </row>
        <row r="64">
          <cell r="A64" t="str">
            <v>C10545GI/C(T)</v>
          </cell>
          <cell r="B64">
            <v>36000</v>
          </cell>
          <cell r="C64">
            <v>3000</v>
          </cell>
          <cell r="D64">
            <v>9.9066000000000015E-2</v>
          </cell>
        </row>
        <row r="65">
          <cell r="A65" t="str">
            <v>C106MB</v>
          </cell>
          <cell r="B65">
            <v>16000</v>
          </cell>
          <cell r="C65">
            <v>1990</v>
          </cell>
          <cell r="D65">
            <v>4.6068749999999999E-2</v>
          </cell>
        </row>
        <row r="66">
          <cell r="A66" t="str">
            <v>C106MB E</v>
          </cell>
          <cell r="B66">
            <v>7005</v>
          </cell>
          <cell r="D66">
            <v>2.3034374999999999E-2</v>
          </cell>
        </row>
        <row r="67">
          <cell r="A67" t="str">
            <v>C106MH</v>
          </cell>
          <cell r="B67">
            <v>16000</v>
          </cell>
          <cell r="C67">
            <v>1990</v>
          </cell>
          <cell r="D67">
            <v>4.6068749999999999E-2</v>
          </cell>
        </row>
        <row r="68">
          <cell r="A68" t="str">
            <v>C106MH E</v>
          </cell>
          <cell r="B68">
            <v>7005</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0.102384</v>
          </cell>
        </row>
        <row r="74">
          <cell r="A74" t="str">
            <v>C1163MB/C14(T)</v>
          </cell>
          <cell r="B74">
            <v>19500</v>
          </cell>
          <cell r="C74">
            <v>1992</v>
          </cell>
          <cell r="D74">
            <v>0.102384</v>
          </cell>
        </row>
        <row r="75">
          <cell r="A75" t="str">
            <v>C12230XPT/C14</v>
          </cell>
          <cell r="B75">
            <v>18500</v>
          </cell>
          <cell r="C75">
            <v>1998</v>
          </cell>
          <cell r="D75">
            <v>4.9687500000000002E-2</v>
          </cell>
        </row>
        <row r="76">
          <cell r="A76" t="str">
            <v>C12230XPT/C14(T)</v>
          </cell>
          <cell r="B76">
            <v>18500</v>
          </cell>
          <cell r="C76">
            <v>1998</v>
          </cell>
          <cell r="D76">
            <v>4.9687500000000002E-2</v>
          </cell>
        </row>
        <row r="77">
          <cell r="A77" t="str">
            <v>C12820F/C</v>
          </cell>
          <cell r="B77">
            <v>6350</v>
          </cell>
          <cell r="C77">
            <v>996</v>
          </cell>
          <cell r="D77">
            <v>1.2937624999999998E-2</v>
          </cell>
        </row>
        <row r="78">
          <cell r="A78" t="str">
            <v>C12820F/C(T)</v>
          </cell>
          <cell r="B78">
            <v>6350</v>
          </cell>
          <cell r="C78">
            <v>996</v>
          </cell>
          <cell r="D78">
            <v>1.2937624999999998E-2</v>
          </cell>
        </row>
        <row r="79">
          <cell r="A79" t="str">
            <v>C12820F/C14</v>
          </cell>
          <cell r="B79">
            <v>6350</v>
          </cell>
          <cell r="C79">
            <v>996</v>
          </cell>
          <cell r="D79">
            <v>1.2937624999999998E-2</v>
          </cell>
        </row>
        <row r="80">
          <cell r="A80" t="str">
            <v>C12820F/C14 E</v>
          </cell>
        </row>
        <row r="81">
          <cell r="A81" t="str">
            <v>C12820F/C14(T)</v>
          </cell>
          <cell r="B81">
            <v>6350</v>
          </cell>
          <cell r="C81">
            <v>996</v>
          </cell>
          <cell r="D81">
            <v>1.2937624999999998E-2</v>
          </cell>
        </row>
        <row r="82">
          <cell r="A82" t="str">
            <v>C12820NID/C</v>
          </cell>
          <cell r="B82">
            <v>6000</v>
          </cell>
          <cell r="C82">
            <v>996</v>
          </cell>
          <cell r="D82">
            <v>1.2937624999999998E-2</v>
          </cell>
        </row>
        <row r="83">
          <cell r="A83" t="str">
            <v>C12820NID/C(T)</v>
          </cell>
          <cell r="B83">
            <v>6000</v>
          </cell>
          <cell r="C83">
            <v>996</v>
          </cell>
          <cell r="D83">
            <v>1.2937624999999998E-2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3.8808000000000002E-2</v>
          </cell>
        </row>
        <row r="91">
          <cell r="A91" t="str">
            <v>C13020B E</v>
          </cell>
          <cell r="B91">
            <v>4737</v>
          </cell>
          <cell r="D91">
            <v>1.2936000000000001E-2</v>
          </cell>
        </row>
        <row r="92">
          <cell r="A92" t="str">
            <v>C13020BP</v>
          </cell>
          <cell r="B92">
            <v>17000</v>
          </cell>
          <cell r="C92">
            <v>2730</v>
          </cell>
          <cell r="D92">
            <v>3.8808000000000002E-2</v>
          </cell>
        </row>
        <row r="93">
          <cell r="A93" t="str">
            <v>C13020M</v>
          </cell>
          <cell r="B93">
            <v>17600</v>
          </cell>
          <cell r="C93">
            <v>2991</v>
          </cell>
          <cell r="D93">
            <v>3.8808000000000002E-2</v>
          </cell>
        </row>
        <row r="94">
          <cell r="A94" t="str">
            <v>C13020M E</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4.6479999999999994E-2</v>
          </cell>
        </row>
        <row r="106">
          <cell r="A106" t="str">
            <v>C13420B E</v>
          </cell>
          <cell r="B106">
            <v>5751</v>
          </cell>
          <cell r="D106">
            <v>2.3239999999999997E-2</v>
          </cell>
        </row>
        <row r="107">
          <cell r="A107" t="str">
            <v>C13420H</v>
          </cell>
          <cell r="B107">
            <v>13500</v>
          </cell>
          <cell r="C107">
            <v>1998</v>
          </cell>
          <cell r="D107">
            <v>4.6479999999999994E-2</v>
          </cell>
        </row>
        <row r="108">
          <cell r="A108" t="str">
            <v>C13420H E</v>
          </cell>
          <cell r="B108">
            <v>5751</v>
          </cell>
          <cell r="D108">
            <v>2.3239999999999997E-2</v>
          </cell>
        </row>
        <row r="109">
          <cell r="A109" t="str">
            <v>C136XMK/C14</v>
          </cell>
          <cell r="B109">
            <v>9500</v>
          </cell>
          <cell r="C109">
            <v>1000</v>
          </cell>
          <cell r="D109">
            <v>3.2543999999999997E-2</v>
          </cell>
        </row>
        <row r="110">
          <cell r="A110" t="str">
            <v>C136XMK/C14(T)</v>
          </cell>
          <cell r="B110">
            <v>9500</v>
          </cell>
          <cell r="C110">
            <v>1000</v>
          </cell>
          <cell r="D110">
            <v>3.2543999999999997E-2</v>
          </cell>
        </row>
        <row r="111">
          <cell r="A111" t="str">
            <v>C136XMTS/C14</v>
          </cell>
          <cell r="B111">
            <v>9500</v>
          </cell>
          <cell r="C111">
            <v>1000</v>
          </cell>
          <cell r="D111">
            <v>3.2543999999999997E-2</v>
          </cell>
        </row>
        <row r="112">
          <cell r="A112" t="str">
            <v>C136XMTS/C14(T)</v>
          </cell>
          <cell r="B112">
            <v>9500</v>
          </cell>
          <cell r="C112">
            <v>1000</v>
          </cell>
          <cell r="D112">
            <v>3.2543999999999997E-2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5.2724999999999994E-2</v>
          </cell>
        </row>
        <row r="118">
          <cell r="A118" t="str">
            <v>C1503BPF/C(T)</v>
          </cell>
          <cell r="B118">
            <v>20000</v>
          </cell>
          <cell r="C118">
            <v>2700</v>
          </cell>
          <cell r="D118">
            <v>5.2724999999999994E-2</v>
          </cell>
        </row>
        <row r="119">
          <cell r="A119" t="str">
            <v>C1503X/C</v>
          </cell>
          <cell r="B119">
            <v>21000</v>
          </cell>
          <cell r="C119">
            <v>2850</v>
          </cell>
          <cell r="D119">
            <v>5.2724999999999994E-2</v>
          </cell>
        </row>
        <row r="120">
          <cell r="A120" t="str">
            <v>C1503X/C(T)</v>
          </cell>
          <cell r="B120">
            <v>19200</v>
          </cell>
          <cell r="C120">
            <v>2850</v>
          </cell>
          <cell r="D120">
            <v>5.2724999999999994E-2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2.7436000000000002E-2</v>
          </cell>
        </row>
        <row r="128">
          <cell r="A128" t="str">
            <v>C1614E14 E</v>
          </cell>
          <cell r="B128">
            <v>248</v>
          </cell>
          <cell r="D128">
            <v>5.4872000000000005E-4</v>
          </cell>
        </row>
        <row r="129">
          <cell r="A129" t="str">
            <v>C1620BPF</v>
          </cell>
          <cell r="B129">
            <v>17796</v>
          </cell>
          <cell r="C129">
            <v>2640</v>
          </cell>
          <cell r="D129">
            <v>3.6861500000000005E-2</v>
          </cell>
        </row>
        <row r="130">
          <cell r="A130" t="str">
            <v>C1620DU</v>
          </cell>
          <cell r="B130">
            <v>17500</v>
          </cell>
          <cell r="C130">
            <v>3072</v>
          </cell>
          <cell r="D130">
            <v>3.6861500000000005E-2</v>
          </cell>
        </row>
        <row r="131">
          <cell r="A131" t="str">
            <v>C1620DU(5)</v>
          </cell>
          <cell r="B131">
            <v>17500</v>
          </cell>
          <cell r="C131">
            <v>3072</v>
          </cell>
          <cell r="D131">
            <v>3.6861500000000005E-2</v>
          </cell>
        </row>
        <row r="132">
          <cell r="A132" t="str">
            <v>C1620DU(S)</v>
          </cell>
          <cell r="B132">
            <v>17500</v>
          </cell>
          <cell r="C132">
            <v>3072</v>
          </cell>
          <cell r="D132">
            <v>3.6861500000000005E-2</v>
          </cell>
        </row>
        <row r="133">
          <cell r="A133" t="str">
            <v>C1620F</v>
          </cell>
          <cell r="B133">
            <v>18500</v>
          </cell>
          <cell r="C133">
            <v>3072</v>
          </cell>
          <cell r="D133">
            <v>3.6861500000000005E-2</v>
          </cell>
        </row>
        <row r="134">
          <cell r="A134" t="str">
            <v>C1620F14</v>
          </cell>
          <cell r="B134">
            <v>17800</v>
          </cell>
          <cell r="C134">
            <v>3072</v>
          </cell>
          <cell r="D134">
            <v>3.6861500000000005E-2</v>
          </cell>
        </row>
        <row r="135">
          <cell r="A135" t="str">
            <v>C1620F14 E</v>
          </cell>
        </row>
        <row r="136">
          <cell r="A136" t="str">
            <v>C1620H</v>
          </cell>
          <cell r="B136">
            <v>16000</v>
          </cell>
          <cell r="C136">
            <v>3072</v>
          </cell>
          <cell r="D136">
            <v>3.6861500000000005E-2</v>
          </cell>
        </row>
        <row r="137">
          <cell r="A137" t="str">
            <v>C1620H14</v>
          </cell>
          <cell r="B137">
            <v>18300</v>
          </cell>
          <cell r="C137">
            <v>3072</v>
          </cell>
          <cell r="D137">
            <v>3.6861500000000005E-2</v>
          </cell>
        </row>
        <row r="138">
          <cell r="A138" t="str">
            <v>C1620M</v>
          </cell>
          <cell r="B138">
            <v>18500</v>
          </cell>
          <cell r="C138">
            <v>3072</v>
          </cell>
          <cell r="D138">
            <v>3.6861500000000005E-2</v>
          </cell>
        </row>
        <row r="139">
          <cell r="A139" t="str">
            <v>C1620M E</v>
          </cell>
          <cell r="B139">
            <v>643</v>
          </cell>
          <cell r="D139">
            <v>1.5358958333333336E-3</v>
          </cell>
        </row>
        <row r="140">
          <cell r="A140" t="str">
            <v>C1620M14</v>
          </cell>
          <cell r="B140">
            <v>17916</v>
          </cell>
          <cell r="C140">
            <v>3072</v>
          </cell>
          <cell r="D140">
            <v>3.6861500000000005E-2</v>
          </cell>
        </row>
        <row r="141">
          <cell r="A141" t="str">
            <v>C1620N</v>
          </cell>
          <cell r="B141">
            <v>17000</v>
          </cell>
          <cell r="C141">
            <v>3072</v>
          </cell>
          <cell r="D141">
            <v>3.6861500000000005E-2</v>
          </cell>
        </row>
        <row r="142">
          <cell r="A142" t="str">
            <v>C1620N14</v>
          </cell>
          <cell r="B142">
            <v>18300</v>
          </cell>
          <cell r="C142">
            <v>3072</v>
          </cell>
          <cell r="D142">
            <v>3.6861500000000005E-2</v>
          </cell>
        </row>
        <row r="143">
          <cell r="A143" t="str">
            <v>C1625B</v>
          </cell>
          <cell r="B143">
            <v>15000</v>
          </cell>
          <cell r="C143">
            <v>2496</v>
          </cell>
          <cell r="D143">
            <v>3.2864000000000004E-2</v>
          </cell>
        </row>
        <row r="144">
          <cell r="A144" t="str">
            <v>C1625B14</v>
          </cell>
          <cell r="B144">
            <v>15200</v>
          </cell>
          <cell r="C144">
            <v>2496</v>
          </cell>
          <cell r="D144">
            <v>3.2864000000000004E-2</v>
          </cell>
        </row>
        <row r="145">
          <cell r="A145" t="str">
            <v>C1625BPF</v>
          </cell>
          <cell r="B145">
            <v>15000</v>
          </cell>
          <cell r="C145">
            <v>2496</v>
          </cell>
          <cell r="D145">
            <v>3.2864000000000004E-2</v>
          </cell>
        </row>
        <row r="146">
          <cell r="A146" t="str">
            <v>C1625D</v>
          </cell>
          <cell r="B146">
            <v>14500</v>
          </cell>
          <cell r="C146">
            <v>2496</v>
          </cell>
          <cell r="D146">
            <v>3.2864000000000004E-2</v>
          </cell>
        </row>
        <row r="147">
          <cell r="A147" t="str">
            <v>C1625D14</v>
          </cell>
          <cell r="B147">
            <v>15000</v>
          </cell>
          <cell r="C147">
            <v>2496</v>
          </cell>
          <cell r="D147">
            <v>3.2864000000000004E-2</v>
          </cell>
        </row>
        <row r="148">
          <cell r="A148" t="str">
            <v>C1625F</v>
          </cell>
          <cell r="B148">
            <v>15400</v>
          </cell>
          <cell r="C148">
            <v>2496</v>
          </cell>
          <cell r="D148">
            <v>3.2864000000000004E-2</v>
          </cell>
        </row>
        <row r="149">
          <cell r="A149" t="str">
            <v>C1625F14</v>
          </cell>
          <cell r="B149">
            <v>15060</v>
          </cell>
          <cell r="C149">
            <v>2496</v>
          </cell>
          <cell r="D149">
            <v>3.2864000000000004E-2</v>
          </cell>
        </row>
        <row r="150">
          <cell r="A150" t="str">
            <v>C1625G</v>
          </cell>
          <cell r="B150">
            <v>16000</v>
          </cell>
          <cell r="C150">
            <v>2496</v>
          </cell>
          <cell r="D150">
            <v>3.2864000000000004E-2</v>
          </cell>
        </row>
        <row r="151">
          <cell r="A151" t="str">
            <v>C163A</v>
          </cell>
          <cell r="B151">
            <v>18500</v>
          </cell>
          <cell r="C151">
            <v>3040</v>
          </cell>
          <cell r="D151">
            <v>4.6068749999999999E-2</v>
          </cell>
        </row>
        <row r="152">
          <cell r="A152" t="str">
            <v>C163A14</v>
          </cell>
          <cell r="B152">
            <v>18500</v>
          </cell>
          <cell r="C152">
            <v>3040</v>
          </cell>
          <cell r="D152">
            <v>4.6068749999999999E-2</v>
          </cell>
        </row>
        <row r="153">
          <cell r="A153" t="str">
            <v>C163B</v>
          </cell>
          <cell r="B153">
            <v>18500</v>
          </cell>
          <cell r="C153">
            <v>3040</v>
          </cell>
          <cell r="D153">
            <v>4.6068749999999999E-2</v>
          </cell>
        </row>
        <row r="154">
          <cell r="A154" t="str">
            <v>C163BP</v>
          </cell>
          <cell r="B154">
            <v>18500</v>
          </cell>
          <cell r="C154">
            <v>2800</v>
          </cell>
          <cell r="D154">
            <v>4.6068749999999999E-2</v>
          </cell>
        </row>
        <row r="155">
          <cell r="A155" t="str">
            <v>C163E</v>
          </cell>
          <cell r="B155">
            <v>18500</v>
          </cell>
          <cell r="C155">
            <v>3040</v>
          </cell>
          <cell r="D155">
            <v>4.6068749999999999E-2</v>
          </cell>
        </row>
        <row r="156">
          <cell r="A156" t="str">
            <v>C163K</v>
          </cell>
          <cell r="B156">
            <v>18500</v>
          </cell>
          <cell r="C156">
            <v>3040</v>
          </cell>
          <cell r="D156">
            <v>4.6068749999999999E-2</v>
          </cell>
        </row>
        <row r="157">
          <cell r="A157" t="str">
            <v>C163L</v>
          </cell>
          <cell r="B157">
            <v>18500</v>
          </cell>
          <cell r="C157">
            <v>3040</v>
          </cell>
          <cell r="D157">
            <v>4.6068749999999999E-2</v>
          </cell>
        </row>
        <row r="158">
          <cell r="A158" t="str">
            <v>C163SIG</v>
          </cell>
          <cell r="B158">
            <v>18500</v>
          </cell>
          <cell r="C158">
            <v>4000</v>
          </cell>
          <cell r="D158">
            <v>4.6068749999999999E-2</v>
          </cell>
        </row>
        <row r="159">
          <cell r="A159" t="str">
            <v>C165D E</v>
          </cell>
          <cell r="D159">
            <v>1.7749999999999998E-2</v>
          </cell>
        </row>
        <row r="160">
          <cell r="A160" t="str">
            <v>C165JA</v>
          </cell>
          <cell r="B160">
            <v>18500</v>
          </cell>
          <cell r="C160">
            <v>2400</v>
          </cell>
          <cell r="D160">
            <v>5.3249999999999999E-2</v>
          </cell>
        </row>
        <row r="161">
          <cell r="A161" t="str">
            <v>C165P</v>
          </cell>
          <cell r="B161">
            <v>19000</v>
          </cell>
          <cell r="C161">
            <v>2400</v>
          </cell>
          <cell r="D161">
            <v>5.3249999999999999E-2</v>
          </cell>
        </row>
        <row r="162">
          <cell r="A162" t="str">
            <v>C165P E</v>
          </cell>
          <cell r="B162">
            <v>5534</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5.1275624999999991E-2</v>
          </cell>
        </row>
        <row r="171">
          <cell r="A171" t="str">
            <v>C17825W/C(T)</v>
          </cell>
          <cell r="B171">
            <v>17300</v>
          </cell>
          <cell r="C171">
            <v>1990</v>
          </cell>
          <cell r="D171">
            <v>5.1275624999999991E-2</v>
          </cell>
        </row>
        <row r="172">
          <cell r="A172" t="str">
            <v>C18020SIG/C</v>
          </cell>
          <cell r="B172">
            <v>9000</v>
          </cell>
          <cell r="C172">
            <v>1980</v>
          </cell>
          <cell r="D172">
            <v>1.6449999999999999E-2</v>
          </cell>
        </row>
        <row r="173">
          <cell r="A173" t="str">
            <v>C18020SIG/C(T)</v>
          </cell>
          <cell r="B173">
            <v>9000</v>
          </cell>
          <cell r="C173">
            <v>1980</v>
          </cell>
          <cell r="D173">
            <v>1.6449999999999999E-2</v>
          </cell>
        </row>
        <row r="174">
          <cell r="A174" t="str">
            <v>C180MA</v>
          </cell>
          <cell r="B174">
            <v>45000</v>
          </cell>
          <cell r="C174">
            <v>5720</v>
          </cell>
          <cell r="D174">
            <v>0.14663249999999997</v>
          </cell>
        </row>
        <row r="175">
          <cell r="A175" t="str">
            <v>C19220F/C</v>
          </cell>
          <cell r="B175">
            <v>9580</v>
          </cell>
          <cell r="C175">
            <v>1494</v>
          </cell>
          <cell r="D175">
            <v>1.8269999999999998E-2</v>
          </cell>
        </row>
        <row r="176">
          <cell r="A176" t="str">
            <v>C19220F/C(T)</v>
          </cell>
          <cell r="B176">
            <v>9580</v>
          </cell>
          <cell r="C176">
            <v>1494</v>
          </cell>
          <cell r="D176">
            <v>1.8269999999999998E-2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4.8234375000000003E-2</v>
          </cell>
        </row>
        <row r="180">
          <cell r="A180" t="str">
            <v>C19225MF/C14(T)</v>
          </cell>
          <cell r="B180">
            <v>18000</v>
          </cell>
          <cell r="C180">
            <v>1984</v>
          </cell>
          <cell r="D180">
            <v>4.8234375000000003E-2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1.98505E-2</v>
          </cell>
        </row>
        <row r="191">
          <cell r="A191" t="str">
            <v>C19625/C14</v>
          </cell>
          <cell r="B191">
            <v>17500</v>
          </cell>
          <cell r="C191">
            <v>1992</v>
          </cell>
          <cell r="D191">
            <v>3.2912000000000004E-2</v>
          </cell>
        </row>
        <row r="192">
          <cell r="A192" t="str">
            <v>C19625/C14(T)</v>
          </cell>
          <cell r="B192">
            <v>17500</v>
          </cell>
          <cell r="C192">
            <v>1992</v>
          </cell>
          <cell r="D192">
            <v>3.2912000000000004E-2</v>
          </cell>
        </row>
        <row r="193">
          <cell r="A193" t="str">
            <v>C19625F/C</v>
          </cell>
          <cell r="B193">
            <v>17500</v>
          </cell>
          <cell r="C193">
            <v>1992</v>
          </cell>
          <cell r="D193">
            <v>3.2912000000000004E-2</v>
          </cell>
        </row>
        <row r="194">
          <cell r="A194" t="str">
            <v>C19625F/C(T)</v>
          </cell>
          <cell r="B194">
            <v>17500</v>
          </cell>
          <cell r="C194">
            <v>1992</v>
          </cell>
          <cell r="D194">
            <v>3.2912000000000004E-2</v>
          </cell>
        </row>
        <row r="195">
          <cell r="A195" t="str">
            <v>C20020BP</v>
          </cell>
          <cell r="B195">
            <v>18500</v>
          </cell>
          <cell r="C195">
            <v>2000</v>
          </cell>
          <cell r="D195">
            <v>3.6414000000000002E-2</v>
          </cell>
        </row>
        <row r="196">
          <cell r="A196" t="str">
            <v>C20020BPF</v>
          </cell>
          <cell r="B196">
            <v>18500</v>
          </cell>
          <cell r="C196">
            <v>2000</v>
          </cell>
          <cell r="D196">
            <v>3.6414000000000002E-2</v>
          </cell>
        </row>
        <row r="197">
          <cell r="A197" t="str">
            <v>C20020BPS</v>
          </cell>
          <cell r="B197">
            <v>18500</v>
          </cell>
          <cell r="C197">
            <v>2000</v>
          </cell>
          <cell r="D197">
            <v>3.6414000000000002E-2</v>
          </cell>
        </row>
        <row r="198">
          <cell r="A198" t="str">
            <v>C20020PR</v>
          </cell>
          <cell r="B198">
            <v>18500</v>
          </cell>
          <cell r="C198">
            <v>2000</v>
          </cell>
          <cell r="D198">
            <v>4.1616000000000007E-2</v>
          </cell>
        </row>
        <row r="199">
          <cell r="A199" t="str">
            <v>C20020XBP</v>
          </cell>
          <cell r="B199">
            <v>19600</v>
          </cell>
          <cell r="C199">
            <v>2000</v>
          </cell>
          <cell r="D199">
            <v>4.674600000000001E-2</v>
          </cell>
        </row>
        <row r="200">
          <cell r="A200" t="str">
            <v>C20020XBPW</v>
          </cell>
          <cell r="B200">
            <v>19600</v>
          </cell>
          <cell r="C200">
            <v>2000</v>
          </cell>
          <cell r="D200">
            <v>4.674600000000001E-2</v>
          </cell>
        </row>
        <row r="201">
          <cell r="A201" t="str">
            <v>C20020XPR</v>
          </cell>
          <cell r="B201">
            <v>19600</v>
          </cell>
          <cell r="C201">
            <v>2000</v>
          </cell>
          <cell r="D201">
            <v>5.3423999999999999E-2</v>
          </cell>
        </row>
        <row r="202">
          <cell r="A202" t="str">
            <v>C20020XPR/C14</v>
          </cell>
          <cell r="B202">
            <v>10000</v>
          </cell>
          <cell r="C202">
            <v>1000</v>
          </cell>
          <cell r="D202">
            <v>2.5042500000000002E-2</v>
          </cell>
        </row>
        <row r="203">
          <cell r="A203" t="str">
            <v>C20020XPR/C14(T)</v>
          </cell>
          <cell r="B203">
            <v>10000</v>
          </cell>
          <cell r="C203">
            <v>1000</v>
          </cell>
          <cell r="D203">
            <v>2.4333750000000001E-2</v>
          </cell>
        </row>
        <row r="204">
          <cell r="A204" t="str">
            <v>C20020XTS/C14</v>
          </cell>
          <cell r="B204">
            <v>10000</v>
          </cell>
          <cell r="C204">
            <v>1000</v>
          </cell>
          <cell r="D204">
            <v>2.5042500000000002E-2</v>
          </cell>
        </row>
        <row r="205">
          <cell r="A205" t="str">
            <v>C20020XTS/C14(T)</v>
          </cell>
          <cell r="B205">
            <v>10000</v>
          </cell>
          <cell r="C205">
            <v>1000</v>
          </cell>
          <cell r="D205">
            <v>2.4333750000000001E-2</v>
          </cell>
        </row>
        <row r="206">
          <cell r="A206" t="str">
            <v>C20025BPS/C</v>
          </cell>
          <cell r="B206">
            <v>18200</v>
          </cell>
          <cell r="C206">
            <v>1990</v>
          </cell>
          <cell r="D206">
            <v>3.6115624999999998E-2</v>
          </cell>
        </row>
        <row r="207">
          <cell r="A207" t="str">
            <v>C20025F/C</v>
          </cell>
          <cell r="B207">
            <v>18200</v>
          </cell>
          <cell r="C207">
            <v>1990</v>
          </cell>
          <cell r="D207">
            <v>3.6115624999999998E-2</v>
          </cell>
        </row>
        <row r="208">
          <cell r="A208" t="str">
            <v>C20025F/C(T)</v>
          </cell>
          <cell r="B208">
            <v>18200</v>
          </cell>
          <cell r="C208">
            <v>1990</v>
          </cell>
          <cell r="D208">
            <v>3.6115624999999998E-2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4.7887999999999993E-2</v>
          </cell>
        </row>
        <row r="217">
          <cell r="A217" t="str">
            <v>C200MF/C(T)</v>
          </cell>
          <cell r="B217">
            <v>15600</v>
          </cell>
          <cell r="C217">
            <v>1980</v>
          </cell>
          <cell r="D217">
            <v>4.7887999999999993E-2</v>
          </cell>
        </row>
        <row r="218">
          <cell r="A218" t="str">
            <v>C200MF/C14</v>
          </cell>
          <cell r="B218">
            <v>15800</v>
          </cell>
          <cell r="C218">
            <v>1980</v>
          </cell>
          <cell r="D218">
            <v>4.7887999999999993E-2</v>
          </cell>
        </row>
        <row r="219">
          <cell r="A219" t="str">
            <v>C200MF/C14(T)</v>
          </cell>
          <cell r="B219">
            <v>15800</v>
          </cell>
          <cell r="C219">
            <v>1980</v>
          </cell>
          <cell r="D219">
            <v>4.7887999999999993E-2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5.0760000000000007E-2</v>
          </cell>
        </row>
        <row r="225">
          <cell r="A225" t="str">
            <v>C20814XPR14 E</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D239">
            <v>5.1920000000000001E-2</v>
          </cell>
        </row>
        <row r="240">
          <cell r="A240" t="str">
            <v>C223MF/C(T)</v>
          </cell>
          <cell r="B240">
            <v>15000</v>
          </cell>
          <cell r="C240">
            <v>1994</v>
          </cell>
          <cell r="D240">
            <v>5.1920000000000001E-2</v>
          </cell>
        </row>
        <row r="241">
          <cell r="A241" t="str">
            <v>C223MM/C E</v>
          </cell>
          <cell r="D241">
            <v>5.1920000000000001E-2</v>
          </cell>
        </row>
        <row r="242">
          <cell r="A242" t="str">
            <v>C223XMK/C</v>
          </cell>
          <cell r="B242">
            <v>17000</v>
          </cell>
          <cell r="C242">
            <v>2000</v>
          </cell>
          <cell r="D242">
            <v>5.2136000000000009E-2</v>
          </cell>
        </row>
        <row r="243">
          <cell r="A243" t="str">
            <v>C223XMK/C(T)</v>
          </cell>
          <cell r="B243">
            <v>17000</v>
          </cell>
          <cell r="C243">
            <v>2000</v>
          </cell>
          <cell r="D243">
            <v>5.2136000000000009E-2</v>
          </cell>
        </row>
        <row r="244">
          <cell r="A244" t="str">
            <v>C223XMK/C14</v>
          </cell>
          <cell r="B244">
            <v>17000</v>
          </cell>
          <cell r="C244">
            <v>2000</v>
          </cell>
          <cell r="D244">
            <v>5.2136000000000009E-2</v>
          </cell>
        </row>
        <row r="245">
          <cell r="A245" t="str">
            <v>C223XMK/C14(T)</v>
          </cell>
          <cell r="B245">
            <v>17000</v>
          </cell>
          <cell r="C245">
            <v>2000</v>
          </cell>
          <cell r="D245">
            <v>5.2136000000000009E-2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6.6283124999999998E-2</v>
          </cell>
        </row>
        <row r="249">
          <cell r="A249" t="str">
            <v>C2463A</v>
          </cell>
          <cell r="B249">
            <v>25100</v>
          </cell>
          <cell r="C249">
            <v>1920</v>
          </cell>
          <cell r="D249">
            <v>9.917999999999999E-2</v>
          </cell>
        </row>
        <row r="250">
          <cell r="A250" t="str">
            <v>C2463A E</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2.8424000000000001E-2</v>
          </cell>
        </row>
        <row r="255">
          <cell r="A255" t="str">
            <v>C2520BP</v>
          </cell>
          <cell r="B255">
            <v>13000</v>
          </cell>
          <cell r="C255">
            <v>2100</v>
          </cell>
          <cell r="D255">
            <v>2.6871000000000003E-2</v>
          </cell>
        </row>
        <row r="256">
          <cell r="A256" t="str">
            <v>C2520DI</v>
          </cell>
          <cell r="B256">
            <v>13000</v>
          </cell>
          <cell r="C256">
            <v>2400</v>
          </cell>
          <cell r="D256">
            <v>2.6871000000000003E-2</v>
          </cell>
        </row>
        <row r="257">
          <cell r="A257" t="str">
            <v>C2520DI14</v>
          </cell>
          <cell r="B257">
            <v>13100</v>
          </cell>
          <cell r="C257">
            <v>2400</v>
          </cell>
          <cell r="D257">
            <v>2.6871000000000003E-2</v>
          </cell>
        </row>
        <row r="258">
          <cell r="A258" t="str">
            <v>C2520P</v>
          </cell>
          <cell r="B258">
            <v>14064</v>
          </cell>
          <cell r="C258">
            <v>2400</v>
          </cell>
          <cell r="D258">
            <v>2.6871000000000003E-2</v>
          </cell>
        </row>
        <row r="259">
          <cell r="A259" t="str">
            <v>C2520R</v>
          </cell>
          <cell r="B259">
            <v>13440</v>
          </cell>
          <cell r="C259">
            <v>2400</v>
          </cell>
          <cell r="D259">
            <v>2.6871000000000003E-2</v>
          </cell>
        </row>
        <row r="260">
          <cell r="A260" t="str">
            <v>C2520SE</v>
          </cell>
          <cell r="B260">
            <v>11600</v>
          </cell>
          <cell r="C260">
            <v>2400</v>
          </cell>
          <cell r="D260">
            <v>2.6871000000000003E-2</v>
          </cell>
        </row>
        <row r="261">
          <cell r="A261" t="str">
            <v>C2520SE E</v>
          </cell>
        </row>
        <row r="262">
          <cell r="A262" t="str">
            <v>C2520SE14</v>
          </cell>
          <cell r="B262">
            <v>11600</v>
          </cell>
          <cell r="C262">
            <v>2400</v>
          </cell>
          <cell r="D262">
            <v>2.6871000000000003E-2</v>
          </cell>
        </row>
        <row r="263">
          <cell r="A263" t="str">
            <v>C2520SIG</v>
          </cell>
          <cell r="B263">
            <v>15000</v>
          </cell>
          <cell r="C263">
            <v>3900</v>
          </cell>
          <cell r="D263">
            <v>3.604000000000001E-2</v>
          </cell>
        </row>
        <row r="264">
          <cell r="A264" t="str">
            <v>C2520SL</v>
          </cell>
          <cell r="B264">
            <v>11600</v>
          </cell>
          <cell r="C264">
            <v>2400</v>
          </cell>
          <cell r="D264">
            <v>2.6871000000000003E-2</v>
          </cell>
        </row>
        <row r="265">
          <cell r="A265" t="str">
            <v>C2520ST</v>
          </cell>
          <cell r="B265">
            <v>12300</v>
          </cell>
          <cell r="C265">
            <v>2400</v>
          </cell>
          <cell r="D265">
            <v>2.6871000000000003E-2</v>
          </cell>
        </row>
        <row r="266">
          <cell r="A266" t="str">
            <v>C2520ST E</v>
          </cell>
          <cell r="B266">
            <v>825</v>
          </cell>
          <cell r="D266">
            <v>2.2392500000000004E-3</v>
          </cell>
        </row>
        <row r="267">
          <cell r="A267" t="str">
            <v>C2520T</v>
          </cell>
          <cell r="B267">
            <v>11600</v>
          </cell>
          <cell r="C267">
            <v>2400</v>
          </cell>
          <cell r="D267">
            <v>2.6871000000000003E-2</v>
          </cell>
        </row>
        <row r="268">
          <cell r="A268" t="str">
            <v>C2520T14</v>
          </cell>
          <cell r="B268">
            <v>13800</v>
          </cell>
          <cell r="C268">
            <v>2400</v>
          </cell>
          <cell r="D268">
            <v>2.6871000000000003E-2</v>
          </cell>
        </row>
        <row r="269">
          <cell r="A269" t="str">
            <v>C2520VI</v>
          </cell>
          <cell r="B269">
            <v>13000</v>
          </cell>
          <cell r="C269">
            <v>2400</v>
          </cell>
          <cell r="D269">
            <v>2.6871000000000003E-2</v>
          </cell>
        </row>
        <row r="270">
          <cell r="A270" t="str">
            <v>C2520VI E</v>
          </cell>
          <cell r="B270">
            <v>884</v>
          </cell>
          <cell r="D270">
            <v>2.2392500000000004E-3</v>
          </cell>
        </row>
        <row r="271">
          <cell r="A271" t="str">
            <v>C2520Z</v>
          </cell>
          <cell r="B271">
            <v>13000</v>
          </cell>
          <cell r="C271">
            <v>2400</v>
          </cell>
          <cell r="D271">
            <v>2.6871000000000003E-2</v>
          </cell>
        </row>
        <row r="272">
          <cell r="A272" t="str">
            <v>C25220XFS/C</v>
          </cell>
          <cell r="B272">
            <v>12700</v>
          </cell>
          <cell r="C272">
            <v>1994</v>
          </cell>
          <cell r="D272">
            <v>3.2933250000000004E-2</v>
          </cell>
        </row>
        <row r="273">
          <cell r="A273" t="str">
            <v>C25220XFS/C(T)</v>
          </cell>
          <cell r="B273">
            <v>12700</v>
          </cell>
          <cell r="C273">
            <v>1994</v>
          </cell>
          <cell r="D273">
            <v>3.2933250000000004E-2</v>
          </cell>
        </row>
        <row r="274">
          <cell r="A274" t="str">
            <v>C25220XFS/C14</v>
          </cell>
          <cell r="B274">
            <v>12700</v>
          </cell>
          <cell r="C274">
            <v>1994</v>
          </cell>
          <cell r="D274">
            <v>3.2933250000000004E-2</v>
          </cell>
        </row>
        <row r="275">
          <cell r="A275" t="str">
            <v>C25220XFS/C14(T)</v>
          </cell>
          <cell r="B275">
            <v>12700</v>
          </cell>
          <cell r="C275">
            <v>1994</v>
          </cell>
          <cell r="D275">
            <v>3.2933250000000004E-2</v>
          </cell>
        </row>
        <row r="276">
          <cell r="A276" t="str">
            <v>C2525BPW</v>
          </cell>
          <cell r="B276">
            <v>21000</v>
          </cell>
          <cell r="C276">
            <v>3600</v>
          </cell>
          <cell r="D276">
            <v>4.7185875000000009E-2</v>
          </cell>
        </row>
        <row r="277">
          <cell r="A277" t="str">
            <v>C2525C</v>
          </cell>
          <cell r="B277">
            <v>21000</v>
          </cell>
          <cell r="C277">
            <v>3900</v>
          </cell>
          <cell r="D277">
            <v>4.7185875000000009E-2</v>
          </cell>
        </row>
        <row r="278">
          <cell r="A278" t="str">
            <v>C2525DU</v>
          </cell>
          <cell r="B278">
            <v>21000</v>
          </cell>
          <cell r="C278">
            <v>3600</v>
          </cell>
          <cell r="D278">
            <v>4.7185875000000009E-2</v>
          </cell>
        </row>
        <row r="279">
          <cell r="A279" t="str">
            <v>C2525L</v>
          </cell>
          <cell r="B279">
            <v>21000</v>
          </cell>
          <cell r="C279">
            <v>3900</v>
          </cell>
          <cell r="D279">
            <v>4.7185875000000009E-2</v>
          </cell>
        </row>
        <row r="280">
          <cell r="A280" t="str">
            <v>C2525SC14</v>
          </cell>
          <cell r="B280">
            <v>18500</v>
          </cell>
          <cell r="C280">
            <v>2000</v>
          </cell>
          <cell r="D280">
            <v>3.7392000000000002E-2</v>
          </cell>
        </row>
        <row r="281">
          <cell r="A281" t="str">
            <v>C2525SIG</v>
          </cell>
          <cell r="B281">
            <v>22000</v>
          </cell>
          <cell r="C281">
            <v>5988</v>
          </cell>
          <cell r="D281">
            <v>4.7185875000000009E-2</v>
          </cell>
        </row>
        <row r="282">
          <cell r="A282" t="str">
            <v>C253B14</v>
          </cell>
          <cell r="B282">
            <v>20000</v>
          </cell>
          <cell r="C282">
            <v>2850</v>
          </cell>
          <cell r="D282">
            <v>4.7651999999999993E-2</v>
          </cell>
        </row>
        <row r="283">
          <cell r="A283" t="str">
            <v>C253BP14</v>
          </cell>
          <cell r="B283">
            <v>18000</v>
          </cell>
          <cell r="C283">
            <v>2550</v>
          </cell>
          <cell r="D283">
            <v>4.7651999999999993E-2</v>
          </cell>
        </row>
        <row r="284">
          <cell r="A284" t="str">
            <v>C253BPF14</v>
          </cell>
          <cell r="B284">
            <v>18000</v>
          </cell>
          <cell r="C284">
            <v>2550</v>
          </cell>
          <cell r="D284">
            <v>4.7651999999999993E-2</v>
          </cell>
        </row>
        <row r="285">
          <cell r="A285" t="str">
            <v>C253DU</v>
          </cell>
          <cell r="B285">
            <v>19500</v>
          </cell>
          <cell r="C285">
            <v>2412</v>
          </cell>
          <cell r="D285">
            <v>4.7651999999999993E-2</v>
          </cell>
        </row>
        <row r="286">
          <cell r="A286" t="str">
            <v>C253E14</v>
          </cell>
          <cell r="B286">
            <v>19000</v>
          </cell>
          <cell r="C286">
            <v>2850</v>
          </cell>
          <cell r="D286">
            <v>4.7651999999999993E-2</v>
          </cell>
        </row>
        <row r="287">
          <cell r="A287" t="str">
            <v>C253F14</v>
          </cell>
          <cell r="B287">
            <v>17500</v>
          </cell>
          <cell r="C287">
            <v>2850</v>
          </cell>
          <cell r="D287">
            <v>4.7651999999999993E-2</v>
          </cell>
        </row>
        <row r="288">
          <cell r="A288" t="str">
            <v>C253FR</v>
          </cell>
          <cell r="B288">
            <v>19000</v>
          </cell>
          <cell r="C288">
            <v>2850</v>
          </cell>
          <cell r="D288">
            <v>4.7651999999999993E-2</v>
          </cell>
        </row>
        <row r="289">
          <cell r="A289" t="str">
            <v>C253G14</v>
          </cell>
          <cell r="B289">
            <v>17500</v>
          </cell>
          <cell r="C289">
            <v>2850</v>
          </cell>
          <cell r="D289">
            <v>4.7651999999999993E-2</v>
          </cell>
        </row>
        <row r="290">
          <cell r="A290" t="str">
            <v>C253CH</v>
          </cell>
          <cell r="B290">
            <v>16500</v>
          </cell>
          <cell r="C290">
            <v>2850</v>
          </cell>
          <cell r="D290">
            <v>4.681600000000001E-2</v>
          </cell>
        </row>
        <row r="291">
          <cell r="A291" t="str">
            <v>C253MY</v>
          </cell>
          <cell r="B291">
            <v>20500</v>
          </cell>
          <cell r="C291">
            <v>2850</v>
          </cell>
          <cell r="D291">
            <v>4.7651999999999993E-2</v>
          </cell>
        </row>
        <row r="292">
          <cell r="A292" t="str">
            <v>C253NO14</v>
          </cell>
          <cell r="B292">
            <v>18800</v>
          </cell>
          <cell r="C292">
            <v>2958</v>
          </cell>
          <cell r="D292">
            <v>4.7651999999999993E-2</v>
          </cell>
        </row>
        <row r="293">
          <cell r="A293" t="str">
            <v>C253NO14 E</v>
          </cell>
        </row>
        <row r="294">
          <cell r="A294" t="str">
            <v>C253O</v>
          </cell>
          <cell r="B294">
            <v>18500</v>
          </cell>
          <cell r="C294">
            <v>2850</v>
          </cell>
          <cell r="D294">
            <v>4.681600000000001E-2</v>
          </cell>
        </row>
        <row r="295">
          <cell r="A295" t="str">
            <v>C253SIG</v>
          </cell>
          <cell r="B295">
            <v>21500</v>
          </cell>
          <cell r="C295">
            <v>4350</v>
          </cell>
          <cell r="D295">
            <v>5.335199999999999E-2</v>
          </cell>
        </row>
        <row r="296">
          <cell r="A296" t="str">
            <v>C253SIG B</v>
          </cell>
          <cell r="B296">
            <v>21500</v>
          </cell>
          <cell r="C296">
            <v>4350</v>
          </cell>
          <cell r="D296">
            <v>4.7651999999999993E-2</v>
          </cell>
        </row>
        <row r="297">
          <cell r="A297" t="str">
            <v>C253SK14</v>
          </cell>
          <cell r="B297">
            <v>19000</v>
          </cell>
          <cell r="C297">
            <v>2850</v>
          </cell>
          <cell r="D297">
            <v>4.7651999999999993E-2</v>
          </cell>
        </row>
        <row r="298">
          <cell r="A298" t="str">
            <v>C253TH14</v>
          </cell>
          <cell r="B298">
            <v>20000</v>
          </cell>
          <cell r="C298">
            <v>2850</v>
          </cell>
          <cell r="D298">
            <v>4.7651999999999993E-2</v>
          </cell>
        </row>
        <row r="299">
          <cell r="A299" t="str">
            <v>C253XMPT/C</v>
          </cell>
          <cell r="B299">
            <v>26300</v>
          </cell>
          <cell r="C299">
            <v>4000</v>
          </cell>
          <cell r="D299">
            <v>8.9033000000000001E-2</v>
          </cell>
        </row>
        <row r="300">
          <cell r="A300" t="str">
            <v>C253XMPT/C(T)</v>
          </cell>
          <cell r="B300">
            <v>26300</v>
          </cell>
          <cell r="C300">
            <v>4000</v>
          </cell>
          <cell r="D300">
            <v>8.6112000000000008E-2</v>
          </cell>
        </row>
        <row r="301">
          <cell r="A301" t="str">
            <v>C2545DI</v>
          </cell>
          <cell r="B301">
            <v>20000</v>
          </cell>
          <cell r="C301">
            <v>1980</v>
          </cell>
          <cell r="D301">
            <v>5.8463999999999995E-2</v>
          </cell>
        </row>
        <row r="302">
          <cell r="A302" t="str">
            <v>C2545MA</v>
          </cell>
          <cell r="B302">
            <v>20000</v>
          </cell>
          <cell r="C302">
            <v>1980</v>
          </cell>
          <cell r="D302">
            <v>5.8463999999999995E-2</v>
          </cell>
        </row>
        <row r="303">
          <cell r="A303" t="str">
            <v>C2545NO</v>
          </cell>
          <cell r="B303">
            <v>20000</v>
          </cell>
          <cell r="C303">
            <v>1980</v>
          </cell>
          <cell r="D303">
            <v>5.8463999999999995E-2</v>
          </cell>
        </row>
        <row r="304">
          <cell r="A304" t="str">
            <v>C255BP</v>
          </cell>
          <cell r="B304">
            <v>16000</v>
          </cell>
          <cell r="C304">
            <v>2000</v>
          </cell>
          <cell r="D304">
            <v>5.2199999999999996E-2</v>
          </cell>
        </row>
        <row r="305">
          <cell r="A305" t="str">
            <v>C255BP E</v>
          </cell>
          <cell r="B305">
            <v>7000</v>
          </cell>
          <cell r="D305">
            <v>2.6099999999999998E-2</v>
          </cell>
        </row>
        <row r="306">
          <cell r="A306" t="str">
            <v>C25620F/C</v>
          </cell>
          <cell r="B306">
            <v>13500</v>
          </cell>
          <cell r="C306">
            <v>1992</v>
          </cell>
          <cell r="D306">
            <v>2.0663999999999995E-2</v>
          </cell>
        </row>
        <row r="307">
          <cell r="A307" t="str">
            <v>C25620F/C(T)</v>
          </cell>
          <cell r="B307">
            <v>13500</v>
          </cell>
          <cell r="C307">
            <v>1992</v>
          </cell>
          <cell r="D307">
            <v>2.0663999999999995E-2</v>
          </cell>
        </row>
        <row r="308">
          <cell r="A308" t="str">
            <v>C25620F/C14</v>
          </cell>
          <cell r="B308">
            <v>12000</v>
          </cell>
          <cell r="C308">
            <v>1992</v>
          </cell>
          <cell r="D308">
            <v>2.4696000000000003E-2</v>
          </cell>
        </row>
        <row r="309">
          <cell r="A309" t="str">
            <v>C25620F/C14(T)</v>
          </cell>
          <cell r="B309">
            <v>12000</v>
          </cell>
          <cell r="C309">
            <v>1992</v>
          </cell>
          <cell r="D309">
            <v>2.4696000000000003E-2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2.6389999999999997E-2</v>
          </cell>
        </row>
        <row r="316">
          <cell r="A316" t="str">
            <v>C26020F/C(T)</v>
          </cell>
          <cell r="B316">
            <v>12000</v>
          </cell>
          <cell r="C316">
            <v>1994</v>
          </cell>
          <cell r="D316">
            <v>2.6389999999999997E-2</v>
          </cell>
        </row>
        <row r="317">
          <cell r="A317" t="str">
            <v>C26020NID/C</v>
          </cell>
          <cell r="B317">
            <v>12000</v>
          </cell>
          <cell r="C317">
            <v>1994</v>
          </cell>
          <cell r="D317">
            <v>2.6389999999999997E-2</v>
          </cell>
        </row>
        <row r="318">
          <cell r="A318" t="str">
            <v>C26020NID/C(T)</v>
          </cell>
          <cell r="B318">
            <v>12000</v>
          </cell>
          <cell r="C318">
            <v>1994</v>
          </cell>
          <cell r="D318">
            <v>2.6389999999999997E-2</v>
          </cell>
        </row>
        <row r="319">
          <cell r="A319" t="str">
            <v>C26420N/C</v>
          </cell>
          <cell r="B319">
            <v>15100</v>
          </cell>
          <cell r="C319">
            <v>1960</v>
          </cell>
          <cell r="D319">
            <v>5.5107499999999997E-2</v>
          </cell>
        </row>
        <row r="320">
          <cell r="A320" t="str">
            <v>C26420N/C(T)</v>
          </cell>
          <cell r="B320">
            <v>15100</v>
          </cell>
          <cell r="C320">
            <v>1960</v>
          </cell>
          <cell r="D320">
            <v>5.5107499999999997E-2</v>
          </cell>
        </row>
        <row r="321">
          <cell r="A321" t="str">
            <v>C26420N/C14</v>
          </cell>
          <cell r="B321">
            <v>15000</v>
          </cell>
          <cell r="C321">
            <v>1960</v>
          </cell>
          <cell r="D321">
            <v>5.5107499999999997E-2</v>
          </cell>
        </row>
        <row r="322">
          <cell r="A322" t="str">
            <v>C26420N/C14(T)</v>
          </cell>
          <cell r="B322">
            <v>15000</v>
          </cell>
          <cell r="C322">
            <v>1960</v>
          </cell>
          <cell r="D322">
            <v>5.5107499999999997E-2</v>
          </cell>
        </row>
        <row r="323">
          <cell r="A323" t="str">
            <v>C26820F/C</v>
          </cell>
          <cell r="B323">
            <v>14500</v>
          </cell>
          <cell r="C323">
            <v>1998</v>
          </cell>
          <cell r="D323">
            <v>4.6304999999999992E-2</v>
          </cell>
        </row>
        <row r="324">
          <cell r="A324" t="str">
            <v>C26820F/C E</v>
          </cell>
          <cell r="B324">
            <v>12502</v>
          </cell>
          <cell r="D324">
            <v>4.6304999999999992E-2</v>
          </cell>
        </row>
        <row r="325">
          <cell r="A325" t="str">
            <v>C26820F/C(T)</v>
          </cell>
          <cell r="B325">
            <v>14500</v>
          </cell>
          <cell r="C325">
            <v>1998</v>
          </cell>
          <cell r="D325">
            <v>4.6304999999999992E-2</v>
          </cell>
        </row>
        <row r="326">
          <cell r="A326" t="str">
            <v>C30008R</v>
          </cell>
          <cell r="B326">
            <v>15000</v>
          </cell>
          <cell r="C326">
            <v>2304</v>
          </cell>
          <cell r="D326">
            <v>3.3599999999999998E-2</v>
          </cell>
        </row>
        <row r="327">
          <cell r="A327" t="str">
            <v>C30025BPW/C</v>
          </cell>
          <cell r="B327">
            <v>23000</v>
          </cell>
          <cell r="C327">
            <v>2990</v>
          </cell>
          <cell r="D327">
            <v>5.3746875E-2</v>
          </cell>
        </row>
        <row r="328">
          <cell r="A328" t="str">
            <v>C30025BPW/C(T)</v>
          </cell>
          <cell r="B328">
            <v>23000</v>
          </cell>
          <cell r="C328">
            <v>2990</v>
          </cell>
          <cell r="D328">
            <v>5.3746875E-2</v>
          </cell>
        </row>
        <row r="329">
          <cell r="A329" t="str">
            <v>C30025F/C</v>
          </cell>
          <cell r="B329">
            <v>26800</v>
          </cell>
          <cell r="C329">
            <v>2985</v>
          </cell>
          <cell r="D329">
            <v>5.3746875E-2</v>
          </cell>
        </row>
        <row r="330">
          <cell r="A330" t="str">
            <v>C30025F/C(T)</v>
          </cell>
          <cell r="B330">
            <v>26800</v>
          </cell>
          <cell r="C330">
            <v>2985</v>
          </cell>
          <cell r="D330">
            <v>5.3746875E-2</v>
          </cell>
        </row>
        <row r="331">
          <cell r="A331" t="str">
            <v>C304MK</v>
          </cell>
          <cell r="B331">
            <v>68500</v>
          </cell>
          <cell r="C331">
            <v>7880</v>
          </cell>
          <cell r="D331">
            <v>0.1479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7.6160000000000019E-2</v>
          </cell>
        </row>
        <row r="336">
          <cell r="A336" t="str">
            <v>C3545NO</v>
          </cell>
          <cell r="B336">
            <v>27000</v>
          </cell>
          <cell r="C336">
            <v>2000</v>
          </cell>
          <cell r="D336">
            <v>7.6160000000000019E-2</v>
          </cell>
        </row>
        <row r="337">
          <cell r="A337" t="str">
            <v>C363BPF</v>
          </cell>
          <cell r="B337">
            <v>18000</v>
          </cell>
          <cell r="C337">
            <v>2736</v>
          </cell>
          <cell r="D337">
            <v>5.0721125000000006E-2</v>
          </cell>
        </row>
        <row r="338">
          <cell r="A338" t="str">
            <v>C363DR</v>
          </cell>
          <cell r="B338">
            <v>18000</v>
          </cell>
          <cell r="C338">
            <v>2736</v>
          </cell>
          <cell r="D338">
            <v>5.0721125000000006E-2</v>
          </cell>
        </row>
        <row r="339">
          <cell r="A339" t="str">
            <v>C363E E</v>
          </cell>
          <cell r="D339">
            <v>5.0721124999999999E-2</v>
          </cell>
        </row>
        <row r="340">
          <cell r="A340" t="str">
            <v>C363J E</v>
          </cell>
          <cell r="D340">
            <v>5.0721124999999999E-2</v>
          </cell>
        </row>
        <row r="341">
          <cell r="A341" t="str">
            <v>C363PA</v>
          </cell>
          <cell r="B341">
            <v>18000</v>
          </cell>
          <cell r="C341">
            <v>2736</v>
          </cell>
          <cell r="D341">
            <v>5.0721125000000006E-2</v>
          </cell>
        </row>
        <row r="342">
          <cell r="A342" t="str">
            <v>C363PL</v>
          </cell>
          <cell r="B342">
            <v>18000</v>
          </cell>
          <cell r="C342">
            <v>2736</v>
          </cell>
          <cell r="D342">
            <v>5.0721125000000006E-2</v>
          </cell>
        </row>
        <row r="343">
          <cell r="A343" t="str">
            <v>C3645BA</v>
          </cell>
          <cell r="B343">
            <v>27800</v>
          </cell>
          <cell r="C343">
            <v>2000</v>
          </cell>
          <cell r="D343">
            <v>7.4052000000000007E-2</v>
          </cell>
        </row>
        <row r="344">
          <cell r="A344" t="str">
            <v>C3645SE</v>
          </cell>
          <cell r="B344">
            <v>27800</v>
          </cell>
          <cell r="C344">
            <v>2000</v>
          </cell>
          <cell r="D344">
            <v>7.4052000000000007E-2</v>
          </cell>
        </row>
        <row r="345">
          <cell r="A345" t="str">
            <v>C365B E</v>
          </cell>
          <cell r="D345">
            <v>3.8224624999999998E-2</v>
          </cell>
        </row>
        <row r="346">
          <cell r="A346" t="str">
            <v>C365DU</v>
          </cell>
          <cell r="B346">
            <v>29500</v>
          </cell>
          <cell r="C346">
            <v>3600</v>
          </cell>
          <cell r="D346">
            <v>7.6449249999999982E-2</v>
          </cell>
        </row>
        <row r="347">
          <cell r="A347" t="str">
            <v>C365DU E</v>
          </cell>
          <cell r="B347">
            <v>12950</v>
          </cell>
          <cell r="D347">
            <v>3.8224624999999991E-2</v>
          </cell>
        </row>
        <row r="348">
          <cell r="A348" t="str">
            <v>C365P E</v>
          </cell>
          <cell r="D348">
            <v>3.8224624999999998E-2</v>
          </cell>
        </row>
        <row r="349">
          <cell r="A349" t="str">
            <v>C365S E</v>
          </cell>
          <cell r="D349">
            <v>3.8224624999999998E-2</v>
          </cell>
        </row>
        <row r="350">
          <cell r="A350" t="str">
            <v>C365V E</v>
          </cell>
          <cell r="D350">
            <v>3.8224624999999998E-2</v>
          </cell>
        </row>
        <row r="351">
          <cell r="A351" t="str">
            <v>C36MH</v>
          </cell>
          <cell r="B351">
            <v>28000</v>
          </cell>
          <cell r="C351">
            <v>2976</v>
          </cell>
          <cell r="D351">
            <v>8.5320000000000007E-2</v>
          </cell>
        </row>
        <row r="352">
          <cell r="A352" t="str">
            <v>C36MH E</v>
          </cell>
          <cell r="B352">
            <v>8342</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3.7961000000000002E-2</v>
          </cell>
        </row>
        <row r="356">
          <cell r="A356" t="str">
            <v>C39020F/C(T)</v>
          </cell>
          <cell r="B356">
            <v>17000</v>
          </cell>
          <cell r="C356">
            <v>2985</v>
          </cell>
          <cell r="D356">
            <v>3.7961000000000002E-2</v>
          </cell>
        </row>
        <row r="357">
          <cell r="A357" t="str">
            <v>C39MPT</v>
          </cell>
          <cell r="B357">
            <v>20200</v>
          </cell>
          <cell r="C357">
            <v>3920</v>
          </cell>
          <cell r="D357">
            <v>0.103092</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6.4054374999999997E-2</v>
          </cell>
        </row>
        <row r="362">
          <cell r="A362" t="str">
            <v>C40025F/C(T)</v>
          </cell>
          <cell r="B362">
            <v>33500</v>
          </cell>
          <cell r="C362">
            <v>3980</v>
          </cell>
          <cell r="D362">
            <v>7.0564374999999999E-2</v>
          </cell>
        </row>
        <row r="363">
          <cell r="A363" t="str">
            <v>C40FMH</v>
          </cell>
          <cell r="B363">
            <v>29200</v>
          </cell>
          <cell r="C363">
            <v>6864</v>
          </cell>
          <cell r="D363">
            <v>6.4713000000000007E-2</v>
          </cell>
        </row>
        <row r="364">
          <cell r="A364" t="str">
            <v>C41MSIG</v>
          </cell>
          <cell r="B364">
            <v>19800</v>
          </cell>
          <cell r="C364">
            <v>3000</v>
          </cell>
          <cell r="D364">
            <v>7.6933124999999991E-2</v>
          </cell>
        </row>
        <row r="365">
          <cell r="A365" t="str">
            <v>C424MH/C E</v>
          </cell>
        </row>
        <row r="366">
          <cell r="A366" t="str">
            <v>C42MM</v>
          </cell>
          <cell r="B366">
            <v>19600</v>
          </cell>
          <cell r="C366">
            <v>2624</v>
          </cell>
          <cell r="D366">
            <v>5.2336500000000001E-2</v>
          </cell>
        </row>
        <row r="367">
          <cell r="A367" t="str">
            <v>C42XMK E</v>
          </cell>
        </row>
        <row r="368">
          <cell r="A368" t="str">
            <v>C446MM/C</v>
          </cell>
          <cell r="B368">
            <v>34000</v>
          </cell>
          <cell r="C368">
            <v>3988</v>
          </cell>
          <cell r="D368">
            <v>0.10292000000000001</v>
          </cell>
        </row>
        <row r="369">
          <cell r="A369" t="str">
            <v>C446MM/C(T)</v>
          </cell>
          <cell r="B369">
            <v>34000</v>
          </cell>
          <cell r="C369">
            <v>3988</v>
          </cell>
          <cell r="D369">
            <v>0.10292000000000001</v>
          </cell>
        </row>
        <row r="370">
          <cell r="A370" t="str">
            <v>C47MB</v>
          </cell>
          <cell r="B370">
            <v>15500</v>
          </cell>
          <cell r="C370">
            <v>1980</v>
          </cell>
          <cell r="D370">
            <v>4.614975000000001E-2</v>
          </cell>
        </row>
        <row r="371">
          <cell r="A371" t="str">
            <v>C47MB E</v>
          </cell>
          <cell r="B371">
            <v>6760</v>
          </cell>
          <cell r="D371">
            <v>2.3074875000000005E-2</v>
          </cell>
        </row>
        <row r="372">
          <cell r="A372" t="str">
            <v>C47MI</v>
          </cell>
          <cell r="B372">
            <v>14600</v>
          </cell>
          <cell r="C372">
            <v>1980</v>
          </cell>
          <cell r="D372">
            <v>4.614975000000001E-2</v>
          </cell>
        </row>
        <row r="373">
          <cell r="A373" t="str">
            <v>C47MT E</v>
          </cell>
          <cell r="D373">
            <v>2.3074874999999998E-2</v>
          </cell>
        </row>
        <row r="374">
          <cell r="A374" t="str">
            <v>C47XM2 E</v>
          </cell>
          <cell r="D374">
            <v>2.3074874999999998E-2</v>
          </cell>
        </row>
        <row r="375">
          <cell r="A375" t="str">
            <v>C47XMA</v>
          </cell>
          <cell r="B375">
            <v>18000</v>
          </cell>
          <cell r="C375">
            <v>1996</v>
          </cell>
          <cell r="D375">
            <v>5.8740000000000001E-2</v>
          </cell>
        </row>
        <row r="376">
          <cell r="A376" t="str">
            <v>C47XMT</v>
          </cell>
          <cell r="B376">
            <v>18000</v>
          </cell>
          <cell r="C376">
            <v>1996</v>
          </cell>
          <cell r="D376">
            <v>5.8740000000000001E-2</v>
          </cell>
        </row>
        <row r="377">
          <cell r="A377" t="str">
            <v>C4825MP</v>
          </cell>
          <cell r="B377">
            <v>23500</v>
          </cell>
          <cell r="C377">
            <v>2976</v>
          </cell>
          <cell r="D377">
            <v>6.2899999999999998E-2</v>
          </cell>
        </row>
        <row r="378">
          <cell r="A378" t="str">
            <v>C4920BPF</v>
          </cell>
          <cell r="B378">
            <v>17500</v>
          </cell>
          <cell r="C378">
            <v>2744</v>
          </cell>
          <cell r="D378">
            <v>3.4985250000000002E-2</v>
          </cell>
        </row>
        <row r="379">
          <cell r="A379" t="str">
            <v>C4920DR</v>
          </cell>
          <cell r="B379">
            <v>18400</v>
          </cell>
          <cell r="C379">
            <v>3136</v>
          </cell>
          <cell r="D379">
            <v>3.4985250000000002E-2</v>
          </cell>
        </row>
        <row r="380">
          <cell r="A380" t="str">
            <v>C4920DR14</v>
          </cell>
          <cell r="B380">
            <v>17700</v>
          </cell>
          <cell r="C380">
            <v>3136</v>
          </cell>
          <cell r="D380">
            <v>3.4985250000000002E-2</v>
          </cell>
        </row>
        <row r="381">
          <cell r="A381" t="str">
            <v>C4920K</v>
          </cell>
          <cell r="B381">
            <v>17000</v>
          </cell>
          <cell r="C381">
            <v>3136</v>
          </cell>
          <cell r="D381">
            <v>3.4985250000000002E-2</v>
          </cell>
        </row>
        <row r="382">
          <cell r="A382" t="str">
            <v>C4920K E</v>
          </cell>
          <cell r="D382" t="str">
            <v/>
          </cell>
        </row>
        <row r="383">
          <cell r="A383" t="str">
            <v>C4920K14</v>
          </cell>
          <cell r="B383">
            <v>16500</v>
          </cell>
          <cell r="C383">
            <v>3136</v>
          </cell>
          <cell r="D383">
            <v>3.4985250000000002E-2</v>
          </cell>
        </row>
        <row r="384">
          <cell r="A384" t="str">
            <v>C4920K14 E</v>
          </cell>
        </row>
        <row r="385">
          <cell r="A385" t="str">
            <v>C4920NID</v>
          </cell>
          <cell r="B385">
            <v>17500</v>
          </cell>
          <cell r="C385">
            <v>3136</v>
          </cell>
          <cell r="D385">
            <v>3.4985250000000002E-2</v>
          </cell>
        </row>
        <row r="386">
          <cell r="A386" t="str">
            <v>C4920S</v>
          </cell>
          <cell r="B386">
            <v>17000</v>
          </cell>
          <cell r="C386">
            <v>3136</v>
          </cell>
          <cell r="D386">
            <v>3.4985250000000002E-2</v>
          </cell>
        </row>
        <row r="387">
          <cell r="A387" t="str">
            <v>C4920S E</v>
          </cell>
          <cell r="D387" t="str">
            <v/>
          </cell>
        </row>
        <row r="388">
          <cell r="A388" t="str">
            <v>C4920S14</v>
          </cell>
          <cell r="B388">
            <v>16500</v>
          </cell>
          <cell r="C388">
            <v>3136</v>
          </cell>
          <cell r="D388">
            <v>3.4985250000000002E-2</v>
          </cell>
        </row>
        <row r="389">
          <cell r="A389" t="str">
            <v>C4920SIG</v>
          </cell>
          <cell r="B389">
            <v>18500</v>
          </cell>
          <cell r="C389">
            <v>3992</v>
          </cell>
          <cell r="D389">
            <v>3.4985250000000002E-2</v>
          </cell>
        </row>
        <row r="390">
          <cell r="A390" t="str">
            <v>C4920SIG E</v>
          </cell>
          <cell r="B390">
            <v>1814</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4.8944000000000001E-2</v>
          </cell>
        </row>
        <row r="393">
          <cell r="A393" t="str">
            <v>C4925D</v>
          </cell>
          <cell r="B393">
            <v>20000</v>
          </cell>
          <cell r="C393">
            <v>3528</v>
          </cell>
          <cell r="D393">
            <v>4.8944000000000001E-2</v>
          </cell>
        </row>
        <row r="394">
          <cell r="A394" t="str">
            <v>C4925G</v>
          </cell>
          <cell r="B394">
            <v>20000</v>
          </cell>
          <cell r="C394">
            <v>2988</v>
          </cell>
          <cell r="D394">
            <v>4.8944000000000001E-2</v>
          </cell>
        </row>
        <row r="395">
          <cell r="A395" t="str">
            <v>C4925G E</v>
          </cell>
        </row>
        <row r="396">
          <cell r="A396" t="str">
            <v>C4925NO14</v>
          </cell>
          <cell r="B396">
            <v>20000</v>
          </cell>
          <cell r="C396">
            <v>2970</v>
          </cell>
          <cell r="D396">
            <v>4.8944000000000001E-2</v>
          </cell>
        </row>
        <row r="397">
          <cell r="A397" t="str">
            <v>C4925P</v>
          </cell>
          <cell r="B397">
            <v>20000</v>
          </cell>
          <cell r="C397">
            <v>2988</v>
          </cell>
          <cell r="D397">
            <v>4.8944000000000001E-2</v>
          </cell>
        </row>
        <row r="398">
          <cell r="A398" t="str">
            <v>C4925SIG</v>
          </cell>
          <cell r="B398">
            <v>20000</v>
          </cell>
          <cell r="C398">
            <v>5880</v>
          </cell>
          <cell r="D398">
            <v>4.8944000000000001E-2</v>
          </cell>
        </row>
        <row r="399">
          <cell r="A399" t="str">
            <v>C4925V</v>
          </cell>
          <cell r="B399">
            <v>20000</v>
          </cell>
          <cell r="C399">
            <v>2988</v>
          </cell>
          <cell r="D399">
            <v>4.8944000000000001E-2</v>
          </cell>
        </row>
        <row r="400">
          <cell r="A400" t="str">
            <v>C4925V14</v>
          </cell>
          <cell r="B400">
            <v>20000</v>
          </cell>
          <cell r="C400">
            <v>2988</v>
          </cell>
          <cell r="D400">
            <v>4.8944000000000001E-2</v>
          </cell>
        </row>
        <row r="401">
          <cell r="A401" t="str">
            <v>C4925VS</v>
          </cell>
          <cell r="B401">
            <v>20000</v>
          </cell>
          <cell r="C401">
            <v>4410</v>
          </cell>
          <cell r="D401">
            <v>4.8944000000000001E-2</v>
          </cell>
        </row>
        <row r="402">
          <cell r="A402" t="str">
            <v>C493B E</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D415">
            <v>1.752975E-2</v>
          </cell>
        </row>
        <row r="416">
          <cell r="A416" t="str">
            <v>C493SW</v>
          </cell>
          <cell r="B416">
            <v>12500</v>
          </cell>
          <cell r="C416">
            <v>1996</v>
          </cell>
          <cell r="D416">
            <v>3.50595E-2</v>
          </cell>
        </row>
        <row r="417">
          <cell r="A417" t="str">
            <v>C493T E</v>
          </cell>
          <cell r="D417">
            <v>1.752975E-2</v>
          </cell>
        </row>
        <row r="418">
          <cell r="A418" t="str">
            <v>C495GW E</v>
          </cell>
        </row>
        <row r="419">
          <cell r="A419" t="str">
            <v>C495V E</v>
          </cell>
        </row>
        <row r="420">
          <cell r="A420" t="str">
            <v>C495X E</v>
          </cell>
        </row>
        <row r="421">
          <cell r="A421" t="str">
            <v>C4963V</v>
          </cell>
          <cell r="B421">
            <v>25500</v>
          </cell>
          <cell r="C421">
            <v>1960</v>
          </cell>
          <cell r="D421">
            <v>0.10078550000000001</v>
          </cell>
        </row>
        <row r="422">
          <cell r="A422" t="str">
            <v>C503BI</v>
          </cell>
          <cell r="B422">
            <v>12500</v>
          </cell>
          <cell r="C422">
            <v>1900</v>
          </cell>
          <cell r="D422">
            <v>3.1307874999999999E-2</v>
          </cell>
        </row>
        <row r="423">
          <cell r="A423" t="str">
            <v>C503BO E</v>
          </cell>
          <cell r="D423">
            <v>1.5653937499999999E-2</v>
          </cell>
        </row>
        <row r="424">
          <cell r="A424" t="str">
            <v>C503BW/C14</v>
          </cell>
          <cell r="B424">
            <v>6600</v>
          </cell>
          <cell r="C424">
            <v>950</v>
          </cell>
          <cell r="D424">
            <v>1.6453125000000002E-2</v>
          </cell>
        </row>
        <row r="425">
          <cell r="A425" t="str">
            <v>C503BW/C14(T)</v>
          </cell>
          <cell r="B425">
            <v>6600</v>
          </cell>
          <cell r="C425">
            <v>950</v>
          </cell>
          <cell r="D425">
            <v>1.6453125000000002E-2</v>
          </cell>
        </row>
        <row r="426">
          <cell r="A426" t="str">
            <v>C503F/C14</v>
          </cell>
          <cell r="B426">
            <v>7000</v>
          </cell>
          <cell r="C426">
            <v>950</v>
          </cell>
          <cell r="D426">
            <v>1.6453125000000002E-2</v>
          </cell>
        </row>
        <row r="427">
          <cell r="A427" t="str">
            <v>C503F/C14(T)</v>
          </cell>
          <cell r="B427">
            <v>7000</v>
          </cell>
          <cell r="C427">
            <v>950</v>
          </cell>
          <cell r="D427">
            <v>1.6453125000000002E-2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1.6453125000000002E-2</v>
          </cell>
        </row>
        <row r="432">
          <cell r="A432" t="str">
            <v>C503RA</v>
          </cell>
          <cell r="B432">
            <v>12500</v>
          </cell>
          <cell r="C432">
            <v>1900</v>
          </cell>
          <cell r="D432">
            <v>3.1307874999999999E-2</v>
          </cell>
        </row>
        <row r="433">
          <cell r="A433" t="str">
            <v>C503RA E</v>
          </cell>
          <cell r="B433">
            <v>5300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1.6453125000000002E-2</v>
          </cell>
        </row>
        <row r="436">
          <cell r="A436" t="str">
            <v>C503RO/C14(T)</v>
          </cell>
          <cell r="B436">
            <v>6600</v>
          </cell>
          <cell r="C436">
            <v>950</v>
          </cell>
          <cell r="D436">
            <v>1.6453125000000002E-2</v>
          </cell>
        </row>
        <row r="437">
          <cell r="A437" t="str">
            <v>C503SIG/C14</v>
          </cell>
          <cell r="B437">
            <v>7000</v>
          </cell>
          <cell r="C437">
            <v>1000</v>
          </cell>
          <cell r="D437">
            <v>1.6453125000000002E-2</v>
          </cell>
        </row>
        <row r="438">
          <cell r="A438" t="str">
            <v>C503SIG/C14(T)</v>
          </cell>
          <cell r="B438">
            <v>7000</v>
          </cell>
          <cell r="C438">
            <v>1000</v>
          </cell>
          <cell r="D438">
            <v>1.6453125000000002E-2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1.6453125000000002E-2</v>
          </cell>
        </row>
        <row r="442">
          <cell r="A442" t="str">
            <v>C503TS/C14(T)</v>
          </cell>
          <cell r="B442">
            <v>6600</v>
          </cell>
          <cell r="C442">
            <v>950</v>
          </cell>
          <cell r="D442">
            <v>1.6453125000000002E-2</v>
          </cell>
        </row>
        <row r="443">
          <cell r="A443" t="str">
            <v>C503WI</v>
          </cell>
          <cell r="B443">
            <v>12500</v>
          </cell>
          <cell r="C443">
            <v>1900</v>
          </cell>
          <cell r="D443">
            <v>3.1307874999999999E-2</v>
          </cell>
        </row>
        <row r="444">
          <cell r="A444" t="str">
            <v>C505V/C</v>
          </cell>
          <cell r="B444">
            <v>20500</v>
          </cell>
          <cell r="C444">
            <v>1998</v>
          </cell>
          <cell r="D444">
            <v>5.7645000000000002E-2</v>
          </cell>
        </row>
        <row r="445">
          <cell r="A445" t="str">
            <v>C505V/C(T)</v>
          </cell>
          <cell r="B445">
            <v>20500</v>
          </cell>
          <cell r="C445">
            <v>1998</v>
          </cell>
          <cell r="D445">
            <v>5.7645000000000002E-2</v>
          </cell>
        </row>
        <row r="446">
          <cell r="A446" t="str">
            <v>C505X/C</v>
          </cell>
          <cell r="B446">
            <v>20500</v>
          </cell>
          <cell r="C446">
            <v>1998</v>
          </cell>
          <cell r="D446">
            <v>5.7645000000000002E-2</v>
          </cell>
        </row>
        <row r="447">
          <cell r="A447" t="str">
            <v>C505X/C(T)</v>
          </cell>
          <cell r="B447">
            <v>20500</v>
          </cell>
          <cell r="C447">
            <v>1998</v>
          </cell>
          <cell r="D447">
            <v>5.7645000000000002E-2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5.0405625000000003E-2</v>
          </cell>
        </row>
        <row r="452">
          <cell r="A452" t="str">
            <v>C52020F/C(T)</v>
          </cell>
          <cell r="B452">
            <v>24500</v>
          </cell>
          <cell r="C452">
            <v>3988</v>
          </cell>
          <cell r="D452">
            <v>5.0405625000000003E-2</v>
          </cell>
        </row>
        <row r="453">
          <cell r="A453" t="str">
            <v>C53620F/C</v>
          </cell>
          <cell r="B453">
            <v>28900</v>
          </cell>
          <cell r="C453">
            <v>3996</v>
          </cell>
          <cell r="D453">
            <v>9.2960000000000001E-2</v>
          </cell>
        </row>
        <row r="454">
          <cell r="A454" t="str">
            <v>C53620F/C(T)</v>
          </cell>
          <cell r="B454">
            <v>28900</v>
          </cell>
          <cell r="C454">
            <v>3996</v>
          </cell>
          <cell r="D454">
            <v>8.8427499999999978E-2</v>
          </cell>
        </row>
        <row r="455">
          <cell r="A455" t="str">
            <v>C60020XPR/C</v>
          </cell>
          <cell r="B455">
            <v>30000</v>
          </cell>
          <cell r="C455">
            <v>3000</v>
          </cell>
          <cell r="D455">
            <v>6.6555000000000003E-2</v>
          </cell>
        </row>
        <row r="456">
          <cell r="A456" t="str">
            <v>C60020XPR/C(T)</v>
          </cell>
          <cell r="B456">
            <v>30000</v>
          </cell>
          <cell r="C456">
            <v>3000</v>
          </cell>
          <cell r="D456">
            <v>6.6555000000000003E-2</v>
          </cell>
        </row>
        <row r="457">
          <cell r="A457" t="str">
            <v>C62SMT</v>
          </cell>
          <cell r="B457">
            <v>18000</v>
          </cell>
          <cell r="C457">
            <v>1982</v>
          </cell>
          <cell r="D457">
            <v>5.7361999999999996E-2</v>
          </cell>
        </row>
        <row r="458">
          <cell r="A458" t="str">
            <v>C62SMT E</v>
          </cell>
          <cell r="B458">
            <v>8009</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7.6106250000000014E-2</v>
          </cell>
        </row>
        <row r="461">
          <cell r="A461" t="str">
            <v>C63MP E</v>
          </cell>
          <cell r="B461">
            <v>7336</v>
          </cell>
          <cell r="D461">
            <v>2.5368750000000006E-2</v>
          </cell>
        </row>
        <row r="462">
          <cell r="A462" t="str">
            <v>C6420B</v>
          </cell>
          <cell r="B462">
            <v>16500</v>
          </cell>
          <cell r="C462">
            <v>2988</v>
          </cell>
          <cell r="D462">
            <v>3.6456000000000002E-2</v>
          </cell>
        </row>
        <row r="463">
          <cell r="A463" t="str">
            <v>C6420BPW</v>
          </cell>
          <cell r="B463">
            <v>16000</v>
          </cell>
          <cell r="C463">
            <v>2688</v>
          </cell>
          <cell r="D463">
            <v>3.6456000000000002E-2</v>
          </cell>
        </row>
        <row r="464">
          <cell r="A464" t="str">
            <v>C6420D</v>
          </cell>
          <cell r="B464">
            <v>16968</v>
          </cell>
          <cell r="C464">
            <v>2988</v>
          </cell>
          <cell r="D464">
            <v>3.6456000000000002E-2</v>
          </cell>
        </row>
        <row r="465">
          <cell r="A465" t="str">
            <v>C6420D14</v>
          </cell>
          <cell r="B465">
            <v>18500</v>
          </cell>
          <cell r="C465">
            <v>2988</v>
          </cell>
          <cell r="D465">
            <v>3.6456000000000002E-2</v>
          </cell>
        </row>
        <row r="466">
          <cell r="A466" t="str">
            <v>C6420DU/C</v>
          </cell>
          <cell r="B466">
            <v>20200</v>
          </cell>
          <cell r="C466">
            <v>2976</v>
          </cell>
          <cell r="D466">
            <v>4.2900000000000001E-2</v>
          </cell>
        </row>
        <row r="467">
          <cell r="A467" t="str">
            <v>C6420G</v>
          </cell>
          <cell r="B467">
            <v>17100</v>
          </cell>
          <cell r="C467">
            <v>2988</v>
          </cell>
          <cell r="D467">
            <v>3.6456000000000002E-2</v>
          </cell>
        </row>
        <row r="468">
          <cell r="A468" t="str">
            <v>C6420G14</v>
          </cell>
          <cell r="B468">
            <v>16500</v>
          </cell>
          <cell r="C468">
            <v>2988</v>
          </cell>
          <cell r="D468">
            <v>3.6456000000000002E-2</v>
          </cell>
        </row>
        <row r="469">
          <cell r="A469" t="str">
            <v>C6425XPT</v>
          </cell>
          <cell r="B469">
            <v>18500</v>
          </cell>
          <cell r="C469">
            <v>2880</v>
          </cell>
          <cell r="D469">
            <v>5.6998500000000007E-2</v>
          </cell>
        </row>
        <row r="470">
          <cell r="A470" t="str">
            <v>C643B E</v>
          </cell>
          <cell r="D470">
            <v>1.5653937499999999E-2</v>
          </cell>
        </row>
        <row r="471">
          <cell r="A471" t="str">
            <v>C643BI</v>
          </cell>
          <cell r="B471">
            <v>17500</v>
          </cell>
          <cell r="C471">
            <v>1996</v>
          </cell>
          <cell r="D471">
            <v>4.4835E-2</v>
          </cell>
        </row>
        <row r="472">
          <cell r="A472" t="str">
            <v>C643BI E</v>
          </cell>
          <cell r="B472">
            <v>7752</v>
          </cell>
          <cell r="D472">
            <v>2.24175E-2</v>
          </cell>
        </row>
        <row r="473">
          <cell r="A473" t="str">
            <v>C643BPF</v>
          </cell>
          <cell r="B473">
            <v>17500</v>
          </cell>
          <cell r="C473">
            <v>1996</v>
          </cell>
          <cell r="D473">
            <v>4.4835E-2</v>
          </cell>
        </row>
        <row r="474">
          <cell r="A474" t="str">
            <v>C643C E</v>
          </cell>
          <cell r="D474">
            <v>2.24175E-2</v>
          </cell>
        </row>
        <row r="475">
          <cell r="A475" t="str">
            <v>C643D E</v>
          </cell>
          <cell r="D475">
            <v>2.24175E-2</v>
          </cell>
        </row>
        <row r="476">
          <cell r="A476" t="str">
            <v>C643E E</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5.1835875000000003E-2</v>
          </cell>
        </row>
        <row r="480">
          <cell r="A480" t="str">
            <v>C643MN E</v>
          </cell>
          <cell r="B480">
            <v>7552</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3.2400000000000005E-2</v>
          </cell>
        </row>
        <row r="484">
          <cell r="A484" t="str">
            <v>C64MSIG E</v>
          </cell>
        </row>
        <row r="485">
          <cell r="A485" t="str">
            <v>C64MT</v>
          </cell>
          <cell r="B485">
            <v>15000</v>
          </cell>
          <cell r="C485">
            <v>1980</v>
          </cell>
          <cell r="D485">
            <v>3.2400000000000005E-2</v>
          </cell>
        </row>
        <row r="486">
          <cell r="A486" t="str">
            <v>C64MT14</v>
          </cell>
          <cell r="B486">
            <v>15000</v>
          </cell>
          <cell r="C486">
            <v>1980</v>
          </cell>
          <cell r="D486">
            <v>3.2400000000000005E-2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8.6526000000000006E-2</v>
          </cell>
        </row>
        <row r="494">
          <cell r="A494" t="str">
            <v>C68XMCS14</v>
          </cell>
          <cell r="B494">
            <v>28000</v>
          </cell>
          <cell r="C494">
            <v>3000</v>
          </cell>
          <cell r="D494">
            <v>8.6526000000000006E-2</v>
          </cell>
        </row>
        <row r="495">
          <cell r="A495" t="str">
            <v>C68XMPT</v>
          </cell>
          <cell r="B495">
            <v>28000</v>
          </cell>
          <cell r="C495">
            <v>3000</v>
          </cell>
          <cell r="D495">
            <v>9.3311999999999992E-2</v>
          </cell>
        </row>
        <row r="496">
          <cell r="A496" t="str">
            <v>C68XMPT14</v>
          </cell>
          <cell r="B496">
            <v>28000</v>
          </cell>
          <cell r="C496">
            <v>3000</v>
          </cell>
          <cell r="D496">
            <v>8.6526000000000006E-2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4.5589500000000005E-2</v>
          </cell>
        </row>
        <row r="507">
          <cell r="A507" t="str">
            <v>C84MC/C(T)</v>
          </cell>
          <cell r="B507">
            <v>16000</v>
          </cell>
          <cell r="C507">
            <v>1998</v>
          </cell>
          <cell r="D507">
            <v>4.5589500000000005E-2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3.0778500000000004E-2</v>
          </cell>
        </row>
        <row r="511">
          <cell r="A511" t="str">
            <v>C8825M</v>
          </cell>
          <cell r="B511">
            <v>12500</v>
          </cell>
          <cell r="C511">
            <v>1996</v>
          </cell>
          <cell r="D511">
            <v>3.0778500000000004E-2</v>
          </cell>
        </row>
        <row r="512">
          <cell r="A512" t="str">
            <v>C8825M E</v>
          </cell>
          <cell r="B512">
            <v>5252</v>
          </cell>
          <cell r="D512">
            <v>1.5389250000000002E-2</v>
          </cell>
        </row>
        <row r="513">
          <cell r="A513" t="str">
            <v>C8825PA</v>
          </cell>
          <cell r="B513">
            <v>12500</v>
          </cell>
          <cell r="C513">
            <v>1996</v>
          </cell>
          <cell r="D513">
            <v>3.0778500000000004E-2</v>
          </cell>
        </row>
        <row r="514">
          <cell r="A514" t="str">
            <v>C8825PA E</v>
          </cell>
          <cell r="B514">
            <v>5252</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D517">
            <v>2.3688499999999998E-2</v>
          </cell>
        </row>
        <row r="518">
          <cell r="A518" t="str">
            <v>C9020SIG</v>
          </cell>
          <cell r="B518">
            <v>26700</v>
          </cell>
          <cell r="C518">
            <v>5940</v>
          </cell>
          <cell r="D518">
            <v>5.0232000000000006E-2</v>
          </cell>
        </row>
        <row r="519">
          <cell r="A519" t="str">
            <v>C9020V</v>
          </cell>
          <cell r="B519">
            <v>24000</v>
          </cell>
          <cell r="C519">
            <v>4320</v>
          </cell>
          <cell r="D519">
            <v>5.0232000000000006E-2</v>
          </cell>
        </row>
        <row r="520">
          <cell r="A520" t="str">
            <v>C9020X</v>
          </cell>
          <cell r="B520">
            <v>25300</v>
          </cell>
          <cell r="C520">
            <v>4320</v>
          </cell>
          <cell r="D520">
            <v>5.0232000000000006E-2</v>
          </cell>
        </row>
        <row r="521">
          <cell r="A521" t="str">
            <v>C9020X E</v>
          </cell>
          <cell r="B521">
            <v>3497</v>
          </cell>
          <cell r="D521">
            <v>8.372000000000001E-3</v>
          </cell>
        </row>
        <row r="522">
          <cell r="A522" t="str">
            <v>C920L</v>
          </cell>
          <cell r="B522">
            <v>14500</v>
          </cell>
          <cell r="C522">
            <v>2880</v>
          </cell>
          <cell r="D522">
            <v>3.6196875000000003E-2</v>
          </cell>
        </row>
        <row r="523">
          <cell r="A523" t="str">
            <v>C920M</v>
          </cell>
          <cell r="B523">
            <v>14500</v>
          </cell>
          <cell r="C523">
            <v>2880</v>
          </cell>
          <cell r="D523">
            <v>3.6196875000000003E-2</v>
          </cell>
        </row>
        <row r="524">
          <cell r="A524" t="str">
            <v>C9625MF/C14</v>
          </cell>
          <cell r="B524">
            <v>9000</v>
          </cell>
          <cell r="C524">
            <v>992</v>
          </cell>
          <cell r="D524">
            <v>2.4570000000000002E-2</v>
          </cell>
        </row>
        <row r="525">
          <cell r="A525" t="str">
            <v>C9625MF/C14(T)</v>
          </cell>
          <cell r="B525">
            <v>9000</v>
          </cell>
          <cell r="C525">
            <v>992</v>
          </cell>
          <cell r="D525">
            <v>2.4570000000000002E-2</v>
          </cell>
        </row>
        <row r="526">
          <cell r="A526" t="str">
            <v>C96MB</v>
          </cell>
          <cell r="B526">
            <v>23500</v>
          </cell>
          <cell r="C526">
            <v>3185</v>
          </cell>
          <cell r="D526">
            <v>7.9849000000000003E-2</v>
          </cell>
        </row>
        <row r="527">
          <cell r="A527" t="str">
            <v>C9825C/C</v>
          </cell>
          <cell r="B527">
            <v>8800</v>
          </cell>
          <cell r="C527">
            <v>996</v>
          </cell>
          <cell r="D527">
            <v>1.7204000000000001E-2</v>
          </cell>
        </row>
        <row r="528">
          <cell r="A528" t="str">
            <v>C9825C/C(T)</v>
          </cell>
          <cell r="B528">
            <v>8800</v>
          </cell>
          <cell r="C528">
            <v>996</v>
          </cell>
          <cell r="D528">
            <v>1.7204000000000001E-2</v>
          </cell>
        </row>
        <row r="529">
          <cell r="A529" t="str">
            <v>C9825C/C14</v>
          </cell>
          <cell r="B529">
            <v>8000</v>
          </cell>
          <cell r="C529">
            <v>996</v>
          </cell>
          <cell r="D529">
            <v>1.6192000000000002E-2</v>
          </cell>
        </row>
        <row r="530">
          <cell r="A530" t="str">
            <v>C9825C/C14(T)</v>
          </cell>
          <cell r="B530">
            <v>8000</v>
          </cell>
          <cell r="C530">
            <v>996</v>
          </cell>
          <cell r="D530">
            <v>1.6192000000000002E-2</v>
          </cell>
        </row>
        <row r="531">
          <cell r="A531" t="str">
            <v>C9825SIG/C</v>
          </cell>
          <cell r="B531">
            <v>8300</v>
          </cell>
          <cell r="C531">
            <v>1960</v>
          </cell>
          <cell r="D531">
            <v>1.81125E-2</v>
          </cell>
        </row>
        <row r="532">
          <cell r="A532" t="str">
            <v>C9825SIG/C E</v>
          </cell>
          <cell r="B532">
            <v>6340</v>
          </cell>
          <cell r="D532">
            <v>1.81125E-2</v>
          </cell>
        </row>
        <row r="533">
          <cell r="A533" t="str">
            <v>C9825SIG/C(T)</v>
          </cell>
          <cell r="B533">
            <v>8300</v>
          </cell>
          <cell r="C533">
            <v>1960</v>
          </cell>
          <cell r="D533">
            <v>1.81125E-2</v>
          </cell>
        </row>
        <row r="534">
          <cell r="A534" t="str">
            <v>C9825SIG/C14</v>
          </cell>
          <cell r="B534">
            <v>8300</v>
          </cell>
          <cell r="C534">
            <v>1000</v>
          </cell>
          <cell r="D534">
            <v>1.6192000000000002E-2</v>
          </cell>
        </row>
        <row r="535">
          <cell r="A535" t="str">
            <v>C9825SIG/C14(T)</v>
          </cell>
          <cell r="B535">
            <v>8300</v>
          </cell>
          <cell r="C535">
            <v>1000</v>
          </cell>
          <cell r="D535">
            <v>1.6192000000000002E-2</v>
          </cell>
        </row>
        <row r="536">
          <cell r="A536" t="str">
            <v>CD1</v>
          </cell>
          <cell r="B536">
            <v>47</v>
          </cell>
        </row>
        <row r="537">
          <cell r="A537" t="str">
            <v>CDK1</v>
          </cell>
          <cell r="B537">
            <v>4000</v>
          </cell>
          <cell r="C537">
            <v>768.00000000000011</v>
          </cell>
          <cell r="D537">
            <v>1.5912000000000003E-2</v>
          </cell>
        </row>
        <row r="538">
          <cell r="A538" t="str">
            <v>CDK1(1)</v>
          </cell>
          <cell r="B538">
            <v>4000</v>
          </cell>
          <cell r="C538">
            <v>768.00000000000011</v>
          </cell>
          <cell r="D538">
            <v>1.5912000000000003E-2</v>
          </cell>
        </row>
        <row r="539">
          <cell r="A539" t="str">
            <v>CDLE1</v>
          </cell>
          <cell r="B539">
            <v>47</v>
          </cell>
        </row>
        <row r="540">
          <cell r="A540" t="str">
            <v>CF10020G</v>
          </cell>
          <cell r="B540">
            <v>10200</v>
          </cell>
          <cell r="C540">
            <v>1600</v>
          </cell>
          <cell r="D540">
            <v>2.9952000000000003E-2</v>
          </cell>
        </row>
        <row r="541">
          <cell r="A541" t="str">
            <v>CF10020G E</v>
          </cell>
          <cell r="B541">
            <v>4300</v>
          </cell>
          <cell r="D541">
            <v>1.4976000000000001E-2</v>
          </cell>
        </row>
        <row r="542">
          <cell r="A542" t="str">
            <v>CF10020P</v>
          </cell>
          <cell r="B542">
            <v>10100</v>
          </cell>
          <cell r="C542">
            <v>1600</v>
          </cell>
          <cell r="D542">
            <v>2.9952000000000003E-2</v>
          </cell>
        </row>
        <row r="543">
          <cell r="A543" t="str">
            <v>CF10020P E</v>
          </cell>
          <cell r="D543" t="str">
            <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7.3631250000000009E-2</v>
          </cell>
        </row>
        <row r="549">
          <cell r="A549" t="str">
            <v>CF2525O</v>
          </cell>
          <cell r="B549">
            <v>19500</v>
          </cell>
          <cell r="C549">
            <v>3250</v>
          </cell>
          <cell r="D549">
            <v>7.3631250000000009E-2</v>
          </cell>
        </row>
        <row r="550">
          <cell r="A550" t="str">
            <v>CF2525S</v>
          </cell>
          <cell r="B550">
            <v>19500</v>
          </cell>
          <cell r="C550">
            <v>3250</v>
          </cell>
          <cell r="D550">
            <v>7.3631250000000009E-2</v>
          </cell>
        </row>
        <row r="551">
          <cell r="A551" t="str">
            <v>CF253D14</v>
          </cell>
          <cell r="B551">
            <v>20000</v>
          </cell>
          <cell r="C551">
            <v>2850</v>
          </cell>
          <cell r="D551">
            <v>8.3072000000000007E-2</v>
          </cell>
        </row>
        <row r="552">
          <cell r="A552" t="str">
            <v>CF253K14</v>
          </cell>
          <cell r="B552">
            <v>20000</v>
          </cell>
          <cell r="C552">
            <v>2850</v>
          </cell>
          <cell r="D552">
            <v>8.3072000000000007E-2</v>
          </cell>
        </row>
        <row r="553">
          <cell r="A553" t="str">
            <v>CF253R14</v>
          </cell>
          <cell r="B553">
            <v>20000</v>
          </cell>
          <cell r="C553">
            <v>2850</v>
          </cell>
          <cell r="D553">
            <v>8.3072000000000007E-2</v>
          </cell>
        </row>
        <row r="554">
          <cell r="A554" t="str">
            <v>CF363H</v>
          </cell>
          <cell r="B554">
            <v>22400</v>
          </cell>
          <cell r="C554">
            <v>2736</v>
          </cell>
          <cell r="D554">
            <v>8.6393125000000001E-2</v>
          </cell>
        </row>
        <row r="555">
          <cell r="A555" t="str">
            <v>CF363L E</v>
          </cell>
          <cell r="D555">
            <v>2.159828125E-2</v>
          </cell>
        </row>
        <row r="556">
          <cell r="A556" t="str">
            <v>CF363S</v>
          </cell>
          <cell r="B556">
            <v>22500</v>
          </cell>
          <cell r="C556">
            <v>2736</v>
          </cell>
          <cell r="D556">
            <v>8.6393125000000001E-2</v>
          </cell>
        </row>
        <row r="557">
          <cell r="A557" t="str">
            <v>CF363V E</v>
          </cell>
          <cell r="D557">
            <v>2.159828125E-2</v>
          </cell>
        </row>
        <row r="558">
          <cell r="A558" t="str">
            <v>CF4920A</v>
          </cell>
          <cell r="B558">
            <v>15500</v>
          </cell>
          <cell r="C558">
            <v>2352</v>
          </cell>
          <cell r="D558">
            <v>4.2600999999999993E-2</v>
          </cell>
        </row>
        <row r="559">
          <cell r="A559" t="str">
            <v>CF4920G</v>
          </cell>
          <cell r="B559">
            <v>15500</v>
          </cell>
          <cell r="C559">
            <v>2352</v>
          </cell>
          <cell r="D559">
            <v>4.2600999999999993E-2</v>
          </cell>
        </row>
        <row r="560">
          <cell r="A560" t="str">
            <v>CF4920G14</v>
          </cell>
          <cell r="B560">
            <v>15500</v>
          </cell>
          <cell r="C560">
            <v>2352</v>
          </cell>
          <cell r="D560">
            <v>4.2600999999999993E-2</v>
          </cell>
        </row>
        <row r="561">
          <cell r="A561" t="str">
            <v>CF4920J</v>
          </cell>
          <cell r="B561">
            <v>15500</v>
          </cell>
          <cell r="C561">
            <v>2352</v>
          </cell>
          <cell r="D561">
            <v>4.2600999999999993E-2</v>
          </cell>
        </row>
        <row r="562">
          <cell r="A562" t="str">
            <v>CF4920J E</v>
          </cell>
          <cell r="B562">
            <v>2192</v>
          </cell>
          <cell r="D562">
            <v>7.1001666666666652E-3</v>
          </cell>
        </row>
        <row r="563">
          <cell r="A563" t="str">
            <v>CF4920VIP</v>
          </cell>
          <cell r="B563">
            <v>15500</v>
          </cell>
          <cell r="C563">
            <v>2352</v>
          </cell>
          <cell r="D563">
            <v>4.2600999999999993E-2</v>
          </cell>
        </row>
        <row r="564">
          <cell r="A564" t="str">
            <v>CF4925B</v>
          </cell>
          <cell r="B564">
            <v>18500</v>
          </cell>
          <cell r="C564">
            <v>2800</v>
          </cell>
          <cell r="D564">
            <v>5.9094750000000001E-2</v>
          </cell>
        </row>
        <row r="565">
          <cell r="A565" t="str">
            <v>CF4925D</v>
          </cell>
          <cell r="B565">
            <v>18000</v>
          </cell>
          <cell r="C565">
            <v>2352</v>
          </cell>
          <cell r="D565">
            <v>5.9094750000000001E-2</v>
          </cell>
        </row>
        <row r="566">
          <cell r="A566" t="str">
            <v>CF4925S</v>
          </cell>
          <cell r="B566">
            <v>18500</v>
          </cell>
          <cell r="C566">
            <v>2600</v>
          </cell>
          <cell r="D566">
            <v>5.9094750000000001E-2</v>
          </cell>
        </row>
        <row r="567">
          <cell r="A567" t="str">
            <v>CF493ME</v>
          </cell>
          <cell r="B567">
            <v>14500</v>
          </cell>
          <cell r="C567">
            <v>1862</v>
          </cell>
          <cell r="D567">
            <v>5.9639125000000001E-2</v>
          </cell>
        </row>
        <row r="568">
          <cell r="A568" t="str">
            <v>CF493ME E</v>
          </cell>
          <cell r="B568">
            <v>6319</v>
          </cell>
          <cell r="D568">
            <v>2.9819562500000001E-2</v>
          </cell>
        </row>
        <row r="569">
          <cell r="A569" t="str">
            <v>CF493MO E</v>
          </cell>
          <cell r="D569">
            <v>2.9819562499999997E-2</v>
          </cell>
        </row>
        <row r="570">
          <cell r="A570" t="str">
            <v>CF493SA</v>
          </cell>
          <cell r="B570">
            <v>14500</v>
          </cell>
          <cell r="C570">
            <v>1862</v>
          </cell>
          <cell r="D570">
            <v>5.9639125000000001E-2</v>
          </cell>
        </row>
        <row r="571">
          <cell r="A571" t="str">
            <v>CF493ST</v>
          </cell>
          <cell r="B571">
            <v>14500</v>
          </cell>
          <cell r="C571">
            <v>1862</v>
          </cell>
          <cell r="D571">
            <v>5.9639125000000001E-2</v>
          </cell>
        </row>
        <row r="572">
          <cell r="A572" t="str">
            <v>CF493W</v>
          </cell>
          <cell r="B572">
            <v>14500</v>
          </cell>
          <cell r="C572">
            <v>1862</v>
          </cell>
          <cell r="D572">
            <v>5.9639125000000001E-2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D593">
            <v>3.6915375E-2</v>
          </cell>
        </row>
        <row r="594">
          <cell r="A594" t="str">
            <v>CF643T</v>
          </cell>
          <cell r="B594">
            <v>18500</v>
          </cell>
          <cell r="C594">
            <v>1996</v>
          </cell>
          <cell r="D594">
            <v>7.3830750000000001E-2</v>
          </cell>
        </row>
        <row r="595">
          <cell r="A595" t="str">
            <v>CON40F</v>
          </cell>
          <cell r="B595">
            <v>14500</v>
          </cell>
          <cell r="D595">
            <v>7.3574499999999987E-2</v>
          </cell>
        </row>
        <row r="596">
          <cell r="A596" t="str">
            <v>CON40P</v>
          </cell>
          <cell r="B596">
            <v>14000</v>
          </cell>
          <cell r="D596">
            <v>7.3574499999999987E-2</v>
          </cell>
        </row>
        <row r="597">
          <cell r="A597" t="str">
            <v>CON40S</v>
          </cell>
          <cell r="B597">
            <v>14500</v>
          </cell>
          <cell r="D597">
            <v>7.3574499999999987E-2</v>
          </cell>
        </row>
        <row r="598">
          <cell r="A598" t="str">
            <v>CON80F</v>
          </cell>
          <cell r="B598">
            <v>13300</v>
          </cell>
          <cell r="D598">
            <v>7.2171000000000013E-2</v>
          </cell>
        </row>
        <row r="599">
          <cell r="A599" t="str">
            <v>CON80P</v>
          </cell>
          <cell r="B599">
            <v>10500</v>
          </cell>
          <cell r="D599">
            <v>7.2171000000000013E-2</v>
          </cell>
        </row>
        <row r="600">
          <cell r="A600" t="str">
            <v>CP5DU14(G)</v>
          </cell>
          <cell r="B600">
            <v>13000</v>
          </cell>
          <cell r="C600">
            <v>2700</v>
          </cell>
          <cell r="D600">
            <v>2.7060000000000001E-2</v>
          </cell>
        </row>
        <row r="601">
          <cell r="A601" t="str">
            <v>CP5DU14(G)1</v>
          </cell>
          <cell r="B601">
            <v>13000</v>
          </cell>
          <cell r="C601">
            <v>2700</v>
          </cell>
          <cell r="D601">
            <v>2.7060000000000001E-2</v>
          </cell>
        </row>
        <row r="602">
          <cell r="A602" t="str">
            <v>CP5DU14(R)</v>
          </cell>
          <cell r="B602">
            <v>13000</v>
          </cell>
          <cell r="C602">
            <v>2700</v>
          </cell>
          <cell r="D602">
            <v>2.7060000000000001E-2</v>
          </cell>
        </row>
        <row r="603">
          <cell r="A603" t="str">
            <v>CP5DU14(R)1</v>
          </cell>
          <cell r="B603">
            <v>13000</v>
          </cell>
          <cell r="C603">
            <v>2700</v>
          </cell>
          <cell r="D603">
            <v>2.7060000000000001E-2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row>
        <row r="610">
          <cell r="A610" t="str">
            <v>CS2BB</v>
          </cell>
          <cell r="B610">
            <v>27000</v>
          </cell>
          <cell r="C610">
            <v>4320</v>
          </cell>
          <cell r="D610">
            <v>8.6317000000000005E-2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6500</v>
          </cell>
          <cell r="C642">
            <v>1536.0000000000002</v>
          </cell>
          <cell r="D642">
            <v>1.7279999999999997E-2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3.8272000000000007E-2</v>
          </cell>
        </row>
        <row r="654">
          <cell r="A654" t="str">
            <v>CX1620X</v>
          </cell>
          <cell r="B654">
            <v>13000</v>
          </cell>
          <cell r="C654">
            <v>2048</v>
          </cell>
          <cell r="D654">
            <v>3.8272000000000007E-2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2.5294499999999998E-2</v>
          </cell>
        </row>
        <row r="658">
          <cell r="A658" t="str">
            <v>D2C</v>
          </cell>
          <cell r="B658">
            <v>13600</v>
          </cell>
          <cell r="C658">
            <v>4320</v>
          </cell>
          <cell r="D658">
            <v>2.8787499999999994E-2</v>
          </cell>
        </row>
        <row r="659">
          <cell r="A659" t="str">
            <v>D2C(1)</v>
          </cell>
          <cell r="B659">
            <v>13600</v>
          </cell>
          <cell r="C659">
            <v>4320</v>
          </cell>
          <cell r="D659">
            <v>2.8787499999999994E-2</v>
          </cell>
        </row>
        <row r="660">
          <cell r="A660" t="str">
            <v>D2CN</v>
          </cell>
          <cell r="B660">
            <v>14300</v>
          </cell>
          <cell r="C660">
            <v>4320</v>
          </cell>
          <cell r="D660">
            <v>2.8787499999999994E-2</v>
          </cell>
        </row>
        <row r="661">
          <cell r="A661" t="str">
            <v>D2CN(1)</v>
          </cell>
          <cell r="B661">
            <v>14300</v>
          </cell>
          <cell r="C661">
            <v>4320</v>
          </cell>
          <cell r="D661">
            <v>2.8787499999999994E-2</v>
          </cell>
        </row>
        <row r="662">
          <cell r="A662" t="str">
            <v>D3SK</v>
          </cell>
          <cell r="B662">
            <v>5000</v>
          </cell>
          <cell r="C662">
            <v>5472</v>
          </cell>
          <cell r="D662">
            <v>1.44E-2</v>
          </cell>
        </row>
        <row r="663">
          <cell r="A663" t="str">
            <v>DBB1E</v>
          </cell>
          <cell r="B663">
            <v>16000</v>
          </cell>
          <cell r="C663">
            <v>4000</v>
          </cell>
          <cell r="D663">
            <v>3.3264000000000002E-2</v>
          </cell>
        </row>
        <row r="664">
          <cell r="A664" t="str">
            <v>DD1</v>
          </cell>
          <cell r="B664">
            <v>354</v>
          </cell>
        </row>
        <row r="665">
          <cell r="A665" t="str">
            <v>DF10CM</v>
          </cell>
          <cell r="B665">
            <v>8000</v>
          </cell>
          <cell r="C665">
            <v>1800</v>
          </cell>
          <cell r="D665">
            <v>2.3715E-2</v>
          </cell>
        </row>
        <row r="666">
          <cell r="A666" t="str">
            <v>DF10CM E</v>
          </cell>
          <cell r="B666">
            <v>62</v>
          </cell>
          <cell r="D666">
            <v>2.3714999999999999E-4</v>
          </cell>
        </row>
        <row r="667">
          <cell r="A667" t="str">
            <v>DF12CM</v>
          </cell>
          <cell r="B667">
            <v>4700</v>
          </cell>
          <cell r="C667">
            <v>600</v>
          </cell>
          <cell r="D667">
            <v>3.3696000000000004E-2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6400</v>
          </cell>
          <cell r="C679">
            <v>1800</v>
          </cell>
          <cell r="D679">
            <v>2.2100000000000002E-2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10500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3.6755500000000003E-2</v>
          </cell>
        </row>
        <row r="686">
          <cell r="A686" t="str">
            <v>DP1BS(1)</v>
          </cell>
          <cell r="B686">
            <v>2500</v>
          </cell>
          <cell r="C686">
            <v>120</v>
          </cell>
          <cell r="D686">
            <v>3.6755500000000003E-2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2.7232000000000003E-2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3.124E-2</v>
          </cell>
        </row>
        <row r="697">
          <cell r="A697" t="str">
            <v>DP1R(1)</v>
          </cell>
          <cell r="B697">
            <v>6500</v>
          </cell>
          <cell r="C697">
            <v>2400.0000000000005</v>
          </cell>
          <cell r="D697">
            <v>3.124E-2</v>
          </cell>
        </row>
        <row r="698">
          <cell r="A698" t="str">
            <v>DP1SW</v>
          </cell>
          <cell r="B698">
            <v>10000</v>
          </cell>
          <cell r="C698">
            <v>2304</v>
          </cell>
          <cell r="D698">
            <v>7.2139499999999995E-2</v>
          </cell>
        </row>
        <row r="699">
          <cell r="A699" t="str">
            <v>DP1T</v>
          </cell>
          <cell r="B699">
            <v>8500</v>
          </cell>
          <cell r="C699">
            <v>2835</v>
          </cell>
          <cell r="D699">
            <v>2.4016000000000003E-2</v>
          </cell>
        </row>
        <row r="700">
          <cell r="A700" t="str">
            <v>DP1T SK</v>
          </cell>
          <cell r="B700">
            <v>8545</v>
          </cell>
          <cell r="C700">
            <v>2835</v>
          </cell>
          <cell r="D700">
            <v>2.4016000000000003E-2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v>
          </cell>
          <cell r="D703">
            <v>2.21646E-2</v>
          </cell>
        </row>
        <row r="704">
          <cell r="A704" t="str">
            <v>DP1VC SK</v>
          </cell>
          <cell r="B704">
            <v>3700</v>
          </cell>
          <cell r="C704">
            <v>504</v>
          </cell>
          <cell r="D704">
            <v>2.21646E-2</v>
          </cell>
        </row>
        <row r="705">
          <cell r="A705" t="str">
            <v>DP1VR</v>
          </cell>
          <cell r="B705">
            <v>7800</v>
          </cell>
          <cell r="C705">
            <v>2400</v>
          </cell>
          <cell r="D705">
            <v>4.3438749999999998E-2</v>
          </cell>
        </row>
        <row r="706">
          <cell r="A706" t="str">
            <v>DP1Z20</v>
          </cell>
          <cell r="B706">
            <v>3200</v>
          </cell>
          <cell r="C706">
            <v>2112</v>
          </cell>
          <cell r="D706">
            <v>1.9906249999999997E-2</v>
          </cell>
        </row>
        <row r="707">
          <cell r="A707" t="str">
            <v>DP1Z50</v>
          </cell>
          <cell r="B707">
            <v>4000</v>
          </cell>
          <cell r="C707">
            <v>1296</v>
          </cell>
          <cell r="D707">
            <v>2.4960000000000006E-2</v>
          </cell>
        </row>
        <row r="708">
          <cell r="A708" t="str">
            <v>DP2CB</v>
          </cell>
          <cell r="B708">
            <v>6500</v>
          </cell>
          <cell r="C708">
            <v>1296</v>
          </cell>
          <cell r="D708">
            <v>4.3064999999999999E-2</v>
          </cell>
        </row>
        <row r="709">
          <cell r="A709" t="str">
            <v>DP2W</v>
          </cell>
          <cell r="B709">
            <v>9000</v>
          </cell>
          <cell r="C709">
            <v>625</v>
          </cell>
          <cell r="D709">
            <v>2.6950000000000002E-2</v>
          </cell>
        </row>
        <row r="710">
          <cell r="A710" t="str">
            <v>DS1</v>
          </cell>
          <cell r="B710">
            <v>10800</v>
          </cell>
          <cell r="C710">
            <v>2920</v>
          </cell>
          <cell r="D710">
            <v>5.7342250000000004E-2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row>
        <row r="714">
          <cell r="A714" t="str">
            <v>EP03M</v>
          </cell>
          <cell r="B714">
            <v>9200</v>
          </cell>
          <cell r="C714">
            <v>4</v>
          </cell>
          <cell r="D714">
            <v>2.4192000000000005E-2</v>
          </cell>
        </row>
        <row r="715">
          <cell r="A715" t="str">
            <v>EP1M</v>
          </cell>
          <cell r="B715">
            <v>7800</v>
          </cell>
          <cell r="C715">
            <v>1</v>
          </cell>
          <cell r="D715">
            <v>2.2464000000000005E-2</v>
          </cell>
        </row>
        <row r="716">
          <cell r="A716" t="str">
            <v>EP2M</v>
          </cell>
          <cell r="B716">
            <v>12000</v>
          </cell>
          <cell r="C716">
            <v>1</v>
          </cell>
          <cell r="D716">
            <v>4.1160000000000002E-2</v>
          </cell>
        </row>
        <row r="717">
          <cell r="A717" t="str">
            <v>EP3M</v>
          </cell>
          <cell r="B717">
            <v>10000</v>
          </cell>
          <cell r="C717">
            <v>0.5</v>
          </cell>
          <cell r="D717">
            <v>2.4192000000000005E-2</v>
          </cell>
        </row>
        <row r="718">
          <cell r="A718" t="str">
            <v>EP5M</v>
          </cell>
          <cell r="B718">
            <v>15600</v>
          </cell>
          <cell r="C718">
            <v>0.5</v>
          </cell>
          <cell r="D718">
            <v>4.1160000000000002E-2</v>
          </cell>
        </row>
        <row r="719">
          <cell r="A719" t="str">
            <v>F1000C</v>
          </cell>
          <cell r="B719">
            <v>16000</v>
          </cell>
          <cell r="C719">
            <v>7200</v>
          </cell>
          <cell r="D719">
            <v>5.3872000000000003E-2</v>
          </cell>
        </row>
        <row r="720">
          <cell r="A720" t="str">
            <v>F1000SC</v>
          </cell>
          <cell r="B720">
            <v>15200</v>
          </cell>
          <cell r="C720">
            <v>7200</v>
          </cell>
          <cell r="D720">
            <v>4.5239999999999995E-2</v>
          </cell>
        </row>
        <row r="721">
          <cell r="A721" t="str">
            <v>F1000SS</v>
          </cell>
          <cell r="B721">
            <v>16800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6.0736000000000005E-2</v>
          </cell>
        </row>
        <row r="726">
          <cell r="A726" t="str">
            <v>F14R</v>
          </cell>
          <cell r="B726">
            <v>8500</v>
          </cell>
          <cell r="C726">
            <v>624</v>
          </cell>
          <cell r="D726">
            <v>5.2488000000000007E-2</v>
          </cell>
        </row>
        <row r="727">
          <cell r="A727" t="str">
            <v>F14R F</v>
          </cell>
          <cell r="B727">
            <v>8500</v>
          </cell>
          <cell r="C727">
            <v>560</v>
          </cell>
        </row>
        <row r="728">
          <cell r="A728" t="str">
            <v>F1500C</v>
          </cell>
          <cell r="B728">
            <v>19500</v>
          </cell>
          <cell r="C728">
            <v>9600</v>
          </cell>
          <cell r="D728">
            <v>7.5851999999999989E-2</v>
          </cell>
        </row>
        <row r="729">
          <cell r="A729" t="str">
            <v>F1500SS</v>
          </cell>
          <cell r="B729">
            <v>18000</v>
          </cell>
          <cell r="C729">
            <v>9600</v>
          </cell>
          <cell r="D729">
            <v>7.5851999999999989E-2</v>
          </cell>
        </row>
        <row r="730">
          <cell r="A730" t="str">
            <v>F15BR</v>
          </cell>
          <cell r="B730">
            <v>4000</v>
          </cell>
          <cell r="C730">
            <v>500</v>
          </cell>
          <cell r="D730">
            <v>5.7850000000000006E-2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5.9895000000000004E-2</v>
          </cell>
        </row>
        <row r="737">
          <cell r="A737" t="str">
            <v>F3CC</v>
          </cell>
          <cell r="B737">
            <v>10000</v>
          </cell>
          <cell r="C737">
            <v>3888</v>
          </cell>
          <cell r="D737">
            <v>3.9200000000000006E-2</v>
          </cell>
        </row>
        <row r="738">
          <cell r="A738" t="str">
            <v>F3N</v>
          </cell>
          <cell r="B738">
            <v>4700</v>
          </cell>
          <cell r="C738">
            <v>48</v>
          </cell>
          <cell r="D738">
            <v>5.6160000000000009E-2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9.7143500000000008E-2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2.6714000000000002E-2</v>
          </cell>
        </row>
        <row r="745">
          <cell r="A745" t="str">
            <v>FPS1</v>
          </cell>
          <cell r="B745">
            <v>5000</v>
          </cell>
          <cell r="C745">
            <v>1250</v>
          </cell>
          <cell r="D745">
            <v>2.9497499999999999E-2</v>
          </cell>
        </row>
        <row r="746">
          <cell r="A746" t="str">
            <v>HD1</v>
          </cell>
          <cell r="B746">
            <v>318</v>
          </cell>
        </row>
        <row r="747">
          <cell r="A747" t="str">
            <v>HDP60B</v>
          </cell>
          <cell r="B747">
            <v>15000</v>
          </cell>
          <cell r="C747">
            <v>4500</v>
          </cell>
          <cell r="D747">
            <v>5.7330000000000013E-2</v>
          </cell>
        </row>
        <row r="748">
          <cell r="A748" t="str">
            <v>HDP60C</v>
          </cell>
          <cell r="B748">
            <v>15000</v>
          </cell>
          <cell r="C748">
            <v>4500</v>
          </cell>
          <cell r="D748">
            <v>5.7330000000000013E-2</v>
          </cell>
        </row>
        <row r="749">
          <cell r="A749" t="str">
            <v>HDP60CER</v>
          </cell>
          <cell r="B749">
            <v>15000</v>
          </cell>
          <cell r="C749">
            <v>4500</v>
          </cell>
          <cell r="D749">
            <v>5.7330000000000013E-2</v>
          </cell>
        </row>
        <row r="750">
          <cell r="A750" t="str">
            <v>HDP60M</v>
          </cell>
          <cell r="B750">
            <v>15000</v>
          </cell>
          <cell r="C750">
            <v>4500</v>
          </cell>
          <cell r="D750">
            <v>5.7330000000000013E-2</v>
          </cell>
        </row>
        <row r="751">
          <cell r="A751" t="str">
            <v>HDP60O</v>
          </cell>
          <cell r="B751">
            <v>15000</v>
          </cell>
          <cell r="C751">
            <v>4500</v>
          </cell>
          <cell r="D751">
            <v>5.7330000000000013E-2</v>
          </cell>
        </row>
        <row r="752">
          <cell r="A752" t="str">
            <v>HDP60ZE</v>
          </cell>
          <cell r="B752">
            <v>15000</v>
          </cell>
          <cell r="C752">
            <v>4500</v>
          </cell>
          <cell r="D752">
            <v>5.7330000000000013E-2</v>
          </cell>
        </row>
        <row r="753">
          <cell r="A753" t="str">
            <v>HDP60ZL</v>
          </cell>
          <cell r="B753">
            <v>15000</v>
          </cell>
          <cell r="C753">
            <v>4500</v>
          </cell>
          <cell r="D753">
            <v>5.7330000000000013E-2</v>
          </cell>
        </row>
        <row r="754">
          <cell r="A754" t="str">
            <v>IF220A</v>
          </cell>
          <cell r="B754">
            <v>12000</v>
          </cell>
          <cell r="C754">
            <v>2400</v>
          </cell>
          <cell r="D754">
            <v>2.0064000000000002E-2</v>
          </cell>
        </row>
        <row r="755">
          <cell r="A755" t="str">
            <v>IF3MA</v>
          </cell>
          <cell r="B755">
            <v>12520</v>
          </cell>
          <cell r="C755">
            <v>3600</v>
          </cell>
          <cell r="D755">
            <v>2.68515E-2</v>
          </cell>
        </row>
        <row r="756">
          <cell r="A756" t="str">
            <v>IF560B</v>
          </cell>
          <cell r="B756">
            <v>14000</v>
          </cell>
          <cell r="C756">
            <v>6000</v>
          </cell>
          <cell r="D756">
            <v>2.9792000000000006E-2</v>
          </cell>
        </row>
        <row r="757">
          <cell r="A757" t="str">
            <v>IF660B</v>
          </cell>
          <cell r="B757">
            <v>19000</v>
          </cell>
          <cell r="C757">
            <v>5040</v>
          </cell>
          <cell r="D757">
            <v>3.1768000000000005E-2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5.4179999999999992E-2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3.3800000000000004E-2</v>
          </cell>
        </row>
        <row r="770">
          <cell r="A770" t="str">
            <v>K0203KB</v>
          </cell>
          <cell r="B770">
            <v>17000</v>
          </cell>
          <cell r="C770">
            <v>1000</v>
          </cell>
          <cell r="D770">
            <v>3.8318000000000005E-2</v>
          </cell>
        </row>
        <row r="771">
          <cell r="A771" t="str">
            <v>K1000R</v>
          </cell>
          <cell r="B771">
            <v>19000</v>
          </cell>
          <cell r="C771">
            <v>1920</v>
          </cell>
          <cell r="D771">
            <v>3.696E-2</v>
          </cell>
        </row>
        <row r="772">
          <cell r="A772" t="str">
            <v>K10M</v>
          </cell>
          <cell r="B772">
            <v>8000</v>
          </cell>
          <cell r="C772">
            <v>248</v>
          </cell>
          <cell r="D772">
            <v>3.7206000000000003E-2</v>
          </cell>
        </row>
        <row r="773">
          <cell r="A773" t="str">
            <v>K1969R</v>
          </cell>
          <cell r="B773">
            <v>6000</v>
          </cell>
          <cell r="C773">
            <v>247</v>
          </cell>
          <cell r="D773">
            <v>2.5542000000000002E-2</v>
          </cell>
        </row>
        <row r="774">
          <cell r="A774" t="str">
            <v>K200R</v>
          </cell>
          <cell r="B774">
            <v>21000</v>
          </cell>
          <cell r="C774">
            <v>1944</v>
          </cell>
          <cell r="D774">
            <v>3.9899999999999998E-2</v>
          </cell>
        </row>
        <row r="775">
          <cell r="A775" t="str">
            <v>K20K</v>
          </cell>
          <cell r="B775">
            <v>12376</v>
          </cell>
          <cell r="C775">
            <v>374.40000000000003</v>
          </cell>
          <cell r="D775">
            <v>2.9645300000000003E-2</v>
          </cell>
        </row>
        <row r="776">
          <cell r="A776" t="str">
            <v>K500R</v>
          </cell>
          <cell r="B776">
            <v>19500</v>
          </cell>
          <cell r="C776">
            <v>1920</v>
          </cell>
          <cell r="D776">
            <v>3.7223999999999993E-2</v>
          </cell>
        </row>
        <row r="777">
          <cell r="A777" t="str">
            <v>K60K</v>
          </cell>
          <cell r="B777">
            <v>15000</v>
          </cell>
          <cell r="C777">
            <v>624</v>
          </cell>
          <cell r="D777">
            <v>4.5791159999999997E-2</v>
          </cell>
        </row>
        <row r="778">
          <cell r="A778" t="str">
            <v>K-C10025BPW/C14</v>
          </cell>
          <cell r="B778">
            <v>1500</v>
          </cell>
          <cell r="C778" t="str">
            <v/>
          </cell>
          <cell r="D778" t="str">
            <v/>
          </cell>
        </row>
        <row r="779">
          <cell r="A779" t="str">
            <v>K-C10030XF/C14</v>
          </cell>
          <cell r="B779">
            <v>1500</v>
          </cell>
          <cell r="C779" t="str">
            <v/>
          </cell>
          <cell r="D779" t="str">
            <v/>
          </cell>
        </row>
        <row r="780">
          <cell r="A780" t="str">
            <v>K-C1003BB/C</v>
          </cell>
          <cell r="B780">
            <v>1500</v>
          </cell>
          <cell r="C780" t="str">
            <v/>
          </cell>
          <cell r="D780" t="str">
            <v/>
          </cell>
        </row>
        <row r="781">
          <cell r="A781" t="str">
            <v>K-C1003BO/C</v>
          </cell>
          <cell r="B781">
            <v>1500</v>
          </cell>
          <cell r="C781" t="str">
            <v/>
          </cell>
          <cell r="D781" t="str">
            <v/>
          </cell>
        </row>
        <row r="782">
          <cell r="A782" t="str">
            <v>K-C1003BP/C</v>
          </cell>
          <cell r="B782">
            <v>1500</v>
          </cell>
          <cell r="C782" t="str">
            <v/>
          </cell>
          <cell r="D782" t="str">
            <v/>
          </cell>
        </row>
        <row r="783">
          <cell r="A783" t="str">
            <v>K-C1003BPF/C</v>
          </cell>
          <cell r="B783">
            <v>1500</v>
          </cell>
          <cell r="C783" t="str">
            <v/>
          </cell>
          <cell r="D783" t="str">
            <v/>
          </cell>
        </row>
        <row r="784">
          <cell r="A784" t="str">
            <v>K-C1003BPW/C14</v>
          </cell>
          <cell r="B784">
            <v>1500</v>
          </cell>
          <cell r="C784" t="str">
            <v/>
          </cell>
          <cell r="D784" t="str">
            <v/>
          </cell>
        </row>
        <row r="785">
          <cell r="A785" t="str">
            <v>K-C1003NO/C14</v>
          </cell>
          <cell r="B785">
            <v>1500</v>
          </cell>
          <cell r="C785" t="str">
            <v/>
          </cell>
          <cell r="D785" t="str">
            <v/>
          </cell>
        </row>
        <row r="786">
          <cell r="A786" t="str">
            <v>K-C1003SIG/C</v>
          </cell>
          <cell r="B786">
            <v>1500</v>
          </cell>
          <cell r="C786" t="str">
            <v/>
          </cell>
          <cell r="D786" t="str">
            <v/>
          </cell>
        </row>
        <row r="787">
          <cell r="A787" t="str">
            <v>K-C1003W/C</v>
          </cell>
          <cell r="B787">
            <v>1500</v>
          </cell>
          <cell r="C787" t="str">
            <v/>
          </cell>
          <cell r="D787" t="str">
            <v/>
          </cell>
        </row>
        <row r="788">
          <cell r="A788" t="str">
            <v>K-C10545GI/C</v>
          </cell>
          <cell r="B788">
            <v>1500</v>
          </cell>
          <cell r="C788" t="str">
            <v/>
          </cell>
          <cell r="D788" t="str">
            <v/>
          </cell>
        </row>
        <row r="789">
          <cell r="A789" t="str">
            <v>K-C12230XPT/C14</v>
          </cell>
          <cell r="B789">
            <v>1500</v>
          </cell>
          <cell r="C789" t="str">
            <v/>
          </cell>
          <cell r="D789" t="str">
            <v/>
          </cell>
        </row>
        <row r="790">
          <cell r="A790" t="str">
            <v>K-C12820F/C14</v>
          </cell>
        </row>
        <row r="791">
          <cell r="A791" t="str">
            <v>K-C12820NID/C(T)</v>
          </cell>
        </row>
        <row r="792">
          <cell r="A792" t="str">
            <v>K-C128XMB/C</v>
          </cell>
          <cell r="B792">
            <v>1500</v>
          </cell>
          <cell r="C792" t="str">
            <v/>
          </cell>
          <cell r="D792" t="str">
            <v/>
          </cell>
        </row>
        <row r="793">
          <cell r="A793" t="str">
            <v>K-C128XMPT/C</v>
          </cell>
          <cell r="B793">
            <v>1500</v>
          </cell>
          <cell r="C793" t="str">
            <v/>
          </cell>
          <cell r="D793" t="str">
            <v/>
          </cell>
        </row>
        <row r="794">
          <cell r="A794" t="str">
            <v>K-C13220B/C14</v>
          </cell>
          <cell r="B794">
            <v>1500</v>
          </cell>
          <cell r="C794" t="str">
            <v/>
          </cell>
          <cell r="D794" t="str">
            <v/>
          </cell>
        </row>
        <row r="795">
          <cell r="A795" t="str">
            <v>K-C13220TS/C14(T)</v>
          </cell>
          <cell r="B795">
            <v>1500</v>
          </cell>
          <cell r="C795" t="str">
            <v/>
          </cell>
          <cell r="D795" t="str">
            <v/>
          </cell>
        </row>
        <row r="796">
          <cell r="A796" t="str">
            <v>K-C132XMPT/C</v>
          </cell>
          <cell r="B796">
            <v>1500</v>
          </cell>
          <cell r="C796" t="str">
            <v/>
          </cell>
          <cell r="D796" t="str">
            <v/>
          </cell>
        </row>
        <row r="797">
          <cell r="A797" t="str">
            <v>K-C132XMPT/C14</v>
          </cell>
          <cell r="B797">
            <v>1500</v>
          </cell>
          <cell r="C797" t="str">
            <v/>
          </cell>
          <cell r="D797" t="str">
            <v/>
          </cell>
        </row>
        <row r="798">
          <cell r="A798" t="str">
            <v>K-C14025XFS/C</v>
          </cell>
          <cell r="B798">
            <v>1500</v>
          </cell>
          <cell r="C798" t="str">
            <v/>
          </cell>
          <cell r="D798" t="str">
            <v/>
          </cell>
        </row>
        <row r="799">
          <cell r="A799" t="str">
            <v>K-C14025XFS/C14</v>
          </cell>
          <cell r="B799">
            <v>1500</v>
          </cell>
          <cell r="C799" t="str">
            <v/>
          </cell>
          <cell r="D799" t="str">
            <v/>
          </cell>
        </row>
        <row r="800">
          <cell r="A800" t="str">
            <v>K-C1503BPF/C</v>
          </cell>
          <cell r="B800">
            <v>1500</v>
          </cell>
          <cell r="C800" t="str">
            <v/>
          </cell>
          <cell r="D800" t="str">
            <v/>
          </cell>
        </row>
        <row r="801">
          <cell r="A801" t="str">
            <v>K-C1503X/C</v>
          </cell>
          <cell r="B801">
            <v>1500</v>
          </cell>
          <cell r="C801" t="str">
            <v/>
          </cell>
          <cell r="D801" t="str">
            <v/>
          </cell>
        </row>
        <row r="802">
          <cell r="A802" t="str">
            <v>K-C150MF/C</v>
          </cell>
          <cell r="B802">
            <v>1500</v>
          </cell>
          <cell r="C802" t="str">
            <v/>
          </cell>
          <cell r="D802" t="str">
            <v/>
          </cell>
        </row>
        <row r="803">
          <cell r="A803" t="str">
            <v>K-C150MPT/C</v>
          </cell>
          <cell r="B803">
            <v>1500</v>
          </cell>
          <cell r="C803" t="str">
            <v/>
          </cell>
          <cell r="D803" t="str">
            <v/>
          </cell>
        </row>
        <row r="804">
          <cell r="A804" t="str">
            <v>K-C175MF/C</v>
          </cell>
          <cell r="B804">
            <v>1500</v>
          </cell>
        </row>
        <row r="805">
          <cell r="A805" t="str">
            <v>K-C175MSIG/C</v>
          </cell>
          <cell r="B805">
            <v>1500</v>
          </cell>
          <cell r="C805" t="str">
            <v/>
          </cell>
          <cell r="D805" t="str">
            <v/>
          </cell>
        </row>
        <row r="806">
          <cell r="A806" t="str">
            <v>K-C18020SIG/C</v>
          </cell>
          <cell r="B806">
            <v>1500</v>
          </cell>
          <cell r="C806" t="str">
            <v/>
          </cell>
          <cell r="D806" t="str">
            <v/>
          </cell>
        </row>
        <row r="807">
          <cell r="A807" t="str">
            <v>K-C180MA</v>
          </cell>
          <cell r="B807">
            <v>1500</v>
          </cell>
        </row>
        <row r="808">
          <cell r="A808" t="str">
            <v>K-C188MF/C</v>
          </cell>
          <cell r="B808">
            <v>1500</v>
          </cell>
          <cell r="C808" t="str">
            <v/>
          </cell>
          <cell r="D808" t="str">
            <v/>
          </cell>
        </row>
        <row r="809">
          <cell r="A809" t="str">
            <v>K-C19220F/C</v>
          </cell>
          <cell r="B809">
            <v>1500</v>
          </cell>
          <cell r="C809" t="str">
            <v/>
          </cell>
          <cell r="D809" t="str">
            <v/>
          </cell>
        </row>
        <row r="810">
          <cell r="A810" t="str">
            <v>K-C20020XPR/C14</v>
          </cell>
          <cell r="B810">
            <v>1500</v>
          </cell>
          <cell r="C810" t="str">
            <v/>
          </cell>
          <cell r="D810" t="str">
            <v/>
          </cell>
        </row>
        <row r="811">
          <cell r="A811" t="str">
            <v>K-C20025BPF/C</v>
          </cell>
          <cell r="B811">
            <v>1500</v>
          </cell>
          <cell r="C811" t="str">
            <v/>
          </cell>
          <cell r="D811" t="str">
            <v/>
          </cell>
        </row>
        <row r="812">
          <cell r="A812" t="str">
            <v>K-C20025F/C</v>
          </cell>
          <cell r="B812">
            <v>1500</v>
          </cell>
          <cell r="C812" t="str">
            <v/>
          </cell>
          <cell r="D812" t="str">
            <v/>
          </cell>
        </row>
        <row r="813">
          <cell r="A813" t="str">
            <v>K-C2003BP/C</v>
          </cell>
          <cell r="B813">
            <v>1500</v>
          </cell>
          <cell r="C813" t="str">
            <v/>
          </cell>
          <cell r="D813" t="str">
            <v/>
          </cell>
        </row>
        <row r="814">
          <cell r="A814" t="str">
            <v>K-C2003U/C</v>
          </cell>
          <cell r="B814">
            <v>1500</v>
          </cell>
          <cell r="C814" t="str">
            <v/>
          </cell>
          <cell r="D814" t="str">
            <v/>
          </cell>
        </row>
        <row r="815">
          <cell r="A815" t="str">
            <v>K-C200MF/C</v>
          </cell>
          <cell r="B815">
            <v>1500</v>
          </cell>
          <cell r="C815" t="str">
            <v/>
          </cell>
          <cell r="D815" t="str">
            <v/>
          </cell>
        </row>
        <row r="816">
          <cell r="A816" t="str">
            <v>K-C200MNID/C</v>
          </cell>
          <cell r="B816">
            <v>1500</v>
          </cell>
          <cell r="C816" t="str">
            <v/>
          </cell>
          <cell r="D816" t="str">
            <v/>
          </cell>
        </row>
        <row r="817">
          <cell r="A817" t="str">
            <v>K-C204XMPT/C</v>
          </cell>
          <cell r="B817">
            <v>1500</v>
          </cell>
          <cell r="C817" t="str">
            <v/>
          </cell>
          <cell r="D817" t="str">
            <v/>
          </cell>
        </row>
        <row r="818">
          <cell r="A818" t="str">
            <v>K-C204XMPT/C14</v>
          </cell>
          <cell r="B818">
            <v>1500</v>
          </cell>
          <cell r="C818" t="str">
            <v/>
          </cell>
          <cell r="D818" t="str">
            <v/>
          </cell>
        </row>
        <row r="819">
          <cell r="A819" t="str">
            <v>K-C212MF/C</v>
          </cell>
          <cell r="B819">
            <v>1500</v>
          </cell>
          <cell r="C819" t="str">
            <v/>
          </cell>
          <cell r="D819" t="str">
            <v/>
          </cell>
        </row>
        <row r="820">
          <cell r="A820" t="str">
            <v>K-C216XMFS/C</v>
          </cell>
          <cell r="B820">
            <v>1500</v>
          </cell>
          <cell r="C820" t="str">
            <v/>
          </cell>
          <cell r="D820" t="str">
            <v/>
          </cell>
        </row>
        <row r="821">
          <cell r="A821" t="str">
            <v>K-C216XMFS/C14</v>
          </cell>
          <cell r="B821">
            <v>1500</v>
          </cell>
          <cell r="C821" t="str">
            <v/>
          </cell>
          <cell r="D821" t="str">
            <v/>
          </cell>
        </row>
        <row r="822">
          <cell r="A822" t="str">
            <v>K-C219XMPT/C</v>
          </cell>
          <cell r="B822">
            <v>1500</v>
          </cell>
          <cell r="C822" t="str">
            <v/>
          </cell>
          <cell r="D822" t="str">
            <v/>
          </cell>
        </row>
        <row r="823">
          <cell r="A823" t="str">
            <v>K-C222MF/C</v>
          </cell>
          <cell r="B823">
            <v>1500</v>
          </cell>
          <cell r="C823" t="str">
            <v/>
          </cell>
          <cell r="D823" t="str">
            <v/>
          </cell>
        </row>
        <row r="824">
          <cell r="A824" t="str">
            <v>K-C222MNID/C</v>
          </cell>
          <cell r="B824">
            <v>1500</v>
          </cell>
          <cell r="C824" t="str">
            <v/>
          </cell>
          <cell r="D824" t="str">
            <v/>
          </cell>
        </row>
        <row r="825">
          <cell r="A825" t="str">
            <v>K-C222MNPT/C</v>
          </cell>
          <cell r="B825">
            <v>1500</v>
          </cell>
          <cell r="C825" t="str">
            <v/>
          </cell>
          <cell r="D825" t="str">
            <v/>
          </cell>
        </row>
        <row r="826">
          <cell r="A826" t="str">
            <v>K-C223XMK/C</v>
          </cell>
          <cell r="B826">
            <v>1500</v>
          </cell>
          <cell r="C826" t="str">
            <v/>
          </cell>
          <cell r="D826" t="str">
            <v/>
          </cell>
        </row>
        <row r="827">
          <cell r="A827" t="str">
            <v>K-C223XMK/C14</v>
          </cell>
          <cell r="B827">
            <v>1500</v>
          </cell>
          <cell r="C827" t="str">
            <v/>
          </cell>
          <cell r="D827" t="str">
            <v/>
          </cell>
        </row>
        <row r="828">
          <cell r="A828" t="str">
            <v>K-C239MSIG/C</v>
          </cell>
          <cell r="B828">
            <v>1500</v>
          </cell>
          <cell r="C828" t="str">
            <v/>
          </cell>
          <cell r="D828" t="str">
            <v/>
          </cell>
        </row>
        <row r="829">
          <cell r="A829" t="str">
            <v>K-C25220XFS/C</v>
          </cell>
          <cell r="B829">
            <v>2000</v>
          </cell>
        </row>
        <row r="830">
          <cell r="A830" t="str">
            <v>K-C25220XFS/C14</v>
          </cell>
          <cell r="B830">
            <v>1500</v>
          </cell>
          <cell r="C830" t="str">
            <v/>
          </cell>
          <cell r="D830" t="str">
            <v/>
          </cell>
        </row>
        <row r="831">
          <cell r="A831" t="str">
            <v>K-C253XMPT/C</v>
          </cell>
          <cell r="B831">
            <v>1500</v>
          </cell>
          <cell r="C831" t="str">
            <v/>
          </cell>
          <cell r="D831" t="str">
            <v/>
          </cell>
        </row>
        <row r="832">
          <cell r="A832" t="str">
            <v>K-C25620F/C</v>
          </cell>
          <cell r="B832">
            <v>1500</v>
          </cell>
          <cell r="C832" t="str">
            <v/>
          </cell>
          <cell r="D832" t="str">
            <v/>
          </cell>
        </row>
        <row r="833">
          <cell r="A833" t="str">
            <v>K-C25620F/C14(T)</v>
          </cell>
          <cell r="B833">
            <v>2000</v>
          </cell>
        </row>
        <row r="834">
          <cell r="A834" t="str">
            <v>K-C2563F/C</v>
          </cell>
          <cell r="B834">
            <v>1500</v>
          </cell>
          <cell r="C834" t="str">
            <v/>
          </cell>
          <cell r="D834" t="str">
            <v/>
          </cell>
        </row>
        <row r="835">
          <cell r="A835" t="str">
            <v>K-C2563XMF/C</v>
          </cell>
          <cell r="B835">
            <v>1500</v>
          </cell>
          <cell r="C835" t="str">
            <v/>
          </cell>
          <cell r="D835" t="str">
            <v/>
          </cell>
        </row>
        <row r="836">
          <cell r="A836" t="str">
            <v>K-C26020F/C</v>
          </cell>
          <cell r="B836">
            <v>1500</v>
          </cell>
          <cell r="C836" t="str">
            <v/>
          </cell>
          <cell r="D836" t="str">
            <v/>
          </cell>
        </row>
        <row r="837">
          <cell r="A837" t="str">
            <v>K-C26420N/C</v>
          </cell>
          <cell r="B837">
            <v>1500</v>
          </cell>
          <cell r="C837" t="str">
            <v/>
          </cell>
          <cell r="D837" t="str">
            <v/>
          </cell>
        </row>
        <row r="838">
          <cell r="A838" t="str">
            <v>K-C30025BPW/C</v>
          </cell>
          <cell r="B838">
            <v>1500</v>
          </cell>
          <cell r="C838" t="str">
            <v/>
          </cell>
          <cell r="D838" t="str">
            <v/>
          </cell>
        </row>
        <row r="839">
          <cell r="A839" t="str">
            <v>K-C30025F/C</v>
          </cell>
          <cell r="B839">
            <v>1500</v>
          </cell>
          <cell r="C839" t="str">
            <v/>
          </cell>
          <cell r="D839" t="str">
            <v/>
          </cell>
        </row>
        <row r="840">
          <cell r="A840" t="str">
            <v>K-C30025NID/C</v>
          </cell>
          <cell r="B840">
            <v>1500</v>
          </cell>
          <cell r="C840" t="str">
            <v/>
          </cell>
          <cell r="D840" t="str">
            <v/>
          </cell>
        </row>
        <row r="841">
          <cell r="A841" t="str">
            <v>K-C379XMK/C</v>
          </cell>
          <cell r="B841">
            <v>1500</v>
          </cell>
          <cell r="C841" t="str">
            <v/>
          </cell>
          <cell r="D841" t="str">
            <v/>
          </cell>
        </row>
        <row r="842">
          <cell r="A842" t="str">
            <v>K-C39020F/C</v>
          </cell>
          <cell r="B842">
            <v>1500</v>
          </cell>
          <cell r="C842" t="str">
            <v/>
          </cell>
          <cell r="D842" t="str">
            <v/>
          </cell>
        </row>
        <row r="843">
          <cell r="A843" t="str">
            <v>K-C40020XPR/C14</v>
          </cell>
          <cell r="B843">
            <v>1500</v>
          </cell>
          <cell r="C843" t="str">
            <v/>
          </cell>
          <cell r="D843" t="str">
            <v/>
          </cell>
        </row>
        <row r="844">
          <cell r="A844" t="str">
            <v>K-C40025F/C</v>
          </cell>
          <cell r="B844">
            <v>1500</v>
          </cell>
          <cell r="C844" t="str">
            <v/>
          </cell>
          <cell r="D844" t="str">
            <v/>
          </cell>
        </row>
        <row r="845">
          <cell r="A845" t="str">
            <v>K-C503BPW/C14</v>
          </cell>
          <cell r="B845">
            <v>1500</v>
          </cell>
          <cell r="C845" t="str">
            <v/>
          </cell>
          <cell r="D845" t="str">
            <v/>
          </cell>
        </row>
        <row r="846">
          <cell r="A846" t="str">
            <v>K-C503BW/C14</v>
          </cell>
          <cell r="B846">
            <v>1500</v>
          </cell>
        </row>
        <row r="847">
          <cell r="A847" t="str">
            <v>K-C503ME/C14</v>
          </cell>
          <cell r="B847">
            <v>1500</v>
          </cell>
          <cell r="C847" t="str">
            <v/>
          </cell>
          <cell r="D847" t="str">
            <v/>
          </cell>
        </row>
        <row r="848">
          <cell r="A848" t="str">
            <v>K-C503NID/C14</v>
          </cell>
          <cell r="B848">
            <v>1500</v>
          </cell>
          <cell r="C848" t="str">
            <v/>
          </cell>
          <cell r="D848" t="str">
            <v/>
          </cell>
        </row>
        <row r="849">
          <cell r="A849" t="str">
            <v>K-C503TS/C14</v>
          </cell>
          <cell r="B849">
            <v>1500</v>
          </cell>
        </row>
        <row r="850">
          <cell r="A850" t="str">
            <v>K-C505V/C</v>
          </cell>
          <cell r="B850">
            <v>1500</v>
          </cell>
          <cell r="C850" t="str">
            <v/>
          </cell>
          <cell r="D850" t="str">
            <v/>
          </cell>
        </row>
        <row r="851">
          <cell r="A851" t="str">
            <v>K-C505X/C</v>
          </cell>
          <cell r="B851">
            <v>1500</v>
          </cell>
          <cell r="C851" t="str">
            <v/>
          </cell>
          <cell r="D851" t="str">
            <v/>
          </cell>
        </row>
        <row r="852">
          <cell r="A852" t="str">
            <v>K-C52020F/C</v>
          </cell>
          <cell r="B852">
            <v>1500</v>
          </cell>
          <cell r="C852" t="str">
            <v/>
          </cell>
          <cell r="D852" t="str">
            <v/>
          </cell>
        </row>
        <row r="853">
          <cell r="A853" t="str">
            <v>K-C53620F/C</v>
          </cell>
          <cell r="B853">
            <v>1500</v>
          </cell>
          <cell r="C853" t="str">
            <v/>
          </cell>
          <cell r="D853" t="str">
            <v/>
          </cell>
        </row>
        <row r="854">
          <cell r="A854" t="str">
            <v>K-C6420DU/C</v>
          </cell>
          <cell r="B854">
            <v>800</v>
          </cell>
        </row>
        <row r="855">
          <cell r="A855" t="str">
            <v>K-C755R/C</v>
          </cell>
          <cell r="B855">
            <v>1500</v>
          </cell>
          <cell r="C855" t="str">
            <v/>
          </cell>
          <cell r="D855" t="str">
            <v/>
          </cell>
        </row>
        <row r="856">
          <cell r="A856" t="str">
            <v>K-C80020XPR/C</v>
          </cell>
          <cell r="B856">
            <v>2000</v>
          </cell>
        </row>
        <row r="857">
          <cell r="A857" t="str">
            <v>K-C84M12E/C</v>
          </cell>
          <cell r="B857">
            <v>1500</v>
          </cell>
          <cell r="C857" t="str">
            <v/>
          </cell>
          <cell r="D857" t="str">
            <v/>
          </cell>
        </row>
        <row r="858">
          <cell r="A858" t="str">
            <v>K-C84M12F/C</v>
          </cell>
          <cell r="B858">
            <v>1500</v>
          </cell>
          <cell r="C858" t="str">
            <v/>
          </cell>
          <cell r="D858" t="str">
            <v/>
          </cell>
        </row>
        <row r="859">
          <cell r="A859" t="str">
            <v>K-C84M12S/C</v>
          </cell>
          <cell r="B859">
            <v>1500</v>
          </cell>
          <cell r="C859" t="str">
            <v/>
          </cell>
          <cell r="D859" t="str">
            <v/>
          </cell>
        </row>
        <row r="860">
          <cell r="A860" t="str">
            <v>K-C84MC/C</v>
          </cell>
          <cell r="B860">
            <v>1500</v>
          </cell>
          <cell r="C860" t="str">
            <v/>
          </cell>
          <cell r="D860" t="str">
            <v/>
          </cell>
        </row>
        <row r="861">
          <cell r="A861" t="str">
            <v>K-C9625MF/C14</v>
          </cell>
          <cell r="B861">
            <v>1500</v>
          </cell>
          <cell r="C861" t="str">
            <v/>
          </cell>
          <cell r="D861" t="str">
            <v/>
          </cell>
        </row>
        <row r="862">
          <cell r="A862" t="str">
            <v>K-C9825C/C14</v>
          </cell>
          <cell r="B862">
            <v>1500</v>
          </cell>
          <cell r="C862" t="str">
            <v/>
          </cell>
          <cell r="D862" t="str">
            <v/>
          </cell>
        </row>
        <row r="863">
          <cell r="A863" t="str">
            <v>KD1</v>
          </cell>
          <cell r="B863">
            <v>72</v>
          </cell>
        </row>
        <row r="864">
          <cell r="A864" t="str">
            <v>KDLE1</v>
          </cell>
          <cell r="B864">
            <v>72</v>
          </cell>
        </row>
        <row r="865">
          <cell r="A865" t="str">
            <v>KK2023</v>
          </cell>
          <cell r="B865">
            <v>1100</v>
          </cell>
          <cell r="C865" t="str">
            <v/>
          </cell>
          <cell r="D865" t="str">
            <v/>
          </cell>
        </row>
        <row r="866">
          <cell r="A866" t="str">
            <v>KKD1</v>
          </cell>
          <cell r="B866">
            <v>10</v>
          </cell>
        </row>
        <row r="867">
          <cell r="A867" t="str">
            <v>LM0SW</v>
          </cell>
          <cell r="B867">
            <v>7500</v>
          </cell>
          <cell r="C867">
            <v>1920.0000000000002</v>
          </cell>
          <cell r="D867">
            <v>1.8920000000000003E-2</v>
          </cell>
        </row>
        <row r="868">
          <cell r="A868" t="str">
            <v>LM0SW(1)</v>
          </cell>
          <cell r="B868">
            <v>7500</v>
          </cell>
          <cell r="C868">
            <v>1920.0000000000002</v>
          </cell>
          <cell r="D868">
            <v>1.8920000000000003E-2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3.705E-2</v>
          </cell>
        </row>
        <row r="872">
          <cell r="A872" t="str">
            <v>LM3T</v>
          </cell>
          <cell r="B872">
            <v>4500</v>
          </cell>
          <cell r="C872">
            <v>1296</v>
          </cell>
          <cell r="D872">
            <v>3.6380250000000003E-2</v>
          </cell>
        </row>
        <row r="873">
          <cell r="A873" t="str">
            <v>LM4O</v>
          </cell>
          <cell r="B873">
            <v>5000</v>
          </cell>
          <cell r="C873">
            <v>2016</v>
          </cell>
          <cell r="D873">
            <v>3.3744000000000003E-2</v>
          </cell>
        </row>
        <row r="874">
          <cell r="A874" t="str">
            <v>LM5W</v>
          </cell>
          <cell r="B874">
            <v>11000</v>
          </cell>
          <cell r="C874">
            <v>2880</v>
          </cell>
          <cell r="D874">
            <v>5.3689500000000001E-2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D878">
            <v>7.7019536822819652E-4</v>
          </cell>
        </row>
        <row r="879">
          <cell r="A879" t="str">
            <v>M25</v>
          </cell>
          <cell r="B879">
            <v>500</v>
          </cell>
          <cell r="D879">
            <v>1.2667686977437444E-3</v>
          </cell>
        </row>
        <row r="880">
          <cell r="A880" t="str">
            <v>M3</v>
          </cell>
          <cell r="B880">
            <v>700</v>
          </cell>
          <cell r="D880">
            <v>2.1889763097011901E-3</v>
          </cell>
        </row>
        <row r="881">
          <cell r="A881" t="str">
            <v>M4</v>
          </cell>
          <cell r="B881">
            <v>1350</v>
          </cell>
          <cell r="D881">
            <v>4.7022454060247779E-3</v>
          </cell>
        </row>
        <row r="882">
          <cell r="A882" t="str">
            <v>M5</v>
          </cell>
          <cell r="B882">
            <v>3000</v>
          </cell>
          <cell r="D882">
            <v>1.0134149581949956E-2</v>
          </cell>
        </row>
        <row r="883">
          <cell r="A883" t="str">
            <v>M6</v>
          </cell>
          <cell r="B883">
            <v>4300</v>
          </cell>
          <cell r="D883">
            <v>1.6417322322758929E-2</v>
          </cell>
        </row>
        <row r="884">
          <cell r="A884" t="str">
            <v>MDLE1L</v>
          </cell>
          <cell r="B884">
            <v>750</v>
          </cell>
        </row>
        <row r="885">
          <cell r="A885" t="str">
            <v>MDLE1M</v>
          </cell>
          <cell r="B885">
            <v>750</v>
          </cell>
        </row>
        <row r="886">
          <cell r="A886" t="str">
            <v>MDLE1XL</v>
          </cell>
          <cell r="B886">
            <v>750</v>
          </cell>
        </row>
        <row r="887">
          <cell r="A887" t="str">
            <v>MDLE1XXL</v>
          </cell>
          <cell r="B887">
            <v>750</v>
          </cell>
        </row>
        <row r="888">
          <cell r="A888" t="str">
            <v>N1</v>
          </cell>
          <cell r="B888">
            <v>6500</v>
          </cell>
          <cell r="D888">
            <v>1.0164000000000001E-2</v>
          </cell>
        </row>
        <row r="889">
          <cell r="A889" t="str">
            <v>ND1</v>
          </cell>
          <cell r="B889">
            <v>3</v>
          </cell>
        </row>
        <row r="890">
          <cell r="A890" t="str">
            <v>OZ4</v>
          </cell>
          <cell r="B890">
            <v>138</v>
          </cell>
          <cell r="D890">
            <v>1.9843999999999997E-2</v>
          </cell>
        </row>
        <row r="891">
          <cell r="A891" t="str">
            <v>P05D</v>
          </cell>
          <cell r="B891">
            <v>8600</v>
          </cell>
          <cell r="C891">
            <v>600</v>
          </cell>
          <cell r="D891">
            <v>2.7703500000000002E-2</v>
          </cell>
        </row>
        <row r="892">
          <cell r="A892" t="str">
            <v>P066D20</v>
          </cell>
          <cell r="B892">
            <v>10600</v>
          </cell>
          <cell r="C892">
            <v>1320</v>
          </cell>
          <cell r="D892">
            <v>2.7132000000000003E-2</v>
          </cell>
        </row>
        <row r="893">
          <cell r="A893" t="str">
            <v>P10D20</v>
          </cell>
          <cell r="B893">
            <v>11800</v>
          </cell>
          <cell r="C893">
            <v>1800</v>
          </cell>
          <cell r="D893">
            <v>3.6431999999999999E-2</v>
          </cell>
        </row>
        <row r="894">
          <cell r="A894" t="str">
            <v>P170</v>
          </cell>
          <cell r="B894">
            <v>15400</v>
          </cell>
          <cell r="C894">
            <v>6300</v>
          </cell>
          <cell r="D894">
            <v>4.0847999999999995E-2</v>
          </cell>
        </row>
        <row r="895">
          <cell r="A895" t="str">
            <v>P1D</v>
          </cell>
          <cell r="B895">
            <v>12200</v>
          </cell>
          <cell r="C895">
            <v>3110.3999999999996</v>
          </cell>
          <cell r="D895">
            <v>3.7562400000000003E-2</v>
          </cell>
        </row>
        <row r="896">
          <cell r="A896" t="str">
            <v>P2D</v>
          </cell>
          <cell r="B896">
            <v>20800</v>
          </cell>
          <cell r="C896">
            <v>2835</v>
          </cell>
          <cell r="D896">
            <v>5.2339199999999989E-2</v>
          </cell>
        </row>
        <row r="897">
          <cell r="A897" t="str">
            <v>P2DB</v>
          </cell>
          <cell r="B897">
            <v>20800</v>
          </cell>
          <cell r="C897">
            <v>2835</v>
          </cell>
          <cell r="D897">
            <v>5.2339199999999989E-2</v>
          </cell>
        </row>
        <row r="898">
          <cell r="A898" t="str">
            <v>P30D</v>
          </cell>
          <cell r="B898">
            <v>16000</v>
          </cell>
          <cell r="C898">
            <v>6480</v>
          </cell>
          <cell r="D898">
            <v>3.6079999999999994E-2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2.97913E-2</v>
          </cell>
        </row>
        <row r="906">
          <cell r="A906" t="str">
            <v>P50D</v>
          </cell>
          <cell r="B906">
            <v>13500</v>
          </cell>
          <cell r="C906">
            <v>6000</v>
          </cell>
          <cell r="D906">
            <v>2.9070000000000006E-2</v>
          </cell>
        </row>
        <row r="907">
          <cell r="A907" t="str">
            <v>P5A13</v>
          </cell>
          <cell r="B907">
            <v>15500</v>
          </cell>
          <cell r="C907">
            <v>490.00000000000006</v>
          </cell>
          <cell r="D907">
            <v>2.6400000000000003E-2</v>
          </cell>
        </row>
        <row r="908">
          <cell r="A908" t="str">
            <v>P5D13</v>
          </cell>
          <cell r="B908">
            <v>15500</v>
          </cell>
          <cell r="C908">
            <v>490.00000000000006</v>
          </cell>
          <cell r="D908">
            <v>2.6400000000000003E-2</v>
          </cell>
        </row>
        <row r="909">
          <cell r="A909" t="str">
            <v>P5D13(W)</v>
          </cell>
          <cell r="B909">
            <v>15500</v>
          </cell>
          <cell r="C909">
            <v>490.00000000000006</v>
          </cell>
          <cell r="D909">
            <v>2.6400000000000003E-2</v>
          </cell>
        </row>
        <row r="910">
          <cell r="A910" t="str">
            <v>P5DU</v>
          </cell>
          <cell r="B910">
            <v>11000</v>
          </cell>
          <cell r="C910">
            <v>2400</v>
          </cell>
          <cell r="D910">
            <v>3.3480000000000003E-2</v>
          </cell>
        </row>
        <row r="911">
          <cell r="A911" t="str">
            <v>P5DU13</v>
          </cell>
          <cell r="B911">
            <v>15500</v>
          </cell>
          <cell r="C911">
            <v>490.00000000000006</v>
          </cell>
          <cell r="D911">
            <v>2.6400000000000003E-2</v>
          </cell>
        </row>
        <row r="912">
          <cell r="A912" t="str">
            <v>P5DU13(M)</v>
          </cell>
          <cell r="B912">
            <v>17200</v>
          </cell>
          <cell r="C912">
            <v>490.00000000000006</v>
          </cell>
          <cell r="D912">
            <v>2.6400000000000003E-2</v>
          </cell>
        </row>
        <row r="913">
          <cell r="A913" t="str">
            <v>P60V</v>
          </cell>
          <cell r="B913">
            <v>11500</v>
          </cell>
          <cell r="C913">
            <v>4400</v>
          </cell>
          <cell r="D913">
            <v>4.2139999999999997E-2</v>
          </cell>
        </row>
        <row r="914">
          <cell r="A914" t="str">
            <v>P6A11 E</v>
          </cell>
          <cell r="B914">
            <v>100</v>
          </cell>
          <cell r="D914">
            <v>1.6631999999999999E-5</v>
          </cell>
        </row>
        <row r="915">
          <cell r="A915" t="str">
            <v>P6A13(G)F3</v>
          </cell>
          <cell r="B915">
            <v>25000</v>
          </cell>
          <cell r="C915">
            <v>1200</v>
          </cell>
          <cell r="D915">
            <v>3.8375999999999993E-2</v>
          </cell>
        </row>
        <row r="916">
          <cell r="A916" t="str">
            <v>P6A13(G)F3-1</v>
          </cell>
          <cell r="B916">
            <v>25000</v>
          </cell>
          <cell r="C916">
            <v>1200</v>
          </cell>
          <cell r="D916">
            <v>3.8375999999999993E-2</v>
          </cell>
        </row>
        <row r="917">
          <cell r="A917" t="str">
            <v>P6A13(R)F3</v>
          </cell>
          <cell r="B917">
            <v>25000</v>
          </cell>
          <cell r="C917">
            <v>1200</v>
          </cell>
          <cell r="D917">
            <v>3.8375999999999993E-2</v>
          </cell>
        </row>
        <row r="918">
          <cell r="A918" t="str">
            <v>P6A13(R)F3-1</v>
          </cell>
          <cell r="B918">
            <v>25000</v>
          </cell>
          <cell r="C918">
            <v>1200</v>
          </cell>
          <cell r="D918">
            <v>3.8375999999999993E-2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3.4680000000000002E-2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row>
        <row r="927">
          <cell r="A927" t="str">
            <v>PB120D</v>
          </cell>
          <cell r="B927">
            <v>30000</v>
          </cell>
          <cell r="C927">
            <v>2000</v>
          </cell>
          <cell r="D927">
            <v>4.4562500000000005E-2</v>
          </cell>
        </row>
        <row r="928">
          <cell r="A928" t="str">
            <v>PB120D E</v>
          </cell>
          <cell r="B928">
            <v>560</v>
          </cell>
          <cell r="D928">
            <v>8.9125000000000012E-4</v>
          </cell>
        </row>
        <row r="929">
          <cell r="A929" t="str">
            <v>PBF2D</v>
          </cell>
          <cell r="B929">
            <v>10000</v>
          </cell>
          <cell r="C929">
            <v>600</v>
          </cell>
          <cell r="D929">
            <v>3.0268E-2</v>
          </cell>
        </row>
        <row r="930">
          <cell r="A930" t="str">
            <v>PK1</v>
          </cell>
        </row>
        <row r="931">
          <cell r="A931" t="str">
            <v>PK2</v>
          </cell>
        </row>
        <row r="932">
          <cell r="A932" t="str">
            <v>PL1CZE</v>
          </cell>
          <cell r="B932">
            <v>3</v>
          </cell>
        </row>
        <row r="933">
          <cell r="A933" t="str">
            <v>PL1DU</v>
          </cell>
          <cell r="B933">
            <v>3</v>
          </cell>
        </row>
        <row r="934">
          <cell r="A934" t="str">
            <v>PL1SVK</v>
          </cell>
          <cell r="B934">
            <v>3</v>
          </cell>
        </row>
        <row r="935">
          <cell r="A935" t="str">
            <v>PL2CZE</v>
          </cell>
          <cell r="B935">
            <v>3</v>
          </cell>
        </row>
        <row r="936">
          <cell r="A936" t="str">
            <v>PL2SVK</v>
          </cell>
          <cell r="B936">
            <v>3</v>
          </cell>
        </row>
        <row r="937">
          <cell r="A937" t="str">
            <v>PLZ420</v>
          </cell>
          <cell r="B937">
            <v>9900</v>
          </cell>
          <cell r="C937">
            <v>840</v>
          </cell>
          <cell r="D937">
            <v>4.8000000000000001E-2</v>
          </cell>
        </row>
        <row r="938">
          <cell r="A938" t="str">
            <v>PPMD1</v>
          </cell>
          <cell r="B938">
            <v>34</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4.9104000000000002E-2</v>
          </cell>
        </row>
        <row r="945">
          <cell r="A945" t="str">
            <v>R12T1</v>
          </cell>
          <cell r="B945">
            <v>11000</v>
          </cell>
          <cell r="C945">
            <v>1728</v>
          </cell>
          <cell r="D945">
            <v>4.1737500000000004E-2</v>
          </cell>
        </row>
        <row r="946">
          <cell r="A946" t="str">
            <v>R12T3</v>
          </cell>
          <cell r="B946">
            <v>10000</v>
          </cell>
          <cell r="C946">
            <v>2592</v>
          </cell>
          <cell r="D946">
            <v>7.6949999999999991E-2</v>
          </cell>
        </row>
        <row r="947">
          <cell r="A947" t="str">
            <v>R170B</v>
          </cell>
          <cell r="B947">
            <v>18000</v>
          </cell>
          <cell r="C947">
            <v>4680</v>
          </cell>
          <cell r="D947">
            <v>0.15295800000000001</v>
          </cell>
        </row>
        <row r="948">
          <cell r="A948" t="str">
            <v>R170B E</v>
          </cell>
          <cell r="B948">
            <v>1000</v>
          </cell>
          <cell r="D948" t="str">
            <v/>
          </cell>
        </row>
        <row r="949">
          <cell r="A949" t="str">
            <v>R170M</v>
          </cell>
          <cell r="B949">
            <v>10700</v>
          </cell>
          <cell r="C949">
            <v>1920</v>
          </cell>
          <cell r="D949">
            <v>8.4084000000000006E-2</v>
          </cell>
        </row>
        <row r="950">
          <cell r="A950" t="str">
            <v>R170X</v>
          </cell>
          <cell r="B950">
            <v>13000</v>
          </cell>
          <cell r="C950">
            <v>3510</v>
          </cell>
          <cell r="D950">
            <v>0.11372400000000001</v>
          </cell>
        </row>
        <row r="951">
          <cell r="A951" t="str">
            <v>R4420B</v>
          </cell>
          <cell r="B951">
            <v>9664</v>
          </cell>
          <cell r="C951">
            <v>1728</v>
          </cell>
          <cell r="D951">
            <v>2.1160000000000005E-2</v>
          </cell>
        </row>
        <row r="952">
          <cell r="A952" t="str">
            <v>R5410B</v>
          </cell>
          <cell r="B952">
            <v>13600</v>
          </cell>
          <cell r="C952">
            <v>1280</v>
          </cell>
          <cell r="D952">
            <v>3.4720000000000001E-2</v>
          </cell>
        </row>
        <row r="953">
          <cell r="A953" t="str">
            <v>R5420K</v>
          </cell>
          <cell r="B953">
            <v>17000</v>
          </cell>
          <cell r="C953">
            <v>2880</v>
          </cell>
          <cell r="D953">
            <v>3.9200000000000006E-2</v>
          </cell>
        </row>
        <row r="954">
          <cell r="A954" t="str">
            <v>R5808D</v>
          </cell>
          <cell r="B954">
            <v>23532</v>
          </cell>
          <cell r="C954">
            <v>3302.3999999999996</v>
          </cell>
          <cell r="D954">
            <v>4.8960000000000004E-2</v>
          </cell>
        </row>
        <row r="955">
          <cell r="A955" t="str">
            <v>R6008E</v>
          </cell>
          <cell r="B955">
            <v>12016</v>
          </cell>
          <cell r="C955">
            <v>1152</v>
          </cell>
          <cell r="D955">
            <v>2.5325300000000002E-2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3.9215000000000007E-2</v>
          </cell>
        </row>
        <row r="959">
          <cell r="A959" t="str">
            <v>R6508S</v>
          </cell>
          <cell r="B959">
            <v>21000</v>
          </cell>
          <cell r="C959">
            <v>4608</v>
          </cell>
          <cell r="D959">
            <v>5.2359999999999997E-2</v>
          </cell>
        </row>
        <row r="960">
          <cell r="A960" t="str">
            <v>R6520BK/2</v>
          </cell>
          <cell r="B960">
            <v>15800</v>
          </cell>
          <cell r="C960">
            <v>2400</v>
          </cell>
          <cell r="D960">
            <v>3.6432000000000006E-2</v>
          </cell>
        </row>
        <row r="961">
          <cell r="A961" t="str">
            <v>R7020K</v>
          </cell>
          <cell r="B961">
            <v>21930</v>
          </cell>
          <cell r="C961">
            <v>2880</v>
          </cell>
          <cell r="D961">
            <v>4.6512000000000005E-2</v>
          </cell>
        </row>
        <row r="962">
          <cell r="A962" t="str">
            <v>R7020M</v>
          </cell>
          <cell r="B962">
            <v>21450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2.1628750000000002E-2</v>
          </cell>
        </row>
        <row r="965">
          <cell r="A965" t="str">
            <v>R7508E</v>
          </cell>
          <cell r="B965">
            <v>25200</v>
          </cell>
          <cell r="C965">
            <v>2304</v>
          </cell>
          <cell r="D965">
            <v>6.0214000000000004E-2</v>
          </cell>
        </row>
        <row r="966">
          <cell r="A966" t="str">
            <v>R7508SIG</v>
          </cell>
          <cell r="B966">
            <v>26500</v>
          </cell>
          <cell r="C966">
            <v>4800</v>
          </cell>
          <cell r="D966">
            <v>6.0214000000000004E-2</v>
          </cell>
        </row>
        <row r="967">
          <cell r="A967" t="str">
            <v>R7538D</v>
          </cell>
          <cell r="B967">
            <v>14000</v>
          </cell>
          <cell r="C967">
            <v>4675</v>
          </cell>
          <cell r="D967">
            <v>3.8962000000000004E-2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3.8962000000000004E-2</v>
          </cell>
        </row>
        <row r="973">
          <cell r="A973" t="str">
            <v>R7538I</v>
          </cell>
          <cell r="B973">
            <v>16000</v>
          </cell>
          <cell r="C973">
            <v>3000</v>
          </cell>
          <cell r="D973">
            <v>3.3956999999999994E-2</v>
          </cell>
        </row>
        <row r="974">
          <cell r="A974" t="str">
            <v>R7538S</v>
          </cell>
          <cell r="B974">
            <v>15800</v>
          </cell>
          <cell r="C974">
            <v>3750</v>
          </cell>
          <cell r="D974">
            <v>3.3956999999999994E-2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5000</v>
          </cell>
          <cell r="D978">
            <v>1.7199000000000002E-2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5000</v>
          </cell>
          <cell r="D982">
            <v>1.7199000000000002E-2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5000</v>
          </cell>
          <cell r="D985">
            <v>1.7199000000000002E-2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1.7199000000000002E-2</v>
          </cell>
        </row>
        <row r="990">
          <cell r="A990" t="str">
            <v>RDG1O(1)</v>
          </cell>
          <cell r="B990">
            <v>8700</v>
          </cell>
          <cell r="C990">
            <v>5000</v>
          </cell>
          <cell r="D990">
            <v>1.7199000000000002E-2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1.7199000000000002E-2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1.7199000000000002E-2</v>
          </cell>
        </row>
        <row r="998">
          <cell r="A998" t="str">
            <v>RDG1ZL(1)</v>
          </cell>
          <cell r="B998">
            <v>8700</v>
          </cell>
          <cell r="C998">
            <v>5000</v>
          </cell>
          <cell r="D998">
            <v>1.7199000000000002E-2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3.1850000000000003E-2</v>
          </cell>
        </row>
        <row r="1002">
          <cell r="A1002" t="str">
            <v>RDG25C</v>
          </cell>
          <cell r="B1002">
            <v>16000</v>
          </cell>
          <cell r="C1002">
            <v>4500</v>
          </cell>
          <cell r="D1002">
            <v>3.1850000000000003E-2</v>
          </cell>
        </row>
        <row r="1003">
          <cell r="A1003" t="str">
            <v>RDG25CER</v>
          </cell>
          <cell r="B1003">
            <v>15000</v>
          </cell>
          <cell r="C1003">
            <v>4500</v>
          </cell>
          <cell r="D1003">
            <v>3.1850000000000003E-2</v>
          </cell>
        </row>
        <row r="1004">
          <cell r="A1004" t="str">
            <v>RDG25M</v>
          </cell>
          <cell r="B1004">
            <v>16000</v>
          </cell>
          <cell r="C1004">
            <v>4500</v>
          </cell>
          <cell r="D1004">
            <v>3.1850000000000003E-2</v>
          </cell>
        </row>
        <row r="1005">
          <cell r="A1005" t="str">
            <v>RDG25O</v>
          </cell>
          <cell r="B1005">
            <v>16500</v>
          </cell>
          <cell r="C1005">
            <v>4500</v>
          </cell>
          <cell r="D1005">
            <v>3.1850000000000003E-2</v>
          </cell>
        </row>
        <row r="1006">
          <cell r="A1006" t="str">
            <v>RDG25ZE</v>
          </cell>
          <cell r="B1006">
            <v>15000</v>
          </cell>
          <cell r="C1006">
            <v>4500</v>
          </cell>
          <cell r="D1006">
            <v>3.1850000000000003E-2</v>
          </cell>
        </row>
        <row r="1007">
          <cell r="A1007" t="str">
            <v>RDG25ZL</v>
          </cell>
          <cell r="B1007">
            <v>16000</v>
          </cell>
          <cell r="C1007">
            <v>4500</v>
          </cell>
          <cell r="D1007">
            <v>3.1850000000000003E-2</v>
          </cell>
        </row>
        <row r="1008">
          <cell r="A1008" t="str">
            <v>RDG2B</v>
          </cell>
          <cell r="B1008">
            <v>17000</v>
          </cell>
          <cell r="C1008">
            <v>12000</v>
          </cell>
          <cell r="D1008">
            <v>3.6358000000000008E-2</v>
          </cell>
        </row>
        <row r="1009">
          <cell r="A1009" t="str">
            <v>RDG2C</v>
          </cell>
          <cell r="B1009">
            <v>17000</v>
          </cell>
          <cell r="C1009">
            <v>12000</v>
          </cell>
          <cell r="D1009">
            <v>3.6358000000000008E-2</v>
          </cell>
        </row>
        <row r="1010">
          <cell r="A1010" t="str">
            <v>RDG2M</v>
          </cell>
          <cell r="B1010">
            <v>17000</v>
          </cell>
          <cell r="C1010">
            <v>12000</v>
          </cell>
          <cell r="D1010">
            <v>3.6358000000000008E-2</v>
          </cell>
        </row>
        <row r="1011">
          <cell r="A1011" t="str">
            <v>RDG60B</v>
          </cell>
          <cell r="B1011">
            <v>14500</v>
          </cell>
          <cell r="C1011">
            <v>3200</v>
          </cell>
          <cell r="D1011">
            <v>3.1122E-2</v>
          </cell>
        </row>
        <row r="1012">
          <cell r="A1012" t="str">
            <v>RDG60B(SH)</v>
          </cell>
          <cell r="B1012">
            <v>12000</v>
          </cell>
          <cell r="C1012">
            <v>2500</v>
          </cell>
          <cell r="D1012">
            <v>3.6141499999999993E-2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3.1122E-2</v>
          </cell>
        </row>
        <row r="1018">
          <cell r="A1018" t="str">
            <v>RDG60M(SH)</v>
          </cell>
          <cell r="B1018">
            <v>12000</v>
          </cell>
          <cell r="C1018">
            <v>2500</v>
          </cell>
          <cell r="D1018">
            <v>3.6141499999999993E-2</v>
          </cell>
        </row>
        <row r="1019">
          <cell r="A1019" t="str">
            <v>RDG60O</v>
          </cell>
          <cell r="B1019">
            <v>14500</v>
          </cell>
          <cell r="C1019">
            <v>3200</v>
          </cell>
          <cell r="D1019">
            <v>3.1122E-2</v>
          </cell>
        </row>
        <row r="1020">
          <cell r="A1020" t="str">
            <v>RDG60O(SH)</v>
          </cell>
          <cell r="B1020">
            <v>12000</v>
          </cell>
          <cell r="C1020">
            <v>2500</v>
          </cell>
          <cell r="D1020">
            <v>3.6141499999999993E-2</v>
          </cell>
        </row>
        <row r="1021">
          <cell r="A1021" t="str">
            <v>RDG60R(SH)</v>
          </cell>
          <cell r="B1021">
            <v>12000</v>
          </cell>
          <cell r="C1021">
            <v>2500</v>
          </cell>
          <cell r="D1021">
            <v>3.6141499999999993E-2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3.6141499999999993E-2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5.7330000000000013E-2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1.3596E-2</v>
          </cell>
        </row>
        <row r="1032">
          <cell r="A1032" t="str">
            <v>RP5DU14(1)</v>
          </cell>
          <cell r="B1032">
            <v>9000</v>
          </cell>
          <cell r="C1032">
            <v>2000</v>
          </cell>
          <cell r="D1032">
            <v>1.3596E-2</v>
          </cell>
        </row>
        <row r="1033">
          <cell r="A1033" t="str">
            <v>RS1</v>
          </cell>
          <cell r="B1033">
            <v>8920</v>
          </cell>
          <cell r="C1033">
            <v>1440</v>
          </cell>
          <cell r="D1033">
            <v>4.3709999999999999E-2</v>
          </cell>
        </row>
        <row r="1034">
          <cell r="A1034" t="str">
            <v>RS11H</v>
          </cell>
          <cell r="B1034">
            <v>17500</v>
          </cell>
          <cell r="C1034">
            <v>8280</v>
          </cell>
          <cell r="D1034">
            <v>0.10860500000000001</v>
          </cell>
        </row>
        <row r="1035">
          <cell r="A1035" t="str">
            <v>RS18S</v>
          </cell>
          <cell r="B1035">
            <v>22500</v>
          </cell>
          <cell r="C1035">
            <v>10500</v>
          </cell>
          <cell r="D1035">
            <v>0.138432</v>
          </cell>
        </row>
        <row r="1036">
          <cell r="A1036" t="str">
            <v>RS18T</v>
          </cell>
          <cell r="B1036">
            <v>22500</v>
          </cell>
          <cell r="C1036">
            <v>10500</v>
          </cell>
          <cell r="D1036">
            <v>0.138432</v>
          </cell>
        </row>
        <row r="1037">
          <cell r="A1037" t="str">
            <v>RS21Z</v>
          </cell>
          <cell r="B1037">
            <v>10500</v>
          </cell>
          <cell r="C1037">
            <v>3340</v>
          </cell>
          <cell r="D1037">
            <v>7.6960000000000015E-2</v>
          </cell>
        </row>
        <row r="1038">
          <cell r="A1038" t="str">
            <v>RS21Z14</v>
          </cell>
          <cell r="B1038">
            <v>10500</v>
          </cell>
          <cell r="C1038">
            <v>2100</v>
          </cell>
          <cell r="D1038">
            <v>7.6960000000000015E-2</v>
          </cell>
        </row>
        <row r="1039">
          <cell r="A1039" t="str">
            <v>RS33R</v>
          </cell>
          <cell r="B1039">
            <v>25300</v>
          </cell>
          <cell r="C1039">
            <v>11796</v>
          </cell>
          <cell r="D1039">
            <v>0.13908399999999999</v>
          </cell>
        </row>
        <row r="1040">
          <cell r="A1040" t="str">
            <v>RS33R E</v>
          </cell>
          <cell r="B1040">
            <v>2000</v>
          </cell>
          <cell r="D1040">
            <v>7.0244444444444445E-4</v>
          </cell>
        </row>
        <row r="1041">
          <cell r="A1041" t="str">
            <v>RS33R14</v>
          </cell>
          <cell r="B1041">
            <v>24500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5.4567000000000004E-2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2.4502500000000007E-2</v>
          </cell>
        </row>
        <row r="1048">
          <cell r="A1048" t="str">
            <v>RS6P E</v>
          </cell>
          <cell r="B1048">
            <v>100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0.116145</v>
          </cell>
        </row>
        <row r="1052">
          <cell r="A1052" t="str">
            <v>RS9BP14</v>
          </cell>
          <cell r="B1052">
            <v>16900</v>
          </cell>
          <cell r="C1052">
            <v>3600</v>
          </cell>
          <cell r="D1052">
            <v>0.10764000000000001</v>
          </cell>
        </row>
        <row r="1053">
          <cell r="A1053" t="str">
            <v>RS9P14</v>
          </cell>
          <cell r="B1053">
            <v>17500</v>
          </cell>
          <cell r="C1053">
            <v>3600</v>
          </cell>
          <cell r="D1053">
            <v>0.10764000000000001</v>
          </cell>
        </row>
        <row r="1054">
          <cell r="A1054" t="str">
            <v>RS9T14</v>
          </cell>
          <cell r="B1054">
            <v>17840</v>
          </cell>
          <cell r="C1054">
            <v>3600</v>
          </cell>
          <cell r="D1054">
            <v>0.10764000000000001</v>
          </cell>
        </row>
        <row r="1055">
          <cell r="A1055" t="str">
            <v>RSD6</v>
          </cell>
          <cell r="B1055">
            <v>5300</v>
          </cell>
          <cell r="C1055">
            <v>960</v>
          </cell>
          <cell r="D1055">
            <v>3.5776000000000002E-2</v>
          </cell>
        </row>
        <row r="1056">
          <cell r="A1056" t="str">
            <v>RSS100</v>
          </cell>
          <cell r="B1056">
            <v>13400</v>
          </cell>
          <cell r="C1056">
            <v>4000</v>
          </cell>
          <cell r="D1056">
            <v>9.2070000000000013E-2</v>
          </cell>
        </row>
        <row r="1057">
          <cell r="A1057" t="str">
            <v>RSSF2</v>
          </cell>
          <cell r="B1057">
            <v>9000</v>
          </cell>
          <cell r="C1057">
            <v>2600</v>
          </cell>
          <cell r="D1057">
            <v>7.3079999999999992E-2</v>
          </cell>
        </row>
        <row r="1058">
          <cell r="A1058" t="str">
            <v>RSSF2 E</v>
          </cell>
          <cell r="D1058">
            <v>1.8269999999999998E-3</v>
          </cell>
        </row>
        <row r="1059">
          <cell r="A1059" t="str">
            <v>RSSF3</v>
          </cell>
          <cell r="B1059">
            <v>11000</v>
          </cell>
          <cell r="C1059">
            <v>3120</v>
          </cell>
          <cell r="D1059">
            <v>8.4084000000000006E-2</v>
          </cell>
        </row>
        <row r="1060">
          <cell r="A1060" t="str">
            <v>RT1CZE</v>
          </cell>
          <cell r="B1060">
            <v>8200</v>
          </cell>
        </row>
        <row r="1061">
          <cell r="A1061" t="str">
            <v>RT1DU</v>
          </cell>
          <cell r="B1061">
            <v>8200</v>
          </cell>
        </row>
        <row r="1062">
          <cell r="A1062" t="str">
            <v>RT1SK</v>
          </cell>
          <cell r="B1062">
            <v>8200</v>
          </cell>
        </row>
        <row r="1063">
          <cell r="A1063" t="str">
            <v>RUD1</v>
          </cell>
          <cell r="B1063">
            <v>3100</v>
          </cell>
        </row>
        <row r="1064">
          <cell r="A1064" t="str">
            <v>RUN1</v>
          </cell>
          <cell r="B1064">
            <v>3100</v>
          </cell>
        </row>
        <row r="1065">
          <cell r="A1065" t="str">
            <v>RUSIG1</v>
          </cell>
          <cell r="B1065">
            <v>3100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4.0500000000000008E-2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5.0625000000000003E-2</v>
          </cell>
        </row>
        <row r="1074">
          <cell r="A1074" t="str">
            <v>S3IA/P</v>
          </cell>
          <cell r="B1074">
            <v>15100</v>
          </cell>
          <cell r="C1074">
            <v>10800</v>
          </cell>
          <cell r="D1074">
            <v>5.0625000000000003E-2</v>
          </cell>
        </row>
        <row r="1075">
          <cell r="A1075" t="str">
            <v>S3J/P</v>
          </cell>
          <cell r="B1075">
            <v>15000</v>
          </cell>
          <cell r="C1075">
            <v>10800</v>
          </cell>
          <cell r="D1075">
            <v>5.0625000000000003E-2</v>
          </cell>
        </row>
        <row r="1076">
          <cell r="A1076" t="str">
            <v>S3M/P</v>
          </cell>
          <cell r="B1076">
            <v>15600</v>
          </cell>
          <cell r="C1076">
            <v>10800</v>
          </cell>
          <cell r="D1076">
            <v>5.0625000000000003E-2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5.0625000000000003E-2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5.0592000000000005E-2</v>
          </cell>
        </row>
        <row r="1083">
          <cell r="A1083" t="str">
            <v>S4F/P</v>
          </cell>
          <cell r="B1083">
            <v>15500</v>
          </cell>
          <cell r="C1083">
            <v>10800</v>
          </cell>
          <cell r="D1083">
            <v>5.0592000000000005E-2</v>
          </cell>
        </row>
        <row r="1084">
          <cell r="A1084" t="str">
            <v>S4J/P</v>
          </cell>
          <cell r="B1084">
            <v>16500</v>
          </cell>
          <cell r="C1084">
            <v>10800</v>
          </cell>
          <cell r="D1084">
            <v>5.0592000000000005E-2</v>
          </cell>
        </row>
        <row r="1085">
          <cell r="A1085" t="str">
            <v>S4K/P</v>
          </cell>
          <cell r="B1085">
            <v>17600</v>
          </cell>
          <cell r="C1085">
            <v>10800</v>
          </cell>
          <cell r="D1085">
            <v>5.0592000000000005E-2</v>
          </cell>
        </row>
        <row r="1086">
          <cell r="A1086" t="str">
            <v>S4L/P</v>
          </cell>
          <cell r="B1086">
            <v>17300</v>
          </cell>
          <cell r="C1086">
            <v>10800</v>
          </cell>
          <cell r="D1086">
            <v>5.0592000000000005E-2</v>
          </cell>
        </row>
        <row r="1087">
          <cell r="A1087" t="str">
            <v>S4M/P</v>
          </cell>
          <cell r="B1087">
            <v>17500</v>
          </cell>
          <cell r="C1087">
            <v>10800</v>
          </cell>
          <cell r="D1087">
            <v>5.0592000000000005E-2</v>
          </cell>
        </row>
        <row r="1088">
          <cell r="A1088" t="str">
            <v>S4NA/P</v>
          </cell>
          <cell r="B1088">
            <v>15200</v>
          </cell>
          <cell r="C1088">
            <v>10800</v>
          </cell>
          <cell r="D1088">
            <v>5.0592000000000005E-2</v>
          </cell>
        </row>
        <row r="1089">
          <cell r="A1089" t="str">
            <v>S4O/P</v>
          </cell>
          <cell r="B1089">
            <v>16500</v>
          </cell>
          <cell r="C1089">
            <v>10800</v>
          </cell>
          <cell r="D1089">
            <v>5.0592000000000005E-2</v>
          </cell>
        </row>
        <row r="1090">
          <cell r="A1090" t="str">
            <v>S4P/P</v>
          </cell>
          <cell r="B1090">
            <v>16700</v>
          </cell>
          <cell r="C1090">
            <v>10800</v>
          </cell>
          <cell r="D1090">
            <v>5.0592000000000005E-2</v>
          </cell>
        </row>
        <row r="1091">
          <cell r="A1091" t="str">
            <v>S4Q/P</v>
          </cell>
          <cell r="B1091">
            <v>15000</v>
          </cell>
          <cell r="C1091">
            <v>10800</v>
          </cell>
          <cell r="D1091">
            <v>5.0592000000000005E-2</v>
          </cell>
        </row>
        <row r="1092">
          <cell r="A1092" t="str">
            <v>S4S/P</v>
          </cell>
          <cell r="B1092">
            <v>18400</v>
          </cell>
          <cell r="C1092">
            <v>10800</v>
          </cell>
          <cell r="D1092">
            <v>5.0592000000000005E-2</v>
          </cell>
        </row>
        <row r="1093">
          <cell r="A1093" t="str">
            <v>S4T</v>
          </cell>
          <cell r="B1093">
            <v>13600</v>
          </cell>
          <cell r="C1093">
            <v>10800</v>
          </cell>
          <cell r="D1093">
            <v>5.0592000000000005E-2</v>
          </cell>
        </row>
        <row r="1094">
          <cell r="A1094" t="str">
            <v>S4U/P</v>
          </cell>
          <cell r="B1094">
            <v>16500</v>
          </cell>
          <cell r="C1094">
            <v>10800</v>
          </cell>
          <cell r="D1094">
            <v>5.0592000000000005E-2</v>
          </cell>
        </row>
        <row r="1095">
          <cell r="A1095" t="str">
            <v>S4W/P</v>
          </cell>
          <cell r="B1095">
            <v>16500</v>
          </cell>
          <cell r="C1095">
            <v>10800</v>
          </cell>
          <cell r="D1095">
            <v>5.0592000000000005E-2</v>
          </cell>
        </row>
        <row r="1096">
          <cell r="A1096" t="str">
            <v>S4Z11/P</v>
          </cell>
          <cell r="B1096">
            <v>16600</v>
          </cell>
          <cell r="C1096">
            <v>10800</v>
          </cell>
          <cell r="D1096">
            <v>5.0592000000000005E-2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5.0592000000000005E-2</v>
          </cell>
        </row>
        <row r="1101">
          <cell r="A1101" t="str">
            <v>S4Z6/P</v>
          </cell>
          <cell r="B1101">
            <v>15000</v>
          </cell>
          <cell r="C1101">
            <v>10800</v>
          </cell>
          <cell r="D1101">
            <v>5.0592000000000005E-2</v>
          </cell>
        </row>
        <row r="1102">
          <cell r="A1102" t="str">
            <v>S4Z7/P</v>
          </cell>
          <cell r="B1102">
            <v>17300</v>
          </cell>
          <cell r="C1102">
            <v>10800</v>
          </cell>
          <cell r="D1102">
            <v>5.0592000000000005E-2</v>
          </cell>
        </row>
        <row r="1103">
          <cell r="A1103" t="str">
            <v>S4Z8/P</v>
          </cell>
          <cell r="B1103">
            <v>17000</v>
          </cell>
          <cell r="C1103">
            <v>10800</v>
          </cell>
          <cell r="D1103">
            <v>5.0592000000000005E-2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4.6575000000000005E-2</v>
          </cell>
        </row>
        <row r="1113">
          <cell r="A1113" t="str">
            <v>S6G/P(9)</v>
          </cell>
          <cell r="B1113">
            <v>12000</v>
          </cell>
          <cell r="C1113">
            <v>9000</v>
          </cell>
          <cell r="D1113">
            <v>4.6575000000000005E-2</v>
          </cell>
        </row>
        <row r="1114">
          <cell r="A1114" t="str">
            <v>S6I/P(9)</v>
          </cell>
          <cell r="B1114">
            <v>12000</v>
          </cell>
          <cell r="C1114">
            <v>9000</v>
          </cell>
          <cell r="D1114">
            <v>4.6575000000000005E-2</v>
          </cell>
        </row>
        <row r="1115">
          <cell r="A1115" t="str">
            <v>S6M</v>
          </cell>
          <cell r="B1115">
            <v>13700</v>
          </cell>
          <cell r="C1115">
            <v>9000</v>
          </cell>
          <cell r="D1115">
            <v>4.6575000000000005E-2</v>
          </cell>
        </row>
        <row r="1116">
          <cell r="A1116" t="str">
            <v>S6R/P(9)</v>
          </cell>
          <cell r="B1116">
            <v>12000</v>
          </cell>
          <cell r="C1116">
            <v>9000</v>
          </cell>
          <cell r="D1116">
            <v>4.6575000000000005E-2</v>
          </cell>
        </row>
        <row r="1117">
          <cell r="A1117" t="str">
            <v>S6Z3/P(9)</v>
          </cell>
          <cell r="B1117">
            <v>12000</v>
          </cell>
          <cell r="C1117">
            <v>9000</v>
          </cell>
          <cell r="D1117">
            <v>4.6575000000000005E-2</v>
          </cell>
        </row>
        <row r="1118">
          <cell r="A1118" t="str">
            <v>S90S</v>
          </cell>
          <cell r="B1118">
            <v>8740</v>
          </cell>
          <cell r="C1118">
            <v>5400</v>
          </cell>
          <cell r="D1118">
            <v>1.1664000000000001E-2</v>
          </cell>
        </row>
        <row r="1119">
          <cell r="A1119" t="str">
            <v>SAMD02</v>
          </cell>
          <cell r="B1119">
            <v>11500</v>
          </cell>
          <cell r="D1119">
            <v>1.6421999999999999E-2</v>
          </cell>
        </row>
        <row r="1120">
          <cell r="A1120" t="str">
            <v>SD2</v>
          </cell>
          <cell r="B1120">
            <v>150</v>
          </cell>
        </row>
        <row r="1121">
          <cell r="A1121" t="str">
            <v>SP3C</v>
          </cell>
          <cell r="B1121">
            <v>20000</v>
          </cell>
          <cell r="C1121">
            <v>8280</v>
          </cell>
          <cell r="D1121">
            <v>0.11070000000000001</v>
          </cell>
        </row>
        <row r="1122">
          <cell r="A1122" t="str">
            <v>SPRS1E</v>
          </cell>
          <cell r="B1122">
            <v>15000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7.1049999999999988E-2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5.9518750000000002E-2</v>
          </cell>
        </row>
        <row r="1141">
          <cell r="A1141" t="str">
            <v>SS25SC</v>
          </cell>
          <cell r="B1141">
            <v>11500</v>
          </cell>
          <cell r="C1141">
            <v>1584</v>
          </cell>
          <cell r="D1141">
            <v>4.3512000000000002E-2</v>
          </cell>
        </row>
        <row r="1142">
          <cell r="A1142" t="str">
            <v>SS30A</v>
          </cell>
          <cell r="B1142">
            <v>17550</v>
          </cell>
          <cell r="C1142">
            <v>2400</v>
          </cell>
          <cell r="D1142">
            <v>6.029099999999999E-2</v>
          </cell>
        </row>
        <row r="1143">
          <cell r="A1143" t="str">
            <v>SS30D</v>
          </cell>
          <cell r="B1143">
            <v>17000</v>
          </cell>
          <cell r="C1143">
            <v>1920</v>
          </cell>
          <cell r="D1143">
            <v>5.994E-2</v>
          </cell>
        </row>
        <row r="1144">
          <cell r="A1144" t="str">
            <v>SS30F</v>
          </cell>
          <cell r="B1144">
            <v>13000</v>
          </cell>
          <cell r="C1144">
            <v>2000</v>
          </cell>
          <cell r="D1144">
            <v>4.5099999999999994E-2</v>
          </cell>
        </row>
        <row r="1145">
          <cell r="A1145" t="str">
            <v>SS30G</v>
          </cell>
          <cell r="B1145">
            <v>13000</v>
          </cell>
          <cell r="C1145">
            <v>2000</v>
          </cell>
          <cell r="D1145">
            <v>4.5099999999999994E-2</v>
          </cell>
        </row>
        <row r="1146">
          <cell r="A1146" t="str">
            <v>SS30H</v>
          </cell>
          <cell r="B1146">
            <v>11900</v>
          </cell>
          <cell r="C1146">
            <v>2000</v>
          </cell>
          <cell r="D1146">
            <v>4.5099999999999994E-2</v>
          </cell>
        </row>
        <row r="1147">
          <cell r="A1147" t="str">
            <v>SS30CH</v>
          </cell>
          <cell r="B1147">
            <v>12000</v>
          </cell>
          <cell r="C1147">
            <v>2000</v>
          </cell>
          <cell r="D1147">
            <v>4.5099999999999994E-2</v>
          </cell>
        </row>
        <row r="1148">
          <cell r="A1148" t="str">
            <v>SS30NO</v>
          </cell>
          <cell r="B1148">
            <v>21300</v>
          </cell>
          <cell r="C1148">
            <v>2880</v>
          </cell>
          <cell r="D1148">
            <v>7.095375000000001E-2</v>
          </cell>
        </row>
        <row r="1149">
          <cell r="A1149" t="str">
            <v>SS30SIGF2</v>
          </cell>
          <cell r="B1149">
            <v>19000</v>
          </cell>
          <cell r="C1149">
            <v>2880</v>
          </cell>
          <cell r="D1149">
            <v>8.5680000000000006E-2</v>
          </cell>
        </row>
        <row r="1150">
          <cell r="A1150" t="str">
            <v>SS37K</v>
          </cell>
          <cell r="B1150">
            <v>19000</v>
          </cell>
          <cell r="C1150">
            <v>2520</v>
          </cell>
          <cell r="D1150">
            <v>7.8351000000000004E-2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5.6644000000000007E-2</v>
          </cell>
        </row>
        <row r="1154">
          <cell r="A1154" t="str">
            <v>SS50CH</v>
          </cell>
          <cell r="B1154">
            <v>12800</v>
          </cell>
          <cell r="C1154">
            <v>1600</v>
          </cell>
          <cell r="D1154">
            <v>5.6644000000000007E-2</v>
          </cell>
        </row>
        <row r="1155">
          <cell r="A1155" t="str">
            <v>SS50K</v>
          </cell>
          <cell r="B1155">
            <v>15000</v>
          </cell>
          <cell r="C1155">
            <v>1440</v>
          </cell>
          <cell r="D1155">
            <v>9.1656000000000015E-2</v>
          </cell>
        </row>
        <row r="1156">
          <cell r="A1156" t="str">
            <v>SS50K E</v>
          </cell>
          <cell r="B1156">
            <v>1507</v>
          </cell>
          <cell r="D1156">
            <v>1.0184000000000002E-2</v>
          </cell>
        </row>
        <row r="1157">
          <cell r="A1157" t="str">
            <v>SS50M</v>
          </cell>
          <cell r="B1157">
            <v>14000</v>
          </cell>
          <cell r="C1157">
            <v>1600</v>
          </cell>
          <cell r="D1157">
            <v>5.6644000000000007E-2</v>
          </cell>
        </row>
        <row r="1158">
          <cell r="A1158" t="str">
            <v>SU45B</v>
          </cell>
          <cell r="B1158">
            <v>6500</v>
          </cell>
          <cell r="C1158">
            <v>356</v>
          </cell>
          <cell r="D1158">
            <v>6.5831750000000008E-2</v>
          </cell>
        </row>
        <row r="1159">
          <cell r="A1159" t="str">
            <v>T1</v>
          </cell>
          <cell r="B1159">
            <v>5</v>
          </cell>
        </row>
        <row r="1160">
          <cell r="A1160" t="str">
            <v>T2</v>
          </cell>
          <cell r="B1160">
            <v>5</v>
          </cell>
        </row>
        <row r="1161">
          <cell r="A1161" t="str">
            <v>TD1L</v>
          </cell>
          <cell r="B1161">
            <v>180</v>
          </cell>
        </row>
        <row r="1162">
          <cell r="A1162" t="str">
            <v>TD1XL</v>
          </cell>
          <cell r="B1162">
            <v>204</v>
          </cell>
        </row>
        <row r="1163">
          <cell r="A1163" t="str">
            <v>TDLE1L</v>
          </cell>
          <cell r="B1163">
            <v>180</v>
          </cell>
        </row>
        <row r="1164">
          <cell r="A1164" t="str">
            <v>TDLE1M</v>
          </cell>
          <cell r="B1164">
            <v>165</v>
          </cell>
        </row>
        <row r="1165">
          <cell r="A1165" t="str">
            <v>TDLE1XL</v>
          </cell>
          <cell r="B1165">
            <v>204</v>
          </cell>
        </row>
        <row r="1166">
          <cell r="A1166" t="str">
            <v>TDLE1XXL</v>
          </cell>
          <cell r="B1166">
            <v>224</v>
          </cell>
        </row>
        <row r="1167">
          <cell r="A1167" t="str">
            <v>TIDB1L</v>
          </cell>
          <cell r="B1167">
            <v>225</v>
          </cell>
        </row>
        <row r="1168">
          <cell r="A1168" t="str">
            <v>TIDC1XXL</v>
          </cell>
          <cell r="B1168">
            <v>182</v>
          </cell>
        </row>
        <row r="1169">
          <cell r="A1169" t="str">
            <v>TPD1L</v>
          </cell>
          <cell r="B1169">
            <v>257</v>
          </cell>
        </row>
        <row r="1170">
          <cell r="A1170" t="str">
            <v>TPD1M</v>
          </cell>
          <cell r="B1170">
            <v>247</v>
          </cell>
        </row>
        <row r="1171">
          <cell r="A1171" t="str">
            <v>TPD1XL</v>
          </cell>
          <cell r="B1171">
            <v>283</v>
          </cell>
        </row>
        <row r="1172">
          <cell r="A1172" t="str">
            <v>TPDLE1L</v>
          </cell>
          <cell r="B1172">
            <v>257</v>
          </cell>
        </row>
        <row r="1173">
          <cell r="A1173" t="str">
            <v>TPDLE1M</v>
          </cell>
          <cell r="B1173">
            <v>247</v>
          </cell>
        </row>
        <row r="1174">
          <cell r="A1174" t="str">
            <v>TPDLE1XL</v>
          </cell>
          <cell r="B1174">
            <v>283</v>
          </cell>
        </row>
        <row r="1175">
          <cell r="A1175" t="str">
            <v>TPDLE1XXL</v>
          </cell>
          <cell r="B1175">
            <v>290</v>
          </cell>
        </row>
        <row r="1176">
          <cell r="A1176" t="str">
            <v>UZD2</v>
          </cell>
          <cell r="B1176">
            <v>20</v>
          </cell>
        </row>
        <row r="1177">
          <cell r="A1177" t="str">
            <v>VDLE1L</v>
          </cell>
          <cell r="B1177">
            <v>500</v>
          </cell>
        </row>
        <row r="1178">
          <cell r="A1178" t="str">
            <v>VDLE1M</v>
          </cell>
          <cell r="B1178">
            <v>500</v>
          </cell>
        </row>
        <row r="1179">
          <cell r="A1179" t="str">
            <v>VDLE1XL</v>
          </cell>
          <cell r="B1179">
            <v>500</v>
          </cell>
        </row>
        <row r="1180">
          <cell r="A1180" t="str">
            <v>VDLE1XXL</v>
          </cell>
          <cell r="B1180">
            <v>500</v>
          </cell>
        </row>
        <row r="1181">
          <cell r="A1181" t="str">
            <v>VP12MIX</v>
          </cell>
          <cell r="B1181">
            <v>2500</v>
          </cell>
          <cell r="C1181">
            <v>180</v>
          </cell>
          <cell r="D1181">
            <v>2.5688000000000002E-2</v>
          </cell>
        </row>
        <row r="1182">
          <cell r="A1182" t="str">
            <v>VP12T1</v>
          </cell>
          <cell r="B1182">
            <v>3000</v>
          </cell>
          <cell r="C1182">
            <v>225</v>
          </cell>
          <cell r="D1182">
            <v>2.6207999999999999E-2</v>
          </cell>
        </row>
        <row r="1183">
          <cell r="A1183" t="str">
            <v>VP12TH</v>
          </cell>
          <cell r="B1183">
            <v>3000</v>
          </cell>
          <cell r="C1183">
            <v>225</v>
          </cell>
          <cell r="D1183">
            <v>1.8218750000000002E-2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2.6460000000000004E-2</v>
          </cell>
        </row>
        <row r="1188">
          <cell r="A1188" t="str">
            <v>VP28E</v>
          </cell>
          <cell r="B1188">
            <v>11700</v>
          </cell>
          <cell r="C1188">
            <v>5760</v>
          </cell>
          <cell r="D1188">
            <v>2.1456749999999997E-2</v>
          </cell>
        </row>
        <row r="1189">
          <cell r="A1189" t="str">
            <v>VP28N</v>
          </cell>
          <cell r="B1189">
            <v>13100</v>
          </cell>
          <cell r="C1189">
            <v>4800</v>
          </cell>
          <cell r="D1189">
            <v>5.2000000000000005E-2</v>
          </cell>
        </row>
        <row r="1190">
          <cell r="A1190" t="str">
            <v>VP40</v>
          </cell>
          <cell r="B1190">
            <v>11500</v>
          </cell>
          <cell r="C1190">
            <v>4350</v>
          </cell>
          <cell r="D1190">
            <v>1.9460250000000002E-2</v>
          </cell>
        </row>
        <row r="1191">
          <cell r="A1191" t="str">
            <v>VP40/20</v>
          </cell>
          <cell r="B1191">
            <v>17000</v>
          </cell>
          <cell r="C1191">
            <v>8700</v>
          </cell>
          <cell r="D1191">
            <v>2.6553825000000003E-2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1.9460250000000002E-2</v>
          </cell>
        </row>
        <row r="1195">
          <cell r="A1195" t="str">
            <v>VP70</v>
          </cell>
          <cell r="B1195">
            <v>11500</v>
          </cell>
          <cell r="C1195">
            <v>2620.7999999999997</v>
          </cell>
          <cell r="D1195">
            <v>2.1245699999999999E-2</v>
          </cell>
        </row>
        <row r="1196">
          <cell r="A1196" t="str">
            <v>VP70E</v>
          </cell>
          <cell r="B1196">
            <v>19800</v>
          </cell>
          <cell r="C1196">
            <v>6336</v>
          </cell>
          <cell r="D1196">
            <v>2.0625000000000001E-2</v>
          </cell>
        </row>
        <row r="1197">
          <cell r="A1197" t="str">
            <v>VP70W</v>
          </cell>
          <cell r="B1197">
            <v>11500</v>
          </cell>
          <cell r="C1197">
            <v>2620.7999999999997</v>
          </cell>
          <cell r="D1197">
            <v>2.1245699999999999E-2</v>
          </cell>
        </row>
        <row r="1198">
          <cell r="A1198" t="str">
            <v>VP90</v>
          </cell>
          <cell r="B1198">
            <v>14000</v>
          </cell>
          <cell r="C1198">
            <v>2640</v>
          </cell>
          <cell r="D1198">
            <v>3.3425000000000003E-2</v>
          </cell>
        </row>
        <row r="1199">
          <cell r="A1199" t="str">
            <v>ZD1</v>
          </cell>
          <cell r="B1199">
            <v>900</v>
          </cell>
          <cell r="D1199">
            <v>1.6379999999999999E-3</v>
          </cell>
        </row>
        <row r="1200">
          <cell r="A1200" t="str">
            <v>ZS5M</v>
          </cell>
          <cell r="B1200">
            <v>7000</v>
          </cell>
          <cell r="C1200">
            <v>1250</v>
          </cell>
          <cell r="D1200">
            <v>2.0299999999999995E-2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A2" t="str">
            <v xml:space="preserve">Catalog </v>
          </cell>
          <cell r="B2" t="str">
            <v>Product name</v>
          </cell>
          <cell r="C2" t="str">
            <v xml:space="preserve">Packing </v>
          </cell>
          <cell r="D2" t="str">
            <v>QTY CTN</v>
          </cell>
        </row>
        <row r="3">
          <cell r="A3" t="str">
            <v>BD1L</v>
          </cell>
          <cell r="B3" t="str">
            <v>Dumbum bunda fleece L</v>
          </cell>
          <cell r="C3" t="str">
            <v>1/1</v>
          </cell>
          <cell r="D3" t="str">
            <v/>
          </cell>
        </row>
        <row r="4">
          <cell r="A4" t="str">
            <v>BD1XXL</v>
          </cell>
          <cell r="B4" t="str">
            <v>Dumbum bunda fleece XXL</v>
          </cell>
          <cell r="C4" t="str">
            <v>1/1</v>
          </cell>
          <cell r="D4" t="str">
            <v/>
          </cell>
        </row>
        <row r="5">
          <cell r="A5" t="str">
            <v>BDLE1L</v>
          </cell>
          <cell r="B5" t="str">
            <v>Dumbum bunda fleece L -limited edition</v>
          </cell>
          <cell r="C5" t="str">
            <v>1/1</v>
          </cell>
          <cell r="D5"/>
        </row>
        <row r="6">
          <cell r="A6" t="str">
            <v>BDLE1M</v>
          </cell>
          <cell r="B6" t="str">
            <v>Dumbum bunda fleece M -limited edition</v>
          </cell>
          <cell r="C6" t="str">
            <v>1/1</v>
          </cell>
          <cell r="D6"/>
        </row>
        <row r="7">
          <cell r="A7" t="str">
            <v>BDLE1XL</v>
          </cell>
          <cell r="B7" t="str">
            <v>Dumbum bunda fleece XL -limited edition</v>
          </cell>
          <cell r="C7" t="str">
            <v>1/1</v>
          </cell>
          <cell r="D7"/>
        </row>
        <row r="8">
          <cell r="A8" t="str">
            <v>BDLE1XXL</v>
          </cell>
          <cell r="B8" t="str">
            <v>Dumbum bunda fleece XXL -limited edition</v>
          </cell>
          <cell r="C8" t="str">
            <v>1/1</v>
          </cell>
          <cell r="D8"/>
        </row>
        <row r="9">
          <cell r="A9" t="str">
            <v>BK1P</v>
          </cell>
          <cell r="B9" t="str">
            <v>Pekelné bouchací kuličky</v>
          </cell>
          <cell r="C9" t="str">
            <v>6/50/50</v>
          </cell>
          <cell r="D9">
            <v>63</v>
          </cell>
        </row>
        <row r="10">
          <cell r="A10" t="str">
            <v>BK1P(1)</v>
          </cell>
          <cell r="B10" t="str">
            <v>Pekelné bouchací kuličky</v>
          </cell>
          <cell r="C10" t="str">
            <v>6/50/50</v>
          </cell>
          <cell r="D10">
            <v>63</v>
          </cell>
        </row>
        <row r="11">
          <cell r="A11" t="str">
            <v>BK2V</v>
          </cell>
          <cell r="B11" t="str">
            <v>Dumbum velké bouchací kuličky</v>
          </cell>
          <cell r="C11" t="str">
            <v>6/50/20</v>
          </cell>
          <cell r="D11">
            <v>36</v>
          </cell>
        </row>
        <row r="12">
          <cell r="A12" t="str">
            <v>BK2V(1)</v>
          </cell>
          <cell r="B12" t="str">
            <v>Dumbum velké bouchací kuličky</v>
          </cell>
          <cell r="C12" t="str">
            <v>6/50/20</v>
          </cell>
          <cell r="D12">
            <v>36</v>
          </cell>
        </row>
        <row r="13">
          <cell r="A13" t="str">
            <v>BP30S</v>
          </cell>
          <cell r="B13" t="str">
            <v>Childrens party torch with shining bracelet</v>
          </cell>
          <cell r="C13" t="str">
            <v>40/8</v>
          </cell>
          <cell r="D13">
            <v>75</v>
          </cell>
        </row>
        <row r="14">
          <cell r="A14" t="str">
            <v>BP60S</v>
          </cell>
          <cell r="B14" t="str">
            <v>Barevná pochodeň 60sec</v>
          </cell>
          <cell r="C14" t="str">
            <v>30/5</v>
          </cell>
          <cell r="D14">
            <v>66</v>
          </cell>
        </row>
        <row r="15">
          <cell r="A15" t="str">
            <v>C100008R</v>
          </cell>
          <cell r="B15" t="str">
            <v xml:space="preserve">Scream 1000   (Raketomet 1000ran)   </v>
          </cell>
          <cell r="C15" t="str">
            <v>3/1</v>
          </cell>
          <cell r="D15">
            <v>63</v>
          </cell>
        </row>
        <row r="16">
          <cell r="A16" t="str">
            <v>C10008R</v>
          </cell>
          <cell r="B16" t="str">
            <v xml:space="preserve">Scream 100   (Raketomet 100ran)   </v>
          </cell>
          <cell r="C16" t="str">
            <v>60/1</v>
          </cell>
          <cell r="D16" t="str">
            <v>21</v>
          </cell>
        </row>
        <row r="17">
          <cell r="A17" t="str">
            <v>C10014A</v>
          </cell>
          <cell r="B17" t="str">
            <v>American dream</v>
          </cell>
          <cell r="C17" t="str">
            <v>12/1</v>
          </cell>
          <cell r="D17">
            <v>32</v>
          </cell>
        </row>
        <row r="18">
          <cell r="A18" t="str">
            <v>C10014L14 E</v>
          </cell>
          <cell r="B18" t="str">
            <v>Loong dummy</v>
          </cell>
          <cell r="C18"/>
          <cell r="D18" t="str">
            <v/>
          </cell>
        </row>
        <row r="19">
          <cell r="A19" t="str">
            <v>C10020BP14</v>
          </cell>
          <cell r="B19" t="str">
            <v>Best price 100/20mm</v>
          </cell>
          <cell r="C19" t="str">
            <v>4/1</v>
          </cell>
          <cell r="D19">
            <v>24</v>
          </cell>
        </row>
        <row r="20">
          <cell r="A20" t="str">
            <v>C10020BPF14</v>
          </cell>
          <cell r="B20" t="str">
            <v>Best price-Frozen 100/20mm</v>
          </cell>
          <cell r="C20" t="str">
            <v>4/1</v>
          </cell>
          <cell r="D20">
            <v>24</v>
          </cell>
        </row>
        <row r="21">
          <cell r="A21" t="str">
            <v>C10020BPS14</v>
          </cell>
          <cell r="B21" t="str">
            <v>Best price Slow motion 100/20mm</v>
          </cell>
          <cell r="C21" t="str">
            <v>4/1</v>
          </cell>
          <cell r="D21">
            <v>24</v>
          </cell>
        </row>
        <row r="22">
          <cell r="A22" t="str">
            <v>C10020NID14</v>
          </cell>
          <cell r="B22" t="str">
            <v>New identity series 100/20mm</v>
          </cell>
          <cell r="C22" t="str">
            <v>4/1</v>
          </cell>
          <cell r="D22">
            <v>24</v>
          </cell>
        </row>
        <row r="23">
          <cell r="A23" t="str">
            <v>C10020NID14 E</v>
          </cell>
          <cell r="B23" t="str">
            <v>New identity series 100/20mm /dummie</v>
          </cell>
          <cell r="C23" t="str">
            <v>1/1</v>
          </cell>
          <cell r="D23"/>
        </row>
        <row r="24">
          <cell r="A24" t="str">
            <v>C10020XBP14</v>
          </cell>
          <cell r="B24" t="str">
            <v>Best price multi shape 100/20mm</v>
          </cell>
          <cell r="C24" t="str">
            <v>4/1</v>
          </cell>
          <cell r="D24">
            <v>22</v>
          </cell>
        </row>
        <row r="25">
          <cell r="A25" t="str">
            <v>C10020XBPW14</v>
          </cell>
          <cell r="B25" t="str">
            <v>Best price Wild fire multi 100/20mm</v>
          </cell>
          <cell r="C25" t="str">
            <v>4/1</v>
          </cell>
          <cell r="D25">
            <v>22</v>
          </cell>
        </row>
        <row r="26">
          <cell r="A26" t="str">
            <v>C10020XPR14</v>
          </cell>
          <cell r="B26" t="str">
            <v>Profi show multi shape 100/20mm</v>
          </cell>
          <cell r="C26" t="str">
            <v>4/1</v>
          </cell>
          <cell r="D26">
            <v>22</v>
          </cell>
        </row>
        <row r="27">
          <cell r="A27" t="str">
            <v>C10020XTS14</v>
          </cell>
          <cell r="B27" t="str">
            <v>Turbo 20mm shots 40</v>
          </cell>
          <cell r="C27" t="str">
            <v>4/1</v>
          </cell>
          <cell r="D27">
            <v>22</v>
          </cell>
        </row>
        <row r="28">
          <cell r="A28" t="str">
            <v>C10025B E</v>
          </cell>
          <cell r="B28" t="str">
            <v>Bluff dummy</v>
          </cell>
          <cell r="C28"/>
          <cell r="D28" t="str">
            <v/>
          </cell>
        </row>
        <row r="29">
          <cell r="A29" t="str">
            <v>C10025BP</v>
          </cell>
          <cell r="B29" t="str">
            <v>Best price 100/25mm</v>
          </cell>
          <cell r="C29" t="str">
            <v>2/1</v>
          </cell>
          <cell r="D29">
            <v>30</v>
          </cell>
        </row>
        <row r="30">
          <cell r="A30" t="str">
            <v>C10025BPS</v>
          </cell>
          <cell r="B30" t="str">
            <v>Best price Slow motion 100/25mm</v>
          </cell>
          <cell r="C30" t="str">
            <v>2/1</v>
          </cell>
          <cell r="D30">
            <v>30</v>
          </cell>
        </row>
        <row r="31">
          <cell r="A31" t="str">
            <v>C10025BPW/C14</v>
          </cell>
          <cell r="B31" t="str">
            <v>Best price Wild fire 100/25mm</v>
          </cell>
          <cell r="C31" t="str">
            <v>1/1</v>
          </cell>
          <cell r="D31">
            <v>54</v>
          </cell>
        </row>
        <row r="32">
          <cell r="A32" t="str">
            <v>C10025I</v>
          </cell>
          <cell r="B32" t="str">
            <v>Indian scream</v>
          </cell>
          <cell r="C32" t="str">
            <v>2/1</v>
          </cell>
          <cell r="D32">
            <v>30</v>
          </cell>
        </row>
        <row r="33">
          <cell r="A33" t="str">
            <v>C10025PR1</v>
          </cell>
          <cell r="B33" t="str">
            <v>Profi show no.1</v>
          </cell>
          <cell r="C33" t="str">
            <v>2/1</v>
          </cell>
          <cell r="D33">
            <v>32</v>
          </cell>
        </row>
        <row r="34">
          <cell r="A34" t="str">
            <v>C10025PR2</v>
          </cell>
          <cell r="B34" t="str">
            <v>Profi show no.2</v>
          </cell>
          <cell r="C34" t="str">
            <v>2/1</v>
          </cell>
          <cell r="D34">
            <v>32</v>
          </cell>
        </row>
        <row r="35">
          <cell r="A35" t="str">
            <v>C10025S E</v>
          </cell>
          <cell r="B35" t="str">
            <v>Starfire warrior dummy</v>
          </cell>
          <cell r="C35" t="str">
            <v>1/1</v>
          </cell>
          <cell r="D35" t="str">
            <v/>
          </cell>
        </row>
        <row r="36">
          <cell r="A36" t="str">
            <v>C10025X E</v>
          </cell>
          <cell r="B36" t="str">
            <v>Xman dummy</v>
          </cell>
          <cell r="C36"/>
          <cell r="D36" t="str">
            <v/>
          </cell>
        </row>
        <row r="37">
          <cell r="A37" t="str">
            <v>C10030XF/C14</v>
          </cell>
          <cell r="B37" t="str">
            <v>Fireworks show 100</v>
          </cell>
          <cell r="C37" t="str">
            <v>1/1</v>
          </cell>
          <cell r="D37">
            <v>24</v>
          </cell>
        </row>
        <row r="38">
          <cell r="A38" t="str">
            <v>C10030XF/C14(T)</v>
          </cell>
          <cell r="B38" t="str">
            <v>Fireworks show 100</v>
          </cell>
          <cell r="C38" t="str">
            <v>1/1</v>
          </cell>
          <cell r="D38">
            <v>24</v>
          </cell>
        </row>
        <row r="39">
          <cell r="A39" t="str">
            <v>C1003B/C14</v>
          </cell>
          <cell r="B39" t="str">
            <v>Big Brother F2</v>
          </cell>
          <cell r="C39" t="str">
            <v>1/1</v>
          </cell>
          <cell r="D39">
            <v>42</v>
          </cell>
        </row>
        <row r="40">
          <cell r="A40" t="str">
            <v>C1003B/C14(T)</v>
          </cell>
          <cell r="B40" t="str">
            <v>Big Brother F2</v>
          </cell>
          <cell r="C40" t="str">
            <v>1/1</v>
          </cell>
          <cell r="D40">
            <v>42</v>
          </cell>
        </row>
        <row r="41">
          <cell r="A41" t="str">
            <v>C1003BB/C</v>
          </cell>
          <cell r="B41" t="str">
            <v>Big Brother</v>
          </cell>
          <cell r="C41" t="str">
            <v>1/1</v>
          </cell>
          <cell r="D41">
            <v>42</v>
          </cell>
        </row>
        <row r="42">
          <cell r="A42" t="str">
            <v>C1003BB/C(T)</v>
          </cell>
          <cell r="B42" t="str">
            <v>Big Brother</v>
          </cell>
          <cell r="C42" t="str">
            <v>1/1</v>
          </cell>
          <cell r="D42">
            <v>36</v>
          </cell>
        </row>
        <row r="43">
          <cell r="A43" t="str">
            <v>C1003BP/C</v>
          </cell>
          <cell r="B43" t="str">
            <v>Best price 100/30mm</v>
          </cell>
          <cell r="C43" t="str">
            <v>1/1</v>
          </cell>
          <cell r="D43">
            <v>42</v>
          </cell>
        </row>
        <row r="44">
          <cell r="A44" t="str">
            <v>C1003BP/C(T)</v>
          </cell>
          <cell r="B44" t="str">
            <v>Best price 100/30mm</v>
          </cell>
          <cell r="C44" t="str">
            <v>1/1</v>
          </cell>
          <cell r="D44">
            <v>36</v>
          </cell>
        </row>
        <row r="45">
          <cell r="A45" t="str">
            <v>C1003BPF/C</v>
          </cell>
          <cell r="B45" t="str">
            <v>Best price-Frozen 100/30mm</v>
          </cell>
          <cell r="C45" t="str">
            <v>1/1</v>
          </cell>
          <cell r="D45">
            <v>42</v>
          </cell>
        </row>
        <row r="46">
          <cell r="A46" t="str">
            <v>C1003BPF/C(T)</v>
          </cell>
          <cell r="B46" t="str">
            <v>Best price-Frozen 100/30mm</v>
          </cell>
          <cell r="C46" t="str">
            <v>1/1</v>
          </cell>
          <cell r="D46">
            <v>36</v>
          </cell>
        </row>
        <row r="47">
          <cell r="A47" t="str">
            <v>C1003BPS/C</v>
          </cell>
          <cell r="B47" t="str">
            <v>Best price Slow motion 100/30mm</v>
          </cell>
          <cell r="C47" t="str">
            <v>1/1</v>
          </cell>
          <cell r="D47">
            <v>42</v>
          </cell>
        </row>
        <row r="48">
          <cell r="A48" t="str">
            <v>C1003F/C</v>
          </cell>
          <cell r="B48" t="str">
            <v>Fireworks show 100/30mm</v>
          </cell>
          <cell r="C48" t="str">
            <v>1/1</v>
          </cell>
          <cell r="D48">
            <v>42</v>
          </cell>
        </row>
        <row r="49">
          <cell r="A49" t="str">
            <v>C1003F/C14</v>
          </cell>
          <cell r="B49" t="str">
            <v>Fireworks show 100/F2</v>
          </cell>
          <cell r="C49" t="str">
            <v>1/1</v>
          </cell>
          <cell r="D49">
            <v>42</v>
          </cell>
        </row>
        <row r="50">
          <cell r="A50" t="str">
            <v>C1003SIG/C</v>
          </cell>
          <cell r="B50" t="str">
            <v>Signature range 100ran</v>
          </cell>
          <cell r="C50" t="str">
            <v>1/1</v>
          </cell>
          <cell r="D50">
            <v>42</v>
          </cell>
        </row>
        <row r="51">
          <cell r="A51" t="str">
            <v>C1003SIG/C(T)</v>
          </cell>
          <cell r="B51" t="str">
            <v>Signature range 100ran</v>
          </cell>
          <cell r="C51" t="str">
            <v>1/1</v>
          </cell>
          <cell r="D51">
            <v>36</v>
          </cell>
        </row>
        <row r="52">
          <cell r="A52" t="str">
            <v>C1003VS/C</v>
          </cell>
          <cell r="B52" t="str">
            <v>Vše nejlepší k narozeninám</v>
          </cell>
          <cell r="C52" t="str">
            <v>1/1</v>
          </cell>
          <cell r="D52">
            <v>42</v>
          </cell>
        </row>
        <row r="53">
          <cell r="A53" t="str">
            <v>C1003VS/C(T)</v>
          </cell>
          <cell r="B53" t="str">
            <v>Vše nejlepší k narozeninám</v>
          </cell>
          <cell r="C53" t="str">
            <v>1/1</v>
          </cell>
          <cell r="D53">
            <v>36</v>
          </cell>
        </row>
        <row r="54">
          <cell r="A54" t="str">
            <v>C1008CC</v>
          </cell>
          <cell r="B54" t="str">
            <v>Colorful and crackling comet 100</v>
          </cell>
          <cell r="C54" t="str">
            <v>24/1</v>
          </cell>
          <cell r="D54">
            <v>42</v>
          </cell>
        </row>
        <row r="55">
          <cell r="A55" t="str">
            <v>C100MN</v>
          </cell>
          <cell r="B55" t="str">
            <v>Night breaker</v>
          </cell>
          <cell r="C55" t="str">
            <v>2/1</v>
          </cell>
          <cell r="D55">
            <v>16</v>
          </cell>
        </row>
        <row r="56">
          <cell r="A56" t="str">
            <v>C100MPT</v>
          </cell>
          <cell r="B56" t="str">
            <v>Pyrotechnology 2020 100sh</v>
          </cell>
          <cell r="C56" t="str">
            <v>2/1</v>
          </cell>
          <cell r="D56">
            <v>16</v>
          </cell>
        </row>
        <row r="57">
          <cell r="A57" t="str">
            <v>C100MPT/C14</v>
          </cell>
          <cell r="B57" t="str">
            <v>Pyrotechnology 2020 100sh</v>
          </cell>
          <cell r="C57" t="str">
            <v>1/1</v>
          </cell>
          <cell r="D57">
            <v>60</v>
          </cell>
        </row>
        <row r="58">
          <cell r="A58" t="str">
            <v>C100MPT/C14(T)</v>
          </cell>
          <cell r="B58" t="str">
            <v>Pyrotechnology 2020 100sh</v>
          </cell>
          <cell r="C58" t="str">
            <v>1/1</v>
          </cell>
          <cell r="D58">
            <v>60</v>
          </cell>
        </row>
        <row r="59">
          <cell r="A59" t="str">
            <v>C100MTS/C14</v>
          </cell>
          <cell r="B59" t="str">
            <v>Turbo multi shots 55</v>
          </cell>
          <cell r="C59" t="str">
            <v>1/1</v>
          </cell>
          <cell r="D59">
            <v>60</v>
          </cell>
        </row>
        <row r="60">
          <cell r="A60" t="str">
            <v>C100MTS/C14(T)</v>
          </cell>
          <cell r="B60" t="str">
            <v>Turbo multi shots 55</v>
          </cell>
          <cell r="C60" t="str">
            <v>1/1</v>
          </cell>
          <cell r="D60">
            <v>60</v>
          </cell>
        </row>
        <row r="61">
          <cell r="A61" t="str">
            <v>C10545GI/C</v>
          </cell>
          <cell r="B61" t="str">
            <v>Gigant 105</v>
          </cell>
          <cell r="C61" t="str">
            <v>1/1</v>
          </cell>
          <cell r="D61">
            <v>15</v>
          </cell>
        </row>
        <row r="62">
          <cell r="A62" t="str">
            <v>C10545GI/C(T)</v>
          </cell>
          <cell r="B62" t="str">
            <v>Gigant 105</v>
          </cell>
          <cell r="C62" t="str">
            <v>1/1</v>
          </cell>
          <cell r="D62">
            <v>15</v>
          </cell>
        </row>
        <row r="63">
          <cell r="A63" t="str">
            <v>C106MB</v>
          </cell>
          <cell r="B63" t="str">
            <v>Bad boy</v>
          </cell>
          <cell r="C63" t="str">
            <v>2/1</v>
          </cell>
          <cell r="D63">
            <v>24</v>
          </cell>
        </row>
        <row r="64">
          <cell r="A64" t="str">
            <v>C106MB E</v>
          </cell>
          <cell r="B64" t="str">
            <v>Bad boy dummy</v>
          </cell>
          <cell r="C64" t="str">
            <v>1/1</v>
          </cell>
          <cell r="D64" t="str">
            <v/>
          </cell>
        </row>
        <row r="65">
          <cell r="A65" t="str">
            <v>C106MH</v>
          </cell>
          <cell r="B65" t="str">
            <v>Hamster</v>
          </cell>
          <cell r="C65" t="str">
            <v>2/1</v>
          </cell>
          <cell r="D65">
            <v>24</v>
          </cell>
        </row>
        <row r="66">
          <cell r="A66" t="str">
            <v>C106MH E</v>
          </cell>
          <cell r="B66" t="str">
            <v>Hamster dummy</v>
          </cell>
          <cell r="C66" t="str">
            <v>1/1</v>
          </cell>
          <cell r="D66" t="str">
            <v/>
          </cell>
        </row>
        <row r="67">
          <cell r="A67" t="str">
            <v>C109MG</v>
          </cell>
          <cell r="B67" t="str">
            <v>Grand prix</v>
          </cell>
          <cell r="C67" t="str">
            <v>2/1</v>
          </cell>
          <cell r="D67">
            <v>30</v>
          </cell>
        </row>
        <row r="68">
          <cell r="A68" t="str">
            <v>C109MM</v>
          </cell>
          <cell r="B68" t="str">
            <v>Mexico</v>
          </cell>
          <cell r="C68" t="str">
            <v>2/1</v>
          </cell>
          <cell r="D68">
            <v>30</v>
          </cell>
        </row>
        <row r="69">
          <cell r="A69" t="str">
            <v>C111MF/C</v>
          </cell>
          <cell r="B69" t="str">
            <v>Profi Fireworks show 111</v>
          </cell>
          <cell r="C69" t="str">
            <v>1/1</v>
          </cell>
          <cell r="D69">
            <v>10</v>
          </cell>
        </row>
        <row r="70">
          <cell r="A70" t="str">
            <v>C111MF/C(T)</v>
          </cell>
          <cell r="B70" t="str">
            <v>Fireworks show 111</v>
          </cell>
          <cell r="C70" t="str">
            <v>1/1</v>
          </cell>
          <cell r="D70">
            <v>10</v>
          </cell>
        </row>
        <row r="71">
          <cell r="A71" t="str">
            <v>C1163MB/C14</v>
          </cell>
          <cell r="B71" t="str">
            <v>Best pyro in town</v>
          </cell>
          <cell r="C71" t="str">
            <v>1/1</v>
          </cell>
          <cell r="D71">
            <v>14</v>
          </cell>
        </row>
        <row r="72">
          <cell r="A72" t="str">
            <v>C1163MB/C14(T)</v>
          </cell>
          <cell r="B72" t="str">
            <v>Best pyro in town</v>
          </cell>
          <cell r="C72" t="str">
            <v>1/1</v>
          </cell>
          <cell r="D72">
            <v>14</v>
          </cell>
        </row>
        <row r="73">
          <cell r="A73" t="str">
            <v>C12230XPT/C14</v>
          </cell>
          <cell r="B73" t="str">
            <v>Pyrotechnology 2020 122sh</v>
          </cell>
          <cell r="C73" t="str">
            <v>1/1</v>
          </cell>
          <cell r="D73">
            <v>24</v>
          </cell>
        </row>
        <row r="74">
          <cell r="A74" t="str">
            <v>C12230XPT/C14(T)</v>
          </cell>
          <cell r="B74" t="str">
            <v>Pyrotechnology 2020 122sh</v>
          </cell>
          <cell r="C74" t="str">
            <v>1/1</v>
          </cell>
          <cell r="D74">
            <v>24</v>
          </cell>
        </row>
        <row r="75">
          <cell r="A75" t="str">
            <v>C12820F/C</v>
          </cell>
          <cell r="B75" t="str">
            <v>Fireworks show 128/20mm</v>
          </cell>
          <cell r="C75" t="str">
            <v>1/1</v>
          </cell>
          <cell r="D75">
            <v>77</v>
          </cell>
        </row>
        <row r="76">
          <cell r="A76" t="str">
            <v>C12820F/C(T)</v>
          </cell>
          <cell r="B76" t="str">
            <v>Fireworks show 128/20mm</v>
          </cell>
          <cell r="C76" t="str">
            <v>1/1</v>
          </cell>
          <cell r="D76">
            <v>77</v>
          </cell>
        </row>
        <row r="77">
          <cell r="A77" t="str">
            <v>C12820F/C14</v>
          </cell>
          <cell r="B77" t="str">
            <v>Fireworks show 128/20mm</v>
          </cell>
          <cell r="C77" t="str">
            <v>1/1</v>
          </cell>
          <cell r="D77">
            <v>77</v>
          </cell>
        </row>
        <row r="78">
          <cell r="A78" t="str">
            <v>C12820F/C14(T)</v>
          </cell>
          <cell r="B78" t="str">
            <v>Fireworks show 128/20mm</v>
          </cell>
          <cell r="C78" t="str">
            <v>1/1</v>
          </cell>
          <cell r="D78">
            <v>72</v>
          </cell>
        </row>
        <row r="79">
          <cell r="A79" t="str">
            <v>C12820NID/C</v>
          </cell>
          <cell r="B79" t="str">
            <v>New identity series 128</v>
          </cell>
          <cell r="C79" t="str">
            <v>1/1</v>
          </cell>
          <cell r="D79">
            <v>72</v>
          </cell>
        </row>
        <row r="80">
          <cell r="A80" t="str">
            <v>C12820NID/C(T)</v>
          </cell>
          <cell r="B80" t="str">
            <v>New identity series 128</v>
          </cell>
          <cell r="C80" t="str">
            <v>1/1</v>
          </cell>
          <cell r="D80">
            <v>72</v>
          </cell>
        </row>
        <row r="81">
          <cell r="A81" t="str">
            <v>C128MS/C14</v>
          </cell>
          <cell r="B81" t="str">
            <v>Silver Sky</v>
          </cell>
          <cell r="C81" t="str">
            <v>1/1</v>
          </cell>
          <cell r="D81">
            <v>63</v>
          </cell>
        </row>
        <row r="82">
          <cell r="A82" t="str">
            <v>C128MS/C14(T)</v>
          </cell>
          <cell r="B82" t="str">
            <v>Silver Sky</v>
          </cell>
          <cell r="C82" t="str">
            <v>1/1</v>
          </cell>
          <cell r="D82">
            <v>63</v>
          </cell>
        </row>
        <row r="83">
          <cell r="A83" t="str">
            <v>C128XMB/C</v>
          </cell>
          <cell r="B83" t="str">
            <v>Big sellers</v>
          </cell>
          <cell r="C83" t="str">
            <v>1/1</v>
          </cell>
          <cell r="D83">
            <v>12</v>
          </cell>
        </row>
        <row r="84">
          <cell r="A84" t="str">
            <v>C128XMB/C(T)</v>
          </cell>
          <cell r="B84" t="str">
            <v>Big sellers</v>
          </cell>
          <cell r="C84" t="str">
            <v>1/1</v>
          </cell>
          <cell r="D84">
            <v>12</v>
          </cell>
        </row>
        <row r="85">
          <cell r="A85" t="str">
            <v>C128XMPT/C</v>
          </cell>
          <cell r="B85" t="str">
            <v>Pyrotechnology 2020 128sh</v>
          </cell>
          <cell r="C85" t="str">
            <v>1/1</v>
          </cell>
          <cell r="D85">
            <v>12</v>
          </cell>
        </row>
        <row r="86">
          <cell r="A86" t="str">
            <v>C128XMPT/C(T)</v>
          </cell>
          <cell r="B86" t="str">
            <v>Pyrotechnology 2020 128sh</v>
          </cell>
          <cell r="C86" t="str">
            <v>1/1</v>
          </cell>
          <cell r="D86">
            <v>12</v>
          </cell>
        </row>
        <row r="87">
          <cell r="A87" t="str">
            <v>C13020B</v>
          </cell>
          <cell r="B87" t="str">
            <v>Emperor Fireworks   (Bubble man)</v>
          </cell>
          <cell r="C87" t="str">
            <v>3/1</v>
          </cell>
          <cell r="D87">
            <v>36</v>
          </cell>
        </row>
        <row r="88">
          <cell r="A88" t="str">
            <v>C13020B E</v>
          </cell>
          <cell r="B88" t="str">
            <v>Bubble man dummy</v>
          </cell>
          <cell r="C88" t="str">
            <v>1/1</v>
          </cell>
          <cell r="D88" t="str">
            <v/>
          </cell>
        </row>
        <row r="89">
          <cell r="A89" t="str">
            <v>C13020BP</v>
          </cell>
          <cell r="B89" t="str">
            <v>Best price 130/20mm</v>
          </cell>
          <cell r="C89" t="str">
            <v>3/1</v>
          </cell>
          <cell r="D89">
            <v>36</v>
          </cell>
        </row>
        <row r="90">
          <cell r="A90" t="str">
            <v>C13020F E</v>
          </cell>
          <cell r="B90" t="str">
            <v>Fogus dummy</v>
          </cell>
          <cell r="C90"/>
          <cell r="D90" t="str">
            <v/>
          </cell>
        </row>
        <row r="91">
          <cell r="A91" t="str">
            <v>C13020M</v>
          </cell>
          <cell r="B91" t="str">
            <v>Mr.Boom</v>
          </cell>
          <cell r="C91" t="str">
            <v>3/1</v>
          </cell>
          <cell r="D91">
            <v>36</v>
          </cell>
        </row>
        <row r="92">
          <cell r="A92" t="str">
            <v>C13020M E</v>
          </cell>
          <cell r="B92" t="str">
            <v>Mr.Boom dummy</v>
          </cell>
          <cell r="C92"/>
          <cell r="D92" t="str">
            <v/>
          </cell>
        </row>
        <row r="93">
          <cell r="A93" t="str">
            <v>C13020S E</v>
          </cell>
          <cell r="B93" t="str">
            <v>Sweethome dummy</v>
          </cell>
          <cell r="C93"/>
          <cell r="D93" t="str">
            <v/>
          </cell>
        </row>
        <row r="94">
          <cell r="A94" t="str">
            <v>C13220B/C</v>
          </cell>
          <cell r="B94" t="str">
            <v>Big and Bad</v>
          </cell>
          <cell r="C94" t="str">
            <v>1/1</v>
          </cell>
          <cell r="D94" t="str">
            <v>36</v>
          </cell>
        </row>
        <row r="95">
          <cell r="A95" t="str">
            <v>C13220B/C(T)</v>
          </cell>
          <cell r="B95" t="str">
            <v>Big and Bad</v>
          </cell>
          <cell r="C95" t="str">
            <v>1/1</v>
          </cell>
          <cell r="D95" t="str">
            <v>36</v>
          </cell>
        </row>
        <row r="96">
          <cell r="A96" t="str">
            <v>C13220B/C14</v>
          </cell>
          <cell r="B96" t="str">
            <v>Big and Bad</v>
          </cell>
          <cell r="C96" t="str">
            <v>1/1</v>
          </cell>
          <cell r="D96">
            <v>40</v>
          </cell>
        </row>
        <row r="97">
          <cell r="A97" t="str">
            <v>C13220B/C14(T)</v>
          </cell>
          <cell r="B97" t="str">
            <v>Big and Bad</v>
          </cell>
          <cell r="C97" t="str">
            <v>1/1</v>
          </cell>
          <cell r="D97">
            <v>40</v>
          </cell>
        </row>
        <row r="98">
          <cell r="A98" t="str">
            <v>C13220TS/C14</v>
          </cell>
          <cell r="B98" t="str">
            <v>Turbo 20mm shots 60</v>
          </cell>
          <cell r="C98" t="str">
            <v>1/1</v>
          </cell>
          <cell r="D98">
            <v>40</v>
          </cell>
        </row>
        <row r="99">
          <cell r="A99" t="str">
            <v>C13220TS/C14(T)</v>
          </cell>
          <cell r="B99" t="str">
            <v>Turbo 20mm shots 60</v>
          </cell>
          <cell r="C99" t="str">
            <v>1/1</v>
          </cell>
          <cell r="D99">
            <v>40</v>
          </cell>
        </row>
        <row r="100">
          <cell r="A100" t="str">
            <v>C132XMPT/C</v>
          </cell>
          <cell r="B100" t="str">
            <v>Pyrotechnology 2020 132sh</v>
          </cell>
          <cell r="C100" t="str">
            <v>1/1</v>
          </cell>
          <cell r="D100">
            <v>32</v>
          </cell>
        </row>
        <row r="101">
          <cell r="A101" t="str">
            <v>C132XMPT/C(T)</v>
          </cell>
          <cell r="B101" t="str">
            <v>Pyrotechnology 2020 132sh</v>
          </cell>
          <cell r="C101" t="str">
            <v>1/1</v>
          </cell>
          <cell r="D101">
            <v>32</v>
          </cell>
        </row>
        <row r="102">
          <cell r="A102" t="str">
            <v>C132XMPT/C14</v>
          </cell>
          <cell r="B102" t="str">
            <v>Pyrotechnology 2020 132sh</v>
          </cell>
          <cell r="C102" t="str">
            <v>1/1</v>
          </cell>
          <cell r="D102">
            <v>32</v>
          </cell>
        </row>
        <row r="103">
          <cell r="A103" t="str">
            <v>C132XMPT/C14(T)</v>
          </cell>
          <cell r="B103" t="str">
            <v>Pyrotechnology 2020 132sh</v>
          </cell>
          <cell r="C103" t="str">
            <v>1/1</v>
          </cell>
          <cell r="D103">
            <v>32</v>
          </cell>
        </row>
        <row r="104">
          <cell r="A104" t="str">
            <v>C13420B</v>
          </cell>
          <cell r="B104" t="str">
            <v>Strike   (Bobr)</v>
          </cell>
          <cell r="C104" t="str">
            <v>2/1</v>
          </cell>
          <cell r="D104">
            <v>20</v>
          </cell>
        </row>
        <row r="105">
          <cell r="A105" t="str">
            <v>C13420B E</v>
          </cell>
          <cell r="B105" t="str">
            <v>Bobr dummy</v>
          </cell>
          <cell r="C105" t="str">
            <v>1/1</v>
          </cell>
          <cell r="D105" t="str">
            <v/>
          </cell>
        </row>
        <row r="106">
          <cell r="A106" t="str">
            <v>C13420H</v>
          </cell>
          <cell r="B106" t="str">
            <v>Hell</v>
          </cell>
          <cell r="C106" t="str">
            <v>2/1</v>
          </cell>
          <cell r="D106">
            <v>20</v>
          </cell>
        </row>
        <row r="107">
          <cell r="A107" t="str">
            <v>C13420H E</v>
          </cell>
          <cell r="B107" t="str">
            <v>Hell dummy</v>
          </cell>
          <cell r="C107" t="str">
            <v>1/1</v>
          </cell>
          <cell r="D107" t="str">
            <v/>
          </cell>
        </row>
        <row r="108">
          <cell r="A108" t="str">
            <v>C136XMK/C14</v>
          </cell>
          <cell r="B108" t="str">
            <v>King fireworks 136</v>
          </cell>
          <cell r="C108" t="str">
            <v>1/1</v>
          </cell>
          <cell r="D108">
            <v>32</v>
          </cell>
        </row>
        <row r="109">
          <cell r="A109" t="str">
            <v>C136XMK/C14(T)</v>
          </cell>
          <cell r="B109" t="str">
            <v>King fireworks 136</v>
          </cell>
          <cell r="C109" t="str">
            <v>1/1</v>
          </cell>
          <cell r="D109">
            <v>32</v>
          </cell>
        </row>
        <row r="110">
          <cell r="A110" t="str">
            <v>C136XMTS/C14</v>
          </cell>
          <cell r="B110" t="str">
            <v>Turbo multi shots 70</v>
          </cell>
          <cell r="C110" t="str">
            <v>1/1</v>
          </cell>
          <cell r="D110">
            <v>32</v>
          </cell>
        </row>
        <row r="111">
          <cell r="A111" t="str">
            <v>C136XMTS/C14(T)</v>
          </cell>
          <cell r="B111" t="str">
            <v>Turbo multi shots 70</v>
          </cell>
          <cell r="C111" t="str">
            <v>1/1</v>
          </cell>
          <cell r="D111">
            <v>32</v>
          </cell>
        </row>
        <row r="112">
          <cell r="A112" t="str">
            <v>C14025XFS/C</v>
          </cell>
          <cell r="B112" t="str">
            <v>Fireworks show 140</v>
          </cell>
          <cell r="C112" t="str">
            <v>1/1</v>
          </cell>
          <cell r="D112" t="str">
            <v>32</v>
          </cell>
        </row>
        <row r="113">
          <cell r="A113" t="str">
            <v>C14025XFS/C(T)</v>
          </cell>
          <cell r="B113" t="str">
            <v>Fireworks show 140</v>
          </cell>
          <cell r="C113" t="str">
            <v>1/1</v>
          </cell>
          <cell r="D113" t="str">
            <v>32</v>
          </cell>
        </row>
        <row r="114">
          <cell r="A114" t="str">
            <v>C14025XFS/C14</v>
          </cell>
          <cell r="B114" t="str">
            <v>Profi Fireworks show 140</v>
          </cell>
          <cell r="C114" t="str">
            <v>1/1</v>
          </cell>
          <cell r="D114" t="str">
            <v>32</v>
          </cell>
        </row>
        <row r="115">
          <cell r="A115" t="str">
            <v>C14025XFS/C14(T)</v>
          </cell>
          <cell r="B115" t="str">
            <v>Fireworks show 140</v>
          </cell>
          <cell r="C115" t="str">
            <v>1/1</v>
          </cell>
          <cell r="D115" t="str">
            <v>32</v>
          </cell>
        </row>
        <row r="116">
          <cell r="A116" t="str">
            <v>C1503BPF/C</v>
          </cell>
          <cell r="B116" t="str">
            <v>Best price-Frozen 150/30mm</v>
          </cell>
          <cell r="C116" t="str">
            <v>1/1</v>
          </cell>
          <cell r="D116">
            <v>28</v>
          </cell>
        </row>
        <row r="117">
          <cell r="A117" t="str">
            <v>C1503BPF/C(T)</v>
          </cell>
          <cell r="B117" t="str">
            <v>Best price-Frozen 150/30mm</v>
          </cell>
          <cell r="C117" t="str">
            <v>1/1</v>
          </cell>
          <cell r="D117">
            <v>24</v>
          </cell>
        </row>
        <row r="118">
          <cell r="A118" t="str">
            <v>C1503X/C</v>
          </cell>
          <cell r="B118" t="str">
            <v>XXXL 150ran</v>
          </cell>
          <cell r="C118" t="str">
            <v>1/1</v>
          </cell>
          <cell r="D118">
            <v>28</v>
          </cell>
        </row>
        <row r="119">
          <cell r="A119" t="str">
            <v>C1503X/C(T)</v>
          </cell>
          <cell r="B119" t="str">
            <v>XXXL 150ran</v>
          </cell>
          <cell r="C119" t="str">
            <v>1/1</v>
          </cell>
          <cell r="D119">
            <v>24</v>
          </cell>
        </row>
        <row r="120">
          <cell r="A120" t="str">
            <v>C150MF/C</v>
          </cell>
          <cell r="B120" t="str">
            <v>Fireworks show 150</v>
          </cell>
          <cell r="C120" t="str">
            <v>1/1</v>
          </cell>
          <cell r="D120">
            <v>32</v>
          </cell>
        </row>
        <row r="121">
          <cell r="A121" t="str">
            <v>C150MF/C(T)</v>
          </cell>
          <cell r="B121" t="str">
            <v>Fireworks show 150</v>
          </cell>
          <cell r="C121" t="str">
            <v>1/1</v>
          </cell>
          <cell r="D121">
            <v>32</v>
          </cell>
        </row>
        <row r="122">
          <cell r="A122" t="str">
            <v>C150MF/C14</v>
          </cell>
          <cell r="B122" t="str">
            <v>Profi Fireworks show 150</v>
          </cell>
          <cell r="C122" t="str">
            <v>1/1</v>
          </cell>
          <cell r="D122">
            <v>32</v>
          </cell>
        </row>
        <row r="123">
          <cell r="A123" t="str">
            <v>C150MF/C14(T)</v>
          </cell>
          <cell r="B123" t="str">
            <v>Fireworks show 150</v>
          </cell>
          <cell r="C123" t="str">
            <v>1/1</v>
          </cell>
          <cell r="D123">
            <v>32</v>
          </cell>
        </row>
        <row r="124">
          <cell r="A124" t="str">
            <v>C150MPT/C</v>
          </cell>
          <cell r="B124" t="str">
            <v>Pyrotechnology 2020 150sh</v>
          </cell>
          <cell r="C124" t="str">
            <v>1/1</v>
          </cell>
          <cell r="D124">
            <v>32</v>
          </cell>
        </row>
        <row r="125">
          <cell r="A125" t="str">
            <v>C150MPT/C(T)</v>
          </cell>
          <cell r="B125" t="str">
            <v>Pyrotechnology 2020 150sh</v>
          </cell>
          <cell r="C125" t="str">
            <v>1/1</v>
          </cell>
          <cell r="D125">
            <v>32</v>
          </cell>
        </row>
        <row r="126">
          <cell r="A126" t="str">
            <v>C1614E14</v>
          </cell>
          <cell r="B126" t="str">
            <v>Edwin</v>
          </cell>
          <cell r="C126" t="str">
            <v>50/1</v>
          </cell>
          <cell r="D126">
            <v>48</v>
          </cell>
        </row>
        <row r="127">
          <cell r="A127" t="str">
            <v>C1614E14 E</v>
          </cell>
          <cell r="B127" t="str">
            <v>Edwin dummy</v>
          </cell>
          <cell r="C127" t="str">
            <v>1/1</v>
          </cell>
          <cell r="D127" t="str">
            <v/>
          </cell>
        </row>
        <row r="128">
          <cell r="A128" t="str">
            <v>C1620BPF</v>
          </cell>
          <cell r="B128" t="str">
            <v>Best price-Frozen 16/20mm</v>
          </cell>
          <cell r="C128" t="str">
            <v>24/1</v>
          </cell>
          <cell r="D128">
            <v>36</v>
          </cell>
        </row>
        <row r="129">
          <cell r="A129" t="str">
            <v>C1620DU</v>
          </cell>
          <cell r="B129" t="str">
            <v>Dumbum 16/20mm</v>
          </cell>
          <cell r="C129" t="str">
            <v>24/1</v>
          </cell>
          <cell r="D129">
            <v>36</v>
          </cell>
        </row>
        <row r="130">
          <cell r="A130" t="str">
            <v>C1620DU(5)</v>
          </cell>
          <cell r="B130" t="str">
            <v>Dumbum 16/20mm(5sec)</v>
          </cell>
          <cell r="C130" t="str">
            <v>24/1</v>
          </cell>
          <cell r="D130">
            <v>36</v>
          </cell>
        </row>
        <row r="131">
          <cell r="A131" t="str">
            <v>C1620DU(S)</v>
          </cell>
          <cell r="B131" t="str">
            <v>Dumbum 16/20mm(strong)</v>
          </cell>
          <cell r="C131" t="str">
            <v>24/1</v>
          </cell>
          <cell r="D131">
            <v>36</v>
          </cell>
        </row>
        <row r="132">
          <cell r="A132" t="str">
            <v>C1620F</v>
          </cell>
          <cell r="B132" t="str">
            <v>Frankinson Harley</v>
          </cell>
          <cell r="C132" t="str">
            <v>24/1</v>
          </cell>
          <cell r="D132">
            <v>36</v>
          </cell>
        </row>
        <row r="133">
          <cell r="A133" t="str">
            <v>C1620F14</v>
          </cell>
          <cell r="B133" t="str">
            <v>Frankinson Harley</v>
          </cell>
          <cell r="C133" t="str">
            <v>24/1</v>
          </cell>
          <cell r="D133">
            <v>36</v>
          </cell>
        </row>
        <row r="134">
          <cell r="A134" t="str">
            <v>C1620H</v>
          </cell>
          <cell r="B134" t="str">
            <v>Hnusák</v>
          </cell>
          <cell r="C134" t="str">
            <v>24/1</v>
          </cell>
          <cell r="D134">
            <v>36</v>
          </cell>
        </row>
        <row r="135">
          <cell r="A135" t="str">
            <v>C1620H14</v>
          </cell>
          <cell r="B135" t="str">
            <v>Hnusák</v>
          </cell>
          <cell r="C135" t="str">
            <v>24/1</v>
          </cell>
          <cell r="D135">
            <v>36</v>
          </cell>
        </row>
        <row r="136">
          <cell r="A136" t="str">
            <v>C1620M</v>
          </cell>
          <cell r="B136" t="str">
            <v>Mosquito</v>
          </cell>
          <cell r="C136" t="str">
            <v>24/1</v>
          </cell>
          <cell r="D136">
            <v>36</v>
          </cell>
        </row>
        <row r="137">
          <cell r="A137" t="str">
            <v>C1620M14</v>
          </cell>
          <cell r="B137" t="str">
            <v>Mosquito</v>
          </cell>
          <cell r="C137" t="str">
            <v>24/1</v>
          </cell>
          <cell r="D137">
            <v>36</v>
          </cell>
        </row>
        <row r="138">
          <cell r="A138" t="str">
            <v>C1620N</v>
          </cell>
          <cell r="B138" t="str">
            <v>Nuclear attack</v>
          </cell>
          <cell r="C138" t="str">
            <v>24/1</v>
          </cell>
          <cell r="D138">
            <v>36</v>
          </cell>
        </row>
        <row r="139">
          <cell r="A139" t="str">
            <v>C1620N14</v>
          </cell>
          <cell r="B139" t="str">
            <v>Nuclear attack</v>
          </cell>
          <cell r="C139" t="str">
            <v>24/1</v>
          </cell>
          <cell r="D139">
            <v>36</v>
          </cell>
        </row>
        <row r="140">
          <cell r="A140" t="str">
            <v>C1625B</v>
          </cell>
          <cell r="B140" t="str">
            <v>Helloween</v>
          </cell>
          <cell r="C140" t="str">
            <v>12/1</v>
          </cell>
          <cell r="D140">
            <v>45</v>
          </cell>
        </row>
        <row r="141">
          <cell r="A141" t="str">
            <v>C1625B14</v>
          </cell>
          <cell r="B141" t="str">
            <v>Helloween</v>
          </cell>
          <cell r="C141" t="str">
            <v>12/1</v>
          </cell>
          <cell r="D141">
            <v>45</v>
          </cell>
        </row>
        <row r="142">
          <cell r="A142" t="str">
            <v>C1625D</v>
          </cell>
          <cell r="B142" t="str">
            <v>Kamikadze</v>
          </cell>
          <cell r="C142" t="str">
            <v>12/1</v>
          </cell>
          <cell r="D142">
            <v>45</v>
          </cell>
        </row>
        <row r="143">
          <cell r="A143" t="str">
            <v>C1625D14</v>
          </cell>
          <cell r="B143" t="str">
            <v>Kamikadze</v>
          </cell>
          <cell r="C143" t="str">
            <v>12/1</v>
          </cell>
          <cell r="D143">
            <v>45</v>
          </cell>
        </row>
        <row r="144">
          <cell r="A144" t="str">
            <v>C1625ES E</v>
          </cell>
          <cell r="B144" t="str">
            <v>Esopeso dummy</v>
          </cell>
          <cell r="C144"/>
          <cell r="D144" t="str">
            <v/>
          </cell>
        </row>
        <row r="145">
          <cell r="A145" t="str">
            <v>C1625F</v>
          </cell>
          <cell r="B145" t="str">
            <v>Poker</v>
          </cell>
          <cell r="C145" t="str">
            <v>12/1</v>
          </cell>
          <cell r="D145">
            <v>45</v>
          </cell>
        </row>
        <row r="146">
          <cell r="A146" t="str">
            <v>C1625F14</v>
          </cell>
          <cell r="B146" t="str">
            <v>Poker</v>
          </cell>
          <cell r="C146" t="str">
            <v>12/1</v>
          </cell>
          <cell r="D146">
            <v>45</v>
          </cell>
        </row>
        <row r="147">
          <cell r="A147" t="str">
            <v>C1625G</v>
          </cell>
          <cell r="B147" t="str">
            <v>Houbičky</v>
          </cell>
          <cell r="C147" t="str">
            <v>12/1</v>
          </cell>
          <cell r="D147">
            <v>45</v>
          </cell>
        </row>
        <row r="148">
          <cell r="A148" t="str">
            <v>C163A</v>
          </cell>
          <cell r="B148" t="str">
            <v>Orcs pyro</v>
          </cell>
          <cell r="C148" t="str">
            <v>10/1</v>
          </cell>
          <cell r="D148">
            <v>32</v>
          </cell>
        </row>
        <row r="149">
          <cell r="A149" t="str">
            <v>C163A14</v>
          </cell>
          <cell r="B149" t="str">
            <v>Orcs pyro</v>
          </cell>
          <cell r="C149" t="str">
            <v>10/1</v>
          </cell>
          <cell r="D149">
            <v>32</v>
          </cell>
        </row>
        <row r="150">
          <cell r="A150" t="str">
            <v>C163B</v>
          </cell>
          <cell r="B150" t="str">
            <v>Zlobr</v>
          </cell>
          <cell r="C150" t="str">
            <v>10/1</v>
          </cell>
          <cell r="D150">
            <v>32</v>
          </cell>
        </row>
        <row r="151">
          <cell r="A151" t="str">
            <v>C163BP</v>
          </cell>
          <cell r="B151" t="str">
            <v>Best price 16/30mm</v>
          </cell>
          <cell r="C151" t="str">
            <v>10/1</v>
          </cell>
          <cell r="D151">
            <v>32</v>
          </cell>
        </row>
        <row r="152">
          <cell r="A152" t="str">
            <v>C163E</v>
          </cell>
          <cell r="B152" t="str">
            <v>Meteor</v>
          </cell>
          <cell r="C152" t="str">
            <v>10/1</v>
          </cell>
          <cell r="D152">
            <v>32</v>
          </cell>
        </row>
        <row r="153">
          <cell r="A153" t="str">
            <v>C163F E</v>
          </cell>
          <cell r="B153" t="str">
            <v>Gladiátor dummy</v>
          </cell>
          <cell r="C153"/>
          <cell r="D153" t="str">
            <v/>
          </cell>
        </row>
        <row r="154">
          <cell r="A154" t="str">
            <v>C163I E</v>
          </cell>
          <cell r="B154" t="str">
            <v>Mord Parta dummy</v>
          </cell>
          <cell r="C154"/>
          <cell r="D154" t="str">
            <v/>
          </cell>
        </row>
        <row r="155">
          <cell r="A155" t="str">
            <v>C163K</v>
          </cell>
          <cell r="B155" t="str">
            <v>Kung-fu morče</v>
          </cell>
          <cell r="C155" t="str">
            <v>10/1</v>
          </cell>
          <cell r="D155">
            <v>32</v>
          </cell>
        </row>
        <row r="156">
          <cell r="A156" t="str">
            <v>C163L</v>
          </cell>
          <cell r="B156" t="str">
            <v>Trolice</v>
          </cell>
          <cell r="C156" t="str">
            <v>10/1</v>
          </cell>
          <cell r="D156">
            <v>32</v>
          </cell>
        </row>
        <row r="157">
          <cell r="A157" t="str">
            <v>C163L E</v>
          </cell>
          <cell r="B157" t="str">
            <v>Trolice dummy</v>
          </cell>
          <cell r="C157"/>
          <cell r="D157" t="str">
            <v/>
          </cell>
        </row>
        <row r="158">
          <cell r="A158" t="str">
            <v>C163SIG</v>
          </cell>
          <cell r="B158" t="str">
            <v>Signature range 16sh</v>
          </cell>
          <cell r="C158" t="str">
            <v>10/1</v>
          </cell>
          <cell r="D158">
            <v>32</v>
          </cell>
        </row>
        <row r="159">
          <cell r="A159" t="str">
            <v>C165D E</v>
          </cell>
          <cell r="B159" t="str">
            <v>Ďáblův Šleh dummy</v>
          </cell>
          <cell r="C159"/>
          <cell r="D159" t="str">
            <v/>
          </cell>
        </row>
        <row r="160">
          <cell r="A160" t="str">
            <v>C165JA</v>
          </cell>
          <cell r="B160" t="str">
            <v>Jánošík</v>
          </cell>
          <cell r="C160" t="str">
            <v>3/1</v>
          </cell>
          <cell r="D160">
            <v>25</v>
          </cell>
        </row>
        <row r="161">
          <cell r="A161" t="str">
            <v>C165P</v>
          </cell>
          <cell r="B161" t="str">
            <v>Pandora</v>
          </cell>
          <cell r="C161" t="str">
            <v>3/1</v>
          </cell>
          <cell r="D161">
            <v>25</v>
          </cell>
        </row>
        <row r="162">
          <cell r="A162" t="str">
            <v>C165P E</v>
          </cell>
          <cell r="B162" t="str">
            <v>Pandora dummy</v>
          </cell>
          <cell r="C162" t="str">
            <v>1/1</v>
          </cell>
          <cell r="D162" t="str">
            <v/>
          </cell>
        </row>
        <row r="163">
          <cell r="A163" t="str">
            <v>C175MF/C</v>
          </cell>
          <cell r="B163" t="str">
            <v>Fireworks show 175</v>
          </cell>
          <cell r="C163" t="str">
            <v>1/1</v>
          </cell>
          <cell r="D163" t="str">
            <v>15</v>
          </cell>
        </row>
        <row r="164">
          <cell r="A164" t="str">
            <v>C175MF/C(T)</v>
          </cell>
          <cell r="B164"/>
          <cell r="C164"/>
          <cell r="D164">
            <v>15</v>
          </cell>
        </row>
        <row r="165">
          <cell r="A165" t="str">
            <v>C175MSIG/C</v>
          </cell>
          <cell r="B165" t="str">
            <v>Signature range 175ran</v>
          </cell>
          <cell r="C165" t="str">
            <v>1/1</v>
          </cell>
          <cell r="D165" t="str">
            <v>15</v>
          </cell>
        </row>
        <row r="166">
          <cell r="A166" t="str">
            <v>C175MSIG/C(T)</v>
          </cell>
          <cell r="B166" t="str">
            <v>Signature range 175ran</v>
          </cell>
          <cell r="C166" t="str">
            <v>1/1</v>
          </cell>
          <cell r="D166" t="str">
            <v>15</v>
          </cell>
        </row>
        <row r="167">
          <cell r="A167" t="str">
            <v>C17825W/C</v>
          </cell>
          <cell r="B167" t="str">
            <v>War of worlds</v>
          </cell>
          <cell r="C167" t="str">
            <v>1/1</v>
          </cell>
          <cell r="D167" t="str">
            <v>18</v>
          </cell>
        </row>
        <row r="168">
          <cell r="A168" t="str">
            <v>C17825W/C(T)</v>
          </cell>
          <cell r="B168" t="str">
            <v>War of worlds</v>
          </cell>
          <cell r="C168" t="str">
            <v>1/1</v>
          </cell>
          <cell r="D168" t="str">
            <v>18</v>
          </cell>
        </row>
        <row r="169">
          <cell r="A169" t="str">
            <v>C18020SIG/C</v>
          </cell>
          <cell r="B169" t="str">
            <v>Signature range 180ran</v>
          </cell>
          <cell r="C169" t="str">
            <v>1/1</v>
          </cell>
          <cell r="D169">
            <v>66</v>
          </cell>
        </row>
        <row r="170">
          <cell r="A170" t="str">
            <v>C18020SIG/C(T)</v>
          </cell>
          <cell r="B170" t="str">
            <v>Signature range 180ran</v>
          </cell>
          <cell r="C170" t="str">
            <v>1/1</v>
          </cell>
          <cell r="D170">
            <v>66</v>
          </cell>
        </row>
        <row r="171">
          <cell r="A171" t="str">
            <v>C19220F/C</v>
          </cell>
          <cell r="B171" t="str">
            <v>Fireworks show 192/20mm</v>
          </cell>
          <cell r="C171" t="str">
            <v>1/1</v>
          </cell>
          <cell r="D171">
            <v>66</v>
          </cell>
        </row>
        <row r="172">
          <cell r="A172" t="str">
            <v>C19220F/C(T)</v>
          </cell>
          <cell r="B172" t="str">
            <v>Fireworks show 192/20mm</v>
          </cell>
          <cell r="C172" t="str">
            <v>1/1</v>
          </cell>
          <cell r="D172">
            <v>66</v>
          </cell>
        </row>
        <row r="173">
          <cell r="A173" t="str">
            <v>C19220F/C14</v>
          </cell>
          <cell r="B173" t="str">
            <v>Fireworks show 192/20mm</v>
          </cell>
          <cell r="C173" t="str">
            <v>1/1</v>
          </cell>
          <cell r="D173">
            <v>66</v>
          </cell>
        </row>
        <row r="174">
          <cell r="A174" t="str">
            <v>C19220F/C14(T)</v>
          </cell>
          <cell r="B174" t="str">
            <v>Fireworks show 192/20mm</v>
          </cell>
          <cell r="C174" t="str">
            <v>1/1</v>
          </cell>
          <cell r="D174">
            <v>66</v>
          </cell>
        </row>
        <row r="175">
          <cell r="A175" t="str">
            <v>C19225MF/C14</v>
          </cell>
          <cell r="B175" t="str">
            <v>Profi Fireworks show 192</v>
          </cell>
          <cell r="C175" t="str">
            <v>1/1</v>
          </cell>
          <cell r="D175">
            <v>20</v>
          </cell>
        </row>
        <row r="176">
          <cell r="A176" t="str">
            <v>C19225MF/C14(T)</v>
          </cell>
          <cell r="B176" t="str">
            <v>Fireworks show 192</v>
          </cell>
          <cell r="C176" t="str">
            <v>1/1</v>
          </cell>
          <cell r="D176">
            <v>20</v>
          </cell>
        </row>
        <row r="177">
          <cell r="A177" t="str">
            <v>C1923XMF/C</v>
          </cell>
          <cell r="B177" t="str">
            <v>Profi Fireworks show 192-I+V+W+FAN</v>
          </cell>
          <cell r="C177" t="str">
            <v>1/1</v>
          </cell>
          <cell r="D177">
            <v>14</v>
          </cell>
        </row>
        <row r="178">
          <cell r="A178" t="str">
            <v>C193BP</v>
          </cell>
          <cell r="B178" t="str">
            <v>Best price 19/30mm</v>
          </cell>
          <cell r="C178" t="str">
            <v>8/1</v>
          </cell>
          <cell r="D178">
            <v>24</v>
          </cell>
        </row>
        <row r="179">
          <cell r="A179" t="str">
            <v>C193C</v>
          </cell>
          <cell r="B179" t="str">
            <v>Radar</v>
          </cell>
          <cell r="C179" t="str">
            <v>8/1</v>
          </cell>
          <cell r="D179">
            <v>24</v>
          </cell>
        </row>
        <row r="180">
          <cell r="A180" t="str">
            <v>C193D</v>
          </cell>
          <cell r="B180" t="str">
            <v>Super Chip</v>
          </cell>
          <cell r="C180" t="str">
            <v>8/1</v>
          </cell>
          <cell r="D180">
            <v>24</v>
          </cell>
        </row>
        <row r="181">
          <cell r="A181" t="str">
            <v>C193F</v>
          </cell>
          <cell r="B181" t="str">
            <v>Maska</v>
          </cell>
          <cell r="C181" t="str">
            <v>8/1</v>
          </cell>
          <cell r="D181">
            <v>24</v>
          </cell>
        </row>
        <row r="182">
          <cell r="A182" t="str">
            <v>C193I</v>
          </cell>
          <cell r="B182" t="str">
            <v>Dragon</v>
          </cell>
          <cell r="C182" t="str">
            <v>8/1</v>
          </cell>
          <cell r="D182">
            <v>24</v>
          </cell>
        </row>
        <row r="183">
          <cell r="A183" t="str">
            <v>C193J</v>
          </cell>
          <cell r="B183" t="str">
            <v>Kerberos</v>
          </cell>
          <cell r="C183" t="str">
            <v>8/1</v>
          </cell>
          <cell r="D183">
            <v>24</v>
          </cell>
        </row>
        <row r="184">
          <cell r="A184" t="str">
            <v>C19620SIG/C</v>
          </cell>
          <cell r="B184" t="str">
            <v>Signature range 196ran</v>
          </cell>
          <cell r="C184" t="str">
            <v>1/1</v>
          </cell>
          <cell r="D184" t="str">
            <v>66</v>
          </cell>
        </row>
        <row r="185">
          <cell r="A185" t="str">
            <v>C19620SIG/C(T)</v>
          </cell>
          <cell r="B185" t="str">
            <v>Signature range 196ran</v>
          </cell>
          <cell r="C185" t="str">
            <v>1/1</v>
          </cell>
          <cell r="D185" t="str">
            <v>66</v>
          </cell>
        </row>
        <row r="186">
          <cell r="A186" t="str">
            <v>C19625/C14</v>
          </cell>
          <cell r="B186" t="str">
            <v>Fireworks show 196</v>
          </cell>
          <cell r="C186" t="str">
            <v>1/1</v>
          </cell>
          <cell r="D186" t="str">
            <v>18</v>
          </cell>
        </row>
        <row r="187">
          <cell r="A187" t="str">
            <v>C19625/C14(T)</v>
          </cell>
          <cell r="B187" t="str">
            <v>Fireworks show 196</v>
          </cell>
          <cell r="C187" t="str">
            <v>1/1</v>
          </cell>
          <cell r="D187" t="str">
            <v>18</v>
          </cell>
        </row>
        <row r="188">
          <cell r="A188" t="str">
            <v>C19625F/C</v>
          </cell>
          <cell r="B188" t="str">
            <v>Fireworks show 196</v>
          </cell>
          <cell r="C188" t="str">
            <v>1/1</v>
          </cell>
          <cell r="D188" t="str">
            <v>18</v>
          </cell>
        </row>
        <row r="189">
          <cell r="A189" t="str">
            <v>C19625F/C(T)</v>
          </cell>
          <cell r="B189" t="str">
            <v>Fireworks show 196</v>
          </cell>
          <cell r="C189" t="str">
            <v>1/1</v>
          </cell>
          <cell r="D189" t="str">
            <v>18</v>
          </cell>
        </row>
        <row r="190">
          <cell r="A190" t="str">
            <v>C20020BP</v>
          </cell>
          <cell r="B190" t="str">
            <v>Best price 200/20mm</v>
          </cell>
          <cell r="C190" t="str">
            <v>2/1</v>
          </cell>
          <cell r="D190">
            <v>20</v>
          </cell>
        </row>
        <row r="191">
          <cell r="A191" t="str">
            <v>C20020BPF</v>
          </cell>
          <cell r="B191" t="str">
            <v>Best price-Frozen 200/20mm</v>
          </cell>
          <cell r="C191" t="str">
            <v>2/1</v>
          </cell>
          <cell r="D191">
            <v>20</v>
          </cell>
        </row>
        <row r="192">
          <cell r="A192" t="str">
            <v>C20020BPS</v>
          </cell>
          <cell r="B192" t="str">
            <v>Best price Slow motion 200/20mm</v>
          </cell>
          <cell r="C192" t="str">
            <v>2/1</v>
          </cell>
          <cell r="D192">
            <v>20</v>
          </cell>
        </row>
        <row r="193">
          <cell r="A193" t="str">
            <v>C20020PR</v>
          </cell>
          <cell r="B193" t="str">
            <v>Profi show 200/20mm</v>
          </cell>
          <cell r="C193" t="str">
            <v>2/1</v>
          </cell>
          <cell r="D193">
            <v>20</v>
          </cell>
        </row>
        <row r="194">
          <cell r="A194" t="str">
            <v>C20020XBP</v>
          </cell>
          <cell r="B194" t="str">
            <v>Best price multi shape 200/20mm</v>
          </cell>
          <cell r="C194" t="str">
            <v>2/1</v>
          </cell>
          <cell r="D194">
            <v>22</v>
          </cell>
        </row>
        <row r="195">
          <cell r="A195" t="str">
            <v>C20020XBPW</v>
          </cell>
          <cell r="B195" t="str">
            <v>Best price Wild fire multi 200/20mm</v>
          </cell>
          <cell r="C195" t="str">
            <v>2/1</v>
          </cell>
          <cell r="D195">
            <v>22</v>
          </cell>
        </row>
        <row r="196">
          <cell r="A196" t="str">
            <v>C20020XPR</v>
          </cell>
          <cell r="B196" t="str">
            <v>Profi show multi shape 200/20mm</v>
          </cell>
          <cell r="C196" t="str">
            <v>2/1</v>
          </cell>
          <cell r="D196">
            <v>20</v>
          </cell>
        </row>
        <row r="197">
          <cell r="A197" t="str">
            <v>C20020XPR/C14</v>
          </cell>
          <cell r="B197" t="str">
            <v>Profi show multi shape 200/20mm</v>
          </cell>
          <cell r="C197" t="str">
            <v>1/1</v>
          </cell>
          <cell r="D197" t="str">
            <v>40</v>
          </cell>
        </row>
        <row r="198">
          <cell r="A198" t="str">
            <v>C20020XPR/C14(T)</v>
          </cell>
          <cell r="B198" t="str">
            <v>Profi show multi shape 200/20mm</v>
          </cell>
          <cell r="C198" t="str">
            <v>1/1</v>
          </cell>
          <cell r="D198" t="str">
            <v>40</v>
          </cell>
        </row>
        <row r="199">
          <cell r="A199" t="str">
            <v>C20020XTS/C14</v>
          </cell>
          <cell r="B199" t="str">
            <v>Turbo 20mm shots 80</v>
          </cell>
          <cell r="C199" t="str">
            <v>1/1</v>
          </cell>
          <cell r="D199" t="str">
            <v>40</v>
          </cell>
        </row>
        <row r="200">
          <cell r="A200" t="str">
            <v>C20020XTS/C14(T)</v>
          </cell>
          <cell r="B200" t="str">
            <v>Turbo 20mm shots 80</v>
          </cell>
          <cell r="C200" t="str">
            <v>1/1</v>
          </cell>
          <cell r="D200" t="str">
            <v>40</v>
          </cell>
        </row>
        <row r="201">
          <cell r="A201" t="str">
            <v>C20025BPS/C</v>
          </cell>
          <cell r="B201" t="str">
            <v>Best price Slow motion 200/25mm</v>
          </cell>
          <cell r="C201" t="str">
            <v>1/1</v>
          </cell>
          <cell r="D201">
            <v>36</v>
          </cell>
        </row>
        <row r="202">
          <cell r="A202" t="str">
            <v>C20025F/C</v>
          </cell>
          <cell r="B202" t="str">
            <v>Fireworks show 200/25mm</v>
          </cell>
          <cell r="C202" t="str">
            <v>1/1</v>
          </cell>
          <cell r="D202">
            <v>36</v>
          </cell>
        </row>
        <row r="203">
          <cell r="A203" t="str">
            <v>C20025F/C(T)</v>
          </cell>
          <cell r="B203" t="str">
            <v>Fireworks show 200/25mm</v>
          </cell>
          <cell r="C203" t="str">
            <v>1/1</v>
          </cell>
          <cell r="D203">
            <v>30</v>
          </cell>
        </row>
        <row r="204">
          <cell r="A204" t="str">
            <v>C2003BP/C</v>
          </cell>
          <cell r="B204" t="str">
            <v>Best price 200/30mm</v>
          </cell>
          <cell r="C204" t="str">
            <v>1/1</v>
          </cell>
          <cell r="D204">
            <v>18</v>
          </cell>
        </row>
        <row r="205">
          <cell r="A205" t="str">
            <v>C2003BP/C(T)</v>
          </cell>
          <cell r="B205" t="str">
            <v>Best price 200/30mm</v>
          </cell>
          <cell r="C205" t="str">
            <v>1/1</v>
          </cell>
          <cell r="D205">
            <v>21</v>
          </cell>
        </row>
        <row r="206">
          <cell r="A206" t="str">
            <v>C2003F/C</v>
          </cell>
          <cell r="B206" t="str">
            <v>Fireworks show 200</v>
          </cell>
          <cell r="C206" t="str">
            <v>1/1</v>
          </cell>
          <cell r="D206">
            <v>18</v>
          </cell>
        </row>
        <row r="207">
          <cell r="A207" t="str">
            <v>C2003SIG/C</v>
          </cell>
          <cell r="B207" t="str">
            <v>Signature range 200ran</v>
          </cell>
          <cell r="C207" t="str">
            <v>1/1</v>
          </cell>
          <cell r="D207">
            <v>18</v>
          </cell>
        </row>
        <row r="208">
          <cell r="A208" t="str">
            <v>C2003SIG/C(T)</v>
          </cell>
          <cell r="B208" t="str">
            <v>Signature range 200ran</v>
          </cell>
          <cell r="C208" t="str">
            <v>1/1</v>
          </cell>
          <cell r="D208">
            <v>21</v>
          </cell>
        </row>
        <row r="209">
          <cell r="A209" t="str">
            <v>C2003U/C</v>
          </cell>
          <cell r="B209" t="str">
            <v xml:space="preserve">Universe </v>
          </cell>
          <cell r="C209" t="str">
            <v>1/1</v>
          </cell>
          <cell r="D209">
            <v>18</v>
          </cell>
        </row>
        <row r="210">
          <cell r="A210" t="str">
            <v>C2003U/C(T)</v>
          </cell>
          <cell r="B210" t="str">
            <v xml:space="preserve">Universe </v>
          </cell>
          <cell r="C210" t="str">
            <v>1/1</v>
          </cell>
          <cell r="D210">
            <v>21</v>
          </cell>
        </row>
        <row r="211">
          <cell r="A211" t="str">
            <v>C200MF/C</v>
          </cell>
          <cell r="B211" t="str">
            <v>Fireworks show 200</v>
          </cell>
          <cell r="C211" t="str">
            <v>1/1</v>
          </cell>
          <cell r="D211">
            <v>24</v>
          </cell>
        </row>
        <row r="212">
          <cell r="A212" t="str">
            <v>C200MF/C(T)</v>
          </cell>
          <cell r="B212" t="str">
            <v>Fireworks show 200</v>
          </cell>
          <cell r="C212" t="str">
            <v>1/1</v>
          </cell>
          <cell r="D212">
            <v>24</v>
          </cell>
        </row>
        <row r="213">
          <cell r="A213" t="str">
            <v>C200MF/C14</v>
          </cell>
          <cell r="B213" t="str">
            <v>Profi Fireworks show 200</v>
          </cell>
          <cell r="C213" t="str">
            <v>1/1</v>
          </cell>
          <cell r="D213">
            <v>24</v>
          </cell>
        </row>
        <row r="214">
          <cell r="A214" t="str">
            <v>C200MF/C14(T)</v>
          </cell>
          <cell r="B214" t="str">
            <v>Fireworks show 200</v>
          </cell>
          <cell r="C214" t="str">
            <v>1/1</v>
          </cell>
          <cell r="D214">
            <v>24</v>
          </cell>
        </row>
        <row r="215">
          <cell r="A215" t="str">
            <v>C204XMPT/C</v>
          </cell>
          <cell r="B215" t="str">
            <v>Pyrotechnology 2020 204sh</v>
          </cell>
          <cell r="C215" t="str">
            <v>1/1</v>
          </cell>
          <cell r="D215">
            <v>21</v>
          </cell>
        </row>
        <row r="216">
          <cell r="A216" t="str">
            <v>C204XMPT/C(T)</v>
          </cell>
          <cell r="B216" t="str">
            <v>Pyrotechnology 2020 204sh</v>
          </cell>
          <cell r="C216" t="str">
            <v>1/1</v>
          </cell>
          <cell r="D216">
            <v>21</v>
          </cell>
        </row>
        <row r="217">
          <cell r="A217" t="str">
            <v>C204XMPT/C14</v>
          </cell>
          <cell r="B217" t="str">
            <v>Pyrotechnology 2020 204sh</v>
          </cell>
          <cell r="C217" t="str">
            <v>1/1</v>
          </cell>
          <cell r="D217">
            <v>21</v>
          </cell>
        </row>
        <row r="218">
          <cell r="A218" t="str">
            <v>C204XMPT/C14(T)</v>
          </cell>
          <cell r="B218" t="str">
            <v>Pyrotechnology 2020 204sh</v>
          </cell>
          <cell r="C218" t="str">
            <v>1/1</v>
          </cell>
          <cell r="D218">
            <v>21</v>
          </cell>
        </row>
        <row r="219">
          <cell r="A219" t="str">
            <v>C20814XPR14</v>
          </cell>
          <cell r="B219" t="str">
            <v>Profi show 208</v>
          </cell>
          <cell r="C219" t="str">
            <v>4/1</v>
          </cell>
          <cell r="D219">
            <v>24</v>
          </cell>
        </row>
        <row r="220">
          <cell r="A220" t="str">
            <v>C212MF/C</v>
          </cell>
          <cell r="B220" t="str">
            <v>Profi Fireworks show 212</v>
          </cell>
          <cell r="C220" t="str">
            <v>1/1</v>
          </cell>
          <cell r="D220">
            <v>24</v>
          </cell>
        </row>
        <row r="221">
          <cell r="A221" t="str">
            <v>C212MF/C(T)</v>
          </cell>
          <cell r="B221" t="str">
            <v>Fireworks show 212</v>
          </cell>
          <cell r="C221" t="str">
            <v>1/1</v>
          </cell>
          <cell r="D221">
            <v>24</v>
          </cell>
        </row>
        <row r="222">
          <cell r="A222" t="str">
            <v>C216XMFS/C</v>
          </cell>
          <cell r="B222" t="str">
            <v>Fireworks show 216</v>
          </cell>
          <cell r="C222" t="str">
            <v>1/1</v>
          </cell>
          <cell r="D222">
            <v>32</v>
          </cell>
        </row>
        <row r="223">
          <cell r="A223" t="str">
            <v>C216XMFS/C(T)</v>
          </cell>
          <cell r="B223" t="str">
            <v>Fireworks show 216</v>
          </cell>
          <cell r="C223" t="str">
            <v>1/1</v>
          </cell>
          <cell r="D223">
            <v>32</v>
          </cell>
        </row>
        <row r="224">
          <cell r="A224" t="str">
            <v>C216XMFS/C14</v>
          </cell>
          <cell r="B224" t="str">
            <v>Fireworks show 216</v>
          </cell>
          <cell r="C224" t="str">
            <v>1/1</v>
          </cell>
          <cell r="D224">
            <v>32</v>
          </cell>
        </row>
        <row r="225">
          <cell r="A225" t="str">
            <v>C216XMFS/C14(T)</v>
          </cell>
          <cell r="B225" t="str">
            <v>Fireworks show 216</v>
          </cell>
          <cell r="C225" t="str">
            <v>1/1</v>
          </cell>
          <cell r="D225">
            <v>32</v>
          </cell>
        </row>
        <row r="226">
          <cell r="A226" t="str">
            <v>C219XMPT/C</v>
          </cell>
          <cell r="B226" t="str">
            <v>Pyrotechnology 2020 219sh</v>
          </cell>
          <cell r="C226" t="str">
            <v>1/1</v>
          </cell>
          <cell r="D226">
            <v>12</v>
          </cell>
        </row>
        <row r="227">
          <cell r="A227" t="str">
            <v>C219XMPT/C(T)</v>
          </cell>
          <cell r="B227" t="str">
            <v>Pyrotechnology 2020 219sh</v>
          </cell>
          <cell r="C227" t="str">
            <v>1/1</v>
          </cell>
          <cell r="D227">
            <v>12</v>
          </cell>
        </row>
        <row r="228">
          <cell r="A228" t="str">
            <v>C222MF/C</v>
          </cell>
          <cell r="B228" t="str">
            <v>Fireworks show 222</v>
          </cell>
          <cell r="C228" t="str">
            <v>1/1</v>
          </cell>
          <cell r="D228">
            <v>6</v>
          </cell>
        </row>
        <row r="229">
          <cell r="A229" t="str">
            <v>C222MF/C(T)</v>
          </cell>
          <cell r="B229" t="str">
            <v>Fireworks show 222</v>
          </cell>
          <cell r="C229" t="str">
            <v>1/1</v>
          </cell>
          <cell r="D229" t="str">
            <v>12</v>
          </cell>
        </row>
        <row r="230">
          <cell r="A230" t="str">
            <v>C222MNPT/C</v>
          </cell>
          <cell r="B230" t="str">
            <v>Pyrotechnology 2020 222sh</v>
          </cell>
          <cell r="C230" t="str">
            <v>1/1</v>
          </cell>
          <cell r="D230">
            <v>6</v>
          </cell>
        </row>
        <row r="231">
          <cell r="A231" t="str">
            <v>C222MNPT/C(T)</v>
          </cell>
          <cell r="B231" t="str">
            <v>Pyrotechnology 2020 222sh</v>
          </cell>
          <cell r="C231" t="str">
            <v>1/1</v>
          </cell>
          <cell r="D231" t="str">
            <v>12</v>
          </cell>
        </row>
        <row r="232">
          <cell r="A232" t="str">
            <v>C223MF/C</v>
          </cell>
          <cell r="B232" t="str">
            <v>Profi Fireworks show 223</v>
          </cell>
          <cell r="C232" t="str">
            <v>1/1</v>
          </cell>
          <cell r="D232">
            <v>24</v>
          </cell>
        </row>
        <row r="233">
          <cell r="A233" t="str">
            <v>C223MF/C E</v>
          </cell>
          <cell r="B233" t="str">
            <v>Fireworks show 223 dummy</v>
          </cell>
          <cell r="C233" t="str">
            <v>1/1</v>
          </cell>
          <cell r="D233" t="str">
            <v/>
          </cell>
        </row>
        <row r="234">
          <cell r="A234" t="str">
            <v>C223MF/C(T)</v>
          </cell>
          <cell r="B234" t="str">
            <v>Fireworks show 223</v>
          </cell>
          <cell r="C234" t="str">
            <v>1/1</v>
          </cell>
          <cell r="D234">
            <v>24</v>
          </cell>
        </row>
        <row r="235">
          <cell r="A235" t="str">
            <v>C223MM/C E</v>
          </cell>
          <cell r="B235" t="str">
            <v>Masterblaster dummy</v>
          </cell>
          <cell r="C235"/>
          <cell r="D235" t="str">
            <v/>
          </cell>
        </row>
        <row r="236">
          <cell r="A236" t="str">
            <v>C223XMK/C</v>
          </cell>
          <cell r="B236" t="str">
            <v>King fireworks 223</v>
          </cell>
          <cell r="C236" t="str">
            <v>1/1</v>
          </cell>
          <cell r="D236">
            <v>18</v>
          </cell>
        </row>
        <row r="237">
          <cell r="A237" t="str">
            <v>C223XMK/C(T)</v>
          </cell>
          <cell r="B237" t="str">
            <v>King fireworks 223</v>
          </cell>
          <cell r="C237" t="str">
            <v>1/1</v>
          </cell>
          <cell r="D237">
            <v>18</v>
          </cell>
        </row>
        <row r="238">
          <cell r="A238" t="str">
            <v>C223XMK/C14</v>
          </cell>
          <cell r="B238" t="str">
            <v>King fireworks 223</v>
          </cell>
          <cell r="C238" t="str">
            <v>1/1</v>
          </cell>
          <cell r="D238">
            <v>18</v>
          </cell>
        </row>
        <row r="239">
          <cell r="A239" t="str">
            <v>C223XMK/C14(T)</v>
          </cell>
          <cell r="B239" t="str">
            <v>King fireworks 223</v>
          </cell>
          <cell r="C239" t="str">
            <v>1/1</v>
          </cell>
          <cell r="D239">
            <v>18</v>
          </cell>
        </row>
        <row r="240">
          <cell r="A240" t="str">
            <v>C23MO</v>
          </cell>
          <cell r="B240" t="str">
            <v>Obelix</v>
          </cell>
          <cell r="C240" t="str">
            <v>6/1</v>
          </cell>
          <cell r="D240">
            <v>12</v>
          </cell>
        </row>
        <row r="241">
          <cell r="A241" t="str">
            <v>C2463A E</v>
          </cell>
          <cell r="B241" t="str">
            <v>Red Glow dummy</v>
          </cell>
          <cell r="C241"/>
          <cell r="D241" t="str">
            <v/>
          </cell>
        </row>
        <row r="242">
          <cell r="A242" t="str">
            <v>C2463B</v>
          </cell>
          <cell r="B242" t="str">
            <v>Big Show</v>
          </cell>
          <cell r="C242" t="str">
            <v>2/1</v>
          </cell>
          <cell r="D242" t="str">
            <v>16</v>
          </cell>
        </row>
        <row r="243">
          <cell r="A243" t="str">
            <v>C24MH</v>
          </cell>
          <cell r="B243" t="str">
            <v>Hluk</v>
          </cell>
          <cell r="C243" t="str">
            <v>8/1</v>
          </cell>
          <cell r="D243">
            <v>28</v>
          </cell>
        </row>
        <row r="244">
          <cell r="A244" t="str">
            <v>C2505D</v>
          </cell>
          <cell r="B244" t="str">
            <v>Dumbum 250</v>
          </cell>
          <cell r="C244" t="str">
            <v>2/1</v>
          </cell>
          <cell r="D244">
            <v>20</v>
          </cell>
        </row>
        <row r="245">
          <cell r="A245" t="str">
            <v>C2508R</v>
          </cell>
          <cell r="B245" t="str">
            <v xml:space="preserve">Scream 25   (Raketomet 25ran)   </v>
          </cell>
          <cell r="C245" t="str">
            <v>30/4</v>
          </cell>
          <cell r="D245">
            <v>40</v>
          </cell>
        </row>
        <row r="246">
          <cell r="A246" t="str">
            <v>C2520BP</v>
          </cell>
          <cell r="B246" t="str">
            <v>Best price 25/20mm</v>
          </cell>
          <cell r="C246" t="str">
            <v>12/1</v>
          </cell>
          <cell r="D246">
            <v>54</v>
          </cell>
        </row>
        <row r="247">
          <cell r="A247" t="str">
            <v>C2520DI</v>
          </cell>
          <cell r="B247" t="str">
            <v>Dinomit</v>
          </cell>
          <cell r="C247" t="str">
            <v>12/1</v>
          </cell>
          <cell r="D247">
            <v>54</v>
          </cell>
        </row>
        <row r="248">
          <cell r="A248" t="str">
            <v>C2520DI14</v>
          </cell>
          <cell r="B248" t="str">
            <v>Dinomit</v>
          </cell>
          <cell r="C248" t="str">
            <v>12/1</v>
          </cell>
          <cell r="D248">
            <v>54</v>
          </cell>
        </row>
        <row r="249">
          <cell r="A249" t="str">
            <v>C2520E E</v>
          </cell>
          <cell r="B249" t="str">
            <v>Extreme dummy</v>
          </cell>
          <cell r="C249"/>
          <cell r="D249" t="str">
            <v/>
          </cell>
        </row>
        <row r="250">
          <cell r="A250" t="str">
            <v>C2520R</v>
          </cell>
          <cell r="B250" t="str">
            <v>Radiation</v>
          </cell>
          <cell r="C250" t="str">
            <v>12/1</v>
          </cell>
          <cell r="D250">
            <v>54</v>
          </cell>
        </row>
        <row r="251">
          <cell r="A251" t="str">
            <v>C2520SE</v>
          </cell>
          <cell r="B251" t="str">
            <v>Senior</v>
          </cell>
          <cell r="C251" t="str">
            <v>12/1</v>
          </cell>
          <cell r="D251">
            <v>54</v>
          </cell>
        </row>
        <row r="252">
          <cell r="A252" t="str">
            <v>C2520SE14</v>
          </cell>
          <cell r="B252" t="str">
            <v>Senior</v>
          </cell>
          <cell r="C252" t="str">
            <v>12/1</v>
          </cell>
          <cell r="D252">
            <v>54</v>
          </cell>
        </row>
        <row r="253">
          <cell r="A253" t="str">
            <v>C2520SIG</v>
          </cell>
          <cell r="B253" t="str">
            <v>Signature range 25/20mm</v>
          </cell>
          <cell r="C253" t="str">
            <v>12/1</v>
          </cell>
          <cell r="D253">
            <v>40</v>
          </cell>
        </row>
        <row r="254">
          <cell r="A254" t="str">
            <v>C2520SL</v>
          </cell>
          <cell r="B254" t="str">
            <v>Slet čarodejnic</v>
          </cell>
          <cell r="C254" t="str">
            <v>12/1</v>
          </cell>
          <cell r="D254">
            <v>54</v>
          </cell>
        </row>
        <row r="255">
          <cell r="A255" t="str">
            <v>C2520ST</v>
          </cell>
          <cell r="B255" t="str">
            <v>Střelmistr</v>
          </cell>
          <cell r="C255" t="str">
            <v>12/1</v>
          </cell>
          <cell r="D255">
            <v>54</v>
          </cell>
        </row>
        <row r="256">
          <cell r="A256" t="str">
            <v>C2520ST E</v>
          </cell>
          <cell r="B256" t="str">
            <v>Střelmistr dummy</v>
          </cell>
          <cell r="C256" t="str">
            <v>1/1</v>
          </cell>
          <cell r="D256" t="str">
            <v/>
          </cell>
        </row>
        <row r="257">
          <cell r="A257" t="str">
            <v>C2520T</v>
          </cell>
          <cell r="B257" t="str">
            <v>Turtle Burger</v>
          </cell>
          <cell r="C257" t="str">
            <v>12/1</v>
          </cell>
          <cell r="D257">
            <v>54</v>
          </cell>
        </row>
        <row r="258">
          <cell r="A258" t="str">
            <v>C2520T14</v>
          </cell>
          <cell r="B258" t="str">
            <v>Turtle Burger</v>
          </cell>
          <cell r="C258" t="str">
            <v>12/1</v>
          </cell>
          <cell r="D258">
            <v>54</v>
          </cell>
        </row>
        <row r="259">
          <cell r="A259" t="str">
            <v>C2520VI</v>
          </cell>
          <cell r="B259" t="str">
            <v>VIP</v>
          </cell>
          <cell r="C259" t="str">
            <v>12/1</v>
          </cell>
          <cell r="D259">
            <v>42</v>
          </cell>
        </row>
        <row r="260">
          <cell r="A260" t="str">
            <v>C2520VI E</v>
          </cell>
          <cell r="B260" t="str">
            <v>VIP dummy</v>
          </cell>
          <cell r="C260" t="str">
            <v>1/1</v>
          </cell>
          <cell r="D260" t="str">
            <v/>
          </cell>
        </row>
        <row r="261">
          <cell r="A261" t="str">
            <v>C2520Z</v>
          </cell>
          <cell r="B261" t="str">
            <v>Želvoun</v>
          </cell>
          <cell r="C261" t="str">
            <v>12/1</v>
          </cell>
          <cell r="D261">
            <v>54</v>
          </cell>
        </row>
        <row r="262">
          <cell r="A262" t="str">
            <v>C25220XFS/C</v>
          </cell>
          <cell r="B262" t="str">
            <v>Profi Fireworks show 252</v>
          </cell>
          <cell r="C262" t="str">
            <v>1/1</v>
          </cell>
          <cell r="D262" t="str">
            <v>40</v>
          </cell>
        </row>
        <row r="263">
          <cell r="A263" t="str">
            <v>C25220XFS/C(T)</v>
          </cell>
          <cell r="B263" t="str">
            <v>Fireworks show 252</v>
          </cell>
          <cell r="C263" t="str">
            <v>1/1</v>
          </cell>
          <cell r="D263" t="str">
            <v>40</v>
          </cell>
        </row>
        <row r="264">
          <cell r="A264" t="str">
            <v>C25220XFS/C14</v>
          </cell>
          <cell r="B264" t="str">
            <v>Profi Fireworks show 252</v>
          </cell>
          <cell r="C264" t="str">
            <v>1/1</v>
          </cell>
          <cell r="D264" t="str">
            <v>40</v>
          </cell>
        </row>
        <row r="265">
          <cell r="A265" t="str">
            <v>C25220XFS/C14(T)</v>
          </cell>
          <cell r="B265" t="str">
            <v>Fireworks show 252</v>
          </cell>
          <cell r="C265" t="str">
            <v>1/1</v>
          </cell>
          <cell r="D265" t="str">
            <v>40</v>
          </cell>
        </row>
        <row r="266">
          <cell r="A266" t="str">
            <v>C2525BPW</v>
          </cell>
          <cell r="B266" t="str">
            <v>Best price Wild fire 25/25mm</v>
          </cell>
          <cell r="C266" t="str">
            <v>12/1</v>
          </cell>
          <cell r="D266">
            <v>20</v>
          </cell>
        </row>
        <row r="267">
          <cell r="A267" t="str">
            <v>C2525C</v>
          </cell>
          <cell r="B267" t="str">
            <v>Casper</v>
          </cell>
          <cell r="C267" t="str">
            <v>12/1</v>
          </cell>
          <cell r="D267">
            <v>20</v>
          </cell>
        </row>
        <row r="268">
          <cell r="A268" t="str">
            <v>C2525C14 E</v>
          </cell>
          <cell r="B268" t="str">
            <v>Casper dummy</v>
          </cell>
          <cell r="C268"/>
          <cell r="D268" t="str">
            <v/>
          </cell>
        </row>
        <row r="269">
          <cell r="A269" t="str">
            <v>C2525DU</v>
          </cell>
          <cell r="B269" t="str">
            <v>Dumbum micro</v>
          </cell>
          <cell r="C269" t="str">
            <v>12/1</v>
          </cell>
          <cell r="D269">
            <v>20</v>
          </cell>
        </row>
        <row r="270">
          <cell r="A270" t="str">
            <v>C2525L</v>
          </cell>
          <cell r="B270" t="str">
            <v>Loď Duchů</v>
          </cell>
          <cell r="C270" t="str">
            <v>12/1</v>
          </cell>
          <cell r="D270">
            <v>20</v>
          </cell>
        </row>
        <row r="271">
          <cell r="A271" t="str">
            <v>C2525SC14</v>
          </cell>
          <cell r="B271" t="str">
            <v>Scream battery 25sh</v>
          </cell>
          <cell r="C271" t="str">
            <v>8/1</v>
          </cell>
          <cell r="D271">
            <v>16</v>
          </cell>
        </row>
        <row r="272">
          <cell r="A272" t="str">
            <v>C2525SIG</v>
          </cell>
          <cell r="B272" t="str">
            <v>Signature range 25ran/25mm</v>
          </cell>
          <cell r="C272" t="str">
            <v>12/1</v>
          </cell>
          <cell r="D272">
            <v>20</v>
          </cell>
        </row>
        <row r="273">
          <cell r="A273" t="str">
            <v>C253B14</v>
          </cell>
          <cell r="B273" t="str">
            <v>Frankenstein</v>
          </cell>
          <cell r="C273" t="str">
            <v>6/1</v>
          </cell>
          <cell r="D273">
            <v>28</v>
          </cell>
        </row>
        <row r="274">
          <cell r="A274" t="str">
            <v>C253BP14</v>
          </cell>
          <cell r="B274" t="str">
            <v>Best price 25/30mm</v>
          </cell>
          <cell r="C274" t="str">
            <v>6/1</v>
          </cell>
          <cell r="D274">
            <v>28</v>
          </cell>
        </row>
        <row r="275">
          <cell r="A275" t="str">
            <v>C253BPF14</v>
          </cell>
          <cell r="B275" t="str">
            <v>Best price-Frozen 25/30mm</v>
          </cell>
          <cell r="C275" t="str">
            <v>6/1</v>
          </cell>
          <cell r="D275">
            <v>28</v>
          </cell>
        </row>
        <row r="276">
          <cell r="A276" t="str">
            <v>C253DU</v>
          </cell>
          <cell r="B276" t="str">
            <v>Dumbum 25ran</v>
          </cell>
          <cell r="C276" t="str">
            <v>6/1</v>
          </cell>
          <cell r="D276">
            <v>28</v>
          </cell>
        </row>
        <row r="277">
          <cell r="A277" t="str">
            <v>C253E E</v>
          </cell>
          <cell r="B277" t="str">
            <v>Skokan dummy</v>
          </cell>
          <cell r="C277"/>
          <cell r="D277" t="str">
            <v/>
          </cell>
        </row>
        <row r="278">
          <cell r="A278" t="str">
            <v>C253E14</v>
          </cell>
          <cell r="B278" t="str">
            <v>Skokan</v>
          </cell>
          <cell r="C278" t="str">
            <v>6/1</v>
          </cell>
          <cell r="D278">
            <v>28</v>
          </cell>
        </row>
        <row r="279">
          <cell r="A279" t="str">
            <v>C253F14</v>
          </cell>
          <cell r="B279" t="str">
            <v>Horda</v>
          </cell>
          <cell r="C279" t="str">
            <v>6/1</v>
          </cell>
          <cell r="D279">
            <v>28</v>
          </cell>
        </row>
        <row r="280">
          <cell r="A280" t="str">
            <v>C253FR</v>
          </cell>
          <cell r="B280" t="str">
            <v>Frankenstein</v>
          </cell>
          <cell r="C280" t="str">
            <v>6/1</v>
          </cell>
          <cell r="D280">
            <v>28</v>
          </cell>
        </row>
        <row r="281">
          <cell r="A281" t="str">
            <v>C253H E</v>
          </cell>
          <cell r="B281" t="str">
            <v>Prskavec dummy</v>
          </cell>
          <cell r="C281"/>
          <cell r="D281" t="str">
            <v/>
          </cell>
        </row>
        <row r="282">
          <cell r="A282" t="str">
            <v>C253CH</v>
          </cell>
          <cell r="B282" t="str">
            <v>Meteor 25ran</v>
          </cell>
          <cell r="C282" t="str">
            <v>6/1</v>
          </cell>
          <cell r="D282" t="str">
            <v>28</v>
          </cell>
        </row>
        <row r="283">
          <cell r="A283" t="str">
            <v>C253MY</v>
          </cell>
          <cell r="B283" t="str">
            <v>Myšák</v>
          </cell>
          <cell r="C283" t="str">
            <v>6/1</v>
          </cell>
          <cell r="D283">
            <v>28</v>
          </cell>
        </row>
        <row r="284">
          <cell r="A284" t="str">
            <v>C253NO14</v>
          </cell>
          <cell r="B284" t="str">
            <v>No sound Fireworks</v>
          </cell>
          <cell r="C284" t="str">
            <v>6/1</v>
          </cell>
          <cell r="D284">
            <v>28</v>
          </cell>
        </row>
        <row r="285">
          <cell r="A285" t="str">
            <v>C253O</v>
          </cell>
          <cell r="B285" t="str">
            <v>Meteor 25ran</v>
          </cell>
          <cell r="C285" t="str">
            <v>6/1</v>
          </cell>
          <cell r="D285" t="str">
            <v>28</v>
          </cell>
        </row>
        <row r="286">
          <cell r="A286" t="str">
            <v>C253SIG</v>
          </cell>
          <cell r="B286" t="str">
            <v>Signature range 25sh</v>
          </cell>
          <cell r="C286" t="str">
            <v>6/1</v>
          </cell>
          <cell r="D286">
            <v>28</v>
          </cell>
        </row>
        <row r="287">
          <cell r="A287" t="str">
            <v>C253SIG B</v>
          </cell>
          <cell r="B287" t="str">
            <v>Signature range 25sh</v>
          </cell>
          <cell r="C287" t="str">
            <v>6/1</v>
          </cell>
          <cell r="D287">
            <v>32</v>
          </cell>
        </row>
        <row r="288">
          <cell r="A288" t="str">
            <v>C253TH14</v>
          </cell>
          <cell r="B288" t="str">
            <v>The Fire Lion</v>
          </cell>
          <cell r="C288" t="str">
            <v>6/1</v>
          </cell>
          <cell r="D288">
            <v>28</v>
          </cell>
        </row>
        <row r="289">
          <cell r="A289" t="str">
            <v>C253XMPT/C</v>
          </cell>
          <cell r="B289" t="str">
            <v>Pyrotechnology 2020 253sh</v>
          </cell>
          <cell r="C289" t="str">
            <v>1/1</v>
          </cell>
          <cell r="D289">
            <v>12</v>
          </cell>
        </row>
        <row r="290">
          <cell r="A290" t="str">
            <v>C253XMPT/C(T)</v>
          </cell>
          <cell r="B290" t="str">
            <v>Pyrotechnology 2020 253sh</v>
          </cell>
          <cell r="C290" t="str">
            <v>1/1</v>
          </cell>
          <cell r="D290">
            <v>12</v>
          </cell>
        </row>
        <row r="291">
          <cell r="A291" t="str">
            <v>C2545DI</v>
          </cell>
          <cell r="B291" t="str">
            <v>Diktátor</v>
          </cell>
          <cell r="C291" t="str">
            <v>2/1</v>
          </cell>
          <cell r="D291">
            <v>30</v>
          </cell>
        </row>
        <row r="292">
          <cell r="A292" t="str">
            <v>C2545MA</v>
          </cell>
          <cell r="B292" t="str">
            <v>Mao ce bum</v>
          </cell>
          <cell r="C292" t="str">
            <v>2/1</v>
          </cell>
          <cell r="D292">
            <v>30</v>
          </cell>
        </row>
        <row r="293">
          <cell r="A293" t="str">
            <v>C2545NO</v>
          </cell>
          <cell r="B293" t="str">
            <v xml:space="preserve">NO Limit 25! </v>
          </cell>
          <cell r="C293" t="str">
            <v>2/1</v>
          </cell>
          <cell r="D293">
            <v>30</v>
          </cell>
        </row>
        <row r="294">
          <cell r="A294" t="str">
            <v>C255BP</v>
          </cell>
          <cell r="B294" t="str">
            <v>Best price 25/50mm</v>
          </cell>
          <cell r="C294" t="str">
            <v>2/1</v>
          </cell>
          <cell r="D294">
            <v>20</v>
          </cell>
        </row>
        <row r="295">
          <cell r="A295" t="str">
            <v>C25620F/C</v>
          </cell>
          <cell r="B295" t="str">
            <v>Fireworks show 256</v>
          </cell>
          <cell r="C295" t="str">
            <v>1/1</v>
          </cell>
          <cell r="D295">
            <v>66</v>
          </cell>
        </row>
        <row r="296">
          <cell r="A296" t="str">
            <v>C25620F/C(T)</v>
          </cell>
          <cell r="B296" t="str">
            <v>Fireworks show 256</v>
          </cell>
          <cell r="C296" t="str">
            <v>1/1</v>
          </cell>
          <cell r="D296">
            <v>66</v>
          </cell>
        </row>
        <row r="297">
          <cell r="A297" t="str">
            <v>C25620F/C14</v>
          </cell>
          <cell r="B297" t="str">
            <v>Fireworks show 256</v>
          </cell>
          <cell r="C297" t="str">
            <v>1/1</v>
          </cell>
          <cell r="D297">
            <v>66</v>
          </cell>
        </row>
        <row r="298">
          <cell r="A298" t="str">
            <v>C25620F/C14(T)</v>
          </cell>
          <cell r="B298" t="str">
            <v>Fireworks show 256</v>
          </cell>
          <cell r="C298" t="str">
            <v>1/1</v>
          </cell>
          <cell r="D298">
            <v>66</v>
          </cell>
        </row>
        <row r="299">
          <cell r="A299" t="str">
            <v>C2563XMF/C</v>
          </cell>
          <cell r="B299" t="str">
            <v>Profi Fireworks show 256- I+V+W+FAN</v>
          </cell>
          <cell r="C299" t="str">
            <v>1/1</v>
          </cell>
          <cell r="D299">
            <v>7</v>
          </cell>
        </row>
        <row r="300">
          <cell r="A300" t="str">
            <v>C2563XMF/C(T)</v>
          </cell>
          <cell r="B300" t="str">
            <v>Profi Fireworks show 256- I+V+W+FAN</v>
          </cell>
          <cell r="C300" t="str">
            <v>1/1</v>
          </cell>
          <cell r="D300">
            <v>14</v>
          </cell>
        </row>
        <row r="301">
          <cell r="A301" t="str">
            <v>C2575C</v>
          </cell>
          <cell r="B301" t="str">
            <v>Baterie 25ran,75mm</v>
          </cell>
          <cell r="C301" t="str">
            <v>1/1</v>
          </cell>
          <cell r="D301" t="str">
            <v>24</v>
          </cell>
        </row>
        <row r="302">
          <cell r="A302" t="str">
            <v>C26020F/C</v>
          </cell>
          <cell r="B302" t="str">
            <v>Fireworks show 260</v>
          </cell>
          <cell r="C302" t="str">
            <v>1/1</v>
          </cell>
          <cell r="D302" t="str">
            <v>44</v>
          </cell>
        </row>
        <row r="303">
          <cell r="A303" t="str">
            <v>C26020F/C(T)</v>
          </cell>
          <cell r="B303" t="str">
            <v>Fireworks show 260</v>
          </cell>
          <cell r="C303" t="str">
            <v>1/1</v>
          </cell>
          <cell r="D303" t="str">
            <v>44</v>
          </cell>
        </row>
        <row r="304">
          <cell r="A304" t="str">
            <v>C26020NID/C</v>
          </cell>
          <cell r="B304" t="str">
            <v>New identity series 260</v>
          </cell>
          <cell r="C304" t="str">
            <v>1/1</v>
          </cell>
          <cell r="D304" t="str">
            <v>44</v>
          </cell>
        </row>
        <row r="305">
          <cell r="A305" t="str">
            <v>C26020NID/C(T)</v>
          </cell>
          <cell r="B305" t="str">
            <v>New identity series 260</v>
          </cell>
          <cell r="C305" t="str">
            <v>1/1</v>
          </cell>
          <cell r="D305" t="str">
            <v>44</v>
          </cell>
        </row>
        <row r="306">
          <cell r="A306" t="str">
            <v>C26020Z E</v>
          </cell>
          <cell r="B306" t="str">
            <v>Zahradní ohňostroj 260ran 20mm dummy</v>
          </cell>
          <cell r="C306"/>
          <cell r="D306" t="str">
            <v/>
          </cell>
        </row>
        <row r="307">
          <cell r="A307" t="str">
            <v>C26420N/C</v>
          </cell>
          <cell r="B307" t="str">
            <v>Neverending Sky</v>
          </cell>
          <cell r="C307" t="str">
            <v>1/1</v>
          </cell>
          <cell r="D307">
            <v>18</v>
          </cell>
        </row>
        <row r="308">
          <cell r="A308" t="str">
            <v>C26420N/C(T)</v>
          </cell>
          <cell r="B308" t="str">
            <v>Neverending Sky</v>
          </cell>
          <cell r="C308" t="str">
            <v>1/1</v>
          </cell>
          <cell r="D308" t="str">
            <v>20</v>
          </cell>
        </row>
        <row r="309">
          <cell r="A309" t="str">
            <v>C26420N/C14</v>
          </cell>
          <cell r="B309" t="str">
            <v>Neverending Sky</v>
          </cell>
          <cell r="C309" t="str">
            <v>1/1</v>
          </cell>
          <cell r="D309">
            <v>18</v>
          </cell>
        </row>
        <row r="310">
          <cell r="A310" t="str">
            <v>C26420N/C14(T)</v>
          </cell>
          <cell r="B310" t="str">
            <v>Neverending Sky</v>
          </cell>
          <cell r="C310" t="str">
            <v>1/1</v>
          </cell>
          <cell r="D310">
            <v>18</v>
          </cell>
        </row>
        <row r="311">
          <cell r="A311" t="str">
            <v>C26820F/C</v>
          </cell>
          <cell r="B311" t="str">
            <v>Profi Fireworks show 268</v>
          </cell>
          <cell r="C311" t="str">
            <v>1/1</v>
          </cell>
          <cell r="D311" t="str">
            <v>27</v>
          </cell>
        </row>
        <row r="312">
          <cell r="A312" t="str">
            <v>C26820F/C E</v>
          </cell>
          <cell r="B312" t="str">
            <v>Fireworks show 268 dummy</v>
          </cell>
          <cell r="C312" t="str">
            <v>1/1</v>
          </cell>
          <cell r="D312" t="str">
            <v/>
          </cell>
        </row>
        <row r="313">
          <cell r="A313" t="str">
            <v>C26820F/C(T)</v>
          </cell>
          <cell r="B313" t="str">
            <v>Fireworks show 268</v>
          </cell>
          <cell r="C313" t="str">
            <v>1/1</v>
          </cell>
          <cell r="D313" t="str">
            <v>27</v>
          </cell>
        </row>
        <row r="314">
          <cell r="A314" t="str">
            <v>C30008R</v>
          </cell>
          <cell r="B314" t="str">
            <v xml:space="preserve">Scream 300   (Raketomet 300ran)   </v>
          </cell>
          <cell r="C314" t="str">
            <v>12/1</v>
          </cell>
          <cell r="D314" t="str">
            <v>40</v>
          </cell>
        </row>
        <row r="315">
          <cell r="A315" t="str">
            <v>C30025BPW/C</v>
          </cell>
          <cell r="B315" t="str">
            <v>Best price Wild fire 300/25mm</v>
          </cell>
          <cell r="C315" t="str">
            <v>1/1</v>
          </cell>
          <cell r="D315">
            <v>18</v>
          </cell>
        </row>
        <row r="316">
          <cell r="A316" t="str">
            <v>C30025BPW/C(T)</v>
          </cell>
          <cell r="B316" t="str">
            <v>Best price Wild fire 300/25mm</v>
          </cell>
          <cell r="C316" t="str">
            <v>1/1</v>
          </cell>
          <cell r="D316">
            <v>18</v>
          </cell>
        </row>
        <row r="317">
          <cell r="A317" t="str">
            <v>C30025F/C</v>
          </cell>
          <cell r="B317" t="str">
            <v>Fireworks show 300</v>
          </cell>
          <cell r="C317" t="str">
            <v>1/1</v>
          </cell>
          <cell r="D317">
            <v>18</v>
          </cell>
        </row>
        <row r="318">
          <cell r="A318" t="str">
            <v>C30025F/C(T)</v>
          </cell>
          <cell r="B318" t="str">
            <v>Fireworks show 300</v>
          </cell>
          <cell r="C318" t="str">
            <v>1/1</v>
          </cell>
          <cell r="D318">
            <v>18</v>
          </cell>
        </row>
        <row r="319">
          <cell r="A319" t="str">
            <v>C304MK</v>
          </cell>
          <cell r="B319" t="str">
            <v>King fireworks 304</v>
          </cell>
          <cell r="C319" t="str">
            <v>1/1</v>
          </cell>
          <cell r="D319">
            <v>6</v>
          </cell>
        </row>
        <row r="320">
          <cell r="A320" t="str">
            <v>C320D</v>
          </cell>
          <cell r="B320" t="str">
            <v xml:space="preserve">Dumbum triple </v>
          </cell>
          <cell r="C320" t="str">
            <v>20/5</v>
          </cell>
          <cell r="D320">
            <v>25</v>
          </cell>
        </row>
        <row r="321">
          <cell r="A321" t="str">
            <v>C330D</v>
          </cell>
          <cell r="B321" t="str">
            <v xml:space="preserve">Dumbum triple </v>
          </cell>
          <cell r="C321" t="str">
            <v>18/1</v>
          </cell>
          <cell r="D321">
            <v>56</v>
          </cell>
        </row>
        <row r="322">
          <cell r="A322" t="str">
            <v>C3545MF</v>
          </cell>
          <cell r="B322" t="str">
            <v>Max Force 35</v>
          </cell>
          <cell r="C322" t="str">
            <v>2/1</v>
          </cell>
          <cell r="D322">
            <v>20</v>
          </cell>
        </row>
        <row r="323">
          <cell r="A323" t="str">
            <v>C3545NO</v>
          </cell>
          <cell r="B323" t="str">
            <v xml:space="preserve">NO Limit 35! </v>
          </cell>
          <cell r="C323" t="str">
            <v>2/1</v>
          </cell>
          <cell r="D323">
            <v>20</v>
          </cell>
        </row>
        <row r="324">
          <cell r="A324" t="str">
            <v>C363BPF</v>
          </cell>
          <cell r="B324" t="str">
            <v>Best price-Frozen 36/30mm</v>
          </cell>
          <cell r="C324" t="str">
            <v>4/1</v>
          </cell>
          <cell r="D324">
            <v>14</v>
          </cell>
        </row>
        <row r="325">
          <cell r="A325" t="str">
            <v>C363DR</v>
          </cell>
          <cell r="B325" t="str">
            <v>Drevokocur</v>
          </cell>
          <cell r="C325" t="str">
            <v>4/1</v>
          </cell>
          <cell r="D325">
            <v>14</v>
          </cell>
        </row>
        <row r="326">
          <cell r="A326" t="str">
            <v>C363E E</v>
          </cell>
          <cell r="B326" t="str">
            <v>Chameleon dummy</v>
          </cell>
          <cell r="C326"/>
          <cell r="D326" t="str">
            <v/>
          </cell>
        </row>
        <row r="327">
          <cell r="A327" t="str">
            <v>C363H E</v>
          </cell>
          <cell r="B327" t="str">
            <v>Pleskoň dummy</v>
          </cell>
          <cell r="C327"/>
          <cell r="D327" t="str">
            <v/>
          </cell>
        </row>
        <row r="328">
          <cell r="A328" t="str">
            <v>C363J E</v>
          </cell>
          <cell r="B328" t="str">
            <v>Krvavá Mary dummy</v>
          </cell>
          <cell r="C328"/>
          <cell r="D328" t="str">
            <v/>
          </cell>
        </row>
        <row r="329">
          <cell r="A329" t="str">
            <v>C363PA</v>
          </cell>
          <cell r="B329" t="str">
            <v>Panda Killer</v>
          </cell>
          <cell r="C329" t="str">
            <v>4/1</v>
          </cell>
          <cell r="D329">
            <v>14</v>
          </cell>
        </row>
        <row r="330">
          <cell r="A330" t="str">
            <v>C363PL</v>
          </cell>
          <cell r="B330" t="str">
            <v>Pleskoň</v>
          </cell>
          <cell r="C330" t="str">
            <v>4/1</v>
          </cell>
          <cell r="D330">
            <v>14</v>
          </cell>
        </row>
        <row r="331">
          <cell r="A331" t="str">
            <v>C3645BA</v>
          </cell>
          <cell r="B331" t="str">
            <v>Baracuda</v>
          </cell>
          <cell r="C331" t="str">
            <v>2/1</v>
          </cell>
          <cell r="D331">
            <v>15</v>
          </cell>
        </row>
        <row r="332">
          <cell r="A332" t="str">
            <v>C3645SE</v>
          </cell>
          <cell r="B332" t="str">
            <v>Sekáč (Wild Fireworks)</v>
          </cell>
          <cell r="C332" t="str">
            <v>2/1</v>
          </cell>
          <cell r="D332">
            <v>15</v>
          </cell>
        </row>
        <row r="333">
          <cell r="A333" t="str">
            <v>C365B E</v>
          </cell>
          <cell r="B333" t="str">
            <v>Baracuda dummy</v>
          </cell>
          <cell r="C333"/>
          <cell r="D333" t="str">
            <v/>
          </cell>
        </row>
        <row r="334">
          <cell r="A334" t="str">
            <v>C365DU</v>
          </cell>
          <cell r="B334" t="str">
            <v>Dumbum big</v>
          </cell>
          <cell r="C334" t="str">
            <v>2/1</v>
          </cell>
          <cell r="D334">
            <v>15</v>
          </cell>
        </row>
        <row r="335">
          <cell r="A335" t="str">
            <v>C365DU E</v>
          </cell>
          <cell r="B335" t="str">
            <v>Dumbum big dummy</v>
          </cell>
          <cell r="C335"/>
          <cell r="D335" t="str">
            <v/>
          </cell>
        </row>
        <row r="336">
          <cell r="A336" t="str">
            <v>C365P E</v>
          </cell>
          <cell r="B336" t="str">
            <v>Penguin Army dummy</v>
          </cell>
          <cell r="C336"/>
          <cell r="D336" t="str">
            <v/>
          </cell>
        </row>
        <row r="337">
          <cell r="A337" t="str">
            <v>C365S E</v>
          </cell>
          <cell r="B337" t="str">
            <v>Sekáč dummy</v>
          </cell>
          <cell r="C337"/>
          <cell r="D337" t="str">
            <v/>
          </cell>
        </row>
        <row r="338">
          <cell r="A338" t="str">
            <v>C365V E</v>
          </cell>
          <cell r="B338" t="str">
            <v>Vlad dummy</v>
          </cell>
          <cell r="C338"/>
          <cell r="D338" t="str">
            <v/>
          </cell>
        </row>
        <row r="339">
          <cell r="A339" t="str">
            <v>C36MH</v>
          </cell>
          <cell r="B339" t="str">
            <v>Hlavička  (Brutal power)</v>
          </cell>
          <cell r="C339" t="str">
            <v>3/1</v>
          </cell>
          <cell r="D339">
            <v>15</v>
          </cell>
        </row>
        <row r="340">
          <cell r="A340" t="str">
            <v>C36MH E</v>
          </cell>
          <cell r="B340" t="str">
            <v>Hlavička dummy</v>
          </cell>
          <cell r="C340" t="str">
            <v>1/1</v>
          </cell>
          <cell r="D340" t="str">
            <v/>
          </cell>
        </row>
        <row r="341">
          <cell r="A341" t="str">
            <v>C379XMK/C</v>
          </cell>
          <cell r="B341" t="str">
            <v>King fireworks 379</v>
          </cell>
          <cell r="C341" t="str">
            <v>1/1</v>
          </cell>
          <cell r="D341">
            <v>12</v>
          </cell>
        </row>
        <row r="342">
          <cell r="A342" t="str">
            <v>C379XMK/C(T)</v>
          </cell>
          <cell r="B342" t="str">
            <v>King fireworks 379</v>
          </cell>
          <cell r="C342" t="str">
            <v>1/1</v>
          </cell>
          <cell r="D342">
            <v>12</v>
          </cell>
        </row>
        <row r="343">
          <cell r="A343" t="str">
            <v>C39020F/C</v>
          </cell>
          <cell r="B343" t="str">
            <v>Fireworks show 390</v>
          </cell>
          <cell r="C343" t="str">
            <v>1/1</v>
          </cell>
          <cell r="D343">
            <v>33</v>
          </cell>
        </row>
        <row r="344">
          <cell r="A344" t="str">
            <v>C39020F/C(T)</v>
          </cell>
          <cell r="B344" t="str">
            <v>Fireworks show 390</v>
          </cell>
          <cell r="C344" t="str">
            <v>1/1</v>
          </cell>
          <cell r="D344">
            <v>36</v>
          </cell>
        </row>
        <row r="345">
          <cell r="A345" t="str">
            <v>C39MPT</v>
          </cell>
          <cell r="B345" t="str">
            <v>Pyrotechnology 2020 39sh</v>
          </cell>
          <cell r="C345" t="str">
            <v>8/1</v>
          </cell>
          <cell r="D345">
            <v>8</v>
          </cell>
        </row>
        <row r="346">
          <cell r="A346" t="str">
            <v>C39MPT14</v>
          </cell>
          <cell r="B346" t="str">
            <v>Pyrotechnology 2020 39sh</v>
          </cell>
          <cell r="C346" t="str">
            <v>8/1</v>
          </cell>
          <cell r="D346">
            <v>8</v>
          </cell>
        </row>
        <row r="347">
          <cell r="A347" t="str">
            <v>C40020XPR/C14</v>
          </cell>
          <cell r="B347" t="str">
            <v>Profi show multi shape 400/20mm</v>
          </cell>
          <cell r="C347" t="str">
            <v>1/1</v>
          </cell>
          <cell r="D347" t="str">
            <v>20</v>
          </cell>
        </row>
        <row r="348">
          <cell r="A348" t="str">
            <v>C40020XPR/C14(T)</v>
          </cell>
          <cell r="B348" t="str">
            <v>Profi show multi shape 400/20mm</v>
          </cell>
          <cell r="C348" t="str">
            <v>1/1</v>
          </cell>
          <cell r="D348" t="str">
            <v>20</v>
          </cell>
        </row>
        <row r="349">
          <cell r="A349" t="str">
            <v>C40025F/C</v>
          </cell>
          <cell r="B349" t="str">
            <v>Fireworks show 400</v>
          </cell>
          <cell r="C349" t="str">
            <v>1/1</v>
          </cell>
          <cell r="D349">
            <v>18</v>
          </cell>
        </row>
        <row r="350">
          <cell r="A350" t="str">
            <v>C40025F/C(T)</v>
          </cell>
          <cell r="B350" t="str">
            <v>Fireworks show 400</v>
          </cell>
          <cell r="C350" t="str">
            <v>1/1</v>
          </cell>
          <cell r="D350" t="str">
            <v>20</v>
          </cell>
        </row>
        <row r="351">
          <cell r="A351" t="str">
            <v>C40FMH</v>
          </cell>
          <cell r="B351" t="str">
            <v>Heroes</v>
          </cell>
          <cell r="C351" t="str">
            <v>8/1</v>
          </cell>
          <cell r="D351">
            <v>16</v>
          </cell>
        </row>
        <row r="352">
          <cell r="A352" t="str">
            <v>C41MSIG</v>
          </cell>
          <cell r="B352" t="str">
            <v>Red Signature range 41sh</v>
          </cell>
          <cell r="C352" t="str">
            <v>6/1</v>
          </cell>
          <cell r="D352">
            <v>14</v>
          </cell>
        </row>
        <row r="353">
          <cell r="A353" t="str">
            <v>C424MH/C E</v>
          </cell>
          <cell r="B353" t="str">
            <v>Horor Midnight dummy</v>
          </cell>
          <cell r="C353"/>
          <cell r="D353" t="str">
            <v/>
          </cell>
        </row>
        <row r="354">
          <cell r="A354" t="str">
            <v>C42MM</v>
          </cell>
          <cell r="B354" t="str">
            <v>Magor</v>
          </cell>
          <cell r="C354" t="str">
            <v>4/1</v>
          </cell>
          <cell r="D354">
            <v>24</v>
          </cell>
        </row>
        <row r="355">
          <cell r="A355" t="str">
            <v>C42XMK E</v>
          </cell>
          <cell r="B355" t="str">
            <v>Killer dummy</v>
          </cell>
          <cell r="C355"/>
          <cell r="D355" t="str">
            <v/>
          </cell>
        </row>
        <row r="356">
          <cell r="A356" t="str">
            <v>C446MM/C</v>
          </cell>
          <cell r="B356" t="str">
            <v>Mighty thunder</v>
          </cell>
          <cell r="C356" t="str">
            <v>1/1</v>
          </cell>
          <cell r="D356">
            <v>8</v>
          </cell>
        </row>
        <row r="357">
          <cell r="A357" t="str">
            <v>C446MM/C(T)</v>
          </cell>
          <cell r="B357" t="str">
            <v>Mighty thunder</v>
          </cell>
          <cell r="C357" t="str">
            <v>1/1</v>
          </cell>
          <cell r="D357">
            <v>8</v>
          </cell>
        </row>
        <row r="358">
          <cell r="A358" t="str">
            <v>C47MB</v>
          </cell>
          <cell r="B358" t="str">
            <v>Big Boss</v>
          </cell>
          <cell r="C358" t="str">
            <v>2/1</v>
          </cell>
          <cell r="D358">
            <v>30</v>
          </cell>
        </row>
        <row r="359">
          <cell r="A359" t="str">
            <v>C47MB E</v>
          </cell>
          <cell r="B359" t="str">
            <v>Big Boss dummy</v>
          </cell>
          <cell r="C359" t="str">
            <v>1/1</v>
          </cell>
          <cell r="D359" t="str">
            <v/>
          </cell>
        </row>
        <row r="360">
          <cell r="A360" t="str">
            <v>C47MI</v>
          </cell>
          <cell r="B360" t="str">
            <v>Ivánek</v>
          </cell>
          <cell r="C360" t="str">
            <v>2/1</v>
          </cell>
          <cell r="D360">
            <v>30</v>
          </cell>
        </row>
        <row r="361">
          <cell r="A361" t="str">
            <v>C47MT E</v>
          </cell>
          <cell r="B361" t="str">
            <v>Tomato dummy</v>
          </cell>
          <cell r="C361"/>
          <cell r="D361" t="str">
            <v/>
          </cell>
        </row>
        <row r="362">
          <cell r="A362" t="str">
            <v>C47XM2 E</v>
          </cell>
          <cell r="B362" t="str">
            <v>Tomato killer dummy</v>
          </cell>
          <cell r="C362"/>
          <cell r="D362" t="str">
            <v/>
          </cell>
        </row>
        <row r="363">
          <cell r="A363" t="str">
            <v>C47XMA</v>
          </cell>
          <cell r="B363" t="str">
            <v>Angry beats</v>
          </cell>
          <cell r="C363" t="str">
            <v>2/1</v>
          </cell>
          <cell r="D363">
            <v>10</v>
          </cell>
        </row>
        <row r="364">
          <cell r="A364" t="str">
            <v>C47XMT</v>
          </cell>
          <cell r="B364" t="str">
            <v>Tomato killer</v>
          </cell>
          <cell r="C364" t="str">
            <v>2/1</v>
          </cell>
          <cell r="D364">
            <v>10</v>
          </cell>
        </row>
        <row r="365">
          <cell r="A365" t="str">
            <v>C4825MP</v>
          </cell>
          <cell r="B365" t="str">
            <v>Pearates</v>
          </cell>
          <cell r="C365" t="str">
            <v>6/1</v>
          </cell>
          <cell r="D365">
            <v>18</v>
          </cell>
        </row>
        <row r="366">
          <cell r="A366" t="str">
            <v>C4920B E</v>
          </cell>
          <cell r="B366" t="str">
            <v>Baby Fighter dummy</v>
          </cell>
          <cell r="C366"/>
          <cell r="D366" t="str">
            <v/>
          </cell>
        </row>
        <row r="367">
          <cell r="A367" t="str">
            <v>C4920B14 E</v>
          </cell>
          <cell r="B367" t="str">
            <v>Baby Fighter dummy</v>
          </cell>
          <cell r="C367"/>
          <cell r="D367" t="str">
            <v/>
          </cell>
        </row>
        <row r="368">
          <cell r="A368" t="str">
            <v>C4920BPF</v>
          </cell>
          <cell r="B368" t="str">
            <v>Best price-Frozen 49/20mm</v>
          </cell>
          <cell r="C368" t="str">
            <v>8/1</v>
          </cell>
          <cell r="D368">
            <v>36</v>
          </cell>
        </row>
        <row r="369">
          <cell r="A369" t="str">
            <v>C4920D E</v>
          </cell>
          <cell r="B369" t="str">
            <v>Dráček dummy</v>
          </cell>
          <cell r="C369"/>
          <cell r="D369" t="str">
            <v/>
          </cell>
        </row>
        <row r="370">
          <cell r="A370" t="str">
            <v>C4920DR</v>
          </cell>
          <cell r="B370" t="str">
            <v>Dragon army</v>
          </cell>
          <cell r="C370" t="str">
            <v>8/1</v>
          </cell>
          <cell r="D370">
            <v>36</v>
          </cell>
        </row>
        <row r="371">
          <cell r="A371" t="str">
            <v>C4920DR14</v>
          </cell>
          <cell r="B371" t="str">
            <v>Dragon army</v>
          </cell>
          <cell r="C371" t="str">
            <v>8/1</v>
          </cell>
          <cell r="D371">
            <v>36</v>
          </cell>
        </row>
        <row r="372">
          <cell r="A372" t="str">
            <v>C4920K</v>
          </cell>
          <cell r="B372" t="str">
            <v>King Julien</v>
          </cell>
          <cell r="C372" t="str">
            <v>8/1</v>
          </cell>
          <cell r="D372">
            <v>36</v>
          </cell>
        </row>
        <row r="373">
          <cell r="A373" t="str">
            <v>C4920K E</v>
          </cell>
          <cell r="B373" t="str">
            <v>King Julien dummy</v>
          </cell>
          <cell r="C373"/>
          <cell r="D373" t="str">
            <v/>
          </cell>
        </row>
        <row r="374">
          <cell r="A374" t="str">
            <v>C4920NID</v>
          </cell>
          <cell r="B374" t="str">
            <v>New identity series 49</v>
          </cell>
          <cell r="C374" t="str">
            <v>8/1</v>
          </cell>
          <cell r="D374">
            <v>36</v>
          </cell>
        </row>
        <row r="375">
          <cell r="A375" t="str">
            <v>C4920S</v>
          </cell>
          <cell r="B375" t="str">
            <v>Šašek</v>
          </cell>
          <cell r="C375" t="str">
            <v>8/1</v>
          </cell>
          <cell r="D375">
            <v>36</v>
          </cell>
        </row>
        <row r="376">
          <cell r="A376" t="str">
            <v>C4920S E</v>
          </cell>
          <cell r="B376" t="str">
            <v>Šašek dummy</v>
          </cell>
          <cell r="C376"/>
          <cell r="D376" t="str">
            <v/>
          </cell>
        </row>
        <row r="377">
          <cell r="A377" t="str">
            <v>C4920S14</v>
          </cell>
          <cell r="B377" t="str">
            <v>Šašek</v>
          </cell>
          <cell r="C377" t="str">
            <v>8/1</v>
          </cell>
          <cell r="D377">
            <v>36</v>
          </cell>
        </row>
        <row r="378">
          <cell r="A378" t="str">
            <v>C4920SIG</v>
          </cell>
          <cell r="B378" t="str">
            <v>Signature range 49ran/20mm</v>
          </cell>
          <cell r="C378" t="str">
            <v>8/1</v>
          </cell>
          <cell r="D378">
            <v>36</v>
          </cell>
        </row>
        <row r="379">
          <cell r="A379" t="str">
            <v>C4920SIG E</v>
          </cell>
          <cell r="B379" t="str">
            <v>Signature range 49ran/20mm dummy</v>
          </cell>
          <cell r="C379"/>
          <cell r="D379" t="str">
            <v/>
          </cell>
        </row>
        <row r="380">
          <cell r="A380" t="str">
            <v>C4920SIG14</v>
          </cell>
          <cell r="B380" t="str">
            <v>Signature range 49ran/20mm</v>
          </cell>
          <cell r="C380" t="str">
            <v>8/1</v>
          </cell>
          <cell r="D380">
            <v>36</v>
          </cell>
        </row>
        <row r="381">
          <cell r="A381" t="str">
            <v>C4925BP14</v>
          </cell>
          <cell r="B381" t="str">
            <v>Best price 49/25mm</v>
          </cell>
          <cell r="C381" t="str">
            <v>6/1</v>
          </cell>
          <cell r="D381">
            <v>25</v>
          </cell>
        </row>
        <row r="382">
          <cell r="A382" t="str">
            <v>C4925D</v>
          </cell>
          <cell r="B382" t="str">
            <v>Dumbum 49ran-mini</v>
          </cell>
          <cell r="C382" t="str">
            <v>6/1</v>
          </cell>
          <cell r="D382">
            <v>25</v>
          </cell>
        </row>
        <row r="383">
          <cell r="A383" t="str">
            <v>C4925G</v>
          </cell>
          <cell r="B383" t="str">
            <v>Gas Man</v>
          </cell>
          <cell r="C383" t="str">
            <v>6/1</v>
          </cell>
          <cell r="D383">
            <v>25</v>
          </cell>
        </row>
        <row r="384">
          <cell r="A384" t="str">
            <v>C4925NO14</v>
          </cell>
          <cell r="B384" t="str">
            <v>No sound Fireworks</v>
          </cell>
          <cell r="C384" t="str">
            <v>6/1</v>
          </cell>
          <cell r="D384">
            <v>25</v>
          </cell>
        </row>
        <row r="385">
          <cell r="A385" t="str">
            <v>C4925P</v>
          </cell>
          <cell r="B385" t="str">
            <v xml:space="preserve">Panda   </v>
          </cell>
          <cell r="C385" t="str">
            <v>6/1</v>
          </cell>
          <cell r="D385">
            <v>25</v>
          </cell>
        </row>
        <row r="386">
          <cell r="A386" t="str">
            <v>C4925SIG</v>
          </cell>
          <cell r="B386" t="str">
            <v>Signature range 49ran/25mm</v>
          </cell>
          <cell r="C386" t="str">
            <v>6/1</v>
          </cell>
          <cell r="D386">
            <v>25</v>
          </cell>
        </row>
        <row r="387">
          <cell r="A387" t="str">
            <v>C4925V</v>
          </cell>
          <cell r="B387" t="str">
            <v>Viking</v>
          </cell>
          <cell r="C387" t="str">
            <v>6/1</v>
          </cell>
          <cell r="D387">
            <v>25</v>
          </cell>
        </row>
        <row r="388">
          <cell r="A388" t="str">
            <v>C4925V14</v>
          </cell>
          <cell r="B388" t="str">
            <v>Viking</v>
          </cell>
          <cell r="C388" t="str">
            <v>6/1</v>
          </cell>
          <cell r="D388">
            <v>25</v>
          </cell>
        </row>
        <row r="389">
          <cell r="A389" t="str">
            <v>C4925VS</v>
          </cell>
          <cell r="B389" t="str">
            <v>Vše nejlepší k narozeninám</v>
          </cell>
          <cell r="C389" t="str">
            <v>6/1</v>
          </cell>
          <cell r="D389">
            <v>25</v>
          </cell>
        </row>
        <row r="390">
          <cell r="A390" t="str">
            <v>C493B E</v>
          </cell>
          <cell r="B390" t="str">
            <v>Shaman dummy</v>
          </cell>
          <cell r="C390"/>
          <cell r="D390" t="str">
            <v/>
          </cell>
        </row>
        <row r="391">
          <cell r="A391" t="str">
            <v>C493BP</v>
          </cell>
          <cell r="B391" t="str">
            <v>Best price 49/30mm</v>
          </cell>
          <cell r="C391" t="str">
            <v>2/1</v>
          </cell>
          <cell r="D391">
            <v>42</v>
          </cell>
        </row>
        <row r="392">
          <cell r="A392" t="str">
            <v>C493BPS</v>
          </cell>
          <cell r="B392" t="str">
            <v>Best price Slow motion 49/30mm</v>
          </cell>
          <cell r="C392" t="str">
            <v>2/1</v>
          </cell>
          <cell r="D392">
            <v>42</v>
          </cell>
        </row>
        <row r="393">
          <cell r="A393" t="str">
            <v>C493BW</v>
          </cell>
          <cell r="B393" t="str">
            <v xml:space="preserve">Brocade War 49 </v>
          </cell>
          <cell r="C393" t="str">
            <v>2/1</v>
          </cell>
          <cell r="D393">
            <v>42</v>
          </cell>
        </row>
        <row r="394">
          <cell r="A394" t="str">
            <v>C493DU</v>
          </cell>
          <cell r="B394" t="str">
            <v>Dumbum 49ran</v>
          </cell>
          <cell r="C394" t="str">
            <v>2/1</v>
          </cell>
          <cell r="D394">
            <v>42</v>
          </cell>
        </row>
        <row r="395">
          <cell r="A395" t="str">
            <v>C493GH</v>
          </cell>
          <cell r="B395" t="str">
            <v xml:space="preserve">Ghost </v>
          </cell>
          <cell r="C395" t="str">
            <v>2/1</v>
          </cell>
          <cell r="D395">
            <v>42</v>
          </cell>
        </row>
        <row r="396">
          <cell r="A396" t="str">
            <v>C493GH E</v>
          </cell>
          <cell r="B396" t="str">
            <v>Ghost  /dummie</v>
          </cell>
          <cell r="C396" t="str">
            <v>1/1</v>
          </cell>
          <cell r="D396"/>
        </row>
        <row r="397">
          <cell r="A397" t="str">
            <v>C493LI</v>
          </cell>
          <cell r="B397" t="str">
            <v>Lion</v>
          </cell>
          <cell r="C397" t="str">
            <v>2/1</v>
          </cell>
          <cell r="D397">
            <v>42</v>
          </cell>
        </row>
        <row r="398">
          <cell r="A398" t="str">
            <v>C493MA</v>
          </cell>
          <cell r="B398" t="str">
            <v>Merry Christmas</v>
          </cell>
          <cell r="C398" t="str">
            <v>2/1</v>
          </cell>
          <cell r="D398">
            <v>42</v>
          </cell>
        </row>
        <row r="399">
          <cell r="A399" t="str">
            <v>C493PR</v>
          </cell>
          <cell r="B399" t="str">
            <v>Profi show 49</v>
          </cell>
          <cell r="C399" t="str">
            <v>2/1</v>
          </cell>
          <cell r="D399">
            <v>42</v>
          </cell>
        </row>
        <row r="400">
          <cell r="A400" t="str">
            <v>C493RG</v>
          </cell>
          <cell r="B400" t="str">
            <v>Red glittering wilow</v>
          </cell>
          <cell r="C400" t="str">
            <v>2/1</v>
          </cell>
          <cell r="D400">
            <v>42</v>
          </cell>
        </row>
        <row r="401">
          <cell r="A401" t="str">
            <v>C493RU</v>
          </cell>
          <cell r="B401" t="str">
            <v>Rusbaby</v>
          </cell>
          <cell r="C401" t="str">
            <v>2/1</v>
          </cell>
          <cell r="D401">
            <v>42</v>
          </cell>
        </row>
        <row r="402">
          <cell r="A402" t="str">
            <v>C493RU E</v>
          </cell>
          <cell r="B402" t="str">
            <v>Rusbaby dummy</v>
          </cell>
          <cell r="C402" t="str">
            <v>1/1</v>
          </cell>
          <cell r="D402" t="str">
            <v/>
          </cell>
        </row>
        <row r="403">
          <cell r="A403" t="str">
            <v>C493SW</v>
          </cell>
          <cell r="B403" t="str">
            <v xml:space="preserve">Super white strobe </v>
          </cell>
          <cell r="C403" t="str">
            <v>2/1</v>
          </cell>
          <cell r="D403">
            <v>42</v>
          </cell>
        </row>
        <row r="404">
          <cell r="A404" t="str">
            <v>C493T E</v>
          </cell>
          <cell r="B404" t="str">
            <v>Dumbum 49ran dummy</v>
          </cell>
          <cell r="C404"/>
          <cell r="D404" t="str">
            <v/>
          </cell>
        </row>
        <row r="405">
          <cell r="A405" t="str">
            <v>C495GW E</v>
          </cell>
          <cell r="B405" t="str">
            <v>C495GW dummy</v>
          </cell>
          <cell r="C405"/>
          <cell r="D405" t="str">
            <v/>
          </cell>
        </row>
        <row r="406">
          <cell r="A406" t="str">
            <v>C495V E</v>
          </cell>
          <cell r="B406" t="str">
            <v>Vietnam dummy</v>
          </cell>
          <cell r="C406"/>
          <cell r="D406" t="str">
            <v/>
          </cell>
        </row>
        <row r="407">
          <cell r="A407" t="str">
            <v>C495X E</v>
          </cell>
          <cell r="B407" t="str">
            <v>XXXL dummy</v>
          </cell>
          <cell r="C407"/>
          <cell r="D407" t="str">
            <v/>
          </cell>
        </row>
        <row r="408">
          <cell r="A408" t="str">
            <v>C4963V</v>
          </cell>
          <cell r="B408" t="str">
            <v>No Limit 49! (Victory celebration)</v>
          </cell>
          <cell r="C408" t="str">
            <v>1/1</v>
          </cell>
          <cell r="D408">
            <v>8</v>
          </cell>
        </row>
        <row r="409">
          <cell r="A409" t="str">
            <v>C503BI</v>
          </cell>
          <cell r="B409" t="str">
            <v xml:space="preserve">Big one </v>
          </cell>
          <cell r="C409" t="str">
            <v>2/1</v>
          </cell>
          <cell r="D409">
            <v>36</v>
          </cell>
        </row>
        <row r="410">
          <cell r="A410" t="str">
            <v>C503BO E</v>
          </cell>
          <cell r="B410" t="str">
            <v>Boris dummy</v>
          </cell>
          <cell r="C410"/>
          <cell r="D410" t="str">
            <v/>
          </cell>
        </row>
        <row r="411">
          <cell r="A411" t="str">
            <v>C503BW/C14</v>
          </cell>
          <cell r="B411" t="str">
            <v>Brocade War 50</v>
          </cell>
          <cell r="C411" t="str">
            <v>1/1</v>
          </cell>
          <cell r="D411" t="str">
            <v>84</v>
          </cell>
        </row>
        <row r="412">
          <cell r="A412" t="str">
            <v>C503BW/C14(T)</v>
          </cell>
          <cell r="B412" t="str">
            <v>Brocade War 50</v>
          </cell>
          <cell r="C412" t="str">
            <v>1/1</v>
          </cell>
          <cell r="D412" t="str">
            <v>84</v>
          </cell>
        </row>
        <row r="413">
          <cell r="A413" t="str">
            <v>C503F/C14</v>
          </cell>
          <cell r="B413" t="str">
            <v>Fireworks show 50</v>
          </cell>
          <cell r="C413" t="str">
            <v>1/1</v>
          </cell>
          <cell r="D413" t="str">
            <v>84</v>
          </cell>
        </row>
        <row r="414">
          <cell r="A414" t="str">
            <v>C503F/C14(T)</v>
          </cell>
          <cell r="B414" t="str">
            <v>Fireworks show 50</v>
          </cell>
          <cell r="C414" t="str">
            <v>1/1</v>
          </cell>
          <cell r="D414" t="str">
            <v>84</v>
          </cell>
        </row>
        <row r="415">
          <cell r="A415" t="str">
            <v>C503ME</v>
          </cell>
          <cell r="B415" t="str">
            <v>Meteor new age</v>
          </cell>
          <cell r="C415" t="str">
            <v>2/1</v>
          </cell>
          <cell r="D415">
            <v>36</v>
          </cell>
        </row>
        <row r="416">
          <cell r="A416" t="str">
            <v>C503NID/C14</v>
          </cell>
          <cell r="B416" t="str">
            <v>New identity series 50/30mm</v>
          </cell>
          <cell r="C416" t="str">
            <v>1/1</v>
          </cell>
          <cell r="D416" t="str">
            <v>84</v>
          </cell>
        </row>
        <row r="417">
          <cell r="A417" t="str">
            <v>C503NID/C14(T)</v>
          </cell>
          <cell r="B417" t="str">
            <v>New identity series 50/30mm</v>
          </cell>
          <cell r="C417" t="str">
            <v>1/1</v>
          </cell>
          <cell r="D417" t="str">
            <v>84</v>
          </cell>
        </row>
        <row r="418">
          <cell r="A418" t="str">
            <v>C503RA</v>
          </cell>
          <cell r="B418" t="str">
            <v>Ratman</v>
          </cell>
          <cell r="C418" t="str">
            <v>2/1</v>
          </cell>
          <cell r="D418">
            <v>36</v>
          </cell>
        </row>
        <row r="419">
          <cell r="A419" t="str">
            <v>C503RA E</v>
          </cell>
          <cell r="B419" t="str">
            <v>Ratman dummy</v>
          </cell>
          <cell r="C419"/>
          <cell r="D419" t="str">
            <v/>
          </cell>
        </row>
        <row r="420">
          <cell r="A420" t="str">
            <v>C503RO</v>
          </cell>
          <cell r="B420" t="str">
            <v>Royal</v>
          </cell>
          <cell r="C420" t="str">
            <v>2/1</v>
          </cell>
          <cell r="D420">
            <v>36</v>
          </cell>
        </row>
        <row r="421">
          <cell r="A421" t="str">
            <v>C503RO/C14</v>
          </cell>
          <cell r="B421" t="str">
            <v>Royal F2</v>
          </cell>
          <cell r="C421" t="str">
            <v>1/1</v>
          </cell>
          <cell r="D421" t="str">
            <v>84</v>
          </cell>
        </row>
        <row r="422">
          <cell r="A422" t="str">
            <v>C503RO/C14(T)</v>
          </cell>
          <cell r="B422" t="str">
            <v>Royal F2</v>
          </cell>
          <cell r="C422" t="str">
            <v>1/1</v>
          </cell>
          <cell r="D422" t="str">
            <v>84</v>
          </cell>
        </row>
        <row r="423">
          <cell r="A423" t="str">
            <v>C503SIG/C14</v>
          </cell>
          <cell r="B423" t="str">
            <v>Signature range 50/F2</v>
          </cell>
          <cell r="C423" t="str">
            <v>1/1</v>
          </cell>
          <cell r="D423" t="str">
            <v>84</v>
          </cell>
        </row>
        <row r="424">
          <cell r="A424" t="str">
            <v>C503SIG/C14(T)</v>
          </cell>
          <cell r="B424" t="str">
            <v>Signature range 50/F2</v>
          </cell>
          <cell r="C424" t="str">
            <v>1/1</v>
          </cell>
          <cell r="D424" t="str">
            <v>84</v>
          </cell>
        </row>
        <row r="425">
          <cell r="A425" t="str">
            <v>C503SIGA</v>
          </cell>
          <cell r="B425" t="str">
            <v>Signature range 50sh A</v>
          </cell>
          <cell r="C425" t="str">
            <v>2/1</v>
          </cell>
          <cell r="D425">
            <v>36</v>
          </cell>
        </row>
        <row r="426">
          <cell r="A426" t="str">
            <v>C503T</v>
          </cell>
          <cell r="B426" t="str">
            <v>Meteor 50ran-new age</v>
          </cell>
          <cell r="C426" t="str">
            <v>2/1</v>
          </cell>
          <cell r="D426">
            <v>42</v>
          </cell>
        </row>
        <row r="427">
          <cell r="A427" t="str">
            <v>C503TS/C14</v>
          </cell>
          <cell r="B427" t="str">
            <v>Turbo 30mm shots 25</v>
          </cell>
          <cell r="C427" t="str">
            <v>1/1</v>
          </cell>
          <cell r="D427" t="str">
            <v>84</v>
          </cell>
        </row>
        <row r="428">
          <cell r="A428" t="str">
            <v>C503TS/C14(T)</v>
          </cell>
          <cell r="B428" t="str">
            <v>Turbo 30mm shots 25</v>
          </cell>
          <cell r="C428" t="str">
            <v>1/1</v>
          </cell>
          <cell r="D428" t="str">
            <v>84</v>
          </cell>
        </row>
        <row r="429">
          <cell r="A429" t="str">
            <v>C503WI</v>
          </cell>
          <cell r="B429" t="str">
            <v xml:space="preserve">Winner </v>
          </cell>
          <cell r="C429" t="str">
            <v>2/1</v>
          </cell>
          <cell r="D429">
            <v>36</v>
          </cell>
        </row>
        <row r="430">
          <cell r="A430" t="str">
            <v>C505V/C</v>
          </cell>
          <cell r="B430" t="str">
            <v xml:space="preserve">Vietnam </v>
          </cell>
          <cell r="C430" t="str">
            <v>1/1</v>
          </cell>
          <cell r="D430">
            <v>20</v>
          </cell>
        </row>
        <row r="431">
          <cell r="A431" t="str">
            <v>C505V/C(T)</v>
          </cell>
          <cell r="B431" t="str">
            <v xml:space="preserve">Vietnam </v>
          </cell>
          <cell r="C431" t="str">
            <v>1/1</v>
          </cell>
          <cell r="D431">
            <v>20</v>
          </cell>
        </row>
        <row r="432">
          <cell r="A432" t="str">
            <v>C505X/C</v>
          </cell>
          <cell r="B432" t="str">
            <v>XXXL 50ran</v>
          </cell>
          <cell r="C432" t="str">
            <v>1/1</v>
          </cell>
          <cell r="D432">
            <v>20</v>
          </cell>
        </row>
        <row r="433">
          <cell r="A433" t="str">
            <v>C505X/C(T)</v>
          </cell>
          <cell r="B433" t="str">
            <v>XXXL 50ran</v>
          </cell>
          <cell r="C433" t="str">
            <v>1/1</v>
          </cell>
          <cell r="D433">
            <v>20</v>
          </cell>
        </row>
        <row r="434">
          <cell r="A434" t="str">
            <v>C50MCH</v>
          </cell>
          <cell r="B434" t="str">
            <v>Cheers</v>
          </cell>
          <cell r="C434" t="str">
            <v>6/1</v>
          </cell>
          <cell r="D434">
            <v>16</v>
          </cell>
        </row>
        <row r="435">
          <cell r="A435" t="str">
            <v>C50MO</v>
          </cell>
          <cell r="B435" t="str">
            <v>Ogre</v>
          </cell>
          <cell r="C435" t="str">
            <v>6/1</v>
          </cell>
          <cell r="D435">
            <v>16</v>
          </cell>
        </row>
        <row r="436">
          <cell r="A436" t="str">
            <v>C50MO14</v>
          </cell>
          <cell r="B436" t="str">
            <v>Ogre</v>
          </cell>
          <cell r="C436" t="str">
            <v>6/1</v>
          </cell>
          <cell r="D436">
            <v>16</v>
          </cell>
        </row>
        <row r="437">
          <cell r="A437" t="str">
            <v>C52020F/C</v>
          </cell>
          <cell r="B437" t="str">
            <v>Fireworks show 520</v>
          </cell>
          <cell r="C437" t="str">
            <v>1/1</v>
          </cell>
          <cell r="D437">
            <v>24</v>
          </cell>
        </row>
        <row r="438">
          <cell r="A438" t="str">
            <v>C52020F/C(T)</v>
          </cell>
          <cell r="B438" t="str">
            <v>Fireworks show 520</v>
          </cell>
          <cell r="C438" t="str">
            <v>1/1</v>
          </cell>
          <cell r="D438">
            <v>24</v>
          </cell>
        </row>
        <row r="439">
          <cell r="A439" t="str">
            <v>C53620F/C</v>
          </cell>
          <cell r="B439" t="str">
            <v>Fireworks show 536</v>
          </cell>
          <cell r="C439" t="str">
            <v>1/1</v>
          </cell>
          <cell r="D439" t="str">
            <v>20</v>
          </cell>
        </row>
        <row r="440">
          <cell r="A440" t="str">
            <v>C53620F/C(T)</v>
          </cell>
          <cell r="B440" t="str">
            <v>Fireworks show 536</v>
          </cell>
          <cell r="C440" t="str">
            <v>1/1</v>
          </cell>
          <cell r="D440" t="str">
            <v>20</v>
          </cell>
        </row>
        <row r="441">
          <cell r="A441" t="str">
            <v>C60020XPR/C</v>
          </cell>
          <cell r="B441" t="str">
            <v>Profi show multi shape 600</v>
          </cell>
          <cell r="C441" t="str">
            <v>1/1</v>
          </cell>
          <cell r="D441">
            <v>14</v>
          </cell>
        </row>
        <row r="442">
          <cell r="A442" t="str">
            <v>C62SMT</v>
          </cell>
          <cell r="B442" t="str">
            <v>The Sky Breaker</v>
          </cell>
          <cell r="C442" t="str">
            <v>2/1</v>
          </cell>
          <cell r="D442">
            <v>24</v>
          </cell>
        </row>
        <row r="443">
          <cell r="A443" t="str">
            <v>C62SMT E</v>
          </cell>
          <cell r="B443" t="str">
            <v>The Sky Breaker dummy</v>
          </cell>
          <cell r="C443" t="str">
            <v>1/1</v>
          </cell>
          <cell r="D443" t="str">
            <v/>
          </cell>
        </row>
        <row r="444">
          <cell r="A444" t="str">
            <v>C63MM</v>
          </cell>
          <cell r="B444" t="str">
            <v>Myslivec</v>
          </cell>
          <cell r="C444" t="str">
            <v>3/1</v>
          </cell>
          <cell r="D444">
            <v>21</v>
          </cell>
        </row>
        <row r="445">
          <cell r="A445" t="str">
            <v>C63MP</v>
          </cell>
          <cell r="B445" t="str">
            <v>Prehistoric</v>
          </cell>
          <cell r="C445" t="str">
            <v>3/1</v>
          </cell>
          <cell r="D445">
            <v>18</v>
          </cell>
        </row>
        <row r="446">
          <cell r="A446" t="str">
            <v>C63MP E</v>
          </cell>
          <cell r="B446" t="str">
            <v>Prehistoric dummy</v>
          </cell>
          <cell r="C446" t="str">
            <v>1/1</v>
          </cell>
          <cell r="D446" t="str">
            <v/>
          </cell>
        </row>
        <row r="447">
          <cell r="A447" t="str">
            <v>C6420B</v>
          </cell>
          <cell r="B447" t="str">
            <v>Breakboo</v>
          </cell>
          <cell r="C447" t="str">
            <v>6/1</v>
          </cell>
          <cell r="D447">
            <v>48</v>
          </cell>
        </row>
        <row r="448">
          <cell r="A448" t="str">
            <v>C6420B E</v>
          </cell>
          <cell r="B448" t="str">
            <v>Breakboo dummy</v>
          </cell>
          <cell r="C448"/>
          <cell r="D448" t="str">
            <v/>
          </cell>
        </row>
        <row r="449">
          <cell r="A449" t="str">
            <v>C6420B14 E</v>
          </cell>
          <cell r="B449" t="str">
            <v>Breakboo dummy</v>
          </cell>
          <cell r="C449"/>
          <cell r="D449" t="str">
            <v/>
          </cell>
        </row>
        <row r="450">
          <cell r="A450" t="str">
            <v>C6420BPW</v>
          </cell>
          <cell r="B450" t="str">
            <v>Best price Wild fire 64/20mm</v>
          </cell>
          <cell r="C450" t="str">
            <v>6/1</v>
          </cell>
          <cell r="D450">
            <v>48</v>
          </cell>
        </row>
        <row r="451">
          <cell r="A451" t="str">
            <v>C6420D</v>
          </cell>
          <cell r="B451" t="str">
            <v>Devil</v>
          </cell>
          <cell r="C451" t="str">
            <v>6/1</v>
          </cell>
          <cell r="D451">
            <v>48</v>
          </cell>
        </row>
        <row r="452">
          <cell r="A452" t="str">
            <v>C6420D14</v>
          </cell>
          <cell r="B452" t="str">
            <v>Devil</v>
          </cell>
          <cell r="C452" t="str">
            <v>6/1</v>
          </cell>
          <cell r="D452">
            <v>48</v>
          </cell>
        </row>
        <row r="453">
          <cell r="A453" t="str">
            <v>C6420DU/C</v>
          </cell>
          <cell r="B453" t="str">
            <v>Dumbum 64/20mm</v>
          </cell>
          <cell r="C453" t="str">
            <v>6/1</v>
          </cell>
          <cell r="D453">
            <v>22</v>
          </cell>
        </row>
        <row r="454">
          <cell r="A454" t="str">
            <v>C6420G</v>
          </cell>
          <cell r="B454" t="str">
            <v>Grouch</v>
          </cell>
          <cell r="C454" t="str">
            <v>6/1</v>
          </cell>
          <cell r="D454">
            <v>48</v>
          </cell>
        </row>
        <row r="455">
          <cell r="A455" t="str">
            <v>C6420G14</v>
          </cell>
          <cell r="B455" t="str">
            <v>Grouch</v>
          </cell>
          <cell r="C455" t="str">
            <v>6/1</v>
          </cell>
          <cell r="D455">
            <v>48</v>
          </cell>
        </row>
        <row r="456">
          <cell r="A456" t="str">
            <v>C6420H14 E</v>
          </cell>
          <cell r="B456" t="str">
            <v>Hedgehogs dummy</v>
          </cell>
          <cell r="C456"/>
          <cell r="D456" t="str">
            <v/>
          </cell>
        </row>
        <row r="457">
          <cell r="A457" t="str">
            <v>C6420HE14 E</v>
          </cell>
          <cell r="B457" t="str">
            <v>Heavy dummy</v>
          </cell>
          <cell r="C457"/>
          <cell r="D457" t="str">
            <v/>
          </cell>
        </row>
        <row r="458">
          <cell r="A458" t="str">
            <v>C6425XPT</v>
          </cell>
          <cell r="B458" t="str">
            <v>Pyrotechnology 2020 64sh</v>
          </cell>
          <cell r="C458" t="str">
            <v>3/1</v>
          </cell>
          <cell r="D458">
            <v>24</v>
          </cell>
        </row>
        <row r="459">
          <cell r="A459" t="str">
            <v>C643B E</v>
          </cell>
          <cell r="B459" t="str">
            <v>Trabant dummy</v>
          </cell>
          <cell r="C459"/>
          <cell r="D459" t="str">
            <v/>
          </cell>
        </row>
        <row r="460">
          <cell r="A460" t="str">
            <v>C643BI</v>
          </cell>
          <cell r="B460" t="str">
            <v>Big King</v>
          </cell>
          <cell r="C460" t="str">
            <v>2/1</v>
          </cell>
          <cell r="D460">
            <v>24</v>
          </cell>
        </row>
        <row r="461">
          <cell r="A461" t="str">
            <v>C643BI E</v>
          </cell>
          <cell r="B461" t="str">
            <v>Big King dummy</v>
          </cell>
          <cell r="C461"/>
          <cell r="D461" t="str">
            <v/>
          </cell>
        </row>
        <row r="462">
          <cell r="A462" t="str">
            <v>C643BPF</v>
          </cell>
          <cell r="B462" t="str">
            <v>Best price-Frozen 64/30mm</v>
          </cell>
          <cell r="C462" t="str">
            <v>2/1</v>
          </cell>
          <cell r="D462">
            <v>24</v>
          </cell>
        </row>
        <row r="463">
          <cell r="A463" t="str">
            <v>C643C E</v>
          </cell>
          <cell r="B463" t="str">
            <v>Ho Chi Minh dummy</v>
          </cell>
          <cell r="C463"/>
          <cell r="D463" t="str">
            <v/>
          </cell>
        </row>
        <row r="464">
          <cell r="A464" t="str">
            <v>C643D E</v>
          </cell>
          <cell r="B464" t="str">
            <v>Meteor 64ran dummy</v>
          </cell>
          <cell r="C464"/>
          <cell r="D464" t="str">
            <v/>
          </cell>
        </row>
        <row r="465">
          <cell r="A465" t="str">
            <v>C643E E</v>
          </cell>
          <cell r="B465" t="str">
            <v>Žoldák dummy</v>
          </cell>
          <cell r="C465"/>
          <cell r="D465" t="str">
            <v/>
          </cell>
        </row>
        <row r="466">
          <cell r="A466" t="str">
            <v>C643H</v>
          </cell>
          <cell r="B466" t="str">
            <v>Ho Chi Minh</v>
          </cell>
          <cell r="C466" t="str">
            <v>2/1</v>
          </cell>
          <cell r="D466">
            <v>24</v>
          </cell>
        </row>
        <row r="467">
          <cell r="A467" t="str">
            <v>C643M</v>
          </cell>
          <cell r="B467" t="str">
            <v>Meteor 64ran</v>
          </cell>
          <cell r="C467" t="str">
            <v>2/1</v>
          </cell>
          <cell r="D467">
            <v>24</v>
          </cell>
        </row>
        <row r="468">
          <cell r="A468" t="str">
            <v>C643MN</v>
          </cell>
          <cell r="B468" t="str">
            <v>New fire Power</v>
          </cell>
          <cell r="C468" t="str">
            <v>2/1</v>
          </cell>
          <cell r="D468" t="str">
            <v>12</v>
          </cell>
        </row>
        <row r="469">
          <cell r="A469" t="str">
            <v>C643MN E</v>
          </cell>
          <cell r="B469" t="str">
            <v>New fire Power dummy</v>
          </cell>
          <cell r="C469" t="str">
            <v>1/1</v>
          </cell>
          <cell r="D469" t="str">
            <v/>
          </cell>
        </row>
        <row r="470">
          <cell r="A470" t="str">
            <v>C643XMO</v>
          </cell>
          <cell r="B470" t="str">
            <v>Only for the best</v>
          </cell>
          <cell r="C470" t="str">
            <v>2/1</v>
          </cell>
          <cell r="D470">
            <v>14</v>
          </cell>
        </row>
        <row r="471">
          <cell r="A471" t="str">
            <v>C643XMS</v>
          </cell>
          <cell r="B471" t="str">
            <v>Show must go on</v>
          </cell>
          <cell r="C471" t="str">
            <v>2/1</v>
          </cell>
          <cell r="D471">
            <v>14</v>
          </cell>
        </row>
        <row r="472">
          <cell r="A472" t="str">
            <v>C64MP</v>
          </cell>
          <cell r="B472" t="str">
            <v>Profesionál</v>
          </cell>
          <cell r="C472" t="str">
            <v>4/1</v>
          </cell>
          <cell r="D472">
            <v>36</v>
          </cell>
        </row>
        <row r="473">
          <cell r="A473" t="str">
            <v>C64MSIG E</v>
          </cell>
          <cell r="B473" t="str">
            <v>Signature range 64ran dummy</v>
          </cell>
          <cell r="C473"/>
          <cell r="D473" t="str">
            <v/>
          </cell>
        </row>
        <row r="474">
          <cell r="A474" t="str">
            <v>C64MT</v>
          </cell>
          <cell r="B474" t="str">
            <v>Texas Holdem</v>
          </cell>
          <cell r="C474" t="str">
            <v>4/1</v>
          </cell>
          <cell r="D474">
            <v>36</v>
          </cell>
        </row>
        <row r="475">
          <cell r="A475" t="str">
            <v>C64MT14</v>
          </cell>
          <cell r="B475" t="str">
            <v>Texas Holdem</v>
          </cell>
          <cell r="C475" t="str">
            <v>4/1</v>
          </cell>
          <cell r="D475">
            <v>36</v>
          </cell>
        </row>
        <row r="476">
          <cell r="A476" t="str">
            <v>C6620L</v>
          </cell>
          <cell r="B476" t="str">
            <v>Luxury pyro</v>
          </cell>
          <cell r="C476" t="str">
            <v>4/1</v>
          </cell>
          <cell r="D476">
            <v>18</v>
          </cell>
        </row>
        <row r="477">
          <cell r="A477" t="str">
            <v>C6620L14</v>
          </cell>
          <cell r="B477" t="str">
            <v>Luxury pyro</v>
          </cell>
          <cell r="C477" t="str">
            <v>4/1</v>
          </cell>
          <cell r="D477">
            <v>18</v>
          </cell>
        </row>
        <row r="478">
          <cell r="A478" t="str">
            <v>C6620P</v>
          </cell>
          <cell r="B478" t="str">
            <v>Pyromaster</v>
          </cell>
          <cell r="C478" t="str">
            <v>4/1</v>
          </cell>
          <cell r="D478">
            <v>18</v>
          </cell>
        </row>
        <row r="479">
          <cell r="A479" t="str">
            <v>C6620P14</v>
          </cell>
          <cell r="B479" t="str">
            <v>Pyromaster</v>
          </cell>
          <cell r="C479" t="str">
            <v>4/1</v>
          </cell>
          <cell r="D479">
            <v>18</v>
          </cell>
        </row>
        <row r="480">
          <cell r="A480" t="str">
            <v>C6620SIG</v>
          </cell>
          <cell r="B480" t="str">
            <v>Red Signature range 66/20mm</v>
          </cell>
          <cell r="C480" t="str">
            <v>4/1</v>
          </cell>
          <cell r="D480">
            <v>18</v>
          </cell>
        </row>
        <row r="481">
          <cell r="A481" t="str">
            <v>C66SMMO</v>
          </cell>
          <cell r="B481" t="str">
            <v>Moon Destroyer</v>
          </cell>
          <cell r="C481" t="str">
            <v>2/1</v>
          </cell>
          <cell r="D481">
            <v>20</v>
          </cell>
        </row>
        <row r="482">
          <cell r="A482" t="str">
            <v>C68XMCS</v>
          </cell>
          <cell r="B482" t="str">
            <v>Colorful Sky</v>
          </cell>
          <cell r="C482" t="str">
            <v>6/1</v>
          </cell>
          <cell r="D482">
            <v>15</v>
          </cell>
        </row>
        <row r="483">
          <cell r="A483" t="str">
            <v>C68XMCS14</v>
          </cell>
          <cell r="B483" t="str">
            <v>Colorful Sky</v>
          </cell>
          <cell r="C483" t="str">
            <v>6/1</v>
          </cell>
          <cell r="D483">
            <v>15</v>
          </cell>
        </row>
        <row r="484">
          <cell r="A484" t="str">
            <v>C68XMPT</v>
          </cell>
          <cell r="B484" t="str">
            <v>Pyrotechnology 2020 68sh</v>
          </cell>
          <cell r="C484" t="str">
            <v>6/1</v>
          </cell>
          <cell r="D484">
            <v>15</v>
          </cell>
        </row>
        <row r="485">
          <cell r="A485" t="str">
            <v>C68XMPT14</v>
          </cell>
          <cell r="B485" t="str">
            <v>Pyrotechnology 2020 68sh</v>
          </cell>
          <cell r="C485" t="str">
            <v>6/1</v>
          </cell>
          <cell r="D485">
            <v>15</v>
          </cell>
        </row>
        <row r="486">
          <cell r="A486" t="str">
            <v>C755R/C</v>
          </cell>
          <cell r="B486" t="str">
            <v xml:space="preserve">Refresh </v>
          </cell>
          <cell r="C486" t="str">
            <v>1/1</v>
          </cell>
          <cell r="D486">
            <v>10</v>
          </cell>
        </row>
        <row r="487">
          <cell r="A487" t="str">
            <v>C755R/C(T)</v>
          </cell>
          <cell r="B487" t="str">
            <v xml:space="preserve">Refresh </v>
          </cell>
          <cell r="C487" t="str">
            <v>1/1</v>
          </cell>
          <cell r="D487">
            <v>24</v>
          </cell>
        </row>
        <row r="488">
          <cell r="A488" t="str">
            <v>C84M12F/C</v>
          </cell>
          <cell r="B488" t="str">
            <v>Fireworks show 84</v>
          </cell>
          <cell r="C488" t="str">
            <v>1/1</v>
          </cell>
          <cell r="D488">
            <v>30</v>
          </cell>
        </row>
        <row r="489">
          <cell r="A489" t="str">
            <v>C84M12F/C(T)</v>
          </cell>
          <cell r="B489" t="str">
            <v>Fireworks show 84</v>
          </cell>
          <cell r="C489" t="str">
            <v>1/1</v>
          </cell>
          <cell r="D489">
            <v>36</v>
          </cell>
        </row>
        <row r="490">
          <cell r="A490" t="str">
            <v>C84M12S/C</v>
          </cell>
          <cell r="B490" t="str">
            <v>Show time</v>
          </cell>
          <cell r="C490" t="str">
            <v>1/1</v>
          </cell>
          <cell r="D490">
            <v>30</v>
          </cell>
        </row>
        <row r="491">
          <cell r="A491" t="str">
            <v>C84M12S/C(T)</v>
          </cell>
          <cell r="B491" t="str">
            <v>Show time</v>
          </cell>
          <cell r="C491" t="str">
            <v>1/1</v>
          </cell>
          <cell r="D491">
            <v>36</v>
          </cell>
        </row>
        <row r="492">
          <cell r="A492" t="str">
            <v>C84MC/C</v>
          </cell>
          <cell r="B492" t="str">
            <v xml:space="preserve">City of Earth  </v>
          </cell>
          <cell r="C492" t="str">
            <v>1/1</v>
          </cell>
          <cell r="D492">
            <v>24</v>
          </cell>
        </row>
        <row r="493">
          <cell r="A493" t="str">
            <v>C84MC/C(T)</v>
          </cell>
          <cell r="B493" t="str">
            <v xml:space="preserve">City of Earth  </v>
          </cell>
          <cell r="C493" t="str">
            <v>1/1</v>
          </cell>
          <cell r="D493">
            <v>24</v>
          </cell>
        </row>
        <row r="494">
          <cell r="A494" t="str">
            <v>C8825BR</v>
          </cell>
          <cell r="B494" t="str">
            <v>Brocade war</v>
          </cell>
          <cell r="C494" t="str">
            <v>2/1</v>
          </cell>
          <cell r="D494">
            <v>40</v>
          </cell>
        </row>
        <row r="495">
          <cell r="A495" t="str">
            <v>C8825G</v>
          </cell>
          <cell r="B495" t="str">
            <v>Graffiti</v>
          </cell>
          <cell r="C495" t="str">
            <v>2/1</v>
          </cell>
          <cell r="D495">
            <v>40</v>
          </cell>
        </row>
        <row r="496">
          <cell r="A496" t="str">
            <v>C8825G E</v>
          </cell>
          <cell r="B496" t="str">
            <v>Graffiti dummy</v>
          </cell>
          <cell r="C496"/>
          <cell r="D496" t="str">
            <v/>
          </cell>
        </row>
        <row r="497">
          <cell r="A497" t="str">
            <v>C8825M</v>
          </cell>
          <cell r="B497" t="str">
            <v>Motorhead warior</v>
          </cell>
          <cell r="C497" t="str">
            <v>2/1</v>
          </cell>
          <cell r="D497">
            <v>40</v>
          </cell>
        </row>
        <row r="498">
          <cell r="A498" t="str">
            <v>C8825M E</v>
          </cell>
          <cell r="B498" t="str">
            <v>Motorhead warior dummy</v>
          </cell>
          <cell r="C498" t="str">
            <v>1/1</v>
          </cell>
          <cell r="D498" t="str">
            <v/>
          </cell>
        </row>
        <row r="499">
          <cell r="A499" t="str">
            <v>C8825PA</v>
          </cell>
          <cell r="B499" t="str">
            <v>Partička</v>
          </cell>
          <cell r="C499" t="str">
            <v>2/1</v>
          </cell>
          <cell r="D499">
            <v>40</v>
          </cell>
        </row>
        <row r="500">
          <cell r="A500" t="str">
            <v>C8825PA E</v>
          </cell>
          <cell r="B500" t="str">
            <v>Partička dummy</v>
          </cell>
          <cell r="C500" t="str">
            <v>1/1</v>
          </cell>
          <cell r="D500" t="str">
            <v/>
          </cell>
        </row>
        <row r="501">
          <cell r="A501" t="str">
            <v>C8925B</v>
          </cell>
          <cell r="B501" t="str">
            <v>Blue planet eruption</v>
          </cell>
          <cell r="C501" t="str">
            <v>2/1</v>
          </cell>
          <cell r="D501">
            <v>24</v>
          </cell>
        </row>
        <row r="502">
          <cell r="A502" t="str">
            <v>C8925M E</v>
          </cell>
          <cell r="B502" t="str">
            <v>Martian invasion dummy</v>
          </cell>
          <cell r="C502"/>
          <cell r="D502" t="str">
            <v/>
          </cell>
        </row>
        <row r="503">
          <cell r="A503" t="str">
            <v>C8925N</v>
          </cell>
          <cell r="B503" t="str">
            <v>Night Chaos</v>
          </cell>
          <cell r="C503" t="str">
            <v>2/1</v>
          </cell>
          <cell r="D503">
            <v>24</v>
          </cell>
        </row>
        <row r="504">
          <cell r="A504" t="str">
            <v>C8925N E</v>
          </cell>
          <cell r="B504" t="str">
            <v>Night Chaos dummy</v>
          </cell>
          <cell r="C504" t="str">
            <v>1/1</v>
          </cell>
          <cell r="D504" t="str">
            <v/>
          </cell>
        </row>
        <row r="505">
          <cell r="A505" t="str">
            <v>C9020C E</v>
          </cell>
          <cell r="B505" t="str">
            <v>Crocodille dummy</v>
          </cell>
          <cell r="C505"/>
          <cell r="D505" t="str">
            <v/>
          </cell>
        </row>
        <row r="506">
          <cell r="A506" t="str">
            <v>C9020SIG</v>
          </cell>
          <cell r="B506" t="str">
            <v>Signature range 90ran</v>
          </cell>
          <cell r="C506" t="str">
            <v>6/1</v>
          </cell>
          <cell r="D506">
            <v>24</v>
          </cell>
        </row>
        <row r="507">
          <cell r="A507" t="str">
            <v>C9020V</v>
          </cell>
          <cell r="B507" t="str">
            <v>Válka světů</v>
          </cell>
          <cell r="C507" t="str">
            <v>6/1</v>
          </cell>
          <cell r="D507">
            <v>24</v>
          </cell>
        </row>
        <row r="508">
          <cell r="A508" t="str">
            <v>C9020V E</v>
          </cell>
          <cell r="B508" t="str">
            <v>Válka světů dummy</v>
          </cell>
          <cell r="C508"/>
          <cell r="D508" t="str">
            <v/>
          </cell>
        </row>
        <row r="509">
          <cell r="A509" t="str">
            <v>C9020X</v>
          </cell>
          <cell r="B509" t="str">
            <v>Xmas dream</v>
          </cell>
          <cell r="C509" t="str">
            <v>6/1</v>
          </cell>
          <cell r="D509">
            <v>24</v>
          </cell>
        </row>
        <row r="510">
          <cell r="A510" t="str">
            <v>C9020X E</v>
          </cell>
          <cell r="B510" t="str">
            <v>Xmas dream dummy</v>
          </cell>
          <cell r="C510" t="str">
            <v>1/1</v>
          </cell>
          <cell r="D510" t="str">
            <v/>
          </cell>
        </row>
        <row r="511">
          <cell r="A511" t="str">
            <v>C920L</v>
          </cell>
          <cell r="B511" t="str">
            <v>Lumpík</v>
          </cell>
          <cell r="C511" t="str">
            <v>40/1</v>
          </cell>
          <cell r="D511">
            <v>36</v>
          </cell>
        </row>
        <row r="512">
          <cell r="A512" t="str">
            <v>C920M</v>
          </cell>
          <cell r="B512" t="str">
            <v>Major</v>
          </cell>
          <cell r="C512" t="str">
            <v>40/1</v>
          </cell>
          <cell r="D512">
            <v>36</v>
          </cell>
        </row>
        <row r="513">
          <cell r="A513" t="str">
            <v>C9625MF/C14</v>
          </cell>
          <cell r="B513" t="str">
            <v>Profi Fireworks show 96</v>
          </cell>
          <cell r="C513" t="str">
            <v>1/1</v>
          </cell>
          <cell r="D513" t="str">
            <v>54</v>
          </cell>
        </row>
        <row r="514">
          <cell r="A514" t="str">
            <v>C9625MF/C14(T)</v>
          </cell>
          <cell r="B514" t="str">
            <v>Fireworks show 96</v>
          </cell>
          <cell r="C514" t="str">
            <v>1/1</v>
          </cell>
          <cell r="D514" t="str">
            <v>54</v>
          </cell>
        </row>
        <row r="515">
          <cell r="A515" t="str">
            <v>C96MB</v>
          </cell>
          <cell r="B515" t="str">
            <v>Baterie 96ran B</v>
          </cell>
          <cell r="C515" t="str">
            <v>1/1</v>
          </cell>
          <cell r="D515">
            <v>20</v>
          </cell>
        </row>
        <row r="516">
          <cell r="A516" t="str">
            <v>C9825C/C</v>
          </cell>
          <cell r="B516" t="str">
            <v>Crazy Night</v>
          </cell>
          <cell r="C516" t="str">
            <v>1/1</v>
          </cell>
          <cell r="D516">
            <v>63</v>
          </cell>
        </row>
        <row r="517">
          <cell r="A517" t="str">
            <v>C9825C/C(T)</v>
          </cell>
          <cell r="B517" t="str">
            <v>Crazy Night</v>
          </cell>
          <cell r="C517" t="str">
            <v>1/1</v>
          </cell>
          <cell r="D517">
            <v>60</v>
          </cell>
        </row>
        <row r="518">
          <cell r="A518" t="str">
            <v>C9825C/C14</v>
          </cell>
          <cell r="B518" t="str">
            <v>Crazy Night</v>
          </cell>
          <cell r="C518" t="str">
            <v>1/1</v>
          </cell>
          <cell r="D518">
            <v>63</v>
          </cell>
        </row>
        <row r="519">
          <cell r="A519" t="str">
            <v>C9825C/C14(T)</v>
          </cell>
          <cell r="B519" t="str">
            <v>Crazy Night</v>
          </cell>
          <cell r="C519" t="str">
            <v>1/1</v>
          </cell>
          <cell r="D519">
            <v>60</v>
          </cell>
        </row>
        <row r="520">
          <cell r="A520" t="str">
            <v>C9825DU/C E</v>
          </cell>
          <cell r="B520" t="str">
            <v>Dumbum compound 98sh dummy</v>
          </cell>
          <cell r="C520"/>
          <cell r="D520" t="str">
            <v/>
          </cell>
        </row>
        <row r="521">
          <cell r="A521" t="str">
            <v>C9825SIG/C</v>
          </cell>
          <cell r="B521" t="str">
            <v>Signature range 98ran</v>
          </cell>
          <cell r="C521" t="str">
            <v>1/1</v>
          </cell>
          <cell r="D521" t="str">
            <v>63</v>
          </cell>
        </row>
        <row r="522">
          <cell r="A522" t="str">
            <v>C9825SIG/C E</v>
          </cell>
          <cell r="B522" t="str">
            <v>Signature range 98ran dummy</v>
          </cell>
          <cell r="C522" t="str">
            <v>1/1</v>
          </cell>
          <cell r="D522" t="str">
            <v/>
          </cell>
        </row>
        <row r="523">
          <cell r="A523" t="str">
            <v>C9825SIG/C(T)</v>
          </cell>
          <cell r="B523" t="str">
            <v>Signature range 98ran</v>
          </cell>
          <cell r="C523" t="str">
            <v>1/1</v>
          </cell>
          <cell r="D523" t="str">
            <v>63</v>
          </cell>
        </row>
        <row r="524">
          <cell r="A524" t="str">
            <v>C9825SIG/C14</v>
          </cell>
          <cell r="B524" t="str">
            <v>Signature range 98ran</v>
          </cell>
          <cell r="C524" t="str">
            <v>1/1</v>
          </cell>
          <cell r="D524">
            <v>55</v>
          </cell>
        </row>
        <row r="525">
          <cell r="A525" t="str">
            <v>C9825SIG/C14(T)</v>
          </cell>
          <cell r="B525" t="str">
            <v>Signature range 98ran</v>
          </cell>
          <cell r="C525" t="str">
            <v>1/1</v>
          </cell>
          <cell r="D525">
            <v>55</v>
          </cell>
        </row>
        <row r="526">
          <cell r="A526" t="str">
            <v>CDK1</v>
          </cell>
          <cell r="B526" t="str">
            <v>SFA1215 / Crackling Dumbum for kids</v>
          </cell>
          <cell r="C526" t="str">
            <v>20/12/8.</v>
          </cell>
          <cell r="D526">
            <v>90</v>
          </cell>
        </row>
        <row r="527">
          <cell r="A527" t="str">
            <v>CDK1(1)</v>
          </cell>
          <cell r="B527" t="str">
            <v>SFA1215 / Crackling Dumbum for kids</v>
          </cell>
          <cell r="C527" t="str">
            <v>20/12/8.</v>
          </cell>
          <cell r="D527">
            <v>90</v>
          </cell>
        </row>
        <row r="528">
          <cell r="A528" t="str">
            <v>CDLE1</v>
          </cell>
          <cell r="B528" t="str">
            <v>Dumbum zimní čepice - limited edition</v>
          </cell>
          <cell r="C528" t="str">
            <v>1/1</v>
          </cell>
          <cell r="D528"/>
        </row>
        <row r="529">
          <cell r="A529" t="str">
            <v>CF10020G</v>
          </cell>
          <cell r="B529" t="str">
            <v>Gnome</v>
          </cell>
          <cell r="C529" t="str">
            <v>2/1</v>
          </cell>
          <cell r="D529">
            <v>45</v>
          </cell>
        </row>
        <row r="530">
          <cell r="A530" t="str">
            <v>CF10020G E</v>
          </cell>
          <cell r="B530" t="str">
            <v>Gnome dummy</v>
          </cell>
          <cell r="C530" t="str">
            <v>1/1</v>
          </cell>
          <cell r="D530" t="str">
            <v/>
          </cell>
        </row>
        <row r="531">
          <cell r="A531" t="str">
            <v>CF10020P</v>
          </cell>
          <cell r="B531" t="str">
            <v>Platinium serie</v>
          </cell>
          <cell r="C531" t="str">
            <v>2/1</v>
          </cell>
          <cell r="D531">
            <v>45</v>
          </cell>
        </row>
        <row r="532">
          <cell r="A532" t="str">
            <v>CF10020P E</v>
          </cell>
          <cell r="B532" t="str">
            <v>Platinium serie dummy</v>
          </cell>
          <cell r="C532"/>
          <cell r="D532" t="str">
            <v/>
          </cell>
        </row>
        <row r="533">
          <cell r="A533" t="str">
            <v>CF1003P/C</v>
          </cell>
          <cell r="B533" t="str">
            <v xml:space="preserve">Profi Pyro show </v>
          </cell>
          <cell r="C533" t="str">
            <v>1/1</v>
          </cell>
          <cell r="D533">
            <v>24</v>
          </cell>
        </row>
        <row r="534">
          <cell r="A534" t="str">
            <v>CF1003P/C(T)</v>
          </cell>
          <cell r="B534" t="str">
            <v xml:space="preserve">Profi Pyro show </v>
          </cell>
          <cell r="C534" t="str">
            <v>1/1</v>
          </cell>
          <cell r="D534">
            <v>24</v>
          </cell>
        </row>
        <row r="535">
          <cell r="A535" t="str">
            <v>CF1352X6</v>
          </cell>
          <cell r="B535" t="str">
            <v>Storm new age-Fan shape</v>
          </cell>
          <cell r="C535" t="str">
            <v>2/1</v>
          </cell>
          <cell r="D535">
            <v>20</v>
          </cell>
        </row>
        <row r="536">
          <cell r="A536" t="str">
            <v>CF1352X7</v>
          </cell>
          <cell r="B536" t="str">
            <v>Storm new age-Fan shape</v>
          </cell>
          <cell r="C536" t="str">
            <v>2/1</v>
          </cell>
          <cell r="D536">
            <v>20</v>
          </cell>
        </row>
        <row r="537">
          <cell r="A537" t="str">
            <v>CF2525A E</v>
          </cell>
          <cell r="B537" t="str">
            <v>Azrael dummy</v>
          </cell>
          <cell r="C537"/>
          <cell r="D537" t="str">
            <v/>
          </cell>
        </row>
        <row r="538">
          <cell r="A538" t="str">
            <v>CF2525D</v>
          </cell>
          <cell r="B538" t="str">
            <v>Dracco</v>
          </cell>
          <cell r="C538" t="str">
            <v>10/1</v>
          </cell>
          <cell r="D538" t="str">
            <v>20</v>
          </cell>
        </row>
        <row r="539">
          <cell r="A539" t="str">
            <v>CF2525G14 E</v>
          </cell>
          <cell r="B539" t="str">
            <v>Gremlin dummy</v>
          </cell>
          <cell r="C539"/>
          <cell r="D539" t="str">
            <v/>
          </cell>
        </row>
        <row r="540">
          <cell r="A540" t="str">
            <v>CF2525O</v>
          </cell>
          <cell r="B540" t="str">
            <v>Ostrov pokladů</v>
          </cell>
          <cell r="C540" t="str">
            <v>10/1</v>
          </cell>
          <cell r="D540" t="str">
            <v>20</v>
          </cell>
        </row>
        <row r="541">
          <cell r="A541" t="str">
            <v>CF2525S</v>
          </cell>
          <cell r="B541" t="str">
            <v>Skřeti</v>
          </cell>
          <cell r="C541" t="str">
            <v>10/1</v>
          </cell>
          <cell r="D541" t="str">
            <v>20</v>
          </cell>
        </row>
        <row r="542">
          <cell r="A542" t="str">
            <v>CF253D14</v>
          </cell>
          <cell r="B542" t="str">
            <v>Dark stars</v>
          </cell>
          <cell r="C542" t="str">
            <v>6/1</v>
          </cell>
          <cell r="D542">
            <v>16</v>
          </cell>
        </row>
        <row r="543">
          <cell r="A543" t="str">
            <v>CF253K14</v>
          </cell>
          <cell r="B543" t="str">
            <v>Klaun</v>
          </cell>
          <cell r="C543" t="str">
            <v>6/1</v>
          </cell>
          <cell r="D543">
            <v>16</v>
          </cell>
        </row>
        <row r="544">
          <cell r="A544" t="str">
            <v>CF253L E</v>
          </cell>
          <cell r="B544" t="str">
            <v>Last Hero dummy</v>
          </cell>
          <cell r="C544"/>
          <cell r="D544" t="str">
            <v/>
          </cell>
        </row>
        <row r="545">
          <cell r="A545" t="str">
            <v>CF253R14</v>
          </cell>
          <cell r="B545" t="str">
            <v>Rarach</v>
          </cell>
          <cell r="C545" t="str">
            <v>6/1</v>
          </cell>
          <cell r="D545">
            <v>16</v>
          </cell>
        </row>
        <row r="546">
          <cell r="A546" t="str">
            <v>CF363L E</v>
          </cell>
          <cell r="B546" t="str">
            <v>Lizard dummy</v>
          </cell>
          <cell r="C546"/>
          <cell r="D546" t="str">
            <v/>
          </cell>
        </row>
        <row r="547">
          <cell r="A547" t="str">
            <v>CF363S</v>
          </cell>
          <cell r="B547" t="str">
            <v>Stalinovy varhany</v>
          </cell>
          <cell r="C547" t="str">
            <v>4/1</v>
          </cell>
          <cell r="D547">
            <v>14</v>
          </cell>
        </row>
        <row r="548">
          <cell r="A548" t="str">
            <v>CF363V E</v>
          </cell>
          <cell r="B548" t="str">
            <v>Viktor dummy</v>
          </cell>
          <cell r="C548"/>
          <cell r="D548" t="str">
            <v/>
          </cell>
        </row>
        <row r="549">
          <cell r="A549" t="str">
            <v>CF4920A</v>
          </cell>
          <cell r="B549" t="str">
            <v>Air show</v>
          </cell>
          <cell r="C549" t="str">
            <v>6/1</v>
          </cell>
          <cell r="D549">
            <v>24</v>
          </cell>
        </row>
        <row r="550">
          <cell r="A550" t="str">
            <v>CF4920F E</v>
          </cell>
          <cell r="B550" t="str">
            <v>Fireworks show dummy</v>
          </cell>
          <cell r="C550"/>
          <cell r="D550" t="str">
            <v/>
          </cell>
        </row>
        <row r="551">
          <cell r="A551" t="str">
            <v>CF4920G</v>
          </cell>
          <cell r="B551" t="str">
            <v>Goldman</v>
          </cell>
          <cell r="C551" t="str">
            <v>6/1</v>
          </cell>
          <cell r="D551">
            <v>24</v>
          </cell>
        </row>
        <row r="552">
          <cell r="A552" t="str">
            <v>CF4920G14</v>
          </cell>
          <cell r="B552" t="str">
            <v>Goldman</v>
          </cell>
          <cell r="C552" t="str">
            <v>6/1</v>
          </cell>
          <cell r="D552">
            <v>24</v>
          </cell>
        </row>
        <row r="553">
          <cell r="A553" t="str">
            <v>CF4920J</v>
          </cell>
          <cell r="B553" t="str">
            <v>Jaga</v>
          </cell>
          <cell r="C553" t="str">
            <v>6/1</v>
          </cell>
          <cell r="D553">
            <v>24</v>
          </cell>
        </row>
        <row r="554">
          <cell r="A554" t="str">
            <v>CF4920J E</v>
          </cell>
          <cell r="B554" t="str">
            <v>Jaga dummy</v>
          </cell>
          <cell r="C554"/>
          <cell r="D554" t="str">
            <v/>
          </cell>
        </row>
        <row r="555">
          <cell r="A555" t="str">
            <v>CF4920VIP</v>
          </cell>
          <cell r="B555" t="str">
            <v>Vip Nights</v>
          </cell>
          <cell r="C555" t="str">
            <v>6/1</v>
          </cell>
          <cell r="D555">
            <v>24</v>
          </cell>
        </row>
        <row r="556">
          <cell r="A556" t="str">
            <v>CF4925B</v>
          </cell>
          <cell r="B556" t="str">
            <v>Brocade war 49sh(fan)</v>
          </cell>
          <cell r="C556" t="str">
            <v>4/1</v>
          </cell>
          <cell r="D556">
            <v>16</v>
          </cell>
        </row>
        <row r="557">
          <cell r="A557" t="str">
            <v>CF4925B E</v>
          </cell>
          <cell r="B557" t="str">
            <v>Brocade war 49sh(fan) dummy</v>
          </cell>
          <cell r="C557"/>
          <cell r="D557" t="str">
            <v/>
          </cell>
        </row>
        <row r="558">
          <cell r="A558" t="str">
            <v>CF4925D</v>
          </cell>
          <cell r="B558" t="str">
            <v xml:space="preserve">Dumbum mini(fan) </v>
          </cell>
          <cell r="C558" t="str">
            <v>4/1</v>
          </cell>
          <cell r="D558">
            <v>16</v>
          </cell>
        </row>
        <row r="559">
          <cell r="A559" t="str">
            <v>CF4925S</v>
          </cell>
          <cell r="B559" t="str">
            <v>Super fast gun</v>
          </cell>
          <cell r="C559" t="str">
            <v>4/1</v>
          </cell>
          <cell r="D559">
            <v>16</v>
          </cell>
        </row>
        <row r="560">
          <cell r="A560" t="str">
            <v>CF493ME</v>
          </cell>
          <cell r="B560" t="str">
            <v>Mechanic</v>
          </cell>
          <cell r="C560" t="str">
            <v>2/1</v>
          </cell>
          <cell r="D560">
            <v>14</v>
          </cell>
        </row>
        <row r="561">
          <cell r="A561" t="str">
            <v>CF493ME E</v>
          </cell>
          <cell r="B561" t="str">
            <v>Mechanic dummy</v>
          </cell>
          <cell r="C561" t="str">
            <v>1/1</v>
          </cell>
          <cell r="D561" t="str">
            <v/>
          </cell>
        </row>
        <row r="562">
          <cell r="A562" t="str">
            <v>CF493MO E</v>
          </cell>
          <cell r="B562" t="str">
            <v>Mortimer dummy</v>
          </cell>
          <cell r="C562"/>
          <cell r="D562" t="str">
            <v/>
          </cell>
        </row>
        <row r="563">
          <cell r="A563" t="str">
            <v>CF493SA</v>
          </cell>
          <cell r="B563" t="str">
            <v>Samuraj</v>
          </cell>
          <cell r="C563" t="str">
            <v>2/1</v>
          </cell>
          <cell r="D563">
            <v>14</v>
          </cell>
        </row>
        <row r="564">
          <cell r="A564" t="str">
            <v>CF493ST</v>
          </cell>
          <cell r="B564" t="str">
            <v>Storm</v>
          </cell>
          <cell r="C564" t="str">
            <v>2/1</v>
          </cell>
          <cell r="D564">
            <v>14</v>
          </cell>
        </row>
        <row r="565">
          <cell r="A565" t="str">
            <v>CF493W</v>
          </cell>
          <cell r="B565" t="str">
            <v>World</v>
          </cell>
          <cell r="C565" t="str">
            <v>2/1</v>
          </cell>
          <cell r="D565">
            <v>14</v>
          </cell>
        </row>
        <row r="566">
          <cell r="A566" t="str">
            <v>CF503X12</v>
          </cell>
          <cell r="B566" t="str">
            <v>Storm new age</v>
          </cell>
          <cell r="C566" t="str">
            <v>2/1</v>
          </cell>
          <cell r="D566">
            <v>28</v>
          </cell>
        </row>
        <row r="567">
          <cell r="A567" t="str">
            <v>CF503X14</v>
          </cell>
          <cell r="B567" t="str">
            <v>Storm new age</v>
          </cell>
          <cell r="C567" t="str">
            <v>2/1</v>
          </cell>
          <cell r="D567">
            <v>28</v>
          </cell>
        </row>
        <row r="568">
          <cell r="A568" t="str">
            <v>CF503X15</v>
          </cell>
          <cell r="B568" t="str">
            <v>Storm new age</v>
          </cell>
          <cell r="C568" t="str">
            <v>2/1</v>
          </cell>
          <cell r="D568">
            <v>28</v>
          </cell>
        </row>
        <row r="569">
          <cell r="A569" t="str">
            <v>CF503X16</v>
          </cell>
          <cell r="B569" t="str">
            <v>Storm new age</v>
          </cell>
          <cell r="C569" t="str">
            <v>2/1</v>
          </cell>
          <cell r="D569">
            <v>28</v>
          </cell>
        </row>
        <row r="570">
          <cell r="A570" t="str">
            <v>CF503X17</v>
          </cell>
          <cell r="B570" t="str">
            <v>Storm new age</v>
          </cell>
          <cell r="C570" t="str">
            <v>2/1</v>
          </cell>
          <cell r="D570">
            <v>28</v>
          </cell>
        </row>
        <row r="571">
          <cell r="A571" t="str">
            <v>CF503X29</v>
          </cell>
          <cell r="B571" t="str">
            <v>Storm new age</v>
          </cell>
          <cell r="C571" t="str">
            <v>2/1</v>
          </cell>
          <cell r="D571">
            <v>28</v>
          </cell>
        </row>
        <row r="572">
          <cell r="A572" t="str">
            <v>CF503X3</v>
          </cell>
          <cell r="B572" t="str">
            <v>Storm new age</v>
          </cell>
          <cell r="C572" t="str">
            <v>2/1</v>
          </cell>
          <cell r="D572">
            <v>28</v>
          </cell>
        </row>
        <row r="573">
          <cell r="A573" t="str">
            <v>CF503X4</v>
          </cell>
          <cell r="B573" t="str">
            <v>Storm new age</v>
          </cell>
          <cell r="C573" t="str">
            <v>2/1</v>
          </cell>
          <cell r="D573">
            <v>28</v>
          </cell>
        </row>
        <row r="574">
          <cell r="A574" t="str">
            <v>CF503X48</v>
          </cell>
          <cell r="B574" t="str">
            <v>Storm new age</v>
          </cell>
          <cell r="C574" t="str">
            <v>2/1</v>
          </cell>
          <cell r="D574">
            <v>28</v>
          </cell>
        </row>
        <row r="575">
          <cell r="A575" t="str">
            <v>CF503X5</v>
          </cell>
          <cell r="B575" t="str">
            <v>Storm new age</v>
          </cell>
          <cell r="C575" t="str">
            <v>2/1</v>
          </cell>
          <cell r="D575">
            <v>28</v>
          </cell>
        </row>
        <row r="576">
          <cell r="A576" t="str">
            <v>CF503X54</v>
          </cell>
          <cell r="B576" t="str">
            <v>Storm new age</v>
          </cell>
          <cell r="C576" t="str">
            <v>2/1</v>
          </cell>
          <cell r="D576">
            <v>28</v>
          </cell>
        </row>
        <row r="577">
          <cell r="A577" t="str">
            <v>CF503X7</v>
          </cell>
          <cell r="B577" t="str">
            <v>Storm new age</v>
          </cell>
          <cell r="C577" t="str">
            <v>2/1</v>
          </cell>
          <cell r="D577">
            <v>28</v>
          </cell>
        </row>
        <row r="578">
          <cell r="A578" t="str">
            <v>CF503X8</v>
          </cell>
          <cell r="B578" t="str">
            <v>Storm new age</v>
          </cell>
          <cell r="C578" t="str">
            <v>2/1</v>
          </cell>
          <cell r="D578">
            <v>28</v>
          </cell>
        </row>
        <row r="579">
          <cell r="A579" t="str">
            <v>CF643M</v>
          </cell>
          <cell r="B579" t="str">
            <v>Mutant</v>
          </cell>
          <cell r="C579" t="str">
            <v>2/1</v>
          </cell>
          <cell r="D579">
            <v>14</v>
          </cell>
        </row>
        <row r="580">
          <cell r="A580" t="str">
            <v>CF643M E</v>
          </cell>
          <cell r="B580" t="str">
            <v>Mutant dummy</v>
          </cell>
          <cell r="C580" t="str">
            <v>1/1</v>
          </cell>
          <cell r="D580" t="str">
            <v/>
          </cell>
        </row>
        <row r="581">
          <cell r="A581" t="str">
            <v>CF643T</v>
          </cell>
          <cell r="B581" t="str">
            <v>Tiger</v>
          </cell>
          <cell r="C581" t="str">
            <v>2/1</v>
          </cell>
          <cell r="D581">
            <v>14</v>
          </cell>
        </row>
        <row r="582">
          <cell r="A582" t="str">
            <v>CM9825DU/C E</v>
          </cell>
          <cell r="B582" t="str">
            <v>Dumbum compound 98sh(I+fan) dummy</v>
          </cell>
          <cell r="C582"/>
          <cell r="D582" t="str">
            <v/>
          </cell>
        </row>
        <row r="583">
          <cell r="A583" t="str">
            <v>CON40F</v>
          </cell>
          <cell r="B583" t="str">
            <v>Firemní konfety 40cm</v>
          </cell>
          <cell r="C583" t="str">
            <v>72/1</v>
          </cell>
          <cell r="D583" t="str">
            <v>16</v>
          </cell>
        </row>
        <row r="584">
          <cell r="A584" t="str">
            <v>CON40P</v>
          </cell>
          <cell r="B584" t="str">
            <v>Párty konfety 40cm</v>
          </cell>
          <cell r="C584" t="str">
            <v>72/1</v>
          </cell>
          <cell r="D584" t="str">
            <v>16</v>
          </cell>
        </row>
        <row r="585">
          <cell r="A585" t="str">
            <v>CON40S</v>
          </cell>
          <cell r="B585" t="str">
            <v>Svatební konfety 40cm</v>
          </cell>
          <cell r="C585" t="str">
            <v>72/1</v>
          </cell>
          <cell r="D585" t="str">
            <v>16</v>
          </cell>
        </row>
        <row r="586">
          <cell r="A586" t="str">
            <v>CON80P</v>
          </cell>
          <cell r="B586" t="str">
            <v>Párty konfety 80cm</v>
          </cell>
          <cell r="C586" t="str">
            <v>36/1</v>
          </cell>
          <cell r="D586" t="str">
            <v>21</v>
          </cell>
        </row>
        <row r="587">
          <cell r="A587" t="str">
            <v>CP5DU14(G)</v>
          </cell>
          <cell r="B587" t="str">
            <v>Crackling Dumbum</v>
          </cell>
          <cell r="C587" t="str">
            <v>50/20</v>
          </cell>
          <cell r="D587">
            <v>72</v>
          </cell>
        </row>
        <row r="588">
          <cell r="A588" t="str">
            <v>CP5DU14(G)1</v>
          </cell>
          <cell r="B588" t="str">
            <v>Crackling Dumbum</v>
          </cell>
          <cell r="C588" t="str">
            <v>50/20</v>
          </cell>
          <cell r="D588">
            <v>72</v>
          </cell>
        </row>
        <row r="589">
          <cell r="A589" t="str">
            <v>CP5DU14(R)</v>
          </cell>
          <cell r="B589" t="str">
            <v>Crackling Dumbum</v>
          </cell>
          <cell r="C589" t="str">
            <v>50/20</v>
          </cell>
          <cell r="D589">
            <v>72</v>
          </cell>
        </row>
        <row r="590">
          <cell r="A590" t="str">
            <v>CP5DU14(R)1</v>
          </cell>
          <cell r="B590" t="str">
            <v>Crackling Dumbum</v>
          </cell>
          <cell r="C590" t="str">
            <v>50/20</v>
          </cell>
          <cell r="D590">
            <v>72</v>
          </cell>
        </row>
        <row r="591">
          <cell r="A591" t="str">
            <v>CS1352X10</v>
          </cell>
          <cell r="B591" t="str">
            <v>Storm new age-S type</v>
          </cell>
          <cell r="C591" t="str">
            <v>2/1</v>
          </cell>
          <cell r="D591">
            <v>20</v>
          </cell>
        </row>
        <row r="592">
          <cell r="A592" t="str">
            <v>CS1352X14</v>
          </cell>
          <cell r="B592" t="str">
            <v>Storm new age-S type</v>
          </cell>
          <cell r="C592" t="str">
            <v>2/1</v>
          </cell>
          <cell r="D592">
            <v>20</v>
          </cell>
        </row>
        <row r="593">
          <cell r="A593" t="str">
            <v>CS1352X5</v>
          </cell>
          <cell r="B593" t="str">
            <v>Storm new age-S type</v>
          </cell>
          <cell r="C593" t="str">
            <v>2/1</v>
          </cell>
          <cell r="D593">
            <v>20</v>
          </cell>
        </row>
        <row r="594">
          <cell r="A594" t="str">
            <v>CS1352X9</v>
          </cell>
          <cell r="B594" t="str">
            <v>Storm new age-S type</v>
          </cell>
          <cell r="C594" t="str">
            <v>2/1</v>
          </cell>
          <cell r="D594">
            <v>20</v>
          </cell>
        </row>
        <row r="595">
          <cell r="A595" t="str">
            <v>CS2BB</v>
          </cell>
          <cell r="B595" t="str">
            <v>Big Boss</v>
          </cell>
          <cell r="C595" t="str">
            <v>4/18</v>
          </cell>
          <cell r="D595">
            <v>12</v>
          </cell>
        </row>
        <row r="596">
          <cell r="A596" t="str">
            <v>CS503X11</v>
          </cell>
          <cell r="B596" t="str">
            <v>Storm new age</v>
          </cell>
          <cell r="C596" t="str">
            <v>2/1</v>
          </cell>
          <cell r="D596">
            <v>28</v>
          </cell>
        </row>
        <row r="597">
          <cell r="A597" t="str">
            <v>CS503X12</v>
          </cell>
          <cell r="B597" t="str">
            <v>Storm new age</v>
          </cell>
          <cell r="C597" t="str">
            <v>2/1</v>
          </cell>
          <cell r="D597">
            <v>28</v>
          </cell>
        </row>
        <row r="598">
          <cell r="A598" t="str">
            <v>CS503X14</v>
          </cell>
          <cell r="B598" t="str">
            <v>Storm new age</v>
          </cell>
          <cell r="C598" t="str">
            <v>2/1</v>
          </cell>
          <cell r="D598">
            <v>28</v>
          </cell>
        </row>
        <row r="599">
          <cell r="A599" t="str">
            <v>CS503X15</v>
          </cell>
          <cell r="B599" t="str">
            <v>Storm new age</v>
          </cell>
          <cell r="C599" t="str">
            <v>2/1</v>
          </cell>
          <cell r="D599">
            <v>28</v>
          </cell>
        </row>
        <row r="600">
          <cell r="A600" t="str">
            <v>CS503X17</v>
          </cell>
          <cell r="B600" t="str">
            <v>Storm new age</v>
          </cell>
          <cell r="C600" t="str">
            <v>2/1</v>
          </cell>
          <cell r="D600">
            <v>28</v>
          </cell>
        </row>
        <row r="601">
          <cell r="A601" t="str">
            <v>CS503X18</v>
          </cell>
          <cell r="B601" t="str">
            <v>Storm new age</v>
          </cell>
          <cell r="C601" t="str">
            <v>2/1</v>
          </cell>
          <cell r="D601">
            <v>28</v>
          </cell>
        </row>
        <row r="602">
          <cell r="A602" t="str">
            <v>CS503X19</v>
          </cell>
          <cell r="B602" t="str">
            <v>Storm new age</v>
          </cell>
          <cell r="C602" t="str">
            <v>2/1</v>
          </cell>
          <cell r="D602">
            <v>28</v>
          </cell>
        </row>
        <row r="603">
          <cell r="A603" t="str">
            <v>CS503X20</v>
          </cell>
          <cell r="B603" t="str">
            <v>Storm new age</v>
          </cell>
          <cell r="C603" t="str">
            <v>2/1</v>
          </cell>
          <cell r="D603">
            <v>28</v>
          </cell>
        </row>
        <row r="604">
          <cell r="A604" t="str">
            <v>CS503X21</v>
          </cell>
          <cell r="B604" t="str">
            <v>Storm new age</v>
          </cell>
          <cell r="C604" t="str">
            <v>2/1</v>
          </cell>
          <cell r="D604">
            <v>28</v>
          </cell>
        </row>
        <row r="605">
          <cell r="A605" t="str">
            <v>CS503X26</v>
          </cell>
          <cell r="B605" t="str">
            <v>Storm new age</v>
          </cell>
          <cell r="C605" t="str">
            <v>2/1</v>
          </cell>
          <cell r="D605">
            <v>28</v>
          </cell>
        </row>
        <row r="606">
          <cell r="A606" t="str">
            <v>CS503X29</v>
          </cell>
          <cell r="B606" t="str">
            <v>Storm new age</v>
          </cell>
          <cell r="C606" t="str">
            <v>2/1</v>
          </cell>
          <cell r="D606">
            <v>28</v>
          </cell>
        </row>
        <row r="607">
          <cell r="A607" t="str">
            <v>CS503X33</v>
          </cell>
          <cell r="B607" t="str">
            <v>Storm new age</v>
          </cell>
          <cell r="C607" t="str">
            <v>2/1</v>
          </cell>
          <cell r="D607">
            <v>28</v>
          </cell>
        </row>
        <row r="608">
          <cell r="A608" t="str">
            <v>CS503X35</v>
          </cell>
          <cell r="B608" t="str">
            <v>Storm new age</v>
          </cell>
          <cell r="C608" t="str">
            <v>2/1</v>
          </cell>
          <cell r="D608">
            <v>28</v>
          </cell>
        </row>
        <row r="609">
          <cell r="A609" t="str">
            <v>CS503X37</v>
          </cell>
          <cell r="B609" t="str">
            <v>Storm new age</v>
          </cell>
          <cell r="C609" t="str">
            <v>2/1</v>
          </cell>
          <cell r="D609">
            <v>28</v>
          </cell>
        </row>
        <row r="610">
          <cell r="A610" t="str">
            <v>CS503X38</v>
          </cell>
          <cell r="B610" t="str">
            <v>Storm new age</v>
          </cell>
          <cell r="C610" t="str">
            <v>2/1</v>
          </cell>
          <cell r="D610">
            <v>28</v>
          </cell>
        </row>
        <row r="611">
          <cell r="A611" t="str">
            <v>CS503X55</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CST12S</v>
          </cell>
          <cell r="B614" t="str">
            <v>SFF1217 / Crackling and strobe torch</v>
          </cell>
          <cell r="C614" t="str">
            <v>40/12</v>
          </cell>
          <cell r="D614">
            <v>78</v>
          </cell>
        </row>
        <row r="615">
          <cell r="A615" t="str">
            <v>CV503X41</v>
          </cell>
          <cell r="B615" t="str">
            <v>Storm new age</v>
          </cell>
          <cell r="C615" t="str">
            <v>2/1</v>
          </cell>
          <cell r="D615">
            <v>28</v>
          </cell>
        </row>
        <row r="616">
          <cell r="A616" t="str">
            <v>CV503X44</v>
          </cell>
          <cell r="B616" t="str">
            <v>Storm new age</v>
          </cell>
          <cell r="C616" t="str">
            <v>2/1</v>
          </cell>
          <cell r="D616">
            <v>28</v>
          </cell>
        </row>
        <row r="617">
          <cell r="A617" t="str">
            <v>CV503X45</v>
          </cell>
          <cell r="B617" t="str">
            <v>Storm new age</v>
          </cell>
          <cell r="C617" t="str">
            <v>2/1</v>
          </cell>
          <cell r="D617">
            <v>28</v>
          </cell>
        </row>
        <row r="618">
          <cell r="A618" t="str">
            <v>CX1352X11</v>
          </cell>
          <cell r="B618" t="str">
            <v>Storm new age-X type</v>
          </cell>
          <cell r="C618" t="str">
            <v>2/1</v>
          </cell>
          <cell r="D618">
            <v>20</v>
          </cell>
        </row>
        <row r="619">
          <cell r="A619" t="str">
            <v>CX1352X2</v>
          </cell>
          <cell r="B619" t="str">
            <v>Storm new age-X type</v>
          </cell>
          <cell r="C619" t="str">
            <v>2/1</v>
          </cell>
          <cell r="D619">
            <v>20</v>
          </cell>
        </row>
        <row r="620">
          <cell r="A620" t="str">
            <v>CX1620D</v>
          </cell>
          <cell r="B620" t="str">
            <v>Dumbum 16sh X shape</v>
          </cell>
          <cell r="C620" t="str">
            <v>16/1</v>
          </cell>
          <cell r="D620">
            <v>36</v>
          </cell>
        </row>
        <row r="621">
          <cell r="A621" t="str">
            <v>CX1620X</v>
          </cell>
          <cell r="B621" t="str">
            <v>X Show</v>
          </cell>
          <cell r="C621" t="str">
            <v>16/1</v>
          </cell>
          <cell r="D621">
            <v>36</v>
          </cell>
        </row>
        <row r="622">
          <cell r="A622" t="str">
            <v>D1D</v>
          </cell>
          <cell r="B622" t="str">
            <v>Dýmovničky</v>
          </cell>
          <cell r="C622" t="str">
            <v>20/12/6</v>
          </cell>
          <cell r="D622">
            <v>32</v>
          </cell>
        </row>
        <row r="623">
          <cell r="A623" t="str">
            <v>D1M</v>
          </cell>
          <cell r="B623" t="str">
            <v>Mikiho dýmovnice- Colour smoke ball</v>
          </cell>
          <cell r="C623" t="str">
            <v>8/5/8.</v>
          </cell>
          <cell r="D623">
            <v>15</v>
          </cell>
        </row>
        <row r="624">
          <cell r="A624" t="str">
            <v>D2C</v>
          </cell>
          <cell r="B624" t="str">
            <v>Čmoudík</v>
          </cell>
          <cell r="C624" t="str">
            <v>36/4</v>
          </cell>
          <cell r="D624">
            <v>42</v>
          </cell>
        </row>
        <row r="625">
          <cell r="A625" t="str">
            <v>D2C(1)</v>
          </cell>
          <cell r="B625" t="str">
            <v>Čmoudík- RDG40</v>
          </cell>
          <cell r="C625" t="str">
            <v>36/4</v>
          </cell>
          <cell r="D625">
            <v>42</v>
          </cell>
        </row>
        <row r="626">
          <cell r="A626" t="str">
            <v>D2CN</v>
          </cell>
          <cell r="B626" t="str">
            <v>Čmoudík new colour</v>
          </cell>
          <cell r="C626" t="str">
            <v>36/4</v>
          </cell>
          <cell r="D626">
            <v>42</v>
          </cell>
        </row>
        <row r="627">
          <cell r="A627" t="str">
            <v>D2CN(1)</v>
          </cell>
          <cell r="B627" t="str">
            <v>Čmoudík new colour- RDG40</v>
          </cell>
          <cell r="C627" t="str">
            <v>36/4</v>
          </cell>
          <cell r="D627">
            <v>42</v>
          </cell>
        </row>
        <row r="628">
          <cell r="A628" t="str">
            <v>D3SK</v>
          </cell>
          <cell r="B628" t="str">
            <v>Dýmovnice proti krtkům</v>
          </cell>
          <cell r="C628" t="str">
            <v>72/4</v>
          </cell>
          <cell r="D628" t="str">
            <v>105</v>
          </cell>
        </row>
        <row r="629">
          <cell r="A629" t="str">
            <v>DBB1E</v>
          </cell>
          <cell r="B629" t="str">
            <v xml:space="preserve">Dumbum bird bangers </v>
          </cell>
          <cell r="C629" t="str">
            <v>40/50</v>
          </cell>
          <cell r="D629">
            <v>47</v>
          </cell>
        </row>
        <row r="630">
          <cell r="A630" t="str">
            <v>DD1</v>
          </cell>
          <cell r="B630" t="str">
            <v>Deštník Dumbum</v>
          </cell>
          <cell r="C630" t="str">
            <v>1/1</v>
          </cell>
          <cell r="D630" t="str">
            <v/>
          </cell>
        </row>
        <row r="631">
          <cell r="A631" t="str">
            <v>DF10CM</v>
          </cell>
          <cell r="B631" t="str">
            <v>Dortová fontána 10cm</v>
          </cell>
          <cell r="C631" t="str">
            <v>100/6</v>
          </cell>
          <cell r="D631">
            <v>48</v>
          </cell>
        </row>
        <row r="632">
          <cell r="A632" t="str">
            <v>DF10CM E</v>
          </cell>
          <cell r="B632" t="str">
            <v>Dortová fontána 10cm dummy</v>
          </cell>
          <cell r="C632" t="str">
            <v>1/1</v>
          </cell>
          <cell r="D632" t="str">
            <v/>
          </cell>
        </row>
        <row r="633">
          <cell r="A633" t="str">
            <v>DF12CM</v>
          </cell>
          <cell r="B633" t="str">
            <v>Dortová fontána 12cm-zlatá</v>
          </cell>
          <cell r="C633" t="str">
            <v>100/2</v>
          </cell>
          <cell r="D633" t="str">
            <v>36</v>
          </cell>
        </row>
        <row r="634">
          <cell r="A634" t="str">
            <v>DF20CM</v>
          </cell>
          <cell r="B634" t="str">
            <v>Dortová fontána 20cm</v>
          </cell>
          <cell r="C634" t="str">
            <v>50/6</v>
          </cell>
          <cell r="D634">
            <v>54</v>
          </cell>
        </row>
        <row r="635">
          <cell r="A635" t="str">
            <v>DF30CM</v>
          </cell>
          <cell r="B635" t="str">
            <v>Dortová fontána 30cm</v>
          </cell>
          <cell r="C635" t="str">
            <v>50/6</v>
          </cell>
          <cell r="D635">
            <v>40</v>
          </cell>
        </row>
        <row r="636">
          <cell r="A636" t="str">
            <v>DP1BP</v>
          </cell>
          <cell r="B636" t="str">
            <v>Bouchající provázky</v>
          </cell>
          <cell r="C636" t="str">
            <v>5/60/12</v>
          </cell>
          <cell r="D636" t="str">
            <v>144</v>
          </cell>
        </row>
        <row r="637">
          <cell r="A637" t="str">
            <v>DP1BS</v>
          </cell>
          <cell r="B637" t="str">
            <v>Baby shark</v>
          </cell>
          <cell r="C637" t="str">
            <v>60/1</v>
          </cell>
          <cell r="D637">
            <v>32</v>
          </cell>
        </row>
        <row r="638">
          <cell r="A638" t="str">
            <v>DP1BS(1)</v>
          </cell>
          <cell r="B638" t="str">
            <v>Baby shark</v>
          </cell>
          <cell r="C638" t="str">
            <v>60/1</v>
          </cell>
          <cell r="D638">
            <v>32</v>
          </cell>
        </row>
        <row r="639">
          <cell r="A639" t="str">
            <v>DP1CB</v>
          </cell>
          <cell r="B639" t="str">
            <v xml:space="preserve">Crazy Ball </v>
          </cell>
          <cell r="C639" t="str">
            <v>4/48/6</v>
          </cell>
          <cell r="D639">
            <v>49</v>
          </cell>
        </row>
        <row r="640">
          <cell r="A640" t="str">
            <v>DP1CB(1)</v>
          </cell>
          <cell r="B640" t="str">
            <v xml:space="preserve">Crazy Ball </v>
          </cell>
          <cell r="C640" t="str">
            <v>4/48/6</v>
          </cell>
          <cell r="D640">
            <v>49</v>
          </cell>
        </row>
        <row r="641">
          <cell r="A641" t="str">
            <v>DP1EM</v>
          </cell>
          <cell r="B641" t="str">
            <v xml:space="preserve">Emoji </v>
          </cell>
          <cell r="C641" t="str">
            <v>6/12/4</v>
          </cell>
          <cell r="D641">
            <v>48</v>
          </cell>
        </row>
        <row r="642">
          <cell r="A642" t="str">
            <v>DP1FD</v>
          </cell>
          <cell r="B642" t="str">
            <v>Párty fountain   (Dětské fontánky)</v>
          </cell>
          <cell r="C642" t="str">
            <v>40/6</v>
          </cell>
          <cell r="D642">
            <v>42</v>
          </cell>
        </row>
        <row r="643">
          <cell r="A643" t="str">
            <v>DP1FD E</v>
          </cell>
          <cell r="B643" t="str">
            <v>Dětské fontánky dummy</v>
          </cell>
          <cell r="C643"/>
          <cell r="D643" t="str">
            <v/>
          </cell>
        </row>
        <row r="644">
          <cell r="A644" t="str">
            <v>DP1FM</v>
          </cell>
          <cell r="B644" t="str">
            <v>Mini Vulkán   (Mini fontánky)</v>
          </cell>
          <cell r="C644" t="str">
            <v>24/6/4.</v>
          </cell>
          <cell r="D644">
            <v>48</v>
          </cell>
        </row>
        <row r="645">
          <cell r="A645" t="str">
            <v>DP1FR</v>
          </cell>
          <cell r="B645" t="str">
            <v>Rozpustilé fontánky</v>
          </cell>
          <cell r="C645" t="str">
            <v>10/20/10</v>
          </cell>
          <cell r="D645" t="str">
            <v>40</v>
          </cell>
        </row>
        <row r="646">
          <cell r="A646" t="str">
            <v>DP1FR E</v>
          </cell>
          <cell r="B646" t="str">
            <v>Rozpustilé fontánky dummy</v>
          </cell>
          <cell r="C646"/>
          <cell r="D646" t="str">
            <v/>
          </cell>
        </row>
        <row r="647">
          <cell r="A647" t="str">
            <v>DP1M</v>
          </cell>
          <cell r="B647" t="str">
            <v>Meteorit</v>
          </cell>
          <cell r="C647" t="str">
            <v>10/40/12</v>
          </cell>
          <cell r="D647">
            <v>42</v>
          </cell>
        </row>
        <row r="648">
          <cell r="A648" t="str">
            <v>DP1P</v>
          </cell>
          <cell r="B648" t="str">
            <v>Scream mini  (Píšťalka)</v>
          </cell>
          <cell r="C648" t="str">
            <v>6/40/10</v>
          </cell>
          <cell r="D648">
            <v>42</v>
          </cell>
        </row>
        <row r="649">
          <cell r="A649" t="str">
            <v>DP1P(1)</v>
          </cell>
          <cell r="B649" t="str">
            <v>Scream mini  (Píšťalka)</v>
          </cell>
          <cell r="C649" t="str">
            <v>6/40/10</v>
          </cell>
          <cell r="D649">
            <v>42</v>
          </cell>
        </row>
        <row r="650">
          <cell r="A650" t="str">
            <v>DP1R</v>
          </cell>
          <cell r="B650" t="str">
            <v>Rotáček</v>
          </cell>
          <cell r="C650" t="str">
            <v>25/20/6</v>
          </cell>
          <cell r="D650" t="str">
            <v>32</v>
          </cell>
        </row>
        <row r="651">
          <cell r="A651" t="str">
            <v>DP1R(1)</v>
          </cell>
          <cell r="B651" t="str">
            <v>Rotáček</v>
          </cell>
          <cell r="C651" t="str">
            <v>25/20/6</v>
          </cell>
          <cell r="D651" t="str">
            <v>32</v>
          </cell>
        </row>
        <row r="652">
          <cell r="A652" t="str">
            <v>DP1SW</v>
          </cell>
          <cell r="B652" t="str">
            <v>Scream wheel</v>
          </cell>
          <cell r="C652" t="str">
            <v>48/12</v>
          </cell>
          <cell r="D652">
            <v>20</v>
          </cell>
        </row>
        <row r="653">
          <cell r="A653" t="str">
            <v>DP1T</v>
          </cell>
          <cell r="B653" t="str">
            <v>Tazmánia</v>
          </cell>
          <cell r="C653" t="str">
            <v>135/6</v>
          </cell>
          <cell r="D653">
            <v>66</v>
          </cell>
        </row>
        <row r="654">
          <cell r="A654" t="str">
            <v>DP1T SK</v>
          </cell>
          <cell r="B654" t="str">
            <v xml:space="preserve">Tazmánia </v>
          </cell>
          <cell r="C654" t="str">
            <v>15/18/3</v>
          </cell>
          <cell r="D654">
            <v>66</v>
          </cell>
        </row>
        <row r="655">
          <cell r="A655" t="str">
            <v>DP1TA</v>
          </cell>
          <cell r="B655" t="str">
            <v>Tank</v>
          </cell>
          <cell r="C655" t="str">
            <v>60/1</v>
          </cell>
          <cell r="D655">
            <v>32</v>
          </cell>
        </row>
        <row r="656">
          <cell r="A656" t="str">
            <v>DP1TA(1)</v>
          </cell>
          <cell r="B656" t="str">
            <v>Tank</v>
          </cell>
          <cell r="C656" t="str">
            <v>60/1</v>
          </cell>
          <cell r="D656">
            <v>32</v>
          </cell>
        </row>
        <row r="657">
          <cell r="A657" t="str">
            <v>DP1VR</v>
          </cell>
          <cell r="B657" t="str">
            <v>Velký Rotáček</v>
          </cell>
          <cell r="C657" t="str">
            <v>25/20/4</v>
          </cell>
          <cell r="D657" t="str">
            <v>30</v>
          </cell>
        </row>
        <row r="658">
          <cell r="A658" t="str">
            <v>DP1Z20</v>
          </cell>
          <cell r="B658" t="str">
            <v>Kalashnikov small-20cm (Žabák malý)</v>
          </cell>
          <cell r="C658" t="str">
            <v>4/20/12</v>
          </cell>
          <cell r="D658">
            <v>54</v>
          </cell>
        </row>
        <row r="659">
          <cell r="A659" t="str">
            <v>DP1Z50</v>
          </cell>
          <cell r="B659" t="str">
            <v>Kalashnikov small-50cm  (Žabák střední)</v>
          </cell>
          <cell r="C659" t="str">
            <v>72/6</v>
          </cell>
          <cell r="D659">
            <v>50</v>
          </cell>
        </row>
        <row r="660">
          <cell r="A660" t="str">
            <v>DP2CB</v>
          </cell>
          <cell r="B660" t="str">
            <v>Crazy Ball big</v>
          </cell>
          <cell r="C660" t="str">
            <v>12/6/6</v>
          </cell>
          <cell r="D660">
            <v>36</v>
          </cell>
        </row>
        <row r="661">
          <cell r="A661" t="str">
            <v>DP2W</v>
          </cell>
          <cell r="B661" t="str">
            <v>Scream maxi  (Whistle)</v>
          </cell>
          <cell r="C661" t="str">
            <v>50/5</v>
          </cell>
          <cell r="D661">
            <v>56</v>
          </cell>
        </row>
        <row r="662">
          <cell r="A662" t="str">
            <v>DS1</v>
          </cell>
          <cell r="B662" t="str">
            <v>Dětská sada</v>
          </cell>
          <cell r="C662" t="str">
            <v>40/1</v>
          </cell>
          <cell r="D662">
            <v>25</v>
          </cell>
        </row>
        <row r="663">
          <cell r="A663" t="str">
            <v>EB15</v>
          </cell>
          <cell r="B663" t="str">
            <v>Dumbum Explosive ball 15</v>
          </cell>
          <cell r="C663" t="str">
            <v>40/3</v>
          </cell>
          <cell r="D663" t="str">
            <v>87</v>
          </cell>
        </row>
        <row r="664">
          <cell r="A664" t="str">
            <v>EB9</v>
          </cell>
          <cell r="B664" t="str">
            <v>Explosive ball 9</v>
          </cell>
          <cell r="C664" t="str">
            <v>40/3</v>
          </cell>
          <cell r="D664">
            <v>60</v>
          </cell>
        </row>
        <row r="665">
          <cell r="A665" t="str">
            <v>ED500M</v>
          </cell>
          <cell r="B665" t="str">
            <v>Měděná dvojlinka 0,6mm, 500m</v>
          </cell>
          <cell r="C665"/>
          <cell r="D665" t="str">
            <v/>
          </cell>
        </row>
        <row r="666">
          <cell r="A666" t="str">
            <v>EP03M</v>
          </cell>
          <cell r="B666" t="str">
            <v>Elektrický palník 30cm</v>
          </cell>
          <cell r="C666" t="str">
            <v>20/200</v>
          </cell>
          <cell r="D666">
            <v>30</v>
          </cell>
        </row>
        <row r="667">
          <cell r="A667" t="str">
            <v>EP1M</v>
          </cell>
          <cell r="B667" t="str">
            <v>Elektrický palník 100cm</v>
          </cell>
          <cell r="C667" t="str">
            <v>20/50</v>
          </cell>
          <cell r="D667">
            <v>40</v>
          </cell>
        </row>
        <row r="668">
          <cell r="A668" t="str">
            <v>EP2M</v>
          </cell>
          <cell r="B668" t="str">
            <v xml:space="preserve">Elektrický palník 200cm </v>
          </cell>
          <cell r="C668" t="str">
            <v>20/50</v>
          </cell>
          <cell r="D668">
            <v>48</v>
          </cell>
        </row>
        <row r="669">
          <cell r="A669" t="str">
            <v>EP3M</v>
          </cell>
          <cell r="B669" t="str">
            <v xml:space="preserve">Elektrický palník 300cm </v>
          </cell>
          <cell r="C669" t="str">
            <v>20/25</v>
          </cell>
          <cell r="D669">
            <v>48</v>
          </cell>
        </row>
        <row r="670">
          <cell r="A670" t="str">
            <v>EP5M</v>
          </cell>
          <cell r="B670" t="str">
            <v xml:space="preserve">Elektrický palník 500cm </v>
          </cell>
          <cell r="C670" t="str">
            <v>20/25</v>
          </cell>
          <cell r="D670">
            <v>36</v>
          </cell>
        </row>
        <row r="671">
          <cell r="A671" t="str">
            <v>F1000SC</v>
          </cell>
          <cell r="B671" t="str">
            <v xml:space="preserve">Silver crackling Vulkán 1000g </v>
          </cell>
          <cell r="C671" t="str">
            <v>12/1</v>
          </cell>
          <cell r="D671">
            <v>32</v>
          </cell>
        </row>
        <row r="672">
          <cell r="A672" t="str">
            <v>F1000SS</v>
          </cell>
          <cell r="B672" t="str">
            <v xml:space="preserve">Silver stars Vulkán 1000g </v>
          </cell>
          <cell r="C672" t="str">
            <v>12/1</v>
          </cell>
          <cell r="D672">
            <v>32</v>
          </cell>
        </row>
        <row r="673">
          <cell r="A673" t="str">
            <v>F100C</v>
          </cell>
          <cell r="B673" t="str">
            <v xml:space="preserve">Colour Vulkán 100g </v>
          </cell>
          <cell r="C673" t="str">
            <v>20/6</v>
          </cell>
          <cell r="D673">
            <v>30</v>
          </cell>
        </row>
        <row r="674">
          <cell r="A674" t="str">
            <v>F100DC</v>
          </cell>
          <cell r="B674" t="str">
            <v xml:space="preserve">Double crackling Vulkán 100g </v>
          </cell>
          <cell r="C674" t="str">
            <v>20/4</v>
          </cell>
          <cell r="D674">
            <v>42</v>
          </cell>
        </row>
        <row r="675">
          <cell r="A675" t="str">
            <v>F10E</v>
          </cell>
          <cell r="B675" t="str">
            <v>Explosive fountain</v>
          </cell>
          <cell r="C675" t="str">
            <v>96/3</v>
          </cell>
          <cell r="D675">
            <v>54</v>
          </cell>
        </row>
        <row r="676">
          <cell r="A676" t="str">
            <v>F11M</v>
          </cell>
          <cell r="B676" t="str">
            <v xml:space="preserve">Monsters fountain </v>
          </cell>
          <cell r="C676" t="str">
            <v>12/1</v>
          </cell>
          <cell r="D676" t="str">
            <v>16</v>
          </cell>
        </row>
        <row r="677">
          <cell r="A677" t="str">
            <v>F14R</v>
          </cell>
          <cell r="B677" t="str">
            <v>Rotate fountain</v>
          </cell>
          <cell r="C677" t="str">
            <v>8/1</v>
          </cell>
          <cell r="D677">
            <v>24</v>
          </cell>
        </row>
        <row r="678">
          <cell r="A678" t="str">
            <v>F14R F</v>
          </cell>
          <cell r="B678" t="str">
            <v>Fire ball Rotate fountain</v>
          </cell>
          <cell r="C678" t="str">
            <v>4/1</v>
          </cell>
          <cell r="D678">
            <v>24</v>
          </cell>
        </row>
        <row r="679">
          <cell r="A679" t="str">
            <v>F1500C</v>
          </cell>
          <cell r="B679" t="str">
            <v xml:space="preserve">Colour Vulkán 1500g </v>
          </cell>
          <cell r="C679" t="str">
            <v>12/1</v>
          </cell>
          <cell r="D679">
            <v>20</v>
          </cell>
        </row>
        <row r="680">
          <cell r="A680" t="str">
            <v>F1500SS</v>
          </cell>
          <cell r="B680" t="str">
            <v xml:space="preserve">Silver stars Vulkán 1500g </v>
          </cell>
          <cell r="C680" t="str">
            <v>12/1</v>
          </cell>
          <cell r="D680">
            <v>20</v>
          </cell>
        </row>
        <row r="681">
          <cell r="A681" t="str">
            <v>F15BR</v>
          </cell>
          <cell r="B681" t="str">
            <v>Best rotate fountain</v>
          </cell>
          <cell r="C681" t="str">
            <v>2/1</v>
          </cell>
          <cell r="D681">
            <v>24</v>
          </cell>
        </row>
        <row r="682">
          <cell r="A682" t="str">
            <v>F16CS</v>
          </cell>
          <cell r="B682" t="str">
            <v>Crackling shock</v>
          </cell>
          <cell r="C682" t="str">
            <v>20/3</v>
          </cell>
          <cell r="D682">
            <v>30</v>
          </cell>
        </row>
        <row r="683">
          <cell r="A683" t="str">
            <v>F1M</v>
          </cell>
          <cell r="B683" t="str">
            <v>Fontánový mix</v>
          </cell>
          <cell r="C683" t="str">
            <v>36/4</v>
          </cell>
          <cell r="D683">
            <v>16</v>
          </cell>
        </row>
        <row r="684">
          <cell r="A684" t="str">
            <v>F250C</v>
          </cell>
          <cell r="B684" t="str">
            <v xml:space="preserve">Colour Vulkán 250g </v>
          </cell>
          <cell r="C684" t="str">
            <v>25/2</v>
          </cell>
          <cell r="D684">
            <v>32</v>
          </cell>
        </row>
        <row r="685">
          <cell r="A685" t="str">
            <v>F250SC</v>
          </cell>
          <cell r="B685" t="str">
            <v xml:space="preserve">Silver crackling Vulkán 250g </v>
          </cell>
          <cell r="C685" t="str">
            <v>25/2</v>
          </cell>
          <cell r="D685">
            <v>32</v>
          </cell>
        </row>
        <row r="686">
          <cell r="A686" t="str">
            <v>F250SS</v>
          </cell>
          <cell r="B686" t="str">
            <v xml:space="preserve">Silver stars Vulkán 250g </v>
          </cell>
          <cell r="C686" t="str">
            <v>25/2</v>
          </cell>
          <cell r="D686">
            <v>32</v>
          </cell>
        </row>
        <row r="687">
          <cell r="A687" t="str">
            <v>F2M</v>
          </cell>
          <cell r="B687" t="str">
            <v>Conic fountains 25  Fontánový mix</v>
          </cell>
          <cell r="C687" t="str">
            <v>50/4</v>
          </cell>
          <cell r="D687">
            <v>20</v>
          </cell>
        </row>
        <row r="688">
          <cell r="A688" t="str">
            <v>F3CC</v>
          </cell>
          <cell r="B688" t="str">
            <v xml:space="preserve">Colour and crackling </v>
          </cell>
          <cell r="C688" t="str">
            <v>48/3</v>
          </cell>
          <cell r="D688">
            <v>36</v>
          </cell>
        </row>
        <row r="689">
          <cell r="A689" t="str">
            <v>F3N</v>
          </cell>
          <cell r="B689" t="str">
            <v>Narozeninová svíce s melodií</v>
          </cell>
          <cell r="C689" t="str">
            <v>48/1</v>
          </cell>
          <cell r="D689" t="str">
            <v>24</v>
          </cell>
        </row>
        <row r="690">
          <cell r="A690" t="str">
            <v>F500C</v>
          </cell>
          <cell r="B690" t="str">
            <v xml:space="preserve">Colour Vulkán 500g </v>
          </cell>
          <cell r="C690" t="str">
            <v>15/2</v>
          </cell>
          <cell r="D690">
            <v>15</v>
          </cell>
        </row>
        <row r="691">
          <cell r="A691" t="str">
            <v>F500SIG</v>
          </cell>
          <cell r="B691" t="str">
            <v xml:space="preserve">Signature range vulkán 500g </v>
          </cell>
          <cell r="C691" t="str">
            <v>15/2</v>
          </cell>
          <cell r="D691" t="str">
            <v>16</v>
          </cell>
        </row>
        <row r="692">
          <cell r="A692" t="str">
            <v>F500SS</v>
          </cell>
          <cell r="B692" t="str">
            <v xml:space="preserve">Silver stars Vulkán 500g </v>
          </cell>
          <cell r="C692" t="str">
            <v>15/2</v>
          </cell>
          <cell r="D692">
            <v>15</v>
          </cell>
        </row>
        <row r="693">
          <cell r="A693" t="str">
            <v>F6K</v>
          </cell>
          <cell r="B693" t="str">
            <v>King fountain</v>
          </cell>
          <cell r="C693" t="str">
            <v>12/1</v>
          </cell>
          <cell r="D693">
            <v>60</v>
          </cell>
        </row>
        <row r="694">
          <cell r="A694" t="str">
            <v>F8B</v>
          </cell>
          <cell r="B694" t="str">
            <v>Barevné fontány</v>
          </cell>
          <cell r="C694" t="str">
            <v>50/5</v>
          </cell>
          <cell r="D694">
            <v>24</v>
          </cell>
        </row>
        <row r="695">
          <cell r="A695" t="str">
            <v>FPS1</v>
          </cell>
          <cell r="B695" t="str">
            <v>Family packing(small)</v>
          </cell>
          <cell r="C695" t="str">
            <v>20/1</v>
          </cell>
          <cell r="D695" t="str">
            <v>28</v>
          </cell>
        </row>
        <row r="696">
          <cell r="A696" t="str">
            <v>HD1</v>
          </cell>
          <cell r="B696" t="str">
            <v>Keramický hrnek Dumbum</v>
          </cell>
          <cell r="C696" t="str">
            <v>1/1</v>
          </cell>
          <cell r="D696" t="str">
            <v/>
          </cell>
        </row>
        <row r="697">
          <cell r="A697" t="str">
            <v>HDP60B</v>
          </cell>
          <cell r="B697" t="str">
            <v xml:space="preserve">Hooligans dýmová pochodeň bílá </v>
          </cell>
          <cell r="C697" t="str">
            <v>20/5</v>
          </cell>
          <cell r="D697">
            <v>21</v>
          </cell>
        </row>
        <row r="698">
          <cell r="A698" t="str">
            <v>HDP60C</v>
          </cell>
          <cell r="B698" t="str">
            <v>Hooligans dýmová pochodeň červená</v>
          </cell>
          <cell r="C698" t="str">
            <v>20/5</v>
          </cell>
          <cell r="D698">
            <v>21</v>
          </cell>
        </row>
        <row r="699">
          <cell r="A699" t="str">
            <v>HDP60CER</v>
          </cell>
          <cell r="B699" t="str">
            <v>Hooligans dýmová pochodeň černá</v>
          </cell>
          <cell r="C699" t="str">
            <v>20/5</v>
          </cell>
          <cell r="D699">
            <v>21</v>
          </cell>
        </row>
        <row r="700">
          <cell r="A700" t="str">
            <v>HDP60M</v>
          </cell>
          <cell r="B700" t="str">
            <v>Hooligans dýmová pochodeň modrá</v>
          </cell>
          <cell r="C700" t="str">
            <v>20/5</v>
          </cell>
          <cell r="D700">
            <v>21</v>
          </cell>
        </row>
        <row r="701">
          <cell r="A701" t="str">
            <v>HDP60O</v>
          </cell>
          <cell r="B701" t="str">
            <v>Hooligans dýmová pochodeň oranžová</v>
          </cell>
          <cell r="C701" t="str">
            <v>20/5</v>
          </cell>
          <cell r="D701">
            <v>21</v>
          </cell>
        </row>
        <row r="702">
          <cell r="A702" t="str">
            <v>HDP60ZE</v>
          </cell>
          <cell r="B702" t="str">
            <v>Hooligans dýmová pochodeň zelená</v>
          </cell>
          <cell r="C702" t="str">
            <v>20/5</v>
          </cell>
          <cell r="D702">
            <v>21</v>
          </cell>
        </row>
        <row r="703">
          <cell r="A703" t="str">
            <v>HDP60ZL</v>
          </cell>
          <cell r="B703" t="str">
            <v>Hooligans dýmová pochodeň žlutá</v>
          </cell>
          <cell r="C703" t="str">
            <v>20/5</v>
          </cell>
          <cell r="D703">
            <v>21</v>
          </cell>
        </row>
        <row r="704">
          <cell r="A704" t="str">
            <v>IF220A</v>
          </cell>
          <cell r="B704" t="str">
            <v>Interiérová fontána 2m,20sec</v>
          </cell>
          <cell r="C704" t="str">
            <v>24/5</v>
          </cell>
          <cell r="D704">
            <v>70</v>
          </cell>
        </row>
        <row r="705">
          <cell r="A705" t="str">
            <v>IF3MA</v>
          </cell>
          <cell r="B705" t="str">
            <v>Interiérová fontána 3m,30sec</v>
          </cell>
          <cell r="C705" t="str">
            <v>24/5</v>
          </cell>
          <cell r="D705">
            <v>48</v>
          </cell>
        </row>
        <row r="706">
          <cell r="A706" t="str">
            <v>IF560B</v>
          </cell>
          <cell r="B706" t="str">
            <v>Interiérová fontána 5m,60sec</v>
          </cell>
          <cell r="C706" t="str">
            <v>10/5</v>
          </cell>
          <cell r="D706">
            <v>32</v>
          </cell>
        </row>
        <row r="707">
          <cell r="A707" t="str">
            <v>IF660B</v>
          </cell>
          <cell r="B707" t="str">
            <v>Interiérová fontána 6m,60sec</v>
          </cell>
          <cell r="C707" t="str">
            <v>36/1</v>
          </cell>
          <cell r="D707" t="str">
            <v>42</v>
          </cell>
        </row>
        <row r="708">
          <cell r="A708" t="str">
            <v>IS60S</v>
          </cell>
          <cell r="B708" t="str">
            <v>Červené srdce s fontánami</v>
          </cell>
          <cell r="C708"/>
          <cell r="D708" t="str">
            <v>6</v>
          </cell>
        </row>
        <row r="709">
          <cell r="A709" t="str">
            <v>IV5M</v>
          </cell>
          <cell r="B709" t="str">
            <v>Interiérový výstřik 5m</v>
          </cell>
          <cell r="C709"/>
          <cell r="D709" t="str">
            <v>105</v>
          </cell>
        </row>
        <row r="710">
          <cell r="A710" t="str">
            <v>IV8M</v>
          </cell>
          <cell r="B710" t="str">
            <v>Interiérový výstřik 8m</v>
          </cell>
          <cell r="C710"/>
          <cell r="D710">
            <v>48</v>
          </cell>
        </row>
        <row r="711">
          <cell r="A711" t="str">
            <v>K01M</v>
          </cell>
          <cell r="B711" t="str">
            <v>Kalashnikov 70sh  (Bouchající kobereček malý)</v>
          </cell>
          <cell r="C711" t="str">
            <v>8/30/5</v>
          </cell>
          <cell r="D711">
            <v>24</v>
          </cell>
        </row>
        <row r="712">
          <cell r="A712" t="str">
            <v>K0203BP</v>
          </cell>
          <cell r="B712" t="str">
            <v>Dumbum Black Pirat</v>
          </cell>
          <cell r="C712" t="str">
            <v>50/100</v>
          </cell>
          <cell r="D712">
            <v>36</v>
          </cell>
        </row>
        <row r="713">
          <cell r="A713" t="str">
            <v>K0203K</v>
          </cell>
          <cell r="B713" t="str">
            <v xml:space="preserve">Pirát s knotem </v>
          </cell>
          <cell r="C713" t="str">
            <v>50/100</v>
          </cell>
          <cell r="D713">
            <v>36</v>
          </cell>
        </row>
        <row r="714">
          <cell r="A714" t="str">
            <v>K0203KB</v>
          </cell>
          <cell r="B714" t="str">
            <v xml:space="preserve">Dumbum Pirát s knotem </v>
          </cell>
          <cell r="C714" t="str">
            <v>100/50</v>
          </cell>
          <cell r="D714">
            <v>35</v>
          </cell>
        </row>
        <row r="715">
          <cell r="A715" t="str">
            <v>K1000R</v>
          </cell>
          <cell r="B715" t="str">
            <v>Kalashnikov 1000sh  (Bouchající kobereček 1000ran)</v>
          </cell>
          <cell r="C715" t="str">
            <v>16/1</v>
          </cell>
          <cell r="D715">
            <v>30</v>
          </cell>
        </row>
        <row r="716">
          <cell r="A716" t="str">
            <v>K10M</v>
          </cell>
          <cell r="B716" t="str">
            <v>Dračí ocas střední</v>
          </cell>
          <cell r="C716" t="str">
            <v>1/1</v>
          </cell>
          <cell r="D716">
            <v>32</v>
          </cell>
        </row>
        <row r="717">
          <cell r="A717" t="str">
            <v>K1969R</v>
          </cell>
          <cell r="B717" t="str">
            <v>Dračí ocas 5m</v>
          </cell>
          <cell r="C717" t="str">
            <v>1/1</v>
          </cell>
          <cell r="D717">
            <v>52</v>
          </cell>
        </row>
        <row r="718">
          <cell r="A718" t="str">
            <v>K200R</v>
          </cell>
          <cell r="B718" t="str">
            <v>Kalashnikov 200sh  (Bouchající kobereček 200ran)</v>
          </cell>
          <cell r="C718" t="str">
            <v>8/10</v>
          </cell>
          <cell r="D718">
            <v>42</v>
          </cell>
        </row>
        <row r="719">
          <cell r="A719" t="str">
            <v>K20K</v>
          </cell>
          <cell r="B719" t="str">
            <v>Kalashnikov 50sh   Kalašnikov 20ran</v>
          </cell>
          <cell r="C719" t="str">
            <v>24/6</v>
          </cell>
          <cell r="D719">
            <v>54</v>
          </cell>
        </row>
        <row r="720">
          <cell r="A720" t="str">
            <v>K500R</v>
          </cell>
          <cell r="B720" t="str">
            <v>Kalashnikov 500sh  (Bouchající kobereček 500ran)</v>
          </cell>
          <cell r="C720" t="str">
            <v>32/1</v>
          </cell>
          <cell r="D720">
            <v>35</v>
          </cell>
        </row>
        <row r="721">
          <cell r="A721" t="str">
            <v>K60K</v>
          </cell>
          <cell r="B721" t="str">
            <v>Kalashnikov 150sh   Kalašnikov 60ran</v>
          </cell>
          <cell r="C721" t="str">
            <v>20/4</v>
          </cell>
          <cell r="D721">
            <v>20</v>
          </cell>
        </row>
        <row r="722">
          <cell r="A722" t="str">
            <v>K-C10025BPW/C14</v>
          </cell>
          <cell r="B722" t="str">
            <v>Best price Wild fire 100/25mm /empty color carton</v>
          </cell>
          <cell r="C722" t="str">
            <v>1/1</v>
          </cell>
          <cell r="D722"/>
        </row>
        <row r="723">
          <cell r="A723" t="str">
            <v>K-C10030XF/C14</v>
          </cell>
          <cell r="B723" t="str">
            <v>Fireworks show 100 /empty color carton</v>
          </cell>
          <cell r="C723" t="str">
            <v>1/1</v>
          </cell>
          <cell r="D723"/>
        </row>
        <row r="724">
          <cell r="A724" t="str">
            <v>K-C1003BB/C</v>
          </cell>
          <cell r="B724" t="str">
            <v>Big Brother /empty color carton</v>
          </cell>
          <cell r="C724" t="str">
            <v>1/1</v>
          </cell>
          <cell r="D724"/>
        </row>
        <row r="725">
          <cell r="A725" t="str">
            <v>K-C1003BO/C</v>
          </cell>
          <cell r="B725" t="str">
            <v>C1003BO/C karton</v>
          </cell>
          <cell r="C725"/>
          <cell r="D725"/>
        </row>
        <row r="726">
          <cell r="A726" t="str">
            <v>K-C1003BP/C</v>
          </cell>
          <cell r="B726" t="str">
            <v>Best price 100/30mm /empty color carton</v>
          </cell>
          <cell r="C726" t="str">
            <v>1/1</v>
          </cell>
          <cell r="D726"/>
        </row>
        <row r="727">
          <cell r="A727" t="str">
            <v>K-C1003BPF/C</v>
          </cell>
          <cell r="B727" t="str">
            <v>Best price-Frozen 100/30mm /empty color carton</v>
          </cell>
          <cell r="C727" t="str">
            <v>1/1</v>
          </cell>
          <cell r="D727"/>
        </row>
        <row r="728">
          <cell r="A728" t="str">
            <v>K-C1003BPW/C14</v>
          </cell>
          <cell r="B728" t="str">
            <v>C1003BPW/C14 karton</v>
          </cell>
          <cell r="C728"/>
          <cell r="D728"/>
        </row>
        <row r="729">
          <cell r="A729" t="str">
            <v>K-C1003NO/C14</v>
          </cell>
          <cell r="B729" t="str">
            <v>No sound Fireworks /empty color carton</v>
          </cell>
          <cell r="C729" t="str">
            <v>1/1</v>
          </cell>
          <cell r="D729"/>
        </row>
        <row r="730">
          <cell r="A730" t="str">
            <v>K-C1003SIG/C</v>
          </cell>
          <cell r="B730" t="str">
            <v>Signature range 100ran /empty color carton</v>
          </cell>
          <cell r="C730" t="str">
            <v>1/1</v>
          </cell>
          <cell r="D730"/>
        </row>
        <row r="731">
          <cell r="A731" t="str">
            <v>K-C1003W/C</v>
          </cell>
          <cell r="B731" t="str">
            <v>C1003W/C karton</v>
          </cell>
          <cell r="C731"/>
          <cell r="D731"/>
        </row>
        <row r="732">
          <cell r="A732" t="str">
            <v>K-C10545GI/C</v>
          </cell>
          <cell r="B732" t="str">
            <v>Gigant 105 /empty color carton</v>
          </cell>
          <cell r="C732" t="str">
            <v>1/1</v>
          </cell>
          <cell r="D732"/>
        </row>
        <row r="733">
          <cell r="A733" t="str">
            <v>K-C12230XPT/C14</v>
          </cell>
          <cell r="B733" t="str">
            <v>Pyrotechnology 2020 122sh /empty color carton</v>
          </cell>
          <cell r="C733" t="str">
            <v>1/1</v>
          </cell>
          <cell r="D733"/>
        </row>
        <row r="734">
          <cell r="A734" t="str">
            <v>K-C12820F/C14</v>
          </cell>
          <cell r="B734" t="str">
            <v>Fireworks show 128/20mm karton</v>
          </cell>
          <cell r="C734"/>
          <cell r="D734"/>
        </row>
        <row r="735">
          <cell r="A735" t="str">
            <v>K-C12820NID/C(T)</v>
          </cell>
          <cell r="B735" t="str">
            <v>New identity series 128 karton</v>
          </cell>
          <cell r="C735"/>
          <cell r="D735"/>
        </row>
        <row r="736">
          <cell r="A736" t="str">
            <v>K-C128XMB/C</v>
          </cell>
          <cell r="B736" t="str">
            <v>Big sellers /empty color carton</v>
          </cell>
          <cell r="C736" t="str">
            <v>1/1</v>
          </cell>
          <cell r="D736"/>
        </row>
        <row r="737">
          <cell r="A737" t="str">
            <v>K-C128XMPT/C</v>
          </cell>
          <cell r="B737" t="str">
            <v>Pyrotechnology 2020 128sh /empty color carton</v>
          </cell>
          <cell r="C737" t="str">
            <v>1/1</v>
          </cell>
          <cell r="D737"/>
        </row>
        <row r="738">
          <cell r="A738" t="str">
            <v>K-C13220B/C14</v>
          </cell>
          <cell r="B738" t="str">
            <v>Big and Bad /empty color carton</v>
          </cell>
          <cell r="C738" t="str">
            <v>1/1</v>
          </cell>
          <cell r="D738"/>
        </row>
        <row r="739">
          <cell r="A739" t="str">
            <v>K-C13220TS/C14(T)</v>
          </cell>
          <cell r="B739" t="str">
            <v>Turbo 20mm shots 60 /empty color carton</v>
          </cell>
          <cell r="C739" t="str">
            <v>1/1</v>
          </cell>
          <cell r="D739"/>
        </row>
        <row r="740">
          <cell r="A740" t="str">
            <v>K-C132XMPT/C</v>
          </cell>
          <cell r="B740" t="str">
            <v>Pyrotechnology 2020 132sh /empty color carton</v>
          </cell>
          <cell r="C740" t="str">
            <v>1/1</v>
          </cell>
          <cell r="D740"/>
        </row>
        <row r="741">
          <cell r="A741" t="str">
            <v>K-C132XMPT/C14</v>
          </cell>
          <cell r="B741" t="str">
            <v>Pyrotechnology 2020 132sh /empty color carton</v>
          </cell>
          <cell r="C741" t="str">
            <v>1/1</v>
          </cell>
          <cell r="D741"/>
        </row>
        <row r="742">
          <cell r="A742" t="str">
            <v>K-C14025XFS/C</v>
          </cell>
          <cell r="B742" t="str">
            <v>Fireworks show 140 /empty color carton</v>
          </cell>
          <cell r="C742" t="str">
            <v>1/1</v>
          </cell>
          <cell r="D742"/>
        </row>
        <row r="743">
          <cell r="A743" t="str">
            <v>K-C14025XFS/C14</v>
          </cell>
          <cell r="B743" t="str">
            <v>Profi Fireworks show 140 /empty color carton</v>
          </cell>
          <cell r="C743" t="str">
            <v>1/1</v>
          </cell>
          <cell r="D743"/>
        </row>
        <row r="744">
          <cell r="A744" t="str">
            <v>K-C1503BPF/C</v>
          </cell>
          <cell r="B744" t="str">
            <v>Best price-Frozen 150/30mm /empty color carton</v>
          </cell>
          <cell r="C744" t="str">
            <v>1/1</v>
          </cell>
          <cell r="D744"/>
        </row>
        <row r="745">
          <cell r="A745" t="str">
            <v>K-C1503X/C</v>
          </cell>
          <cell r="B745" t="str">
            <v>XXXL 150ran karton</v>
          </cell>
          <cell r="C745"/>
          <cell r="D745"/>
        </row>
        <row r="746">
          <cell r="A746" t="str">
            <v>K-C150MF/C</v>
          </cell>
          <cell r="B746" t="str">
            <v>Fireworks show 150 /empty color carton</v>
          </cell>
          <cell r="C746" t="str">
            <v>1/1</v>
          </cell>
          <cell r="D746"/>
        </row>
        <row r="747">
          <cell r="A747" t="str">
            <v>K-C150MPT/C</v>
          </cell>
          <cell r="B747" t="str">
            <v>Pyrotechnology 2020 150sh /empty color carton</v>
          </cell>
          <cell r="C747" t="str">
            <v>1/1</v>
          </cell>
          <cell r="D747"/>
        </row>
        <row r="748">
          <cell r="A748" t="str">
            <v>K-C175MF/C</v>
          </cell>
          <cell r="B748" t="str">
            <v>Fireworks show 175 karton</v>
          </cell>
          <cell r="C748"/>
          <cell r="D748"/>
        </row>
        <row r="749">
          <cell r="A749" t="str">
            <v>K-C175MSIG/C</v>
          </cell>
          <cell r="B749" t="str">
            <v>Signature range 175ran</v>
          </cell>
          <cell r="C749" t="str">
            <v>1/1</v>
          </cell>
          <cell r="D749"/>
        </row>
        <row r="750">
          <cell r="A750" t="str">
            <v>K-C18020SIG/C</v>
          </cell>
          <cell r="B750" t="str">
            <v>Signature range 180ran /empty color carton</v>
          </cell>
          <cell r="C750" t="str">
            <v>1/1</v>
          </cell>
          <cell r="D750"/>
        </row>
        <row r="751">
          <cell r="A751" t="str">
            <v>K-C180MA</v>
          </cell>
          <cell r="B751" t="str">
            <v>King Fireworks Baterie 180ran karton</v>
          </cell>
          <cell r="C751"/>
          <cell r="D751"/>
        </row>
        <row r="752">
          <cell r="A752" t="str">
            <v>K-C188MF/C</v>
          </cell>
          <cell r="B752" t="str">
            <v>C188MF/C karton</v>
          </cell>
          <cell r="C752"/>
          <cell r="D752"/>
        </row>
        <row r="753">
          <cell r="A753" t="str">
            <v>K-C19220F/C</v>
          </cell>
          <cell r="B753" t="str">
            <v>Fireworks show 192/20mm /empty color carton</v>
          </cell>
          <cell r="C753" t="str">
            <v>1/1</v>
          </cell>
          <cell r="D753"/>
        </row>
        <row r="754">
          <cell r="A754" t="str">
            <v>K-C20020XPR/C14</v>
          </cell>
          <cell r="B754" t="str">
            <v>Profi show multi shape 200/20mm /empty color carton</v>
          </cell>
          <cell r="C754" t="str">
            <v>1/1</v>
          </cell>
          <cell r="D754"/>
        </row>
        <row r="755">
          <cell r="A755" t="str">
            <v>K-C20025BPF/C</v>
          </cell>
          <cell r="B755" t="str">
            <v>C20025BPF/C karton</v>
          </cell>
          <cell r="C755"/>
          <cell r="D755"/>
        </row>
        <row r="756">
          <cell r="A756" t="str">
            <v>K-C20025F/C</v>
          </cell>
          <cell r="B756" t="str">
            <v>Fireworks show 200/25mm karton</v>
          </cell>
          <cell r="C756"/>
          <cell r="D756"/>
        </row>
        <row r="757">
          <cell r="A757" t="str">
            <v>K-C2003BP/C</v>
          </cell>
          <cell r="B757" t="str">
            <v>Best price 200/30mm /empty color carton</v>
          </cell>
          <cell r="C757" t="str">
            <v>1/1</v>
          </cell>
          <cell r="D757"/>
        </row>
        <row r="758">
          <cell r="A758" t="str">
            <v>K-C200MF/C</v>
          </cell>
          <cell r="B758" t="str">
            <v>Fireworks show 200 /empty color carton</v>
          </cell>
          <cell r="C758" t="str">
            <v>1/1</v>
          </cell>
          <cell r="D758"/>
        </row>
        <row r="759">
          <cell r="A759" t="str">
            <v>K-C200MNID/C</v>
          </cell>
          <cell r="B759" t="str">
            <v>C200MNID/C karton</v>
          </cell>
          <cell r="C759"/>
          <cell r="D759"/>
        </row>
        <row r="760">
          <cell r="A760" t="str">
            <v>K-C204XMPT/C</v>
          </cell>
          <cell r="B760" t="str">
            <v>Pyrotechnology 2020 204sh /empty color carton</v>
          </cell>
          <cell r="C760" t="str">
            <v>1/1</v>
          </cell>
          <cell r="D760"/>
        </row>
        <row r="761">
          <cell r="A761" t="str">
            <v>K-C204XMPT/C14</v>
          </cell>
          <cell r="B761" t="str">
            <v>Pyrotechnology 2020 204sh /empty color carton</v>
          </cell>
          <cell r="C761" t="str">
            <v>1/1</v>
          </cell>
          <cell r="D761"/>
        </row>
        <row r="762">
          <cell r="A762" t="str">
            <v>K-C212MF/C</v>
          </cell>
          <cell r="B762" t="str">
            <v>Profi Fireworks show 212 /empty color carton</v>
          </cell>
          <cell r="C762" t="str">
            <v>1/1</v>
          </cell>
          <cell r="D762"/>
        </row>
        <row r="763">
          <cell r="A763" t="str">
            <v>K-C216XMFS/C</v>
          </cell>
          <cell r="B763" t="str">
            <v>Fireworks show 216 /empty color carton</v>
          </cell>
          <cell r="C763" t="str">
            <v>1/1</v>
          </cell>
          <cell r="D763"/>
        </row>
        <row r="764">
          <cell r="A764" t="str">
            <v>K-C216XMFS/C14</v>
          </cell>
          <cell r="B764" t="str">
            <v>Fireworks show 216 /empty color carton</v>
          </cell>
          <cell r="C764" t="str">
            <v>1/1</v>
          </cell>
          <cell r="D764"/>
        </row>
        <row r="765">
          <cell r="A765" t="str">
            <v>K-C219XMPT/C</v>
          </cell>
          <cell r="B765" t="str">
            <v>Pyrotechnology 2020 219sh /empty color carton</v>
          </cell>
          <cell r="C765" t="str">
            <v>1/1</v>
          </cell>
          <cell r="D765"/>
        </row>
        <row r="766">
          <cell r="A766" t="str">
            <v>K-C222MF/C</v>
          </cell>
          <cell r="B766" t="str">
            <v>Fireworks show 222 /empty color carton</v>
          </cell>
          <cell r="C766" t="str">
            <v>1/1</v>
          </cell>
          <cell r="D766"/>
        </row>
        <row r="767">
          <cell r="A767" t="str">
            <v>K-C222MNID/C</v>
          </cell>
          <cell r="B767" t="str">
            <v>C222MNID/C karton</v>
          </cell>
          <cell r="C767"/>
          <cell r="D767"/>
        </row>
        <row r="768">
          <cell r="A768" t="str">
            <v>K-C222MNPT/C</v>
          </cell>
          <cell r="B768" t="str">
            <v>Pyrotechnology 2020 222sh /empty color carton</v>
          </cell>
          <cell r="C768" t="str">
            <v>1/1</v>
          </cell>
          <cell r="D768"/>
        </row>
        <row r="769">
          <cell r="A769" t="str">
            <v>K-C223XMK/C</v>
          </cell>
          <cell r="B769" t="str">
            <v>King fireworks 223 /empty color carton</v>
          </cell>
          <cell r="C769" t="str">
            <v>1/1</v>
          </cell>
          <cell r="D769"/>
        </row>
        <row r="770">
          <cell r="A770" t="str">
            <v>K-C223XMK/C14</v>
          </cell>
          <cell r="B770" t="str">
            <v>King fireworks 223 /empty color carton</v>
          </cell>
          <cell r="C770" t="str">
            <v>1/1</v>
          </cell>
          <cell r="D770"/>
        </row>
        <row r="771">
          <cell r="A771" t="str">
            <v>K-C25220XFS/C</v>
          </cell>
          <cell r="B771" t="str">
            <v>Fireworks show 252 karton</v>
          </cell>
          <cell r="C771"/>
          <cell r="D771"/>
        </row>
        <row r="772">
          <cell r="A772" t="str">
            <v>K-C25220XFS/C14</v>
          </cell>
          <cell r="B772" t="str">
            <v>Profi Fireworks show 252 /empty color carton</v>
          </cell>
          <cell r="C772" t="str">
            <v>1/1</v>
          </cell>
          <cell r="D772"/>
        </row>
        <row r="773">
          <cell r="A773" t="str">
            <v>K-C253XMPT/C</v>
          </cell>
          <cell r="B773" t="str">
            <v>Pyrotechnology 2020 253sh /empty color carton</v>
          </cell>
          <cell r="C773" t="str">
            <v>1/1</v>
          </cell>
          <cell r="D773"/>
        </row>
        <row r="774">
          <cell r="A774" t="str">
            <v>K-C25620F/C</v>
          </cell>
          <cell r="B774" t="str">
            <v>Fireworks show 256 /empty color carton</v>
          </cell>
          <cell r="C774" t="str">
            <v>1/1</v>
          </cell>
          <cell r="D774"/>
        </row>
        <row r="775">
          <cell r="A775" t="str">
            <v>K-C25620F/C14(T)</v>
          </cell>
          <cell r="B775" t="str">
            <v>Fireworks show 256 karton</v>
          </cell>
          <cell r="C775"/>
          <cell r="D775"/>
        </row>
        <row r="776">
          <cell r="A776" t="str">
            <v>K-C2563F/C</v>
          </cell>
          <cell r="B776" t="str">
            <v>C2563F/C karton</v>
          </cell>
          <cell r="C776"/>
          <cell r="D776"/>
        </row>
        <row r="777">
          <cell r="A777" t="str">
            <v>K-C2563XMF/C</v>
          </cell>
          <cell r="B777" t="str">
            <v>Profi Fireworks show 256- I+V+W+FAN /empty color carton</v>
          </cell>
          <cell r="C777" t="str">
            <v>1/1</v>
          </cell>
          <cell r="D777"/>
        </row>
        <row r="778">
          <cell r="A778" t="str">
            <v>K-C26020F/C</v>
          </cell>
          <cell r="B778" t="str">
            <v>Fireworks show 260 /empty color carton</v>
          </cell>
          <cell r="C778" t="str">
            <v>1/1</v>
          </cell>
          <cell r="D778"/>
        </row>
        <row r="779">
          <cell r="A779" t="str">
            <v>K-C26420N/C</v>
          </cell>
          <cell r="B779" t="str">
            <v>Neverending Sky /empty color carton</v>
          </cell>
          <cell r="C779" t="str">
            <v>1/1</v>
          </cell>
          <cell r="D779"/>
        </row>
        <row r="780">
          <cell r="A780" t="str">
            <v>K-C30025BPW/C</v>
          </cell>
          <cell r="B780" t="str">
            <v>Best price Wild fire 300/25mm /empty color carton</v>
          </cell>
          <cell r="C780" t="str">
            <v>1/1</v>
          </cell>
          <cell r="D780"/>
        </row>
        <row r="781">
          <cell r="A781" t="str">
            <v>K-C30025F/C</v>
          </cell>
          <cell r="B781" t="str">
            <v>Fireworks show 300 /empty color carton</v>
          </cell>
          <cell r="C781" t="str">
            <v>1/1</v>
          </cell>
          <cell r="D781"/>
        </row>
        <row r="782">
          <cell r="A782" t="str">
            <v>K-C30025NID/C</v>
          </cell>
          <cell r="B782" t="str">
            <v>C30025NID/C karton</v>
          </cell>
          <cell r="C782"/>
          <cell r="D782"/>
        </row>
        <row r="783">
          <cell r="A783" t="str">
            <v>K-C379XMK/C</v>
          </cell>
          <cell r="B783" t="str">
            <v>King fireworks 379 /empty color carton</v>
          </cell>
          <cell r="C783" t="str">
            <v>1/1</v>
          </cell>
          <cell r="D783"/>
        </row>
        <row r="784">
          <cell r="A784" t="str">
            <v>K-C39020F/C</v>
          </cell>
          <cell r="B784" t="str">
            <v>Fireworks show 390 /empty color carton</v>
          </cell>
          <cell r="C784" t="str">
            <v>1/1</v>
          </cell>
          <cell r="D784"/>
        </row>
        <row r="785">
          <cell r="A785" t="str">
            <v>K-C40020XPR/C14</v>
          </cell>
          <cell r="B785" t="str">
            <v>Profi show multi shape 400/20mm /empty color carton</v>
          </cell>
          <cell r="C785" t="str">
            <v>1/1</v>
          </cell>
          <cell r="D785"/>
        </row>
        <row r="786">
          <cell r="A786" t="str">
            <v>K-C40025F/C</v>
          </cell>
          <cell r="B786" t="str">
            <v>Fireworks show 400 /empty color carton</v>
          </cell>
          <cell r="C786" t="str">
            <v>1/1</v>
          </cell>
          <cell r="D786"/>
        </row>
        <row r="787">
          <cell r="A787" t="str">
            <v>K-C503BPW/C14</v>
          </cell>
          <cell r="B787" t="str">
            <v>C503BPW/C14 karton</v>
          </cell>
          <cell r="C787"/>
          <cell r="D787"/>
        </row>
        <row r="788">
          <cell r="A788" t="str">
            <v>K-C503BW/C14</v>
          </cell>
          <cell r="B788" t="str">
            <v>Brocade War 50 karton</v>
          </cell>
          <cell r="C788"/>
          <cell r="D788"/>
        </row>
        <row r="789">
          <cell r="A789" t="str">
            <v>K-C503ME/C14</v>
          </cell>
          <cell r="B789" t="str">
            <v>Meteor new age F2 /empty color carton</v>
          </cell>
          <cell r="C789" t="str">
            <v>1/1</v>
          </cell>
          <cell r="D789"/>
        </row>
        <row r="790">
          <cell r="A790" t="str">
            <v>K-C503NID/C14</v>
          </cell>
          <cell r="B790" t="str">
            <v>New identity series 50/30mm /empty color carton</v>
          </cell>
          <cell r="C790" t="str">
            <v>1/1</v>
          </cell>
          <cell r="D790"/>
        </row>
        <row r="791">
          <cell r="A791" t="str">
            <v>K-C503TS/C14</v>
          </cell>
          <cell r="B791" t="str">
            <v>Turbo 30mm shots 25 karton</v>
          </cell>
          <cell r="C791"/>
          <cell r="D791"/>
        </row>
        <row r="792">
          <cell r="A792" t="str">
            <v>K-C505V/C</v>
          </cell>
          <cell r="B792" t="str">
            <v>Vietnam  /empty color carton</v>
          </cell>
          <cell r="C792" t="str">
            <v>1/1</v>
          </cell>
          <cell r="D792"/>
        </row>
        <row r="793">
          <cell r="A793" t="str">
            <v>K-C505X/C</v>
          </cell>
          <cell r="B793" t="str">
            <v>XXXL 50ran /empty color carton</v>
          </cell>
          <cell r="C793" t="str">
            <v>1/1</v>
          </cell>
          <cell r="D793"/>
        </row>
        <row r="794">
          <cell r="A794" t="str">
            <v>K-C52020F/C</v>
          </cell>
          <cell r="B794" t="str">
            <v>Fireworks show 520 /empty color carton</v>
          </cell>
          <cell r="C794" t="str">
            <v>1/1</v>
          </cell>
          <cell r="D794"/>
        </row>
        <row r="795">
          <cell r="A795" t="str">
            <v>K-C53620F/C</v>
          </cell>
          <cell r="B795" t="str">
            <v>Fireworks show 536 /empty color carton</v>
          </cell>
          <cell r="C795" t="str">
            <v>1/1</v>
          </cell>
          <cell r="D795"/>
        </row>
        <row r="796">
          <cell r="A796" t="str">
            <v>K-C6420DU/C</v>
          </cell>
          <cell r="B796" t="str">
            <v>empty color carton</v>
          </cell>
          <cell r="C796" t="str">
            <v>1/1</v>
          </cell>
          <cell r="D796"/>
        </row>
        <row r="797">
          <cell r="A797" t="str">
            <v>K-C6420DU/IC14(1)</v>
          </cell>
          <cell r="B797" t="str">
            <v>Dumbum 64/20mm karton</v>
          </cell>
          <cell r="C797"/>
          <cell r="D797"/>
        </row>
        <row r="798">
          <cell r="A798" t="str">
            <v>K-C755R/C</v>
          </cell>
          <cell r="B798" t="str">
            <v>Refresh  /empty color carton</v>
          </cell>
          <cell r="C798" t="str">
            <v>1/1</v>
          </cell>
          <cell r="D798"/>
        </row>
        <row r="799">
          <cell r="A799" t="str">
            <v>K-C84M12E/C</v>
          </cell>
          <cell r="B799" t="str">
            <v>C84M12E/C karton</v>
          </cell>
          <cell r="C799"/>
          <cell r="D799"/>
        </row>
        <row r="800">
          <cell r="A800" t="str">
            <v>K-C84M12F/C</v>
          </cell>
          <cell r="B800" t="str">
            <v>Fireworks show 84 /empty color carton</v>
          </cell>
          <cell r="C800" t="str">
            <v>1/1</v>
          </cell>
          <cell r="D800"/>
        </row>
        <row r="801">
          <cell r="A801" t="str">
            <v>K-C84M12S/C</v>
          </cell>
          <cell r="B801" t="str">
            <v>Show time /empty color carton</v>
          </cell>
          <cell r="C801" t="str">
            <v>1/1</v>
          </cell>
          <cell r="D801"/>
        </row>
        <row r="802">
          <cell r="A802" t="str">
            <v>K-C84MC/C</v>
          </cell>
          <cell r="B802" t="str">
            <v>City of Earth   /empty color carton</v>
          </cell>
          <cell r="C802" t="str">
            <v>1/1</v>
          </cell>
          <cell r="D802"/>
        </row>
        <row r="803">
          <cell r="A803" t="str">
            <v>K-C9625MF/C14</v>
          </cell>
          <cell r="B803" t="str">
            <v>Profi Fireworks show 96 /empty color carton</v>
          </cell>
          <cell r="C803" t="str">
            <v>1/1</v>
          </cell>
          <cell r="D803"/>
        </row>
        <row r="804">
          <cell r="A804" t="str">
            <v>K-C9825C/C14</v>
          </cell>
          <cell r="B804" t="str">
            <v>Crazy Night /empty color carton</v>
          </cell>
          <cell r="C804" t="str">
            <v>1/1</v>
          </cell>
          <cell r="D804"/>
        </row>
        <row r="805">
          <cell r="A805" t="str">
            <v>KDLE1</v>
          </cell>
          <cell r="B805" t="str">
            <v>Dumbum kšiltovka - limited edition</v>
          </cell>
          <cell r="C805" t="str">
            <v>1/1</v>
          </cell>
          <cell r="D805"/>
        </row>
        <row r="806">
          <cell r="A806" t="str">
            <v>KK2023</v>
          </cell>
          <cell r="B806" t="str">
            <v>Katalog Klásek 2023</v>
          </cell>
          <cell r="C806" t="str">
            <v>1/1</v>
          </cell>
          <cell r="D806" t="str">
            <v/>
          </cell>
        </row>
        <row r="807">
          <cell r="A807" t="str">
            <v>KKD1</v>
          </cell>
          <cell r="B807" t="str">
            <v>Klíčenka na krk Dumbum</v>
          </cell>
          <cell r="C807" t="str">
            <v>1/1</v>
          </cell>
          <cell r="D807" t="str">
            <v/>
          </cell>
        </row>
        <row r="808">
          <cell r="A808" t="str">
            <v>LM0SW</v>
          </cell>
          <cell r="B808" t="str">
            <v>Scream Wasp</v>
          </cell>
          <cell r="C808" t="str">
            <v>5/40/6</v>
          </cell>
          <cell r="D808">
            <v>80</v>
          </cell>
        </row>
        <row r="809">
          <cell r="A809" t="str">
            <v>LM0SW(1)</v>
          </cell>
          <cell r="B809" t="str">
            <v>Scream Wasp</v>
          </cell>
          <cell r="C809" t="str">
            <v>5/40/6</v>
          </cell>
          <cell r="D809">
            <v>80</v>
          </cell>
        </row>
        <row r="810">
          <cell r="A810" t="str">
            <v>LM1O</v>
          </cell>
          <cell r="B810" t="str">
            <v>Ohnivý motýl</v>
          </cell>
          <cell r="C810" t="str">
            <v>120/10</v>
          </cell>
          <cell r="D810">
            <v>80</v>
          </cell>
        </row>
        <row r="811">
          <cell r="A811" t="str">
            <v>LM2C</v>
          </cell>
          <cell r="B811" t="str">
            <v>Čmelák</v>
          </cell>
          <cell r="C811" t="str">
            <v>60/6</v>
          </cell>
          <cell r="D811">
            <v>24</v>
          </cell>
        </row>
        <row r="812">
          <cell r="A812" t="str">
            <v>LM2V</v>
          </cell>
          <cell r="B812" t="str">
            <v>Vampír</v>
          </cell>
          <cell r="C812" t="str">
            <v>60/6</v>
          </cell>
          <cell r="D812">
            <v>42</v>
          </cell>
        </row>
        <row r="813">
          <cell r="A813" t="str">
            <v>LM3T</v>
          </cell>
          <cell r="B813" t="str">
            <v>Turbo čmelík</v>
          </cell>
          <cell r="C813" t="str">
            <v>36/3</v>
          </cell>
          <cell r="D813">
            <v>40</v>
          </cell>
        </row>
        <row r="814">
          <cell r="A814" t="str">
            <v>LM4O</v>
          </cell>
          <cell r="B814" t="str">
            <v>Obří motýl</v>
          </cell>
          <cell r="C814" t="str">
            <v>36/4</v>
          </cell>
          <cell r="D814" t="str">
            <v>40</v>
          </cell>
        </row>
        <row r="815">
          <cell r="A815" t="str">
            <v>LM5W</v>
          </cell>
          <cell r="B815" t="str">
            <v>Whistling Airplane</v>
          </cell>
          <cell r="C815" t="str">
            <v>48/4</v>
          </cell>
          <cell r="D815">
            <v>24</v>
          </cell>
        </row>
        <row r="816">
          <cell r="A816" t="str">
            <v>LM6M</v>
          </cell>
          <cell r="B816" t="str">
            <v>Medusa</v>
          </cell>
          <cell r="C816" t="str">
            <v>24/4</v>
          </cell>
          <cell r="D816">
            <v>24</v>
          </cell>
        </row>
        <row r="817">
          <cell r="A817" t="str">
            <v>LM7S</v>
          </cell>
          <cell r="B817" t="str">
            <v>Scream UFO</v>
          </cell>
          <cell r="C817" t="str">
            <v>24/4</v>
          </cell>
          <cell r="D817">
            <v>30</v>
          </cell>
        </row>
        <row r="818">
          <cell r="A818" t="str">
            <v>M2</v>
          </cell>
          <cell r="B818" t="str">
            <v xml:space="preserve">2“ Fabric glass mortar </v>
          </cell>
          <cell r="C818" t="str">
            <v>1/1</v>
          </cell>
          <cell r="D818" t="str">
            <v/>
          </cell>
        </row>
        <row r="819">
          <cell r="A819" t="str">
            <v>M25</v>
          </cell>
          <cell r="B819" t="str">
            <v xml:space="preserve">2,5“ Fabric glass mortar </v>
          </cell>
          <cell r="C819"/>
          <cell r="D819" t="str">
            <v/>
          </cell>
        </row>
        <row r="820">
          <cell r="A820" t="str">
            <v>M3</v>
          </cell>
          <cell r="B820" t="str">
            <v>3“ Fabric glass mortar</v>
          </cell>
          <cell r="C820" t="str">
            <v>1/1</v>
          </cell>
          <cell r="D820" t="str">
            <v/>
          </cell>
        </row>
        <row r="821">
          <cell r="A821" t="str">
            <v>M4</v>
          </cell>
          <cell r="B821" t="str">
            <v>4“ Fabric glass mortar</v>
          </cell>
          <cell r="C821" t="str">
            <v>1/1</v>
          </cell>
          <cell r="D821" t="str">
            <v/>
          </cell>
        </row>
        <row r="822">
          <cell r="A822" t="str">
            <v>M5</v>
          </cell>
          <cell r="B822" t="str">
            <v>5" Fabric glass mortar</v>
          </cell>
          <cell r="C822" t="str">
            <v>1/1</v>
          </cell>
          <cell r="D822" t="str">
            <v/>
          </cell>
        </row>
        <row r="823">
          <cell r="A823" t="str">
            <v>M6</v>
          </cell>
          <cell r="B823" t="str">
            <v>6“ Fabric glass mortar</v>
          </cell>
          <cell r="C823" t="str">
            <v>1/1</v>
          </cell>
          <cell r="D823" t="str">
            <v/>
          </cell>
        </row>
        <row r="824">
          <cell r="A824" t="str">
            <v>MDLE1L</v>
          </cell>
          <cell r="B824" t="str">
            <v>Dumbum mikina s kapucí L -limited edition</v>
          </cell>
          <cell r="C824" t="str">
            <v>1/1</v>
          </cell>
          <cell r="D824"/>
        </row>
        <row r="825">
          <cell r="A825" t="str">
            <v>MDLE1M</v>
          </cell>
          <cell r="B825" t="str">
            <v>Dumbum mikina s kapucí M -limited edition</v>
          </cell>
          <cell r="C825" t="str">
            <v>1/1</v>
          </cell>
          <cell r="D825"/>
        </row>
        <row r="826">
          <cell r="A826" t="str">
            <v>MDLE1XL</v>
          </cell>
          <cell r="B826" t="str">
            <v>Dumbum mikina s kapucí XL -limited edition</v>
          </cell>
          <cell r="C826" t="str">
            <v>1/1</v>
          </cell>
          <cell r="D826"/>
        </row>
        <row r="827">
          <cell r="A827" t="str">
            <v>MDLE1XXL</v>
          </cell>
          <cell r="B827" t="str">
            <v>Dumbum mikina s kapucí XXL -limited edition</v>
          </cell>
          <cell r="C827" t="str">
            <v>1/1</v>
          </cell>
          <cell r="D827"/>
        </row>
        <row r="828">
          <cell r="A828" t="str">
            <v>MDLEZ1L</v>
          </cell>
          <cell r="B828" t="str">
            <v>Dumbum mikina se zipem a kapucí L - limited edition</v>
          </cell>
          <cell r="C828" t="str">
            <v>1/1</v>
          </cell>
          <cell r="D828"/>
        </row>
        <row r="829">
          <cell r="A829" t="str">
            <v>MDLEZ1M</v>
          </cell>
          <cell r="B829" t="str">
            <v>Dumbum mikina se zipem a kapucí M - limited edition</v>
          </cell>
          <cell r="C829" t="str">
            <v>1/1</v>
          </cell>
          <cell r="D829"/>
        </row>
        <row r="830">
          <cell r="A830" t="str">
            <v>MDLEZ1XL</v>
          </cell>
          <cell r="B830" t="str">
            <v>Dumbum mikina se zipem a kapucí XL - limited edition</v>
          </cell>
          <cell r="C830" t="str">
            <v>1/1</v>
          </cell>
          <cell r="D830"/>
        </row>
        <row r="831">
          <cell r="A831" t="str">
            <v>MDLEZ1XXL</v>
          </cell>
          <cell r="B831" t="str">
            <v>Dumbum mikina se zipem a kapucí XXL - limited edition</v>
          </cell>
          <cell r="C831" t="str">
            <v>1/1</v>
          </cell>
          <cell r="D831"/>
        </row>
        <row r="832">
          <cell r="A832" t="str">
            <v>N1</v>
          </cell>
          <cell r="B832" t="str">
            <v>Dumbum explosive drink</v>
          </cell>
          <cell r="C832" t="str">
            <v>24/1</v>
          </cell>
          <cell r="D832" t="str">
            <v>120</v>
          </cell>
        </row>
        <row r="833">
          <cell r="A833" t="str">
            <v>ND1</v>
          </cell>
          <cell r="B833" t="str">
            <v>Samolepka Dumbum</v>
          </cell>
          <cell r="C833" t="str">
            <v>1/1</v>
          </cell>
          <cell r="D833" t="str">
            <v/>
          </cell>
        </row>
        <row r="834">
          <cell r="A834" t="str">
            <v>OZ4</v>
          </cell>
          <cell r="B834" t="str">
            <v>Odpalovací zařízení Professionál</v>
          </cell>
          <cell r="C834" t="str">
            <v>1/1</v>
          </cell>
          <cell r="D834"/>
        </row>
        <row r="835">
          <cell r="A835" t="str">
            <v>P05D</v>
          </cell>
          <cell r="B835" t="str">
            <v>FA1 / Dumbum F2</v>
          </cell>
          <cell r="C835" t="str">
            <v>200/20</v>
          </cell>
          <cell r="D835" t="str">
            <v>36</v>
          </cell>
        </row>
        <row r="836">
          <cell r="A836" t="str">
            <v>P05DSP1</v>
          </cell>
          <cell r="B836" t="str">
            <v>ZAP1Mb / Dumbum P1 (scatch head)</v>
          </cell>
          <cell r="C836" t="str">
            <v>200/20</v>
          </cell>
          <cell r="D836"/>
        </row>
        <row r="837">
          <cell r="A837" t="str">
            <v>P066D20</v>
          </cell>
          <cell r="B837" t="str">
            <v>SZA1e / Dumbum F3</v>
          </cell>
          <cell r="C837" t="str">
            <v>100/20</v>
          </cell>
          <cell r="D837">
            <v>54</v>
          </cell>
        </row>
        <row r="838">
          <cell r="A838" t="str">
            <v>P066D20P1</v>
          </cell>
          <cell r="B838" t="str">
            <v>ZAP1b / Dumbum P1</v>
          </cell>
          <cell r="C838" t="str">
            <v>100/20</v>
          </cell>
          <cell r="D838"/>
        </row>
        <row r="839">
          <cell r="A839" t="str">
            <v>P10D20</v>
          </cell>
          <cell r="B839" t="str">
            <v>SZA1d / Dumbum 120</v>
          </cell>
          <cell r="C839" t="str">
            <v>90/20</v>
          </cell>
          <cell r="D839">
            <v>36</v>
          </cell>
        </row>
        <row r="840">
          <cell r="A840" t="str">
            <v>P10D20SP1</v>
          </cell>
          <cell r="B840" t="str">
            <v>ZAP1Ma / Dumbum 120 (scatch head)</v>
          </cell>
          <cell r="C840" t="str">
            <v>100/20</v>
          </cell>
          <cell r="D840"/>
        </row>
        <row r="841">
          <cell r="A841" t="str">
            <v>P1D</v>
          </cell>
          <cell r="B841" t="str">
            <v>Dumbum nano</v>
          </cell>
          <cell r="C841" t="str">
            <v>6/54/40</v>
          </cell>
          <cell r="D841">
            <v>42</v>
          </cell>
        </row>
        <row r="842">
          <cell r="A842" t="str">
            <v>P2D</v>
          </cell>
          <cell r="B842" t="str">
            <v xml:space="preserve">Dumbum micro </v>
          </cell>
          <cell r="C842" t="str">
            <v>6/54/25</v>
          </cell>
          <cell r="D842">
            <v>24</v>
          </cell>
        </row>
        <row r="843">
          <cell r="A843" t="str">
            <v>P40B25</v>
          </cell>
          <cell r="B843" t="str">
            <v xml:space="preserve">Fotbalová pochodeň bílá+dým </v>
          </cell>
          <cell r="C843" t="str">
            <v>20/5</v>
          </cell>
          <cell r="D843" t="str">
            <v>60</v>
          </cell>
        </row>
        <row r="844">
          <cell r="A844" t="str">
            <v>P40C25</v>
          </cell>
          <cell r="B844" t="str">
            <v xml:space="preserve">Fotbalová pochodeň červená+dým </v>
          </cell>
          <cell r="C844" t="str">
            <v>20/5</v>
          </cell>
          <cell r="D844" t="str">
            <v>60</v>
          </cell>
        </row>
        <row r="845">
          <cell r="A845" t="str">
            <v>P40MO25</v>
          </cell>
          <cell r="B845" t="str">
            <v xml:space="preserve">Fotbalová pochodeň modrá+dým </v>
          </cell>
          <cell r="C845" t="str">
            <v>20/5</v>
          </cell>
          <cell r="D845" t="str">
            <v>60</v>
          </cell>
        </row>
        <row r="846">
          <cell r="A846" t="str">
            <v>P40Z25</v>
          </cell>
          <cell r="B846" t="str">
            <v xml:space="preserve">Fotbalová pochodeň zelená+dým </v>
          </cell>
          <cell r="C846" t="str">
            <v>20/5</v>
          </cell>
          <cell r="D846" t="str">
            <v>60</v>
          </cell>
        </row>
        <row r="847">
          <cell r="A847" t="str">
            <v>P40ZL25</v>
          </cell>
          <cell r="B847" t="str">
            <v xml:space="preserve">Fotbalová pochodeň žlutá+dým </v>
          </cell>
          <cell r="C847" t="str">
            <v>20/5</v>
          </cell>
          <cell r="D847" t="str">
            <v>60</v>
          </cell>
        </row>
        <row r="848">
          <cell r="A848" t="str">
            <v>P4A(1)</v>
          </cell>
          <cell r="B848" t="str">
            <v>Mini Bomb</v>
          </cell>
          <cell r="C848" t="str">
            <v>90/21</v>
          </cell>
          <cell r="D848">
            <v>34</v>
          </cell>
        </row>
        <row r="849">
          <cell r="A849" t="str">
            <v>P4B</v>
          </cell>
          <cell r="B849" t="str">
            <v xml:space="preserve">Mini Dumbum </v>
          </cell>
          <cell r="C849" t="str">
            <v>70/24</v>
          </cell>
          <cell r="D849">
            <v>36</v>
          </cell>
        </row>
        <row r="850">
          <cell r="A850" t="str">
            <v>P5A13</v>
          </cell>
          <cell r="B850" t="str">
            <v>Bomb</v>
          </cell>
          <cell r="C850" t="str">
            <v>50/20</v>
          </cell>
          <cell r="D850">
            <v>42</v>
          </cell>
        </row>
        <row r="851">
          <cell r="A851" t="str">
            <v>P5C E</v>
          </cell>
          <cell r="B851" t="str">
            <v>Bomb black dummy</v>
          </cell>
          <cell r="C851"/>
          <cell r="D851" t="str">
            <v/>
          </cell>
        </row>
        <row r="852">
          <cell r="A852" t="str">
            <v>P5D13</v>
          </cell>
          <cell r="B852" t="str">
            <v>Viper 1</v>
          </cell>
          <cell r="C852" t="str">
            <v>50/20</v>
          </cell>
          <cell r="D852">
            <v>42</v>
          </cell>
        </row>
        <row r="853">
          <cell r="A853" t="str">
            <v>P5D13(W)</v>
          </cell>
          <cell r="B853" t="str">
            <v>Viper 1  (white)</v>
          </cell>
          <cell r="C853" t="str">
            <v>50/20</v>
          </cell>
          <cell r="D853">
            <v>48</v>
          </cell>
        </row>
        <row r="854">
          <cell r="A854" t="str">
            <v>P5DU</v>
          </cell>
          <cell r="B854" t="str">
            <v>SZA1b / Dumbum 2G</v>
          </cell>
          <cell r="C854" t="str">
            <v>60/20</v>
          </cell>
          <cell r="D854">
            <v>40</v>
          </cell>
        </row>
        <row r="855">
          <cell r="A855" t="str">
            <v>P5DU13</v>
          </cell>
          <cell r="B855" t="str">
            <v>Dumbum 2G+</v>
          </cell>
          <cell r="C855" t="str">
            <v>50/20</v>
          </cell>
          <cell r="D855">
            <v>42</v>
          </cell>
        </row>
        <row r="856">
          <cell r="A856" t="str">
            <v>P5DU13(M)</v>
          </cell>
          <cell r="B856" t="str">
            <v>Dumbum 2G+</v>
          </cell>
          <cell r="C856" t="str">
            <v>50/20</v>
          </cell>
          <cell r="D856">
            <v>42</v>
          </cell>
        </row>
        <row r="857">
          <cell r="A857" t="str">
            <v>P6A13(G)F3</v>
          </cell>
          <cell r="B857" t="str">
            <v>Dumbum midlle green</v>
          </cell>
          <cell r="C857" t="str">
            <v>60/20</v>
          </cell>
          <cell r="D857">
            <v>26</v>
          </cell>
        </row>
        <row r="858">
          <cell r="A858" t="str">
            <v>P6A13(R)F3</v>
          </cell>
          <cell r="B858" t="str">
            <v>Dumbum midlle red</v>
          </cell>
          <cell r="C858" t="str">
            <v>60/20</v>
          </cell>
          <cell r="D858">
            <v>26</v>
          </cell>
        </row>
        <row r="859">
          <cell r="A859" t="str">
            <v>P6A13(R)F3-1</v>
          </cell>
          <cell r="B859" t="str">
            <v>Dumbum midlle red</v>
          </cell>
          <cell r="C859" t="str">
            <v>60/20</v>
          </cell>
          <cell r="D859">
            <v>26</v>
          </cell>
        </row>
        <row r="860">
          <cell r="A860" t="str">
            <v>P6A14F3</v>
          </cell>
          <cell r="B860" t="str">
            <v>Dumbum</v>
          </cell>
          <cell r="C860" t="str">
            <v>50/30</v>
          </cell>
          <cell r="D860">
            <v>42</v>
          </cell>
        </row>
        <row r="861">
          <cell r="A861" t="str">
            <v>P6A14F3(R)</v>
          </cell>
          <cell r="B861" t="str">
            <v>Dumbum red</v>
          </cell>
          <cell r="C861" t="str">
            <v>50/30</v>
          </cell>
          <cell r="D861">
            <v>42</v>
          </cell>
        </row>
        <row r="862">
          <cell r="A862" t="str">
            <v>P6AE</v>
          </cell>
          <cell r="B862" t="str">
            <v>SZA1T / Dumbum 5g</v>
          </cell>
          <cell r="C862" t="str">
            <v>60/20</v>
          </cell>
          <cell r="D862">
            <v>40</v>
          </cell>
        </row>
        <row r="863">
          <cell r="A863" t="str">
            <v>P7A14</v>
          </cell>
          <cell r="B863" t="str">
            <v>Dumbum Silver</v>
          </cell>
          <cell r="C863" t="str">
            <v>40/36</v>
          </cell>
          <cell r="D863">
            <v>30</v>
          </cell>
        </row>
        <row r="864">
          <cell r="A864" t="str">
            <v>P8DCH</v>
          </cell>
          <cell r="B864" t="str">
            <v>8 days Pyro challenge</v>
          </cell>
          <cell r="C864" t="str">
            <v>60/1</v>
          </cell>
          <cell r="D864">
            <v>8</v>
          </cell>
        </row>
        <row r="865">
          <cell r="A865" t="str">
            <v>PB120D</v>
          </cell>
          <cell r="B865" t="str">
            <v>Dumbum black edition 120db</v>
          </cell>
          <cell r="C865" t="str">
            <v>50/20</v>
          </cell>
          <cell r="D865">
            <v>28</v>
          </cell>
        </row>
        <row r="866">
          <cell r="A866" t="str">
            <v>PB120D E</v>
          </cell>
          <cell r="B866" t="str">
            <v>Dumbum black edition 120db</v>
          </cell>
          <cell r="C866"/>
          <cell r="D866"/>
        </row>
        <row r="867">
          <cell r="A867" t="str">
            <v>PBF2D</v>
          </cell>
          <cell r="B867" t="str">
            <v>Dumbum Big F2 black</v>
          </cell>
          <cell r="C867" t="str">
            <v>60/10</v>
          </cell>
          <cell r="D867">
            <v>36</v>
          </cell>
        </row>
        <row r="868">
          <cell r="A868" t="str">
            <v>PK1</v>
          </cell>
          <cell r="B868" t="str">
            <v xml:space="preserve">Černý plastový konektor-samec </v>
          </cell>
          <cell r="C868"/>
          <cell r="D868" t="str">
            <v/>
          </cell>
        </row>
        <row r="869">
          <cell r="A869" t="str">
            <v>PK2</v>
          </cell>
          <cell r="B869" t="str">
            <v xml:space="preserve">Červený plastový konektor-samice </v>
          </cell>
          <cell r="C869"/>
          <cell r="D869" t="str">
            <v/>
          </cell>
        </row>
        <row r="870">
          <cell r="A870" t="str">
            <v>PL1DU</v>
          </cell>
          <cell r="B870" t="str">
            <v>Plakát Dumbum</v>
          </cell>
          <cell r="C870" t="str">
            <v>1/1</v>
          </cell>
          <cell r="D870" t="str">
            <v/>
          </cell>
        </row>
        <row r="871">
          <cell r="A871" t="str">
            <v>PLZ420</v>
          </cell>
          <cell r="B871" t="str">
            <v>Plašič zvěře 420min (Sznur hukowy)</v>
          </cell>
          <cell r="C871" t="str">
            <v>7/12</v>
          </cell>
          <cell r="D871">
            <v>40</v>
          </cell>
        </row>
        <row r="872">
          <cell r="A872" t="str">
            <v>PPMD1</v>
          </cell>
          <cell r="B872" t="str">
            <v>Podložka pod myš Dumbum</v>
          </cell>
          <cell r="C872" t="str">
            <v>1/1</v>
          </cell>
          <cell r="D872" t="str">
            <v/>
          </cell>
        </row>
        <row r="873">
          <cell r="A873" t="str">
            <v>PSF2D</v>
          </cell>
          <cell r="B873" t="str">
            <v>Dumbum Big F2 silver</v>
          </cell>
          <cell r="C873" t="str">
            <v>60/10</v>
          </cell>
          <cell r="D873">
            <v>36</v>
          </cell>
        </row>
        <row r="874">
          <cell r="A874" t="str">
            <v>R100M</v>
          </cell>
          <cell r="B874" t="str">
            <v xml:space="preserve">Minomet </v>
          </cell>
          <cell r="C874" t="str">
            <v>40/1</v>
          </cell>
          <cell r="D874">
            <v>30</v>
          </cell>
        </row>
        <row r="875">
          <cell r="A875" t="str">
            <v>R12T1</v>
          </cell>
          <cell r="B875" t="str">
            <v>Tomahawk rocket 1</v>
          </cell>
          <cell r="C875" t="str">
            <v>36/12</v>
          </cell>
          <cell r="D875">
            <v>24</v>
          </cell>
        </row>
        <row r="876">
          <cell r="A876" t="str">
            <v>R12T3</v>
          </cell>
          <cell r="B876" t="str">
            <v>Tomahawk rocket 3</v>
          </cell>
          <cell r="C876" t="str">
            <v>24/12</v>
          </cell>
          <cell r="D876" t="str">
            <v>18</v>
          </cell>
        </row>
        <row r="877">
          <cell r="A877" t="str">
            <v>R170B</v>
          </cell>
          <cell r="B877" t="str">
            <v>Brocade war rocket</v>
          </cell>
          <cell r="C877" t="str">
            <v>12/2</v>
          </cell>
          <cell r="D877">
            <v>9</v>
          </cell>
        </row>
        <row r="878">
          <cell r="A878" t="str">
            <v>R170B E</v>
          </cell>
          <cell r="B878" t="str">
            <v>Brocade war rocket dummy</v>
          </cell>
          <cell r="C878"/>
          <cell r="D878" t="str">
            <v/>
          </cell>
        </row>
        <row r="879">
          <cell r="A879" t="str">
            <v>R170M</v>
          </cell>
          <cell r="B879" t="str">
            <v>Big mix rocket</v>
          </cell>
          <cell r="C879" t="str">
            <v>4/5</v>
          </cell>
          <cell r="D879" t="str">
            <v>15</v>
          </cell>
        </row>
        <row r="880">
          <cell r="A880" t="str">
            <v>R170X</v>
          </cell>
          <cell r="B880" t="str">
            <v>XXXL rocket</v>
          </cell>
          <cell r="C880" t="str">
            <v>6/3</v>
          </cell>
          <cell r="D880">
            <v>12</v>
          </cell>
        </row>
        <row r="881">
          <cell r="A881" t="str">
            <v>R4420B</v>
          </cell>
          <cell r="B881" t="str">
            <v>Color balls 20ran</v>
          </cell>
          <cell r="C881" t="str">
            <v>24/12</v>
          </cell>
          <cell r="D881">
            <v>56</v>
          </cell>
        </row>
        <row r="882">
          <cell r="A882" t="str">
            <v>R5410B</v>
          </cell>
          <cell r="B882" t="str">
            <v>Římská svíce 10ran</v>
          </cell>
          <cell r="C882" t="str">
            <v>40/4</v>
          </cell>
          <cell r="D882">
            <v>40</v>
          </cell>
        </row>
        <row r="883">
          <cell r="A883" t="str">
            <v>R5420K</v>
          </cell>
          <cell r="B883" t="str">
            <v>Práskající komety</v>
          </cell>
          <cell r="C883" t="str">
            <v>15/12</v>
          </cell>
          <cell r="D883">
            <v>36</v>
          </cell>
        </row>
        <row r="884">
          <cell r="A884" t="str">
            <v>R5808D</v>
          </cell>
          <cell r="B884" t="str">
            <v xml:space="preserve">Dumbum římská svíce 8ran </v>
          </cell>
          <cell r="C884" t="str">
            <v>48/2</v>
          </cell>
          <cell r="D884">
            <v>30</v>
          </cell>
        </row>
        <row r="885">
          <cell r="A885" t="str">
            <v>R6008E</v>
          </cell>
          <cell r="B885" t="str">
            <v>Římská svíce 8ran</v>
          </cell>
          <cell r="C885" t="str">
            <v>24/2</v>
          </cell>
          <cell r="D885">
            <v>63</v>
          </cell>
        </row>
        <row r="886">
          <cell r="A886" t="str">
            <v>R6008M</v>
          </cell>
          <cell r="B886" t="str">
            <v>Mix římských svící 8ran</v>
          </cell>
          <cell r="C886" t="str">
            <v>24/4</v>
          </cell>
          <cell r="D886">
            <v>30</v>
          </cell>
        </row>
        <row r="887">
          <cell r="A887" t="str">
            <v>R6020B</v>
          </cell>
          <cell r="B887" t="str">
            <v>Římská svíce 20ran</v>
          </cell>
          <cell r="C887" t="str">
            <v>15/10</v>
          </cell>
          <cell r="D887">
            <v>36</v>
          </cell>
        </row>
        <row r="888">
          <cell r="A888" t="str">
            <v>R6020M</v>
          </cell>
          <cell r="B888" t="str">
            <v>Mix římských svící 20ran</v>
          </cell>
          <cell r="C888" t="str">
            <v>30/6</v>
          </cell>
          <cell r="D888">
            <v>30</v>
          </cell>
        </row>
        <row r="889">
          <cell r="A889" t="str">
            <v>R6508S</v>
          </cell>
          <cell r="B889" t="str">
            <v>Scream 8sh</v>
          </cell>
          <cell r="C889" t="str">
            <v>24/4</v>
          </cell>
          <cell r="D889">
            <v>30</v>
          </cell>
        </row>
        <row r="890">
          <cell r="A890" t="str">
            <v>R6520BK/2</v>
          </cell>
          <cell r="B890" t="str">
            <v>Nad Tatrou sa blýska</v>
          </cell>
          <cell r="C890" t="str">
            <v>25/6</v>
          </cell>
          <cell r="D890">
            <v>28</v>
          </cell>
        </row>
        <row r="891">
          <cell r="A891" t="str">
            <v>R7020K</v>
          </cell>
          <cell r="B891" t="str">
            <v>Práskající komety</v>
          </cell>
          <cell r="C891" t="str">
            <v>15/12</v>
          </cell>
          <cell r="D891">
            <v>24</v>
          </cell>
        </row>
        <row r="892">
          <cell r="A892" t="str">
            <v>R7020M</v>
          </cell>
          <cell r="B892" t="str">
            <v>Mix římských svící 20ran</v>
          </cell>
          <cell r="C892" t="str">
            <v>15/12</v>
          </cell>
          <cell r="D892">
            <v>27</v>
          </cell>
        </row>
        <row r="893">
          <cell r="A893" t="str">
            <v>R7040C</v>
          </cell>
          <cell r="B893" t="str">
            <v>Color balls 40ran</v>
          </cell>
          <cell r="C893" t="str">
            <v>36/6</v>
          </cell>
          <cell r="D893" t="str">
            <v>56</v>
          </cell>
        </row>
        <row r="894">
          <cell r="A894" t="str">
            <v>R7508E</v>
          </cell>
          <cell r="B894" t="str">
            <v>Římská svíce 8ran</v>
          </cell>
          <cell r="C894" t="str">
            <v>24/4</v>
          </cell>
          <cell r="D894">
            <v>25</v>
          </cell>
        </row>
        <row r="895">
          <cell r="A895" t="str">
            <v>R7508SIG</v>
          </cell>
          <cell r="B895" t="str">
            <v>Signature range Roman candle 20mm</v>
          </cell>
          <cell r="C895" t="str">
            <v>24/4</v>
          </cell>
          <cell r="D895">
            <v>21</v>
          </cell>
        </row>
        <row r="896">
          <cell r="A896" t="str">
            <v>R7538D</v>
          </cell>
          <cell r="B896" t="str">
            <v xml:space="preserve">Golden tail </v>
          </cell>
          <cell r="C896" t="str">
            <v>25/1</v>
          </cell>
          <cell r="D896">
            <v>40</v>
          </cell>
        </row>
        <row r="897">
          <cell r="A897" t="str">
            <v>R7538E</v>
          </cell>
          <cell r="B897" t="str">
            <v>Římská svíce 8ran</v>
          </cell>
          <cell r="C897" t="str">
            <v>25/1</v>
          </cell>
          <cell r="D897">
            <v>40</v>
          </cell>
        </row>
        <row r="898">
          <cell r="A898" t="str">
            <v>R7538H</v>
          </cell>
          <cell r="B898" t="str">
            <v>Silver glitter willow tail</v>
          </cell>
          <cell r="C898" t="str">
            <v>25/1</v>
          </cell>
          <cell r="D898">
            <v>40</v>
          </cell>
        </row>
        <row r="899">
          <cell r="A899" t="str">
            <v>R7538CH</v>
          </cell>
          <cell r="B899" t="str">
            <v>Crackling tail</v>
          </cell>
          <cell r="C899" t="str">
            <v>25/1</v>
          </cell>
          <cell r="D899">
            <v>40</v>
          </cell>
        </row>
        <row r="900">
          <cell r="A900" t="str">
            <v>R7538I</v>
          </cell>
          <cell r="B900" t="str">
            <v>Římská svíce 8ran</v>
          </cell>
          <cell r="C900" t="str">
            <v>25/1</v>
          </cell>
          <cell r="D900">
            <v>40</v>
          </cell>
        </row>
        <row r="901">
          <cell r="A901" t="str">
            <v>R7538S</v>
          </cell>
          <cell r="B901" t="str">
            <v>Signature range Roman candle</v>
          </cell>
          <cell r="C901" t="str">
            <v>25/1</v>
          </cell>
          <cell r="D901">
            <v>36</v>
          </cell>
        </row>
        <row r="902">
          <cell r="A902" t="str">
            <v>RB1</v>
          </cell>
          <cell r="B902" t="str">
            <v>Rodinné balení</v>
          </cell>
          <cell r="C902" t="str">
            <v>20/1</v>
          </cell>
          <cell r="D902" t="str">
            <v>16</v>
          </cell>
        </row>
        <row r="903">
          <cell r="A903" t="str">
            <v>RD8</v>
          </cell>
          <cell r="B903" t="str">
            <v>LG2112 / Racing drones</v>
          </cell>
          <cell r="C903" t="str">
            <v>30/1.</v>
          </cell>
          <cell r="D903">
            <v>16</v>
          </cell>
        </row>
        <row r="904">
          <cell r="A904" t="str">
            <v>RDG1B</v>
          </cell>
          <cell r="B904" t="str">
            <v>RDG1-bílá</v>
          </cell>
          <cell r="C904" t="str">
            <v>12/4.</v>
          </cell>
          <cell r="D904" t="str">
            <v>72</v>
          </cell>
        </row>
        <row r="905">
          <cell r="A905" t="str">
            <v>RDG1B(1)</v>
          </cell>
          <cell r="B905" t="str">
            <v>RDG1-bílá</v>
          </cell>
          <cell r="C905" t="str">
            <v>50/1</v>
          </cell>
          <cell r="D905" t="str">
            <v>72</v>
          </cell>
        </row>
        <row r="906">
          <cell r="A906" t="str">
            <v>RDG1B-P</v>
          </cell>
          <cell r="B906" t="str">
            <v>RDG1-bílá</v>
          </cell>
          <cell r="C906" t="str">
            <v>25/1</v>
          </cell>
          <cell r="D906">
            <v>60</v>
          </cell>
        </row>
        <row r="907">
          <cell r="A907" t="str">
            <v>RDG1C</v>
          </cell>
          <cell r="B907" t="str">
            <v>RDG1-červená</v>
          </cell>
          <cell r="C907" t="str">
            <v>50/1</v>
          </cell>
          <cell r="D907" t="str">
            <v>72</v>
          </cell>
        </row>
        <row r="908">
          <cell r="A908" t="str">
            <v>RDG1C(1)</v>
          </cell>
          <cell r="B908" t="str">
            <v>RDG1-červená</v>
          </cell>
          <cell r="C908" t="str">
            <v>50/1</v>
          </cell>
          <cell r="D908" t="str">
            <v>72</v>
          </cell>
        </row>
        <row r="909">
          <cell r="A909" t="str">
            <v>RDG1C-P</v>
          </cell>
          <cell r="B909" t="str">
            <v>RDG1-červená</v>
          </cell>
          <cell r="C909" t="str">
            <v>25/1</v>
          </cell>
          <cell r="D909">
            <v>60</v>
          </cell>
        </row>
        <row r="910">
          <cell r="A910" t="str">
            <v>RDG1M</v>
          </cell>
          <cell r="B910" t="str">
            <v>RDG1-modrá</v>
          </cell>
          <cell r="C910" t="str">
            <v>50/1</v>
          </cell>
          <cell r="D910" t="str">
            <v>72</v>
          </cell>
        </row>
        <row r="911">
          <cell r="A911" t="str">
            <v>RDG1M-P</v>
          </cell>
          <cell r="B911" t="str">
            <v>RDG1-modrá</v>
          </cell>
          <cell r="C911" t="str">
            <v>25/1</v>
          </cell>
          <cell r="D911">
            <v>60</v>
          </cell>
        </row>
        <row r="912">
          <cell r="A912" t="str">
            <v>RDG1O</v>
          </cell>
          <cell r="B912" t="str">
            <v>RDG1-oranžová</v>
          </cell>
          <cell r="C912" t="str">
            <v>50/1</v>
          </cell>
          <cell r="D912" t="str">
            <v>72</v>
          </cell>
        </row>
        <row r="913">
          <cell r="A913" t="str">
            <v>RDG1O(1)</v>
          </cell>
          <cell r="B913" t="str">
            <v>RDG1-oranžová</v>
          </cell>
          <cell r="C913" t="str">
            <v>50/1</v>
          </cell>
          <cell r="D913" t="str">
            <v>72</v>
          </cell>
        </row>
        <row r="914">
          <cell r="A914" t="str">
            <v>RDG1O-P</v>
          </cell>
          <cell r="B914" t="str">
            <v>RDG1-oranžová</v>
          </cell>
          <cell r="C914" t="str">
            <v>25/1</v>
          </cell>
          <cell r="D914">
            <v>60</v>
          </cell>
        </row>
        <row r="915">
          <cell r="A915" t="str">
            <v>RDG1O-P(1)</v>
          </cell>
          <cell r="B915" t="str">
            <v>RDG1-oranžová</v>
          </cell>
          <cell r="C915" t="str">
            <v>25/1</v>
          </cell>
          <cell r="D915">
            <v>60</v>
          </cell>
        </row>
        <row r="916">
          <cell r="A916" t="str">
            <v>RDG1ZE</v>
          </cell>
          <cell r="B916" t="str">
            <v>RDG1-zelená</v>
          </cell>
          <cell r="C916" t="str">
            <v>50/1</v>
          </cell>
          <cell r="D916" t="str">
            <v>72</v>
          </cell>
        </row>
        <row r="917">
          <cell r="A917" t="str">
            <v>RDG1ZE(1)</v>
          </cell>
          <cell r="B917" t="str">
            <v>RDG1-zelená</v>
          </cell>
          <cell r="C917" t="str">
            <v>50/1</v>
          </cell>
          <cell r="D917" t="str">
            <v>72</v>
          </cell>
        </row>
        <row r="918">
          <cell r="A918" t="str">
            <v>RDG1ZE-P</v>
          </cell>
          <cell r="B918" t="str">
            <v>RDG1-zelená</v>
          </cell>
          <cell r="C918" t="str">
            <v>25/1</v>
          </cell>
          <cell r="D918">
            <v>60</v>
          </cell>
        </row>
        <row r="919">
          <cell r="A919" t="str">
            <v>RDG1ZE-P(1)</v>
          </cell>
          <cell r="B919" t="str">
            <v>RDG1-zelená</v>
          </cell>
          <cell r="C919" t="str">
            <v>25/1</v>
          </cell>
          <cell r="D919">
            <v>60</v>
          </cell>
        </row>
        <row r="920">
          <cell r="A920" t="str">
            <v>RDG1ZL</v>
          </cell>
          <cell r="B920" t="str">
            <v>RDG1- žlutá</v>
          </cell>
          <cell r="C920" t="str">
            <v>50/1</v>
          </cell>
          <cell r="D920" t="str">
            <v>72</v>
          </cell>
        </row>
        <row r="921">
          <cell r="A921" t="str">
            <v>RDG1ZL(1)</v>
          </cell>
          <cell r="B921" t="str">
            <v>RDG1- žlutá</v>
          </cell>
          <cell r="C921" t="str">
            <v>50/1</v>
          </cell>
          <cell r="D921" t="str">
            <v>72</v>
          </cell>
        </row>
        <row r="922">
          <cell r="A922" t="str">
            <v>RDG1ZL-P</v>
          </cell>
          <cell r="B922" t="str">
            <v>RDG1- žlutá</v>
          </cell>
          <cell r="C922" t="str">
            <v>25/1</v>
          </cell>
          <cell r="D922">
            <v>60</v>
          </cell>
        </row>
        <row r="923">
          <cell r="A923" t="str">
            <v>RDG1ZL-P(1)</v>
          </cell>
          <cell r="B923" t="str">
            <v>RDG1- žlutá</v>
          </cell>
          <cell r="C923" t="str">
            <v>25/1</v>
          </cell>
          <cell r="D923">
            <v>60</v>
          </cell>
        </row>
        <row r="924">
          <cell r="A924" t="str">
            <v>RDG25B</v>
          </cell>
          <cell r="B924" t="str">
            <v xml:space="preserve">SP9036W / Bílá turbo dýmovnice s trhací pojistkou </v>
          </cell>
          <cell r="C924" t="str">
            <v>20/5</v>
          </cell>
          <cell r="D924" t="str">
            <v>45</v>
          </cell>
        </row>
        <row r="925">
          <cell r="A925" t="str">
            <v>RDG25CER</v>
          </cell>
          <cell r="B925" t="str">
            <v xml:space="preserve">SP9036B2 / Černá turbo dýmovnice s trhací pojistkou </v>
          </cell>
          <cell r="C925" t="str">
            <v>20/5</v>
          </cell>
          <cell r="D925" t="str">
            <v>45</v>
          </cell>
        </row>
        <row r="926">
          <cell r="A926" t="str">
            <v>RDG25O</v>
          </cell>
          <cell r="B926" t="str">
            <v xml:space="preserve">SP9036O / Oranžová turbo dýmovnice s trhací pojistkou </v>
          </cell>
          <cell r="C926" t="str">
            <v>20/5</v>
          </cell>
          <cell r="D926" t="str">
            <v>45</v>
          </cell>
        </row>
        <row r="927">
          <cell r="A927" t="str">
            <v>RDG25ZE</v>
          </cell>
          <cell r="B927" t="str">
            <v xml:space="preserve">SP9036G / Zelená turbo dýmovnice s trhací pojistkou </v>
          </cell>
          <cell r="C927" t="str">
            <v>20/5</v>
          </cell>
          <cell r="D927" t="str">
            <v>45</v>
          </cell>
        </row>
        <row r="928">
          <cell r="A928" t="str">
            <v>RDG25ZL</v>
          </cell>
          <cell r="B928" t="str">
            <v xml:space="preserve">SP9036Y / Žlutá turbo dýmovnice s trhací pojistkou </v>
          </cell>
          <cell r="C928" t="str">
            <v>20/5</v>
          </cell>
          <cell r="D928" t="str">
            <v>45</v>
          </cell>
        </row>
        <row r="929">
          <cell r="A929" t="str">
            <v>RDG2B</v>
          </cell>
          <cell r="B929" t="str">
            <v>RDG2-bílá</v>
          </cell>
          <cell r="C929" t="str">
            <v>50/1</v>
          </cell>
          <cell r="D929">
            <v>42</v>
          </cell>
        </row>
        <row r="930">
          <cell r="A930" t="str">
            <v>RDG2C</v>
          </cell>
          <cell r="B930" t="str">
            <v>RDG2-červená</v>
          </cell>
          <cell r="C930" t="str">
            <v>50/1</v>
          </cell>
          <cell r="D930">
            <v>42</v>
          </cell>
        </row>
        <row r="931">
          <cell r="A931" t="str">
            <v>RDG2M</v>
          </cell>
          <cell r="B931" t="str">
            <v>RDG2-modrá</v>
          </cell>
          <cell r="C931" t="str">
            <v>50/1</v>
          </cell>
          <cell r="D931">
            <v>42</v>
          </cell>
        </row>
        <row r="932">
          <cell r="A932" t="str">
            <v>RDG60B</v>
          </cell>
          <cell r="B932" t="str">
            <v xml:space="preserve">SP9020W / Bílá dýmovnice s trhací pojistkou </v>
          </cell>
          <cell r="C932" t="str">
            <v>20/5</v>
          </cell>
          <cell r="D932" t="str">
            <v>36</v>
          </cell>
        </row>
        <row r="933">
          <cell r="A933" t="str">
            <v>RDG60B(SH)</v>
          </cell>
          <cell r="B933" t="str">
            <v>Bílá dýmovnice-škrtací</v>
          </cell>
          <cell r="C933" t="str">
            <v>20/5</v>
          </cell>
          <cell r="D933">
            <v>28</v>
          </cell>
        </row>
        <row r="934">
          <cell r="A934" t="str">
            <v>RDG60C(SH)</v>
          </cell>
          <cell r="B934" t="str">
            <v>Červená dýmovnice-škrtací</v>
          </cell>
          <cell r="C934" t="str">
            <v>20/5</v>
          </cell>
          <cell r="D934">
            <v>28</v>
          </cell>
        </row>
        <row r="935">
          <cell r="A935" t="str">
            <v>RDG60CER</v>
          </cell>
          <cell r="B935" t="str">
            <v xml:space="preserve">SP9020B2 / Černá dýmovnice s trhací pojistkou </v>
          </cell>
          <cell r="C935" t="str">
            <v>20/5</v>
          </cell>
          <cell r="D935" t="str">
            <v>36</v>
          </cell>
        </row>
        <row r="936">
          <cell r="A936" t="str">
            <v>RDG60CER(SH)</v>
          </cell>
          <cell r="B936" t="str">
            <v>Černá dýmovnice-škrtací</v>
          </cell>
          <cell r="C936" t="str">
            <v>20/5</v>
          </cell>
          <cell r="D936">
            <v>36</v>
          </cell>
        </row>
        <row r="937">
          <cell r="A937" t="str">
            <v>RDG60M</v>
          </cell>
          <cell r="B937" t="str">
            <v xml:space="preserve">SP9020B / Modrá dýmovnice s trhací pojistkou </v>
          </cell>
          <cell r="C937" t="str">
            <v>20/5</v>
          </cell>
          <cell r="D937" t="str">
            <v>36</v>
          </cell>
        </row>
        <row r="938">
          <cell r="A938" t="str">
            <v>RDG60M(SH)</v>
          </cell>
          <cell r="B938" t="str">
            <v>Modrá dýmovnice-škrtací</v>
          </cell>
          <cell r="C938" t="str">
            <v>20/5</v>
          </cell>
          <cell r="D938">
            <v>28</v>
          </cell>
        </row>
        <row r="939">
          <cell r="A939" t="str">
            <v>RDG60O</v>
          </cell>
          <cell r="B939" t="str">
            <v xml:space="preserve">SP9020O / Oranžová dýmovnice s trhací pojistkou </v>
          </cell>
          <cell r="C939" t="str">
            <v>20/5</v>
          </cell>
          <cell r="D939" t="str">
            <v>36</v>
          </cell>
        </row>
        <row r="940">
          <cell r="A940" t="str">
            <v>RDG60O(SH)</v>
          </cell>
          <cell r="B940" t="str">
            <v>Oranžová dýmovnice-škrtací</v>
          </cell>
          <cell r="C940" t="str">
            <v>20/5</v>
          </cell>
          <cell r="D940">
            <v>36</v>
          </cell>
        </row>
        <row r="941">
          <cell r="A941" t="str">
            <v>RDG60R(SH)</v>
          </cell>
          <cell r="B941" t="str">
            <v>Růžová dýmovnice-škrtací</v>
          </cell>
          <cell r="C941" t="str">
            <v>20/5</v>
          </cell>
          <cell r="D941">
            <v>36</v>
          </cell>
        </row>
        <row r="942">
          <cell r="A942" t="str">
            <v>RDG60ZE(SH)</v>
          </cell>
          <cell r="B942" t="str">
            <v>Zelená dýmovnice-škrtací</v>
          </cell>
          <cell r="C942" t="str">
            <v>20/5</v>
          </cell>
          <cell r="D942">
            <v>36</v>
          </cell>
        </row>
        <row r="943">
          <cell r="A943" t="str">
            <v>RDG60ZL(SH)</v>
          </cell>
          <cell r="B943" t="str">
            <v>Žlutá dýmovnice-škrtací</v>
          </cell>
          <cell r="C943" t="str">
            <v>20/5</v>
          </cell>
          <cell r="D943">
            <v>28</v>
          </cell>
        </row>
        <row r="944">
          <cell r="A944" t="str">
            <v>RDP60C</v>
          </cell>
          <cell r="B944" t="str">
            <v xml:space="preserve">SP9038R / Červená dýmová pochodeň s trhací pojistkou </v>
          </cell>
          <cell r="C944" t="str">
            <v>20/5</v>
          </cell>
          <cell r="D944" t="str">
            <v>36</v>
          </cell>
        </row>
        <row r="945">
          <cell r="A945" t="str">
            <v>RDP60CER</v>
          </cell>
          <cell r="B945" t="str">
            <v xml:space="preserve">SP9038B2 / Černá dýmová pochodeň s trhací pojistkou </v>
          </cell>
          <cell r="C945" t="str">
            <v>20/5</v>
          </cell>
          <cell r="D945">
            <v>21</v>
          </cell>
        </row>
        <row r="946">
          <cell r="A946" t="str">
            <v>RDP60M</v>
          </cell>
          <cell r="B946" t="str">
            <v xml:space="preserve">SP9038B / Modrá dýmová pochodeň s trhací pojistkou </v>
          </cell>
          <cell r="C946" t="str">
            <v>20/5</v>
          </cell>
          <cell r="D946" t="str">
            <v>36</v>
          </cell>
        </row>
        <row r="947">
          <cell r="A947" t="str">
            <v>RP5DU14</v>
          </cell>
          <cell r="B947" t="str">
            <v>Rotate Dumbum</v>
          </cell>
          <cell r="C947" t="str">
            <v>50/20</v>
          </cell>
          <cell r="D947">
            <v>72</v>
          </cell>
        </row>
        <row r="948">
          <cell r="A948" t="str">
            <v>RP5DU14(1)</v>
          </cell>
          <cell r="B948" t="str">
            <v>Rotate Dumbum</v>
          </cell>
          <cell r="C948" t="str">
            <v>50/20</v>
          </cell>
          <cell r="D948">
            <v>72</v>
          </cell>
        </row>
        <row r="949">
          <cell r="A949" t="str">
            <v>RS1</v>
          </cell>
          <cell r="B949" t="str">
            <v>Scream rocket micro (Pískající raketky)</v>
          </cell>
          <cell r="C949" t="str">
            <v>20/12/12</v>
          </cell>
          <cell r="D949">
            <v>25</v>
          </cell>
        </row>
        <row r="950">
          <cell r="A950" t="str">
            <v>RS11H</v>
          </cell>
          <cell r="B950" t="str">
            <v>Happy New Year</v>
          </cell>
          <cell r="C950" t="str">
            <v>12/11</v>
          </cell>
          <cell r="D950">
            <v>12</v>
          </cell>
        </row>
        <row r="951">
          <cell r="A951" t="str">
            <v>RS18S</v>
          </cell>
          <cell r="B951" t="str">
            <v>Storm rocket</v>
          </cell>
          <cell r="C951" t="str">
            <v>10/18</v>
          </cell>
          <cell r="D951">
            <v>8</v>
          </cell>
        </row>
        <row r="952">
          <cell r="A952" t="str">
            <v>RS18T</v>
          </cell>
          <cell r="B952" t="str">
            <v>Tiger rocket</v>
          </cell>
          <cell r="C952" t="str">
            <v>10/18</v>
          </cell>
          <cell r="D952">
            <v>8</v>
          </cell>
        </row>
        <row r="953">
          <cell r="A953" t="str">
            <v>RS21Z</v>
          </cell>
          <cell r="B953" t="str">
            <v>Zoombie invasion</v>
          </cell>
          <cell r="C953" t="str">
            <v>5/21</v>
          </cell>
          <cell r="D953">
            <v>18</v>
          </cell>
        </row>
        <row r="954">
          <cell r="A954" t="str">
            <v>RS21Z14</v>
          </cell>
          <cell r="B954" t="str">
            <v>Zoombie invasion</v>
          </cell>
          <cell r="C954" t="str">
            <v>5/21</v>
          </cell>
          <cell r="D954">
            <v>18</v>
          </cell>
        </row>
        <row r="955">
          <cell r="A955" t="str">
            <v>RS33R</v>
          </cell>
          <cell r="B955" t="str">
            <v xml:space="preserve">Rocket Land </v>
          </cell>
          <cell r="C955" t="str">
            <v>6/33</v>
          </cell>
          <cell r="D955">
            <v>8</v>
          </cell>
        </row>
        <row r="956">
          <cell r="A956" t="str">
            <v>RS33R14</v>
          </cell>
          <cell r="B956" t="str">
            <v>Rocket Land</v>
          </cell>
          <cell r="C956" t="str">
            <v>6/33</v>
          </cell>
          <cell r="D956">
            <v>8</v>
          </cell>
        </row>
        <row r="957">
          <cell r="A957" t="str">
            <v>RS4D</v>
          </cell>
          <cell r="B957" t="str">
            <v>Dumbum rakety</v>
          </cell>
          <cell r="C957" t="str">
            <v>24/4</v>
          </cell>
          <cell r="D957">
            <v>21</v>
          </cell>
        </row>
        <row r="958">
          <cell r="A958" t="str">
            <v>RS4H14</v>
          </cell>
          <cell r="B958" t="str">
            <v>Happy rocket</v>
          </cell>
          <cell r="C958" t="str">
            <v>50/4</v>
          </cell>
          <cell r="D958">
            <v>30</v>
          </cell>
        </row>
        <row r="959">
          <cell r="A959" t="str">
            <v>RS5DU</v>
          </cell>
          <cell r="B959" t="str">
            <v>Dumbum rocket with scream</v>
          </cell>
          <cell r="C959" t="str">
            <v>20/5</v>
          </cell>
          <cell r="D959">
            <v>22</v>
          </cell>
        </row>
        <row r="960">
          <cell r="A960" t="str">
            <v>RS6NO14</v>
          </cell>
          <cell r="B960" t="str">
            <v>No Sound rocket</v>
          </cell>
          <cell r="C960" t="str">
            <v>18/6</v>
          </cell>
          <cell r="D960" t="str">
            <v>16</v>
          </cell>
        </row>
        <row r="961">
          <cell r="A961" t="str">
            <v>RS6O</v>
          </cell>
          <cell r="B961" t="str">
            <v>Ohnivý déšť</v>
          </cell>
          <cell r="C961" t="str">
            <v>50/6</v>
          </cell>
          <cell r="D961">
            <v>54</v>
          </cell>
        </row>
        <row r="962">
          <cell r="A962" t="str">
            <v>RS6P</v>
          </cell>
          <cell r="B962" t="str">
            <v>Padáčková raketa</v>
          </cell>
          <cell r="C962" t="str">
            <v>50/6</v>
          </cell>
          <cell r="D962">
            <v>48</v>
          </cell>
        </row>
        <row r="963">
          <cell r="A963" t="str">
            <v>RS6P E</v>
          </cell>
          <cell r="B963" t="str">
            <v>Padáčková raketa dummy</v>
          </cell>
          <cell r="C963"/>
          <cell r="D963" t="str">
            <v/>
          </cell>
        </row>
        <row r="964">
          <cell r="A964" t="str">
            <v>RS6S</v>
          </cell>
          <cell r="B964" t="str">
            <v>Scream rocket-mini</v>
          </cell>
          <cell r="C964" t="str">
            <v>50/6</v>
          </cell>
          <cell r="D964">
            <v>63</v>
          </cell>
        </row>
        <row r="965">
          <cell r="A965" t="str">
            <v>RS7MD14</v>
          </cell>
          <cell r="B965" t="str">
            <v>Devil rocket</v>
          </cell>
          <cell r="C965" t="str">
            <v>30/7</v>
          </cell>
          <cell r="D965">
            <v>15</v>
          </cell>
        </row>
        <row r="966">
          <cell r="A966" t="str">
            <v>RS7T14</v>
          </cell>
          <cell r="B966" t="str">
            <v>T2</v>
          </cell>
          <cell r="C966" t="str">
            <v>20/7</v>
          </cell>
          <cell r="D966">
            <v>12</v>
          </cell>
        </row>
        <row r="967">
          <cell r="A967" t="str">
            <v>RS9P14</v>
          </cell>
          <cell r="B967" t="str">
            <v>Pyro show rocket</v>
          </cell>
          <cell r="C967" t="str">
            <v>20/9</v>
          </cell>
          <cell r="D967">
            <v>10</v>
          </cell>
        </row>
        <row r="968">
          <cell r="A968" t="str">
            <v>RS9T14</v>
          </cell>
          <cell r="B968" t="str">
            <v>Troll</v>
          </cell>
          <cell r="C968" t="str">
            <v>20/9</v>
          </cell>
          <cell r="D968">
            <v>10</v>
          </cell>
        </row>
        <row r="969">
          <cell r="A969" t="str">
            <v>RSD6</v>
          </cell>
          <cell r="B969" t="str">
            <v>Scream/Dumbum rocket(Comet 2)</v>
          </cell>
          <cell r="C969" t="str">
            <v>20/6</v>
          </cell>
          <cell r="D969" t="str">
            <v>30</v>
          </cell>
        </row>
        <row r="970">
          <cell r="A970" t="str">
            <v>RSS100</v>
          </cell>
          <cell r="B970" t="str">
            <v>Signature range rocket 100</v>
          </cell>
          <cell r="C970" t="str">
            <v>8/5</v>
          </cell>
          <cell r="D970">
            <v>15</v>
          </cell>
        </row>
        <row r="971">
          <cell r="A971" t="str">
            <v>RSSF2</v>
          </cell>
          <cell r="B971" t="str">
            <v>Signature range rocket F2</v>
          </cell>
          <cell r="C971" t="str">
            <v>8/5</v>
          </cell>
          <cell r="D971" t="str">
            <v>18</v>
          </cell>
        </row>
        <row r="972">
          <cell r="A972" t="str">
            <v>RSSF3</v>
          </cell>
          <cell r="B972" t="str">
            <v>Signature range rocket F3</v>
          </cell>
          <cell r="C972" t="str">
            <v>4/5</v>
          </cell>
          <cell r="D972">
            <v>15</v>
          </cell>
        </row>
        <row r="973">
          <cell r="A973" t="str">
            <v>RT1DU</v>
          </cell>
          <cell r="B973" t="str">
            <v>Reklamní tabule Dumbum</v>
          </cell>
          <cell r="C973" t="str">
            <v>1/1</v>
          </cell>
          <cell r="D973" t="str">
            <v/>
          </cell>
        </row>
        <row r="974">
          <cell r="A974" t="str">
            <v>RUN1</v>
          </cell>
          <cell r="B974" t="str">
            <v>Vysunovací reklama No sound fireworks</v>
          </cell>
          <cell r="C974" t="str">
            <v>1/1</v>
          </cell>
          <cell r="D974" t="str">
            <v/>
          </cell>
        </row>
        <row r="975">
          <cell r="A975" t="str">
            <v>S12S</v>
          </cell>
          <cell r="B975" t="str">
            <v>Stroboskop malý</v>
          </cell>
          <cell r="C975" t="str">
            <v>24/16/4</v>
          </cell>
          <cell r="D975">
            <v>45</v>
          </cell>
        </row>
        <row r="976">
          <cell r="A976" t="str">
            <v>S12S(1)</v>
          </cell>
          <cell r="B976" t="str">
            <v>Stroboskop malý</v>
          </cell>
          <cell r="C976" t="str">
            <v>24/16/4</v>
          </cell>
          <cell r="D976">
            <v>45</v>
          </cell>
        </row>
        <row r="977">
          <cell r="A977" t="str">
            <v>S2E</v>
          </cell>
          <cell r="B977" t="str">
            <v>Shell 50mm silver strobe willow</v>
          </cell>
          <cell r="C977"/>
          <cell r="D977" t="str">
            <v>23</v>
          </cell>
        </row>
        <row r="978">
          <cell r="A978" t="str">
            <v>S2G</v>
          </cell>
          <cell r="B978" t="str">
            <v>Shell 50mm silver wave to red</v>
          </cell>
          <cell r="C978"/>
          <cell r="D978" t="str">
            <v>23</v>
          </cell>
        </row>
        <row r="979">
          <cell r="A979" t="str">
            <v>S2H</v>
          </cell>
          <cell r="B979" t="str">
            <v>Shell 50mm green tail to green wave w.crackling</v>
          </cell>
          <cell r="C979"/>
          <cell r="D979" t="str">
            <v>23</v>
          </cell>
        </row>
        <row r="980">
          <cell r="A980" t="str">
            <v>S2CH</v>
          </cell>
          <cell r="B980" t="str">
            <v>Shell 50mm colorful dahlia</v>
          </cell>
          <cell r="C980"/>
          <cell r="D980" t="str">
            <v>23</v>
          </cell>
        </row>
        <row r="981">
          <cell r="A981" t="str">
            <v>S2K</v>
          </cell>
          <cell r="B981" t="str">
            <v>Shell 50mm golden ti willow</v>
          </cell>
          <cell r="C981"/>
          <cell r="D981" t="str">
            <v>23</v>
          </cell>
        </row>
        <row r="982">
          <cell r="A982" t="str">
            <v>S2M</v>
          </cell>
          <cell r="B982" t="str">
            <v>Shell 50mm mix carton</v>
          </cell>
          <cell r="C982" t="str">
            <v>12/12</v>
          </cell>
          <cell r="D982" t="str">
            <v>23</v>
          </cell>
        </row>
        <row r="983">
          <cell r="A983" t="str">
            <v>S3A/P</v>
          </cell>
          <cell r="B983" t="str">
            <v>Shell 75mm silver flashing fountain</v>
          </cell>
          <cell r="C983"/>
          <cell r="D983" t="str">
            <v>21</v>
          </cell>
        </row>
        <row r="984">
          <cell r="A984" t="str">
            <v>S3B/P</v>
          </cell>
          <cell r="B984" t="str">
            <v>Shell 75mm silver tail to red wave w.crackling</v>
          </cell>
          <cell r="C984"/>
          <cell r="D984" t="str">
            <v>21</v>
          </cell>
        </row>
        <row r="985">
          <cell r="A985" t="str">
            <v>S3C/P</v>
          </cell>
          <cell r="B985" t="str">
            <v>Shell 75mm flower crown chrysant. to blue</v>
          </cell>
          <cell r="C985"/>
          <cell r="D985" t="str">
            <v>21</v>
          </cell>
        </row>
        <row r="986">
          <cell r="A986" t="str">
            <v>S3D/P</v>
          </cell>
          <cell r="B986" t="str">
            <v>Shell 75mm silver tail to silver strobe</v>
          </cell>
          <cell r="C986"/>
          <cell r="D986" t="str">
            <v>21</v>
          </cell>
        </row>
        <row r="987">
          <cell r="A987" t="str">
            <v>S3E/P</v>
          </cell>
          <cell r="B987" t="str">
            <v>Shell 75mm red peony w.silver palm core</v>
          </cell>
          <cell r="C987"/>
          <cell r="D987" t="str">
            <v>21</v>
          </cell>
        </row>
        <row r="988">
          <cell r="A988" t="str">
            <v>S3F/P</v>
          </cell>
          <cell r="B988" t="str">
            <v>Shell 75mm delay cracker wilow</v>
          </cell>
          <cell r="C988" t="str">
            <v>12/6</v>
          </cell>
          <cell r="D988" t="str">
            <v>21</v>
          </cell>
        </row>
        <row r="989">
          <cell r="A989" t="str">
            <v>S3G/P</v>
          </cell>
          <cell r="B989" t="str">
            <v>Shell 75mm water color peony w.brocade crown pistil</v>
          </cell>
          <cell r="C989"/>
          <cell r="D989" t="str">
            <v>21</v>
          </cell>
        </row>
        <row r="990">
          <cell r="A990" t="str">
            <v>S3H/P</v>
          </cell>
          <cell r="B990" t="str">
            <v>Shell 75mm chrysantnenum to purple</v>
          </cell>
          <cell r="C990"/>
          <cell r="D990" t="str">
            <v>21</v>
          </cell>
        </row>
        <row r="991">
          <cell r="A991" t="str">
            <v>S3IA/P</v>
          </cell>
          <cell r="B991" t="str">
            <v>Shell 75mm golden ti wilow</v>
          </cell>
          <cell r="C991" t="str">
            <v>12/6</v>
          </cell>
          <cell r="D991" t="str">
            <v>21</v>
          </cell>
        </row>
        <row r="992">
          <cell r="A992" t="str">
            <v>S3J/P</v>
          </cell>
          <cell r="B992" t="str">
            <v>Shell 75mm brocade crown crossete</v>
          </cell>
          <cell r="C992" t="str">
            <v>12/6</v>
          </cell>
          <cell r="D992" t="str">
            <v>21</v>
          </cell>
        </row>
        <row r="993">
          <cell r="A993" t="str">
            <v>S3K/P</v>
          </cell>
          <cell r="B993" t="str">
            <v>Shell 75mm purple wave with green glitter</v>
          </cell>
          <cell r="C993"/>
          <cell r="D993" t="str">
            <v>21</v>
          </cell>
        </row>
        <row r="994">
          <cell r="A994" t="str">
            <v>S3L/P</v>
          </cell>
          <cell r="B994" t="str">
            <v>Shell 75mm pink dahlia w.pink pistil</v>
          </cell>
          <cell r="C994"/>
          <cell r="D994" t="str">
            <v>21</v>
          </cell>
        </row>
        <row r="995">
          <cell r="A995" t="str">
            <v>S3M/P</v>
          </cell>
          <cell r="B995" t="str">
            <v>Shell 75mm mix karton-premiun quality</v>
          </cell>
          <cell r="C995" t="str">
            <v>12/6</v>
          </cell>
          <cell r="D995" t="str">
            <v>21</v>
          </cell>
        </row>
        <row r="996">
          <cell r="A996" t="str">
            <v>S3N/P</v>
          </cell>
          <cell r="B996" t="str">
            <v>Shell 75mm silver tail to silver palm tree</v>
          </cell>
          <cell r="C996"/>
          <cell r="D996" t="str">
            <v>21</v>
          </cell>
        </row>
        <row r="997">
          <cell r="A997" t="str">
            <v>S3P/P</v>
          </cell>
          <cell r="B997" t="str">
            <v>Shell 75mm brocade crown w.white glitter</v>
          </cell>
          <cell r="C997"/>
          <cell r="D997" t="str">
            <v>21</v>
          </cell>
        </row>
        <row r="998">
          <cell r="A998" t="str">
            <v>S3R/P</v>
          </cell>
          <cell r="B998" t="str">
            <v>Shell 75mm purple ring with chrysanthemum pistil</v>
          </cell>
          <cell r="C998"/>
          <cell r="D998" t="str">
            <v>21</v>
          </cell>
        </row>
        <row r="999">
          <cell r="A999" t="str">
            <v>S3S/P</v>
          </cell>
          <cell r="B999" t="str">
            <v>Shell 75mm blood red+silver strobe</v>
          </cell>
          <cell r="C999" t="str">
            <v>12/6</v>
          </cell>
          <cell r="D999" t="str">
            <v>21</v>
          </cell>
        </row>
        <row r="1000">
          <cell r="A1000" t="str">
            <v>S3V/P</v>
          </cell>
          <cell r="B1000" t="str">
            <v>Shell 75mm red coco w.silver strobing pistil</v>
          </cell>
          <cell r="C1000"/>
          <cell r="D1000" t="str">
            <v>21</v>
          </cell>
        </row>
        <row r="1001">
          <cell r="A1001" t="str">
            <v>S3W/P</v>
          </cell>
          <cell r="B1001" t="str">
            <v>Shell 75mm lemon crossette+purple crosette</v>
          </cell>
          <cell r="C1001"/>
          <cell r="D1001" t="str">
            <v>21</v>
          </cell>
        </row>
        <row r="1002">
          <cell r="A1002" t="str">
            <v>S3X/P</v>
          </cell>
          <cell r="B1002" t="str">
            <v>Shell 75mm red wave crossete</v>
          </cell>
          <cell r="C1002"/>
          <cell r="D1002" t="str">
            <v>21</v>
          </cell>
        </row>
        <row r="1003">
          <cell r="A1003" t="str">
            <v>S4C/P</v>
          </cell>
          <cell r="B1003" t="str">
            <v>Shell 100mm glitter.palm tree</v>
          </cell>
          <cell r="C1003" t="str">
            <v>9/4</v>
          </cell>
          <cell r="D1003" t="str">
            <v>24</v>
          </cell>
        </row>
        <row r="1004">
          <cell r="A1004" t="str">
            <v>S4D/P</v>
          </cell>
          <cell r="B1004" t="str">
            <v>Shell 100mm colorfull dahlia</v>
          </cell>
          <cell r="C1004"/>
          <cell r="D1004" t="str">
            <v>24</v>
          </cell>
        </row>
        <row r="1005">
          <cell r="A1005" t="str">
            <v>S4E/P</v>
          </cell>
          <cell r="B1005" t="str">
            <v>Shell 100mm gold titanium wilow w.assorted color glitter</v>
          </cell>
          <cell r="C1005"/>
          <cell r="D1005" t="str">
            <v>24</v>
          </cell>
        </row>
        <row r="1006">
          <cell r="A1006" t="str">
            <v>S4F/P</v>
          </cell>
          <cell r="B1006" t="str">
            <v>Shell 100mm titanium chrysantenum crackling to titanium crackling palm</v>
          </cell>
          <cell r="C1006"/>
          <cell r="D1006" t="str">
            <v>24</v>
          </cell>
        </row>
        <row r="1007">
          <cell r="A1007" t="str">
            <v>S4H/P</v>
          </cell>
          <cell r="B1007" t="str">
            <v>Shell 100mm silver flashing fountain</v>
          </cell>
          <cell r="C1007"/>
          <cell r="D1007" t="str">
            <v>24</v>
          </cell>
        </row>
        <row r="1008">
          <cell r="A1008" t="str">
            <v>S4J/P</v>
          </cell>
          <cell r="B1008" t="str">
            <v>Shell 100mm crackling nishiki kamuro</v>
          </cell>
          <cell r="C1008" t="str">
            <v>9/4</v>
          </cell>
          <cell r="D1008" t="str">
            <v>24</v>
          </cell>
        </row>
        <row r="1009">
          <cell r="A1009" t="str">
            <v>S4K/P</v>
          </cell>
          <cell r="B1009" t="str">
            <v>Shell 100mm silver crown w.red pistil</v>
          </cell>
          <cell r="C1009" t="str">
            <v>9/4</v>
          </cell>
          <cell r="D1009" t="str">
            <v>24</v>
          </cell>
        </row>
        <row r="1010">
          <cell r="A1010" t="str">
            <v>S4L/P</v>
          </cell>
          <cell r="B1010" t="str">
            <v>Shell 100mm blood red+silver strobe</v>
          </cell>
          <cell r="C1010" t="str">
            <v>9/4</v>
          </cell>
          <cell r="D1010" t="str">
            <v>24</v>
          </cell>
        </row>
        <row r="1011">
          <cell r="A1011" t="str">
            <v>S4M/P</v>
          </cell>
          <cell r="B1011" t="str">
            <v>Shell 100mm mix carton-premium quality</v>
          </cell>
          <cell r="C1011" t="str">
            <v>9/4</v>
          </cell>
          <cell r="D1011" t="str">
            <v>24</v>
          </cell>
        </row>
        <row r="1012">
          <cell r="A1012" t="str">
            <v>S4NA/P</v>
          </cell>
          <cell r="B1012" t="str">
            <v>Shell 100mm golden ti wilow</v>
          </cell>
          <cell r="C1012" t="str">
            <v>9/4</v>
          </cell>
          <cell r="D1012" t="str">
            <v>24</v>
          </cell>
        </row>
        <row r="1013">
          <cell r="A1013" t="str">
            <v>S4O/P</v>
          </cell>
          <cell r="B1013" t="str">
            <v>Shell 100mm silver strobe</v>
          </cell>
          <cell r="C1013" t="str">
            <v>9/4</v>
          </cell>
          <cell r="D1013" t="str">
            <v>24</v>
          </cell>
        </row>
        <row r="1014">
          <cell r="A1014" t="str">
            <v>S4P/P</v>
          </cell>
          <cell r="B1014" t="str">
            <v>Shell 100mm silver tail to silver palm tree</v>
          </cell>
          <cell r="C1014" t="str">
            <v>9/4</v>
          </cell>
          <cell r="D1014" t="str">
            <v>24</v>
          </cell>
        </row>
        <row r="1015">
          <cell r="A1015" t="str">
            <v>S4Q/P</v>
          </cell>
          <cell r="B1015" t="str">
            <v>Shell 100mm special strobe red</v>
          </cell>
          <cell r="C1015" t="str">
            <v>9/4</v>
          </cell>
          <cell r="D1015" t="str">
            <v>24</v>
          </cell>
        </row>
        <row r="1016">
          <cell r="A1016" t="str">
            <v>S4R/P</v>
          </cell>
          <cell r="B1016" t="str">
            <v>Shell 100mm green peony with corrola pistil with brocade trunk</v>
          </cell>
          <cell r="C1016"/>
          <cell r="D1016" t="str">
            <v>24</v>
          </cell>
        </row>
        <row r="1017">
          <cell r="A1017" t="str">
            <v>S4S/P</v>
          </cell>
          <cell r="B1017" t="str">
            <v>Shell 100mm silver wave to blue w.crackling</v>
          </cell>
          <cell r="C1017" t="str">
            <v>9/4</v>
          </cell>
          <cell r="D1017" t="str">
            <v>24</v>
          </cell>
        </row>
        <row r="1018">
          <cell r="A1018" t="str">
            <v>S4T</v>
          </cell>
          <cell r="B1018" t="str">
            <v>Shell 100mm silver tail to titanium salute</v>
          </cell>
          <cell r="C1018" t="str">
            <v>9/4</v>
          </cell>
          <cell r="D1018" t="str">
            <v>24</v>
          </cell>
        </row>
        <row r="1019">
          <cell r="A1019" t="str">
            <v>S4U/P</v>
          </cell>
          <cell r="B1019" t="str">
            <v>Shell 100mm purple crossette</v>
          </cell>
          <cell r="C1019"/>
          <cell r="D1019" t="str">
            <v>24</v>
          </cell>
        </row>
        <row r="1020">
          <cell r="A1020" t="str">
            <v>S4V/P</v>
          </cell>
          <cell r="B1020" t="str">
            <v>Shell 100mm brocade crown crossete</v>
          </cell>
          <cell r="C1020"/>
          <cell r="D1020" t="str">
            <v>24</v>
          </cell>
        </row>
        <row r="1021">
          <cell r="A1021" t="str">
            <v>S4W/P</v>
          </cell>
          <cell r="B1021" t="str">
            <v>Shell 100mm golden wave to red</v>
          </cell>
          <cell r="C1021" t="str">
            <v>9/4</v>
          </cell>
          <cell r="D1021" t="str">
            <v>24</v>
          </cell>
        </row>
        <row r="1022">
          <cell r="A1022" t="str">
            <v>S4X/P</v>
          </cell>
          <cell r="B1022" t="str">
            <v>Shell 100mm colorfull chrysantenum</v>
          </cell>
          <cell r="C1022"/>
          <cell r="D1022" t="str">
            <v>24</v>
          </cell>
        </row>
        <row r="1023">
          <cell r="A1023" t="str">
            <v>S4Y/P</v>
          </cell>
          <cell r="B1023" t="str">
            <v>Shell 100mm silver wilow w.red pistil</v>
          </cell>
          <cell r="C1023"/>
          <cell r="D1023" t="str">
            <v>24</v>
          </cell>
        </row>
        <row r="1024">
          <cell r="A1024" t="str">
            <v>S4Z/P</v>
          </cell>
          <cell r="B1024" t="str">
            <v>Shell 100mm silver tail to red peony w.silver palm pistil</v>
          </cell>
          <cell r="C1024"/>
          <cell r="D1024" t="str">
            <v>24</v>
          </cell>
        </row>
        <row r="1025">
          <cell r="A1025" t="str">
            <v>S4Z1/P</v>
          </cell>
          <cell r="B1025" t="str">
            <v xml:space="preserve">Shell 100mm red gamboge to red to blue chrys.to red spider ring </v>
          </cell>
          <cell r="C1025"/>
          <cell r="D1025" t="str">
            <v>24</v>
          </cell>
        </row>
        <row r="1026">
          <cell r="A1026" t="str">
            <v>S4Z10/P</v>
          </cell>
          <cell r="B1026" t="str">
            <v>Shell 100mm silver coco w/crackling rain pistil</v>
          </cell>
          <cell r="C1026"/>
          <cell r="D1026" t="str">
            <v>24</v>
          </cell>
        </row>
        <row r="1027">
          <cell r="A1027" t="str">
            <v>S4Z11/P</v>
          </cell>
          <cell r="B1027" t="str">
            <v>Shell 100mm crackling waterfall</v>
          </cell>
          <cell r="C1027" t="str">
            <v>9/4</v>
          </cell>
          <cell r="D1027" t="str">
            <v>24</v>
          </cell>
        </row>
        <row r="1028">
          <cell r="A1028" t="str">
            <v>S4Z12/P</v>
          </cell>
          <cell r="B1028" t="str">
            <v>Shell 100mm crackling willow crossette</v>
          </cell>
          <cell r="C1028" t="str">
            <v>9/4</v>
          </cell>
          <cell r="D1028" t="str">
            <v>24</v>
          </cell>
        </row>
        <row r="1029">
          <cell r="A1029" t="str">
            <v>S4Z13/P</v>
          </cell>
          <cell r="B1029" t="str">
            <v>Cylinder 100mm silver dragon ring+red crossette</v>
          </cell>
          <cell r="C1029"/>
          <cell r="D1029" t="str">
            <v>24</v>
          </cell>
        </row>
        <row r="1030">
          <cell r="A1030" t="str">
            <v>S4Z14/P</v>
          </cell>
          <cell r="B1030" t="str">
            <v>Shell 100mm silver crackling coco w/red strobe up silver crackling tiger tail</v>
          </cell>
          <cell r="C1030"/>
          <cell r="D1030" t="str">
            <v>24</v>
          </cell>
        </row>
        <row r="1031">
          <cell r="A1031" t="str">
            <v>S4Z2/P</v>
          </cell>
          <cell r="B1031" t="str">
            <v>Shell 100mm red peony to brocade</v>
          </cell>
          <cell r="C1031"/>
          <cell r="D1031" t="str">
            <v>24</v>
          </cell>
        </row>
        <row r="1032">
          <cell r="A1032" t="str">
            <v>S4Z3/P</v>
          </cell>
          <cell r="B1032" t="str">
            <v>Shell 100mm palm pistil with water peony</v>
          </cell>
          <cell r="C1032"/>
          <cell r="D1032" t="str">
            <v>24</v>
          </cell>
        </row>
        <row r="1033">
          <cell r="A1033" t="str">
            <v>S4Z4/P</v>
          </cell>
          <cell r="B1033" t="str">
            <v>Shell 100mm blue ring with chrysanthemum pistil</v>
          </cell>
          <cell r="C1033"/>
          <cell r="D1033" t="str">
            <v>24</v>
          </cell>
        </row>
        <row r="1034">
          <cell r="A1034" t="str">
            <v>S4Z5/P</v>
          </cell>
          <cell r="B1034" t="str">
            <v>Shell 100mm red strobe willow</v>
          </cell>
          <cell r="C1034" t="str">
            <v>9/4</v>
          </cell>
          <cell r="D1034" t="str">
            <v>24</v>
          </cell>
        </row>
        <row r="1035">
          <cell r="A1035" t="str">
            <v>S4Z6/P</v>
          </cell>
          <cell r="B1035" t="str">
            <v>Shell 100mm red three swords man</v>
          </cell>
          <cell r="C1035" t="str">
            <v>9/4</v>
          </cell>
          <cell r="D1035" t="str">
            <v>24</v>
          </cell>
        </row>
        <row r="1036">
          <cell r="A1036" t="str">
            <v>S4Z7/P</v>
          </cell>
          <cell r="B1036" t="str">
            <v>Shell 100mm orange wave to green</v>
          </cell>
          <cell r="C1036"/>
          <cell r="D1036" t="str">
            <v>24</v>
          </cell>
        </row>
        <row r="1037">
          <cell r="A1037" t="str">
            <v>S4Z8/P</v>
          </cell>
          <cell r="B1037" t="str">
            <v>Shell 100mm brocade crown to color</v>
          </cell>
          <cell r="C1037" t="str">
            <v>9/4</v>
          </cell>
          <cell r="D1037" t="str">
            <v>24</v>
          </cell>
        </row>
        <row r="1038">
          <cell r="A1038" t="str">
            <v>S4Z9/P</v>
          </cell>
          <cell r="B1038" t="str">
            <v>Shell 100mm crackling wave to red</v>
          </cell>
          <cell r="C1038"/>
          <cell r="D1038" t="str">
            <v>24</v>
          </cell>
        </row>
        <row r="1039">
          <cell r="A1039" t="str">
            <v>S5C/P</v>
          </cell>
          <cell r="B1039" t="str">
            <v xml:space="preserve">Shell 125mm silver spider w.strobe pistil </v>
          </cell>
          <cell r="C1039"/>
          <cell r="D1039">
            <v>24</v>
          </cell>
        </row>
        <row r="1040">
          <cell r="A1040" t="str">
            <v>S5E/P</v>
          </cell>
          <cell r="B1040" t="str">
            <v xml:space="preserve">Shell 125mm silver glittering red coco crossette </v>
          </cell>
          <cell r="C1040" t="str">
            <v>16/1</v>
          </cell>
          <cell r="D1040">
            <v>24</v>
          </cell>
        </row>
        <row r="1041">
          <cell r="A1041" t="str">
            <v>S5F/P</v>
          </cell>
          <cell r="B1041" t="str">
            <v xml:space="preserve">Shell 125mm golden ti wilow </v>
          </cell>
          <cell r="C1041" t="str">
            <v>16/1</v>
          </cell>
          <cell r="D1041">
            <v>24</v>
          </cell>
        </row>
        <row r="1042">
          <cell r="A1042" t="str">
            <v>S5G/P</v>
          </cell>
          <cell r="B1042" t="str">
            <v>Shell 125mm silver tail to silver palm tree</v>
          </cell>
          <cell r="C1042"/>
          <cell r="D1042">
            <v>24</v>
          </cell>
        </row>
        <row r="1043">
          <cell r="A1043" t="str">
            <v>S5I/P</v>
          </cell>
          <cell r="B1043" t="str">
            <v>Shell 125mm crackling nishiki kamuro</v>
          </cell>
          <cell r="C1043"/>
          <cell r="D1043">
            <v>24</v>
          </cell>
        </row>
        <row r="1044">
          <cell r="A1044" t="str">
            <v>S5K/P</v>
          </cell>
          <cell r="B1044" t="str">
            <v>Shell 125mm brocade crown</v>
          </cell>
          <cell r="C1044" t="str">
            <v>16/1</v>
          </cell>
          <cell r="D1044">
            <v>24</v>
          </cell>
        </row>
        <row r="1045">
          <cell r="A1045" t="str">
            <v>S5M/P</v>
          </cell>
          <cell r="B1045" t="str">
            <v>Shell 125mm mix carton-premium quality</v>
          </cell>
          <cell r="C1045" t="str">
            <v>16/1</v>
          </cell>
          <cell r="D1045">
            <v>24</v>
          </cell>
        </row>
        <row r="1046">
          <cell r="A1046" t="str">
            <v>S5N/P</v>
          </cell>
          <cell r="B1046" t="str">
            <v>Shell 125mm blue pistil silver ring to brocade crown with ring chrysanthemum pistil</v>
          </cell>
          <cell r="C1046"/>
          <cell r="D1046">
            <v>16</v>
          </cell>
        </row>
        <row r="1047">
          <cell r="A1047" t="str">
            <v>S5O/P</v>
          </cell>
          <cell r="B1047" t="str">
            <v>Shell 125mm brocade delay cracker to blue with green glitter pistil</v>
          </cell>
          <cell r="C1047"/>
          <cell r="D1047">
            <v>24</v>
          </cell>
        </row>
        <row r="1048">
          <cell r="A1048" t="str">
            <v>S5R/P</v>
          </cell>
          <cell r="B1048" t="str">
            <v>Shell 125mm crackling coco w/color strobe pistil</v>
          </cell>
          <cell r="C1048"/>
          <cell r="D1048">
            <v>24</v>
          </cell>
        </row>
        <row r="1049">
          <cell r="A1049" t="str">
            <v>S60S</v>
          </cell>
          <cell r="B1049" t="str">
            <v>Stroboskop bílý 60sec</v>
          </cell>
          <cell r="C1049" t="str">
            <v>30/6</v>
          </cell>
          <cell r="D1049" t="str">
            <v>95</v>
          </cell>
        </row>
        <row r="1050">
          <cell r="A1050" t="str">
            <v>S6A/P(9)</v>
          </cell>
          <cell r="B1050" t="str">
            <v>Shell 150mm green ring w.chry crackling crossette</v>
          </cell>
          <cell r="C1050"/>
          <cell r="D1050" t="str">
            <v>24</v>
          </cell>
        </row>
        <row r="1051">
          <cell r="A1051" t="str">
            <v>S6B/P(9)</v>
          </cell>
          <cell r="B1051" t="str">
            <v>Shell 150mm red green yelow falling leaves</v>
          </cell>
          <cell r="C1051"/>
          <cell r="D1051" t="str">
            <v>24</v>
          </cell>
        </row>
        <row r="1052">
          <cell r="A1052" t="str">
            <v>S6C/P</v>
          </cell>
          <cell r="B1052" t="str">
            <v>Shell 150mm chrysantenum to red wandering star</v>
          </cell>
          <cell r="C1052"/>
          <cell r="D1052" t="str">
            <v>24</v>
          </cell>
        </row>
        <row r="1053">
          <cell r="A1053" t="str">
            <v>S6D/P(9)</v>
          </cell>
          <cell r="B1053" t="str">
            <v>Shell 150mm super horse tail</v>
          </cell>
          <cell r="C1053"/>
          <cell r="D1053" t="str">
            <v>24</v>
          </cell>
        </row>
        <row r="1054">
          <cell r="A1054" t="str">
            <v>S6E/P</v>
          </cell>
          <cell r="B1054" t="str">
            <v>Shell 150mm time rain wilow fountain</v>
          </cell>
          <cell r="C1054"/>
          <cell r="D1054" t="str">
            <v>24</v>
          </cell>
        </row>
        <row r="1055">
          <cell r="A1055" t="str">
            <v>S6F/P(9)</v>
          </cell>
          <cell r="B1055" t="str">
            <v>Shell 150mm ghost silver to red</v>
          </cell>
          <cell r="C1055" t="str">
            <v>9/1</v>
          </cell>
          <cell r="D1055" t="str">
            <v>24</v>
          </cell>
        </row>
        <row r="1056">
          <cell r="A1056" t="str">
            <v>S6G/P(9)</v>
          </cell>
          <cell r="B1056" t="str">
            <v>Shell 150mm gold titanium willow with crackling pistil</v>
          </cell>
          <cell r="C1056"/>
          <cell r="D1056" t="str">
            <v>24</v>
          </cell>
        </row>
        <row r="1057">
          <cell r="A1057" t="str">
            <v>S6H/P</v>
          </cell>
          <cell r="B1057" t="str">
            <v>Shell 150mm color chrysantenum</v>
          </cell>
          <cell r="C1057"/>
          <cell r="D1057" t="str">
            <v>24</v>
          </cell>
        </row>
        <row r="1058">
          <cell r="A1058" t="str">
            <v>S6CH/P(9)</v>
          </cell>
          <cell r="B1058" t="str">
            <v xml:space="preserve">Shell 150mm gold wave w.purple peony double rings to special orange strobing pistil </v>
          </cell>
          <cell r="C1058"/>
          <cell r="D1058" t="str">
            <v>24</v>
          </cell>
        </row>
        <row r="1059">
          <cell r="A1059" t="str">
            <v>S6I/P(9)</v>
          </cell>
          <cell r="B1059" t="str">
            <v>Shell 150mm golden ti wilow</v>
          </cell>
          <cell r="C1059" t="str">
            <v>9/1</v>
          </cell>
          <cell r="D1059" t="str">
            <v>24</v>
          </cell>
        </row>
        <row r="1060">
          <cell r="A1060" t="str">
            <v>S6K/P</v>
          </cell>
          <cell r="B1060" t="str">
            <v>Shell 150mm red glitter w.brocade crown</v>
          </cell>
          <cell r="C1060"/>
          <cell r="D1060" t="str">
            <v>24</v>
          </cell>
        </row>
        <row r="1061">
          <cell r="A1061" t="str">
            <v>S6M</v>
          </cell>
          <cell r="B1061" t="str">
            <v>Shell 150mm mix carton</v>
          </cell>
          <cell r="C1061" t="str">
            <v>9/1</v>
          </cell>
          <cell r="D1061" t="str">
            <v>24</v>
          </cell>
        </row>
        <row r="1062">
          <cell r="A1062" t="str">
            <v>S6N/P(9)</v>
          </cell>
          <cell r="B1062" t="str">
            <v>Shell 150mm silver tail to thousanf red wave</v>
          </cell>
          <cell r="C1062"/>
          <cell r="D1062" t="str">
            <v>24</v>
          </cell>
        </row>
        <row r="1063">
          <cell r="A1063" t="str">
            <v>S6R/P(9)</v>
          </cell>
          <cell r="B1063" t="str">
            <v>Shell 150mm silver glittering red coco crossettte</v>
          </cell>
          <cell r="C1063" t="str">
            <v>9/1</v>
          </cell>
          <cell r="D1063" t="str">
            <v>24</v>
          </cell>
        </row>
        <row r="1064">
          <cell r="A1064" t="str">
            <v>S6S/P(9)</v>
          </cell>
          <cell r="B1064" t="str">
            <v xml:space="preserve">Shell 150mm silver tail to silver palm </v>
          </cell>
          <cell r="C1064"/>
          <cell r="D1064" t="str">
            <v>24</v>
          </cell>
        </row>
        <row r="1065">
          <cell r="A1065" t="str">
            <v>S6T/P</v>
          </cell>
          <cell r="B1065" t="str">
            <v>Shell 150mm nishiki kamuro flash pistil</v>
          </cell>
          <cell r="C1065"/>
          <cell r="D1065" t="str">
            <v>24</v>
          </cell>
        </row>
        <row r="1066">
          <cell r="A1066" t="str">
            <v>S6X/P</v>
          </cell>
          <cell r="B1066" t="str">
            <v>Shell 150mm silver glittering</v>
          </cell>
          <cell r="C1066"/>
          <cell r="D1066" t="str">
            <v>24</v>
          </cell>
        </row>
        <row r="1067">
          <cell r="A1067" t="str">
            <v>S6Z1/P(9)</v>
          </cell>
          <cell r="B1067" t="str">
            <v>Shell 150mm color dahlia w/strobe pistil</v>
          </cell>
          <cell r="C1067"/>
          <cell r="D1067" t="str">
            <v>24</v>
          </cell>
        </row>
        <row r="1068">
          <cell r="A1068" t="str">
            <v>S6Z2/P(9)</v>
          </cell>
          <cell r="B1068" t="str">
            <v>Shell 150mm brocade coco w/strobe pistil</v>
          </cell>
          <cell r="C1068"/>
          <cell r="D1068" t="str">
            <v>24</v>
          </cell>
        </row>
        <row r="1069">
          <cell r="A1069" t="str">
            <v>S6Z3/P(9)</v>
          </cell>
          <cell r="B1069" t="str">
            <v>Shell 150mm brocade crown to blue to red strobe w/red strobe pistil</v>
          </cell>
          <cell r="C1069" t="str">
            <v>9/1</v>
          </cell>
          <cell r="D1069" t="str">
            <v>24</v>
          </cell>
        </row>
        <row r="1070">
          <cell r="A1070" t="str">
            <v>S90S</v>
          </cell>
          <cell r="B1070" t="str">
            <v>Stroboskop bílý 90sec</v>
          </cell>
          <cell r="C1070" t="str">
            <v>36/5</v>
          </cell>
          <cell r="D1070" t="str">
            <v>87</v>
          </cell>
        </row>
        <row r="1071">
          <cell r="A1071" t="str">
            <v>SP3C</v>
          </cell>
          <cell r="B1071" t="str">
            <v>Mach one</v>
          </cell>
          <cell r="C1071" t="str">
            <v>12/12</v>
          </cell>
          <cell r="D1071">
            <v>10</v>
          </cell>
        </row>
        <row r="1072">
          <cell r="A1072" t="str">
            <v>SPRS1E</v>
          </cell>
          <cell r="B1072" t="str">
            <v>Stojan na prskavky-prázdný</v>
          </cell>
          <cell r="C1072" t="str">
            <v>1/1</v>
          </cell>
          <cell r="D1072"/>
        </row>
        <row r="1073">
          <cell r="A1073" t="str">
            <v>SR1930D</v>
          </cell>
          <cell r="B1073" t="str">
            <v>19sh one line mortar</v>
          </cell>
          <cell r="C1073" t="str">
            <v>6/1</v>
          </cell>
          <cell r="D1073">
            <v>21</v>
          </cell>
        </row>
        <row r="1074">
          <cell r="A1074" t="str">
            <v>SR1930E</v>
          </cell>
          <cell r="B1074" t="str">
            <v>19sh one line mortar</v>
          </cell>
          <cell r="C1074" t="str">
            <v>6/1</v>
          </cell>
          <cell r="D1074">
            <v>21</v>
          </cell>
        </row>
        <row r="1075">
          <cell r="A1075" t="str">
            <v>SR1930G</v>
          </cell>
          <cell r="B1075" t="str">
            <v>19sh one line mortar</v>
          </cell>
          <cell r="C1075" t="str">
            <v>6/1</v>
          </cell>
          <cell r="D1075">
            <v>21</v>
          </cell>
        </row>
        <row r="1076">
          <cell r="A1076" t="str">
            <v>SR1930CH</v>
          </cell>
          <cell r="B1076" t="str">
            <v>19sh one line mortar</v>
          </cell>
          <cell r="C1076"/>
          <cell r="D1076">
            <v>21</v>
          </cell>
        </row>
        <row r="1077">
          <cell r="A1077" t="str">
            <v>SR1930I</v>
          </cell>
          <cell r="B1077" t="str">
            <v>19sh one line mortar</v>
          </cell>
          <cell r="C1077" t="str">
            <v>6/1</v>
          </cell>
          <cell r="D1077">
            <v>21</v>
          </cell>
        </row>
        <row r="1078">
          <cell r="A1078" t="str">
            <v>SR1930J</v>
          </cell>
          <cell r="B1078" t="str">
            <v>19sh one line mortar</v>
          </cell>
          <cell r="C1078" t="str">
            <v>6/1</v>
          </cell>
          <cell r="D1078">
            <v>21</v>
          </cell>
        </row>
        <row r="1079">
          <cell r="A1079" t="str">
            <v>SR1930K</v>
          </cell>
          <cell r="B1079" t="str">
            <v>19sh one line mortar</v>
          </cell>
          <cell r="C1079"/>
          <cell r="D1079">
            <v>21</v>
          </cell>
        </row>
        <row r="1080">
          <cell r="A1080" t="str">
            <v>SR1930L</v>
          </cell>
          <cell r="B1080" t="str">
            <v>19sh one line mortar</v>
          </cell>
          <cell r="C1080"/>
          <cell r="D1080">
            <v>21</v>
          </cell>
        </row>
        <row r="1081">
          <cell r="A1081" t="str">
            <v>SR1930M</v>
          </cell>
          <cell r="B1081" t="str">
            <v>19sh one line mortar</v>
          </cell>
          <cell r="C1081"/>
          <cell r="D1081">
            <v>21</v>
          </cell>
        </row>
        <row r="1082">
          <cell r="A1082" t="str">
            <v>SR1930O</v>
          </cell>
          <cell r="B1082" t="str">
            <v>19sh one line mortar</v>
          </cell>
          <cell r="C1082"/>
          <cell r="D1082">
            <v>21</v>
          </cell>
        </row>
        <row r="1083">
          <cell r="A1083" t="str">
            <v>SR1930R</v>
          </cell>
          <cell r="B1083" t="str">
            <v>19sh one line mortar</v>
          </cell>
          <cell r="C1083"/>
          <cell r="D1083">
            <v>21</v>
          </cell>
        </row>
        <row r="1084">
          <cell r="A1084" t="str">
            <v>SR1930S</v>
          </cell>
          <cell r="B1084" t="str">
            <v>19sh one line mortar</v>
          </cell>
          <cell r="C1084"/>
          <cell r="D1084">
            <v>21</v>
          </cell>
        </row>
        <row r="1085">
          <cell r="A1085" t="str">
            <v>SR550C</v>
          </cell>
          <cell r="B1085" t="str">
            <v>5sh one line mortar</v>
          </cell>
          <cell r="C1085"/>
          <cell r="D1085">
            <v>20</v>
          </cell>
        </row>
        <row r="1086">
          <cell r="A1086" t="str">
            <v>SR550F</v>
          </cell>
          <cell r="B1086" t="str">
            <v>5sh one line mortar</v>
          </cell>
          <cell r="C1086"/>
          <cell r="D1086">
            <v>20</v>
          </cell>
        </row>
        <row r="1087">
          <cell r="A1087" t="str">
            <v>SR550G</v>
          </cell>
          <cell r="B1087" t="str">
            <v>5sh one line mortar</v>
          </cell>
          <cell r="C1087"/>
          <cell r="D1087">
            <v>20</v>
          </cell>
        </row>
        <row r="1088">
          <cell r="A1088" t="str">
            <v>SR550H</v>
          </cell>
          <cell r="B1088" t="str">
            <v>5sh one line mortar</v>
          </cell>
          <cell r="C1088"/>
          <cell r="D1088">
            <v>20</v>
          </cell>
        </row>
        <row r="1089">
          <cell r="A1089" t="str">
            <v>SR550CH</v>
          </cell>
          <cell r="B1089" t="str">
            <v>5sh one line mortar</v>
          </cell>
          <cell r="C1089"/>
          <cell r="D1089">
            <v>20</v>
          </cell>
        </row>
        <row r="1090">
          <cell r="A1090" t="str">
            <v>SS20D</v>
          </cell>
          <cell r="B1090" t="str">
            <v>Dumbum single shot 20mm</v>
          </cell>
          <cell r="C1090" t="str">
            <v>30/10</v>
          </cell>
          <cell r="D1090">
            <v>28</v>
          </cell>
        </row>
        <row r="1091">
          <cell r="A1091" t="str">
            <v>SS25SC</v>
          </cell>
          <cell r="B1091" t="str">
            <v>Scream single shot</v>
          </cell>
          <cell r="C1091" t="str">
            <v>24/6</v>
          </cell>
          <cell r="D1091">
            <v>36</v>
          </cell>
        </row>
        <row r="1092">
          <cell r="A1092" t="str">
            <v>SS30A</v>
          </cell>
          <cell r="B1092" t="str">
            <v>XXL Thunder 30mm</v>
          </cell>
          <cell r="C1092" t="str">
            <v>30/4</v>
          </cell>
          <cell r="D1092" t="str">
            <v>22</v>
          </cell>
        </row>
        <row r="1093">
          <cell r="A1093" t="str">
            <v>SS30D</v>
          </cell>
          <cell r="B1093" t="str">
            <v>Dumbum shot tube 30mm</v>
          </cell>
          <cell r="C1093" t="str">
            <v>30/4</v>
          </cell>
          <cell r="D1093">
            <v>24</v>
          </cell>
        </row>
        <row r="1094">
          <cell r="A1094" t="str">
            <v>SS30G</v>
          </cell>
          <cell r="B1094" t="str">
            <v>Green glitter willow tail</v>
          </cell>
          <cell r="C1094" t="str">
            <v>5/20</v>
          </cell>
          <cell r="D1094">
            <v>20</v>
          </cell>
        </row>
        <row r="1095">
          <cell r="A1095" t="str">
            <v>SS30H</v>
          </cell>
          <cell r="B1095" t="str">
            <v>Silver glitter willow tail</v>
          </cell>
          <cell r="C1095" t="str">
            <v>5/20</v>
          </cell>
          <cell r="D1095">
            <v>20</v>
          </cell>
        </row>
        <row r="1096">
          <cell r="A1096" t="str">
            <v>SS30CH</v>
          </cell>
          <cell r="B1096" t="str">
            <v>Crackling tail</v>
          </cell>
          <cell r="C1096" t="str">
            <v>5/20</v>
          </cell>
          <cell r="D1096">
            <v>20</v>
          </cell>
        </row>
        <row r="1097">
          <cell r="A1097" t="str">
            <v>SS30SIGF2</v>
          </cell>
          <cell r="B1097" t="str">
            <v>Signature range single shot F2</v>
          </cell>
          <cell r="C1097" t="str">
            <v>30/4</v>
          </cell>
          <cell r="D1097">
            <v>18</v>
          </cell>
        </row>
        <row r="1098">
          <cell r="A1098" t="str">
            <v>SS37K</v>
          </cell>
          <cell r="B1098" t="str">
            <v>Kulovky v moždíři 37mm</v>
          </cell>
          <cell r="C1098" t="str">
            <v>18/4</v>
          </cell>
          <cell r="D1098">
            <v>14</v>
          </cell>
        </row>
        <row r="1099">
          <cell r="A1099" t="str">
            <v>SS50F</v>
          </cell>
          <cell r="B1099" t="str">
            <v>Sea blue+red glitter mine</v>
          </cell>
          <cell r="C1099" t="str">
            <v>10/4</v>
          </cell>
          <cell r="D1099">
            <v>20</v>
          </cell>
        </row>
        <row r="1100">
          <cell r="A1100" t="str">
            <v>SS50K</v>
          </cell>
          <cell r="B1100" t="str">
            <v>No limit! Kulovky v moždíři 50mm</v>
          </cell>
          <cell r="C1100" t="str">
            <v>9/4</v>
          </cell>
          <cell r="D1100">
            <v>15</v>
          </cell>
        </row>
        <row r="1101">
          <cell r="A1101" t="str">
            <v>SS50M</v>
          </cell>
          <cell r="B1101" t="str">
            <v>Special colour strobing mine</v>
          </cell>
          <cell r="C1101" t="str">
            <v>10/4</v>
          </cell>
          <cell r="D1101">
            <v>20</v>
          </cell>
        </row>
        <row r="1102">
          <cell r="A1102" t="str">
            <v>SU45B</v>
          </cell>
          <cell r="B1102" t="str">
            <v>Scream UFO 45 with brocade shell</v>
          </cell>
          <cell r="C1102" t="str">
            <v>4/1</v>
          </cell>
          <cell r="D1102">
            <v>14</v>
          </cell>
        </row>
        <row r="1103">
          <cell r="A1103" t="str">
            <v>T1</v>
          </cell>
          <cell r="B1103" t="str">
            <v>Taška Klásek</v>
          </cell>
          <cell r="C1103" t="str">
            <v>1/1</v>
          </cell>
          <cell r="D1103" t="str">
            <v/>
          </cell>
        </row>
        <row r="1104">
          <cell r="A1104" t="str">
            <v>T2</v>
          </cell>
          <cell r="B1104" t="str">
            <v>Taška Dumbum</v>
          </cell>
          <cell r="C1104" t="str">
            <v>1/1</v>
          </cell>
          <cell r="D1104" t="str">
            <v/>
          </cell>
        </row>
        <row r="1105">
          <cell r="A1105" t="str">
            <v>TDLE1L</v>
          </cell>
          <cell r="B1105" t="str">
            <v>Dumbum tričko L - limited edition</v>
          </cell>
          <cell r="C1105" t="str">
            <v>1/1</v>
          </cell>
          <cell r="D1105"/>
        </row>
        <row r="1106">
          <cell r="A1106" t="str">
            <v>TDLE1M</v>
          </cell>
          <cell r="B1106" t="str">
            <v>Dumbum tričko M - limited edition</v>
          </cell>
          <cell r="C1106" t="str">
            <v>1/1</v>
          </cell>
          <cell r="D1106"/>
        </row>
        <row r="1107">
          <cell r="A1107" t="str">
            <v>TDLE1XL</v>
          </cell>
          <cell r="B1107" t="str">
            <v>Dumbum tričko XL - limited edition</v>
          </cell>
          <cell r="C1107" t="str">
            <v>1/1</v>
          </cell>
          <cell r="D1107"/>
        </row>
        <row r="1108">
          <cell r="A1108" t="str">
            <v>TDLE1XXL</v>
          </cell>
          <cell r="B1108" t="str">
            <v>Dumbum tričko XXL - limited edition</v>
          </cell>
          <cell r="C1108" t="str">
            <v>1/1</v>
          </cell>
          <cell r="D1108"/>
        </row>
        <row r="1109">
          <cell r="A1109" t="str">
            <v>TIDB1L</v>
          </cell>
          <cell r="B1109" t="str">
            <v>Tričko I love Dumbum(bílé)-L</v>
          </cell>
          <cell r="C1109" t="str">
            <v>1/1</v>
          </cell>
          <cell r="D1109" t="str">
            <v/>
          </cell>
        </row>
        <row r="1110">
          <cell r="A1110" t="str">
            <v>TPD1L</v>
          </cell>
          <cell r="B1110" t="str">
            <v>Dumbum polo tričko L</v>
          </cell>
          <cell r="C1110" t="str">
            <v>1/1</v>
          </cell>
          <cell r="D1110" t="str">
            <v/>
          </cell>
        </row>
        <row r="1111">
          <cell r="A1111" t="str">
            <v>TPD1XL</v>
          </cell>
          <cell r="B1111" t="str">
            <v>Dumbum polo tričko XL</v>
          </cell>
          <cell r="C1111" t="str">
            <v>1/1</v>
          </cell>
          <cell r="D1111" t="str">
            <v/>
          </cell>
        </row>
        <row r="1112">
          <cell r="A1112" t="str">
            <v>TPDLE1L</v>
          </cell>
          <cell r="B1112" t="str">
            <v>Dumbum tričko polo  L- limited edition</v>
          </cell>
          <cell r="C1112" t="str">
            <v>1/1</v>
          </cell>
          <cell r="D1112"/>
        </row>
        <row r="1113">
          <cell r="A1113" t="str">
            <v>TPDLE1M</v>
          </cell>
          <cell r="B1113" t="str">
            <v>Dumbum tričko polo  M - limited edition</v>
          </cell>
          <cell r="C1113" t="str">
            <v>1/1</v>
          </cell>
          <cell r="D1113"/>
        </row>
        <row r="1114">
          <cell r="A1114" t="str">
            <v>TPDLE1XL</v>
          </cell>
          <cell r="B1114" t="str">
            <v>Dumbum tričko polo  XL - limited edition</v>
          </cell>
          <cell r="C1114" t="str">
            <v>1/1</v>
          </cell>
          <cell r="D1114"/>
        </row>
        <row r="1115">
          <cell r="A1115" t="str">
            <v>TPDLE1XXL</v>
          </cell>
          <cell r="B1115" t="str">
            <v>Dumbum tričko polo  XXL - limited edition</v>
          </cell>
          <cell r="C1115" t="str">
            <v>1/1</v>
          </cell>
          <cell r="D1115"/>
        </row>
        <row r="1116">
          <cell r="A1116" t="str">
            <v>UZD2</v>
          </cell>
          <cell r="B1116" t="str">
            <v>USB Zapalovač Dumbum</v>
          </cell>
          <cell r="C1116" t="str">
            <v>1/1</v>
          </cell>
          <cell r="D1116" t="str">
            <v/>
          </cell>
        </row>
        <row r="1117">
          <cell r="A1117" t="str">
            <v>VDLE1L</v>
          </cell>
          <cell r="B1117" t="str">
            <v>Dumbum vesta softshell L-limited edition</v>
          </cell>
          <cell r="C1117" t="str">
            <v>1/1</v>
          </cell>
          <cell r="D1117"/>
        </row>
        <row r="1118">
          <cell r="A1118" t="str">
            <v>VDLE1M</v>
          </cell>
          <cell r="B1118" t="str">
            <v>Dumbum vesta softshell M-limited edition</v>
          </cell>
          <cell r="C1118" t="str">
            <v>1/1</v>
          </cell>
          <cell r="D1118"/>
        </row>
        <row r="1119">
          <cell r="A1119" t="str">
            <v>VDLE1XL</v>
          </cell>
          <cell r="B1119" t="str">
            <v>Dumbum vesta softshell XL -limited edition</v>
          </cell>
          <cell r="C1119" t="str">
            <v>1/1</v>
          </cell>
          <cell r="D1119"/>
        </row>
        <row r="1120">
          <cell r="A1120" t="str">
            <v>VDLE1XXL</v>
          </cell>
          <cell r="B1120" t="str">
            <v>Dumbum vesta softshell XXL -limited edition</v>
          </cell>
          <cell r="C1120" t="str">
            <v>1/1</v>
          </cell>
          <cell r="D1120"/>
        </row>
        <row r="1121">
          <cell r="A1121" t="str">
            <v>VP12MIX</v>
          </cell>
          <cell r="B1121" t="str">
            <v>Prskavky(mix tvarů)</v>
          </cell>
          <cell r="C1121" t="str">
            <v>12/10</v>
          </cell>
          <cell r="D1121" t="str">
            <v>54</v>
          </cell>
        </row>
        <row r="1122">
          <cell r="A1122" t="str">
            <v>VP12T1</v>
          </cell>
          <cell r="B1122" t="str">
            <v>Prskavka ve tvaru čísla 1</v>
          </cell>
          <cell r="C1122" t="str">
            <v>6/25</v>
          </cell>
          <cell r="D1122">
            <v>42</v>
          </cell>
        </row>
        <row r="1123">
          <cell r="A1123" t="str">
            <v>VP12TH</v>
          </cell>
          <cell r="B1123" t="str">
            <v>Prskavka ve tvaru hvězdy</v>
          </cell>
          <cell r="C1123" t="str">
            <v>6/25</v>
          </cell>
          <cell r="D1123">
            <v>72</v>
          </cell>
        </row>
        <row r="1124">
          <cell r="A1124" t="str">
            <v>VP12TS</v>
          </cell>
          <cell r="B1124" t="str">
            <v>Prskavka ve tvaru srdce</v>
          </cell>
          <cell r="C1124" t="str">
            <v>6/25</v>
          </cell>
          <cell r="D1124">
            <v>72</v>
          </cell>
        </row>
        <row r="1125">
          <cell r="A1125" t="str">
            <v>VP16A</v>
          </cell>
          <cell r="B1125" t="str">
            <v>Prskavky 16cm</v>
          </cell>
          <cell r="C1125" t="str">
            <v>40/15/10</v>
          </cell>
          <cell r="D1125" t="str">
            <v>25</v>
          </cell>
        </row>
        <row r="1126">
          <cell r="A1126" t="str">
            <v>VP16A(1)</v>
          </cell>
          <cell r="B1126" t="str">
            <v>Prskavky 16cm</v>
          </cell>
          <cell r="C1126" t="str">
            <v>40/15/10</v>
          </cell>
          <cell r="D1126" t="str">
            <v>25</v>
          </cell>
        </row>
        <row r="1127">
          <cell r="A1127" t="str">
            <v>VP28</v>
          </cell>
          <cell r="B1127" t="str">
            <v>Prskavky 28cm</v>
          </cell>
          <cell r="C1127" t="str">
            <v>10/20/10</v>
          </cell>
          <cell r="D1127">
            <v>48</v>
          </cell>
        </row>
        <row r="1128">
          <cell r="A1128" t="str">
            <v>VP28E</v>
          </cell>
          <cell r="B1128" t="str">
            <v xml:space="preserve">Zlaté vánoční prskavky 28cm(exclusive) </v>
          </cell>
          <cell r="C1128" t="str">
            <v>10/20/10</v>
          </cell>
          <cell r="D1128" t="str">
            <v>42</v>
          </cell>
        </row>
        <row r="1129">
          <cell r="A1129" t="str">
            <v>VP28N</v>
          </cell>
          <cell r="B1129" t="str">
            <v>Neon sparklers 28cm</v>
          </cell>
          <cell r="C1129" t="str">
            <v>100/20</v>
          </cell>
          <cell r="D1129" t="str">
            <v>24</v>
          </cell>
        </row>
        <row r="1130">
          <cell r="A1130" t="str">
            <v>VP40</v>
          </cell>
          <cell r="B1130" t="str">
            <v>Prskavky 40cm</v>
          </cell>
          <cell r="C1130" t="str">
            <v>100/10</v>
          </cell>
          <cell r="D1130">
            <v>62</v>
          </cell>
        </row>
        <row r="1131">
          <cell r="A1131" t="str">
            <v>VP40/20</v>
          </cell>
          <cell r="B1131" t="str">
            <v>Prskavky 40cm</v>
          </cell>
          <cell r="C1131" t="str">
            <v>10/10/20</v>
          </cell>
          <cell r="D1131">
            <v>33</v>
          </cell>
        </row>
        <row r="1132">
          <cell r="A1132" t="str">
            <v>VP40E</v>
          </cell>
          <cell r="B1132" t="str">
            <v xml:space="preserve">Zlaté vánoční prskavky 40cm(exclusive) </v>
          </cell>
          <cell r="C1132" t="str">
            <v>10/10/10</v>
          </cell>
          <cell r="D1132">
            <v>60</v>
          </cell>
        </row>
        <row r="1133">
          <cell r="A1133" t="str">
            <v>VP40N</v>
          </cell>
          <cell r="B1133" t="str">
            <v>Neon sparklers 40cm</v>
          </cell>
          <cell r="C1133" t="str">
            <v>50/8</v>
          </cell>
          <cell r="D1133">
            <v>63</v>
          </cell>
        </row>
        <row r="1134">
          <cell r="A1134" t="str">
            <v>VP40W</v>
          </cell>
          <cell r="B1134" t="str">
            <v>Prskavky 40cm - Wedding serie</v>
          </cell>
          <cell r="C1134" t="str">
            <v>100/10</v>
          </cell>
          <cell r="D1134">
            <v>62</v>
          </cell>
        </row>
        <row r="1135">
          <cell r="A1135" t="str">
            <v>VP70</v>
          </cell>
          <cell r="B1135" t="str">
            <v>Prskavky 70cm</v>
          </cell>
          <cell r="C1135" t="str">
            <v>72/4</v>
          </cell>
          <cell r="D1135">
            <v>60</v>
          </cell>
        </row>
        <row r="1136">
          <cell r="A1136" t="str">
            <v>VP70E</v>
          </cell>
          <cell r="B1136" t="str">
            <v xml:space="preserve">Zlaté vánoční prskavky 70cm(exclusive) </v>
          </cell>
          <cell r="C1136" t="str">
            <v>72/8</v>
          </cell>
          <cell r="D1136" t="str">
            <v>38</v>
          </cell>
        </row>
        <row r="1137">
          <cell r="A1137" t="str">
            <v>VP70W</v>
          </cell>
          <cell r="B1137" t="str">
            <v>Prskavky 70cm - Wedding serie</v>
          </cell>
          <cell r="C1137" t="str">
            <v>72/4</v>
          </cell>
          <cell r="D1137">
            <v>60</v>
          </cell>
        </row>
        <row r="1138">
          <cell r="A1138" t="str">
            <v>VP90</v>
          </cell>
          <cell r="B1138" t="str">
            <v>Prskavky 90cm</v>
          </cell>
          <cell r="C1138" t="str">
            <v>80/3</v>
          </cell>
          <cell r="D1138">
            <v>36</v>
          </cell>
        </row>
        <row r="1139">
          <cell r="A1139" t="str">
            <v>ZD1</v>
          </cell>
          <cell r="B1139" t="str">
            <v>Zapalovač Dumbum s turboplamenem</v>
          </cell>
          <cell r="C1139" t="str">
            <v>1/20</v>
          </cell>
          <cell r="D1139" t="str">
            <v/>
          </cell>
        </row>
        <row r="1140">
          <cell r="A1140" t="str">
            <v>ZS5M</v>
          </cell>
          <cell r="B1140" t="str">
            <v>Zápalná šňůra 2mm</v>
          </cell>
          <cell r="C1140" t="str">
            <v>100/1/5m</v>
          </cell>
          <cell r="D1140">
            <v>36</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9" totalsRowShown="0" headerRowDxfId="56" dataDxfId="55" tableBorderDxfId="54" dataCellStyle="normální_List1">
  <autoFilter ref="A20:AN1189" xr:uid="{DB7526A5-FA93-43AF-8B3A-88DA1B0B994A}"/>
  <tableColumns count="40">
    <tableColumn id="1" xr3:uid="{E8100936-7BAC-4B0D-8808-3619C82A261E}" name="Sloupec1" dataDxfId="53"/>
    <tableColumn id="2" xr3:uid="{0C00E08B-5CC7-4D48-B3CE-C71DD71A9ADF}" name="Sloupec2">
      <calculatedColumnFormula>IF(AND('General price list'!$J21="F4",$AI$1=FALSE),0,IF(AC21="SKLADEM",1,IF(AC21=$V$3,1,0)))</calculatedColumnFormula>
    </tableColumn>
    <tableColumn id="3" xr3:uid="{CBC6DFC0-3EBB-4DCC-8E93-B101C6D564C5}" name="KÓD" dataDxfId="52" dataCellStyle="normální_List1"/>
    <tableColumn id="4" xr3:uid="{5F49D638-E8E1-481C-AC2F-6528FD234D51}" name="NAZEV" dataDxfId="51" dataCellStyle="normální_List1"/>
    <tableColumn id="5" xr3:uid="{B63FF745-2B65-40A9-8FF9-2B30BA1BC2F6}" name="INCTN"/>
    <tableColumn id="6" xr3:uid="{CDA685AE-6FFF-45B6-B7A4-783BF360C096}" name="CZK" dataDxfId="50"/>
    <tableColumn id="7" xr3:uid="{B58D15A7-8DF3-4747-A254-B93DD3E15F74}" name="CZKN" dataDxfId="49"/>
    <tableColumn id="8" xr3:uid="{3492F0BD-465B-44B7-98A2-14FA9887844F}" name="EURN" dataDxfId="48">
      <calculatedColumnFormula>G21/$F$19</calculatedColumnFormula>
    </tableColumn>
    <tableColumn id="9" xr3:uid="{FCF0CB1A-1C68-4AA0-A86F-BC9353CABC5B}" name="BAL"/>
    <tableColumn id="10" xr3:uid="{D8074A85-27E6-4236-92B3-8067294F8965}" name="KAT" dataDxfId="47" dataCellStyle="normální_List1"/>
    <tableColumn id="11" xr3:uid="{3F889228-B57E-4BA6-A590-54E65726743F}" name="NEW" dataDxfId="46" dataCellStyle="normální_List1"/>
    <tableColumn id="12" xr3:uid="{BC5A8962-C495-46BB-8EE6-B036CD50EEC4}" name="Sloupec4" dataDxfId="45" dataCellStyle="normální_List1"/>
    <tableColumn id="13" xr3:uid="{A6706754-BA5A-4339-BF9B-1D2A1915556A}" name="ADR" dataDxfId="44" dataCellStyle="normální_List1"/>
    <tableColumn id="14" xr3:uid="{2FEDBF01-E016-4ACD-88A4-CC8066980FBE}" name="CBM" dataDxfId="43" dataCellStyle="normální_List1"/>
    <tableColumn id="15" xr3:uid="{DEBDBE62-1840-4428-B62D-CF61977BD068}" name="NEM" dataDxfId="42" dataCellStyle="normální_List1"/>
    <tableColumn id="16" xr3:uid="{92B29748-086A-4330-897E-434C13CB1D0C}" name="M" dataDxfId="41" dataCellStyle="normální_List1">
      <calculatedColumnFormula>IFERROR(VLOOKUP(C21,[3]List1!$A:$D,2,FALSE),"N/A!")</calculatedColumnFormula>
    </tableColumn>
    <tableColumn id="17" xr3:uid="{A5ED8BE9-0195-4AE1-8252-962A2554598A}" name="JAZYKYV" dataDxfId="40" dataCellStyle="normální_List1"/>
    <tableColumn id="18" xr3:uid="{2CEC8770-B67E-4195-B4E8-8B06DF572858}" name="JAZYKYM" dataDxfId="39" dataCellStyle="normální_List1"/>
    <tableColumn id="19" xr3:uid="{83519F2F-5724-449C-9362-11450B98B95D}" name="DESIGN" dataDxfId="38" dataCellStyle="normální_List1"/>
    <tableColumn id="20" xr3:uid="{B483EF71-0408-4659-A1CC-D8C9D9300FC3}" name="CAS" dataDxfId="37" dataCellStyle="normální_List1"/>
    <tableColumn id="21" xr3:uid="{9FAA152E-F95F-402C-A3EE-17E265BCC596}" name="HIGH" dataDxfId="36" dataCellStyle="normální_List1"/>
    <tableColumn id="22" xr3:uid="{6E18235E-C255-473D-A146-F66E89E30CE5}" name="WIDTH" dataDxfId="35" dataCellStyle="normální_List1"/>
    <tableColumn id="23" xr3:uid="{2D4BA49A-DE37-434D-96DB-8BCEC69D7164}" name="POPIS" dataDxfId="34" dataCellStyle="normální_List1">
      <calculatedColumnFormula>IFERROR(VLOOKUP('General price list'!$C21,Popisy!A:P,MATCH($W$17,Popisy!$A$7:$P$7,0),FALSE),"---------------")</calculatedColumnFormula>
    </tableColumn>
    <tableColumn id="24" xr3:uid="{243E8334-8E96-4477-861D-ADAC83A417BA}" name="Sloupec5">
      <calculatedColumnFormula>IF(AB21&lt;0.0001,"",AB21)</calculatedColumnFormula>
    </tableColumn>
    <tableColumn id="25" xr3:uid="{54EF635F-88BA-4895-B2D9-450115783FE3}" name="Sloupec6" dataDxfId="33" dataCellStyle="normální_List1">
      <calculatedColumnFormula>IF($AL$3=2,IF(OR(AB21&lt;&gt;"",AB21&lt;&gt;0),AU21,""),IF(C21="","",IF(AB21&lt;0.0001,"",IF(B21=0,"",IF(AQ21&lt;AB21,"",AB21)))))</calculatedColumnFormula>
    </tableColumn>
    <tableColumn id="26" xr3:uid="{3EE069DF-AB63-4CE6-B5B0-76AC9F9DD259}" name="VIDEO" dataDxfId="32" dataCellStyle="normální_List1"/>
    <tableColumn id="27" xr3:uid="{D4CD71C3-AE5D-4D4C-9F9D-8ACC8E906997}" name="PAL" dataDxfId="31" dataCellStyle="normální_List1">
      <calculatedColumnFormula>IFERROR(IF(VLOOKUP(C21,[4]List1!$A:$D,4,FALSE)=0,"",VLOOKUP(C21,[4]List1!$A:$D,4,FALSE)),"")</calculatedColumnFormula>
    </tableColumn>
    <tableColumn id="28" xr3:uid="{AE21E1C2-8036-46FA-BC40-0D3C9A2AA6AB}" name="OBJ" dataDxfId="30"/>
    <tableColumn id="29" xr3:uid="{874C9336-6315-49F1-84BD-3E36451432CB}" name="SDV"/>
    <tableColumn id="30" xr3:uid="{51235F7F-EA20-4CC8-BB74-73A1257430C3}" name="Sloupec8" dataDxfId="29">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28" dataCellStyle="normální_List1">
      <calculatedColumnFormula>IFERROR(IF(AV21&lt;&gt;"",AV21,AD21),AD21)</calculatedColumnFormula>
    </tableColumn>
    <tableColumn id="32" xr3:uid="{A3B43364-E3AC-4A67-98C8-03262F5ABC5D}" name="CCZKB" dataDxfId="27" dataCellStyle="normální_List1">
      <calculatedColumnFormula>IFERROR(IF(AB21=Y21,G21*I21*Y21,0),0)</calculatedColumnFormula>
    </tableColumn>
    <tableColumn id="33" xr3:uid="{61F7EC28-04A6-4585-84CC-567DA70A5D3D}" name="CCZKS" dataDxfId="26" dataCellStyle="normální_List1">
      <calculatedColumnFormula>IF($W$17=$AF$8,AH21*1.23,AF21*1.21)</calculatedColumnFormula>
    </tableColumn>
    <tableColumn id="34" xr3:uid="{03EDB891-685E-46E7-8BFF-E859AE996FB9}" name="TOTAL" dataDxfId="25" dataCellStyle="normální_List1">
      <calculatedColumnFormula>IFERROR(IF(Y21=AB21,H21*I21*Y21,0),0)</calculatedColumnFormula>
    </tableColumn>
    <tableColumn id="35" xr3:uid="{193FDC89-DF1F-44CB-BA55-80338F86D55C}" name="HM" dataDxfId="24" dataCellStyle="normální_List1">
      <calculatedColumnFormula>IFERROR(IF(Y21=AB21,(P21*Y21)/1000,1),0)</calculatedColumnFormula>
    </tableColumn>
    <tableColumn id="36" xr3:uid="{1F369C00-913C-4B22-B201-4F78D7F4B88D}" name="KUB" dataDxfId="23" dataCellStyle="normální_List1">
      <calculatedColumnFormula>IFERROR(IF(Y21=AB21,N21*Y21,0.1),0)</calculatedColumnFormula>
    </tableColumn>
    <tableColumn id="37" xr3:uid="{2E1D73B8-E350-4C2B-ADA7-0E9227377B57}" name="11" dataDxfId="22" dataCellStyle="normální_List1">
      <calculatedColumnFormula>IFERROR(IF(Y21=AB21,IF(M21="1.1G",(O21/1000)*Y21,""),""),0)</calculatedColumnFormula>
    </tableColumn>
    <tableColumn id="38" xr3:uid="{E5159757-14FB-420C-BFC4-CEDD3C0A1E05}" name="13" dataDxfId="21" dataCellStyle="normální_List1">
      <calculatedColumnFormula>IFERROR(IF(Y21=AB21,IF(M21="1.3G",(O21/1000)*AB21,""),""),0)</calculatedColumnFormula>
    </tableColumn>
    <tableColumn id="39" xr3:uid="{9F655670-3FA4-48C7-BA8C-BDBA1598474A}" name="14" dataDxfId="20" dataCellStyle="normální_List1">
      <calculatedColumnFormula>IFERROR(IF(Y21=AB21,IF(M21="1.4G",(O21/1000)*AB21,""),""),0)</calculatedColumnFormula>
    </tableColumn>
    <tableColumn id="40" xr3:uid="{4E1001B6-C3E0-4C4B-8C10-25BC000A0D6C}" name="NEQ" dataDxfId="19"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hyperlink" Target="http://www.klasekpyrotechnics.cz/vp90" TargetMode="External"/><Relationship Id="rId21" Type="http://schemas.openxmlformats.org/officeDocument/2006/relationships/ctrlProp" Target="../ctrlProps/ctrlProp13.xml"/><Relationship Id="rId7" Type="http://schemas.openxmlformats.org/officeDocument/2006/relationships/drawing" Target="../drawings/drawing1.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omments" Target="../comments1.xml"/><Relationship Id="rId2" Type="http://schemas.openxmlformats.org/officeDocument/2006/relationships/hyperlink" Target="https://www.klasekpyrotechnics.cz/vp70w"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mailto:info@klasekpyrotechnics.cz" TargetMode="External"/><Relationship Id="rId6" Type="http://schemas.openxmlformats.org/officeDocument/2006/relationships/printerSettings" Target="../printerSettings/printerSettings1.bin"/><Relationship Id="rId11" Type="http://schemas.openxmlformats.org/officeDocument/2006/relationships/ctrlProp" Target="../ctrlProps/ctrlProp3.xml"/><Relationship Id="rId24" Type="http://schemas.openxmlformats.org/officeDocument/2006/relationships/table" Target="../tables/table1.xml"/><Relationship Id="rId5" Type="http://schemas.openxmlformats.org/officeDocument/2006/relationships/hyperlink" Target="https://www.youtube.com/watch?v=7VjovCRBPv4" TargetMode="External"/><Relationship Id="rId15" Type="http://schemas.openxmlformats.org/officeDocument/2006/relationships/ctrlProp" Target="../ctrlProps/ctrlProp7.xml"/><Relationship Id="rId23" Type="http://schemas.openxmlformats.org/officeDocument/2006/relationships/ctrlProp" Target="../ctrlProps/ctrlProp15.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youtube.com/watch?v=A7b8qDceAKM"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s>
</file>

<file path=xl/worksheets/_rels/sheet10.xml.rels><?xml version="1.0" encoding="UTF-8" standalone="yes"?>
<Relationships xmlns="http://schemas.openxmlformats.org/package/2006/relationships"><Relationship Id="rId3" Type="http://schemas.openxmlformats.org/officeDocument/2006/relationships/hyperlink" Target="https://youtu.be/7VjovCRBPv4" TargetMode="External"/><Relationship Id="rId2" Type="http://schemas.openxmlformats.org/officeDocument/2006/relationships/hyperlink" Target="https://youtu.be/ArnCfL7P874" TargetMode="External"/><Relationship Id="rId1" Type="http://schemas.openxmlformats.org/officeDocument/2006/relationships/hyperlink" Target="http://www.kb.cz/kurzovni-listek/cs/rl/index.x"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BA1217"/>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D25" sqref="D25"/>
    </sheetView>
  </sheetViews>
  <sheetFormatPr defaultColWidth="9.140625" defaultRowHeight="15" customHeight="1"/>
  <cols>
    <col min="1" max="1" width="2.5703125" style="305" customWidth="1"/>
    <col min="2" max="2" width="1.42578125" style="453" hidden="1" customWidth="1"/>
    <col min="3" max="3" width="18.140625" style="305" customWidth="1"/>
    <col min="4" max="4" width="36.7109375" style="305" customWidth="1"/>
    <col min="5" max="5" width="11" style="305" customWidth="1"/>
    <col min="6" max="6" width="7.85546875" style="375" customWidth="1"/>
    <col min="7" max="7" width="8" style="305" customWidth="1"/>
    <col min="8" max="8" width="7.85546875" style="305" customWidth="1"/>
    <col min="9" max="9" width="5" style="453" hidden="1" customWidth="1"/>
    <col min="10" max="10" width="8.85546875" style="305" customWidth="1"/>
    <col min="11" max="11" width="11" style="453" hidden="1" customWidth="1"/>
    <col min="12" max="12" width="11" style="305" customWidth="1"/>
    <col min="13" max="13" width="6.28515625" style="305" customWidth="1"/>
    <col min="14" max="14" width="11.5703125" style="453" hidden="1" customWidth="1"/>
    <col min="15" max="16" width="11" style="453" hidden="1" customWidth="1"/>
    <col min="17" max="17" width="23.42578125" style="376" customWidth="1"/>
    <col min="18" max="18" width="15.42578125" style="305" customWidth="1"/>
    <col min="19" max="19" width="10.5703125" style="305" customWidth="1"/>
    <col min="20" max="20" width="9.42578125" style="305" customWidth="1"/>
    <col min="21" max="21" width="6.7109375" style="305" customWidth="1"/>
    <col min="22" max="22" width="8" style="305" customWidth="1"/>
    <col min="23" max="23" width="42.85546875" style="305" customWidth="1"/>
    <col min="24" max="24" width="42" style="453" hidden="1" customWidth="1"/>
    <col min="25" max="25" width="11" style="453" hidden="1" customWidth="1"/>
    <col min="26" max="26" width="8.28515625" style="305" customWidth="1"/>
    <col min="27" max="27" width="8" style="305" customWidth="1"/>
    <col min="28" max="28" width="10.28515625" style="305" customWidth="1"/>
    <col min="29" max="29" width="13" style="453" hidden="1" customWidth="1"/>
    <col min="30" max="30" width="24.42578125" style="453" hidden="1" customWidth="1"/>
    <col min="31" max="31" width="24.5703125" style="305" customWidth="1"/>
    <col min="32" max="34" width="13.7109375" style="305" customWidth="1"/>
    <col min="35" max="36" width="11.5703125" style="305" customWidth="1"/>
    <col min="37" max="40" width="11.28515625" style="305" customWidth="1"/>
    <col min="41" max="41" width="46.42578125" style="381" customWidth="1"/>
    <col min="42" max="43" width="9.140625" style="305" hidden="1" customWidth="1"/>
    <col min="44" max="44" width="16.85546875" style="304" hidden="1" customWidth="1"/>
    <col min="45" max="45" width="10.85546875" style="304" hidden="1" customWidth="1"/>
    <col min="46" max="52" width="9.140625" style="304" hidden="1" customWidth="1"/>
    <col min="53" max="53" width="9.140625" style="304" customWidth="1"/>
    <col min="54" max="16384" width="9.140625" style="305"/>
  </cols>
  <sheetData>
    <row r="1" spans="1:53" s="263" customFormat="1" ht="12.95" customHeight="1">
      <c r="A1" s="508" t="s">
        <v>11711</v>
      </c>
      <c r="B1" s="513" t="s">
        <v>12734</v>
      </c>
      <c r="C1" s="624"/>
      <c r="D1" s="806" t="str">
        <f>UPPER(IF($W$17=$AF$1,"interaktivní",IFERROR(VLOOKUP("interaktivní",Jazyky_ceník!A:Q,MATCH(W17,Jazyky_ceník!A1:Q1,0),FALSE),"---------------")))</f>
        <v>INTERAKTIVNÍ</v>
      </c>
      <c r="E1" s="807" t="str">
        <f>"i-"&amp;PROPER(IF($W$17=$AF$1,"ceník",IFERROR(VLOOKUP("ceník",Jazyky_ceník!A:Q,MATCH(W17,Jazyky_ceník!A1:Q1,0),FALSE),"---------------")))&amp;" 2022"</f>
        <v>i-Ceník 2022</v>
      </c>
      <c r="F1" s="807"/>
      <c r="G1" s="807"/>
      <c r="H1" s="261"/>
      <c r="I1" s="625"/>
      <c r="J1" s="626" t="str">
        <f>IF($W$17=$AF$1,"Odběr nad",IFERROR(VLOOKUP("Odběr nad",Jazyky_ceník!A:Q,MATCH(W17,Jazyky_ceník!A1:Q1,0),FALSE),"---------------"))</f>
        <v>Odběr nad</v>
      </c>
      <c r="K1" s="808" t="s">
        <v>11709</v>
      </c>
      <c r="L1" s="809"/>
      <c r="M1" s="810" t="str">
        <f>C19</f>
        <v>Sleva v %</v>
      </c>
      <c r="N1" s="811"/>
      <c r="O1" s="810"/>
      <c r="P1" s="509">
        <v>0</v>
      </c>
      <c r="Q1" s="513"/>
      <c r="R1" s="261"/>
      <c r="S1" s="261"/>
      <c r="T1" s="261"/>
      <c r="U1" s="261"/>
      <c r="V1" s="627" t="str">
        <f>IF($W$17=$AF$1,"VK",IFERROR(VLOOKUP("VK",Jazyky_ceník!A:Q,MATCH(W17,Jazyky_ceník!A1:Q1,0),FALSE),"!!!"))</f>
        <v>VK</v>
      </c>
      <c r="W1" s="261"/>
      <c r="X1" s="261"/>
      <c r="Y1" s="512" t="s">
        <v>12186</v>
      </c>
      <c r="Z1" s="512"/>
      <c r="AA1" s="508"/>
      <c r="AB1" s="261"/>
      <c r="AC1" s="514" t="str">
        <f>IF($W$17=$AF$1,"KLIKNUTÍM ZDE VYBERTE MOŽNOST!",IFERROR(VLOOKUP("KLIKNUTÍM ZDE VYBERTE MOŽNOST!",Jazyky_ceník!A:Q,MATCH(W17,Jazyky_ceník!A1:Q1,0),FALSE),"!!!"))</f>
        <v>KLIKNUTÍM ZDE VYBERTE MOŽNOST!</v>
      </c>
      <c r="AD1" s="628">
        <v>1</v>
      </c>
      <c r="AE1" s="515" t="s">
        <v>18</v>
      </c>
      <c r="AF1" s="514" t="s">
        <v>3089</v>
      </c>
      <c r="AG1" s="514"/>
      <c r="AH1" s="516"/>
      <c r="AI1" s="649" t="b">
        <v>0</v>
      </c>
      <c r="AJ1" s="514"/>
      <c r="AK1" s="261"/>
      <c r="AL1" s="261" t="str">
        <f>D1&amp;" "&amp;E1</f>
        <v>INTERAKTIVNÍ i-Ceník 2022</v>
      </c>
      <c r="AM1" s="511"/>
      <c r="AN1" s="682" t="s">
        <v>11980</v>
      </c>
      <c r="AO1" s="380"/>
      <c r="AT1" s="263" t="s">
        <v>14695</v>
      </c>
    </row>
    <row r="2" spans="1:53" s="263" customFormat="1" ht="12.95" customHeight="1">
      <c r="A2" s="508"/>
      <c r="B2" s="513" t="s">
        <v>12771</v>
      </c>
      <c r="C2" s="624"/>
      <c r="D2" s="806"/>
      <c r="E2" s="807"/>
      <c r="F2" s="807"/>
      <c r="G2" s="807"/>
      <c r="H2" s="261"/>
      <c r="I2" s="629"/>
      <c r="J2" s="629">
        <v>5000</v>
      </c>
      <c r="K2" s="630"/>
      <c r="L2" s="630"/>
      <c r="M2" s="631">
        <v>-0.05</v>
      </c>
      <c r="N2" s="632">
        <f t="shared" ref="N2:N11" si="0">(J2/(100-O2))*100</f>
        <v>5263.1578947368416</v>
      </c>
      <c r="O2" s="633">
        <v>5</v>
      </c>
      <c r="P2" s="509">
        <f t="shared" ref="P2:P15" si="1">IF($AC$2&gt;N2,O2,P1)</f>
        <v>0</v>
      </c>
      <c r="Q2" s="513"/>
      <c r="R2" s="261"/>
      <c r="S2" s="261"/>
      <c r="T2" s="261"/>
      <c r="U2" s="509"/>
      <c r="V2" s="627" t="str">
        <f>IF($W$17=$AF$1,"POSLEDNÍCH",IFERROR(VLOOKUP("POSLEDNÍCH",Jazyky_ceník!A:Q,MATCH(W17,Jazyky_ceník!A1:Q1,0),FALSE),"!!!"))</f>
        <v>POSLEDNÍCH</v>
      </c>
      <c r="W2" s="261"/>
      <c r="X2" s="261"/>
      <c r="Y2" s="512" t="s">
        <v>12187</v>
      </c>
      <c r="Z2" s="512"/>
      <c r="AA2" s="508"/>
      <c r="AB2" s="261"/>
      <c r="AC2" s="634">
        <f>SUMPRODUCT(F22:F1126,I22:I1126,Y22:Y1126)</f>
        <v>0</v>
      </c>
      <c r="AD2" s="628">
        <v>2</v>
      </c>
      <c r="AE2" s="515" t="s">
        <v>13673</v>
      </c>
      <c r="AF2" s="514" t="s">
        <v>3091</v>
      </c>
      <c r="AG2" s="514"/>
      <c r="AH2" s="516"/>
      <c r="AI2" s="513"/>
      <c r="AJ2" s="514"/>
      <c r="AK2" s="261"/>
      <c r="AL2" s="261" t="str">
        <f>IF($W$17=$AF$1,"REZERVAČNÍ ceník",IFERROR(VLOOKUP("REZERVAČNÍ ceník",Jazyky_ceník!A:Q,MATCH(W17,Jazyky_ceník!A1:Q1,0),FALSE),"---------------"))</f>
        <v>REZERVAČNÍ ceník</v>
      </c>
      <c r="AM2" s="511"/>
      <c r="AN2" s="517"/>
      <c r="AO2" s="380"/>
      <c r="AT2" s="263" t="s">
        <v>14696</v>
      </c>
    </row>
    <row r="3" spans="1:53" s="263" customFormat="1" ht="12.95" customHeight="1">
      <c r="A3" s="508"/>
      <c r="B3" s="513"/>
      <c r="C3" s="624"/>
      <c r="D3" s="805" t="s">
        <v>11712</v>
      </c>
      <c r="E3" s="805"/>
      <c r="F3" s="805"/>
      <c r="G3" s="261"/>
      <c r="H3" s="261"/>
      <c r="I3" s="629"/>
      <c r="J3" s="629">
        <v>8000</v>
      </c>
      <c r="K3" s="630"/>
      <c r="L3" s="630"/>
      <c r="M3" s="631">
        <v>-0.1</v>
      </c>
      <c r="N3" s="632">
        <f t="shared" si="0"/>
        <v>8888.8888888888887</v>
      </c>
      <c r="O3" s="633">
        <v>10</v>
      </c>
      <c r="P3" s="509">
        <f t="shared" si="1"/>
        <v>0</v>
      </c>
      <c r="Q3" s="513"/>
      <c r="R3" s="261"/>
      <c r="S3" s="261"/>
      <c r="T3" s="261"/>
      <c r="U3" s="509"/>
      <c r="V3" s="627" t="str">
        <f>IF($W$17=$AF$1,"DOCHÁZÍ",IFERROR(VLOOKUP("DOCHÁZÍ",Jazyky_ceník!A:Q,MATCH(W17,Jazyky_ceník!A1:Q1,0),FALSE),"!!!"))</f>
        <v>DOCHÁZÍ</v>
      </c>
      <c r="W3" s="261"/>
      <c r="X3" s="261"/>
      <c r="Y3" s="512"/>
      <c r="Z3" s="512"/>
      <c r="AA3" s="508"/>
      <c r="AB3" s="261"/>
      <c r="AC3" s="635">
        <f>IF(AC2&gt;N12,O12,P11)</f>
        <v>0</v>
      </c>
      <c r="AD3" s="628">
        <v>3</v>
      </c>
      <c r="AE3" s="515" t="s">
        <v>9819</v>
      </c>
      <c r="AF3" s="514" t="s">
        <v>8926</v>
      </c>
      <c r="AG3" s="514"/>
      <c r="AH3" s="516"/>
      <c r="AI3" s="513"/>
      <c r="AJ3" s="514"/>
      <c r="AK3" s="261"/>
      <c r="AL3" s="636">
        <v>1</v>
      </c>
      <c r="AM3" s="511"/>
      <c r="AN3" s="517"/>
      <c r="AO3" s="380"/>
      <c r="AS3" s="263" t="str">
        <f>IF(G19=1,"Cena EUR","Cena GBP")</f>
        <v>Cena EUR</v>
      </c>
    </row>
    <row r="4" spans="1:53" s="263" customFormat="1" ht="12.95" customHeight="1">
      <c r="A4" s="508"/>
      <c r="B4" s="513"/>
      <c r="C4" s="624"/>
      <c r="D4" s="261"/>
      <c r="E4" s="509"/>
      <c r="F4" s="637"/>
      <c r="G4" s="261"/>
      <c r="H4" s="261"/>
      <c r="I4" s="629"/>
      <c r="J4" s="629">
        <v>15000</v>
      </c>
      <c r="K4" s="630"/>
      <c r="L4" s="630"/>
      <c r="M4" s="631">
        <v>-0.2</v>
      </c>
      <c r="N4" s="632">
        <f t="shared" si="0"/>
        <v>17647.058823529413</v>
      </c>
      <c r="O4" s="633">
        <v>15</v>
      </c>
      <c r="P4" s="509">
        <f t="shared" si="1"/>
        <v>0</v>
      </c>
      <c r="Q4" s="513"/>
      <c r="R4" s="261"/>
      <c r="S4" s="261"/>
      <c r="T4" s="261"/>
      <c r="U4" s="509"/>
      <c r="V4" s="638" t="str">
        <f>IF($W$17=$AF$1,"DORAZÍ",IFERROR(VLOOKUP("DORAZÍ",Jazyky_ceník!A:Q,MATCH(W17,Jazyky_ceník!A1:Q1,0),FALSE),"!!!"))&amp;" "</f>
        <v xml:space="preserve">DORAZÍ </v>
      </c>
      <c r="W4" s="261"/>
      <c r="X4" s="261"/>
      <c r="Y4" s="512"/>
      <c r="Z4" s="512"/>
      <c r="AA4" s="508"/>
      <c r="AB4" s="261"/>
      <c r="AC4" s="514" t="str">
        <f>IF($W$17=$AF$1,"BEZ PALET",IFERROR(VLOOKUP("BEZ PALET",Jazyky_ceník!A:Q,MATCH(W17,Jazyky_ceník!A1:Q1,0),FALSE),"!!!"))</f>
        <v>BEZ PALET</v>
      </c>
      <c r="AD4" s="628">
        <v>4</v>
      </c>
      <c r="AE4" s="515" t="s">
        <v>2790</v>
      </c>
      <c r="AF4" s="514" t="s">
        <v>3090</v>
      </c>
      <c r="AG4" s="514"/>
      <c r="AH4" s="516"/>
      <c r="AI4" s="513"/>
      <c r="AJ4" s="514"/>
      <c r="AK4" s="261"/>
      <c r="AL4" s="638" t="s">
        <v>12381</v>
      </c>
      <c r="AM4" s="261"/>
      <c r="AN4" s="517"/>
      <c r="AO4" s="380"/>
    </row>
    <row r="5" spans="1:53" s="263" customFormat="1" ht="12.95" customHeight="1">
      <c r="A5" s="508"/>
      <c r="B5" s="513"/>
      <c r="C5" s="639"/>
      <c r="D5" s="510"/>
      <c r="E5" s="510"/>
      <c r="F5" s="510"/>
      <c r="G5" s="510"/>
      <c r="H5" s="261"/>
      <c r="I5" s="629"/>
      <c r="J5" s="629">
        <v>30000</v>
      </c>
      <c r="K5" s="630"/>
      <c r="L5" s="630"/>
      <c r="M5" s="631">
        <v>-0.25</v>
      </c>
      <c r="N5" s="632">
        <f t="shared" si="0"/>
        <v>37500</v>
      </c>
      <c r="O5" s="633">
        <v>20</v>
      </c>
      <c r="P5" s="509">
        <f t="shared" si="1"/>
        <v>0</v>
      </c>
      <c r="Q5" s="513"/>
      <c r="R5" s="261"/>
      <c r="S5" s="261"/>
      <c r="T5" s="261"/>
      <c r="U5" s="509"/>
      <c r="V5" s="638" t="str">
        <f>IF($W$17=$AF$1,"DATUM",IFERROR(VLOOKUP("DATUM",Jazyky_ceník!A:Q,MATCH(W17,Jazyky_ceník!A1:Q1,0),FALSE),"!!!"))</f>
        <v>DATUM</v>
      </c>
      <c r="W5" s="261" t="str">
        <f>IF($W$17=$AF$1,"Termín další dostupnosti zboží",IFERROR(VLOOKUP("Termín další dostupnosti zboží",Jazyky_ceník!A:Q,MATCH(W17,Jazyky_ceník!A1:Q1,0),FALSE),"!!!"))</f>
        <v>Termín další dostupnosti zboží</v>
      </c>
      <c r="X5" s="261"/>
      <c r="Y5" s="512"/>
      <c r="Z5" s="512"/>
      <c r="AA5" s="508"/>
      <c r="AB5" s="261"/>
      <c r="AC5" s="514" t="str">
        <f>IF($W$17=$AF$1,"NA PALETÁCH",IFERROR(VLOOKUP("NA PALETÁCH",Jazyky_ceník!A:Q,MATCH(W17,Jazyky_ceník!A1:Q1,0),FALSE),"!!!"))</f>
        <v>NA PALETÁCH</v>
      </c>
      <c r="AD5" s="628">
        <v>5</v>
      </c>
      <c r="AE5" s="515" t="s">
        <v>13674</v>
      </c>
      <c r="AF5" s="514" t="s">
        <v>8573</v>
      </c>
      <c r="AG5" s="514"/>
      <c r="AH5" s="516"/>
      <c r="AI5" s="513"/>
      <c r="AJ5" s="514"/>
      <c r="AK5" s="261"/>
      <c r="AL5" s="638" t="s">
        <v>12382</v>
      </c>
      <c r="AM5" s="261"/>
      <c r="AN5" s="517"/>
      <c r="AO5" s="380"/>
    </row>
    <row r="6" spans="1:53" s="263" customFormat="1" ht="12.95" hidden="1" customHeight="1">
      <c r="A6" s="508"/>
      <c r="B6" s="513"/>
      <c r="C6" s="511"/>
      <c r="D6" s="640" t="s">
        <v>11904</v>
      </c>
      <c r="E6" s="261"/>
      <c r="F6" s="636"/>
      <c r="G6" s="261"/>
      <c r="H6" s="261"/>
      <c r="I6" s="629"/>
      <c r="J6" s="629">
        <v>75000</v>
      </c>
      <c r="K6" s="630"/>
      <c r="L6" s="630"/>
      <c r="M6" s="631">
        <v>-0.3</v>
      </c>
      <c r="N6" s="632">
        <f t="shared" si="0"/>
        <v>100000</v>
      </c>
      <c r="O6" s="633">
        <v>25</v>
      </c>
      <c r="P6" s="509">
        <f t="shared" si="1"/>
        <v>0</v>
      </c>
      <c r="Q6" s="513"/>
      <c r="R6" s="261"/>
      <c r="S6" s="261"/>
      <c r="T6" s="261"/>
      <c r="U6" s="654"/>
      <c r="V6" s="627" t="str">
        <f>IF($W$17=$AF$1,"SKLADEM",IFERROR(VLOOKUP("SKLADEM",Jazyky_ceník!A:Q,MATCH(W17,Jazyky_ceník!A1:Q1,0),FALSE),"!!!"))</f>
        <v>SKLADEM</v>
      </c>
      <c r="W6" s="641" t="str">
        <f>IF($W$17=$AF$1,"Lze objednat libovolný počet.",IFERROR(VLOOKUP("Lze objednat libovolný počet.",Jazyky_ceník!A:Q,MATCH(W17,Jazyky_ceník!A1:Q1,0),FALSE),"!!!"))</f>
        <v>Lze objednat libovolný počet.</v>
      </c>
      <c r="X6" s="641"/>
      <c r="Y6" s="512"/>
      <c r="Z6" s="659"/>
      <c r="AA6" s="508"/>
      <c r="AB6" s="261"/>
      <c r="AC6" s="642">
        <v>2</v>
      </c>
      <c r="AD6" s="628">
        <v>6</v>
      </c>
      <c r="AE6" s="515" t="s">
        <v>6734</v>
      </c>
      <c r="AF6" s="514" t="s">
        <v>8570</v>
      </c>
      <c r="AG6" s="514"/>
      <c r="AH6" s="516"/>
      <c r="AI6" s="513"/>
      <c r="AJ6" s="514"/>
      <c r="AK6" s="261"/>
      <c r="AL6" s="638" t="s">
        <v>12383</v>
      </c>
      <c r="AM6" s="261"/>
      <c r="AN6" s="517"/>
      <c r="AO6" s="380"/>
    </row>
    <row r="7" spans="1:53" s="263" customFormat="1" ht="12.95" hidden="1" customHeight="1">
      <c r="A7" s="800"/>
      <c r="B7" s="800"/>
      <c r="C7" s="800"/>
      <c r="D7" s="643" t="str">
        <f>IF($W$17=$AF$1,Jazyky_ceník!A89,IFERROR(VLOOKUP(Jazyky_ceník!A89,Jazyky_ceník!A:Q,MATCH($W$17,Jazyky_ceník!$A$1:$Q$1,0),FALSE),"---------------"))</f>
        <v>VEŠKERÉ OBJEDNÁVKY ZASÍLEJTE POUZE NA ADRESU:</v>
      </c>
      <c r="E7" s="643"/>
      <c r="F7" s="637"/>
      <c r="G7" s="261"/>
      <c r="H7" s="261"/>
      <c r="I7" s="629"/>
      <c r="J7" s="629">
        <v>120000</v>
      </c>
      <c r="K7" s="630"/>
      <c r="L7" s="630"/>
      <c r="M7" s="631">
        <v>-0.4</v>
      </c>
      <c r="N7" s="632">
        <f t="shared" si="0"/>
        <v>171428.57142857142</v>
      </c>
      <c r="O7" s="633">
        <v>30</v>
      </c>
      <c r="P7" s="509">
        <f t="shared" si="1"/>
        <v>0</v>
      </c>
      <c r="Q7" s="513"/>
      <c r="R7" s="261"/>
      <c r="S7" s="261" t="s">
        <v>12185</v>
      </c>
      <c r="T7" s="261"/>
      <c r="U7" s="654"/>
      <c r="V7" s="627" t="str">
        <f>V2&amp;" … "&amp;V1</f>
        <v>POSLEDNÍCH … VK</v>
      </c>
      <c r="W7" s="641" t="str">
        <f>IF($W$17=$AF$1,"Lze objednat maximálně toto množství.",IFERROR(VLOOKUP("Lze objednat maximálně toto množství.",Jazyky_ceník!A:Q,MATCH(W17,Jazyky_ceník!A1:Q1,0),FALSE),"!!!"))</f>
        <v>Lze objednat maximálně toto množství.</v>
      </c>
      <c r="X7" s="641"/>
      <c r="Y7" s="512"/>
      <c r="Z7" s="659"/>
      <c r="AA7" s="508"/>
      <c r="AB7" s="261"/>
      <c r="AC7" s="642">
        <v>1</v>
      </c>
      <c r="AD7" s="628">
        <v>7</v>
      </c>
      <c r="AE7" s="515" t="s">
        <v>6735</v>
      </c>
      <c r="AF7" s="514" t="s">
        <v>3092</v>
      </c>
      <c r="AG7" s="514"/>
      <c r="AH7" s="516"/>
      <c r="AI7" s="513"/>
      <c r="AJ7" s="514"/>
      <c r="AK7" s="261"/>
      <c r="AL7" s="261"/>
      <c r="AM7" s="261"/>
      <c r="AN7" s="517"/>
      <c r="AO7" s="380"/>
    </row>
    <row r="8" spans="1:53" s="263" customFormat="1" ht="12.95" customHeight="1">
      <c r="A8" s="800"/>
      <c r="B8" s="800"/>
      <c r="C8" s="800"/>
      <c r="D8" s="261"/>
      <c r="E8" s="644" t="str">
        <f>IF($W$17=$AF$1,"info@klasekpyrotechnics.cz",IFERROR(VLOOKUP("info@klasekpyrotechnics.cz",Jazyky_ceník!A:Q,MATCH(W17,Jazyky_ceník!A1:Q1,0),FALSE),"---------------"))</f>
        <v>info@klasekpyrotechnics.cz</v>
      </c>
      <c r="F8" s="637"/>
      <c r="G8" s="261"/>
      <c r="H8" s="261"/>
      <c r="I8" s="629"/>
      <c r="J8" s="629">
        <v>150000</v>
      </c>
      <c r="K8" s="630"/>
      <c r="L8" s="630"/>
      <c r="M8" s="631">
        <v>-0.45</v>
      </c>
      <c r="N8" s="632">
        <f t="shared" si="0"/>
        <v>250000</v>
      </c>
      <c r="O8" s="633">
        <v>40</v>
      </c>
      <c r="P8" s="509">
        <f t="shared" si="1"/>
        <v>0</v>
      </c>
      <c r="Q8" s="513"/>
      <c r="R8" s="261"/>
      <c r="S8" s="261"/>
      <c r="T8" s="261"/>
      <c r="U8" s="509"/>
      <c r="V8" s="627" t="str">
        <f>IF($W$17=$AF$1,"MÉNĚ NEŽ 1 VK!",IFERROR(VLOOKUP("MÉNĚ NEŽ 1 VK!",Jazyky_ceník!A:Q,MATCH(W17,Jazyky_ceník!A1:Q1,0),FALSE),"!!!"))</f>
        <v>MÉNĚ NEŽ 1 VK!</v>
      </c>
      <c r="W8" s="641" t="str">
        <f>IF($W$17=$AF$1,"Posledních pár kousků skladem.",IFERROR(VLOOKUP("Posledních pár kousků skladem.",Jazyky_ceník!A:Q,MATCH(W17,Jazyky_ceník!A1:Q1,0),FALSE),"!!!"))</f>
        <v>Posledních pár kousků skladem.</v>
      </c>
      <c r="X8" s="641"/>
      <c r="Y8" s="512"/>
      <c r="Z8" s="512"/>
      <c r="AA8" s="508"/>
      <c r="AB8" s="514"/>
      <c r="AC8" s="513" t="str">
        <f>IF($W$17=$AF$1,"Máte objednáno",IFERROR(VLOOKUP("Máte objednáno",Jazyky_ceník!A:Q,MATCH(W17,Jazyky_ceník!A1:Q1,0),FALSE),"!!!"))</f>
        <v>Máte objednáno</v>
      </c>
      <c r="AD8" s="628">
        <v>8</v>
      </c>
      <c r="AE8" s="515" t="s">
        <v>2789</v>
      </c>
      <c r="AF8" s="514" t="s">
        <v>8981</v>
      </c>
      <c r="AG8" s="514">
        <v>2</v>
      </c>
      <c r="AH8" s="516"/>
      <c r="AI8" s="513"/>
      <c r="AJ8" s="514"/>
      <c r="AK8" s="261"/>
      <c r="AL8" s="261"/>
      <c r="AM8" s="261"/>
      <c r="AN8" s="517"/>
      <c r="AO8" s="380"/>
    </row>
    <row r="9" spans="1:53" s="263" customFormat="1" ht="12.95" customHeight="1">
      <c r="A9" s="508"/>
      <c r="B9" s="513"/>
      <c r="C9" s="511"/>
      <c r="D9" s="510" t="str">
        <f>IF($W$17=$AF$1,Jazyky_ceník!A84,IFERROR(VLOOKUP(Jazyky_ceník!A84,Jazyky_ceník!A:Q,MATCH($W$17,Jazyky_ceník!$A$1:$Q$1,0),FALSE),"---------------"))</f>
        <v>Slevy jsou poskytovány při celoročním odběru a to od 01.09.2023 do 31.08.2024.</v>
      </c>
      <c r="E9" s="510"/>
      <c r="F9" s="510"/>
      <c r="G9" s="510"/>
      <c r="H9" s="510"/>
      <c r="I9" s="629"/>
      <c r="J9" s="629">
        <v>250000</v>
      </c>
      <c r="K9" s="630"/>
      <c r="L9" s="630"/>
      <c r="M9" s="631">
        <v>-0.48</v>
      </c>
      <c r="N9" s="632">
        <f t="shared" si="0"/>
        <v>454545.45454545453</v>
      </c>
      <c r="O9" s="633">
        <v>45</v>
      </c>
      <c r="P9" s="509">
        <f t="shared" si="1"/>
        <v>0</v>
      </c>
      <c r="Q9" s="513"/>
      <c r="R9" s="261"/>
      <c r="S9" s="261"/>
      <c r="T9" s="261"/>
      <c r="U9" s="509"/>
      <c r="V9" s="627" t="str">
        <f>IF($W$17=$AF$1,"VYPRODÁNO",IFERROR(VLOOKUP("VYPRODÁNO",Jazyky_ceník!A:Q,MATCH(W17,Jazyky_ceník!A1:Q1,0),FALSE),"!!!"))</f>
        <v>VYPRODÁNO</v>
      </c>
      <c r="W9" s="641" t="str">
        <f>IF($W$17=$AF$1,"Nelze v tuto chvíli objednat.",IFERROR(VLOOKUP("Nelze v tuto chvíli objednat.",Jazyky_ceník!A:Q,MATCH(W17,Jazyky_ceník!A1:Q1,0),FALSE),"!!!"))</f>
        <v>Nelze v tuto chvíli objednat.</v>
      </c>
      <c r="X9" s="641"/>
      <c r="Y9" s="512"/>
      <c r="Z9" s="512"/>
      <c r="AA9" s="508"/>
      <c r="AB9" s="645"/>
      <c r="AC9" s="513" t="str">
        <f>IF($W$17=$AF$1,"kartonů, které zabalíme na palety.",IFERROR(VLOOKUP("kartonů, které zabalíme na palety.",Jazyky_ceník!A:Q,MATCH(W17,Jazyky_ceník!A1:Q1,0),FALSE),"!!!"))</f>
        <v>kartonů, které zabalíme na palety.</v>
      </c>
      <c r="AD9" s="628">
        <v>9</v>
      </c>
      <c r="AE9" s="515" t="s">
        <v>6737</v>
      </c>
      <c r="AF9" s="514" t="s">
        <v>3093</v>
      </c>
      <c r="AG9" s="514"/>
      <c r="AH9" s="516"/>
      <c r="AI9" s="513"/>
      <c r="AJ9" s="514"/>
      <c r="AK9" s="261"/>
      <c r="AL9" s="261"/>
      <c r="AM9" s="261"/>
      <c r="AN9" s="517"/>
      <c r="AO9" s="380"/>
    </row>
    <row r="10" spans="1:53" s="263" customFormat="1" ht="12.95" customHeight="1">
      <c r="A10" s="508"/>
      <c r="B10" s="513"/>
      <c r="C10" s="511"/>
      <c r="D10" s="510" t="str">
        <f>IF($W$17=$AF$1,Jazyky_ceník!A85,IFERROR(VLOOKUP(Jazyky_ceník!A85,Jazyky_ceník!A:Q,MATCH($W$17,Jazyky_ceník!$A$1:$Q$1,0),FALSE),"---------------"))</f>
        <v>Přidělená sleva zákazníka se počítá na základě odběru od 01.09.2022 do 31.8.2023.</v>
      </c>
      <c r="E10" s="510"/>
      <c r="F10" s="510"/>
      <c r="G10" s="510"/>
      <c r="H10" s="510"/>
      <c r="I10" s="629"/>
      <c r="J10" s="629">
        <v>400000</v>
      </c>
      <c r="K10" s="630"/>
      <c r="L10" s="630"/>
      <c r="M10" s="631">
        <v>-0.5</v>
      </c>
      <c r="N10" s="632">
        <f t="shared" si="0"/>
        <v>769230.76923076925</v>
      </c>
      <c r="O10" s="633">
        <v>48</v>
      </c>
      <c r="P10" s="509">
        <f t="shared" si="1"/>
        <v>0</v>
      </c>
      <c r="Q10" s="513"/>
      <c r="R10" s="261"/>
      <c r="S10" s="261"/>
      <c r="T10" s="261"/>
      <c r="U10" s="509"/>
      <c r="V10" s="627" t="str">
        <f>IF($W$17=$AF$1,"NELZE OBJEDNAT!",IFERROR(VLOOKUP("NELZE OBJEDNAT!",Jazyky_ceník!A:Q,MATCH(W17,Jazyky_ceník!A1:Q1,0),FALSE),"!!!"))</f>
        <v>NELZE OBJEDNAT!</v>
      </c>
      <c r="W10" s="646" t="str">
        <f>IF($W$17=$AF$1,"Nelze v tuto chvíli objednat.",IFERROR(VLOOKUP("Nelze v tuto chvíli objednat.",Jazyky_ceník!A:Q,MATCH(W17,Jazyky_ceník!A1:Q1,0),FALSE),"!!!"))</f>
        <v>Nelze v tuto chvíli objednat.</v>
      </c>
      <c r="X10" s="646"/>
      <c r="Y10" s="512"/>
      <c r="Z10" s="512"/>
      <c r="AA10" s="508"/>
      <c r="AB10" s="514"/>
      <c r="AC10" s="513" t="str">
        <f>IF($W$17=$AF$1,"kartonů zboží s nakládkou na volno.",IFERROR(VLOOKUP("kartonů zboží s nakládkou na volno.",Jazyky_ceník!A:Q,MATCH(W17,Jazyky_ceník!A1:Q1,0),FALSE),"!!!"))</f>
        <v>kartonů zboží s nakládkou na volno.</v>
      </c>
      <c r="AD10" s="628">
        <v>10</v>
      </c>
      <c r="AE10" s="515" t="s">
        <v>6736</v>
      </c>
      <c r="AF10" s="514" t="s">
        <v>9834</v>
      </c>
      <c r="AG10" s="514"/>
      <c r="AH10" s="516"/>
      <c r="AI10" s="513"/>
      <c r="AJ10" s="514"/>
      <c r="AK10" s="261"/>
      <c r="AL10" s="261"/>
      <c r="AM10" s="261"/>
      <c r="AN10" s="517"/>
      <c r="AO10" s="380"/>
    </row>
    <row r="11" spans="1:53" s="263" customFormat="1" ht="12.95" customHeight="1">
      <c r="A11" s="508"/>
      <c r="B11" s="513"/>
      <c r="C11" s="511"/>
      <c r="D11" s="510" t="str">
        <f>IF($W$17=$AF$1,Jazyky_ceník!A86,IFERROR(VLOOKUP(Jazyky_ceník!A86,Jazyky_ceník!A:Q,MATCH($W$17,Jazyky_ceník!$A$1:$Q$1,0),FALSE),"---------------"))</f>
        <v xml:space="preserve">Pokud zákazník svými odběry v daném období překročí vlastní množstevní slevu (odběry se sčítají), </v>
      </c>
      <c r="E11" s="510"/>
      <c r="F11" s="510"/>
      <c r="G11" s="510"/>
      <c r="H11" s="510"/>
      <c r="I11" s="629"/>
      <c r="J11" s="629">
        <v>600000</v>
      </c>
      <c r="K11" s="630"/>
      <c r="L11" s="630"/>
      <c r="M11" s="631">
        <v>-0.52</v>
      </c>
      <c r="N11" s="632">
        <f t="shared" si="0"/>
        <v>1176470.588235294</v>
      </c>
      <c r="O11" s="633">
        <v>49</v>
      </c>
      <c r="P11" s="509">
        <f t="shared" si="1"/>
        <v>0</v>
      </c>
      <c r="Q11" s="513"/>
      <c r="R11" s="261"/>
      <c r="S11" s="261"/>
      <c r="T11" s="261"/>
      <c r="U11" s="509"/>
      <c r="V11" s="627"/>
      <c r="W11" s="513" t="s">
        <v>3141</v>
      </c>
      <c r="X11" s="513"/>
      <c r="Y11" s="512"/>
      <c r="Z11" s="512"/>
      <c r="AA11" s="508"/>
      <c r="AB11" s="514"/>
      <c r="AC11" s="513" t="str">
        <f>IF($W$17=$AF$1,"Objednáváte položky",IFERROR(VLOOKUP("Objednáváte položky",Jazyky_ceník!A:Q,MATCH(W17,Jazyky_ceník!A1:Q1,0),FALSE),"!!!"))</f>
        <v>Objednáváte položky</v>
      </c>
      <c r="AD11" s="628">
        <v>11</v>
      </c>
      <c r="AE11" s="515" t="s">
        <v>9836</v>
      </c>
      <c r="AF11" s="514" t="s">
        <v>9835</v>
      </c>
      <c r="AG11" s="514"/>
      <c r="AH11" s="516"/>
      <c r="AI11" s="513"/>
      <c r="AJ11" s="647"/>
      <c r="AK11" s="261"/>
      <c r="AL11" s="261"/>
      <c r="AM11" s="261"/>
      <c r="AN11" s="517"/>
      <c r="AO11" s="380"/>
    </row>
    <row r="12" spans="1:53" s="263" customFormat="1" ht="12.95" customHeight="1">
      <c r="A12" s="508"/>
      <c r="B12" s="513"/>
      <c r="C12" s="788" t="s">
        <v>14836</v>
      </c>
      <c r="D12" s="510" t="str">
        <f>IF($W$17=$AF$1,Jazyky_ceník!A87,IFERROR(VLOOKUP(Jazyky_ceník!A87,Jazyky_ceník!A:Q,MATCH($W$17,Jazyky_ceník!$A$1:$Q$1,0),FALSE),"---------------"))</f>
        <v>dostane za dané období příslušnou slevu i zpětně. Odběrem zboží se myslí částka bez DPH po odečtení slevy.</v>
      </c>
      <c r="E12" s="510"/>
      <c r="F12" s="510"/>
      <c r="G12" s="510"/>
      <c r="H12" s="510"/>
      <c r="I12" s="629"/>
      <c r="J12" s="629">
        <v>800000</v>
      </c>
      <c r="K12" s="630"/>
      <c r="L12" s="630"/>
      <c r="M12" s="631">
        <v>-0.54</v>
      </c>
      <c r="N12" s="648">
        <f>(J12/(100-O12))*100</f>
        <v>1600000</v>
      </c>
      <c r="O12" s="633">
        <v>50</v>
      </c>
      <c r="P12" s="509">
        <f t="shared" si="1"/>
        <v>0</v>
      </c>
      <c r="Q12" s="513"/>
      <c r="R12" s="261"/>
      <c r="S12" s="261"/>
      <c r="T12" s="261"/>
      <c r="U12" s="509"/>
      <c r="V12" s="627"/>
      <c r="W12" s="513" t="s">
        <v>3141</v>
      </c>
      <c r="X12" s="513"/>
      <c r="Y12" s="512"/>
      <c r="Z12" s="512"/>
      <c r="AA12" s="508"/>
      <c r="AB12" s="514"/>
      <c r="AC12" s="513" t="str">
        <f>IF($W$17=$AF$1,"které nejsou skladem, ostraňte je z objednávky!",IFERROR(VLOOKUP("které nejsou skladem, ostraňte je z objednávky!",Jazyky_ceník!A:Q,MATCH(W17,Jazyky_ceník!A1:Q1,0),FALSE),"!!!"))</f>
        <v>které nejsou skladem, ostraňte je z objednávky!</v>
      </c>
      <c r="AD12" s="628">
        <v>12</v>
      </c>
      <c r="AE12" s="515" t="s">
        <v>13675</v>
      </c>
      <c r="AF12" s="514" t="s">
        <v>9833</v>
      </c>
      <c r="AG12" s="514" t="s">
        <v>2364</v>
      </c>
      <c r="AH12" s="516"/>
      <c r="AI12" s="513"/>
      <c r="AJ12" s="514"/>
      <c r="AK12" s="261"/>
      <c r="AL12" s="261"/>
      <c r="AM12" s="261"/>
      <c r="AN12" s="681" t="s">
        <v>14684</v>
      </c>
      <c r="AO12" s="380"/>
    </row>
    <row r="13" spans="1:53" s="263" customFormat="1" ht="12.95" hidden="1" customHeight="1">
      <c r="A13" s="508"/>
      <c r="B13" s="447"/>
      <c r="C13" s="511"/>
      <c r="D13" s="510" t="str">
        <f>IF($W$17=$AF$1,Jazyky_ceník!A88,IFERROR(VLOOKUP(Jazyky_ceník!A88,Jazyky_ceník!A:Q,MATCH($W$17,Jazyky_ceník!$A$1:$Q$1,0),FALSE),"---------------"))</f>
        <v>Vepsáním vaší slevy do buňky D19 se ceník automaticky přepočítá, případně se sleva vypčte sama podle aktuální objednávky.</v>
      </c>
      <c r="E13" s="510"/>
      <c r="F13" s="510"/>
      <c r="G13" s="510"/>
      <c r="H13" s="510"/>
      <c r="I13" s="454"/>
      <c r="J13" s="533">
        <v>1000000</v>
      </c>
      <c r="K13" s="570" t="s">
        <v>3085</v>
      </c>
      <c r="L13" s="549"/>
      <c r="M13" s="550"/>
      <c r="N13" s="532">
        <f t="shared" ref="N13:N15" si="2">(J13/(100-O13))*100</f>
        <v>2083333.3333333333</v>
      </c>
      <c r="O13" s="465">
        <v>52</v>
      </c>
      <c r="P13" s="465">
        <f t="shared" si="1"/>
        <v>0</v>
      </c>
      <c r="Q13" s="512"/>
      <c r="R13" s="509"/>
      <c r="S13" s="509"/>
      <c r="T13" s="509"/>
      <c r="U13" s="654"/>
      <c r="V13" s="509"/>
      <c r="W13" s="513" t="s">
        <v>3152</v>
      </c>
      <c r="X13" s="447"/>
      <c r="Y13" s="473"/>
      <c r="Z13" s="659"/>
      <c r="AA13" s="508"/>
      <c r="AB13" s="514"/>
      <c r="AC13" s="489" t="s">
        <v>12107</v>
      </c>
      <c r="AD13" s="488">
        <v>13</v>
      </c>
      <c r="AE13" s="515"/>
      <c r="AF13" s="514"/>
      <c r="AG13" s="514" t="s">
        <v>2890</v>
      </c>
      <c r="AH13" s="516" t="s">
        <v>2413</v>
      </c>
      <c r="AI13" s="513"/>
      <c r="AJ13" s="514"/>
      <c r="AK13" s="261"/>
      <c r="AL13" s="261"/>
      <c r="AM13" s="261"/>
      <c r="AN13" s="517"/>
      <c r="AO13" s="380"/>
    </row>
    <row r="14" spans="1:53" s="264" customFormat="1" ht="15" hidden="1" customHeight="1">
      <c r="A14" s="265"/>
      <c r="B14" s="447"/>
      <c r="D14" s="263"/>
      <c r="E14" s="267"/>
      <c r="F14" s="268"/>
      <c r="G14" s="269"/>
      <c r="H14" s="270"/>
      <c r="I14" s="455"/>
      <c r="J14" s="533">
        <v>1500000</v>
      </c>
      <c r="K14" s="571"/>
      <c r="L14" s="551"/>
      <c r="M14" s="550"/>
      <c r="N14" s="532">
        <f t="shared" si="2"/>
        <v>3260869.5652173911</v>
      </c>
      <c r="O14" s="465">
        <v>54</v>
      </c>
      <c r="P14" s="465">
        <f t="shared" si="1"/>
        <v>0</v>
      </c>
      <c r="Q14" s="272"/>
      <c r="R14" s="273"/>
      <c r="S14" s="273"/>
      <c r="T14" s="273"/>
      <c r="U14" s="655"/>
      <c r="V14" s="273"/>
      <c r="W14" s="274"/>
      <c r="X14" s="274"/>
      <c r="Y14" s="272"/>
      <c r="Z14" s="660"/>
      <c r="AA14" s="275"/>
      <c r="AB14" s="276"/>
      <c r="AC14" s="277"/>
      <c r="AD14" s="278">
        <v>14</v>
      </c>
      <c r="AE14" s="279"/>
      <c r="AF14" s="276"/>
      <c r="AG14" s="276" t="s">
        <v>2891</v>
      </c>
      <c r="AH14" s="280" t="s">
        <v>2889</v>
      </c>
      <c r="AI14" s="266"/>
      <c r="AJ14" s="281"/>
      <c r="AK14" s="263"/>
      <c r="AL14" s="263"/>
      <c r="AM14" s="263"/>
      <c r="AN14" s="282"/>
      <c r="AO14" s="262"/>
      <c r="AP14" s="263"/>
      <c r="AQ14" s="263"/>
      <c r="AR14" s="263"/>
      <c r="AS14" s="263"/>
      <c r="AT14" s="263"/>
      <c r="AU14" s="263"/>
      <c r="AV14" s="263"/>
      <c r="AW14" s="263"/>
      <c r="AX14" s="263"/>
      <c r="AY14" s="263"/>
      <c r="AZ14" s="263"/>
      <c r="BA14" s="263"/>
    </row>
    <row r="15" spans="1:53" s="264" customFormat="1" ht="15" hidden="1" customHeight="1">
      <c r="A15" s="265"/>
      <c r="B15" s="447"/>
      <c r="C15" s="267"/>
      <c r="D15" s="263"/>
      <c r="E15" s="267"/>
      <c r="F15" s="268"/>
      <c r="G15" s="269"/>
      <c r="H15" s="270"/>
      <c r="I15" s="455"/>
      <c r="J15" s="533">
        <v>3000000</v>
      </c>
      <c r="K15" s="571"/>
      <c r="L15" s="551"/>
      <c r="M15" s="552" t="s">
        <v>2976</v>
      </c>
      <c r="N15" s="532">
        <f t="shared" si="2"/>
        <v>6666666.666666667</v>
      </c>
      <c r="O15" s="465">
        <v>55</v>
      </c>
      <c r="P15" s="464">
        <f t="shared" si="1"/>
        <v>0</v>
      </c>
      <c r="Q15" s="272" t="s">
        <v>2977</v>
      </c>
      <c r="R15" s="273"/>
      <c r="S15" s="273"/>
      <c r="T15" s="273"/>
      <c r="U15" s="655"/>
      <c r="V15" s="273"/>
      <c r="W15" s="274"/>
      <c r="X15" s="274"/>
      <c r="Y15" s="283"/>
      <c r="Z15" s="661"/>
      <c r="AA15" s="275"/>
      <c r="AB15" s="276"/>
      <c r="AC15" s="284"/>
      <c r="AD15" s="284"/>
      <c r="AE15" s="285"/>
      <c r="AF15" s="276"/>
      <c r="AG15" s="276"/>
      <c r="AH15" s="280"/>
      <c r="AI15" s="266"/>
      <c r="AJ15" s="281"/>
      <c r="AK15" s="263"/>
      <c r="AL15" s="263"/>
      <c r="AM15" s="263"/>
      <c r="AN15" s="282"/>
      <c r="AO15" s="262"/>
      <c r="AP15" s="263"/>
      <c r="AQ15" s="263"/>
      <c r="AR15" s="263"/>
      <c r="AS15" s="263"/>
      <c r="AT15" s="263"/>
      <c r="AU15" s="263"/>
      <c r="AV15" s="263"/>
      <c r="AW15" s="263"/>
      <c r="AX15" s="263"/>
      <c r="AY15" s="263"/>
      <c r="AZ15" s="263"/>
      <c r="BA15" s="263"/>
    </row>
    <row r="16" spans="1:53" ht="15" customHeight="1" thickBot="1">
      <c r="A16" s="286" t="s">
        <v>11954</v>
      </c>
      <c r="B16" s="448"/>
      <c r="C16" s="287" t="str">
        <f>A17</f>
        <v>DOPRODEJ</v>
      </c>
      <c r="D16" s="804" t="str">
        <f>D7</f>
        <v>VEŠKERÉ OBJEDNÁVKY ZASÍLEJTE POUZE NA ADRESU:</v>
      </c>
      <c r="E16" s="804"/>
      <c r="F16" s="804"/>
      <c r="G16" s="289" t="str">
        <f>E8</f>
        <v>info@klasekpyrotechnics.cz</v>
      </c>
      <c r="H16" s="290"/>
      <c r="I16" s="456"/>
      <c r="J16" s="291"/>
      <c r="K16" s="501"/>
      <c r="L16" s="292"/>
      <c r="M16" s="293" t="str">
        <f>IF($W$17=$AF$1,"Slevový systém na řádku 1194",IFERROR(VLOOKUP("Slevový systém na řádku 1194",Jazyky_ceník!A:Q,MATCH(W17,Jazyky_ceník!A1:Q1,0),FALSE),"---------------"))</f>
        <v>Slevový systém na řádku 1194</v>
      </c>
      <c r="N16" s="466"/>
      <c r="O16" s="467"/>
      <c r="P16" s="468"/>
      <c r="Q16" s="294"/>
      <c r="R16" s="295"/>
      <c r="S16" s="295"/>
      <c r="T16" s="296"/>
      <c r="U16" s="296"/>
      <c r="V16" s="297"/>
      <c r="W16" s="592" t="str">
        <f>IF(W17=AF8,"Zastrzegamy sobie możliwość zmian cen w dowolnym momencie w przypadku znacznych zmian kursów walut.","")</f>
        <v/>
      </c>
      <c r="X16" s="474"/>
      <c r="Y16" s="475"/>
      <c r="Z16" s="298"/>
      <c r="AA16" s="298"/>
      <c r="AB16" s="299"/>
      <c r="AC16" s="490"/>
      <c r="AD16" s="491"/>
      <c r="AE16" s="300"/>
      <c r="AF16" s="299"/>
      <c r="AG16" s="299"/>
      <c r="AH16" s="301"/>
      <c r="AI16" s="292"/>
      <c r="AJ16" s="302"/>
      <c r="AK16" s="288"/>
      <c r="AL16" s="288"/>
      <c r="AM16" s="288"/>
      <c r="AN16" s="303"/>
      <c r="AO16" s="380"/>
      <c r="AP16" s="304"/>
      <c r="AQ16" s="304"/>
    </row>
    <row r="17" spans="1:53" ht="15" customHeight="1" thickTop="1">
      <c r="A17" s="842" t="str">
        <f>IF($W$17=$AF$1,Jazyky_ceník!A110,IFERROR(VLOOKUP(Jazyky_ceník!A110,Jazyky_ceník!A:Q,MATCH(W17,Jazyky_ceník!A1:Q1,0),FALSE),"---------------"))</f>
        <v>DOPRODEJ</v>
      </c>
      <c r="B17" s="449" t="s">
        <v>12277</v>
      </c>
      <c r="C17" s="812" t="str">
        <f>IF($W$17=$AF$1,Jazyky_ceník!A26,IFERROR(VLOOKUP(Jazyky_ceník!A26,Jazyky_ceník!A:Q,MATCH(W17,Jazyky_ceník!A1:Q1,0),FALSE),"---------------"))</f>
        <v>Katalogové číslo</v>
      </c>
      <c r="D17" s="801" t="str">
        <f>IF($W$17=$AF$1,"Název produktu",IFERROR(VLOOKUP("Název produktu",Jazyky_ceník!A:Q,MATCH(W17,Jazyky_ceník!A1:Q1,0),FALSE),"---------------"))</f>
        <v>Název produktu</v>
      </c>
      <c r="E17" s="812" t="str">
        <f>IF($W$17=$AF$1,"Balení v kartonu",IFERROR(VLOOKUP("Balení v kartonu",Jazyky_ceník!A:Q,MATCH(W17,Jazyky_ceník!A1:Q1,0),FALSE),"---------------"))</f>
        <v>Balení v kartonu</v>
      </c>
      <c r="F17" s="306" t="str">
        <f>IF($W$17=$AF$1,"Cena v CZK",IFERROR(VLOOKUP("Cena v CZK",Jazyky_ceník!A:Q,MATCH(W17,Jazyky_ceník!A1:Q1,0),FALSE),"!!!"))</f>
        <v>Cena v CZK</v>
      </c>
      <c r="G17" s="679" t="str">
        <f>IF($W$17=$AF$1,"Cena v CZK",IFERROR(VLOOKUP("Cena v CZK",Jazyky_ceník!A:Q,MATCH(W17,Jazyky_ceník!A1:Q1,0),FALSE),"!!!"))</f>
        <v>Cena v CZK</v>
      </c>
      <c r="H17" s="308" t="str">
        <f>IF($W$17=$AF$1,IF(G19=1,"Cena EUR","Cena GBP"),IFERROR(VLOOKUP(AS3,Jazyky_ceník!A:Q,MATCH(W17,Jazyky_ceník!A1:Q1,0),FALSE),"!!!"))</f>
        <v>Cena EUR</v>
      </c>
      <c r="I17" s="457" t="s">
        <v>2360</v>
      </c>
      <c r="J17" s="822" t="str">
        <f>IF($W$17=$AF$1,"Kategorie",IFERROR(VLOOKUP("Kategorie",Jazyky_ceník!A:Q,MATCH(W17,Jazyky_ceník!A1:Q1,0),FALSE),"---------------"))</f>
        <v>Kategorie</v>
      </c>
      <c r="K17" s="502" t="s">
        <v>11859</v>
      </c>
      <c r="L17" s="679" t="str">
        <f>IF($W$17=$AF$1,"Certifikát skladování",IFERROR(VLOOKUP("Certifikát skladování",Jazyky_ceník!A:Q,MATCH(W17,Jazyky_ceník!A1:Q1,0),FALSE),"!!!"))</f>
        <v>Certifikát skladování</v>
      </c>
      <c r="M17" s="822" t="s">
        <v>12341</v>
      </c>
      <c r="N17" s="469" t="s">
        <v>3</v>
      </c>
      <c r="O17" s="469" t="s">
        <v>4</v>
      </c>
      <c r="P17" s="469" t="s">
        <v>2394</v>
      </c>
      <c r="Q17" s="824" t="str">
        <f>IF($W$17=$AF$1,"Jazykové mutace",IFERROR(VLOOKUP("Jazykové mutace",Jazyky_ceník!A:Q,MATCH(W17,Jazyky_ceník!A1:Q1,0),FALSE),"---------------"))</f>
        <v>Jazykové mutace</v>
      </c>
      <c r="R17" s="825"/>
      <c r="S17" s="393" t="str">
        <f>IF($W$17=$AF$1,"Vrchní strana",IFERROR(VLOOKUP("Design",Jazyky_ceník!A:Q,MATCH(W17,Jazyky_ceník!A1:Q1,0),FALSE),"!!!"))</f>
        <v>Vrchní strana</v>
      </c>
      <c r="T17" s="409" t="str">
        <f>IF($W$17=$AF$1,"Trvání efektu",IFERROR(VLOOKUP("Trvání efektu",Jazyky_ceník!A:Q,MATCH(W17,Jazyky_ceník!A1:Q1,0),FALSE),"!!!"))</f>
        <v>Trvání efektu</v>
      </c>
      <c r="U17" s="656" t="str">
        <f>IF($W$17=$AF$1,"Výška",IFERROR(VLOOKUP("Výška",Jazyky_ceník!A:Q,MATCH(W17,Jazyky_ceník!A1:Q1,0),FALSE),"!!!"))</f>
        <v>Výška</v>
      </c>
      <c r="V17" s="653" t="str">
        <f>IF($W$17=$AF$1,"Šířka",IFERROR(VLOOKUP("Šířka",Jazyky_ceník!A:Q,MATCH(W17,Jazyky_ceník!A1:Q1,0),FALSE),"!!!"))</f>
        <v>Šířka</v>
      </c>
      <c r="W17" s="818" t="str">
        <f>LOWER(VLOOKUP(AC7,AD1:AF14,3,FALSE))</f>
        <v>čeština</v>
      </c>
      <c r="X17" s="476"/>
      <c r="Y17" s="477"/>
      <c r="Z17" s="858" t="s">
        <v>13567</v>
      </c>
      <c r="AA17" s="822" t="str">
        <f>IF($W$17=$AF$1,"Počet kartonů na paletě",IFERROR(VLOOKUP("Počet kartonů na paletě",Jazyky_ceník!A:Q,MATCH(W17,Jazyky_ceník!A1:Q1,0),FALSE),"---------------"))</f>
        <v>Počet kartonů na paletě</v>
      </c>
      <c r="AB17" s="826" t="str">
        <f>IF($W$17=$AF$1,"Objednáno kartonů",IFERROR(VLOOKUP("Objednáno kartonů",Jazyky_ceník!A:Q,MATCH(W17,Jazyky_ceník!A1:Q1,0),FALSE),"---------------"))</f>
        <v>Objednáno kartonů</v>
      </c>
      <c r="AC17" s="492" t="s">
        <v>2362</v>
      </c>
      <c r="AD17" s="829" t="str">
        <f>IF($W$17=$AF$1,"Skladová dostupnost",IFERROR(VLOOKUP("Skladová dostupnost",Jazyky_ceník!A:Q,MATCH(W17,Jazyky_ceník!A1:Q1,0),FALSE),"---------------"))</f>
        <v>Skladová dostupnost</v>
      </c>
      <c r="AE17" s="801" t="str">
        <f>IF($W$17=$AF$1,"Skladová dostupnost",IFERROR(VLOOKUP("Skladová dostupnost",Jazyky_ceník!A:Q,MATCH(W17,Jazyky_ceník!A1:Q1,0),FALSE),"---------------"))</f>
        <v>Skladová dostupnost</v>
      </c>
      <c r="AF17" s="307" t="str">
        <f>IF($W$17=$AF$1,"celkem",IFERROR(VLOOKUP("celkem",Jazyky_ceník!A:Q,MATCH(W17,Jazyky_ceník!A1:Q1,0),FALSE),"!!!"))</f>
        <v>celkem</v>
      </c>
      <c r="AG17" s="307" t="str">
        <f>IF($W$17=$AF$1,"celkem",IFERROR(VLOOKUP("celkem",Jazyky_ceník!A:Q,MATCH(W17,Jazyky_ceník!A1:Q1,0),FALSE),"!!!"))</f>
        <v>celkem</v>
      </c>
      <c r="AH17" s="309" t="str">
        <f>IF($W$17=$AF$1,"celkem",IFERROR(VLOOKUP("celkem",Jazyky_ceník!A:Q,MATCH(W17,Jazyky_ceník!A1:Q1,0),FALSE),"!!!"))</f>
        <v>celkem</v>
      </c>
      <c r="AI17" s="812" t="str">
        <f>IF($W$17=$AF$1,"celkem",IFERROR(VLOOKUP("celkem",Jazyky_ceník!A:Q,MATCH($W$17,Jazyky_ceník!A1:Q1,0),FALSE),"---------------"))&amp;" "&amp;AI1194</f>
        <v>celkem [kg]</v>
      </c>
      <c r="AJ17" s="812" t="str">
        <f>IF($W$17=$AF$1,"celkem",IFERROR(VLOOKUP("celkem",Jazyky_ceník!A:Q,MATCH($W$17,Jazyky_ceník!A1:Q1,0),FALSE),"---------------"))&amp;" "&amp;AJ1194</f>
        <v>celkem [m3]</v>
      </c>
      <c r="AK17" s="812" t="s">
        <v>3133</v>
      </c>
      <c r="AL17" s="812" t="s">
        <v>3134</v>
      </c>
      <c r="AM17" s="812" t="s">
        <v>3135</v>
      </c>
      <c r="AN17" s="839" t="str">
        <f>IF($W$17=$AF$1,"Celkem
NEM [kg]",IFERROR(VLOOKUP("Celkem
NEM [kg]",Jazyky_ceník!A:Q,MATCH(W17,Jazyky_ceník!A1:Q1,0),FALSE),"---------------"))</f>
        <v>Celkem
NEM [kg]</v>
      </c>
      <c r="AO17" s="380"/>
      <c r="AP17" s="310"/>
      <c r="AQ17" s="310"/>
    </row>
    <row r="18" spans="1:53" ht="15" customHeight="1" thickBot="1">
      <c r="A18" s="843"/>
      <c r="B18" s="450" t="s">
        <v>15</v>
      </c>
      <c r="C18" s="817"/>
      <c r="D18" s="802"/>
      <c r="E18" s="817"/>
      <c r="F18" s="311" t="str">
        <f>IF($W$17=$AF$1,"před slevou",IFERROR(VLOOKUP("před slevou",Jazyky_ceník!A:Q,MATCH(W17,Jazyky_ceník!A1:Q1,0),FALSE),"!!!"))</f>
        <v>před slevou</v>
      </c>
      <c r="G18" s="680" t="str">
        <f>IF($W$17=$AF$1,"po slevě",IFERROR(VLOOKUP("po slevě",Jazyky_ceník!A:Q,MATCH(W17,Jazyky_ceník!A1:Q1,0),FALSE),"!!!"))</f>
        <v>po slevě</v>
      </c>
      <c r="H18" s="312" t="str">
        <f>IF($W$17=$AF$1,"po slevě",IFERROR(VLOOKUP("po slevě",Jazyky_ceník!A:Q,MATCH(W17,Jazyky_ceník!A1:Q1,0),FALSE),"!!!"))</f>
        <v>po slevě</v>
      </c>
      <c r="I18" s="458" t="s">
        <v>2361</v>
      </c>
      <c r="J18" s="823"/>
      <c r="K18" s="503" t="s">
        <v>11860</v>
      </c>
      <c r="L18" s="680" t="str">
        <f>IF($W$17=$AF$1,"v Německu",IFERROR(VLOOKUP("v Německu",Jazyky_ceník!A:Q,MATCH(W17,Jazyky_ceník!A1:Q1,0),FALSE),"!!!"))</f>
        <v>v Německu</v>
      </c>
      <c r="M18" s="823"/>
      <c r="N18" s="470" t="s">
        <v>2392</v>
      </c>
      <c r="O18" s="470" t="s">
        <v>2393</v>
      </c>
      <c r="P18" s="470" t="s">
        <v>2395</v>
      </c>
      <c r="Q18" s="410" t="str">
        <f>IF($W$17=$AF$1,"velkého balení",IFERROR(VLOOKUP("velkého balení",Jazyky_ceník!A:Q,MATCH(W17,Jazyky_ceník!A1:Q1,0),FALSE),"!!!"))</f>
        <v>velkého balení</v>
      </c>
      <c r="R18" s="410" t="str">
        <f>IF($W$17=$AF$1,"malého balení",IFERROR(VLOOKUP("malého balení",Jazyky_ceník!A:Q,MATCH(W17,Jazyky_ceník!A1:Q1,0),FALSE),"!!!"))</f>
        <v>malého balení</v>
      </c>
      <c r="S18" s="410" t="str">
        <f>IF($W$17=$AF$1,"baterie",IFERROR(VLOOKUP("horního víka",Jazyky_ceník!A:Q,MATCH(W17,Jazyky_ceník!A1:Q1,0),FALSE),"!!!"))</f>
        <v>baterie</v>
      </c>
      <c r="T18" s="410" t="str">
        <f>IF($W$17=$AF$1,"čas v sekundách",IFERROR(VLOOKUP("čas v sekundách",Jazyky_ceník!A:Q,MATCH(W17,Jazyky_ceník!A1:Q1,0),FALSE),"!!!"))</f>
        <v>čas v sekundách</v>
      </c>
      <c r="U18" s="861" t="str">
        <f>IF($W$17=$AF$1,"Efektu",IFERROR(VLOOKUP("Efektu",Jazyky_ceník!A:Q,MATCH(W17,Jazyky_ceník!A1:Q1,0),FALSE),"!!!"))&amp;" [m]"</f>
        <v>Efektu [m]</v>
      </c>
      <c r="V18" s="862"/>
      <c r="W18" s="819"/>
      <c r="X18" s="476"/>
      <c r="Y18" s="478"/>
      <c r="Z18" s="859"/>
      <c r="AA18" s="837"/>
      <c r="AB18" s="827"/>
      <c r="AC18" s="493" t="s">
        <v>2363</v>
      </c>
      <c r="AD18" s="830"/>
      <c r="AE18" s="802"/>
      <c r="AF18" s="313" t="s">
        <v>2890</v>
      </c>
      <c r="AG18" s="313" t="str">
        <f>IF(W17=AF8,"PLN","CZK")</f>
        <v>CZK</v>
      </c>
      <c r="AH18" s="314" t="str">
        <f>IF(W17=AF8,"PLN",IF(G19=1,"EUR","GBP"))</f>
        <v>EUR</v>
      </c>
      <c r="AI18" s="813"/>
      <c r="AJ18" s="815"/>
      <c r="AK18" s="813"/>
      <c r="AL18" s="813"/>
      <c r="AM18" s="813"/>
      <c r="AN18" s="840"/>
      <c r="AO18" s="380"/>
      <c r="AP18" s="310"/>
      <c r="AQ18" s="310"/>
    </row>
    <row r="19" spans="1:53" ht="15" customHeight="1" thickTop="1" thickBot="1">
      <c r="A19" s="315" t="s">
        <v>2906</v>
      </c>
      <c r="B19" s="451">
        <f>(100-D19)/100</f>
        <v>1</v>
      </c>
      <c r="C19" s="316" t="str">
        <f>IF($W$17=$AF$1,"Sleva v %",IFERROR(VLOOKUP("Sleva v %",Jazyky_ceník!A:Q,MATCH(W17,Jazyky_ceník!A1:Q1,0),FALSE),"!!!"))</f>
        <v>Sleva v %</v>
      </c>
      <c r="D19" s="687">
        <f>P15</f>
        <v>0</v>
      </c>
      <c r="E19" s="317" t="str">
        <f>IF($W$17=$AF$1,"Kurz",IFERROR(VLOOKUP("Kurz",Jazyky_ceník!A:Q,MATCH(W17,Jazyky_ceník!A1:Q1,0),FALSE),"!!!"))&amp;":"</f>
        <v>Kurz:</v>
      </c>
      <c r="F19" s="686">
        <f>IF(W17=AF8,Jazyky_ceník!D2,IF(G19=1,IF(Act_Kurs!H1-26&gt;0,26,Act_Kurs!H1),Act_Kurs_libry!H1))</f>
        <v>24.608899999999998</v>
      </c>
      <c r="G19" s="704">
        <v>1</v>
      </c>
      <c r="H19" s="820" t="str">
        <f>IF($W$17=$AF$1,"(vyplňuje se automaticky)",IFERROR(VLOOKUP("(vyplňuje se automaticky)",Jazyky_ceník!A:Q,MATCH(W17,Jazyky_ceník!A1:Q1,0),FALSE),"---------------"))</f>
        <v>(vyplňuje se automaticky)</v>
      </c>
      <c r="I19" s="820"/>
      <c r="J19" s="820"/>
      <c r="K19" s="820"/>
      <c r="L19" s="821"/>
      <c r="M19" s="832" t="str">
        <f>IF($W$17=$AF$1,"Datum aktualizace ceníku:",IFERROR(VLOOKUP("Datum aktualizace ceníku:",Jazyky_ceník!A:Q,MATCH(W17,Jazyky_ceník!A1:Q1,0),FALSE),"---------------"))</f>
        <v>Datum aktualizace ceníku:</v>
      </c>
      <c r="N19" s="833"/>
      <c r="O19" s="833"/>
      <c r="P19" s="833"/>
      <c r="Q19" s="833"/>
      <c r="R19" s="834">
        <f>IFERROR(VLOOKUP("Datum:",[1]List1!$A:$D,2,FALSE),"Pozor! Ceník je offline!")</f>
        <v>45358.574247685188</v>
      </c>
      <c r="S19" s="835"/>
      <c r="T19" s="835"/>
      <c r="U19" s="835"/>
      <c r="V19" s="836"/>
      <c r="W19" s="318" t="str">
        <f>IF($W$17=$AF$1,"Popis efektu",IFERROR(VLOOKUP("Popis efektu",Jazyky_ceník!A:Q,MATCH(W17,Jazyky_ceník!A1:Q1,0),FALSE),"!!!"))</f>
        <v>Popis efektu</v>
      </c>
      <c r="X19" s="479"/>
      <c r="Y19" s="480"/>
      <c r="Z19" s="860"/>
      <c r="AA19" s="838"/>
      <c r="AB19" s="828"/>
      <c r="AC19" s="494"/>
      <c r="AD19" s="831"/>
      <c r="AE19" s="857"/>
      <c r="AF19" s="319" t="str">
        <f>IF($W$17=$AF$1,"(bez DPH)",IFERROR(VLOOKUP("(bez DPH)",Jazyky_ceník!A:Q,MATCH(W17,Jazyky_ceník!A1:Q1,0),FALSE),"!!!"))</f>
        <v>(bez DPH)</v>
      </c>
      <c r="AG19" s="319" t="str">
        <f>IF($W$17=$AF$1,"(vč. DPH)",IFERROR(VLOOKUP("(vč. DPH)",Jazyky_ceník!A:Q,MATCH(W17,Jazyky_ceník!A1:Q1,0),FALSE),"!!!"))</f>
        <v>(vč. DPH)</v>
      </c>
      <c r="AH19" s="320" t="str">
        <f>IF($W$17=$AF$1,"(bez DPH)",IFERROR(VLOOKUP("(bez DPH)",Jazyky_ceník!A:Q,MATCH(W17,Jazyky_ceník!A1:Q1,0),FALSE),"!!!"))</f>
        <v>(bez DPH)</v>
      </c>
      <c r="AI19" s="814"/>
      <c r="AJ19" s="816"/>
      <c r="AK19" s="814"/>
      <c r="AL19" s="814"/>
      <c r="AM19" s="814"/>
      <c r="AN19" s="841"/>
      <c r="AO19" s="380"/>
      <c r="AP19" s="321"/>
      <c r="AQ19" s="321"/>
    </row>
    <row r="20" spans="1:53" ht="13.5" customHeight="1" thickTop="1">
      <c r="A20" s="709" t="s">
        <v>12860</v>
      </c>
      <c r="B20" s="520" t="s">
        <v>12861</v>
      </c>
      <c r="C20" s="667" t="s">
        <v>14404</v>
      </c>
      <c r="D20" s="668" t="s">
        <v>12385</v>
      </c>
      <c r="E20" s="669" t="s">
        <v>12386</v>
      </c>
      <c r="F20" s="670" t="s">
        <v>2890</v>
      </c>
      <c r="G20" s="669" t="s">
        <v>12387</v>
      </c>
      <c r="H20" s="669" t="s">
        <v>12388</v>
      </c>
      <c r="I20" s="671" t="s">
        <v>12403</v>
      </c>
      <c r="J20" s="672" t="s">
        <v>12389</v>
      </c>
      <c r="K20" s="673" t="s">
        <v>12404</v>
      </c>
      <c r="L20" s="710" t="s">
        <v>12862</v>
      </c>
      <c r="M20" s="674" t="s">
        <v>12341</v>
      </c>
      <c r="N20" s="675" t="s">
        <v>3</v>
      </c>
      <c r="O20" s="675" t="s">
        <v>12405</v>
      </c>
      <c r="P20" s="675" t="s">
        <v>12406</v>
      </c>
      <c r="Q20" s="675" t="s">
        <v>12390</v>
      </c>
      <c r="R20" s="676" t="s">
        <v>12391</v>
      </c>
      <c r="S20" s="677" t="s">
        <v>12392</v>
      </c>
      <c r="T20" s="677" t="s">
        <v>12393</v>
      </c>
      <c r="U20" s="677" t="s">
        <v>13853</v>
      </c>
      <c r="V20" s="677" t="s">
        <v>13854</v>
      </c>
      <c r="W20" s="678" t="s">
        <v>12395</v>
      </c>
      <c r="X20" s="711" t="s">
        <v>12863</v>
      </c>
      <c r="Y20" s="666" t="s">
        <v>12864</v>
      </c>
      <c r="Z20" s="678" t="s">
        <v>12394</v>
      </c>
      <c r="AA20" s="669" t="s">
        <v>12396</v>
      </c>
      <c r="AB20" s="670" t="s">
        <v>14027</v>
      </c>
      <c r="AC20" s="665" t="s">
        <v>12407</v>
      </c>
      <c r="AD20" s="665" t="s">
        <v>12865</v>
      </c>
      <c r="AE20" s="669" t="s">
        <v>12384</v>
      </c>
      <c r="AF20" s="670" t="s">
        <v>12397</v>
      </c>
      <c r="AG20" s="670" t="s">
        <v>12398</v>
      </c>
      <c r="AH20" s="667" t="s">
        <v>12399</v>
      </c>
      <c r="AI20" s="670" t="s">
        <v>12400</v>
      </c>
      <c r="AJ20" s="670" t="s">
        <v>12401</v>
      </c>
      <c r="AK20" s="670" t="s">
        <v>12866</v>
      </c>
      <c r="AL20" s="670" t="s">
        <v>12867</v>
      </c>
      <c r="AM20" s="670" t="s">
        <v>12868</v>
      </c>
      <c r="AN20" s="670" t="s">
        <v>12402</v>
      </c>
      <c r="AO20" s="380"/>
      <c r="AP20" s="325" t="s">
        <v>12378</v>
      </c>
      <c r="AQ20" s="325" t="s">
        <v>12379</v>
      </c>
      <c r="AR20" s="304" t="s">
        <v>12380</v>
      </c>
      <c r="AY20" s="304" t="s">
        <v>13677</v>
      </c>
      <c r="AZ20" s="304" t="s">
        <v>13676</v>
      </c>
    </row>
    <row r="21" spans="1:53" s="472" customFormat="1" ht="15.75" customHeight="1">
      <c r="A21" s="773" t="str">
        <f>Kat.!C21</f>
        <v xml:space="preserve">                                                               Dětská pyrotechnika</v>
      </c>
      <c r="B21" s="774"/>
      <c r="C21" s="774"/>
      <c r="D21" s="774"/>
      <c r="E21" s="774"/>
      <c r="F21" s="774"/>
      <c r="G21" s="774"/>
      <c r="H21" s="774"/>
      <c r="I21" s="774"/>
      <c r="J21" s="774"/>
      <c r="K21" s="774"/>
      <c r="L21" s="774"/>
      <c r="M21" s="774"/>
      <c r="N21" s="774"/>
      <c r="O21" s="774"/>
      <c r="P21" s="774"/>
      <c r="Q21" s="774"/>
      <c r="R21" s="774"/>
      <c r="S21" s="774"/>
      <c r="T21" s="774"/>
      <c r="U21" s="774"/>
      <c r="V21" s="774"/>
      <c r="W21" s="774"/>
      <c r="X21" s="774"/>
      <c r="Y21" s="774"/>
      <c r="Z21" s="774"/>
      <c r="AA21" s="774"/>
      <c r="AB21" s="774"/>
      <c r="AC21" s="775" t="str">
        <f>IFERROR(IF(VLOOKUP(C21,[1]List1!$A:$D,2,FALSE)="VYPRODÁNO",$V$9,IF(VLOOKUP(C21,[1]List1!$A:$D,2,FALSE)="DOCHÁZÍ",$V$3,VLOOKUP(C21,[1]List1!$A:$D,2,FALSE))),"OFFLINE!")</f>
        <v>OFFLINE!</v>
      </c>
      <c r="AD21" s="774"/>
      <c r="AE21" s="774"/>
      <c r="AF21" s="774"/>
      <c r="AG21" s="774"/>
      <c r="AH21" s="774"/>
      <c r="AI21" s="774"/>
      <c r="AJ21" s="774"/>
      <c r="AK21" s="774"/>
      <c r="AL21" s="774"/>
      <c r="AM21" s="774"/>
      <c r="AN21" s="774"/>
      <c r="AO21" s="380"/>
      <c r="AP21" s="304"/>
      <c r="AQ21" s="304"/>
      <c r="AR21" s="421"/>
      <c r="AS21" s="422" t="e">
        <f>VLOOKUP("X",$AS$22:$AT$1189,2,FALSE)</f>
        <v>#N/A</v>
      </c>
      <c r="AT21" s="304"/>
      <c r="AU21" s="304" t="str">
        <f>IF(AND($AL$3=2,AR22="",AB22&lt;&gt;""),AD22,"")</f>
        <v/>
      </c>
      <c r="AV21" s="304"/>
      <c r="AW21" s="471"/>
      <c r="AX21" s="471"/>
      <c r="AY21" s="471"/>
      <c r="AZ21" s="471"/>
      <c r="BA21" s="304"/>
    </row>
    <row r="22" spans="1:53" ht="15" customHeight="1">
      <c r="A22" s="712" t="str">
        <f>Kat.!C22</f>
        <v/>
      </c>
      <c r="B22" s="713">
        <f>IF(AND('General price list'!$J22="F4",$AI$1=FALSE),0,IF(AC22="SKLADEM",1,IF(AC22=$V$3,1,0)))</f>
        <v>1</v>
      </c>
      <c r="C22" s="714" t="s">
        <v>2466</v>
      </c>
      <c r="D22" s="715" t="s">
        <v>2467</v>
      </c>
      <c r="E22" s="716" t="s">
        <v>1084</v>
      </c>
      <c r="F22" s="712">
        <f>IFERROR(ROUND(IF($AL$3=2,VLOOKUP(C22,[2]List1!$A:$D,2,FALSE)*1.08,VLOOKUP(C22,[2]List1!$A:$D,2,FALSE)),0),"NEUVEDENO!")</f>
        <v>49</v>
      </c>
      <c r="G22" s="717">
        <f>(F22)*$B$19</f>
        <v>49</v>
      </c>
      <c r="H22" s="718">
        <f>G22/$F$19</f>
        <v>1.9911495434578548</v>
      </c>
      <c r="I22" s="719">
        <v>60</v>
      </c>
      <c r="J22" s="716" t="s">
        <v>46</v>
      </c>
      <c r="K22" s="716"/>
      <c r="L22" s="716" t="s">
        <v>24</v>
      </c>
      <c r="M22" s="716" t="s">
        <v>25</v>
      </c>
      <c r="N22" s="716">
        <f>IFERROR(VLOOKUP(C22,[3]List1!$A:$D,4,FALSE),"N/A!")</f>
        <v>3.3724999999999998E-2</v>
      </c>
      <c r="O22" s="716">
        <f>IFERROR(VLOOKUP(C22,[3]List1!$A:$D,3,FALSE),"N/A!")</f>
        <v>240</v>
      </c>
      <c r="P22" s="716">
        <f>IFERROR(VLOOKUP(C22,[3]List1!$A:$D,2,FALSE),"N/A!")</f>
        <v>3500</v>
      </c>
      <c r="Q22" s="716" t="s">
        <v>14067</v>
      </c>
      <c r="R22" s="716" t="s">
        <v>24</v>
      </c>
      <c r="S22" s="716"/>
      <c r="T22" s="716">
        <v>25</v>
      </c>
      <c r="U22" s="716"/>
      <c r="V22" s="716"/>
      <c r="W22" s="716" t="str">
        <f>IFERROR(VLOOKUP('General price list'!$C22,Popisy!A:P,MATCH($W$17,Popisy!$A$7:$P$7,0),FALSE),"---------------")</f>
        <v>jezdící+pískající tank(fontána+práskající salva z děla)</v>
      </c>
      <c r="X22" s="716" t="str">
        <f>IF(AB22&lt;0.0001,"",AB22)</f>
        <v/>
      </c>
      <c r="Y22" s="716" t="str">
        <f>IF($AL$3=2,IF(OR(AB22&lt;&gt;"",AB22&lt;&gt;0),AU22,""),IF(C22="","",IF(AB22&lt;0.0001,"",IF(B22=0,"",IF(AQ22&lt;AB22,"",AB22)))))</f>
        <v/>
      </c>
      <c r="Z22" s="716" t="str">
        <f>HYPERLINK("https://www.klasekpyrotechnics.cz/dp1ta")</f>
        <v>https://www.klasekpyrotechnics.cz/dp1ta</v>
      </c>
      <c r="AA22" s="716">
        <f>IFERROR(IF(VLOOKUP(C22,[4]List1!$A:$D,4,FALSE)=0,"",VLOOKUP(C22,[4]List1!$A:$D,4,FALSE)),"")</f>
        <v>32</v>
      </c>
      <c r="AB22" s="720"/>
      <c r="AC22" s="721" t="str">
        <f>IFERROR(IF(VLOOKUP(C22,[1]List1!$A:$D,2,FALSE)="VYPRODÁNO",$V$9,IF(VLOOKUP(C22,[1]List1!$A:$D,2,FALSE)="DOCHÁZÍ",$V$3,VLOOKUP(C22,[1]List1!$A:$D,2,FALSE))),"OFFLINE!")</f>
        <v>SKLADEM</v>
      </c>
      <c r="AD22" s="722" t="str">
        <f ca="1">IF(AP22="NE",$V$10,IF(AC22=$V$3,IF(AQ22&lt;1,$V$8,$V$2&amp;" "&amp;AQ22&amp;" "&amp;$V$1),IF(AC22="SKLADEM",$V$6,IFERROR(IF(OR(AC22-TODAY()&gt;45,VLOOKUP(C22,[1]List1!$A:$E,4,FALSE)=0),AC22,DAY(AC22)&amp;"."&amp;MONTH(AC22)&amp;"."&amp;YEAR(AC22)&amp;" "&amp;$V$4&amp;VLOOKUP(C22,[1]List1!$A:$E,4,FALSE)&amp;" "&amp;$V$1),AC22))))</f>
        <v>SKLADEM</v>
      </c>
      <c r="AE22" s="716" t="str">
        <f ca="1">IFERROR(IF(AV22&lt;&gt;"",AV22,AD22),AD22)</f>
        <v>SKLADEM</v>
      </c>
      <c r="AF22" s="723">
        <f>IFERROR(IF(AB22=Y22,G22*I22*Y22,0),0)</f>
        <v>0</v>
      </c>
      <c r="AG22" s="723">
        <f>IF($W$17=$AF$8,AH22*1.23,AF22*1.21)</f>
        <v>0</v>
      </c>
      <c r="AH22" s="724">
        <f>IFERROR(IF(Y22=AB22,H22*I22*Y22,0),0)</f>
        <v>0</v>
      </c>
      <c r="AI22" s="716">
        <f>IFERROR(IF(Y22=AB22,(P22*Y22)/1000,1),0)</f>
        <v>0</v>
      </c>
      <c r="AJ22" s="716">
        <f>IFERROR(IF(Y22=AB22,N22*Y22,0.1),0)</f>
        <v>0</v>
      </c>
      <c r="AK22" s="716" t="str">
        <f>IFERROR(IF(Y22=AB22,IF(M22="1.1G",(O22/1000)*Y22,""),""),0)</f>
        <v/>
      </c>
      <c r="AL22" s="716" t="str">
        <f>IFERROR(IF(Y22=AB22,IF(M22="1.3G",(O22/1000)*AB22,""),""),0)</f>
        <v/>
      </c>
      <c r="AM22" s="716">
        <f>IFERROR(IF(Y22=AB22,IF(M22="1.4G",(O22/1000)*AB22,""),""),0)</f>
        <v>0</v>
      </c>
      <c r="AN22" s="716">
        <f>SUM(AK22:AM22)</f>
        <v>0</v>
      </c>
      <c r="AO22" s="380"/>
      <c r="AP22" s="322" t="str">
        <f>IF($AL$3=1,IF(Y22=AB22,"","NE"),IF(AR22=$V$10,"NE",""))</f>
        <v/>
      </c>
      <c r="AQ22" s="323" t="str">
        <f>IF(AC22=$V$3,IF(VLOOKUP(C22,[1]List1!$A:$E,5,FALSE)=0,1,VLOOKUP(C22,[1]List1!$A:$E,5,FALSE)),"")</f>
        <v/>
      </c>
      <c r="AR22" s="304" t="str">
        <f t="shared" ref="AR22" si="3">IF($AL$3=1,"",IF(OR(AB22&lt;&gt;"",AB22&lt;&gt;0),IF(OR(AC22=$V$6,AC22=$V$3,AC22=$V$9),$V$10,""),""))</f>
        <v/>
      </c>
      <c r="AS22" s="423" t="str">
        <f>IF(AT22&lt;&gt;"","X","")</f>
        <v/>
      </c>
      <c r="AT22" s="424" t="str">
        <f t="shared" ref="AT22" si="4">IF(AND($AL$3=2,AR22="",AB22&lt;&gt;""),AD22,"")</f>
        <v/>
      </c>
      <c r="AU22" s="425" t="e">
        <f>IF(AT22=$AS$21,AB22,"")</f>
        <v>#N/A</v>
      </c>
      <c r="AV22" s="426" t="e">
        <f>IF(OR(AB22="",AND(AT22&lt;&gt;"",AU22&lt;&gt;"")),"",$V$10)</f>
        <v>#N/A</v>
      </c>
      <c r="AX22" s="304">
        <f>IF(AND('General price list'!$J22="F4",'General price list'!$AB22+0&gt;0),1,0)</f>
        <v>0</v>
      </c>
      <c r="AY22" s="304">
        <f>IFERROR(FIND(VLOOKUP($AC$7,$AD$1:$AE$12,2,FALSE),Q22,1),0)</f>
        <v>1</v>
      </c>
      <c r="AZ22" s="304">
        <f>IFERROR(FIND(VLOOKUP($AC$7,$AD$1:$AE$12,2,FALSE),R22,1),0)</f>
        <v>0</v>
      </c>
    </row>
    <row r="23" spans="1:53" ht="15" customHeight="1">
      <c r="A23" s="725" t="str">
        <f>Kat.!C23</f>
        <v>×</v>
      </c>
      <c r="B23" s="726">
        <f>IF(AND('General price list'!$J23="F4",$AI$1=FALSE),0,IF(AC23="SKLADEM",1,IF(AC23=$V$3,1,0)))</f>
        <v>1</v>
      </c>
      <c r="C23" s="727" t="s">
        <v>2657</v>
      </c>
      <c r="D23" s="728" t="s">
        <v>2467</v>
      </c>
      <c r="E23" s="729" t="s">
        <v>1084</v>
      </c>
      <c r="F23" s="725">
        <f>IFERROR(ROUND(IF($AL$3=2,VLOOKUP(C23,[2]List1!$A:$D,2,FALSE)*1.08,VLOOKUP(C23,[2]List1!$A:$D,2,FALSE)),0),"NEUVEDENO!")</f>
        <v>49</v>
      </c>
      <c r="G23" s="730">
        <f t="shared" ref="G23:G55" si="5">(F23)*$B$19</f>
        <v>49</v>
      </c>
      <c r="H23" s="731">
        <f t="shared" ref="H23:H55" si="6">G23/$F$19</f>
        <v>1.9911495434578548</v>
      </c>
      <c r="I23" s="732">
        <v>60</v>
      </c>
      <c r="J23" s="729" t="s">
        <v>46</v>
      </c>
      <c r="K23" s="729"/>
      <c r="L23" s="729" t="s">
        <v>24</v>
      </c>
      <c r="M23" s="729" t="s">
        <v>25</v>
      </c>
      <c r="N23" s="729">
        <f>IFERROR(VLOOKUP(C23,[3]List1!$A:$D,4,FALSE),"N/A!")</f>
        <v>3.3724999999999998E-2</v>
      </c>
      <c r="O23" s="729">
        <f>IFERROR(VLOOKUP(C23,[3]List1!$A:$D,3,FALSE),"N/A!")</f>
        <v>240</v>
      </c>
      <c r="P23" s="729">
        <f>IFERROR(VLOOKUP(C23,[3]List1!$A:$D,2,FALSE),"N/A!")</f>
        <v>3500</v>
      </c>
      <c r="Q23" s="729" t="s">
        <v>125</v>
      </c>
      <c r="R23" s="729" t="s">
        <v>24</v>
      </c>
      <c r="S23" s="729"/>
      <c r="T23" s="729">
        <v>25</v>
      </c>
      <c r="U23" s="729"/>
      <c r="V23" s="729"/>
      <c r="W23" s="729" t="str">
        <f>IFERROR(VLOOKUP('General price list'!$C23,Popisy!A:P,MATCH($W$17,Popisy!$A$7:$P$7,0),FALSE),"---------------")</f>
        <v>jezdící+pískající tank(fontána+práskající salva z děla)</v>
      </c>
      <c r="X23" s="729" t="str">
        <f t="shared" ref="X23:X55" si="7">IF(AB23&lt;0.0001,"",AB23)</f>
        <v/>
      </c>
      <c r="Y23" s="729" t="str">
        <f t="shared" ref="Y23:Y55" si="8">IF($AL$3=2,IF(OR(AB23&lt;&gt;"",AB23&lt;&gt;0),AU23,""),IF(C23="","",IF(AB23&lt;0.0001,"",IF(B23=0,"",IF(AQ23&lt;AB23,"",AB23)))))</f>
        <v/>
      </c>
      <c r="Z23" s="729" t="str">
        <f>HYPERLINK("https://www.klasekpyrotechnics.cz/dp1ta_1")</f>
        <v>https://www.klasekpyrotechnics.cz/dp1ta_1</v>
      </c>
      <c r="AA23" s="729">
        <f>IFERROR(IF(VLOOKUP(C23,[4]List1!$A:$D,4,FALSE)=0,"",VLOOKUP(C23,[4]List1!$A:$D,4,FALSE)),"")</f>
        <v>32</v>
      </c>
      <c r="AB23" s="720"/>
      <c r="AC23" s="733" t="str">
        <f>IFERROR(IF(VLOOKUP(C23,[1]List1!$A:$D,2,FALSE)="VYPRODÁNO",$V$9,IF(VLOOKUP(C23,[1]List1!$A:$D,2,FALSE)="DOCHÁZÍ",$V$3,VLOOKUP(C23,[1]List1!$A:$D,2,FALSE))),"OFFLINE!")</f>
        <v>SKLADEM</v>
      </c>
      <c r="AD23" s="734" t="str">
        <f ca="1">IF(AP23="NE",$V$10,IF(AC23=$V$3,IF(AQ23&lt;1,$V$8,$V$2&amp;" "&amp;AQ23&amp;" "&amp;$V$1),IF(AC23="SKLADEM",$V$6,IFERROR(IF(OR(AC23-TODAY()&gt;45,VLOOKUP(C23,[1]List1!$A:$E,4,FALSE)=0),AC23,DAY(AC23)&amp;"."&amp;MONTH(AC23)&amp;"."&amp;YEAR(AC23)&amp;" "&amp;$V$4&amp;VLOOKUP(C23,[1]List1!$A:$E,4,FALSE)&amp;" "&amp;$V$1),AC23))))</f>
        <v>SKLADEM</v>
      </c>
      <c r="AE23" s="729" t="str">
        <f t="shared" ref="AE23" ca="1" si="9">IFERROR(IF(AV23&lt;&gt;"",AV23,AD23),AD23)</f>
        <v>SKLADEM</v>
      </c>
      <c r="AF23" s="735">
        <f t="shared" ref="AF23" si="10">IFERROR(IF(AB23=Y23,G23*I23*Y23,0),0)</f>
        <v>0</v>
      </c>
      <c r="AG23" s="735">
        <f t="shared" ref="AG23" si="11">IF($W$17=$AF$8,AH23*1.23,AF23*1.21)</f>
        <v>0</v>
      </c>
      <c r="AH23" s="736">
        <f t="shared" ref="AH23" si="12">IFERROR(IF(Y23=AB23,H23*I23*Y23,0),0)</f>
        <v>0</v>
      </c>
      <c r="AI23" s="729">
        <f t="shared" ref="AI23" si="13">IFERROR(IF(Y23=AB23,(P23*Y23)/1000,1),0)</f>
        <v>0</v>
      </c>
      <c r="AJ23" s="729">
        <f t="shared" ref="AJ23" si="14">IFERROR(IF(Y23=AB23,N23*Y23,0.1),0)</f>
        <v>0</v>
      </c>
      <c r="AK23" s="729" t="str">
        <f t="shared" ref="AK23" si="15">IFERROR(IF(Y23=AB23,IF(M23="1.1G",(O23/1000)*Y23,""),""),0)</f>
        <v/>
      </c>
      <c r="AL23" s="729" t="str">
        <f t="shared" ref="AL23" si="16">IFERROR(IF(Y23=AB23,IF(M23="1.3G",(O23/1000)*AB23,""),""),0)</f>
        <v/>
      </c>
      <c r="AM23" s="729">
        <f t="shared" ref="AM23" si="17">IFERROR(IF(Y23=AB23,IF(M23="1.4G",(O23/1000)*AB23,""),""),0)</f>
        <v>0</v>
      </c>
      <c r="AN23" s="729">
        <f t="shared" ref="AN23" si="18">SUM(AK23:AM23)</f>
        <v>0</v>
      </c>
      <c r="AO23" s="380"/>
      <c r="AP23" s="322" t="str">
        <f t="shared" ref="AP23:AP78" si="19">IF($AL$3=1,IF(Y23=AB23,"","NE"),IF(AR23=$V$10,"NE",""))</f>
        <v/>
      </c>
      <c r="AQ23" s="323" t="str">
        <f>IF(AC23=$V$3,IF(VLOOKUP(C23,[1]List1!$A:$E,5,FALSE)=0,1,VLOOKUP(C23,[1]List1!$A:$E,5,FALSE)),"")</f>
        <v/>
      </c>
      <c r="AR23" s="304" t="str">
        <f t="shared" ref="AR23:AR78" si="20">IF($AL$3=1,"",IF(OR(AB23&lt;&gt;"",AB23&lt;&gt;0),IF(OR(AC23=$V$6,AC23=$V$3,AC23=$V$9),$V$10,""),""))</f>
        <v/>
      </c>
      <c r="AS23" s="423" t="str">
        <f t="shared" ref="AS23:AS78" si="21">IF(AT23&lt;&gt;"","X","")</f>
        <v/>
      </c>
      <c r="AT23" s="304" t="str">
        <f t="shared" ref="AT23:AT78" si="22">IF(AND($AL$3=2,AR23="",AB23&lt;&gt;""),AD23,"")</f>
        <v/>
      </c>
      <c r="AU23" s="342" t="e">
        <f t="shared" ref="AU23:AU78" si="23">IF(AT23=$AS$21,AB23,"")</f>
        <v>#N/A</v>
      </c>
      <c r="AV23" s="304" t="e">
        <f t="shared" ref="AV23:AV78" si="24">IF(OR(AB23="",AND(AT23&lt;&gt;"",AU23&lt;&gt;"")),"",$V$10)</f>
        <v>#N/A</v>
      </c>
      <c r="AX23" s="304">
        <f>IF(AND('General price list'!$J23="F4",'General price list'!$AB23+0&gt;0),1,0)</f>
        <v>0</v>
      </c>
      <c r="AY23" s="304">
        <f t="shared" ref="AY23:AY78" si="25">IFERROR(FIND(VLOOKUP($AC$7,$AD$1:$AE$12,2,FALSE),Q23,1),0)</f>
        <v>0</v>
      </c>
      <c r="AZ23" s="304">
        <f t="shared" ref="AZ23:AZ78" si="26">IFERROR(FIND(VLOOKUP($AC$7,$AD$1:$AE$12,2,FALSE),R23,1),0)</f>
        <v>0</v>
      </c>
    </row>
    <row r="24" spans="1:53" ht="15" customHeight="1">
      <c r="A24" s="712" t="str">
        <f>Kat.!C24</f>
        <v>×</v>
      </c>
      <c r="B24" s="737">
        <f>IF(AND('General price list'!$J24="F4",$AI$1=FALSE),0,IF(AC24="SKLADEM",1,IF(AC24=$V$3,1,0)))</f>
        <v>1</v>
      </c>
      <c r="C24" s="714" t="s">
        <v>2468</v>
      </c>
      <c r="D24" s="715" t="s">
        <v>2469</v>
      </c>
      <c r="E24" s="716" t="s">
        <v>1084</v>
      </c>
      <c r="F24" s="712">
        <f>IFERROR(ROUND(IF($AL$3=2,VLOOKUP(C24,[2]List1!$A:$D,2,FALSE)*1.08,VLOOKUP(C24,[2]List1!$A:$D,2,FALSE)),0),"NEUVEDENO!")</f>
        <v>37</v>
      </c>
      <c r="G24" s="717">
        <f t="shared" si="5"/>
        <v>37</v>
      </c>
      <c r="H24" s="718">
        <f t="shared" si="6"/>
        <v>1.5035210838355231</v>
      </c>
      <c r="I24" s="738">
        <v>60</v>
      </c>
      <c r="J24" s="716" t="s">
        <v>23</v>
      </c>
      <c r="K24" s="716"/>
      <c r="L24" s="716" t="s">
        <v>24</v>
      </c>
      <c r="M24" s="716" t="s">
        <v>25</v>
      </c>
      <c r="N24" s="716">
        <f>IFERROR(VLOOKUP(C24,[3]List1!$A:$D,4,FALSE),"N/A!")</f>
        <v>3.6755500000000003E-2</v>
      </c>
      <c r="O24" s="716">
        <f>IFERROR(VLOOKUP(C24,[3]List1!$A:$D,3,FALSE),"N/A!")</f>
        <v>120</v>
      </c>
      <c r="P24" s="716">
        <f>IFERROR(VLOOKUP(C24,[3]List1!$A:$D,2,FALSE),"N/A!")</f>
        <v>2500</v>
      </c>
      <c r="Q24" s="716" t="s">
        <v>14067</v>
      </c>
      <c r="R24" s="716" t="s">
        <v>24</v>
      </c>
      <c r="S24" s="716"/>
      <c r="T24" s="716">
        <v>15</v>
      </c>
      <c r="U24" s="716"/>
      <c r="V24" s="716"/>
      <c r="W24" s="716" t="str">
        <f>IFERROR(VLOOKUP('General price list'!$C24,Popisy!A:P,MATCH($W$17,Popisy!$A$7:$P$7,0),FALSE),"---------------")</f>
        <v>baby shark s fontánou, karton obsahuje 3 ruzně barevné žraloky(zelený,žlutý,fialový)</v>
      </c>
      <c r="X24" s="716" t="str">
        <f t="shared" si="7"/>
        <v/>
      </c>
      <c r="Y24" s="716" t="str">
        <f t="shared" si="8"/>
        <v/>
      </c>
      <c r="Z24" s="716" t="str">
        <f>HYPERLINK("https://www.klasekpyrotechnics.cz/dp1bs")</f>
        <v>https://www.klasekpyrotechnics.cz/dp1bs</v>
      </c>
      <c r="AA24" s="716">
        <f>IFERROR(IF(VLOOKUP(C24,[4]List1!$A:$D,4,FALSE)=0,"",VLOOKUP(C24,[4]List1!$A:$D,4,FALSE)),"")</f>
        <v>32</v>
      </c>
      <c r="AB24" s="720"/>
      <c r="AC24" s="739" t="str">
        <f>IFERROR(IF(VLOOKUP(C24,[1]List1!$A:$D,2,FALSE)="VYPRODÁNO",$V$9,IF(VLOOKUP(C24,[1]List1!$A:$D,2,FALSE)="DOCHÁZÍ",$V$3,VLOOKUP(C24,[1]List1!$A:$D,2,FALSE))),"OFFLINE!")</f>
        <v>DOCHÁZÍ</v>
      </c>
      <c r="AD24" s="740" t="str">
        <f ca="1">IF(AP24="NE",$V$10,IF(AC24=$V$3,IF(AQ24&lt;1,$V$8,$V$2&amp;" "&amp;AQ24&amp;" "&amp;$V$1),IF(AC24="SKLADEM",$V$6,IFERROR(IF(OR(AC24-TODAY()&gt;45,VLOOKUP(C24,[1]List1!$A:$E,4,FALSE)=0),AC24,DAY(AC24)&amp;"."&amp;MONTH(AC24)&amp;"."&amp;YEAR(AC24)&amp;" "&amp;$V$4&amp;VLOOKUP(C24,[1]List1!$A:$E,4,FALSE)&amp;" "&amp;$V$1),AC24))))</f>
        <v>POSLEDNÍCH 10 VK</v>
      </c>
      <c r="AE24" s="716" t="str">
        <f t="shared" ref="AE24:AE55" ca="1" si="27">IFERROR(IF(AV24&lt;&gt;"",AV24,AD24),AD24)</f>
        <v>POSLEDNÍCH 10 VK</v>
      </c>
      <c r="AF24" s="723">
        <f t="shared" ref="AF24:AF55" si="28">IFERROR(IF(AB24=Y24,G24*I24*Y24,0),0)</f>
        <v>0</v>
      </c>
      <c r="AG24" s="723">
        <f t="shared" ref="AG24:AG55" si="29">IF($W$17=$AF$8,AH24*1.23,AF24*1.21)</f>
        <v>0</v>
      </c>
      <c r="AH24" s="724">
        <f t="shared" ref="AH24:AH55" si="30">IFERROR(IF(Y24=AB24,H24*I24*Y24,0),0)</f>
        <v>0</v>
      </c>
      <c r="AI24" s="716">
        <f t="shared" ref="AI24:AI55" si="31">IFERROR(IF(Y24=AB24,(P24*Y24)/1000,1),0)</f>
        <v>0</v>
      </c>
      <c r="AJ24" s="716">
        <f t="shared" ref="AJ24:AJ55" si="32">IFERROR(IF(Y24=AB24,N24*Y24,0.1),0)</f>
        <v>0</v>
      </c>
      <c r="AK24" s="716" t="str">
        <f t="shared" ref="AK24:AK55" si="33">IFERROR(IF(Y24=AB24,IF(M24="1.1G",(O24/1000)*Y24,""),""),0)</f>
        <v/>
      </c>
      <c r="AL24" s="716" t="str">
        <f t="shared" ref="AL24:AL55" si="34">IFERROR(IF(Y24=AB24,IF(M24="1.3G",(O24/1000)*AB24,""),""),0)</f>
        <v/>
      </c>
      <c r="AM24" s="716">
        <f t="shared" ref="AM24:AM55" si="35">IFERROR(IF(Y24=AB24,IF(M24="1.4G",(O24/1000)*AB24,""),""),0)</f>
        <v>0</v>
      </c>
      <c r="AN24" s="716">
        <f t="shared" ref="AN24:AN55" si="36">SUM(AK24:AM24)</f>
        <v>0</v>
      </c>
      <c r="AO24" s="380"/>
      <c r="AP24" s="322" t="str">
        <f t="shared" ref="AP24:AP55" si="37">IF($AL$3=1,IF(Y24=AB24,"","NE"),IF(AR24=$V$10,"NE",""))</f>
        <v/>
      </c>
      <c r="AQ24" s="323">
        <f>IF(AC24=$V$3,IF(VLOOKUP(C24,[1]List1!$A:$E,5,FALSE)=0,1,VLOOKUP(C24,[1]List1!$A:$E,5,FALSE)),"")</f>
        <v>10</v>
      </c>
      <c r="AR24" s="304" t="str">
        <f t="shared" ref="AR24:AR55" si="38">IF($AL$3=1,"",IF(OR(AB24&lt;&gt;"",AB24&lt;&gt;0),IF(OR(AC24=$V$6,AC24=$V$3,AC24=$V$9),$V$10,""),""))</f>
        <v/>
      </c>
      <c r="AS24" s="423" t="str">
        <f t="shared" ref="AS24:AS55" si="39">IF(AT24&lt;&gt;"","X","")</f>
        <v/>
      </c>
      <c r="AT24" s="304" t="str">
        <f t="shared" ref="AT24:AT55" si="40">IF(AND($AL$3=2,AR24="",AB24&lt;&gt;""),AD24,"")</f>
        <v/>
      </c>
      <c r="AU24" s="342" t="e">
        <f t="shared" ref="AU24:AU55" si="41">IF(AT24=$AS$21,AB24,"")</f>
        <v>#N/A</v>
      </c>
      <c r="AV24" s="304" t="e">
        <f t="shared" ref="AV24:AV55" si="42">IF(OR(AB24="",AND(AT24&lt;&gt;"",AU24&lt;&gt;"")),"",$V$10)</f>
        <v>#N/A</v>
      </c>
      <c r="AX24" s="304">
        <f>IF(AND('General price list'!$J24="F4",'General price list'!$AB24+0&gt;0),1,0)</f>
        <v>0</v>
      </c>
      <c r="AY24" s="304">
        <f t="shared" ref="AY24:AY55" si="43">IFERROR(FIND(VLOOKUP($AC$7,$AD$1:$AE$12,2,FALSE),Q24,1),0)</f>
        <v>1</v>
      </c>
      <c r="AZ24" s="304">
        <f t="shared" ref="AZ24:AZ55" si="44">IFERROR(FIND(VLOOKUP($AC$7,$AD$1:$AE$12,2,FALSE),R24,1),0)</f>
        <v>0</v>
      </c>
    </row>
    <row r="25" spans="1:53" ht="15" customHeight="1">
      <c r="A25" s="725" t="str">
        <f>Kat.!C25</f>
        <v>×</v>
      </c>
      <c r="B25" s="726">
        <f>IF(AND('General price list'!$J25="F4",$AI$1=FALSE),0,IF(AC25="SKLADEM",1,IF(AC25=$V$3,1,0)))</f>
        <v>1</v>
      </c>
      <c r="C25" s="727" t="s">
        <v>2658</v>
      </c>
      <c r="D25" s="728" t="s">
        <v>2469</v>
      </c>
      <c r="E25" s="729" t="s">
        <v>1084</v>
      </c>
      <c r="F25" s="725">
        <f>IFERROR(ROUND(IF($AL$3=2,VLOOKUP(C25,[2]List1!$A:$D,2,FALSE)*1.08,VLOOKUP(C25,[2]List1!$A:$D,2,FALSE)),0),"NEUVEDENO!")</f>
        <v>37</v>
      </c>
      <c r="G25" s="730">
        <f t="shared" si="5"/>
        <v>37</v>
      </c>
      <c r="H25" s="731">
        <f t="shared" si="6"/>
        <v>1.5035210838355231</v>
      </c>
      <c r="I25" s="732">
        <v>60</v>
      </c>
      <c r="J25" s="729" t="s">
        <v>23</v>
      </c>
      <c r="K25" s="729"/>
      <c r="L25" s="729" t="s">
        <v>24</v>
      </c>
      <c r="M25" s="729" t="s">
        <v>25</v>
      </c>
      <c r="N25" s="729">
        <f>IFERROR(VLOOKUP(C25,[3]List1!$A:$D,4,FALSE),"N/A!")</f>
        <v>3.6755500000000003E-2</v>
      </c>
      <c r="O25" s="729">
        <f>IFERROR(VLOOKUP(C25,[3]List1!$A:$D,3,FALSE),"N/A!")</f>
        <v>120</v>
      </c>
      <c r="P25" s="729">
        <f>IFERROR(VLOOKUP(C25,[3]List1!$A:$D,2,FALSE),"N/A!")</f>
        <v>2500</v>
      </c>
      <c r="Q25" s="729" t="s">
        <v>125</v>
      </c>
      <c r="R25" s="729" t="s">
        <v>24</v>
      </c>
      <c r="S25" s="729"/>
      <c r="T25" s="729">
        <v>15</v>
      </c>
      <c r="U25" s="729"/>
      <c r="V25" s="729"/>
      <c r="W25" s="729" t="str">
        <f>IFERROR(VLOOKUP('General price list'!$C25,Popisy!A:P,MATCH($W$17,Popisy!$A$7:$P$7,0),FALSE),"---------------")</f>
        <v>baby shark s fontánou, karton obsahuje 3 ruzně barevné žraloky(zelený,žlutý,fialový)</v>
      </c>
      <c r="X25" s="729" t="str">
        <f t="shared" si="7"/>
        <v/>
      </c>
      <c r="Y25" s="729" t="str">
        <f t="shared" si="8"/>
        <v/>
      </c>
      <c r="Z25" s="729" t="str">
        <f>HYPERLINK("https://www.klasekpyrotechnics.cz/dp1bs_1")</f>
        <v>https://www.klasekpyrotechnics.cz/dp1bs_1</v>
      </c>
      <c r="AA25" s="729">
        <f>IFERROR(IF(VLOOKUP(C25,[4]List1!$A:$D,4,FALSE)=0,"",VLOOKUP(C25,[4]List1!$A:$D,4,FALSE)),"")</f>
        <v>32</v>
      </c>
      <c r="AB25" s="720"/>
      <c r="AC25" s="733" t="str">
        <f>IFERROR(IF(VLOOKUP(C25,[1]List1!$A:$D,2,FALSE)="VYPRODÁNO",$V$9,IF(VLOOKUP(C25,[1]List1!$A:$D,2,FALSE)="DOCHÁZÍ",$V$3,VLOOKUP(C25,[1]List1!$A:$D,2,FALSE))),"OFFLINE!")</f>
        <v>SKLADEM</v>
      </c>
      <c r="AD25" s="734" t="str">
        <f ca="1">IF(AP25="NE",$V$10,IF(AC25=$V$3,IF(AQ25&lt;1,$V$8,$V$2&amp;" "&amp;AQ25&amp;" "&amp;$V$1),IF(AC25="SKLADEM",$V$6,IFERROR(IF(OR(AC25-TODAY()&gt;45,VLOOKUP(C25,[1]List1!$A:$E,4,FALSE)=0),AC25,DAY(AC25)&amp;"."&amp;MONTH(AC25)&amp;"."&amp;YEAR(AC25)&amp;" "&amp;$V$4&amp;VLOOKUP(C25,[1]List1!$A:$E,4,FALSE)&amp;" "&amp;$V$1),AC25))))</f>
        <v>SKLADEM</v>
      </c>
      <c r="AE25" s="729" t="str">
        <f t="shared" ca="1" si="27"/>
        <v>SKLADEM</v>
      </c>
      <c r="AF25" s="735">
        <f t="shared" si="28"/>
        <v>0</v>
      </c>
      <c r="AG25" s="735">
        <f t="shared" si="29"/>
        <v>0</v>
      </c>
      <c r="AH25" s="736">
        <f t="shared" si="30"/>
        <v>0</v>
      </c>
      <c r="AI25" s="729">
        <f t="shared" si="31"/>
        <v>0</v>
      </c>
      <c r="AJ25" s="729">
        <f t="shared" si="32"/>
        <v>0</v>
      </c>
      <c r="AK25" s="729" t="str">
        <f t="shared" si="33"/>
        <v/>
      </c>
      <c r="AL25" s="729" t="str">
        <f t="shared" si="34"/>
        <v/>
      </c>
      <c r="AM25" s="729">
        <f t="shared" si="35"/>
        <v>0</v>
      </c>
      <c r="AN25" s="729">
        <f t="shared" si="36"/>
        <v>0</v>
      </c>
      <c r="AO25" s="380"/>
      <c r="AP25" s="322" t="str">
        <f t="shared" si="37"/>
        <v/>
      </c>
      <c r="AQ25" s="323" t="str">
        <f>IF(AC25=$V$3,IF(VLOOKUP(C25,[1]List1!$A:$E,5,FALSE)=0,1,VLOOKUP(C25,[1]List1!$A:$E,5,FALSE)),"")</f>
        <v/>
      </c>
      <c r="AR25" s="304" t="str">
        <f t="shared" si="38"/>
        <v/>
      </c>
      <c r="AS25" s="423" t="str">
        <f t="shared" si="39"/>
        <v/>
      </c>
      <c r="AT25" s="304" t="str">
        <f t="shared" si="40"/>
        <v/>
      </c>
      <c r="AU25" s="342" t="e">
        <f t="shared" si="41"/>
        <v>#N/A</v>
      </c>
      <c r="AV25" s="304" t="e">
        <f t="shared" si="42"/>
        <v>#N/A</v>
      </c>
      <c r="AX25" s="304">
        <f>IF(AND('General price list'!$J25="F4",'General price list'!$AB25+0&gt;0),1,0)</f>
        <v>0</v>
      </c>
      <c r="AY25" s="304">
        <f t="shared" si="43"/>
        <v>0</v>
      </c>
      <c r="AZ25" s="304">
        <f t="shared" si="44"/>
        <v>0</v>
      </c>
    </row>
    <row r="26" spans="1:53" ht="15" customHeight="1">
      <c r="A26" s="712" t="str">
        <f>Kat.!C26</f>
        <v/>
      </c>
      <c r="B26" s="737">
        <f>IF(AND('General price list'!$J26="F4",$AI$1=FALSE),0,IF(AC26="SKLADEM",1,IF(AC26=$V$3,1,0)))</f>
        <v>0</v>
      </c>
      <c r="C26" s="714" t="s">
        <v>20</v>
      </c>
      <c r="D26" s="715" t="s">
        <v>21</v>
      </c>
      <c r="E26" s="716" t="s">
        <v>22</v>
      </c>
      <c r="F26" s="712">
        <f>IFERROR(ROUND(IF($AL$3=2,VLOOKUP(C26,[2]List1!$A:$D,2,FALSE)*1.08,VLOOKUP(C26,[2]List1!$A:$D,2,FALSE)),0),"NEUVEDENO!")</f>
        <v>311</v>
      </c>
      <c r="G26" s="717">
        <f t="shared" si="5"/>
        <v>311</v>
      </c>
      <c r="H26" s="718">
        <f t="shared" si="6"/>
        <v>12.637704245212099</v>
      </c>
      <c r="I26" s="738">
        <v>25</v>
      </c>
      <c r="J26" s="716" t="s">
        <v>23</v>
      </c>
      <c r="K26" s="716"/>
      <c r="L26" s="716" t="s">
        <v>14353</v>
      </c>
      <c r="M26" s="716" t="s">
        <v>25</v>
      </c>
      <c r="N26" s="716">
        <f>IFERROR(VLOOKUP(C26,[3]List1!$A:$D,4,FALSE),"N/A!")</f>
        <v>3.124E-2</v>
      </c>
      <c r="O26" s="716">
        <f>IFERROR(VLOOKUP(C26,[3]List1!$A:$D,3,FALSE),"N/A!")</f>
        <v>2400.0000000000005</v>
      </c>
      <c r="P26" s="716">
        <f>IFERROR(VLOOKUP(C26,[3]List1!$A:$D,2,FALSE),"N/A!")</f>
        <v>6500</v>
      </c>
      <c r="Q26" s="716" t="s">
        <v>14068</v>
      </c>
      <c r="R26" s="716" t="s">
        <v>14069</v>
      </c>
      <c r="S26" s="716"/>
      <c r="T26" s="716">
        <v>7</v>
      </c>
      <c r="U26" s="716"/>
      <c r="V26" s="716"/>
      <c r="W26" s="716" t="str">
        <f>IFERROR(VLOOKUP('General price list'!$C26,Popisy!A:P,MATCH($W$17,Popisy!$A$7:$P$7,0),FALSE),"---------------")</f>
        <v>rotující červeno/zeleno/žlutý efekt-přízemní efekt</v>
      </c>
      <c r="X26" s="716" t="str">
        <f t="shared" si="7"/>
        <v/>
      </c>
      <c r="Y26" s="716" t="str">
        <f t="shared" si="8"/>
        <v/>
      </c>
      <c r="Z26" s="716" t="str">
        <f>HYPERLINK("https://www.klasekpyrotechnics.cz/dp1r")</f>
        <v>https://www.klasekpyrotechnics.cz/dp1r</v>
      </c>
      <c r="AA26" s="716" t="str">
        <f>IFERROR(IF(VLOOKUP(C26,[4]List1!$A:$D,4,FALSE)=0,"",VLOOKUP(C26,[4]List1!$A:$D,4,FALSE)),"")</f>
        <v>32</v>
      </c>
      <c r="AB26" s="720"/>
      <c r="AC26" s="739" t="str">
        <f>IFERROR(IF(VLOOKUP(C26,[1]List1!$A:$D,2,FALSE)="VYPRODÁNO",$V$9,IF(VLOOKUP(C26,[1]List1!$A:$D,2,FALSE)="DOCHÁZÍ",$V$3,VLOOKUP(C26,[1]List1!$A:$D,2,FALSE))),"OFFLINE!")</f>
        <v>20.03.2024</v>
      </c>
      <c r="AD26" s="740" t="str">
        <f ca="1">IF(AP26="NE",$V$10,IF(AC26=$V$3,IF(AQ26&lt;1,$V$8,$V$2&amp;" "&amp;AQ26&amp;" "&amp;$V$1),IF(AC26="SKLADEM",$V$6,IFERROR(IF(OR(AC26-TODAY()&gt;45,VLOOKUP(C26,[1]List1!$A:$E,4,FALSE)=0),AC26,DAY(AC26)&amp;"."&amp;MONTH(AC26)&amp;"."&amp;YEAR(AC26)&amp;" "&amp;$V$4&amp;VLOOKUP(C26,[1]List1!$A:$E,4,FALSE)&amp;" "&amp;$V$1),AC26))))</f>
        <v>20.3.2024 DORAZÍ 100+ VK</v>
      </c>
      <c r="AE26" s="716" t="str">
        <f t="shared" ca="1" si="27"/>
        <v>20.3.2024 DORAZÍ 100+ VK</v>
      </c>
      <c r="AF26" s="723">
        <f t="shared" si="28"/>
        <v>0</v>
      </c>
      <c r="AG26" s="723">
        <f t="shared" si="29"/>
        <v>0</v>
      </c>
      <c r="AH26" s="724">
        <f t="shared" si="30"/>
        <v>0</v>
      </c>
      <c r="AI26" s="716">
        <f t="shared" si="31"/>
        <v>0</v>
      </c>
      <c r="AJ26" s="716">
        <f t="shared" si="32"/>
        <v>0</v>
      </c>
      <c r="AK26" s="716" t="str">
        <f t="shared" si="33"/>
        <v/>
      </c>
      <c r="AL26" s="716" t="str">
        <f t="shared" si="34"/>
        <v/>
      </c>
      <c r="AM26" s="716">
        <f t="shared" si="35"/>
        <v>0</v>
      </c>
      <c r="AN26" s="716">
        <f t="shared" si="36"/>
        <v>0</v>
      </c>
      <c r="AO26" s="380"/>
      <c r="AP26" s="322" t="str">
        <f t="shared" si="37"/>
        <v/>
      </c>
      <c r="AQ26" s="323" t="str">
        <f>IF(AC26=$V$3,IF(VLOOKUP(C26,[1]List1!$A:$E,5,FALSE)=0,1,VLOOKUP(C26,[1]List1!$A:$E,5,FALSE)),"")</f>
        <v/>
      </c>
      <c r="AR26" s="304" t="str">
        <f t="shared" si="38"/>
        <v/>
      </c>
      <c r="AS26" s="423" t="str">
        <f t="shared" si="39"/>
        <v/>
      </c>
      <c r="AT26" s="304" t="str">
        <f t="shared" si="40"/>
        <v/>
      </c>
      <c r="AU26" s="342" t="e">
        <f t="shared" si="41"/>
        <v>#N/A</v>
      </c>
      <c r="AV26" s="304" t="e">
        <f t="shared" si="42"/>
        <v>#N/A</v>
      </c>
      <c r="AX26" s="304">
        <f>IF(AND('General price list'!$J26="F4",'General price list'!$AB26+0&gt;0),1,0)</f>
        <v>0</v>
      </c>
      <c r="AY26" s="304">
        <f t="shared" si="43"/>
        <v>1</v>
      </c>
      <c r="AZ26" s="304">
        <f t="shared" si="44"/>
        <v>1</v>
      </c>
    </row>
    <row r="27" spans="1:53" ht="15" customHeight="1">
      <c r="A27" s="725" t="str">
        <f>Kat.!C27</f>
        <v>×</v>
      </c>
      <c r="B27" s="726">
        <f>IF(AND('General price list'!$J27="F4",$AI$1=FALSE),0,IF(AC27="SKLADEM",1,IF(AC27=$V$3,1,0)))</f>
        <v>0</v>
      </c>
      <c r="C27" s="727" t="s">
        <v>29</v>
      </c>
      <c r="D27" s="728" t="s">
        <v>21</v>
      </c>
      <c r="E27" s="729" t="s">
        <v>22</v>
      </c>
      <c r="F27" s="725">
        <f>IFERROR(ROUND(IF($AL$3=2,VLOOKUP(C27,[2]List1!$A:$D,2,FALSE)*1.08,VLOOKUP(C27,[2]List1!$A:$D,2,FALSE)),0),"NEUVEDENO!")</f>
        <v>311</v>
      </c>
      <c r="G27" s="730">
        <f t="shared" si="5"/>
        <v>311</v>
      </c>
      <c r="H27" s="731">
        <f t="shared" si="6"/>
        <v>12.637704245212099</v>
      </c>
      <c r="I27" s="732">
        <v>25</v>
      </c>
      <c r="J27" s="729" t="s">
        <v>23</v>
      </c>
      <c r="K27" s="729"/>
      <c r="L27" s="729" t="s">
        <v>14353</v>
      </c>
      <c r="M27" s="729" t="s">
        <v>25</v>
      </c>
      <c r="N27" s="729">
        <f>IFERROR(VLOOKUP(C27,[3]List1!$A:$D,4,FALSE),"N/A!")</f>
        <v>3.124E-2</v>
      </c>
      <c r="O27" s="729">
        <f>IFERROR(VLOOKUP(C27,[3]List1!$A:$D,3,FALSE),"N/A!")</f>
        <v>2400.0000000000005</v>
      </c>
      <c r="P27" s="729">
        <f>IFERROR(VLOOKUP(C27,[3]List1!$A:$D,2,FALSE),"N/A!")</f>
        <v>6500</v>
      </c>
      <c r="Q27" s="729" t="s">
        <v>14068</v>
      </c>
      <c r="R27" s="729" t="s">
        <v>125</v>
      </c>
      <c r="S27" s="729"/>
      <c r="T27" s="729">
        <v>7</v>
      </c>
      <c r="U27" s="729"/>
      <c r="V27" s="729"/>
      <c r="W27" s="729" t="str">
        <f>IFERROR(VLOOKUP('General price list'!$C27,Popisy!A:P,MATCH($W$17,Popisy!$A$7:$P$7,0),FALSE),"---------------")</f>
        <v>rotující červeno/zeleno/žlutý efekt-přízemní efekt</v>
      </c>
      <c r="X27" s="729" t="str">
        <f t="shared" si="7"/>
        <v/>
      </c>
      <c r="Y27" s="729" t="str">
        <f t="shared" si="8"/>
        <v/>
      </c>
      <c r="Z27" s="729" t="str">
        <f>HYPERLINK("https://www.klasekpyrotechnics.cz/dp1r_1")</f>
        <v>https://www.klasekpyrotechnics.cz/dp1r_1</v>
      </c>
      <c r="AA27" s="729" t="str">
        <f>IFERROR(IF(VLOOKUP(C27,[4]List1!$A:$D,4,FALSE)=0,"",VLOOKUP(C27,[4]List1!$A:$D,4,FALSE)),"")</f>
        <v>32</v>
      </c>
      <c r="AB27" s="720"/>
      <c r="AC27" s="733" t="str">
        <f>IFERROR(IF(VLOOKUP(C27,[1]List1!$A:$D,2,FALSE)="VYPRODÁNO",$V$9,IF(VLOOKUP(C27,[1]List1!$A:$D,2,FALSE)="DOCHÁZÍ",$V$3,VLOOKUP(C27,[1]List1!$A:$D,2,FALSE))),"OFFLINE!")</f>
        <v>20.03.2024</v>
      </c>
      <c r="AD27" s="734" t="str">
        <f ca="1">IF(AP27="NE",$V$10,IF(AC27=$V$3,IF(AQ27&lt;1,$V$8,$V$2&amp;" "&amp;AQ27&amp;" "&amp;$V$1),IF(AC27="SKLADEM",$V$6,IFERROR(IF(OR(AC27-TODAY()&gt;45,VLOOKUP(C27,[1]List1!$A:$E,4,FALSE)=0),AC27,DAY(AC27)&amp;"."&amp;MONTH(AC27)&amp;"."&amp;YEAR(AC27)&amp;" "&amp;$V$4&amp;VLOOKUP(C27,[1]List1!$A:$E,4,FALSE)&amp;" "&amp;$V$1),AC27))))</f>
        <v>20.3.2024 DORAZÍ 50 VK</v>
      </c>
      <c r="AE27" s="729" t="str">
        <f t="shared" ca="1" si="27"/>
        <v>20.3.2024 DORAZÍ 50 VK</v>
      </c>
      <c r="AF27" s="735">
        <f t="shared" si="28"/>
        <v>0</v>
      </c>
      <c r="AG27" s="735">
        <f t="shared" si="29"/>
        <v>0</v>
      </c>
      <c r="AH27" s="736">
        <f t="shared" si="30"/>
        <v>0</v>
      </c>
      <c r="AI27" s="729">
        <f t="shared" si="31"/>
        <v>0</v>
      </c>
      <c r="AJ27" s="729">
        <f t="shared" si="32"/>
        <v>0</v>
      </c>
      <c r="AK27" s="729" t="str">
        <f t="shared" si="33"/>
        <v/>
      </c>
      <c r="AL27" s="729" t="str">
        <f t="shared" si="34"/>
        <v/>
      </c>
      <c r="AM27" s="729">
        <f t="shared" si="35"/>
        <v>0</v>
      </c>
      <c r="AN27" s="729">
        <f t="shared" si="36"/>
        <v>0</v>
      </c>
      <c r="AO27" s="380"/>
      <c r="AP27" s="322" t="str">
        <f t="shared" si="37"/>
        <v/>
      </c>
      <c r="AQ27" s="323" t="str">
        <f>IF(AC27=$V$3,IF(VLOOKUP(C27,[1]List1!$A:$E,5,FALSE)=0,1,VLOOKUP(C27,[1]List1!$A:$E,5,FALSE)),"")</f>
        <v/>
      </c>
      <c r="AR27" s="304" t="str">
        <f t="shared" si="38"/>
        <v/>
      </c>
      <c r="AS27" s="423" t="str">
        <f t="shared" si="39"/>
        <v/>
      </c>
      <c r="AT27" s="304" t="str">
        <f t="shared" si="40"/>
        <v/>
      </c>
      <c r="AU27" s="342" t="e">
        <f t="shared" si="41"/>
        <v>#N/A</v>
      </c>
      <c r="AV27" s="304" t="e">
        <f t="shared" si="42"/>
        <v>#N/A</v>
      </c>
      <c r="AX27" s="304">
        <f>IF(AND('General price list'!$J27="F4",'General price list'!$AB27+0&gt;0),1,0)</f>
        <v>0</v>
      </c>
      <c r="AY27" s="304">
        <f t="shared" si="43"/>
        <v>1</v>
      </c>
      <c r="AZ27" s="304">
        <f t="shared" si="44"/>
        <v>0</v>
      </c>
    </row>
    <row r="28" spans="1:53" ht="15" customHeight="1">
      <c r="A28" s="712" t="str">
        <f>Kat.!C28</f>
        <v/>
      </c>
      <c r="B28" s="737">
        <f>IF(AND('General price list'!$J28="F4",$AI$1=FALSE),0,IF(AC28="SKLADEM",1,IF(AC28=$V$3,1,0)))</f>
        <v>1</v>
      </c>
      <c r="C28" s="714" t="s">
        <v>2470</v>
      </c>
      <c r="D28" s="715" t="s">
        <v>2471</v>
      </c>
      <c r="E28" s="716" t="s">
        <v>2659</v>
      </c>
      <c r="F28" s="712">
        <f>IFERROR(ROUND(IF($AL$3=2,VLOOKUP(C28,[2]List1!$A:$D,2,FALSE)*1.08,VLOOKUP(C28,[2]List1!$A:$D,2,FALSE)),0),"NEUVEDENO!")</f>
        <v>840</v>
      </c>
      <c r="G28" s="717">
        <f t="shared" si="5"/>
        <v>840</v>
      </c>
      <c r="H28" s="718">
        <f t="shared" si="6"/>
        <v>34.133992173563222</v>
      </c>
      <c r="I28" s="738">
        <v>6</v>
      </c>
      <c r="J28" s="716" t="s">
        <v>23</v>
      </c>
      <c r="K28" s="716"/>
      <c r="L28" s="716" t="s">
        <v>24</v>
      </c>
      <c r="M28" s="716" t="s">
        <v>25</v>
      </c>
      <c r="N28" s="716">
        <f>IFERROR(VLOOKUP(C28,[3]List1!$A:$D,4,FALSE),"N/A!")</f>
        <v>2.7232000000000003E-2</v>
      </c>
      <c r="O28" s="716">
        <f>IFERROR(VLOOKUP(C28,[3]List1!$A:$D,3,FALSE),"N/A!")</f>
        <v>489.59999999999997</v>
      </c>
      <c r="P28" s="716">
        <f>IFERROR(VLOOKUP(C28,[3]List1!$A:$D,2,FALSE),"N/A!")</f>
        <v>3000</v>
      </c>
      <c r="Q28" s="716" t="s">
        <v>217</v>
      </c>
      <c r="R28" s="716" t="s">
        <v>24</v>
      </c>
      <c r="S28" s="716"/>
      <c r="T28" s="716">
        <v>20</v>
      </c>
      <c r="U28" s="716"/>
      <c r="V28" s="716"/>
      <c r="W28" s="716" t="str">
        <f>IFERROR(VLOOKUP('General price list'!$C28,Popisy!A:P,MATCH($W$17,Popisy!$A$7:$P$7,0),FALSE),"---------------")</f>
        <v>rotující barevné a práskající kolečko s dýmovým efektem na konci</v>
      </c>
      <c r="X28" s="716" t="str">
        <f t="shared" si="7"/>
        <v/>
      </c>
      <c r="Y28" s="716" t="str">
        <f t="shared" si="8"/>
        <v/>
      </c>
      <c r="Z28" s="716" t="str">
        <f>HYPERLINK("https://www.klasekpyrotechnics.cz/dp1em")</f>
        <v>https://www.klasekpyrotechnics.cz/dp1em</v>
      </c>
      <c r="AA28" s="716">
        <f>IFERROR(IF(VLOOKUP(C28,[4]List1!$A:$D,4,FALSE)=0,"",VLOOKUP(C28,[4]List1!$A:$D,4,FALSE)),"")</f>
        <v>48</v>
      </c>
      <c r="AB28" s="720"/>
      <c r="AC28" s="739" t="str">
        <f>IFERROR(IF(VLOOKUP(C28,[1]List1!$A:$D,2,FALSE)="VYPRODÁNO",$V$9,IF(VLOOKUP(C28,[1]List1!$A:$D,2,FALSE)="DOCHÁZÍ",$V$3,VLOOKUP(C28,[1]List1!$A:$D,2,FALSE))),"OFFLINE!")</f>
        <v>SKLADEM</v>
      </c>
      <c r="AD28" s="740" t="str">
        <f ca="1">IF(AP28="NE",$V$10,IF(AC28=$V$3,IF(AQ28&lt;1,$V$8,$V$2&amp;" "&amp;AQ28&amp;" "&amp;$V$1),IF(AC28="SKLADEM",$V$6,IFERROR(IF(OR(AC28-TODAY()&gt;45,VLOOKUP(C28,[1]List1!$A:$E,4,FALSE)=0),AC28,DAY(AC28)&amp;"."&amp;MONTH(AC28)&amp;"."&amp;YEAR(AC28)&amp;" "&amp;$V$4&amp;VLOOKUP(C28,[1]List1!$A:$E,4,FALSE)&amp;" "&amp;$V$1),AC28))))</f>
        <v>SKLADEM</v>
      </c>
      <c r="AE28" s="716" t="str">
        <f t="shared" ca="1" si="27"/>
        <v>SKLADEM</v>
      </c>
      <c r="AF28" s="723">
        <f t="shared" si="28"/>
        <v>0</v>
      </c>
      <c r="AG28" s="723">
        <f t="shared" si="29"/>
        <v>0</v>
      </c>
      <c r="AH28" s="724">
        <f t="shared" si="30"/>
        <v>0</v>
      </c>
      <c r="AI28" s="716">
        <f t="shared" si="31"/>
        <v>0</v>
      </c>
      <c r="AJ28" s="716">
        <f t="shared" si="32"/>
        <v>0</v>
      </c>
      <c r="AK28" s="716" t="str">
        <f t="shared" si="33"/>
        <v/>
      </c>
      <c r="AL28" s="716" t="str">
        <f t="shared" si="34"/>
        <v/>
      </c>
      <c r="AM28" s="716">
        <f t="shared" si="35"/>
        <v>0</v>
      </c>
      <c r="AN28" s="716">
        <f t="shared" si="36"/>
        <v>0</v>
      </c>
      <c r="AO28" s="380"/>
      <c r="AP28" s="322" t="str">
        <f t="shared" si="37"/>
        <v/>
      </c>
      <c r="AQ28" s="323" t="str">
        <f>IF(AC28=$V$3,IF(VLOOKUP(C28,[1]List1!$A:$E,5,FALSE)=0,1,VLOOKUP(C28,[1]List1!$A:$E,5,FALSE)),"")</f>
        <v/>
      </c>
      <c r="AR28" s="304" t="str">
        <f t="shared" si="38"/>
        <v/>
      </c>
      <c r="AS28" s="423" t="str">
        <f t="shared" si="39"/>
        <v/>
      </c>
      <c r="AT28" s="304" t="str">
        <f t="shared" si="40"/>
        <v/>
      </c>
      <c r="AU28" s="342" t="e">
        <f t="shared" si="41"/>
        <v>#N/A</v>
      </c>
      <c r="AV28" s="304" t="e">
        <f t="shared" si="42"/>
        <v>#N/A</v>
      </c>
      <c r="AX28" s="304">
        <f>IF(AND('General price list'!$J28="F4",'General price list'!$AB28+0&gt;0),1,0)</f>
        <v>0</v>
      </c>
      <c r="AY28" s="304">
        <f t="shared" si="43"/>
        <v>1</v>
      </c>
      <c r="AZ28" s="304">
        <f t="shared" si="44"/>
        <v>0</v>
      </c>
    </row>
    <row r="29" spans="1:53" ht="15" customHeight="1">
      <c r="A29" s="725" t="str">
        <f>Kat.!C29</f>
        <v/>
      </c>
      <c r="B29" s="726">
        <f>IF(AND('General price list'!$J29="F4",$AI$1=FALSE),0,IF(AC29="SKLADEM",1,IF(AC29=$V$3,1,0)))</f>
        <v>0</v>
      </c>
      <c r="C29" s="727" t="s">
        <v>30</v>
      </c>
      <c r="D29" s="728" t="s">
        <v>31</v>
      </c>
      <c r="E29" s="729" t="s">
        <v>14835</v>
      </c>
      <c r="F29" s="725">
        <f>IFERROR(ROUND(IF($AL$3=2,VLOOKUP(C29,[2]List1!$A:$D,2,FALSE)*1.08,VLOOKUP(C29,[2]List1!$A:$D,2,FALSE)),0),"NEUVEDENO!")</f>
        <v>33</v>
      </c>
      <c r="G29" s="730">
        <f t="shared" si="5"/>
        <v>33</v>
      </c>
      <c r="H29" s="731">
        <f t="shared" si="6"/>
        <v>1.3409782639614125</v>
      </c>
      <c r="I29" s="732">
        <v>120</v>
      </c>
      <c r="J29" s="729" t="s">
        <v>23</v>
      </c>
      <c r="K29" s="729"/>
      <c r="L29" s="729" t="s">
        <v>14353</v>
      </c>
      <c r="M29" s="729" t="s">
        <v>25</v>
      </c>
      <c r="N29" s="729">
        <f>IFERROR(VLOOKUP(C29,[3]List1!$A:$D,4,FALSE),"N/A!")</f>
        <v>4.3438749999999998E-2</v>
      </c>
      <c r="O29" s="729">
        <f>IFERROR(VLOOKUP(C29,[3]List1!$A:$D,3,FALSE),"N/A!")</f>
        <v>2400</v>
      </c>
      <c r="P29" s="729">
        <f>IFERROR(VLOOKUP(C29,[3]List1!$A:$D,2,FALSE),"N/A!")</f>
        <v>7800</v>
      </c>
      <c r="Q29" s="729" t="s">
        <v>14306</v>
      </c>
      <c r="R29" s="729" t="s">
        <v>632</v>
      </c>
      <c r="S29" s="729"/>
      <c r="T29" s="729">
        <v>10</v>
      </c>
      <c r="U29" s="729"/>
      <c r="V29" s="729"/>
      <c r="W29" s="729" t="str">
        <f>IFERROR(VLOOKUP('General price list'!$C29,Popisy!A:P,MATCH($W$17,Popisy!$A$7:$P$7,0),FALSE),"---------------")</f>
        <v>velký rotující červeno/zeleno/žlutý efekt-přízemní efekt</v>
      </c>
      <c r="X29" s="729" t="str">
        <f t="shared" si="7"/>
        <v/>
      </c>
      <c r="Y29" s="729" t="str">
        <f t="shared" si="8"/>
        <v/>
      </c>
      <c r="Z29" s="729" t="str">
        <f>HYPERLINK("https://www.klasekpyrotechnics.cz/dp1vr")</f>
        <v>https://www.klasekpyrotechnics.cz/dp1vr</v>
      </c>
      <c r="AA29" s="729" t="str">
        <f>IFERROR(IF(VLOOKUP(C29,[4]List1!$A:$D,4,FALSE)=0,"",VLOOKUP(C29,[4]List1!$A:$D,4,FALSE)),"")</f>
        <v>30</v>
      </c>
      <c r="AB29" s="720"/>
      <c r="AC29" s="733" t="str">
        <f>IFERROR(IF(VLOOKUP(C29,[1]List1!$A:$D,2,FALSE)="VYPRODÁNO",$V$9,IF(VLOOKUP(C29,[1]List1!$A:$D,2,FALSE)="DOCHÁZÍ",$V$3,VLOOKUP(C29,[1]List1!$A:$D,2,FALSE))),"OFFLINE!")</f>
        <v>15.09.2024</v>
      </c>
      <c r="AD29" s="734" t="str">
        <f ca="1">IF(AP29="NE",$V$10,IF(AC29=$V$3,IF(AQ29&lt;1,$V$8,$V$2&amp;" "&amp;AQ29&amp;" "&amp;$V$1),IF(AC29="SKLADEM",$V$6,IFERROR(IF(OR(AC29-TODAY()&gt;45,VLOOKUP(C29,[1]List1!$A:$E,4,FALSE)=0),AC29,DAY(AC29)&amp;"."&amp;MONTH(AC29)&amp;"."&amp;YEAR(AC29)&amp;" "&amp;$V$4&amp;VLOOKUP(C29,[1]List1!$A:$E,4,FALSE)&amp;" "&amp;$V$1),AC29))))</f>
        <v>15.09.2024</v>
      </c>
      <c r="AE29" s="729" t="str">
        <f t="shared" ca="1" si="27"/>
        <v>15.09.2024</v>
      </c>
      <c r="AF29" s="735">
        <f t="shared" si="28"/>
        <v>0</v>
      </c>
      <c r="AG29" s="735">
        <f t="shared" si="29"/>
        <v>0</v>
      </c>
      <c r="AH29" s="736">
        <f t="shared" si="30"/>
        <v>0</v>
      </c>
      <c r="AI29" s="729">
        <f t="shared" si="31"/>
        <v>0</v>
      </c>
      <c r="AJ29" s="729">
        <f t="shared" si="32"/>
        <v>0</v>
      </c>
      <c r="AK29" s="729" t="str">
        <f t="shared" si="33"/>
        <v/>
      </c>
      <c r="AL29" s="729" t="str">
        <f t="shared" si="34"/>
        <v/>
      </c>
      <c r="AM29" s="729">
        <f t="shared" si="35"/>
        <v>0</v>
      </c>
      <c r="AN29" s="729">
        <f t="shared" si="36"/>
        <v>0</v>
      </c>
      <c r="AO29" s="380"/>
      <c r="AP29" s="322" t="str">
        <f t="shared" si="37"/>
        <v/>
      </c>
      <c r="AQ29" s="323" t="str">
        <f>IF(AC29=$V$3,IF(VLOOKUP(C29,[1]List1!$A:$E,5,FALSE)=0,1,VLOOKUP(C29,[1]List1!$A:$E,5,FALSE)),"")</f>
        <v/>
      </c>
      <c r="AR29" s="304" t="str">
        <f t="shared" si="38"/>
        <v/>
      </c>
      <c r="AS29" s="423" t="str">
        <f t="shared" si="39"/>
        <v/>
      </c>
      <c r="AT29" s="304" t="str">
        <f t="shared" si="40"/>
        <v/>
      </c>
      <c r="AU29" s="342" t="e">
        <f t="shared" si="41"/>
        <v>#N/A</v>
      </c>
      <c r="AV29" s="304" t="e">
        <f t="shared" si="42"/>
        <v>#N/A</v>
      </c>
      <c r="AX29" s="304">
        <f>IF(AND('General price list'!$J29="F4",'General price list'!$AB29+0&gt;0),1,0)</f>
        <v>0</v>
      </c>
      <c r="AY29" s="304">
        <f t="shared" si="43"/>
        <v>1</v>
      </c>
      <c r="AZ29" s="304">
        <f t="shared" si="44"/>
        <v>1</v>
      </c>
    </row>
    <row r="30" spans="1:53" ht="15" customHeight="1">
      <c r="A30" s="712" t="str">
        <f>Kat.!C30</f>
        <v/>
      </c>
      <c r="B30" s="737">
        <f>IF(AND('General price list'!$J30="F4",$AI$1=FALSE),0,IF(AC30="SKLADEM",1,IF(AC30=$V$3,1,0)))</f>
        <v>1</v>
      </c>
      <c r="C30" s="714" t="s">
        <v>3189</v>
      </c>
      <c r="D30" s="715" t="s">
        <v>3190</v>
      </c>
      <c r="E30" s="716" t="s">
        <v>11308</v>
      </c>
      <c r="F30" s="712">
        <f>IFERROR(ROUND(IF($AL$3=2,VLOOKUP(C30,[2]List1!$A:$D,2,FALSE)*1.08,VLOOKUP(C30,[2]List1!$A:$D,2,FALSE)),0),"NEUVEDENO!")</f>
        <v>251</v>
      </c>
      <c r="G30" s="717">
        <f t="shared" si="5"/>
        <v>251</v>
      </c>
      <c r="H30" s="718">
        <f t="shared" si="6"/>
        <v>10.19956194710044</v>
      </c>
      <c r="I30" s="738">
        <v>48</v>
      </c>
      <c r="J30" s="716" t="s">
        <v>23</v>
      </c>
      <c r="K30" s="716"/>
      <c r="L30" s="716" t="s">
        <v>24</v>
      </c>
      <c r="M30" s="716" t="s">
        <v>25</v>
      </c>
      <c r="N30" s="716">
        <f>IFERROR(VLOOKUP(C30,[3]List1!$A:$D,4,FALSE),"N/A!")</f>
        <v>7.2139499999999995E-2</v>
      </c>
      <c r="O30" s="716">
        <f>IFERROR(VLOOKUP(C30,[3]List1!$A:$D,3,FALSE),"N/A!")</f>
        <v>2304</v>
      </c>
      <c r="P30" s="716">
        <f>IFERROR(VLOOKUP(C30,[3]List1!$A:$D,2,FALSE),"N/A!")</f>
        <v>10000</v>
      </c>
      <c r="Q30" s="716" t="s">
        <v>14070</v>
      </c>
      <c r="R30" s="716" t="s">
        <v>24</v>
      </c>
      <c r="S30" s="716"/>
      <c r="T30" s="716"/>
      <c r="U30" s="716"/>
      <c r="V30" s="716"/>
      <c r="W30" s="716" t="str">
        <f>IFERROR(VLOOKUP('General price list'!$C30,Popisy!A:P,MATCH($W$17,Popisy!$A$7:$P$7,0),FALSE),"---------------")</f>
        <v>pískající rotující efekt s práskajícími hvězdami</v>
      </c>
      <c r="X30" s="716" t="str">
        <f t="shared" si="7"/>
        <v/>
      </c>
      <c r="Y30" s="716" t="str">
        <f t="shared" si="8"/>
        <v/>
      </c>
      <c r="Z30" s="716" t="str">
        <f>HYPERLINK("https://www.klasekpyrotechnics.cz/dp1sw")</f>
        <v>https://www.klasekpyrotechnics.cz/dp1sw</v>
      </c>
      <c r="AA30" s="716">
        <f>IFERROR(IF(VLOOKUP(C30,[4]List1!$A:$D,4,FALSE)=0,"",VLOOKUP(C30,[4]List1!$A:$D,4,FALSE)),"")</f>
        <v>20</v>
      </c>
      <c r="AB30" s="720"/>
      <c r="AC30" s="739" t="str">
        <f>IFERROR(IF(VLOOKUP(C30,[1]List1!$A:$D,2,FALSE)="VYPRODÁNO",$V$9,IF(VLOOKUP(C30,[1]List1!$A:$D,2,FALSE)="DOCHÁZÍ",$V$3,VLOOKUP(C30,[1]List1!$A:$D,2,FALSE))),"OFFLINE!")</f>
        <v>SKLADEM</v>
      </c>
      <c r="AD30" s="740" t="str">
        <f ca="1">IF(AP30="NE",$V$10,IF(AC30=$V$3,IF(AQ30&lt;1,$V$8,$V$2&amp;" "&amp;AQ30&amp;" "&amp;$V$1),IF(AC30="SKLADEM",$V$6,IFERROR(IF(OR(AC30-TODAY()&gt;45,VLOOKUP(C30,[1]List1!$A:$E,4,FALSE)=0),AC30,DAY(AC30)&amp;"."&amp;MONTH(AC30)&amp;"."&amp;YEAR(AC30)&amp;" "&amp;$V$4&amp;VLOOKUP(C30,[1]List1!$A:$E,4,FALSE)&amp;" "&amp;$V$1),AC30))))</f>
        <v>SKLADEM</v>
      </c>
      <c r="AE30" s="716" t="str">
        <f t="shared" ca="1" si="27"/>
        <v>SKLADEM</v>
      </c>
      <c r="AF30" s="723">
        <f t="shared" si="28"/>
        <v>0</v>
      </c>
      <c r="AG30" s="723">
        <f t="shared" si="29"/>
        <v>0</v>
      </c>
      <c r="AH30" s="724">
        <f t="shared" si="30"/>
        <v>0</v>
      </c>
      <c r="AI30" s="716">
        <f t="shared" si="31"/>
        <v>0</v>
      </c>
      <c r="AJ30" s="716">
        <f t="shared" si="32"/>
        <v>0</v>
      </c>
      <c r="AK30" s="716" t="str">
        <f t="shared" si="33"/>
        <v/>
      </c>
      <c r="AL30" s="716" t="str">
        <f t="shared" si="34"/>
        <v/>
      </c>
      <c r="AM30" s="716">
        <f t="shared" si="35"/>
        <v>0</v>
      </c>
      <c r="AN30" s="716">
        <f t="shared" si="36"/>
        <v>0</v>
      </c>
      <c r="AO30" s="380"/>
      <c r="AP30" s="322" t="str">
        <f t="shared" si="37"/>
        <v/>
      </c>
      <c r="AQ30" s="323" t="str">
        <f>IF(AC30=$V$3,IF(VLOOKUP(C30,[1]List1!$A:$E,5,FALSE)=0,1,VLOOKUP(C30,[1]List1!$A:$E,5,FALSE)),"")</f>
        <v/>
      </c>
      <c r="AR30" s="304" t="str">
        <f t="shared" si="38"/>
        <v/>
      </c>
      <c r="AS30" s="423" t="str">
        <f t="shared" si="39"/>
        <v/>
      </c>
      <c r="AT30" s="304" t="str">
        <f t="shared" si="40"/>
        <v/>
      </c>
      <c r="AU30" s="342" t="e">
        <f t="shared" si="41"/>
        <v>#N/A</v>
      </c>
      <c r="AV30" s="304" t="e">
        <f t="shared" si="42"/>
        <v>#N/A</v>
      </c>
      <c r="AX30" s="304">
        <f>IF(AND('General price list'!$J30="F4",'General price list'!$AB30+0&gt;0),1,0)</f>
        <v>0</v>
      </c>
      <c r="AY30" s="304">
        <f t="shared" si="43"/>
        <v>1</v>
      </c>
      <c r="AZ30" s="304">
        <f t="shared" si="44"/>
        <v>0</v>
      </c>
    </row>
    <row r="31" spans="1:53" ht="15" customHeight="1">
      <c r="A31" s="725" t="str">
        <f>Kat.!C31</f>
        <v/>
      </c>
      <c r="B31" s="726">
        <f>IF(AND('General price list'!$J31="F4",$AI$1=FALSE),0,IF(AC31="SKLADEM",1,IF(AC31=$V$3,1,0)))</f>
        <v>0</v>
      </c>
      <c r="C31" s="727" t="s">
        <v>36</v>
      </c>
      <c r="D31" s="728" t="s">
        <v>37</v>
      </c>
      <c r="E31" s="729" t="s">
        <v>14754</v>
      </c>
      <c r="F31" s="725">
        <f>IFERROR(ROUND(IF($AL$3=2,VLOOKUP(C31,[2]List1!$A:$D,2,FALSE)*1.08,VLOOKUP(C31,[2]List1!$A:$D,2,FALSE)),0),"NEUVEDENO!")</f>
        <v>31</v>
      </c>
      <c r="G31" s="730">
        <f t="shared" si="5"/>
        <v>31</v>
      </c>
      <c r="H31" s="731">
        <f t="shared" si="6"/>
        <v>1.2597068540243572</v>
      </c>
      <c r="I31" s="732">
        <v>90</v>
      </c>
      <c r="J31" s="729" t="s">
        <v>23</v>
      </c>
      <c r="K31" s="729"/>
      <c r="L31" s="729" t="s">
        <v>14354</v>
      </c>
      <c r="M31" s="729" t="s">
        <v>25</v>
      </c>
      <c r="N31" s="729">
        <f>IFERROR(VLOOKUP(C31,[3]List1!$A:$D,4,FALSE),"N/A!")</f>
        <v>2.4016000000000003E-2</v>
      </c>
      <c r="O31" s="729">
        <f>IFERROR(VLOOKUP(C31,[3]List1!$A:$D,3,FALSE),"N/A!")</f>
        <v>2835</v>
      </c>
      <c r="P31" s="729">
        <f>IFERROR(VLOOKUP(C31,[3]List1!$A:$D,2,FALSE),"N/A!")</f>
        <v>8500</v>
      </c>
      <c r="Q31" s="729" t="s">
        <v>217</v>
      </c>
      <c r="R31" s="729" t="s">
        <v>632</v>
      </c>
      <c r="S31" s="729"/>
      <c r="T31" s="729">
        <v>7</v>
      </c>
      <c r="U31" s="729"/>
      <c r="V31" s="729"/>
      <c r="W31" s="729" t="str">
        <f>IFERROR(VLOOKUP('General price list'!$C31,Popisy!A:P,MATCH($W$17,Popisy!$A$7:$P$7,0),FALSE),"---------------")</f>
        <v>rotující červeno-práskající efekt - přízemní efekt</v>
      </c>
      <c r="X31" s="729" t="str">
        <f t="shared" si="7"/>
        <v/>
      </c>
      <c r="Y31" s="729" t="str">
        <f t="shared" si="8"/>
        <v/>
      </c>
      <c r="Z31" s="729" t="str">
        <f>HYPERLINK("https://www.klasekpyrotechnics.cz/dp1t")</f>
        <v>https://www.klasekpyrotechnics.cz/dp1t</v>
      </c>
      <c r="AA31" s="729">
        <f>IFERROR(IF(VLOOKUP(C31,[4]List1!$A:$D,4,FALSE)=0,"",VLOOKUP(C31,[4]List1!$A:$D,4,FALSE)),"")</f>
        <v>66</v>
      </c>
      <c r="AB31" s="720"/>
      <c r="AC31" s="733" t="str">
        <f>IFERROR(IF(VLOOKUP(C31,[1]List1!$A:$D,2,FALSE)="VYPRODÁNO",$V$9,IF(VLOOKUP(C31,[1]List1!$A:$D,2,FALSE)="DOCHÁZÍ",$V$3,VLOOKUP(C31,[1]List1!$A:$D,2,FALSE))),"OFFLINE!")</f>
        <v>20.06.2024</v>
      </c>
      <c r="AD31" s="734" t="str">
        <f ca="1">IF(AP31="NE",$V$10,IF(AC31=$V$3,IF(AQ31&lt;1,$V$8,$V$2&amp;" "&amp;AQ31&amp;" "&amp;$V$1),IF(AC31="SKLADEM",$V$6,IFERROR(IF(OR(AC31-TODAY()&gt;45,VLOOKUP(C31,[1]List1!$A:$E,4,FALSE)=0),AC31,DAY(AC31)&amp;"."&amp;MONTH(AC31)&amp;"."&amp;YEAR(AC31)&amp;" "&amp;$V$4&amp;VLOOKUP(C31,[1]List1!$A:$E,4,FALSE)&amp;" "&amp;$V$1),AC31))))</f>
        <v>20.06.2024</v>
      </c>
      <c r="AE31" s="729" t="str">
        <f t="shared" ca="1" si="27"/>
        <v>20.06.2024</v>
      </c>
      <c r="AF31" s="735">
        <f t="shared" si="28"/>
        <v>0</v>
      </c>
      <c r="AG31" s="735">
        <f t="shared" si="29"/>
        <v>0</v>
      </c>
      <c r="AH31" s="736">
        <f t="shared" si="30"/>
        <v>0</v>
      </c>
      <c r="AI31" s="729">
        <f t="shared" si="31"/>
        <v>0</v>
      </c>
      <c r="AJ31" s="729">
        <f t="shared" si="32"/>
        <v>0</v>
      </c>
      <c r="AK31" s="729" t="str">
        <f t="shared" si="33"/>
        <v/>
      </c>
      <c r="AL31" s="729" t="str">
        <f t="shared" si="34"/>
        <v/>
      </c>
      <c r="AM31" s="729">
        <f t="shared" si="35"/>
        <v>0</v>
      </c>
      <c r="AN31" s="729">
        <f t="shared" si="36"/>
        <v>0</v>
      </c>
      <c r="AO31" s="380"/>
      <c r="AP31" s="322" t="str">
        <f t="shared" si="37"/>
        <v/>
      </c>
      <c r="AQ31" s="323" t="str">
        <f>IF(AC31=$V$3,IF(VLOOKUP(C31,[1]List1!$A:$E,5,FALSE)=0,1,VLOOKUP(C31,[1]List1!$A:$E,5,FALSE)),"")</f>
        <v/>
      </c>
      <c r="AR31" s="304" t="str">
        <f t="shared" si="38"/>
        <v/>
      </c>
      <c r="AS31" s="423" t="str">
        <f t="shared" si="39"/>
        <v/>
      </c>
      <c r="AT31" s="304" t="str">
        <f t="shared" si="40"/>
        <v/>
      </c>
      <c r="AU31" s="342" t="e">
        <f t="shared" si="41"/>
        <v>#N/A</v>
      </c>
      <c r="AV31" s="304" t="e">
        <f t="shared" si="42"/>
        <v>#N/A</v>
      </c>
      <c r="AX31" s="304">
        <f>IF(AND('General price list'!$J31="F4",'General price list'!$AB31+0&gt;0),1,0)</f>
        <v>0</v>
      </c>
      <c r="AY31" s="304">
        <f t="shared" si="43"/>
        <v>1</v>
      </c>
      <c r="AZ31" s="304">
        <f t="shared" si="44"/>
        <v>1</v>
      </c>
    </row>
    <row r="32" spans="1:53" ht="15" customHeight="1">
      <c r="A32" s="712" t="str">
        <f>Kat.!C32</f>
        <v>×</v>
      </c>
      <c r="B32" s="737">
        <f>IF(AND('General price list'!$J32="F4",$AI$1=FALSE),0,IF(AC32="SKLADEM",1,IF(AC32=$V$3,1,0)))</f>
        <v>1</v>
      </c>
      <c r="C32" s="714" t="s">
        <v>41</v>
      </c>
      <c r="D32" s="715" t="s">
        <v>42</v>
      </c>
      <c r="E32" s="716" t="s">
        <v>35</v>
      </c>
      <c r="F32" s="712">
        <f>IFERROR(ROUND(IF($AL$3=2,VLOOKUP(C32,[2]List1!$A:$D,2,FALSE)*1.08,VLOOKUP(C32,[2]List1!$A:$D,2,FALSE)),0),"NEUVEDENO!")</f>
        <v>217</v>
      </c>
      <c r="G32" s="717">
        <f t="shared" si="5"/>
        <v>217</v>
      </c>
      <c r="H32" s="718">
        <f t="shared" si="6"/>
        <v>8.8179479781704995</v>
      </c>
      <c r="I32" s="738">
        <v>15</v>
      </c>
      <c r="J32" s="716" t="s">
        <v>23</v>
      </c>
      <c r="K32" s="716"/>
      <c r="L32" s="716" t="s">
        <v>24</v>
      </c>
      <c r="M32" s="716" t="s">
        <v>25</v>
      </c>
      <c r="N32" s="716">
        <f>IFERROR(VLOOKUP(C32,[3]List1!$A:$D,4,FALSE),"N/A!")</f>
        <v>2.4016000000000003E-2</v>
      </c>
      <c r="O32" s="716">
        <f>IFERROR(VLOOKUP(C32,[3]List1!$A:$D,3,FALSE),"N/A!")</f>
        <v>2835</v>
      </c>
      <c r="P32" s="716">
        <f>IFERROR(VLOOKUP(C32,[3]List1!$A:$D,2,FALSE),"N/A!")</f>
        <v>8545</v>
      </c>
      <c r="Q32" s="716" t="s">
        <v>160</v>
      </c>
      <c r="R32" s="716" t="s">
        <v>2788</v>
      </c>
      <c r="S32" s="716"/>
      <c r="T32" s="716">
        <v>7</v>
      </c>
      <c r="U32" s="716"/>
      <c r="V32" s="716"/>
      <c r="W32" s="716" t="str">
        <f>IFERROR(VLOOKUP('General price list'!$C32,Popisy!A:P,MATCH($W$17,Popisy!$A$7:$P$7,0),FALSE),"---------------")</f>
        <v>rotující červeno-práskající efekt - přízemní efekt</v>
      </c>
      <c r="X32" s="716" t="str">
        <f t="shared" si="7"/>
        <v/>
      </c>
      <c r="Y32" s="716" t="str">
        <f t="shared" si="8"/>
        <v/>
      </c>
      <c r="Z32" s="716" t="str">
        <f>HYPERLINK("https://www.klasekpyrotechnics.cz/dp1tsk")</f>
        <v>https://www.klasekpyrotechnics.cz/dp1tsk</v>
      </c>
      <c r="AA32" s="716">
        <f>IFERROR(IF(VLOOKUP(C32,[4]List1!$A:$D,4,FALSE)=0,"",VLOOKUP(C32,[4]List1!$A:$D,4,FALSE)),"")</f>
        <v>66</v>
      </c>
      <c r="AB32" s="720"/>
      <c r="AC32" s="739" t="str">
        <f>IFERROR(IF(VLOOKUP(C32,[1]List1!$A:$D,2,FALSE)="VYPRODÁNO",$V$9,IF(VLOOKUP(C32,[1]List1!$A:$D,2,FALSE)="DOCHÁZÍ",$V$3,VLOOKUP(C32,[1]List1!$A:$D,2,FALSE))),"OFFLINE!")</f>
        <v>SKLADEM</v>
      </c>
      <c r="AD32" s="740" t="str">
        <f ca="1">IF(AP32="NE",$V$10,IF(AC32=$V$3,IF(AQ32&lt;1,$V$8,$V$2&amp;" "&amp;AQ32&amp;" "&amp;$V$1),IF(AC32="SKLADEM",$V$6,IFERROR(IF(OR(AC32-TODAY()&gt;45,VLOOKUP(C32,[1]List1!$A:$E,4,FALSE)=0),AC32,DAY(AC32)&amp;"."&amp;MONTH(AC32)&amp;"."&amp;YEAR(AC32)&amp;" "&amp;$V$4&amp;VLOOKUP(C32,[1]List1!$A:$E,4,FALSE)&amp;" "&amp;$V$1),AC32))))</f>
        <v>SKLADEM</v>
      </c>
      <c r="AE32" s="716" t="str">
        <f t="shared" ca="1" si="27"/>
        <v>SKLADEM</v>
      </c>
      <c r="AF32" s="723">
        <f t="shared" si="28"/>
        <v>0</v>
      </c>
      <c r="AG32" s="723">
        <f t="shared" si="29"/>
        <v>0</v>
      </c>
      <c r="AH32" s="724">
        <f t="shared" si="30"/>
        <v>0</v>
      </c>
      <c r="AI32" s="716">
        <f t="shared" si="31"/>
        <v>0</v>
      </c>
      <c r="AJ32" s="716">
        <f t="shared" si="32"/>
        <v>0</v>
      </c>
      <c r="AK32" s="716" t="str">
        <f t="shared" si="33"/>
        <v/>
      </c>
      <c r="AL32" s="716" t="str">
        <f t="shared" si="34"/>
        <v/>
      </c>
      <c r="AM32" s="716">
        <f t="shared" si="35"/>
        <v>0</v>
      </c>
      <c r="AN32" s="716">
        <f t="shared" si="36"/>
        <v>0</v>
      </c>
      <c r="AO32" s="380"/>
      <c r="AP32" s="322" t="str">
        <f t="shared" si="37"/>
        <v/>
      </c>
      <c r="AQ32" s="323" t="str">
        <f>IF(AC32=$V$3,IF(VLOOKUP(C32,[1]List1!$A:$E,5,FALSE)=0,1,VLOOKUP(C32,[1]List1!$A:$E,5,FALSE)),"")</f>
        <v/>
      </c>
      <c r="AR32" s="304" t="str">
        <f t="shared" si="38"/>
        <v/>
      </c>
      <c r="AS32" s="423" t="str">
        <f t="shared" si="39"/>
        <v/>
      </c>
      <c r="AT32" s="304" t="str">
        <f t="shared" si="40"/>
        <v/>
      </c>
      <c r="AU32" s="342" t="e">
        <f t="shared" si="41"/>
        <v>#N/A</v>
      </c>
      <c r="AV32" s="304" t="e">
        <f t="shared" si="42"/>
        <v>#N/A</v>
      </c>
      <c r="AX32" s="304">
        <f>IF(AND('General price list'!$J32="F4",'General price list'!$AB32+0&gt;0),1,0)</f>
        <v>0</v>
      </c>
      <c r="AY32" s="304">
        <f t="shared" si="43"/>
        <v>1</v>
      </c>
      <c r="AZ32" s="304">
        <f t="shared" si="44"/>
        <v>0</v>
      </c>
    </row>
    <row r="33" spans="1:52" ht="15" customHeight="1">
      <c r="A33" s="725" t="str">
        <f>Kat.!C33</f>
        <v/>
      </c>
      <c r="B33" s="726">
        <f>IF(AND('General price list'!$J33="F4",$AI$1=FALSE),0,IF(AC33="SKLADEM",1,IF(AC33=$V$3,1,0)))</f>
        <v>0</v>
      </c>
      <c r="C33" s="727" t="s">
        <v>43</v>
      </c>
      <c r="D33" s="728" t="s">
        <v>14514</v>
      </c>
      <c r="E33" s="729" t="s">
        <v>44</v>
      </c>
      <c r="F33" s="725">
        <f>IFERROR(ROUND(IF($AL$3=2,VLOOKUP(C33,[2]List1!$A:$D,2,FALSE)*1.08,VLOOKUP(C33,[2]List1!$A:$D,2,FALSE)),0),"NEUVEDENO!")</f>
        <v>756</v>
      </c>
      <c r="G33" s="730">
        <f t="shared" si="5"/>
        <v>756</v>
      </c>
      <c r="H33" s="731">
        <f t="shared" si="6"/>
        <v>30.720592956206904</v>
      </c>
      <c r="I33" s="732">
        <v>4</v>
      </c>
      <c r="J33" s="729" t="s">
        <v>23</v>
      </c>
      <c r="K33" s="729"/>
      <c r="L33" s="729" t="s">
        <v>14355</v>
      </c>
      <c r="M33" s="729" t="s">
        <v>25</v>
      </c>
      <c r="N33" s="729">
        <f>IFERROR(VLOOKUP(C33,[3]List1!$A:$D,4,FALSE),"N/A!")</f>
        <v>1.9906249999999997E-2</v>
      </c>
      <c r="O33" s="729">
        <f>IFERROR(VLOOKUP(C33,[3]List1!$A:$D,3,FALSE),"N/A!")</f>
        <v>2112</v>
      </c>
      <c r="P33" s="729">
        <f>IFERROR(VLOOKUP(C33,[3]List1!$A:$D,2,FALSE),"N/A!")</f>
        <v>3200</v>
      </c>
      <c r="Q33" s="729" t="s">
        <v>14072</v>
      </c>
      <c r="R33" s="729" t="s">
        <v>45</v>
      </c>
      <c r="S33" s="729"/>
      <c r="T33" s="729"/>
      <c r="U33" s="729"/>
      <c r="V33" s="729"/>
      <c r="W33" s="729" t="str">
        <f>IFERROR(VLOOKUP('General price list'!$C33,Popisy!A:P,MATCH($W$17,Popisy!$A$7:$P$7,0),FALSE),"---------------")</f>
        <v xml:space="preserve">práskající efekt, délka 20cm, </v>
      </c>
      <c r="X33" s="729" t="str">
        <f t="shared" si="7"/>
        <v/>
      </c>
      <c r="Y33" s="729" t="str">
        <f t="shared" si="8"/>
        <v/>
      </c>
      <c r="Z33" s="729" t="str">
        <f>HYPERLINK("https://www.klasekpyrotechnics.cz/dp1z20")</f>
        <v>https://www.klasekpyrotechnics.cz/dp1z20</v>
      </c>
      <c r="AA33" s="729">
        <f>IFERROR(IF(VLOOKUP(C33,[4]List1!$A:$D,4,FALSE)=0,"",VLOOKUP(C33,[4]List1!$A:$D,4,FALSE)),"")</f>
        <v>54</v>
      </c>
      <c r="AB33" s="720"/>
      <c r="AC33" s="733" t="str">
        <f>IFERROR(IF(VLOOKUP(C33,[1]List1!$A:$D,2,FALSE)="VYPRODÁNO",$V$9,IF(VLOOKUP(C33,[1]List1!$A:$D,2,FALSE)="DOCHÁZÍ",$V$3,VLOOKUP(C33,[1]List1!$A:$D,2,FALSE))),"OFFLINE!")</f>
        <v>20.03.2024</v>
      </c>
      <c r="AD33" s="734" t="str">
        <f ca="1">IF(AP33="NE",$V$10,IF(AC33=$V$3,IF(AQ33&lt;1,$V$8,$V$2&amp;" "&amp;AQ33&amp;" "&amp;$V$1),IF(AC33="SKLADEM",$V$6,IFERROR(IF(OR(AC33-TODAY()&gt;45,VLOOKUP(C33,[1]List1!$A:$E,4,FALSE)=0),AC33,DAY(AC33)&amp;"."&amp;MONTH(AC33)&amp;"."&amp;YEAR(AC33)&amp;" "&amp;$V$4&amp;VLOOKUP(C33,[1]List1!$A:$E,4,FALSE)&amp;" "&amp;$V$1),AC33))))</f>
        <v>20.3.2024 DORAZÍ 100+ VK</v>
      </c>
      <c r="AE33" s="729" t="str">
        <f t="shared" ca="1" si="27"/>
        <v>20.3.2024 DORAZÍ 100+ VK</v>
      </c>
      <c r="AF33" s="735">
        <f t="shared" si="28"/>
        <v>0</v>
      </c>
      <c r="AG33" s="735">
        <f t="shared" si="29"/>
        <v>0</v>
      </c>
      <c r="AH33" s="736">
        <f t="shared" si="30"/>
        <v>0</v>
      </c>
      <c r="AI33" s="729">
        <f t="shared" si="31"/>
        <v>0</v>
      </c>
      <c r="AJ33" s="729">
        <f t="shared" si="32"/>
        <v>0</v>
      </c>
      <c r="AK33" s="729" t="str">
        <f t="shared" si="33"/>
        <v/>
      </c>
      <c r="AL33" s="729" t="str">
        <f t="shared" si="34"/>
        <v/>
      </c>
      <c r="AM33" s="729">
        <f t="shared" si="35"/>
        <v>0</v>
      </c>
      <c r="AN33" s="729">
        <f t="shared" si="36"/>
        <v>0</v>
      </c>
      <c r="AO33" s="380"/>
      <c r="AP33" s="322" t="str">
        <f t="shared" si="37"/>
        <v/>
      </c>
      <c r="AQ33" s="323" t="str">
        <f>IF(AC33=$V$3,IF(VLOOKUP(C33,[1]List1!$A:$E,5,FALSE)=0,1,VLOOKUP(C33,[1]List1!$A:$E,5,FALSE)),"")</f>
        <v/>
      </c>
      <c r="AR33" s="304" t="str">
        <f t="shared" si="38"/>
        <v/>
      </c>
      <c r="AS33" s="423" t="str">
        <f t="shared" si="39"/>
        <v/>
      </c>
      <c r="AT33" s="304" t="str">
        <f t="shared" si="40"/>
        <v/>
      </c>
      <c r="AU33" s="342" t="e">
        <f t="shared" si="41"/>
        <v>#N/A</v>
      </c>
      <c r="AV33" s="304" t="e">
        <f t="shared" si="42"/>
        <v>#N/A</v>
      </c>
      <c r="AX33" s="304">
        <f>IF(AND('General price list'!$J33="F4",'General price list'!$AB33+0&gt;0),1,0)</f>
        <v>0</v>
      </c>
      <c r="AY33" s="304">
        <f t="shared" si="43"/>
        <v>1</v>
      </c>
      <c r="AZ33" s="304">
        <f t="shared" si="44"/>
        <v>1</v>
      </c>
    </row>
    <row r="34" spans="1:52" ht="15" customHeight="1">
      <c r="A34" s="712" t="str">
        <f>Kat.!C34</f>
        <v/>
      </c>
      <c r="B34" s="737">
        <f>IF(AND('General price list'!$J34="F4",$AI$1=FALSE),0,IF(AC34="SKLADEM",1,IF(AC34=$V$3,1,0)))</f>
        <v>1</v>
      </c>
      <c r="C34" s="714" t="s">
        <v>11995</v>
      </c>
      <c r="D34" s="715" t="s">
        <v>14515</v>
      </c>
      <c r="E34" s="716" t="s">
        <v>11996</v>
      </c>
      <c r="F34" s="712">
        <f>IFERROR(ROUND(IF($AL$3=2,VLOOKUP(C34,[2]List1!$A:$D,2,FALSE)*1.08,VLOOKUP(C34,[2]List1!$A:$D,2,FALSE)),0),"NEUVEDENO!")</f>
        <v>43</v>
      </c>
      <c r="G34" s="717">
        <f t="shared" si="5"/>
        <v>43</v>
      </c>
      <c r="H34" s="718">
        <f t="shared" si="6"/>
        <v>1.7473353136466889</v>
      </c>
      <c r="I34" s="738">
        <v>72</v>
      </c>
      <c r="J34" s="716" t="s">
        <v>23</v>
      </c>
      <c r="K34" s="716"/>
      <c r="L34" s="716" t="s">
        <v>14355</v>
      </c>
      <c r="M34" s="716" t="s">
        <v>25</v>
      </c>
      <c r="N34" s="716">
        <f>IFERROR(VLOOKUP(C34,[3]List1!$A:$D,4,FALSE),"N/A!")</f>
        <v>2.4960000000000006E-2</v>
      </c>
      <c r="O34" s="716">
        <f>IFERROR(VLOOKUP(C34,[3]List1!$A:$D,3,FALSE),"N/A!")</f>
        <v>1296</v>
      </c>
      <c r="P34" s="716">
        <f>IFERROR(VLOOKUP(C34,[3]List1!$A:$D,2,FALSE),"N/A!")</f>
        <v>4000</v>
      </c>
      <c r="Q34" s="716" t="s">
        <v>632</v>
      </c>
      <c r="R34" s="716" t="s">
        <v>24</v>
      </c>
      <c r="S34" s="716"/>
      <c r="T34" s="716"/>
      <c r="U34" s="716"/>
      <c r="V34" s="716"/>
      <c r="W34" s="716" t="str">
        <f>IFERROR(VLOOKUP('General price list'!$C34,Popisy!A:P,MATCH($W$17,Popisy!$A$7:$P$7,0),FALSE),"---------------")</f>
        <v xml:space="preserve">práskající efekt, délka 50cm </v>
      </c>
      <c r="X34" s="716" t="str">
        <f t="shared" si="7"/>
        <v/>
      </c>
      <c r="Y34" s="716" t="str">
        <f t="shared" si="8"/>
        <v/>
      </c>
      <c r="Z34" s="716" t="str">
        <f>HYPERLINK("https://www.klasekpyrotechnics.cz/dp1z50")</f>
        <v>https://www.klasekpyrotechnics.cz/dp1z50</v>
      </c>
      <c r="AA34" s="716">
        <f>IFERROR(IF(VLOOKUP(C34,[4]List1!$A:$D,4,FALSE)=0,"",VLOOKUP(C34,[4]List1!$A:$D,4,FALSE)),"")</f>
        <v>50</v>
      </c>
      <c r="AB34" s="720"/>
      <c r="AC34" s="739" t="str">
        <f>IFERROR(IF(VLOOKUP(C34,[1]List1!$A:$D,2,FALSE)="VYPRODÁNO",$V$9,IF(VLOOKUP(C34,[1]List1!$A:$D,2,FALSE)="DOCHÁZÍ",$V$3,VLOOKUP(C34,[1]List1!$A:$D,2,FALSE))),"OFFLINE!")</f>
        <v>SKLADEM</v>
      </c>
      <c r="AD34" s="740" t="str">
        <f ca="1">IF(AP34="NE",$V$10,IF(AC34=$V$3,IF(AQ34&lt;1,$V$8,$V$2&amp;" "&amp;AQ34&amp;" "&amp;$V$1),IF(AC34="SKLADEM",$V$6,IFERROR(IF(OR(AC34-TODAY()&gt;45,VLOOKUP(C34,[1]List1!$A:$E,4,FALSE)=0),AC34,DAY(AC34)&amp;"."&amp;MONTH(AC34)&amp;"."&amp;YEAR(AC34)&amp;" "&amp;$V$4&amp;VLOOKUP(C34,[1]List1!$A:$E,4,FALSE)&amp;" "&amp;$V$1),AC34))))</f>
        <v>SKLADEM</v>
      </c>
      <c r="AE34" s="716" t="str">
        <f t="shared" ca="1" si="27"/>
        <v>SKLADEM</v>
      </c>
      <c r="AF34" s="723">
        <f t="shared" si="28"/>
        <v>0</v>
      </c>
      <c r="AG34" s="723">
        <f t="shared" si="29"/>
        <v>0</v>
      </c>
      <c r="AH34" s="724">
        <f t="shared" si="30"/>
        <v>0</v>
      </c>
      <c r="AI34" s="716">
        <f t="shared" si="31"/>
        <v>0</v>
      </c>
      <c r="AJ34" s="716">
        <f t="shared" si="32"/>
        <v>0</v>
      </c>
      <c r="AK34" s="716" t="str">
        <f t="shared" si="33"/>
        <v/>
      </c>
      <c r="AL34" s="716" t="str">
        <f t="shared" si="34"/>
        <v/>
      </c>
      <c r="AM34" s="716">
        <f t="shared" si="35"/>
        <v>0</v>
      </c>
      <c r="AN34" s="716">
        <f t="shared" si="36"/>
        <v>0</v>
      </c>
      <c r="AO34" s="380"/>
      <c r="AP34" s="322" t="str">
        <f t="shared" si="37"/>
        <v/>
      </c>
      <c r="AQ34" s="323" t="str">
        <f>IF(AC34=$V$3,IF(VLOOKUP(C34,[1]List1!$A:$E,5,FALSE)=0,1,VLOOKUP(C34,[1]List1!$A:$E,5,FALSE)),"")</f>
        <v/>
      </c>
      <c r="AR34" s="304" t="str">
        <f t="shared" si="38"/>
        <v/>
      </c>
      <c r="AS34" s="423" t="str">
        <f t="shared" si="39"/>
        <v/>
      </c>
      <c r="AT34" s="304" t="str">
        <f t="shared" si="40"/>
        <v/>
      </c>
      <c r="AU34" s="342" t="e">
        <f t="shared" si="41"/>
        <v>#N/A</v>
      </c>
      <c r="AV34" s="304" t="e">
        <f t="shared" si="42"/>
        <v>#N/A</v>
      </c>
      <c r="AX34" s="304">
        <f>IF(AND('General price list'!$J34="F4",'General price list'!$AB34+0&gt;0),1,0)</f>
        <v>0</v>
      </c>
      <c r="AY34" s="304">
        <f t="shared" si="43"/>
        <v>1</v>
      </c>
      <c r="AZ34" s="304">
        <f t="shared" si="44"/>
        <v>0</v>
      </c>
    </row>
    <row r="35" spans="1:52" ht="15" customHeight="1">
      <c r="A35" s="725" t="str">
        <f>Kat.!C35</f>
        <v/>
      </c>
      <c r="B35" s="726">
        <f>IF(AND('General price list'!$J35="F4",$AI$1=FALSE),0,IF(AC35="SKLADEM",1,IF(AC35=$V$3,1,0)))</f>
        <v>1</v>
      </c>
      <c r="C35" s="727" t="s">
        <v>12352</v>
      </c>
      <c r="D35" s="728" t="s">
        <v>14516</v>
      </c>
      <c r="E35" s="729" t="s">
        <v>11997</v>
      </c>
      <c r="F35" s="725">
        <f>IFERROR(ROUND(IF($AL$3=2,VLOOKUP(C35,[2]List1!$A:$D,2,FALSE)*1.08,VLOOKUP(C35,[2]List1!$A:$D,2,FALSE)),0),"NEUVEDENO!")</f>
        <v>139</v>
      </c>
      <c r="G35" s="730">
        <f t="shared" si="5"/>
        <v>139</v>
      </c>
      <c r="H35" s="731">
        <f t="shared" si="6"/>
        <v>5.6483629906253432</v>
      </c>
      <c r="I35" s="732">
        <v>20</v>
      </c>
      <c r="J35" s="729" t="s">
        <v>23</v>
      </c>
      <c r="K35" s="729"/>
      <c r="L35" s="729" t="s">
        <v>24</v>
      </c>
      <c r="M35" s="729" t="s">
        <v>25</v>
      </c>
      <c r="N35" s="729">
        <f>IFERROR(VLOOKUP(C35,[3]List1!$A:$D,4,FALSE),"N/A!")</f>
        <v>1.5912000000000003E-2</v>
      </c>
      <c r="O35" s="729">
        <f>IFERROR(VLOOKUP(C35,[3]List1!$A:$D,3,FALSE),"N/A!")</f>
        <v>768.00000000000011</v>
      </c>
      <c r="P35" s="729">
        <f>IFERROR(VLOOKUP(C35,[3]List1!$A:$D,2,FALSE),"N/A!")</f>
        <v>4000</v>
      </c>
      <c r="Q35" s="729" t="s">
        <v>632</v>
      </c>
      <c r="R35" s="729" t="s">
        <v>640</v>
      </c>
      <c r="S35" s="729"/>
      <c r="T35" s="729">
        <v>5</v>
      </c>
      <c r="U35" s="729"/>
      <c r="V35" s="729"/>
      <c r="W35" s="729" t="str">
        <f>IFERROR(VLOOKUP('General price list'!$C35,Popisy!A:P,MATCH($W$17,Popisy!$A$7:$P$7,0),FALSE),"---------------")</f>
        <v>práskající granule</v>
      </c>
      <c r="X35" s="729" t="str">
        <f t="shared" si="7"/>
        <v/>
      </c>
      <c r="Y35" s="729" t="str">
        <f t="shared" si="8"/>
        <v/>
      </c>
      <c r="Z35" s="729" t="str">
        <f>HYPERLINK("https://www.klasekpyrotechnics.cz/cdk1")</f>
        <v>https://www.klasekpyrotechnics.cz/cdk1</v>
      </c>
      <c r="AA35" s="729">
        <f>IFERROR(IF(VLOOKUP(C35,[4]List1!$A:$D,4,FALSE)=0,"",VLOOKUP(C35,[4]List1!$A:$D,4,FALSE)),"")</f>
        <v>90</v>
      </c>
      <c r="AB35" s="720"/>
      <c r="AC35" s="733" t="str">
        <f>IFERROR(IF(VLOOKUP(C35,[1]List1!$A:$D,2,FALSE)="VYPRODÁNO",$V$9,IF(VLOOKUP(C35,[1]List1!$A:$D,2,FALSE)="DOCHÁZÍ",$V$3,VLOOKUP(C35,[1]List1!$A:$D,2,FALSE))),"OFFLINE!")</f>
        <v>SKLADEM</v>
      </c>
      <c r="AD35" s="734" t="str">
        <f ca="1">IF(AP35="NE",$V$10,IF(AC35=$V$3,IF(AQ35&lt;1,$V$8,$V$2&amp;" "&amp;AQ35&amp;" "&amp;$V$1),IF(AC35="SKLADEM",$V$6,IFERROR(IF(OR(AC35-TODAY()&gt;45,VLOOKUP(C35,[1]List1!$A:$E,4,FALSE)=0),AC35,DAY(AC35)&amp;"."&amp;MONTH(AC35)&amp;"."&amp;YEAR(AC35)&amp;" "&amp;$V$4&amp;VLOOKUP(C35,[1]List1!$A:$E,4,FALSE)&amp;" "&amp;$V$1),AC35))))</f>
        <v>SKLADEM</v>
      </c>
      <c r="AE35" s="729" t="str">
        <f t="shared" ca="1" si="27"/>
        <v>SKLADEM</v>
      </c>
      <c r="AF35" s="735">
        <f t="shared" si="28"/>
        <v>0</v>
      </c>
      <c r="AG35" s="735">
        <f t="shared" si="29"/>
        <v>0</v>
      </c>
      <c r="AH35" s="736">
        <f t="shared" si="30"/>
        <v>0</v>
      </c>
      <c r="AI35" s="729">
        <f t="shared" si="31"/>
        <v>0</v>
      </c>
      <c r="AJ35" s="729">
        <f t="shared" si="32"/>
        <v>0</v>
      </c>
      <c r="AK35" s="729" t="str">
        <f t="shared" si="33"/>
        <v/>
      </c>
      <c r="AL35" s="729" t="str">
        <f t="shared" si="34"/>
        <v/>
      </c>
      <c r="AM35" s="729">
        <f t="shared" si="35"/>
        <v>0</v>
      </c>
      <c r="AN35" s="729">
        <f t="shared" si="36"/>
        <v>0</v>
      </c>
      <c r="AO35" s="380"/>
      <c r="AP35" s="322" t="str">
        <f t="shared" si="37"/>
        <v/>
      </c>
      <c r="AQ35" s="323" t="str">
        <f>IF(AC35=$V$3,IF(VLOOKUP(C35,[1]List1!$A:$E,5,FALSE)=0,1,VLOOKUP(C35,[1]List1!$A:$E,5,FALSE)),"")</f>
        <v/>
      </c>
      <c r="AR35" s="304" t="str">
        <f t="shared" si="38"/>
        <v/>
      </c>
      <c r="AS35" s="423" t="str">
        <f t="shared" si="39"/>
        <v/>
      </c>
      <c r="AT35" s="304" t="str">
        <f t="shared" si="40"/>
        <v/>
      </c>
      <c r="AU35" s="342" t="e">
        <f t="shared" si="41"/>
        <v>#N/A</v>
      </c>
      <c r="AV35" s="304" t="e">
        <f t="shared" si="42"/>
        <v>#N/A</v>
      </c>
      <c r="AX35" s="304">
        <f>IF(AND('General price list'!$J35="F4",'General price list'!$AB35+0&gt;0),1,0)</f>
        <v>0</v>
      </c>
      <c r="AY35" s="304">
        <f t="shared" si="43"/>
        <v>1</v>
      </c>
      <c r="AZ35" s="304">
        <f t="shared" si="44"/>
        <v>1</v>
      </c>
    </row>
    <row r="36" spans="1:52" ht="15" customHeight="1">
      <c r="A36" s="712" t="str">
        <f>Kat.!C36</f>
        <v>×</v>
      </c>
      <c r="B36" s="737">
        <f>IF(AND('General price list'!$J36="F4",$AI$1=FALSE),0,IF(AC36="SKLADEM",1,IF(AC36=$V$3,1,0)))</f>
        <v>1</v>
      </c>
      <c r="C36" s="714" t="s">
        <v>12353</v>
      </c>
      <c r="D36" s="715" t="s">
        <v>14516</v>
      </c>
      <c r="E36" s="716" t="s">
        <v>11997</v>
      </c>
      <c r="F36" s="712">
        <f>IFERROR(ROUND(IF($AL$3=2,VLOOKUP(C36,[2]List1!$A:$D,2,FALSE)*1.08,VLOOKUP(C36,[2]List1!$A:$D,2,FALSE)),0),"NEUVEDENO!")</f>
        <v>139</v>
      </c>
      <c r="G36" s="717">
        <f t="shared" si="5"/>
        <v>139</v>
      </c>
      <c r="H36" s="718">
        <f t="shared" si="6"/>
        <v>5.6483629906253432</v>
      </c>
      <c r="I36" s="738">
        <v>20</v>
      </c>
      <c r="J36" s="716" t="s">
        <v>23</v>
      </c>
      <c r="K36" s="716"/>
      <c r="L36" s="716" t="s">
        <v>24</v>
      </c>
      <c r="M36" s="716" t="s">
        <v>25</v>
      </c>
      <c r="N36" s="716">
        <f>IFERROR(VLOOKUP(C36,[3]List1!$A:$D,4,FALSE),"N/A!")</f>
        <v>1.5912000000000003E-2</v>
      </c>
      <c r="O36" s="716">
        <f>IFERROR(VLOOKUP(C36,[3]List1!$A:$D,3,FALSE),"N/A!")</f>
        <v>768.00000000000011</v>
      </c>
      <c r="P36" s="716">
        <f>IFERROR(VLOOKUP(C36,[3]List1!$A:$D,2,FALSE),"N/A!")</f>
        <v>4000</v>
      </c>
      <c r="Q36" s="716" t="s">
        <v>632</v>
      </c>
      <c r="R36" s="716" t="s">
        <v>11317</v>
      </c>
      <c r="S36" s="716"/>
      <c r="T36" s="716">
        <v>5</v>
      </c>
      <c r="U36" s="716"/>
      <c r="V36" s="716"/>
      <c r="W36" s="716" t="str">
        <f>IFERROR(VLOOKUP('General price list'!$C36,Popisy!A:P,MATCH($W$17,Popisy!$A$7:$P$7,0),FALSE),"---------------")</f>
        <v>práskající granule</v>
      </c>
      <c r="X36" s="716" t="str">
        <f t="shared" si="7"/>
        <v/>
      </c>
      <c r="Y36" s="716" t="str">
        <f t="shared" si="8"/>
        <v/>
      </c>
      <c r="Z36" s="716" t="str">
        <f>HYPERLINK("https://www.klasekpyrotechnics.cz/cdk1_1")</f>
        <v>https://www.klasekpyrotechnics.cz/cdk1_1</v>
      </c>
      <c r="AA36" s="716">
        <f>IFERROR(IF(VLOOKUP(C36,[4]List1!$A:$D,4,FALSE)=0,"",VLOOKUP(C36,[4]List1!$A:$D,4,FALSE)),"")</f>
        <v>90</v>
      </c>
      <c r="AB36" s="720"/>
      <c r="AC36" s="739" t="str">
        <f>IFERROR(IF(VLOOKUP(C36,[1]List1!$A:$D,2,FALSE)="VYPRODÁNO",$V$9,IF(VLOOKUP(C36,[1]List1!$A:$D,2,FALSE)="DOCHÁZÍ",$V$3,VLOOKUP(C36,[1]List1!$A:$D,2,FALSE))),"OFFLINE!")</f>
        <v>SKLADEM</v>
      </c>
      <c r="AD36" s="740" t="str">
        <f ca="1">IF(AP36="NE",$V$10,IF(AC36=$V$3,IF(AQ36&lt;1,$V$8,$V$2&amp;" "&amp;AQ36&amp;" "&amp;$V$1),IF(AC36="SKLADEM",$V$6,IFERROR(IF(OR(AC36-TODAY()&gt;45,VLOOKUP(C36,[1]List1!$A:$E,4,FALSE)=0),AC36,DAY(AC36)&amp;"."&amp;MONTH(AC36)&amp;"."&amp;YEAR(AC36)&amp;" "&amp;$V$4&amp;VLOOKUP(C36,[1]List1!$A:$E,4,FALSE)&amp;" "&amp;$V$1),AC36))))</f>
        <v>SKLADEM</v>
      </c>
      <c r="AE36" s="716" t="str">
        <f t="shared" ca="1" si="27"/>
        <v>SKLADEM</v>
      </c>
      <c r="AF36" s="723">
        <f t="shared" si="28"/>
        <v>0</v>
      </c>
      <c r="AG36" s="723">
        <f t="shared" si="29"/>
        <v>0</v>
      </c>
      <c r="AH36" s="724">
        <f t="shared" si="30"/>
        <v>0</v>
      </c>
      <c r="AI36" s="716">
        <f t="shared" si="31"/>
        <v>0</v>
      </c>
      <c r="AJ36" s="716">
        <f t="shared" si="32"/>
        <v>0</v>
      </c>
      <c r="AK36" s="716" t="str">
        <f t="shared" si="33"/>
        <v/>
      </c>
      <c r="AL36" s="716" t="str">
        <f t="shared" si="34"/>
        <v/>
      </c>
      <c r="AM36" s="716">
        <f t="shared" si="35"/>
        <v>0</v>
      </c>
      <c r="AN36" s="716">
        <f t="shared" si="36"/>
        <v>0</v>
      </c>
      <c r="AO36" s="380"/>
      <c r="AP36" s="322" t="str">
        <f t="shared" si="37"/>
        <v/>
      </c>
      <c r="AQ36" s="323" t="str">
        <f>IF(AC36=$V$3,IF(VLOOKUP(C36,[1]List1!$A:$E,5,FALSE)=0,1,VLOOKUP(C36,[1]List1!$A:$E,5,FALSE)),"")</f>
        <v/>
      </c>
      <c r="AR36" s="304" t="str">
        <f t="shared" si="38"/>
        <v/>
      </c>
      <c r="AS36" s="423" t="str">
        <f t="shared" si="39"/>
        <v/>
      </c>
      <c r="AT36" s="304" t="str">
        <f t="shared" si="40"/>
        <v/>
      </c>
      <c r="AU36" s="342" t="e">
        <f t="shared" si="41"/>
        <v>#N/A</v>
      </c>
      <c r="AV36" s="304" t="e">
        <f t="shared" si="42"/>
        <v>#N/A</v>
      </c>
      <c r="AX36" s="304">
        <f>IF(AND('General price list'!$J36="F4",'General price list'!$AB36+0&gt;0),1,0)</f>
        <v>0</v>
      </c>
      <c r="AY36" s="304">
        <f t="shared" si="43"/>
        <v>1</v>
      </c>
      <c r="AZ36" s="304">
        <f t="shared" si="44"/>
        <v>0</v>
      </c>
    </row>
    <row r="37" spans="1:52" ht="15" customHeight="1">
      <c r="A37" s="725" t="str">
        <f>Kat.!C37</f>
        <v/>
      </c>
      <c r="B37" s="726">
        <f>IF(AND('General price list'!$J37="F4",$AI$1=FALSE),0,IF(AC37="SKLADEM",1,IF(AC37=$V$3,1,0)))</f>
        <v>1</v>
      </c>
      <c r="C37" s="727" t="s">
        <v>81</v>
      </c>
      <c r="D37" s="728" t="s">
        <v>82</v>
      </c>
      <c r="E37" s="729" t="s">
        <v>83</v>
      </c>
      <c r="F37" s="725">
        <f>IFERROR(ROUND(IF($AL$3=2,VLOOKUP(C37,[2]List1!$A:$D,2,FALSE)*1.08,VLOOKUP(C37,[2]List1!$A:$D,2,FALSE)),0),"NEUVEDENO!")</f>
        <v>450</v>
      </c>
      <c r="G37" s="730">
        <f t="shared" si="5"/>
        <v>450</v>
      </c>
      <c r="H37" s="731">
        <f t="shared" si="6"/>
        <v>18.286067235837443</v>
      </c>
      <c r="I37" s="732">
        <v>10</v>
      </c>
      <c r="J37" s="729" t="s">
        <v>23</v>
      </c>
      <c r="K37" s="729"/>
      <c r="L37" s="729" t="s">
        <v>14356</v>
      </c>
      <c r="M37" s="729" t="s">
        <v>25</v>
      </c>
      <c r="N37" s="729">
        <f>IFERROR(VLOOKUP(C37,[3]List1!$A:$D,4,FALSE),"N/A!")</f>
        <v>3.2447999999999998E-2</v>
      </c>
      <c r="O37" s="729">
        <f>IFERROR(VLOOKUP(C37,[3]List1!$A:$D,3,FALSE),"N/A!")</f>
        <v>4800</v>
      </c>
      <c r="P37" s="729">
        <f>IFERROR(VLOOKUP(C37,[3]List1!$A:$D,2,FALSE),"N/A!")</f>
        <v>7200</v>
      </c>
      <c r="Q37" s="729" t="s">
        <v>14073</v>
      </c>
      <c r="R37" s="729" t="s">
        <v>640</v>
      </c>
      <c r="S37" s="729"/>
      <c r="T37" s="729"/>
      <c r="U37" s="729"/>
      <c r="V37" s="729"/>
      <c r="W37" s="729" t="str">
        <f>IFERROR(VLOOKUP('General price list'!$C37,Popisy!A:P,MATCH($W$17,Popisy!$A$7:$P$7,0),FALSE),"---------------")</f>
        <v>práskající barevné granule</v>
      </c>
      <c r="X37" s="729" t="str">
        <f t="shared" si="7"/>
        <v/>
      </c>
      <c r="Y37" s="729" t="str">
        <f t="shared" si="8"/>
        <v/>
      </c>
      <c r="Z37" s="729" t="str">
        <f>HYPERLINK("https://www.klasekpyrotechnics.cz/dp1m")</f>
        <v>https://www.klasekpyrotechnics.cz/dp1m</v>
      </c>
      <c r="AA37" s="729">
        <f>IFERROR(IF(VLOOKUP(C37,[4]List1!$A:$D,4,FALSE)=0,"",VLOOKUP(C37,[4]List1!$A:$D,4,FALSE)),"")</f>
        <v>42</v>
      </c>
      <c r="AB37" s="720"/>
      <c r="AC37" s="733" t="str">
        <f>IFERROR(IF(VLOOKUP(C37,[1]List1!$A:$D,2,FALSE)="VYPRODÁNO",$V$9,IF(VLOOKUP(C37,[1]List1!$A:$D,2,FALSE)="DOCHÁZÍ",$V$3,VLOOKUP(C37,[1]List1!$A:$D,2,FALSE))),"OFFLINE!")</f>
        <v>SKLADEM</v>
      </c>
      <c r="AD37" s="734" t="str">
        <f ca="1">IF(AP37="NE",$V$10,IF(AC37=$V$3,IF(AQ37&lt;1,$V$8,$V$2&amp;" "&amp;AQ37&amp;" "&amp;$V$1),IF(AC37="SKLADEM",$V$6,IFERROR(IF(OR(AC37-TODAY()&gt;45,VLOOKUP(C37,[1]List1!$A:$E,4,FALSE)=0),AC37,DAY(AC37)&amp;"."&amp;MONTH(AC37)&amp;"."&amp;YEAR(AC37)&amp;" "&amp;$V$4&amp;VLOOKUP(C37,[1]List1!$A:$E,4,FALSE)&amp;" "&amp;$V$1),AC37))))</f>
        <v>SKLADEM</v>
      </c>
      <c r="AE37" s="729" t="str">
        <f t="shared" ca="1" si="27"/>
        <v>SKLADEM</v>
      </c>
      <c r="AF37" s="735">
        <f t="shared" si="28"/>
        <v>0</v>
      </c>
      <c r="AG37" s="735">
        <f t="shared" si="29"/>
        <v>0</v>
      </c>
      <c r="AH37" s="736">
        <f t="shared" si="30"/>
        <v>0</v>
      </c>
      <c r="AI37" s="729">
        <f t="shared" si="31"/>
        <v>0</v>
      </c>
      <c r="AJ37" s="729">
        <f t="shared" si="32"/>
        <v>0</v>
      </c>
      <c r="AK37" s="729" t="str">
        <f t="shared" si="33"/>
        <v/>
      </c>
      <c r="AL37" s="729" t="str">
        <f t="shared" si="34"/>
        <v/>
      </c>
      <c r="AM37" s="729">
        <f t="shared" si="35"/>
        <v>0</v>
      </c>
      <c r="AN37" s="729">
        <f t="shared" si="36"/>
        <v>0</v>
      </c>
      <c r="AO37" s="380"/>
      <c r="AP37" s="322" t="str">
        <f t="shared" si="37"/>
        <v/>
      </c>
      <c r="AQ37" s="323" t="str">
        <f>IF(AC37=$V$3,IF(VLOOKUP(C37,[1]List1!$A:$E,5,FALSE)=0,1,VLOOKUP(C37,[1]List1!$A:$E,5,FALSE)),"")</f>
        <v/>
      </c>
      <c r="AR37" s="304" t="str">
        <f t="shared" si="38"/>
        <v/>
      </c>
      <c r="AS37" s="423" t="str">
        <f t="shared" si="39"/>
        <v/>
      </c>
      <c r="AT37" s="304" t="str">
        <f t="shared" si="40"/>
        <v/>
      </c>
      <c r="AU37" s="342" t="e">
        <f t="shared" si="41"/>
        <v>#N/A</v>
      </c>
      <c r="AV37" s="304" t="e">
        <f t="shared" si="42"/>
        <v>#N/A</v>
      </c>
      <c r="AX37" s="304">
        <f>IF(AND('General price list'!$J37="F4",'General price list'!$AB37+0&gt;0),1,0)</f>
        <v>0</v>
      </c>
      <c r="AY37" s="304">
        <f t="shared" si="43"/>
        <v>1</v>
      </c>
      <c r="AZ37" s="304">
        <f t="shared" si="44"/>
        <v>1</v>
      </c>
    </row>
    <row r="38" spans="1:52" ht="15" customHeight="1">
      <c r="A38" s="712" t="str">
        <f>Kat.!C38</f>
        <v/>
      </c>
      <c r="B38" s="737">
        <f>IF(AND('General price list'!$J38="F4",$AI$1=FALSE),0,IF(AC38="SKLADEM",1,IF(AC38=$V$3,1,0)))</f>
        <v>1</v>
      </c>
      <c r="C38" s="714" t="s">
        <v>87</v>
      </c>
      <c r="D38" s="715" t="s">
        <v>88</v>
      </c>
      <c r="E38" s="716" t="s">
        <v>89</v>
      </c>
      <c r="F38" s="712">
        <f>IFERROR(ROUND(IF($AL$3=2,VLOOKUP(C38,[2]List1!$A:$D,2,FALSE)*1.08,VLOOKUP(C38,[2]List1!$A:$D,2,FALSE)),0),"NEUVEDENO!")</f>
        <v>718</v>
      </c>
      <c r="G38" s="717">
        <f t="shared" si="5"/>
        <v>718</v>
      </c>
      <c r="H38" s="718">
        <f t="shared" si="6"/>
        <v>29.176436167402851</v>
      </c>
      <c r="I38" s="738">
        <v>4</v>
      </c>
      <c r="J38" s="716" t="s">
        <v>23</v>
      </c>
      <c r="K38" s="716"/>
      <c r="L38" s="716" t="s">
        <v>14356</v>
      </c>
      <c r="M38" s="716" t="s">
        <v>25</v>
      </c>
      <c r="N38" s="716">
        <f>IFERROR(VLOOKUP(C38,[3]List1!$A:$D,4,FALSE),"N/A!")</f>
        <v>2.4288000000000001E-2</v>
      </c>
      <c r="O38" s="716">
        <f>IFERROR(VLOOKUP(C38,[3]List1!$A:$D,3,FALSE),"N/A!")</f>
        <v>1152</v>
      </c>
      <c r="P38" s="716">
        <f>IFERROR(VLOOKUP(C38,[3]List1!$A:$D,2,FALSE),"N/A!")</f>
        <v>3800</v>
      </c>
      <c r="Q38" s="716" t="s">
        <v>1110</v>
      </c>
      <c r="R38" s="716" t="s">
        <v>14069</v>
      </c>
      <c r="S38" s="716"/>
      <c r="T38" s="716"/>
      <c r="U38" s="716"/>
      <c r="V38" s="716"/>
      <c r="W38" s="716" t="str">
        <f>IFERROR(VLOOKUP('General price list'!$C38,Popisy!A:P,MATCH($W$17,Popisy!$A$7:$P$7,0),FALSE),"---------------")</f>
        <v>práskající balónky 1g, průměr 23mm</v>
      </c>
      <c r="X38" s="716" t="str">
        <f t="shared" si="7"/>
        <v/>
      </c>
      <c r="Y38" s="716" t="str">
        <f t="shared" si="8"/>
        <v/>
      </c>
      <c r="Z38" s="716" t="str">
        <f>HYPERLINK("https://www.klasekpyrotechnics.cz/dp1cb")</f>
        <v>https://www.klasekpyrotechnics.cz/dp1cb</v>
      </c>
      <c r="AA38" s="716">
        <f>IFERROR(IF(VLOOKUP(C38,[4]List1!$A:$D,4,FALSE)=0,"",VLOOKUP(C38,[4]List1!$A:$D,4,FALSE)),"")</f>
        <v>49</v>
      </c>
      <c r="AB38" s="720"/>
      <c r="AC38" s="739" t="str">
        <f>IFERROR(IF(VLOOKUP(C38,[1]List1!$A:$D,2,FALSE)="VYPRODÁNO",$V$9,IF(VLOOKUP(C38,[1]List1!$A:$D,2,FALSE)="DOCHÁZÍ",$V$3,VLOOKUP(C38,[1]List1!$A:$D,2,FALSE))),"OFFLINE!")</f>
        <v>SKLADEM</v>
      </c>
      <c r="AD38" s="740" t="str">
        <f ca="1">IF(AP38="NE",$V$10,IF(AC38=$V$3,IF(AQ38&lt;1,$V$8,$V$2&amp;" "&amp;AQ38&amp;" "&amp;$V$1),IF(AC38="SKLADEM",$V$6,IFERROR(IF(OR(AC38-TODAY()&gt;45,VLOOKUP(C38,[1]List1!$A:$E,4,FALSE)=0),AC38,DAY(AC38)&amp;"."&amp;MONTH(AC38)&amp;"."&amp;YEAR(AC38)&amp;" "&amp;$V$4&amp;VLOOKUP(C38,[1]List1!$A:$E,4,FALSE)&amp;" "&amp;$V$1),AC38))))</f>
        <v>SKLADEM</v>
      </c>
      <c r="AE38" s="716" t="str">
        <f t="shared" ca="1" si="27"/>
        <v>SKLADEM</v>
      </c>
      <c r="AF38" s="723">
        <f t="shared" si="28"/>
        <v>0</v>
      </c>
      <c r="AG38" s="723">
        <f t="shared" si="29"/>
        <v>0</v>
      </c>
      <c r="AH38" s="724">
        <f t="shared" si="30"/>
        <v>0</v>
      </c>
      <c r="AI38" s="716">
        <f t="shared" si="31"/>
        <v>0</v>
      </c>
      <c r="AJ38" s="716">
        <f t="shared" si="32"/>
        <v>0</v>
      </c>
      <c r="AK38" s="716" t="str">
        <f t="shared" si="33"/>
        <v/>
      </c>
      <c r="AL38" s="716" t="str">
        <f t="shared" si="34"/>
        <v/>
      </c>
      <c r="AM38" s="716">
        <f t="shared" si="35"/>
        <v>0</v>
      </c>
      <c r="AN38" s="716">
        <f t="shared" si="36"/>
        <v>0</v>
      </c>
      <c r="AO38" s="380"/>
      <c r="AP38" s="322" t="str">
        <f t="shared" si="37"/>
        <v/>
      </c>
      <c r="AQ38" s="323" t="str">
        <f>IF(AC38=$V$3,IF(VLOOKUP(C38,[1]List1!$A:$E,5,FALSE)=0,1,VLOOKUP(C38,[1]List1!$A:$E,5,FALSE)),"")</f>
        <v/>
      </c>
      <c r="AR38" s="304" t="str">
        <f t="shared" si="38"/>
        <v/>
      </c>
      <c r="AS38" s="423" t="str">
        <f t="shared" si="39"/>
        <v/>
      </c>
      <c r="AT38" s="304" t="str">
        <f t="shared" si="40"/>
        <v/>
      </c>
      <c r="AU38" s="342" t="e">
        <f t="shared" si="41"/>
        <v>#N/A</v>
      </c>
      <c r="AV38" s="304" t="e">
        <f t="shared" si="42"/>
        <v>#N/A</v>
      </c>
      <c r="AX38" s="304">
        <f>IF(AND('General price list'!$J38="F4",'General price list'!$AB38+0&gt;0),1,0)</f>
        <v>0</v>
      </c>
      <c r="AY38" s="304">
        <f t="shared" si="43"/>
        <v>1</v>
      </c>
      <c r="AZ38" s="304">
        <f t="shared" si="44"/>
        <v>1</v>
      </c>
    </row>
    <row r="39" spans="1:52" ht="15" customHeight="1">
      <c r="A39" s="725" t="str">
        <f>Kat.!C39</f>
        <v>×</v>
      </c>
      <c r="B39" s="726">
        <f>IF(AND('General price list'!$J39="F4",$AI$1=FALSE),0,IF(AC39="SKLADEM",1,IF(AC39=$V$3,1,0)))</f>
        <v>1</v>
      </c>
      <c r="C39" s="727" t="s">
        <v>93</v>
      </c>
      <c r="D39" s="728" t="s">
        <v>88</v>
      </c>
      <c r="E39" s="729" t="s">
        <v>89</v>
      </c>
      <c r="F39" s="725">
        <f>IFERROR(ROUND(IF($AL$3=2,VLOOKUP(C39,[2]List1!$A:$D,2,FALSE)*1.08,VLOOKUP(C39,[2]List1!$A:$D,2,FALSE)),0),"NEUVEDENO!")</f>
        <v>718</v>
      </c>
      <c r="G39" s="730">
        <f t="shared" si="5"/>
        <v>718</v>
      </c>
      <c r="H39" s="731">
        <f t="shared" si="6"/>
        <v>29.176436167402851</v>
      </c>
      <c r="I39" s="732">
        <v>4</v>
      </c>
      <c r="J39" s="729" t="s">
        <v>23</v>
      </c>
      <c r="K39" s="729"/>
      <c r="L39" s="729" t="s">
        <v>14356</v>
      </c>
      <c r="M39" s="729" t="s">
        <v>25</v>
      </c>
      <c r="N39" s="729">
        <f>IFERROR(VLOOKUP(C39,[3]List1!$A:$D,4,FALSE),"N/A!")</f>
        <v>2.4288000000000001E-2</v>
      </c>
      <c r="O39" s="729">
        <f>IFERROR(VLOOKUP(C39,[3]List1!$A:$D,3,FALSE),"N/A!")</f>
        <v>1152</v>
      </c>
      <c r="P39" s="729">
        <f>IFERROR(VLOOKUP(C39,[3]List1!$A:$D,2,FALSE),"N/A!")</f>
        <v>3800</v>
      </c>
      <c r="Q39" s="729" t="s">
        <v>14074</v>
      </c>
      <c r="R39" s="729" t="s">
        <v>125</v>
      </c>
      <c r="S39" s="729"/>
      <c r="T39" s="729"/>
      <c r="U39" s="729"/>
      <c r="V39" s="729"/>
      <c r="W39" s="729" t="str">
        <f>IFERROR(VLOOKUP('General price list'!$C39,Popisy!A:P,MATCH($W$17,Popisy!$A$7:$P$7,0),FALSE),"---------------")</f>
        <v>práskající balónky 1g, průměr 23mm</v>
      </c>
      <c r="X39" s="729" t="str">
        <f t="shared" si="7"/>
        <v/>
      </c>
      <c r="Y39" s="729" t="str">
        <f t="shared" si="8"/>
        <v/>
      </c>
      <c r="Z39" s="729" t="str">
        <f>HYPERLINK("https://www.klasekpyrotechnics.cz/dp1cb_1")</f>
        <v>https://www.klasekpyrotechnics.cz/dp1cb_1</v>
      </c>
      <c r="AA39" s="729">
        <f>IFERROR(IF(VLOOKUP(C39,[4]List1!$A:$D,4,FALSE)=0,"",VLOOKUP(C39,[4]List1!$A:$D,4,FALSE)),"")</f>
        <v>49</v>
      </c>
      <c r="AB39" s="720"/>
      <c r="AC39" s="733" t="str">
        <f>IFERROR(IF(VLOOKUP(C39,[1]List1!$A:$D,2,FALSE)="VYPRODÁNO",$V$9,IF(VLOOKUP(C39,[1]List1!$A:$D,2,FALSE)="DOCHÁZÍ",$V$3,VLOOKUP(C39,[1]List1!$A:$D,2,FALSE))),"OFFLINE!")</f>
        <v>SKLADEM</v>
      </c>
      <c r="AD39" s="734" t="str">
        <f ca="1">IF(AP39="NE",$V$10,IF(AC39=$V$3,IF(AQ39&lt;1,$V$8,$V$2&amp;" "&amp;AQ39&amp;" "&amp;$V$1),IF(AC39="SKLADEM",$V$6,IFERROR(IF(OR(AC39-TODAY()&gt;45,VLOOKUP(C39,[1]List1!$A:$E,4,FALSE)=0),AC39,DAY(AC39)&amp;"."&amp;MONTH(AC39)&amp;"."&amp;YEAR(AC39)&amp;" "&amp;$V$4&amp;VLOOKUP(C39,[1]List1!$A:$E,4,FALSE)&amp;" "&amp;$V$1),AC39))))</f>
        <v>SKLADEM</v>
      </c>
      <c r="AE39" s="729" t="str">
        <f t="shared" ca="1" si="27"/>
        <v>SKLADEM</v>
      </c>
      <c r="AF39" s="735">
        <f t="shared" si="28"/>
        <v>0</v>
      </c>
      <c r="AG39" s="735">
        <f t="shared" si="29"/>
        <v>0</v>
      </c>
      <c r="AH39" s="736">
        <f t="shared" si="30"/>
        <v>0</v>
      </c>
      <c r="AI39" s="729">
        <f t="shared" si="31"/>
        <v>0</v>
      </c>
      <c r="AJ39" s="729">
        <f t="shared" si="32"/>
        <v>0</v>
      </c>
      <c r="AK39" s="729" t="str">
        <f t="shared" si="33"/>
        <v/>
      </c>
      <c r="AL39" s="729" t="str">
        <f t="shared" si="34"/>
        <v/>
      </c>
      <c r="AM39" s="729">
        <f t="shared" si="35"/>
        <v>0</v>
      </c>
      <c r="AN39" s="729">
        <f t="shared" si="36"/>
        <v>0</v>
      </c>
      <c r="AO39" s="380"/>
      <c r="AP39" s="322" t="str">
        <f t="shared" si="37"/>
        <v/>
      </c>
      <c r="AQ39" s="323" t="str">
        <f>IF(AC39=$V$3,IF(VLOOKUP(C39,[1]List1!$A:$E,5,FALSE)=0,1,VLOOKUP(C39,[1]List1!$A:$E,5,FALSE)),"")</f>
        <v/>
      </c>
      <c r="AR39" s="304" t="str">
        <f t="shared" si="38"/>
        <v/>
      </c>
      <c r="AS39" s="423" t="str">
        <f t="shared" si="39"/>
        <v/>
      </c>
      <c r="AT39" s="304" t="str">
        <f t="shared" si="40"/>
        <v/>
      </c>
      <c r="AU39" s="342" t="e">
        <f t="shared" si="41"/>
        <v>#N/A</v>
      </c>
      <c r="AV39" s="304" t="e">
        <f t="shared" si="42"/>
        <v>#N/A</v>
      </c>
      <c r="AX39" s="304">
        <f>IF(AND('General price list'!$J39="F4",'General price list'!$AB39+0&gt;0),1,0)</f>
        <v>0</v>
      </c>
      <c r="AY39" s="304">
        <f t="shared" si="43"/>
        <v>1</v>
      </c>
      <c r="AZ39" s="304">
        <f t="shared" si="44"/>
        <v>0</v>
      </c>
    </row>
    <row r="40" spans="1:52" ht="15" customHeight="1">
      <c r="A40" s="712" t="str">
        <f>Kat.!C40</f>
        <v/>
      </c>
      <c r="B40" s="737">
        <f>IF(AND('General price list'!$J40="F4",$AI$1=FALSE),0,IF(AC40="SKLADEM",1,IF(AC40=$V$3,1,0)))</f>
        <v>1</v>
      </c>
      <c r="C40" s="714" t="s">
        <v>4579</v>
      </c>
      <c r="D40" s="715" t="s">
        <v>4580</v>
      </c>
      <c r="E40" s="716" t="s">
        <v>11315</v>
      </c>
      <c r="F40" s="712">
        <f>IFERROR(ROUND(IF($AL$3=2,VLOOKUP(C40,[2]List1!$A:$D,2,FALSE)*1.08,VLOOKUP(C40,[2]List1!$A:$D,2,FALSE)),0),"NEUVEDENO!")</f>
        <v>268</v>
      </c>
      <c r="G40" s="717">
        <f t="shared" si="5"/>
        <v>268</v>
      </c>
      <c r="H40" s="718">
        <f t="shared" si="6"/>
        <v>10.89036893156541</v>
      </c>
      <c r="I40" s="738">
        <v>12</v>
      </c>
      <c r="J40" s="716" t="s">
        <v>23</v>
      </c>
      <c r="K40" s="716"/>
      <c r="L40" s="716" t="s">
        <v>14356</v>
      </c>
      <c r="M40" s="716" t="s">
        <v>25</v>
      </c>
      <c r="N40" s="716">
        <f>IFERROR(VLOOKUP(C40,[3]List1!$A:$D,4,FALSE),"N/A!")</f>
        <v>4.3064999999999999E-2</v>
      </c>
      <c r="O40" s="716">
        <f>IFERROR(VLOOKUP(C40,[3]List1!$A:$D,3,FALSE),"N/A!")</f>
        <v>1296</v>
      </c>
      <c r="P40" s="716">
        <f>IFERROR(VLOOKUP(C40,[3]List1!$A:$D,2,FALSE),"N/A!")</f>
        <v>6500</v>
      </c>
      <c r="Q40" s="716" t="s">
        <v>14075</v>
      </c>
      <c r="R40" s="716" t="s">
        <v>45</v>
      </c>
      <c r="S40" s="716"/>
      <c r="T40" s="716"/>
      <c r="U40" s="716"/>
      <c r="V40" s="716"/>
      <c r="W40" s="716" t="str">
        <f>IFERROR(VLOOKUP('General price list'!$C40,Popisy!A:P,MATCH($W$17,Popisy!$A$7:$P$7,0),FALSE),"---------------")</f>
        <v>práskající balónky 3g, průměr 38mm</v>
      </c>
      <c r="X40" s="716" t="str">
        <f t="shared" si="7"/>
        <v/>
      </c>
      <c r="Y40" s="716" t="str">
        <f t="shared" si="8"/>
        <v/>
      </c>
      <c r="Z40" s="716" t="str">
        <f>HYPERLINK("https://www.klasekpyrotechnics.cz/dp2cb")</f>
        <v>https://www.klasekpyrotechnics.cz/dp2cb</v>
      </c>
      <c r="AA40" s="716">
        <f>IFERROR(IF(VLOOKUP(C40,[4]List1!$A:$D,4,FALSE)=0,"",VLOOKUP(C40,[4]List1!$A:$D,4,FALSE)),"")</f>
        <v>36</v>
      </c>
      <c r="AB40" s="720"/>
      <c r="AC40" s="739" t="str">
        <f>IFERROR(IF(VLOOKUP(C40,[1]List1!$A:$D,2,FALSE)="VYPRODÁNO",$V$9,IF(VLOOKUP(C40,[1]List1!$A:$D,2,FALSE)="DOCHÁZÍ",$V$3,VLOOKUP(C40,[1]List1!$A:$D,2,FALSE))),"OFFLINE!")</f>
        <v>SKLADEM</v>
      </c>
      <c r="AD40" s="740" t="str">
        <f ca="1">IF(AP40="NE",$V$10,IF(AC40=$V$3,IF(AQ40&lt;1,$V$8,$V$2&amp;" "&amp;AQ40&amp;" "&amp;$V$1),IF(AC40="SKLADEM",$V$6,IFERROR(IF(OR(AC40-TODAY()&gt;45,VLOOKUP(C40,[1]List1!$A:$E,4,FALSE)=0),AC40,DAY(AC40)&amp;"."&amp;MONTH(AC40)&amp;"."&amp;YEAR(AC40)&amp;" "&amp;$V$4&amp;VLOOKUP(C40,[1]List1!$A:$E,4,FALSE)&amp;" "&amp;$V$1),AC40))))</f>
        <v>SKLADEM</v>
      </c>
      <c r="AE40" s="716" t="str">
        <f t="shared" ca="1" si="27"/>
        <v>SKLADEM</v>
      </c>
      <c r="AF40" s="723">
        <f t="shared" si="28"/>
        <v>0</v>
      </c>
      <c r="AG40" s="723">
        <f t="shared" si="29"/>
        <v>0</v>
      </c>
      <c r="AH40" s="724">
        <f t="shared" si="30"/>
        <v>0</v>
      </c>
      <c r="AI40" s="716">
        <f t="shared" si="31"/>
        <v>0</v>
      </c>
      <c r="AJ40" s="716">
        <f t="shared" si="32"/>
        <v>0</v>
      </c>
      <c r="AK40" s="716" t="str">
        <f t="shared" si="33"/>
        <v/>
      </c>
      <c r="AL40" s="716" t="str">
        <f t="shared" si="34"/>
        <v/>
      </c>
      <c r="AM40" s="716">
        <f t="shared" si="35"/>
        <v>0</v>
      </c>
      <c r="AN40" s="716">
        <f t="shared" si="36"/>
        <v>0</v>
      </c>
      <c r="AO40" s="380"/>
      <c r="AP40" s="322" t="str">
        <f t="shared" si="37"/>
        <v/>
      </c>
      <c r="AQ40" s="323" t="str">
        <f>IF(AC40=$V$3,IF(VLOOKUP(C40,[1]List1!$A:$E,5,FALSE)=0,1,VLOOKUP(C40,[1]List1!$A:$E,5,FALSE)),"")</f>
        <v/>
      </c>
      <c r="AR40" s="304" t="str">
        <f t="shared" si="38"/>
        <v/>
      </c>
      <c r="AS40" s="423" t="str">
        <f t="shared" si="39"/>
        <v/>
      </c>
      <c r="AT40" s="304" t="str">
        <f t="shared" si="40"/>
        <v/>
      </c>
      <c r="AU40" s="342" t="e">
        <f t="shared" si="41"/>
        <v>#N/A</v>
      </c>
      <c r="AV40" s="304" t="e">
        <f t="shared" si="42"/>
        <v>#N/A</v>
      </c>
      <c r="AX40" s="304">
        <f>IF(AND('General price list'!$J40="F4",'General price list'!$AB40+0&gt;0),1,0)</f>
        <v>0</v>
      </c>
      <c r="AY40" s="304">
        <f t="shared" si="43"/>
        <v>1</v>
      </c>
      <c r="AZ40" s="304">
        <f t="shared" si="44"/>
        <v>1</v>
      </c>
    </row>
    <row r="41" spans="1:52" ht="15" customHeight="1">
      <c r="A41" s="725" t="str">
        <f>Kat.!C41</f>
        <v/>
      </c>
      <c r="B41" s="726">
        <f>IF(AND('General price list'!$J41="F4",$AI$1=FALSE),0,IF(AC41="SKLADEM",1,IF(AC41=$V$3,1,0)))</f>
        <v>1</v>
      </c>
      <c r="C41" s="727" t="s">
        <v>99</v>
      </c>
      <c r="D41" s="728" t="s">
        <v>14517</v>
      </c>
      <c r="E41" s="729" t="s">
        <v>100</v>
      </c>
      <c r="F41" s="725">
        <f>IFERROR(ROUND(IF($AL$3=2,VLOOKUP(C41,[2]List1!$A:$D,2,FALSE)*1.08,VLOOKUP(C41,[2]List1!$A:$D,2,FALSE)),0),"NEUVEDENO!")</f>
        <v>656</v>
      </c>
      <c r="G41" s="730">
        <f t="shared" si="5"/>
        <v>656</v>
      </c>
      <c r="H41" s="731">
        <f t="shared" si="6"/>
        <v>26.657022459354138</v>
      </c>
      <c r="I41" s="732">
        <v>6</v>
      </c>
      <c r="J41" s="729" t="s">
        <v>23</v>
      </c>
      <c r="K41" s="729"/>
      <c r="L41" s="729"/>
      <c r="M41" s="729" t="s">
        <v>25</v>
      </c>
      <c r="N41" s="729">
        <f>IFERROR(VLOOKUP(C41,[3]List1!$A:$D,4,FALSE),"N/A!")</f>
        <v>2.2386E-2</v>
      </c>
      <c r="O41" s="729">
        <f>IFERROR(VLOOKUP(C41,[3]List1!$A:$D,3,FALSE),"N/A!")</f>
        <v>1440</v>
      </c>
      <c r="P41" s="729">
        <f>IFERROR(VLOOKUP(C41,[3]List1!$A:$D,2,FALSE),"N/A!")</f>
        <v>10000</v>
      </c>
      <c r="Q41" s="729" t="s">
        <v>14076</v>
      </c>
      <c r="R41" s="729" t="s">
        <v>2787</v>
      </c>
      <c r="S41" s="729"/>
      <c r="T41" s="729"/>
      <c r="U41" s="729"/>
      <c r="V41" s="729"/>
      <c r="W41" s="729" t="str">
        <f>IFERROR(VLOOKUP('General price list'!$C41,Popisy!A:P,MATCH($W$17,Popisy!$A$7:$P$7,0),FALSE),"---------------")</f>
        <v>pískající trubička</v>
      </c>
      <c r="X41" s="729" t="str">
        <f t="shared" si="7"/>
        <v/>
      </c>
      <c r="Y41" s="729" t="str">
        <f t="shared" si="8"/>
        <v/>
      </c>
      <c r="Z41" s="729" t="str">
        <f>HYPERLINK("https://www.klasekpyrotechnics.cz/dp1p")</f>
        <v>https://www.klasekpyrotechnics.cz/dp1p</v>
      </c>
      <c r="AA41" s="729">
        <f>IFERROR(IF(VLOOKUP(C41,[4]List1!$A:$D,4,FALSE)=0,"",VLOOKUP(C41,[4]List1!$A:$D,4,FALSE)),"")</f>
        <v>42</v>
      </c>
      <c r="AB41" s="720"/>
      <c r="AC41" s="733" t="str">
        <f>IFERROR(IF(VLOOKUP(C41,[1]List1!$A:$D,2,FALSE)="VYPRODÁNO",$V$9,IF(VLOOKUP(C41,[1]List1!$A:$D,2,FALSE)="DOCHÁZÍ",$V$3,VLOOKUP(C41,[1]List1!$A:$D,2,FALSE))),"OFFLINE!")</f>
        <v>SKLADEM</v>
      </c>
      <c r="AD41" s="734" t="str">
        <f ca="1">IF(AP41="NE",$V$10,IF(AC41=$V$3,IF(AQ41&lt;1,$V$8,$V$2&amp;" "&amp;AQ41&amp;" "&amp;$V$1),IF(AC41="SKLADEM",$V$6,IFERROR(IF(OR(AC41-TODAY()&gt;45,VLOOKUP(C41,[1]List1!$A:$E,4,FALSE)=0),AC41,DAY(AC41)&amp;"."&amp;MONTH(AC41)&amp;"."&amp;YEAR(AC41)&amp;" "&amp;$V$4&amp;VLOOKUP(C41,[1]List1!$A:$E,4,FALSE)&amp;" "&amp;$V$1),AC41))))</f>
        <v>SKLADEM</v>
      </c>
      <c r="AE41" s="729" t="str">
        <f t="shared" ca="1" si="27"/>
        <v>SKLADEM</v>
      </c>
      <c r="AF41" s="735">
        <f t="shared" si="28"/>
        <v>0</v>
      </c>
      <c r="AG41" s="735">
        <f t="shared" si="29"/>
        <v>0</v>
      </c>
      <c r="AH41" s="736">
        <f t="shared" si="30"/>
        <v>0</v>
      </c>
      <c r="AI41" s="729">
        <f t="shared" si="31"/>
        <v>0</v>
      </c>
      <c r="AJ41" s="729">
        <f t="shared" si="32"/>
        <v>0</v>
      </c>
      <c r="AK41" s="729" t="str">
        <f t="shared" si="33"/>
        <v/>
      </c>
      <c r="AL41" s="729" t="str">
        <f t="shared" si="34"/>
        <v/>
      </c>
      <c r="AM41" s="729">
        <f t="shared" si="35"/>
        <v>0</v>
      </c>
      <c r="AN41" s="729">
        <f t="shared" si="36"/>
        <v>0</v>
      </c>
      <c r="AO41" s="380"/>
      <c r="AP41" s="322" t="str">
        <f t="shared" si="37"/>
        <v/>
      </c>
      <c r="AQ41" s="323" t="str">
        <f>IF(AC41=$V$3,IF(VLOOKUP(C41,[1]List1!$A:$E,5,FALSE)=0,1,VLOOKUP(C41,[1]List1!$A:$E,5,FALSE)),"")</f>
        <v/>
      </c>
      <c r="AR41" s="304" t="str">
        <f t="shared" si="38"/>
        <v/>
      </c>
      <c r="AS41" s="423" t="str">
        <f t="shared" si="39"/>
        <v/>
      </c>
      <c r="AT41" s="304" t="str">
        <f t="shared" si="40"/>
        <v/>
      </c>
      <c r="AU41" s="342" t="e">
        <f t="shared" si="41"/>
        <v>#N/A</v>
      </c>
      <c r="AV41" s="304" t="e">
        <f t="shared" si="42"/>
        <v>#N/A</v>
      </c>
      <c r="AX41" s="304">
        <f>IF(AND('General price list'!$J41="F4",'General price list'!$AB41+0&gt;0),1,0)</f>
        <v>0</v>
      </c>
      <c r="AY41" s="304">
        <f t="shared" si="43"/>
        <v>1</v>
      </c>
      <c r="AZ41" s="304">
        <f t="shared" si="44"/>
        <v>1</v>
      </c>
    </row>
    <row r="42" spans="1:52" ht="15" customHeight="1">
      <c r="A42" s="712" t="str">
        <f>Kat.!C42</f>
        <v>×</v>
      </c>
      <c r="B42" s="737">
        <f>IF(AND('General price list'!$J42="F4",$AI$1=FALSE),0,IF(AC42="SKLADEM",1,IF(AC42=$V$3,1,0)))</f>
        <v>1</v>
      </c>
      <c r="C42" s="714" t="s">
        <v>104</v>
      </c>
      <c r="D42" s="715" t="s">
        <v>14517</v>
      </c>
      <c r="E42" s="716" t="s">
        <v>100</v>
      </c>
      <c r="F42" s="712">
        <f>IFERROR(ROUND(IF($AL$3=2,VLOOKUP(C42,[2]List1!$A:$D,2,FALSE)*1.08,VLOOKUP(C42,[2]List1!$A:$D,2,FALSE)),0),"NEUVEDENO!")</f>
        <v>656</v>
      </c>
      <c r="G42" s="717">
        <f t="shared" si="5"/>
        <v>656</v>
      </c>
      <c r="H42" s="718">
        <f t="shared" si="6"/>
        <v>26.657022459354138</v>
      </c>
      <c r="I42" s="738">
        <v>6</v>
      </c>
      <c r="J42" s="716" t="s">
        <v>23</v>
      </c>
      <c r="K42" s="716"/>
      <c r="L42" s="716"/>
      <c r="M42" s="716" t="s">
        <v>25</v>
      </c>
      <c r="N42" s="716">
        <f>IFERROR(VLOOKUP(C42,[3]List1!$A:$D,4,FALSE),"N/A!")</f>
        <v>2.2386E-2</v>
      </c>
      <c r="O42" s="716">
        <f>IFERROR(VLOOKUP(C42,[3]List1!$A:$D,3,FALSE),"N/A!")</f>
        <v>1440</v>
      </c>
      <c r="P42" s="716">
        <f>IFERROR(VLOOKUP(C42,[3]List1!$A:$D,2,FALSE),"N/A!")</f>
        <v>10000</v>
      </c>
      <c r="Q42" s="716" t="s">
        <v>14077</v>
      </c>
      <c r="R42" s="716" t="s">
        <v>2788</v>
      </c>
      <c r="S42" s="716"/>
      <c r="T42" s="716"/>
      <c r="U42" s="716"/>
      <c r="V42" s="716"/>
      <c r="W42" s="716" t="str">
        <f>IFERROR(VLOOKUP('General price list'!$C42,Popisy!A:P,MATCH($W$17,Popisy!$A$7:$P$7,0),FALSE),"---------------")</f>
        <v>pískající trubička</v>
      </c>
      <c r="X42" s="716" t="str">
        <f t="shared" si="7"/>
        <v/>
      </c>
      <c r="Y42" s="716" t="str">
        <f t="shared" si="8"/>
        <v/>
      </c>
      <c r="Z42" s="716" t="str">
        <f>HYPERLINK("https://www.klasekpyrotechnics.cz/dp1p_1")</f>
        <v>https://www.klasekpyrotechnics.cz/dp1p_1</v>
      </c>
      <c r="AA42" s="716">
        <f>IFERROR(IF(VLOOKUP(C42,[4]List1!$A:$D,4,FALSE)=0,"",VLOOKUP(C42,[4]List1!$A:$D,4,FALSE)),"")</f>
        <v>42</v>
      </c>
      <c r="AB42" s="720"/>
      <c r="AC42" s="739" t="str">
        <f>IFERROR(IF(VLOOKUP(C42,[1]List1!$A:$D,2,FALSE)="VYPRODÁNO",$V$9,IF(VLOOKUP(C42,[1]List1!$A:$D,2,FALSE)="DOCHÁZÍ",$V$3,VLOOKUP(C42,[1]List1!$A:$D,2,FALSE))),"OFFLINE!")</f>
        <v>SKLADEM</v>
      </c>
      <c r="AD42" s="740" t="str">
        <f ca="1">IF(AP42="NE",$V$10,IF(AC42=$V$3,IF(AQ42&lt;1,$V$8,$V$2&amp;" "&amp;AQ42&amp;" "&amp;$V$1),IF(AC42="SKLADEM",$V$6,IFERROR(IF(OR(AC42-TODAY()&gt;45,VLOOKUP(C42,[1]List1!$A:$E,4,FALSE)=0),AC42,DAY(AC42)&amp;"."&amp;MONTH(AC42)&amp;"."&amp;YEAR(AC42)&amp;" "&amp;$V$4&amp;VLOOKUP(C42,[1]List1!$A:$E,4,FALSE)&amp;" "&amp;$V$1),AC42))))</f>
        <v>SKLADEM</v>
      </c>
      <c r="AE42" s="716" t="str">
        <f t="shared" ca="1" si="27"/>
        <v>SKLADEM</v>
      </c>
      <c r="AF42" s="723">
        <f t="shared" si="28"/>
        <v>0</v>
      </c>
      <c r="AG42" s="723">
        <f t="shared" si="29"/>
        <v>0</v>
      </c>
      <c r="AH42" s="724">
        <f t="shared" si="30"/>
        <v>0</v>
      </c>
      <c r="AI42" s="716">
        <f t="shared" si="31"/>
        <v>0</v>
      </c>
      <c r="AJ42" s="716">
        <f t="shared" si="32"/>
        <v>0</v>
      </c>
      <c r="AK42" s="716" t="str">
        <f t="shared" si="33"/>
        <v/>
      </c>
      <c r="AL42" s="716" t="str">
        <f t="shared" si="34"/>
        <v/>
      </c>
      <c r="AM42" s="716">
        <f t="shared" si="35"/>
        <v>0</v>
      </c>
      <c r="AN42" s="716">
        <f t="shared" si="36"/>
        <v>0</v>
      </c>
      <c r="AO42" s="380"/>
      <c r="AP42" s="322" t="str">
        <f t="shared" si="37"/>
        <v/>
      </c>
      <c r="AQ42" s="323" t="str">
        <f>IF(AC42=$V$3,IF(VLOOKUP(C42,[1]List1!$A:$E,5,FALSE)=0,1,VLOOKUP(C42,[1]List1!$A:$E,5,FALSE)),"")</f>
        <v/>
      </c>
      <c r="AR42" s="304" t="str">
        <f t="shared" si="38"/>
        <v/>
      </c>
      <c r="AS42" s="423" t="str">
        <f t="shared" si="39"/>
        <v/>
      </c>
      <c r="AT42" s="304" t="str">
        <f t="shared" si="40"/>
        <v/>
      </c>
      <c r="AU42" s="342" t="e">
        <f t="shared" si="41"/>
        <v>#N/A</v>
      </c>
      <c r="AV42" s="304" t="e">
        <f t="shared" si="42"/>
        <v>#N/A</v>
      </c>
      <c r="AX42" s="304">
        <f>IF(AND('General price list'!$J42="F4",'General price list'!$AB42+0&gt;0),1,0)</f>
        <v>0</v>
      </c>
      <c r="AY42" s="304">
        <f t="shared" si="43"/>
        <v>1</v>
      </c>
      <c r="AZ42" s="304">
        <f t="shared" si="44"/>
        <v>0</v>
      </c>
    </row>
    <row r="43" spans="1:52" ht="15" customHeight="1">
      <c r="A43" s="725" t="str">
        <f>Kat.!C43</f>
        <v/>
      </c>
      <c r="B43" s="726">
        <f>IF(AND('General price list'!$J43="F4",$AI$1=FALSE),0,IF(AC43="SKLADEM",1,IF(AC43=$V$3,1,0)))</f>
        <v>1</v>
      </c>
      <c r="C43" s="727" t="s">
        <v>3229</v>
      </c>
      <c r="D43" s="728" t="s">
        <v>14518</v>
      </c>
      <c r="E43" s="729" t="s">
        <v>421</v>
      </c>
      <c r="F43" s="725">
        <f>IFERROR(ROUND(IF($AL$3=2,VLOOKUP(C43,[2]List1!$A:$D,2,FALSE)*1.08,VLOOKUP(C43,[2]List1!$A:$D,2,FALSE)),0),"NEUVEDENO!")</f>
        <v>65</v>
      </c>
      <c r="G43" s="730">
        <f t="shared" si="5"/>
        <v>65</v>
      </c>
      <c r="H43" s="731">
        <f t="shared" si="6"/>
        <v>2.641320822954297</v>
      </c>
      <c r="I43" s="732">
        <v>50</v>
      </c>
      <c r="J43" s="729" t="s">
        <v>23</v>
      </c>
      <c r="K43" s="729"/>
      <c r="L43" s="729"/>
      <c r="M43" s="729" t="s">
        <v>25</v>
      </c>
      <c r="N43" s="729">
        <f>IFERROR(VLOOKUP(C43,[3]List1!$A:$D,4,FALSE),"N/A!")</f>
        <v>2.6950000000000002E-2</v>
      </c>
      <c r="O43" s="729">
        <f>IFERROR(VLOOKUP(C43,[3]List1!$A:$D,3,FALSE),"N/A!")</f>
        <v>625</v>
      </c>
      <c r="P43" s="729">
        <f>IFERROR(VLOOKUP(C43,[3]List1!$A:$D,2,FALSE),"N/A!")</f>
        <v>9000</v>
      </c>
      <c r="Q43" s="729" t="s">
        <v>632</v>
      </c>
      <c r="R43" s="729" t="s">
        <v>24</v>
      </c>
      <c r="S43" s="729"/>
      <c r="T43" s="729">
        <v>5</v>
      </c>
      <c r="U43" s="729"/>
      <c r="V43" s="729"/>
      <c r="W43" s="729" t="str">
        <f>IFERROR(VLOOKUP('General price list'!$C43,Popisy!A:P,MATCH($W$17,Popisy!$A$7:$P$7,0),FALSE),"---------------")</f>
        <v>pískající trubička</v>
      </c>
      <c r="X43" s="729" t="str">
        <f t="shared" si="7"/>
        <v/>
      </c>
      <c r="Y43" s="729" t="str">
        <f t="shared" si="8"/>
        <v/>
      </c>
      <c r="Z43" s="729" t="str">
        <f>HYPERLINK("https://www.klasekpyrotechnics.cz/dp2w")</f>
        <v>https://www.klasekpyrotechnics.cz/dp2w</v>
      </c>
      <c r="AA43" s="729">
        <f>IFERROR(IF(VLOOKUP(C43,[4]List1!$A:$D,4,FALSE)=0,"",VLOOKUP(C43,[4]List1!$A:$D,4,FALSE)),"")</f>
        <v>56</v>
      </c>
      <c r="AB43" s="720"/>
      <c r="AC43" s="733" t="str">
        <f>IFERROR(IF(VLOOKUP(C43,[1]List1!$A:$D,2,FALSE)="VYPRODÁNO",$V$9,IF(VLOOKUP(C43,[1]List1!$A:$D,2,FALSE)="DOCHÁZÍ",$V$3,VLOOKUP(C43,[1]List1!$A:$D,2,FALSE))),"OFFLINE!")</f>
        <v>DOCHÁZÍ</v>
      </c>
      <c r="AD43" s="734" t="str">
        <f ca="1">IF(AP43="NE",$V$10,IF(AC43=$V$3,IF(AQ43&lt;1,$V$8,$V$2&amp;" "&amp;AQ43&amp;" "&amp;$V$1),IF(AC43="SKLADEM",$V$6,IFERROR(IF(OR(AC43-TODAY()&gt;45,VLOOKUP(C43,[1]List1!$A:$E,4,FALSE)=0),AC43,DAY(AC43)&amp;"."&amp;MONTH(AC43)&amp;"."&amp;YEAR(AC43)&amp;" "&amp;$V$4&amp;VLOOKUP(C43,[1]List1!$A:$E,4,FALSE)&amp;" "&amp;$V$1),AC43))))</f>
        <v>POSLEDNÍCH 13 VK</v>
      </c>
      <c r="AE43" s="729" t="str">
        <f t="shared" ca="1" si="27"/>
        <v>POSLEDNÍCH 13 VK</v>
      </c>
      <c r="AF43" s="735">
        <f t="shared" si="28"/>
        <v>0</v>
      </c>
      <c r="AG43" s="735">
        <f t="shared" si="29"/>
        <v>0</v>
      </c>
      <c r="AH43" s="736">
        <f t="shared" si="30"/>
        <v>0</v>
      </c>
      <c r="AI43" s="729">
        <f t="shared" si="31"/>
        <v>0</v>
      </c>
      <c r="AJ43" s="729">
        <f t="shared" si="32"/>
        <v>0</v>
      </c>
      <c r="AK43" s="729" t="str">
        <f t="shared" si="33"/>
        <v/>
      </c>
      <c r="AL43" s="729" t="str">
        <f t="shared" si="34"/>
        <v/>
      </c>
      <c r="AM43" s="729">
        <f t="shared" si="35"/>
        <v>0</v>
      </c>
      <c r="AN43" s="729">
        <f t="shared" si="36"/>
        <v>0</v>
      </c>
      <c r="AO43" s="380"/>
      <c r="AP43" s="322" t="str">
        <f t="shared" si="37"/>
        <v/>
      </c>
      <c r="AQ43" s="323">
        <f>IF(AC43=$V$3,IF(VLOOKUP(C43,[1]List1!$A:$E,5,FALSE)=0,1,VLOOKUP(C43,[1]List1!$A:$E,5,FALSE)),"")</f>
        <v>13</v>
      </c>
      <c r="AR43" s="304" t="str">
        <f t="shared" si="38"/>
        <v/>
      </c>
      <c r="AS43" s="423" t="str">
        <f t="shared" si="39"/>
        <v/>
      </c>
      <c r="AT43" s="304" t="str">
        <f t="shared" si="40"/>
        <v/>
      </c>
      <c r="AU43" s="342" t="e">
        <f t="shared" si="41"/>
        <v>#N/A</v>
      </c>
      <c r="AV43" s="304" t="e">
        <f t="shared" si="42"/>
        <v>#N/A</v>
      </c>
      <c r="AX43" s="304">
        <f>IF(AND('General price list'!$J43="F4",'General price list'!$AB43+0&gt;0),1,0)</f>
        <v>0</v>
      </c>
      <c r="AY43" s="304">
        <f t="shared" si="43"/>
        <v>1</v>
      </c>
      <c r="AZ43" s="304">
        <f t="shared" si="44"/>
        <v>0</v>
      </c>
    </row>
    <row r="44" spans="1:52" ht="15" customHeight="1">
      <c r="A44" s="712" t="str">
        <f>Kat.!C44</f>
        <v/>
      </c>
      <c r="B44" s="737">
        <f>IF(AND('General price list'!$J44="F4",$AI$1=FALSE),0,IF(AC44="SKLADEM",1,IF(AC44=$V$3,1,0)))</f>
        <v>0</v>
      </c>
      <c r="C44" s="714" t="s">
        <v>105</v>
      </c>
      <c r="D44" s="715" t="s">
        <v>106</v>
      </c>
      <c r="E44" s="716" t="s">
        <v>107</v>
      </c>
      <c r="F44" s="712">
        <f>IFERROR(ROUND(IF($AL$3=2,VLOOKUP(C44,[2]List1!$A:$D,2,FALSE)*1.08,VLOOKUP(C44,[2]List1!$A:$D,2,FALSE)),0),"NEUVEDENO!")</f>
        <v>388</v>
      </c>
      <c r="G44" s="717">
        <f t="shared" si="5"/>
        <v>388</v>
      </c>
      <c r="H44" s="718">
        <f t="shared" si="6"/>
        <v>15.766653527788728</v>
      </c>
      <c r="I44" s="738">
        <v>5</v>
      </c>
      <c r="J44" s="716" t="s">
        <v>23</v>
      </c>
      <c r="K44" s="716"/>
      <c r="L44" s="716" t="s">
        <v>24</v>
      </c>
      <c r="M44" s="716" t="s">
        <v>25</v>
      </c>
      <c r="N44" s="716">
        <f>IFERROR(VLOOKUP(C44,[3]List1!$A:$D,4,FALSE),"N/A!")</f>
        <v>7.3514999999999995E-3</v>
      </c>
      <c r="O44" s="716">
        <f>IFERROR(VLOOKUP(C44,[3]List1!$A:$D,3,FALSE),"N/A!")</f>
        <v>360</v>
      </c>
      <c r="P44" s="716">
        <f>IFERROR(VLOOKUP(C44,[3]List1!$A:$D,2,FALSE),"N/A!")</f>
        <v>2000</v>
      </c>
      <c r="Q44" s="716" t="s">
        <v>14307</v>
      </c>
      <c r="R44" s="716" t="s">
        <v>18</v>
      </c>
      <c r="S44" s="716"/>
      <c r="T44" s="716"/>
      <c r="U44" s="716"/>
      <c r="V44" s="716"/>
      <c r="W44" s="716" t="str">
        <f>IFERROR(VLOOKUP('General price list'!$C44,Popisy!A:P,MATCH($W$17,Popisy!$A$7:$P$7,0),FALSE),"---------------")</f>
        <v>bouchající provázky</v>
      </c>
      <c r="X44" s="716" t="str">
        <f t="shared" si="7"/>
        <v/>
      </c>
      <c r="Y44" s="716" t="str">
        <f t="shared" si="8"/>
        <v/>
      </c>
      <c r="Z44" s="716" t="str">
        <f>HYPERLINK("https://www.klasekpyrotechnics.cz/dp1bp")</f>
        <v>https://www.klasekpyrotechnics.cz/dp1bp</v>
      </c>
      <c r="AA44" s="716" t="str">
        <f>IFERROR(IF(VLOOKUP(C44,[4]List1!$A:$D,4,FALSE)=0,"",VLOOKUP(C44,[4]List1!$A:$D,4,FALSE)),"")</f>
        <v>144</v>
      </c>
      <c r="AB44" s="720"/>
      <c r="AC44" s="739" t="str">
        <f>IFERROR(IF(VLOOKUP(C44,[1]List1!$A:$D,2,FALSE)="VYPRODÁNO",$V$9,IF(VLOOKUP(C44,[1]List1!$A:$D,2,FALSE)="DOCHÁZÍ",$V$3,VLOOKUP(C44,[1]List1!$A:$D,2,FALSE))),"OFFLINE!")</f>
        <v>15.09.2024</v>
      </c>
      <c r="AD44" s="740" t="str">
        <f ca="1">IF(AP44="NE",$V$10,IF(AC44=$V$3,IF(AQ44&lt;1,$V$8,$V$2&amp;" "&amp;AQ44&amp;" "&amp;$V$1),IF(AC44="SKLADEM",$V$6,IFERROR(IF(OR(AC44-TODAY()&gt;45,VLOOKUP(C44,[1]List1!$A:$E,4,FALSE)=0),AC44,DAY(AC44)&amp;"."&amp;MONTH(AC44)&amp;"."&amp;YEAR(AC44)&amp;" "&amp;$V$4&amp;VLOOKUP(C44,[1]List1!$A:$E,4,FALSE)&amp;" "&amp;$V$1),AC44))))</f>
        <v>15.09.2024</v>
      </c>
      <c r="AE44" s="716" t="str">
        <f t="shared" ca="1" si="27"/>
        <v>15.09.2024</v>
      </c>
      <c r="AF44" s="723">
        <f t="shared" si="28"/>
        <v>0</v>
      </c>
      <c r="AG44" s="723">
        <f t="shared" si="29"/>
        <v>0</v>
      </c>
      <c r="AH44" s="724">
        <f t="shared" si="30"/>
        <v>0</v>
      </c>
      <c r="AI44" s="716">
        <f t="shared" si="31"/>
        <v>0</v>
      </c>
      <c r="AJ44" s="716">
        <f t="shared" si="32"/>
        <v>0</v>
      </c>
      <c r="AK44" s="716" t="str">
        <f t="shared" si="33"/>
        <v/>
      </c>
      <c r="AL44" s="716" t="str">
        <f t="shared" si="34"/>
        <v/>
      </c>
      <c r="AM44" s="716">
        <f t="shared" si="35"/>
        <v>0</v>
      </c>
      <c r="AN44" s="716">
        <f t="shared" si="36"/>
        <v>0</v>
      </c>
      <c r="AO44" s="380"/>
      <c r="AP44" s="322" t="str">
        <f t="shared" si="37"/>
        <v/>
      </c>
      <c r="AQ44" s="323" t="str">
        <f>IF(AC44=$V$3,IF(VLOOKUP(C44,[1]List1!$A:$E,5,FALSE)=0,1,VLOOKUP(C44,[1]List1!$A:$E,5,FALSE)),"")</f>
        <v/>
      </c>
      <c r="AR44" s="304" t="str">
        <f t="shared" si="38"/>
        <v/>
      </c>
      <c r="AS44" s="423" t="str">
        <f t="shared" si="39"/>
        <v/>
      </c>
      <c r="AT44" s="304" t="str">
        <f t="shared" si="40"/>
        <v/>
      </c>
      <c r="AU44" s="342" t="e">
        <f t="shared" si="41"/>
        <v>#N/A</v>
      </c>
      <c r="AV44" s="304" t="e">
        <f t="shared" si="42"/>
        <v>#N/A</v>
      </c>
      <c r="AX44" s="304">
        <f>IF(AND('General price list'!$J44="F4",'General price list'!$AB44+0&gt;0),1,0)</f>
        <v>0</v>
      </c>
      <c r="AY44" s="304">
        <f t="shared" si="43"/>
        <v>1</v>
      </c>
      <c r="AZ44" s="304">
        <f t="shared" si="44"/>
        <v>1</v>
      </c>
    </row>
    <row r="45" spans="1:52" ht="15" customHeight="1">
      <c r="A45" s="725" t="str">
        <f>Kat.!C45</f>
        <v/>
      </c>
      <c r="B45" s="726">
        <f>IF(AND('General price list'!$J45="F4",$AI$1=FALSE),0,IF(AC45="SKLADEM",1,IF(AC45=$V$3,1,0)))</f>
        <v>1</v>
      </c>
      <c r="C45" s="727" t="s">
        <v>11916</v>
      </c>
      <c r="D45" s="728" t="s">
        <v>14519</v>
      </c>
      <c r="E45" s="729" t="s">
        <v>11998</v>
      </c>
      <c r="F45" s="725">
        <f>IFERROR(ROUND(IF($AL$3=2,VLOOKUP(C45,[2]List1!$A:$D,2,FALSE)*1.08,VLOOKUP(C45,[2]List1!$A:$D,2,FALSE)),0),"NEUVEDENO!")</f>
        <v>107</v>
      </c>
      <c r="G45" s="730">
        <f t="shared" si="5"/>
        <v>107</v>
      </c>
      <c r="H45" s="731">
        <f t="shared" si="6"/>
        <v>4.3480204316324587</v>
      </c>
      <c r="I45" s="732">
        <v>40</v>
      </c>
      <c r="J45" s="729" t="s">
        <v>23</v>
      </c>
      <c r="K45" s="729"/>
      <c r="L45" s="729" t="s">
        <v>24</v>
      </c>
      <c r="M45" s="729" t="s">
        <v>25</v>
      </c>
      <c r="N45" s="729">
        <f>IFERROR(VLOOKUP(C45,[3]List1!$A:$D,4,FALSE),"N/A!")</f>
        <v>3.2168249999999995E-2</v>
      </c>
      <c r="O45" s="729">
        <f>IFERROR(VLOOKUP(C45,[3]List1!$A:$D,3,FALSE),"N/A!")</f>
        <v>1200</v>
      </c>
      <c r="P45" s="729">
        <f>IFERROR(VLOOKUP(C45,[3]List1!$A:$D,2,FALSE),"N/A!")</f>
        <v>7450</v>
      </c>
      <c r="Q45" s="729" t="s">
        <v>1283</v>
      </c>
      <c r="R45" s="729"/>
      <c r="S45" s="729"/>
      <c r="T45" s="729">
        <v>15</v>
      </c>
      <c r="U45" s="729"/>
      <c r="V45" s="729"/>
      <c r="W45" s="729" t="str">
        <f>IFERROR(VLOOKUP('General price list'!$C45,Popisy!A:P,MATCH($W$17,Popisy!$A$7:$P$7,0),FALSE),"---------------")</f>
        <v>dvou barevná fontána s práskajícími hvězdami</v>
      </c>
      <c r="X45" s="729" t="str">
        <f t="shared" si="7"/>
        <v/>
      </c>
      <c r="Y45" s="729" t="str">
        <f t="shared" si="8"/>
        <v/>
      </c>
      <c r="Z45" s="729" t="str">
        <f>HYPERLINK("https://https://www.klasekpyrotechnics.cz/dp1fd")</f>
        <v>https://https://www.klasekpyrotechnics.cz/dp1fd</v>
      </c>
      <c r="AA45" s="729">
        <f>IFERROR(IF(VLOOKUP(C45,[4]List1!$A:$D,4,FALSE)=0,"",VLOOKUP(C45,[4]List1!$A:$D,4,FALSE)),"")</f>
        <v>42</v>
      </c>
      <c r="AB45" s="720"/>
      <c r="AC45" s="733" t="str">
        <f>IFERROR(IF(VLOOKUP(C45,[1]List1!$A:$D,2,FALSE)="VYPRODÁNO",$V$9,IF(VLOOKUP(C45,[1]List1!$A:$D,2,FALSE)="DOCHÁZÍ",$V$3,VLOOKUP(C45,[1]List1!$A:$D,2,FALSE))),"OFFLINE!")</f>
        <v>SKLADEM</v>
      </c>
      <c r="AD45" s="734" t="str">
        <f ca="1">IF(AP45="NE",$V$10,IF(AC45=$V$3,IF(AQ45&lt;1,$V$8,$V$2&amp;" "&amp;AQ45&amp;" "&amp;$V$1),IF(AC45="SKLADEM",$V$6,IFERROR(IF(OR(AC45-TODAY()&gt;45,VLOOKUP(C45,[1]List1!$A:$E,4,FALSE)=0),AC45,DAY(AC45)&amp;"."&amp;MONTH(AC45)&amp;"."&amp;YEAR(AC45)&amp;" "&amp;$V$4&amp;VLOOKUP(C45,[1]List1!$A:$E,4,FALSE)&amp;" "&amp;$V$1),AC45))))</f>
        <v>SKLADEM</v>
      </c>
      <c r="AE45" s="729" t="str">
        <f t="shared" ca="1" si="27"/>
        <v>SKLADEM</v>
      </c>
      <c r="AF45" s="735">
        <f t="shared" si="28"/>
        <v>0</v>
      </c>
      <c r="AG45" s="735">
        <f t="shared" si="29"/>
        <v>0</v>
      </c>
      <c r="AH45" s="736">
        <f t="shared" si="30"/>
        <v>0</v>
      </c>
      <c r="AI45" s="729">
        <f t="shared" si="31"/>
        <v>0</v>
      </c>
      <c r="AJ45" s="729">
        <f t="shared" si="32"/>
        <v>0</v>
      </c>
      <c r="AK45" s="729" t="str">
        <f t="shared" si="33"/>
        <v/>
      </c>
      <c r="AL45" s="729" t="str">
        <f t="shared" si="34"/>
        <v/>
      </c>
      <c r="AM45" s="729">
        <f t="shared" si="35"/>
        <v>0</v>
      </c>
      <c r="AN45" s="729">
        <f t="shared" si="36"/>
        <v>0</v>
      </c>
      <c r="AO45" s="380"/>
      <c r="AP45" s="322" t="str">
        <f t="shared" si="37"/>
        <v/>
      </c>
      <c r="AQ45" s="323" t="str">
        <f>IF(AC45=$V$3,IF(VLOOKUP(C45,[1]List1!$A:$E,5,FALSE)=0,1,VLOOKUP(C45,[1]List1!$A:$E,5,FALSE)),"")</f>
        <v/>
      </c>
      <c r="AR45" s="304" t="str">
        <f t="shared" si="38"/>
        <v/>
      </c>
      <c r="AS45" s="423" t="str">
        <f t="shared" si="39"/>
        <v/>
      </c>
      <c r="AT45" s="304" t="str">
        <f t="shared" si="40"/>
        <v/>
      </c>
      <c r="AU45" s="342" t="e">
        <f t="shared" si="41"/>
        <v>#N/A</v>
      </c>
      <c r="AV45" s="304" t="e">
        <f t="shared" si="42"/>
        <v>#N/A</v>
      </c>
      <c r="AX45" s="304">
        <f>IF(AND('General price list'!$J45="F4",'General price list'!$AB45+0&gt;0),1,0)</f>
        <v>0</v>
      </c>
      <c r="AY45" s="304">
        <f t="shared" si="43"/>
        <v>1</v>
      </c>
      <c r="AZ45" s="304">
        <f t="shared" si="44"/>
        <v>0</v>
      </c>
    </row>
    <row r="46" spans="1:52" ht="15" customHeight="1">
      <c r="A46" s="712" t="str">
        <f>Kat.!C46</f>
        <v/>
      </c>
      <c r="B46" s="737">
        <f>IF(AND('General price list'!$J46="F4",$AI$1=FALSE),0,IF(AC46="SKLADEM",1,IF(AC46=$V$3,1,0)))</f>
        <v>0</v>
      </c>
      <c r="C46" s="714" t="s">
        <v>116</v>
      </c>
      <c r="D46" s="715" t="s">
        <v>117</v>
      </c>
      <c r="E46" s="716" t="s">
        <v>112</v>
      </c>
      <c r="F46" s="712">
        <f>IFERROR(ROUND(IF($AL$3=2,VLOOKUP(C46,[2]List1!$A:$D,2,FALSE)*1.08,VLOOKUP(C46,[2]List1!$A:$D,2,FALSE)),0),"NEUVEDENO!")</f>
        <v>648</v>
      </c>
      <c r="G46" s="717">
        <f t="shared" si="5"/>
        <v>648</v>
      </c>
      <c r="H46" s="718">
        <f t="shared" si="6"/>
        <v>26.331936819605918</v>
      </c>
      <c r="I46" s="738">
        <v>10</v>
      </c>
      <c r="J46" s="716" t="s">
        <v>23</v>
      </c>
      <c r="K46" s="716"/>
      <c r="L46" s="716" t="s">
        <v>24</v>
      </c>
      <c r="M46" s="716" t="s">
        <v>25</v>
      </c>
      <c r="N46" s="716">
        <f>IFERROR(VLOOKUP(C46,[3]List1!$A:$D,4,FALSE),"N/A!")</f>
        <v>3.4991250000000002E-2</v>
      </c>
      <c r="O46" s="716">
        <f>IFERROR(VLOOKUP(C46,[3]List1!$A:$D,3,FALSE),"N/A!")</f>
        <v>1600</v>
      </c>
      <c r="P46" s="716">
        <f>IFERROR(VLOOKUP(C46,[3]List1!$A:$D,2,FALSE),"N/A!")</f>
        <v>6600</v>
      </c>
      <c r="Q46" s="716" t="s">
        <v>45</v>
      </c>
      <c r="R46" s="716" t="s">
        <v>640</v>
      </c>
      <c r="S46" s="716"/>
      <c r="T46" s="716">
        <v>10</v>
      </c>
      <c r="U46" s="716"/>
      <c r="V46" s="716"/>
      <c r="W46" s="716" t="str">
        <f>IFERROR(VLOOKUP('General price list'!$C46,Popisy!A:P,MATCH($W$17,Popisy!$A$7:$P$7,0),FALSE),"---------------")</f>
        <v>barevná fontána s práskajícími hvězdami</v>
      </c>
      <c r="X46" s="716" t="str">
        <f t="shared" si="7"/>
        <v/>
      </c>
      <c r="Y46" s="716" t="str">
        <f t="shared" si="8"/>
        <v/>
      </c>
      <c r="Z46" s="716" t="str">
        <f>HYPERLINK("https://www.klasekpyrotechnics.cz/dp1fr")</f>
        <v>https://www.klasekpyrotechnics.cz/dp1fr</v>
      </c>
      <c r="AA46" s="716" t="str">
        <f>IFERROR(IF(VLOOKUP(C46,[4]List1!$A:$D,4,FALSE)=0,"",VLOOKUP(C46,[4]List1!$A:$D,4,FALSE)),"")</f>
        <v>40</v>
      </c>
      <c r="AB46" s="720"/>
      <c r="AC46" s="739" t="str">
        <f>IFERROR(IF(VLOOKUP(C46,[1]List1!$A:$D,2,FALSE)="VYPRODÁNO",$V$9,IF(VLOOKUP(C46,[1]List1!$A:$D,2,FALSE)="DOCHÁZÍ",$V$3,VLOOKUP(C46,[1]List1!$A:$D,2,FALSE))),"OFFLINE!")</f>
        <v>15.05.2024</v>
      </c>
      <c r="AD46" s="740" t="str">
        <f ca="1">IF(AP46="NE",$V$10,IF(AC46=$V$3,IF(AQ46&lt;1,$V$8,$V$2&amp;" "&amp;AQ46&amp;" "&amp;$V$1),IF(AC46="SKLADEM",$V$6,IFERROR(IF(OR(AC46-TODAY()&gt;45,VLOOKUP(C46,[1]List1!$A:$E,4,FALSE)=0),AC46,DAY(AC46)&amp;"."&amp;MONTH(AC46)&amp;"."&amp;YEAR(AC46)&amp;" "&amp;$V$4&amp;VLOOKUP(C46,[1]List1!$A:$E,4,FALSE)&amp;" "&amp;$V$1),AC46))))</f>
        <v>15.05.2024</v>
      </c>
      <c r="AE46" s="716" t="str">
        <f t="shared" ca="1" si="27"/>
        <v>15.05.2024</v>
      </c>
      <c r="AF46" s="723">
        <f t="shared" si="28"/>
        <v>0</v>
      </c>
      <c r="AG46" s="723">
        <f t="shared" si="29"/>
        <v>0</v>
      </c>
      <c r="AH46" s="724">
        <f t="shared" si="30"/>
        <v>0</v>
      </c>
      <c r="AI46" s="716">
        <f t="shared" si="31"/>
        <v>0</v>
      </c>
      <c r="AJ46" s="716">
        <f t="shared" si="32"/>
        <v>0</v>
      </c>
      <c r="AK46" s="716" t="str">
        <f t="shared" si="33"/>
        <v/>
      </c>
      <c r="AL46" s="716" t="str">
        <f t="shared" si="34"/>
        <v/>
      </c>
      <c r="AM46" s="716">
        <f t="shared" si="35"/>
        <v>0</v>
      </c>
      <c r="AN46" s="716">
        <f t="shared" si="36"/>
        <v>0</v>
      </c>
      <c r="AO46" s="380"/>
      <c r="AP46" s="322" t="str">
        <f t="shared" si="37"/>
        <v/>
      </c>
      <c r="AQ46" s="323" t="str">
        <f>IF(AC46=$V$3,IF(VLOOKUP(C46,[1]List1!$A:$E,5,FALSE)=0,1,VLOOKUP(C46,[1]List1!$A:$E,5,FALSE)),"")</f>
        <v/>
      </c>
      <c r="AR46" s="304" t="str">
        <f t="shared" si="38"/>
        <v/>
      </c>
      <c r="AS46" s="423" t="str">
        <f t="shared" si="39"/>
        <v/>
      </c>
      <c r="AT46" s="304" t="str">
        <f t="shared" si="40"/>
        <v/>
      </c>
      <c r="AU46" s="342" t="e">
        <f t="shared" si="41"/>
        <v>#N/A</v>
      </c>
      <c r="AV46" s="304" t="e">
        <f t="shared" si="42"/>
        <v>#N/A</v>
      </c>
      <c r="AX46" s="304">
        <f>IF(AND('General price list'!$J46="F4",'General price list'!$AB46+0&gt;0),1,0)</f>
        <v>0</v>
      </c>
      <c r="AY46" s="304">
        <f t="shared" si="43"/>
        <v>1</v>
      </c>
      <c r="AZ46" s="304">
        <f t="shared" si="44"/>
        <v>1</v>
      </c>
    </row>
    <row r="47" spans="1:52" ht="15" customHeight="1">
      <c r="A47" s="725" t="str">
        <f>Kat.!C47</f>
        <v/>
      </c>
      <c r="B47" s="726">
        <f>IF(AND('General price list'!$J47="F4",$AI$1=FALSE),0,IF(AC47="SKLADEM",1,IF(AC47=$V$3,1,0)))</f>
        <v>1</v>
      </c>
      <c r="C47" s="727" t="s">
        <v>11999</v>
      </c>
      <c r="D47" s="728" t="s">
        <v>14520</v>
      </c>
      <c r="E47" s="729" t="s">
        <v>12000</v>
      </c>
      <c r="F47" s="725">
        <f>IFERROR(ROUND(IF($AL$3=2,VLOOKUP(C47,[2]List1!$A:$D,2,FALSE)*1.08,VLOOKUP(C47,[2]List1!$A:$D,2,FALSE)),0),"NEUVEDENO!")</f>
        <v>252</v>
      </c>
      <c r="G47" s="730">
        <f t="shared" si="5"/>
        <v>252</v>
      </c>
      <c r="H47" s="731">
        <f t="shared" si="6"/>
        <v>10.240197652068968</v>
      </c>
      <c r="I47" s="732">
        <v>24</v>
      </c>
      <c r="J47" s="729" t="s">
        <v>23</v>
      </c>
      <c r="K47" s="729"/>
      <c r="L47" s="729" t="s">
        <v>24</v>
      </c>
      <c r="M47" s="729" t="s">
        <v>25</v>
      </c>
      <c r="N47" s="729">
        <f>IFERROR(VLOOKUP(C47,[3]List1!$A:$D,4,FALSE),"N/A!")</f>
        <v>3.1121999999999997E-2</v>
      </c>
      <c r="O47" s="729">
        <f>IFERROR(VLOOKUP(C47,[3]List1!$A:$D,3,FALSE),"N/A!")</f>
        <v>1728</v>
      </c>
      <c r="P47" s="729">
        <f>IFERROR(VLOOKUP(C47,[3]List1!$A:$D,2,FALSE),"N/A!")</f>
        <v>6000</v>
      </c>
      <c r="Q47" s="729" t="s">
        <v>14078</v>
      </c>
      <c r="R47" s="729" t="s">
        <v>640</v>
      </c>
      <c r="S47" s="729"/>
      <c r="T47" s="729">
        <v>8</v>
      </c>
      <c r="U47" s="729"/>
      <c r="V47" s="729"/>
      <c r="W47" s="729" t="str">
        <f>IFERROR(VLOOKUP('General price list'!$C47,Popisy!A:P,MATCH($W$17,Popisy!$A$7:$P$7,0),FALSE),"---------------")</f>
        <v>barevná fontána s blikajícími hvězdami</v>
      </c>
      <c r="X47" s="729" t="str">
        <f t="shared" si="7"/>
        <v/>
      </c>
      <c r="Y47" s="729" t="str">
        <f t="shared" si="8"/>
        <v/>
      </c>
      <c r="Z47" s="729" t="str">
        <f>HYPERLINK("https://https://www.klasekpyrotechnics.cz/dp1fm")</f>
        <v>https://https://www.klasekpyrotechnics.cz/dp1fm</v>
      </c>
      <c r="AA47" s="729">
        <f>IFERROR(IF(VLOOKUP(C47,[4]List1!$A:$D,4,FALSE)=0,"",VLOOKUP(C47,[4]List1!$A:$D,4,FALSE)),"")</f>
        <v>48</v>
      </c>
      <c r="AB47" s="720"/>
      <c r="AC47" s="733" t="str">
        <f>IFERROR(IF(VLOOKUP(C47,[1]List1!$A:$D,2,FALSE)="VYPRODÁNO",$V$9,IF(VLOOKUP(C47,[1]List1!$A:$D,2,FALSE)="DOCHÁZÍ",$V$3,VLOOKUP(C47,[1]List1!$A:$D,2,FALSE))),"OFFLINE!")</f>
        <v>SKLADEM</v>
      </c>
      <c r="AD47" s="734" t="str">
        <f ca="1">IF(AP47="NE",$V$10,IF(AC47=$V$3,IF(AQ47&lt;1,$V$8,$V$2&amp;" "&amp;AQ47&amp;" "&amp;$V$1),IF(AC47="SKLADEM",$V$6,IFERROR(IF(OR(AC47-TODAY()&gt;45,VLOOKUP(C47,[1]List1!$A:$E,4,FALSE)=0),AC47,DAY(AC47)&amp;"."&amp;MONTH(AC47)&amp;"."&amp;YEAR(AC47)&amp;" "&amp;$V$4&amp;VLOOKUP(C47,[1]List1!$A:$E,4,FALSE)&amp;" "&amp;$V$1),AC47))))</f>
        <v>SKLADEM</v>
      </c>
      <c r="AE47" s="729" t="str">
        <f t="shared" ca="1" si="27"/>
        <v>SKLADEM</v>
      </c>
      <c r="AF47" s="735">
        <f t="shared" si="28"/>
        <v>0</v>
      </c>
      <c r="AG47" s="735">
        <f t="shared" si="29"/>
        <v>0</v>
      </c>
      <c r="AH47" s="736">
        <f t="shared" si="30"/>
        <v>0</v>
      </c>
      <c r="AI47" s="729">
        <f t="shared" si="31"/>
        <v>0</v>
      </c>
      <c r="AJ47" s="729">
        <f t="shared" si="32"/>
        <v>0</v>
      </c>
      <c r="AK47" s="729" t="str">
        <f t="shared" si="33"/>
        <v/>
      </c>
      <c r="AL47" s="729" t="str">
        <f t="shared" si="34"/>
        <v/>
      </c>
      <c r="AM47" s="729">
        <f t="shared" si="35"/>
        <v>0</v>
      </c>
      <c r="AN47" s="729">
        <f t="shared" si="36"/>
        <v>0</v>
      </c>
      <c r="AO47" s="380"/>
      <c r="AP47" s="322" t="str">
        <f t="shared" si="37"/>
        <v/>
      </c>
      <c r="AQ47" s="323" t="str">
        <f>IF(AC47=$V$3,IF(VLOOKUP(C47,[1]List1!$A:$E,5,FALSE)=0,1,VLOOKUP(C47,[1]List1!$A:$E,5,FALSE)),"")</f>
        <v/>
      </c>
      <c r="AR47" s="304" t="str">
        <f t="shared" si="38"/>
        <v/>
      </c>
      <c r="AS47" s="423" t="str">
        <f t="shared" si="39"/>
        <v/>
      </c>
      <c r="AT47" s="304" t="str">
        <f t="shared" si="40"/>
        <v/>
      </c>
      <c r="AU47" s="342" t="e">
        <f t="shared" si="41"/>
        <v>#N/A</v>
      </c>
      <c r="AV47" s="304" t="e">
        <f t="shared" si="42"/>
        <v>#N/A</v>
      </c>
      <c r="AX47" s="304">
        <f>IF(AND('General price list'!$J47="F4",'General price list'!$AB47+0&gt;0),1,0)</f>
        <v>0</v>
      </c>
      <c r="AY47" s="304">
        <f t="shared" si="43"/>
        <v>1</v>
      </c>
      <c r="AZ47" s="304">
        <f t="shared" si="44"/>
        <v>1</v>
      </c>
    </row>
    <row r="48" spans="1:52" ht="15" customHeight="1">
      <c r="A48" s="712" t="str">
        <f>Kat.!C48</f>
        <v/>
      </c>
      <c r="B48" s="737">
        <f>IF(AND('General price list'!$J48="F4",$AI$1=FALSE),0,IF(AC48="SKLADEM",1,IF(AC48=$V$3,1,0)))</f>
        <v>1</v>
      </c>
      <c r="C48" s="714" t="s">
        <v>118</v>
      </c>
      <c r="D48" s="715" t="s">
        <v>119</v>
      </c>
      <c r="E48" s="716" t="s">
        <v>120</v>
      </c>
      <c r="F48" s="712">
        <f>IFERROR(ROUND(IF($AL$3=2,VLOOKUP(C48,[2]List1!$A:$D,2,FALSE)*1.08,VLOOKUP(C48,[2]List1!$A:$D,2,FALSE)),0),"NEUVEDENO!")</f>
        <v>148</v>
      </c>
      <c r="G48" s="717">
        <f t="shared" si="5"/>
        <v>148</v>
      </c>
      <c r="H48" s="718">
        <f t="shared" si="6"/>
        <v>6.0140843353420923</v>
      </c>
      <c r="I48" s="738">
        <v>24</v>
      </c>
      <c r="J48" s="716" t="s">
        <v>23</v>
      </c>
      <c r="K48" s="716"/>
      <c r="L48" s="716" t="s">
        <v>24</v>
      </c>
      <c r="M48" s="716" t="s">
        <v>25</v>
      </c>
      <c r="N48" s="716">
        <f>IFERROR(VLOOKUP(C48,[3]List1!$A:$D,4,FALSE),"N/A!")</f>
        <v>2.8999999999999998E-2</v>
      </c>
      <c r="O48" s="716">
        <f>IFERROR(VLOOKUP(C48,[3]List1!$A:$D,3,FALSE),"N/A!")</f>
        <v>2688</v>
      </c>
      <c r="P48" s="716">
        <f>IFERROR(VLOOKUP(C48,[3]List1!$A:$D,2,FALSE),"N/A!")</f>
        <v>7000</v>
      </c>
      <c r="Q48" s="716" t="s">
        <v>14079</v>
      </c>
      <c r="R48" s="716" t="s">
        <v>45</v>
      </c>
      <c r="S48" s="716"/>
      <c r="T48" s="716">
        <v>12</v>
      </c>
      <c r="U48" s="716"/>
      <c r="V48" s="716"/>
      <c r="W48" s="716" t="str">
        <f>IFERROR(VLOOKUP('General price list'!$C48,Popisy!A:P,MATCH($W$17,Popisy!$A$7:$P$7,0),FALSE),"---------------")</f>
        <v>malý bílý stroboskop</v>
      </c>
      <c r="X48" s="716" t="str">
        <f t="shared" si="7"/>
        <v/>
      </c>
      <c r="Y48" s="716" t="str">
        <f t="shared" si="8"/>
        <v/>
      </c>
      <c r="Z48" s="716" t="str">
        <f>HYPERLINK("https://www.klasekpyrotechnics.cz/s12s")</f>
        <v>https://www.klasekpyrotechnics.cz/s12s</v>
      </c>
      <c r="AA48" s="716">
        <f>IFERROR(IF(VLOOKUP(C48,[4]List1!$A:$D,4,FALSE)=0,"",VLOOKUP(C48,[4]List1!$A:$D,4,FALSE)),"")</f>
        <v>45</v>
      </c>
      <c r="AB48" s="720"/>
      <c r="AC48" s="739" t="str">
        <f>IFERROR(IF(VLOOKUP(C48,[1]List1!$A:$D,2,FALSE)="VYPRODÁNO",$V$9,IF(VLOOKUP(C48,[1]List1!$A:$D,2,FALSE)="DOCHÁZÍ",$V$3,VLOOKUP(C48,[1]List1!$A:$D,2,FALSE))),"OFFLINE!")</f>
        <v>SKLADEM</v>
      </c>
      <c r="AD48" s="740" t="str">
        <f ca="1">IF(AP48="NE",$V$10,IF(AC48=$V$3,IF(AQ48&lt;1,$V$8,$V$2&amp;" "&amp;AQ48&amp;" "&amp;$V$1),IF(AC48="SKLADEM",$V$6,IFERROR(IF(OR(AC48-TODAY()&gt;45,VLOOKUP(C48,[1]List1!$A:$E,4,FALSE)=0),AC48,DAY(AC48)&amp;"."&amp;MONTH(AC48)&amp;"."&amp;YEAR(AC48)&amp;" "&amp;$V$4&amp;VLOOKUP(C48,[1]List1!$A:$E,4,FALSE)&amp;" "&amp;$V$1),AC48))))</f>
        <v>SKLADEM</v>
      </c>
      <c r="AE48" s="716" t="str">
        <f t="shared" ca="1" si="27"/>
        <v>SKLADEM</v>
      </c>
      <c r="AF48" s="723">
        <f t="shared" si="28"/>
        <v>0</v>
      </c>
      <c r="AG48" s="723">
        <f t="shared" si="29"/>
        <v>0</v>
      </c>
      <c r="AH48" s="724">
        <f t="shared" si="30"/>
        <v>0</v>
      </c>
      <c r="AI48" s="716">
        <f t="shared" si="31"/>
        <v>0</v>
      </c>
      <c r="AJ48" s="716">
        <f t="shared" si="32"/>
        <v>0</v>
      </c>
      <c r="AK48" s="716" t="str">
        <f t="shared" si="33"/>
        <v/>
      </c>
      <c r="AL48" s="716" t="str">
        <f t="shared" si="34"/>
        <v/>
      </c>
      <c r="AM48" s="716">
        <f t="shared" si="35"/>
        <v>0</v>
      </c>
      <c r="AN48" s="716">
        <f t="shared" si="36"/>
        <v>0</v>
      </c>
      <c r="AO48" s="380"/>
      <c r="AP48" s="322" t="str">
        <f t="shared" si="37"/>
        <v/>
      </c>
      <c r="AQ48" s="323" t="str">
        <f>IF(AC48=$V$3,IF(VLOOKUP(C48,[1]List1!$A:$E,5,FALSE)=0,1,VLOOKUP(C48,[1]List1!$A:$E,5,FALSE)),"")</f>
        <v/>
      </c>
      <c r="AR48" s="304" t="str">
        <f t="shared" si="38"/>
        <v/>
      </c>
      <c r="AS48" s="423" t="str">
        <f t="shared" si="39"/>
        <v/>
      </c>
      <c r="AT48" s="304" t="str">
        <f t="shared" si="40"/>
        <v/>
      </c>
      <c r="AU48" s="342" t="e">
        <f t="shared" si="41"/>
        <v>#N/A</v>
      </c>
      <c r="AV48" s="304" t="e">
        <f t="shared" si="42"/>
        <v>#N/A</v>
      </c>
      <c r="AX48" s="304">
        <f>IF(AND('General price list'!$J48="F4",'General price list'!$AB48+0&gt;0),1,0)</f>
        <v>0</v>
      </c>
      <c r="AY48" s="304">
        <f t="shared" si="43"/>
        <v>1</v>
      </c>
      <c r="AZ48" s="304">
        <f t="shared" si="44"/>
        <v>1</v>
      </c>
    </row>
    <row r="49" spans="1:52" ht="15" customHeight="1">
      <c r="A49" s="725" t="str">
        <f>Kat.!C49</f>
        <v>×</v>
      </c>
      <c r="B49" s="726">
        <f>IF(AND('General price list'!$J49="F4",$AI$1=FALSE),0,IF(AC49="SKLADEM",1,IF(AC49=$V$3,1,0)))</f>
        <v>1</v>
      </c>
      <c r="C49" s="727" t="s">
        <v>124</v>
      </c>
      <c r="D49" s="728" t="s">
        <v>119</v>
      </c>
      <c r="E49" s="729" t="s">
        <v>120</v>
      </c>
      <c r="F49" s="725">
        <f>IFERROR(ROUND(IF($AL$3=2,VLOOKUP(C49,[2]List1!$A:$D,2,FALSE)*1.08,VLOOKUP(C49,[2]List1!$A:$D,2,FALSE)),0),"NEUVEDENO!")</f>
        <v>148</v>
      </c>
      <c r="G49" s="730">
        <f t="shared" si="5"/>
        <v>148</v>
      </c>
      <c r="H49" s="731">
        <f t="shared" si="6"/>
        <v>6.0140843353420923</v>
      </c>
      <c r="I49" s="732">
        <v>24</v>
      </c>
      <c r="J49" s="729" t="s">
        <v>23</v>
      </c>
      <c r="K49" s="729"/>
      <c r="L49" s="729" t="s">
        <v>24</v>
      </c>
      <c r="M49" s="729" t="s">
        <v>25</v>
      </c>
      <c r="N49" s="729">
        <f>IFERROR(VLOOKUP(C49,[3]List1!$A:$D,4,FALSE),"N/A!")</f>
        <v>2.8999999999999998E-2</v>
      </c>
      <c r="O49" s="729">
        <f>IFERROR(VLOOKUP(C49,[3]List1!$A:$D,3,FALSE),"N/A!")</f>
        <v>2688</v>
      </c>
      <c r="P49" s="729">
        <f>IFERROR(VLOOKUP(C49,[3]List1!$A:$D,2,FALSE),"N/A!")</f>
        <v>7500</v>
      </c>
      <c r="Q49" s="729" t="s">
        <v>14079</v>
      </c>
      <c r="R49" s="729" t="s">
        <v>125</v>
      </c>
      <c r="S49" s="729"/>
      <c r="T49" s="729">
        <v>12</v>
      </c>
      <c r="U49" s="729"/>
      <c r="V49" s="729"/>
      <c r="W49" s="729" t="str">
        <f>IFERROR(VLOOKUP('General price list'!$C49,Popisy!A:P,MATCH($W$17,Popisy!$A$7:$P$7,0),FALSE),"---------------")</f>
        <v>malý bílý stroboskop</v>
      </c>
      <c r="X49" s="729" t="str">
        <f t="shared" si="7"/>
        <v/>
      </c>
      <c r="Y49" s="729" t="str">
        <f t="shared" si="8"/>
        <v/>
      </c>
      <c r="Z49" s="729" t="str">
        <f>HYPERLINK("https://www.klasekpyrotechnics.cz/s12s_1")</f>
        <v>https://www.klasekpyrotechnics.cz/s12s_1</v>
      </c>
      <c r="AA49" s="729">
        <f>IFERROR(IF(VLOOKUP(C49,[4]List1!$A:$D,4,FALSE)=0,"",VLOOKUP(C49,[4]List1!$A:$D,4,FALSE)),"")</f>
        <v>45</v>
      </c>
      <c r="AB49" s="720"/>
      <c r="AC49" s="733" t="str">
        <f>IFERROR(IF(VLOOKUP(C49,[1]List1!$A:$D,2,FALSE)="VYPRODÁNO",$V$9,IF(VLOOKUP(C49,[1]List1!$A:$D,2,FALSE)="DOCHÁZÍ",$V$3,VLOOKUP(C49,[1]List1!$A:$D,2,FALSE))),"OFFLINE!")</f>
        <v>SKLADEM</v>
      </c>
      <c r="AD49" s="734" t="str">
        <f ca="1">IF(AP49="NE",$V$10,IF(AC49=$V$3,IF(AQ49&lt;1,$V$8,$V$2&amp;" "&amp;AQ49&amp;" "&amp;$V$1),IF(AC49="SKLADEM",$V$6,IFERROR(IF(OR(AC49-TODAY()&gt;45,VLOOKUP(C49,[1]List1!$A:$E,4,FALSE)=0),AC49,DAY(AC49)&amp;"."&amp;MONTH(AC49)&amp;"."&amp;YEAR(AC49)&amp;" "&amp;$V$4&amp;VLOOKUP(C49,[1]List1!$A:$E,4,FALSE)&amp;" "&amp;$V$1),AC49))))</f>
        <v>SKLADEM</v>
      </c>
      <c r="AE49" s="729" t="str">
        <f t="shared" ca="1" si="27"/>
        <v>SKLADEM</v>
      </c>
      <c r="AF49" s="735">
        <f t="shared" si="28"/>
        <v>0</v>
      </c>
      <c r="AG49" s="735">
        <f t="shared" si="29"/>
        <v>0</v>
      </c>
      <c r="AH49" s="736">
        <f t="shared" si="30"/>
        <v>0</v>
      </c>
      <c r="AI49" s="729">
        <f t="shared" si="31"/>
        <v>0</v>
      </c>
      <c r="AJ49" s="729">
        <f t="shared" si="32"/>
        <v>0</v>
      </c>
      <c r="AK49" s="729" t="str">
        <f t="shared" si="33"/>
        <v/>
      </c>
      <c r="AL49" s="729" t="str">
        <f t="shared" si="34"/>
        <v/>
      </c>
      <c r="AM49" s="729">
        <f t="shared" si="35"/>
        <v>0</v>
      </c>
      <c r="AN49" s="729">
        <f t="shared" si="36"/>
        <v>0</v>
      </c>
      <c r="AO49" s="380"/>
      <c r="AP49" s="322" t="str">
        <f t="shared" si="37"/>
        <v/>
      </c>
      <c r="AQ49" s="323" t="str">
        <f>IF(AC49=$V$3,IF(VLOOKUP(C49,[1]List1!$A:$E,5,FALSE)=0,1,VLOOKUP(C49,[1]List1!$A:$E,5,FALSE)),"")</f>
        <v/>
      </c>
      <c r="AR49" s="304" t="str">
        <f t="shared" si="38"/>
        <v/>
      </c>
      <c r="AS49" s="423" t="str">
        <f t="shared" si="39"/>
        <v/>
      </c>
      <c r="AT49" s="304" t="str">
        <f t="shared" si="40"/>
        <v/>
      </c>
      <c r="AU49" s="342" t="e">
        <f t="shared" si="41"/>
        <v>#N/A</v>
      </c>
      <c r="AV49" s="304" t="e">
        <f t="shared" si="42"/>
        <v>#N/A</v>
      </c>
      <c r="AX49" s="304">
        <f>IF(AND('General price list'!$J49="F4",'General price list'!$AB49+0&gt;0),1,0)</f>
        <v>0</v>
      </c>
      <c r="AY49" s="304">
        <f t="shared" si="43"/>
        <v>1</v>
      </c>
      <c r="AZ49" s="304">
        <f t="shared" si="44"/>
        <v>0</v>
      </c>
    </row>
    <row r="50" spans="1:52" ht="15" customHeight="1">
      <c r="A50" s="712" t="str">
        <f>Kat.!C50</f>
        <v>×</v>
      </c>
      <c r="B50" s="737">
        <f>IF(AND('General price list'!$J50="F4",$AI$1=FALSE),0,IF(AC50="SKLADEM",1,IF(AC50=$V$3,1,0)))</f>
        <v>1</v>
      </c>
      <c r="C50" s="714" t="s">
        <v>2480</v>
      </c>
      <c r="D50" s="715" t="s">
        <v>2481</v>
      </c>
      <c r="E50" s="716" t="s">
        <v>2660</v>
      </c>
      <c r="F50" s="712">
        <f>IFERROR(ROUND(IF($AL$3=2,VLOOKUP(C50,[2]List1!$A:$D,2,FALSE)*1.08,VLOOKUP(C50,[2]List1!$A:$D,2,FALSE)),0),"NEUVEDENO!")</f>
        <v>83</v>
      </c>
      <c r="G50" s="717">
        <f t="shared" si="5"/>
        <v>83</v>
      </c>
      <c r="H50" s="718">
        <f t="shared" si="6"/>
        <v>3.3727635123877948</v>
      </c>
      <c r="I50" s="738">
        <v>40</v>
      </c>
      <c r="J50" s="716" t="s">
        <v>240</v>
      </c>
      <c r="K50" s="716"/>
      <c r="L50" s="716" t="s">
        <v>24</v>
      </c>
      <c r="M50" s="716" t="s">
        <v>25</v>
      </c>
      <c r="N50" s="716">
        <f>IFERROR(VLOOKUP(C50,[3]List1!$A:$D,4,FALSE),"N/A!")</f>
        <v>1.2332250000000001E-2</v>
      </c>
      <c r="O50" s="716">
        <f>IFERROR(VLOOKUP(C50,[3]List1!$A:$D,3,FALSE),"N/A!")</f>
        <v>1440</v>
      </c>
      <c r="P50" s="716">
        <f>IFERROR(VLOOKUP(C50,[3]List1!$A:$D,2,FALSE),"N/A!")</f>
        <v>10000</v>
      </c>
      <c r="Q50" s="716" t="s">
        <v>217</v>
      </c>
      <c r="R50" s="716" t="s">
        <v>24</v>
      </c>
      <c r="S50" s="716"/>
      <c r="T50" s="716">
        <v>30</v>
      </c>
      <c r="U50" s="716"/>
      <c r="V50" s="716"/>
      <c r="W50" s="716" t="str">
        <f>IFERROR(VLOOKUP('General price list'!$C50,Popisy!A:P,MATCH($W$17,Popisy!$A$7:$P$7,0),FALSE),"---------------")</f>
        <v>dětská party pochodeň(barevná) se svítícím náramkem</v>
      </c>
      <c r="X50" s="716" t="str">
        <f t="shared" si="7"/>
        <v/>
      </c>
      <c r="Y50" s="716" t="str">
        <f t="shared" si="8"/>
        <v/>
      </c>
      <c r="Z50" s="716" t="str">
        <f>HYPERLINK("https://www.klasekpyrotechnics.cz/bp30s")</f>
        <v>https://www.klasekpyrotechnics.cz/bp30s</v>
      </c>
      <c r="AA50" s="716">
        <f>IFERROR(IF(VLOOKUP(C50,[4]List1!$A:$D,4,FALSE)=0,"",VLOOKUP(C50,[4]List1!$A:$D,4,FALSE)),"")</f>
        <v>75</v>
      </c>
      <c r="AB50" s="720"/>
      <c r="AC50" s="739" t="str">
        <f>IFERROR(IF(VLOOKUP(C50,[1]List1!$A:$D,2,FALSE)="VYPRODÁNO",$V$9,IF(VLOOKUP(C50,[1]List1!$A:$D,2,FALSE)="DOCHÁZÍ",$V$3,VLOOKUP(C50,[1]List1!$A:$D,2,FALSE))),"OFFLINE!")</f>
        <v>SKLADEM</v>
      </c>
      <c r="AD50" s="740" t="str">
        <f ca="1">IF(AP50="NE",$V$10,IF(AC50=$V$3,IF(AQ50&lt;1,$V$8,$V$2&amp;" "&amp;AQ50&amp;" "&amp;$V$1),IF(AC50="SKLADEM",$V$6,IFERROR(IF(OR(AC50-TODAY()&gt;45,VLOOKUP(C50,[1]List1!$A:$E,4,FALSE)=0),AC50,DAY(AC50)&amp;"."&amp;MONTH(AC50)&amp;"."&amp;YEAR(AC50)&amp;" "&amp;$V$4&amp;VLOOKUP(C50,[1]List1!$A:$E,4,FALSE)&amp;" "&amp;$V$1),AC50))))</f>
        <v>SKLADEM</v>
      </c>
      <c r="AE50" s="716" t="str">
        <f t="shared" ca="1" si="27"/>
        <v>SKLADEM</v>
      </c>
      <c r="AF50" s="723">
        <f t="shared" si="28"/>
        <v>0</v>
      </c>
      <c r="AG50" s="723">
        <f t="shared" si="29"/>
        <v>0</v>
      </c>
      <c r="AH50" s="724">
        <f t="shared" si="30"/>
        <v>0</v>
      </c>
      <c r="AI50" s="716">
        <f t="shared" si="31"/>
        <v>0</v>
      </c>
      <c r="AJ50" s="716">
        <f t="shared" si="32"/>
        <v>0</v>
      </c>
      <c r="AK50" s="716" t="str">
        <f t="shared" si="33"/>
        <v/>
      </c>
      <c r="AL50" s="716" t="str">
        <f t="shared" si="34"/>
        <v/>
      </c>
      <c r="AM50" s="716">
        <f t="shared" si="35"/>
        <v>0</v>
      </c>
      <c r="AN50" s="716">
        <f t="shared" si="36"/>
        <v>0</v>
      </c>
      <c r="AO50" s="380"/>
      <c r="AP50" s="322" t="str">
        <f t="shared" si="37"/>
        <v/>
      </c>
      <c r="AQ50" s="323" t="str">
        <f>IF(AC50=$V$3,IF(VLOOKUP(C50,[1]List1!$A:$E,5,FALSE)=0,1,VLOOKUP(C50,[1]List1!$A:$E,5,FALSE)),"")</f>
        <v/>
      </c>
      <c r="AR50" s="304" t="str">
        <f t="shared" si="38"/>
        <v/>
      </c>
      <c r="AS50" s="423" t="str">
        <f t="shared" si="39"/>
        <v/>
      </c>
      <c r="AT50" s="304" t="str">
        <f t="shared" si="40"/>
        <v/>
      </c>
      <c r="AU50" s="342" t="e">
        <f t="shared" si="41"/>
        <v>#N/A</v>
      </c>
      <c r="AV50" s="304" t="e">
        <f t="shared" si="42"/>
        <v>#N/A</v>
      </c>
      <c r="AX50" s="304">
        <f>IF(AND('General price list'!$J50="F4",'General price list'!$AB50+0&gt;0),1,0)</f>
        <v>0</v>
      </c>
      <c r="AY50" s="304">
        <f t="shared" si="43"/>
        <v>1</v>
      </c>
      <c r="AZ50" s="304">
        <f t="shared" si="44"/>
        <v>0</v>
      </c>
    </row>
    <row r="51" spans="1:52" ht="15" customHeight="1">
      <c r="A51" s="725" t="str">
        <f>Kat.!C51</f>
        <v/>
      </c>
      <c r="B51" s="726">
        <f>IF(AND('General price list'!$J51="F4",$AI$1=FALSE),0,IF(AC51="SKLADEM",1,IF(AC51=$V$3,1,0)))</f>
        <v>1</v>
      </c>
      <c r="C51" s="727" t="s">
        <v>12354</v>
      </c>
      <c r="D51" s="728" t="s">
        <v>14521</v>
      </c>
      <c r="E51" s="729" t="s">
        <v>12001</v>
      </c>
      <c r="F51" s="725">
        <f>IFERROR(ROUND(IF($AL$3=2,VLOOKUP(C51,[2]List1!$A:$D,2,FALSE)*1.08,VLOOKUP(C51,[2]List1!$A:$D,2,FALSE)),0),"NEUVEDENO!")</f>
        <v>75</v>
      </c>
      <c r="G51" s="730">
        <f t="shared" si="5"/>
        <v>75</v>
      </c>
      <c r="H51" s="731">
        <f t="shared" si="6"/>
        <v>3.0476778726395737</v>
      </c>
      <c r="I51" s="732">
        <v>40</v>
      </c>
      <c r="J51" s="729" t="s">
        <v>23</v>
      </c>
      <c r="K51" s="729"/>
      <c r="L51" s="729" t="s">
        <v>24</v>
      </c>
      <c r="M51" s="729" t="s">
        <v>25</v>
      </c>
      <c r="N51" s="729">
        <f>IFERROR(VLOOKUP(C51,[3]List1!$A:$D,4,FALSE),"N/A!")</f>
        <v>1.7279999999999997E-2</v>
      </c>
      <c r="O51" s="729">
        <f>IFERROR(VLOOKUP(C51,[3]List1!$A:$D,3,FALSE),"N/A!")</f>
        <v>1536.0000000000002</v>
      </c>
      <c r="P51" s="729">
        <f>IFERROR(VLOOKUP(C51,[3]List1!$A:$D,2,FALSE),"N/A!")</f>
        <v>6500</v>
      </c>
      <c r="Q51" s="729" t="s">
        <v>217</v>
      </c>
      <c r="R51" s="729" t="s">
        <v>24</v>
      </c>
      <c r="S51" s="729"/>
      <c r="T51" s="729">
        <v>12</v>
      </c>
      <c r="U51" s="729"/>
      <c r="V51" s="729"/>
      <c r="W51" s="729" t="str">
        <f>IFERROR(VLOOKUP('General price list'!$C51,Popisy!A:P,MATCH($W$17,Popisy!$A$7:$P$7,0),FALSE),"---------------")</f>
        <v>práskající a blikající pochodeň</v>
      </c>
      <c r="X51" s="729" t="str">
        <f t="shared" si="7"/>
        <v/>
      </c>
      <c r="Y51" s="729" t="str">
        <f t="shared" si="8"/>
        <v/>
      </c>
      <c r="Z51" s="729" t="str">
        <f>HYPERLINK("https://https://www.klasekpyrotechnics.cz/cst12s")</f>
        <v>https://https://www.klasekpyrotechnics.cz/cst12s</v>
      </c>
      <c r="AA51" s="729">
        <f>IFERROR(IF(VLOOKUP(C51,[4]List1!$A:$D,4,FALSE)=0,"",VLOOKUP(C51,[4]List1!$A:$D,4,FALSE)),"")</f>
        <v>78</v>
      </c>
      <c r="AB51" s="720"/>
      <c r="AC51" s="733" t="str">
        <f>IFERROR(IF(VLOOKUP(C51,[1]List1!$A:$D,2,FALSE)="VYPRODÁNO",$V$9,IF(VLOOKUP(C51,[1]List1!$A:$D,2,FALSE)="DOCHÁZÍ",$V$3,VLOOKUP(C51,[1]List1!$A:$D,2,FALSE))),"OFFLINE!")</f>
        <v>SKLADEM</v>
      </c>
      <c r="AD51" s="734" t="str">
        <f ca="1">IF(AP51="NE",$V$10,IF(AC51=$V$3,IF(AQ51&lt;1,$V$8,$V$2&amp;" "&amp;AQ51&amp;" "&amp;$V$1),IF(AC51="SKLADEM",$V$6,IFERROR(IF(OR(AC51-TODAY()&gt;45,VLOOKUP(C51,[1]List1!$A:$E,4,FALSE)=0),AC51,DAY(AC51)&amp;"."&amp;MONTH(AC51)&amp;"."&amp;YEAR(AC51)&amp;" "&amp;$V$4&amp;VLOOKUP(C51,[1]List1!$A:$E,4,FALSE)&amp;" "&amp;$V$1),AC51))))</f>
        <v>SKLADEM</v>
      </c>
      <c r="AE51" s="729" t="str">
        <f t="shared" ca="1" si="27"/>
        <v>SKLADEM</v>
      </c>
      <c r="AF51" s="735">
        <f t="shared" si="28"/>
        <v>0</v>
      </c>
      <c r="AG51" s="735">
        <f t="shared" si="29"/>
        <v>0</v>
      </c>
      <c r="AH51" s="736">
        <f t="shared" si="30"/>
        <v>0</v>
      </c>
      <c r="AI51" s="729">
        <f t="shared" si="31"/>
        <v>0</v>
      </c>
      <c r="AJ51" s="729">
        <f t="shared" si="32"/>
        <v>0</v>
      </c>
      <c r="AK51" s="729" t="str">
        <f t="shared" si="33"/>
        <v/>
      </c>
      <c r="AL51" s="729" t="str">
        <f t="shared" si="34"/>
        <v/>
      </c>
      <c r="AM51" s="729">
        <f t="shared" si="35"/>
        <v>0</v>
      </c>
      <c r="AN51" s="729">
        <f t="shared" si="36"/>
        <v>0</v>
      </c>
      <c r="AO51" s="380"/>
      <c r="AP51" s="322" t="str">
        <f t="shared" si="37"/>
        <v/>
      </c>
      <c r="AQ51" s="323" t="str">
        <f>IF(AC51=$V$3,IF(VLOOKUP(C51,[1]List1!$A:$E,5,FALSE)=0,1,VLOOKUP(C51,[1]List1!$A:$E,5,FALSE)),"")</f>
        <v/>
      </c>
      <c r="AR51" s="304" t="str">
        <f t="shared" si="38"/>
        <v/>
      </c>
      <c r="AS51" s="423" t="str">
        <f t="shared" si="39"/>
        <v/>
      </c>
      <c r="AT51" s="304" t="str">
        <f t="shared" si="40"/>
        <v/>
      </c>
      <c r="AU51" s="342" t="e">
        <f t="shared" si="41"/>
        <v>#N/A</v>
      </c>
      <c r="AV51" s="304" t="e">
        <f t="shared" si="42"/>
        <v>#N/A</v>
      </c>
      <c r="AX51" s="304">
        <f>IF(AND('General price list'!$J51="F4",'General price list'!$AB51+0&gt;0),1,0)</f>
        <v>0</v>
      </c>
      <c r="AY51" s="304">
        <f t="shared" si="43"/>
        <v>1</v>
      </c>
      <c r="AZ51" s="304">
        <f t="shared" si="44"/>
        <v>0</v>
      </c>
    </row>
    <row r="52" spans="1:52" ht="15" customHeight="1">
      <c r="A52" s="712" t="str">
        <f>Kat.!C52</f>
        <v/>
      </c>
      <c r="B52" s="737">
        <f>IF(AND('General price list'!$J52="F4",$AI$1=FALSE),0,IF(AC52="SKLADEM",1,IF(AC52=$V$3,1,0)))</f>
        <v>1</v>
      </c>
      <c r="C52" s="714" t="s">
        <v>129</v>
      </c>
      <c r="D52" s="715" t="s">
        <v>130</v>
      </c>
      <c r="E52" s="716" t="s">
        <v>131</v>
      </c>
      <c r="F52" s="712">
        <f>IFERROR(ROUND(IF($AL$3=2,VLOOKUP(C52,[2]List1!$A:$D,2,FALSE)*1.08,VLOOKUP(C52,[2]List1!$A:$D,2,FALSE)),0),"NEUVEDENO!")</f>
        <v>269</v>
      </c>
      <c r="G52" s="717">
        <f t="shared" si="5"/>
        <v>269</v>
      </c>
      <c r="H52" s="718">
        <f t="shared" si="6"/>
        <v>10.931004636533938</v>
      </c>
      <c r="I52" s="738">
        <v>6</v>
      </c>
      <c r="J52" s="716" t="s">
        <v>23</v>
      </c>
      <c r="K52" s="716" t="s">
        <v>14820</v>
      </c>
      <c r="L52" s="716" t="s">
        <v>14357</v>
      </c>
      <c r="M52" s="716" t="s">
        <v>25</v>
      </c>
      <c r="N52" s="716">
        <f>IFERROR(VLOOKUP(C52,[3]List1!$A:$D,4,FALSE),"N/A!")</f>
        <v>2.5937499999999999E-2</v>
      </c>
      <c r="O52" s="716">
        <f>IFERROR(VLOOKUP(C52,[3]List1!$A:$D,3,FALSE),"N/A!")</f>
        <v>18</v>
      </c>
      <c r="P52" s="716">
        <f>IFERROR(VLOOKUP(C52,[3]List1!$A:$D,2,FALSE),"N/A!")</f>
        <v>7100</v>
      </c>
      <c r="Q52" s="716" t="s">
        <v>14080</v>
      </c>
      <c r="R52" s="716" t="s">
        <v>640</v>
      </c>
      <c r="S52" s="716"/>
      <c r="T52" s="716"/>
      <c r="U52" s="716"/>
      <c r="V52" s="716"/>
      <c r="W52" s="716" t="str">
        <f>IFERROR(VLOOKUP('General price list'!$C52,Popisy!A:P,MATCH($W$17,Popisy!$A$7:$P$7,0),FALSE),"---------------")</f>
        <v xml:space="preserve">barevné bouchací kuličky(průměr 9mm) </v>
      </c>
      <c r="X52" s="716" t="str">
        <f t="shared" si="7"/>
        <v/>
      </c>
      <c r="Y52" s="716" t="str">
        <f t="shared" si="8"/>
        <v/>
      </c>
      <c r="Z52" s="716" t="str">
        <f>HYPERLINK("https://www.klasekpyrotechnics.cz/bk1p")</f>
        <v>https://www.klasekpyrotechnics.cz/bk1p</v>
      </c>
      <c r="AA52" s="716">
        <f>IFERROR(IF(VLOOKUP(C52,[4]List1!$A:$D,4,FALSE)=0,"",VLOOKUP(C52,[4]List1!$A:$D,4,FALSE)),"")</f>
        <v>63</v>
      </c>
      <c r="AB52" s="720"/>
      <c r="AC52" s="739" t="str">
        <f>IFERROR(IF(VLOOKUP(C52,[1]List1!$A:$D,2,FALSE)="VYPRODÁNO",$V$9,IF(VLOOKUP(C52,[1]List1!$A:$D,2,FALSE)="DOCHÁZÍ",$V$3,VLOOKUP(C52,[1]List1!$A:$D,2,FALSE))),"OFFLINE!")</f>
        <v>SKLADEM</v>
      </c>
      <c r="AD52" s="740" t="str">
        <f ca="1">IF(AP52="NE",$V$10,IF(AC52=$V$3,IF(AQ52&lt;1,$V$8,$V$2&amp;" "&amp;AQ52&amp;" "&amp;$V$1),IF(AC52="SKLADEM",$V$6,IFERROR(IF(OR(AC52-TODAY()&gt;45,VLOOKUP(C52,[1]List1!$A:$E,4,FALSE)=0),AC52,DAY(AC52)&amp;"."&amp;MONTH(AC52)&amp;"."&amp;YEAR(AC52)&amp;" "&amp;$V$4&amp;VLOOKUP(C52,[1]List1!$A:$E,4,FALSE)&amp;" "&amp;$V$1),AC52))))</f>
        <v>SKLADEM</v>
      </c>
      <c r="AE52" s="716" t="str">
        <f t="shared" ca="1" si="27"/>
        <v>SKLADEM</v>
      </c>
      <c r="AF52" s="723">
        <f t="shared" si="28"/>
        <v>0</v>
      </c>
      <c r="AG52" s="723">
        <f t="shared" si="29"/>
        <v>0</v>
      </c>
      <c r="AH52" s="724">
        <f t="shared" si="30"/>
        <v>0</v>
      </c>
      <c r="AI52" s="716">
        <f t="shared" si="31"/>
        <v>0</v>
      </c>
      <c r="AJ52" s="716">
        <f t="shared" si="32"/>
        <v>0</v>
      </c>
      <c r="AK52" s="716" t="str">
        <f t="shared" si="33"/>
        <v/>
      </c>
      <c r="AL52" s="716" t="str">
        <f t="shared" si="34"/>
        <v/>
      </c>
      <c r="AM52" s="716">
        <f t="shared" si="35"/>
        <v>0</v>
      </c>
      <c r="AN52" s="716">
        <f t="shared" si="36"/>
        <v>0</v>
      </c>
      <c r="AO52" s="380"/>
      <c r="AP52" s="322" t="str">
        <f t="shared" si="37"/>
        <v/>
      </c>
      <c r="AQ52" s="323" t="str">
        <f>IF(AC52=$V$3,IF(VLOOKUP(C52,[1]List1!$A:$E,5,FALSE)=0,1,VLOOKUP(C52,[1]List1!$A:$E,5,FALSE)),"")</f>
        <v/>
      </c>
      <c r="AR52" s="304" t="str">
        <f t="shared" si="38"/>
        <v/>
      </c>
      <c r="AS52" s="423" t="str">
        <f t="shared" si="39"/>
        <v/>
      </c>
      <c r="AT52" s="304" t="str">
        <f t="shared" si="40"/>
        <v/>
      </c>
      <c r="AU52" s="342" t="e">
        <f t="shared" si="41"/>
        <v>#N/A</v>
      </c>
      <c r="AV52" s="304" t="e">
        <f t="shared" si="42"/>
        <v>#N/A</v>
      </c>
      <c r="AX52" s="304">
        <f>IF(AND('General price list'!$J52="F4",'General price list'!$AB52+0&gt;0),1,0)</f>
        <v>0</v>
      </c>
      <c r="AY52" s="304">
        <f t="shared" si="43"/>
        <v>1</v>
      </c>
      <c r="AZ52" s="304">
        <f t="shared" si="44"/>
        <v>1</v>
      </c>
    </row>
    <row r="53" spans="1:52" ht="15" customHeight="1">
      <c r="A53" s="725" t="str">
        <f>Kat.!C53</f>
        <v/>
      </c>
      <c r="B53" s="726">
        <f>IF(AND('General price list'!$J53="F4",$AI$1=FALSE),0,IF(AC53="SKLADEM",1,IF(AC53=$V$3,1,0)))</f>
        <v>1</v>
      </c>
      <c r="C53" s="727" t="s">
        <v>132</v>
      </c>
      <c r="D53" s="728" t="s">
        <v>130</v>
      </c>
      <c r="E53" s="729" t="s">
        <v>131</v>
      </c>
      <c r="F53" s="725">
        <f>IFERROR(ROUND(IF($AL$3=2,VLOOKUP(C53,[2]List1!$A:$D,2,FALSE)*1.08,VLOOKUP(C53,[2]List1!$A:$D,2,FALSE)),0),"NEUVEDENO!")</f>
        <v>269</v>
      </c>
      <c r="G53" s="730">
        <f t="shared" si="5"/>
        <v>269</v>
      </c>
      <c r="H53" s="731">
        <f t="shared" si="6"/>
        <v>10.931004636533938</v>
      </c>
      <c r="I53" s="732">
        <v>6</v>
      </c>
      <c r="J53" s="729" t="s">
        <v>23</v>
      </c>
      <c r="K53" s="729" t="s">
        <v>14734</v>
      </c>
      <c r="L53" s="729" t="s">
        <v>14357</v>
      </c>
      <c r="M53" s="729" t="s">
        <v>25</v>
      </c>
      <c r="N53" s="729">
        <f>IFERROR(VLOOKUP(C53,[3]List1!$A:$D,4,FALSE),"N/A!")</f>
        <v>2.5937499999999999E-2</v>
      </c>
      <c r="O53" s="729">
        <f>IFERROR(VLOOKUP(C53,[3]List1!$A:$D,3,FALSE),"N/A!")</f>
        <v>18</v>
      </c>
      <c r="P53" s="729">
        <f>IFERROR(VLOOKUP(C53,[3]List1!$A:$D,2,FALSE),"N/A!")</f>
        <v>7100</v>
      </c>
      <c r="Q53" s="729" t="s">
        <v>14081</v>
      </c>
      <c r="R53" s="729" t="s">
        <v>11317</v>
      </c>
      <c r="S53" s="729"/>
      <c r="T53" s="729"/>
      <c r="U53" s="729"/>
      <c r="V53" s="729"/>
      <c r="W53" s="729" t="str">
        <f>IFERROR(VLOOKUP('General price list'!$C53,Popisy!A:P,MATCH($W$17,Popisy!$A$7:$P$7,0),FALSE),"---------------")</f>
        <v xml:space="preserve">barevné bouchací kuličky(průměr 9mm) </v>
      </c>
      <c r="X53" s="729" t="str">
        <f t="shared" si="7"/>
        <v/>
      </c>
      <c r="Y53" s="729" t="str">
        <f t="shared" si="8"/>
        <v/>
      </c>
      <c r="Z53" s="729" t="str">
        <f>HYPERLINK("https://www.klasekpyrotechnics.cz/bk1p_1")</f>
        <v>https://www.klasekpyrotechnics.cz/bk1p_1</v>
      </c>
      <c r="AA53" s="729">
        <f>IFERROR(IF(VLOOKUP(C53,[4]List1!$A:$D,4,FALSE)=0,"",VLOOKUP(C53,[4]List1!$A:$D,4,FALSE)),"")</f>
        <v>63</v>
      </c>
      <c r="AB53" s="720"/>
      <c r="AC53" s="733" t="str">
        <f>IFERROR(IF(VLOOKUP(C53,[1]List1!$A:$D,2,FALSE)="VYPRODÁNO",$V$9,IF(VLOOKUP(C53,[1]List1!$A:$D,2,FALSE)="DOCHÁZÍ",$V$3,VLOOKUP(C53,[1]List1!$A:$D,2,FALSE))),"OFFLINE!")</f>
        <v>SKLADEM</v>
      </c>
      <c r="AD53" s="734" t="str">
        <f ca="1">IF(AP53="NE",$V$10,IF(AC53=$V$3,IF(AQ53&lt;1,$V$8,$V$2&amp;" "&amp;AQ53&amp;" "&amp;$V$1),IF(AC53="SKLADEM",$V$6,IFERROR(IF(OR(AC53-TODAY()&gt;45,VLOOKUP(C53,[1]List1!$A:$E,4,FALSE)=0),AC53,DAY(AC53)&amp;"."&amp;MONTH(AC53)&amp;"."&amp;YEAR(AC53)&amp;" "&amp;$V$4&amp;VLOOKUP(C53,[1]List1!$A:$E,4,FALSE)&amp;" "&amp;$V$1),AC53))))</f>
        <v>SKLADEM</v>
      </c>
      <c r="AE53" s="729" t="str">
        <f t="shared" ca="1" si="27"/>
        <v>SKLADEM</v>
      </c>
      <c r="AF53" s="735">
        <f t="shared" si="28"/>
        <v>0</v>
      </c>
      <c r="AG53" s="735">
        <f t="shared" si="29"/>
        <v>0</v>
      </c>
      <c r="AH53" s="736">
        <f t="shared" si="30"/>
        <v>0</v>
      </c>
      <c r="AI53" s="729">
        <f t="shared" si="31"/>
        <v>0</v>
      </c>
      <c r="AJ53" s="729">
        <f t="shared" si="32"/>
        <v>0</v>
      </c>
      <c r="AK53" s="729" t="str">
        <f t="shared" si="33"/>
        <v/>
      </c>
      <c r="AL53" s="729" t="str">
        <f t="shared" si="34"/>
        <v/>
      </c>
      <c r="AM53" s="729">
        <f t="shared" si="35"/>
        <v>0</v>
      </c>
      <c r="AN53" s="729">
        <f t="shared" si="36"/>
        <v>0</v>
      </c>
      <c r="AO53" s="380"/>
      <c r="AP53" s="322" t="str">
        <f t="shared" si="37"/>
        <v/>
      </c>
      <c r="AQ53" s="323" t="str">
        <f>IF(AC53=$V$3,IF(VLOOKUP(C53,[1]List1!$A:$E,5,FALSE)=0,1,VLOOKUP(C53,[1]List1!$A:$E,5,FALSE)),"")</f>
        <v/>
      </c>
      <c r="AR53" s="304" t="str">
        <f t="shared" si="38"/>
        <v/>
      </c>
      <c r="AS53" s="423" t="str">
        <f t="shared" si="39"/>
        <v/>
      </c>
      <c r="AT53" s="304" t="str">
        <f t="shared" si="40"/>
        <v/>
      </c>
      <c r="AU53" s="342" t="e">
        <f t="shared" si="41"/>
        <v>#N/A</v>
      </c>
      <c r="AV53" s="304" t="e">
        <f t="shared" si="42"/>
        <v>#N/A</v>
      </c>
      <c r="AX53" s="304">
        <f>IF(AND('General price list'!$J53="F4",'General price list'!$AB53+0&gt;0),1,0)</f>
        <v>0</v>
      </c>
      <c r="AY53" s="304">
        <f t="shared" si="43"/>
        <v>1</v>
      </c>
      <c r="AZ53" s="304">
        <f t="shared" si="44"/>
        <v>0</v>
      </c>
    </row>
    <row r="54" spans="1:52" ht="15" customHeight="1">
      <c r="A54" s="712" t="str">
        <f>Kat.!C54</f>
        <v/>
      </c>
      <c r="B54" s="737">
        <f>IF(AND('General price list'!$J54="F4",$AI$1=FALSE),0,IF(AC54="SKLADEM",1,IF(AC54=$V$3,1,0)))</f>
        <v>1</v>
      </c>
      <c r="C54" s="714" t="s">
        <v>133</v>
      </c>
      <c r="D54" s="715" t="s">
        <v>3259</v>
      </c>
      <c r="E54" s="716" t="s">
        <v>134</v>
      </c>
      <c r="F54" s="712">
        <f>IFERROR(ROUND(IF($AL$3=2,VLOOKUP(C54,[2]List1!$A:$D,2,FALSE)*1.08,VLOOKUP(C54,[2]List1!$A:$D,2,FALSE)),0),"NEUVEDENO!")</f>
        <v>379</v>
      </c>
      <c r="G54" s="717">
        <f t="shared" si="5"/>
        <v>379</v>
      </c>
      <c r="H54" s="718">
        <f t="shared" si="6"/>
        <v>15.40093218307198</v>
      </c>
      <c r="I54" s="738">
        <v>6</v>
      </c>
      <c r="J54" s="716" t="s">
        <v>23</v>
      </c>
      <c r="K54" s="716" t="s">
        <v>12734</v>
      </c>
      <c r="L54" s="716" t="s">
        <v>14357</v>
      </c>
      <c r="M54" s="716" t="s">
        <v>25</v>
      </c>
      <c r="N54" s="716">
        <f>IFERROR(VLOOKUP(C54,[3]List1!$A:$D,4,FALSE),"N/A!")</f>
        <v>3.2912000000000004E-2</v>
      </c>
      <c r="O54" s="716">
        <f>IFERROR(VLOOKUP(C54,[3]List1!$A:$D,3,FALSE),"N/A!")</f>
        <v>9.6000000000000014</v>
      </c>
      <c r="P54" s="716">
        <f>IFERROR(VLOOKUP(C54,[3]List1!$A:$D,2,FALSE),"N/A!")</f>
        <v>9800</v>
      </c>
      <c r="Q54" s="716" t="s">
        <v>14082</v>
      </c>
      <c r="R54" s="716" t="s">
        <v>14069</v>
      </c>
      <c r="S54" s="716"/>
      <c r="T54" s="716"/>
      <c r="U54" s="716"/>
      <c r="V54" s="716"/>
      <c r="W54" s="716" t="str">
        <f>IFERROR(VLOOKUP('General price list'!$C54,Popisy!A:P,MATCH($W$17,Popisy!$A$7:$P$7,0),FALSE),"---------------")</f>
        <v xml:space="preserve">černé bouchací kuličky(průměr 14mm) </v>
      </c>
      <c r="X54" s="716" t="str">
        <f t="shared" si="7"/>
        <v/>
      </c>
      <c r="Y54" s="716" t="str">
        <f t="shared" si="8"/>
        <v/>
      </c>
      <c r="Z54" s="716" t="str">
        <f>HYPERLINK("https://www.klasekpyrotechnics.cz/bk2v")</f>
        <v>https://www.klasekpyrotechnics.cz/bk2v</v>
      </c>
      <c r="AA54" s="716">
        <f>IFERROR(IF(VLOOKUP(C54,[4]List1!$A:$D,4,FALSE)=0,"",VLOOKUP(C54,[4]List1!$A:$D,4,FALSE)),"")</f>
        <v>36</v>
      </c>
      <c r="AB54" s="720"/>
      <c r="AC54" s="739" t="str">
        <f>IFERROR(IF(VLOOKUP(C54,[1]List1!$A:$D,2,FALSE)="VYPRODÁNO",$V$9,IF(VLOOKUP(C54,[1]List1!$A:$D,2,FALSE)="DOCHÁZÍ",$V$3,VLOOKUP(C54,[1]List1!$A:$D,2,FALSE))),"OFFLINE!")</f>
        <v>SKLADEM</v>
      </c>
      <c r="AD54" s="740" t="str">
        <f ca="1">IF(AP54="NE",$V$10,IF(AC54=$V$3,IF(AQ54&lt;1,$V$8,$V$2&amp;" "&amp;AQ54&amp;" "&amp;$V$1),IF(AC54="SKLADEM",$V$6,IFERROR(IF(OR(AC54-TODAY()&gt;45,VLOOKUP(C54,[1]List1!$A:$E,4,FALSE)=0),AC54,DAY(AC54)&amp;"."&amp;MONTH(AC54)&amp;"."&amp;YEAR(AC54)&amp;" "&amp;$V$4&amp;VLOOKUP(C54,[1]List1!$A:$E,4,FALSE)&amp;" "&amp;$V$1),AC54))))</f>
        <v>SKLADEM</v>
      </c>
      <c r="AE54" s="716" t="str">
        <f t="shared" ca="1" si="27"/>
        <v>SKLADEM</v>
      </c>
      <c r="AF54" s="723">
        <f t="shared" si="28"/>
        <v>0</v>
      </c>
      <c r="AG54" s="723">
        <f t="shared" si="29"/>
        <v>0</v>
      </c>
      <c r="AH54" s="724">
        <f t="shared" si="30"/>
        <v>0</v>
      </c>
      <c r="AI54" s="716">
        <f t="shared" si="31"/>
        <v>0</v>
      </c>
      <c r="AJ54" s="716">
        <f t="shared" si="32"/>
        <v>0</v>
      </c>
      <c r="AK54" s="716" t="str">
        <f t="shared" si="33"/>
        <v/>
      </c>
      <c r="AL54" s="716" t="str">
        <f t="shared" si="34"/>
        <v/>
      </c>
      <c r="AM54" s="716">
        <f t="shared" si="35"/>
        <v>0</v>
      </c>
      <c r="AN54" s="716">
        <f t="shared" si="36"/>
        <v>0</v>
      </c>
      <c r="AO54" s="380"/>
      <c r="AP54" s="322" t="str">
        <f t="shared" si="37"/>
        <v/>
      </c>
      <c r="AQ54" s="323" t="str">
        <f>IF(AC54=$V$3,IF(VLOOKUP(C54,[1]List1!$A:$E,5,FALSE)=0,1,VLOOKUP(C54,[1]List1!$A:$E,5,FALSE)),"")</f>
        <v/>
      </c>
      <c r="AR54" s="304" t="str">
        <f t="shared" si="38"/>
        <v/>
      </c>
      <c r="AS54" s="423" t="str">
        <f t="shared" si="39"/>
        <v/>
      </c>
      <c r="AT54" s="304" t="str">
        <f t="shared" si="40"/>
        <v/>
      </c>
      <c r="AU54" s="342" t="e">
        <f t="shared" si="41"/>
        <v>#N/A</v>
      </c>
      <c r="AV54" s="304" t="e">
        <f t="shared" si="42"/>
        <v>#N/A</v>
      </c>
      <c r="AX54" s="304">
        <f>IF(AND('General price list'!$J54="F4",'General price list'!$AB54+0&gt;0),1,0)</f>
        <v>0</v>
      </c>
      <c r="AY54" s="304">
        <f t="shared" si="43"/>
        <v>1</v>
      </c>
      <c r="AZ54" s="304">
        <f t="shared" si="44"/>
        <v>1</v>
      </c>
    </row>
    <row r="55" spans="1:52" ht="15" customHeight="1">
      <c r="A55" s="725" t="str">
        <f>Kat.!C55</f>
        <v/>
      </c>
      <c r="B55" s="726">
        <f>IF(AND('General price list'!$J55="F4",$AI$1=FALSE),0,IF(AC55="SKLADEM",1,IF(AC55=$V$3,1,0)))</f>
        <v>1</v>
      </c>
      <c r="C55" s="727" t="s">
        <v>135</v>
      </c>
      <c r="D55" s="728" t="s">
        <v>3259</v>
      </c>
      <c r="E55" s="729" t="s">
        <v>134</v>
      </c>
      <c r="F55" s="725">
        <f>IFERROR(ROUND(IF($AL$3=2,VLOOKUP(C55,[2]List1!$A:$D,2,FALSE)*1.08,VLOOKUP(C55,[2]List1!$A:$D,2,FALSE)),0),"NEUVEDENO!")</f>
        <v>379</v>
      </c>
      <c r="G55" s="730">
        <f t="shared" si="5"/>
        <v>379</v>
      </c>
      <c r="H55" s="731">
        <f t="shared" si="6"/>
        <v>15.40093218307198</v>
      </c>
      <c r="I55" s="732">
        <v>6</v>
      </c>
      <c r="J55" s="729" t="s">
        <v>23</v>
      </c>
      <c r="K55" s="729"/>
      <c r="L55" s="729" t="s">
        <v>14357</v>
      </c>
      <c r="M55" s="729" t="s">
        <v>25</v>
      </c>
      <c r="N55" s="729">
        <f>IFERROR(VLOOKUP(C55,[3]List1!$A:$D,4,FALSE),"N/A!")</f>
        <v>3.2912000000000004E-2</v>
      </c>
      <c r="O55" s="729">
        <f>IFERROR(VLOOKUP(C55,[3]List1!$A:$D,3,FALSE),"N/A!")</f>
        <v>9.6000000000000014</v>
      </c>
      <c r="P55" s="729">
        <f>IFERROR(VLOOKUP(C55,[3]List1!$A:$D,2,FALSE),"N/A!")</f>
        <v>9800</v>
      </c>
      <c r="Q55" s="729" t="s">
        <v>14082</v>
      </c>
      <c r="R55" s="729" t="s">
        <v>14083</v>
      </c>
      <c r="S55" s="729"/>
      <c r="T55" s="729"/>
      <c r="U55" s="729"/>
      <c r="V55" s="729"/>
      <c r="W55" s="729" t="str">
        <f>IFERROR(VLOOKUP('General price list'!$C55,Popisy!A:P,MATCH($W$17,Popisy!$A$7:$P$7,0),FALSE),"---------------")</f>
        <v xml:space="preserve">černé bouchací kuličky(průměr 14mm) </v>
      </c>
      <c r="X55" s="729" t="str">
        <f t="shared" si="7"/>
        <v/>
      </c>
      <c r="Y55" s="729" t="str">
        <f t="shared" si="8"/>
        <v/>
      </c>
      <c r="Z55" s="729" t="str">
        <f>HYPERLINK("https://www.klasekpyrotechnics.cz/bk2v")</f>
        <v>https://www.klasekpyrotechnics.cz/bk2v</v>
      </c>
      <c r="AA55" s="729">
        <f>IFERROR(IF(VLOOKUP(C55,[4]List1!$A:$D,4,FALSE)=0,"",VLOOKUP(C55,[4]List1!$A:$D,4,FALSE)),"")</f>
        <v>36</v>
      </c>
      <c r="AB55" s="720"/>
      <c r="AC55" s="733" t="str">
        <f>IFERROR(IF(VLOOKUP(C55,[1]List1!$A:$D,2,FALSE)="VYPRODÁNO",$V$9,IF(VLOOKUP(C55,[1]List1!$A:$D,2,FALSE)="DOCHÁZÍ",$V$3,VLOOKUP(C55,[1]List1!$A:$D,2,FALSE))),"OFFLINE!")</f>
        <v>SKLADEM</v>
      </c>
      <c r="AD55" s="734" t="str">
        <f ca="1">IF(AP55="NE",$V$10,IF(AC55=$V$3,IF(AQ55&lt;1,$V$8,$V$2&amp;" "&amp;AQ55&amp;" "&amp;$V$1),IF(AC55="SKLADEM",$V$6,IFERROR(IF(OR(AC55-TODAY()&gt;45,VLOOKUP(C55,[1]List1!$A:$E,4,FALSE)=0),AC55,DAY(AC55)&amp;"."&amp;MONTH(AC55)&amp;"."&amp;YEAR(AC55)&amp;" "&amp;$V$4&amp;VLOOKUP(C55,[1]List1!$A:$E,4,FALSE)&amp;" "&amp;$V$1),AC55))))</f>
        <v>SKLADEM</v>
      </c>
      <c r="AE55" s="729" t="str">
        <f t="shared" ca="1" si="27"/>
        <v>SKLADEM</v>
      </c>
      <c r="AF55" s="735">
        <f t="shared" si="28"/>
        <v>0</v>
      </c>
      <c r="AG55" s="735">
        <f t="shared" si="29"/>
        <v>0</v>
      </c>
      <c r="AH55" s="736">
        <f t="shared" si="30"/>
        <v>0</v>
      </c>
      <c r="AI55" s="729">
        <f t="shared" si="31"/>
        <v>0</v>
      </c>
      <c r="AJ55" s="729">
        <f t="shared" si="32"/>
        <v>0</v>
      </c>
      <c r="AK55" s="729" t="str">
        <f t="shared" si="33"/>
        <v/>
      </c>
      <c r="AL55" s="729" t="str">
        <f t="shared" si="34"/>
        <v/>
      </c>
      <c r="AM55" s="729">
        <f t="shared" si="35"/>
        <v>0</v>
      </c>
      <c r="AN55" s="729">
        <f t="shared" si="36"/>
        <v>0</v>
      </c>
      <c r="AO55" s="380"/>
      <c r="AP55" s="322" t="str">
        <f t="shared" si="37"/>
        <v/>
      </c>
      <c r="AQ55" s="323" t="str">
        <f>IF(AC55=$V$3,IF(VLOOKUP(C55,[1]List1!$A:$E,5,FALSE)=0,1,VLOOKUP(C55,[1]List1!$A:$E,5,FALSE)),"")</f>
        <v/>
      </c>
      <c r="AR55" s="304" t="str">
        <f t="shared" si="38"/>
        <v/>
      </c>
      <c r="AS55" s="423" t="str">
        <f t="shared" si="39"/>
        <v/>
      </c>
      <c r="AT55" s="304" t="str">
        <f t="shared" si="40"/>
        <v/>
      </c>
      <c r="AU55" s="342" t="e">
        <f t="shared" si="41"/>
        <v>#N/A</v>
      </c>
      <c r="AV55" s="304" t="e">
        <f t="shared" si="42"/>
        <v>#N/A</v>
      </c>
      <c r="AX55" s="304">
        <f>IF(AND('General price list'!$J55="F4",'General price list'!$AB55+0&gt;0),1,0)</f>
        <v>0</v>
      </c>
      <c r="AY55" s="304">
        <f t="shared" si="43"/>
        <v>1</v>
      </c>
      <c r="AZ55" s="304">
        <f t="shared" si="44"/>
        <v>0</v>
      </c>
    </row>
    <row r="56" spans="1:52" ht="15.75" customHeight="1">
      <c r="A56" s="773" t="str">
        <f>Kat.!C56</f>
        <v xml:space="preserve">                                                               Létající předměty</v>
      </c>
      <c r="B56" s="774"/>
      <c r="C56" s="774"/>
      <c r="D56" s="774"/>
      <c r="E56" s="774"/>
      <c r="F56" s="774"/>
      <c r="G56" s="774"/>
      <c r="H56" s="774"/>
      <c r="I56" s="774"/>
      <c r="J56" s="774"/>
      <c r="K56" s="774"/>
      <c r="L56" s="774"/>
      <c r="M56" s="774"/>
      <c r="N56" s="774"/>
      <c r="O56" s="774"/>
      <c r="P56" s="774"/>
      <c r="Q56" s="774"/>
      <c r="R56" s="774"/>
      <c r="S56" s="774"/>
      <c r="T56" s="774"/>
      <c r="U56" s="774"/>
      <c r="V56" s="774"/>
      <c r="W56" s="774"/>
      <c r="X56" s="774"/>
      <c r="Y56" s="774"/>
      <c r="Z56" s="774"/>
      <c r="AA56" s="774" t="str">
        <f>IFERROR(IF(VLOOKUP(C56,[4]List1!$A:$D,4,FALSE)=0,"",VLOOKUP(C56,[4]List1!$A:$D,4,FALSE)),"")</f>
        <v/>
      </c>
      <c r="AB56" s="774"/>
      <c r="AC56" s="775" t="str">
        <f>IFERROR(IF(VLOOKUP(C56,[1]List1!$A:$D,2,FALSE)="VYPRODÁNO",$V$9,IF(VLOOKUP(C56,[1]List1!$A:$D,2,FALSE)="DOCHÁZÍ",$V$3,VLOOKUP(C56,[1]List1!$A:$D,2,FALSE))),"OFFLINE!")</f>
        <v>OFFLINE!</v>
      </c>
      <c r="AD56" s="774"/>
      <c r="AE56" s="774"/>
      <c r="AF56" s="774"/>
      <c r="AG56" s="774"/>
      <c r="AH56" s="774"/>
      <c r="AI56" s="774"/>
      <c r="AJ56" s="774"/>
      <c r="AK56" s="774"/>
      <c r="AL56" s="774"/>
      <c r="AM56" s="774"/>
      <c r="AN56" s="774"/>
      <c r="AO56" s="380"/>
      <c r="AP56" s="471" t="str">
        <f t="shared" si="19"/>
        <v/>
      </c>
      <c r="AQ56" s="471" t="str">
        <f>IF(AC56=$V$3,IF(VLOOKUP(C56,[1]List1!$A:$E,5,FALSE)=0,1,VLOOKUP(C56,[1]List1!$A:$E,5,FALSE)),"")</f>
        <v/>
      </c>
      <c r="AR56" s="471" t="str">
        <f t="shared" si="20"/>
        <v/>
      </c>
      <c r="AS56" s="471" t="str">
        <f t="shared" si="21"/>
        <v/>
      </c>
      <c r="AT56" s="471" t="str">
        <f t="shared" si="22"/>
        <v/>
      </c>
      <c r="AU56" s="471" t="e">
        <f t="shared" si="23"/>
        <v>#N/A</v>
      </c>
      <c r="AV56" s="471" t="e">
        <f t="shared" si="24"/>
        <v>#N/A</v>
      </c>
      <c r="AW56" s="471"/>
      <c r="AX56" s="471">
        <f>IF(AND('General price list'!$J56="F4",'General price list'!$AB56+0&gt;0),1,0)</f>
        <v>0</v>
      </c>
      <c r="AY56" s="471">
        <f t="shared" si="25"/>
        <v>0</v>
      </c>
      <c r="AZ56" s="471">
        <f t="shared" si="26"/>
        <v>0</v>
      </c>
    </row>
    <row r="57" spans="1:52" ht="15" customHeight="1">
      <c r="A57" s="725" t="str">
        <f>Kat.!C57</f>
        <v/>
      </c>
      <c r="B57" s="741">
        <f>IF(AND('General price list'!$J57="F4",$AI$1=FALSE),0,IF(AC57="SKLADEM",1,IF(AC57=$V$3,1,0)))</f>
        <v>1</v>
      </c>
      <c r="C57" s="727" t="s">
        <v>3275</v>
      </c>
      <c r="D57" s="728" t="s">
        <v>3276</v>
      </c>
      <c r="E57" s="729" t="s">
        <v>11309</v>
      </c>
      <c r="F57" s="725">
        <f>IFERROR(ROUND(IF($AL$3=2,VLOOKUP(C57,[2]List1!$A:$D,2,FALSE)*1.08,VLOOKUP(C57,[2]List1!$A:$D,2,FALSE)),0),"NEUVEDENO!")</f>
        <v>995</v>
      </c>
      <c r="G57" s="730">
        <f t="shared" ref="G57:G68" si="45">(F57)*$B$19</f>
        <v>995</v>
      </c>
      <c r="H57" s="731">
        <f t="shared" ref="H57:H68" si="46">G57/$F$19</f>
        <v>40.432526443685013</v>
      </c>
      <c r="I57" s="742">
        <v>5</v>
      </c>
      <c r="J57" s="729" t="s">
        <v>46</v>
      </c>
      <c r="K57" s="729"/>
      <c r="L57" s="729" t="s">
        <v>14358</v>
      </c>
      <c r="M57" s="729" t="s">
        <v>25</v>
      </c>
      <c r="N57" s="729">
        <f>IFERROR(VLOOKUP(C57,[3]List1!$A:$D,4,FALSE),"N/A!")</f>
        <v>1.8920000000000003E-2</v>
      </c>
      <c r="O57" s="729">
        <f>IFERROR(VLOOKUP(C57,[3]List1!$A:$D,3,FALSE),"N/A!")</f>
        <v>1920.0000000000002</v>
      </c>
      <c r="P57" s="729">
        <f>IFERROR(VLOOKUP(C57,[3]List1!$A:$D,2,FALSE),"N/A!")</f>
        <v>7500</v>
      </c>
      <c r="Q57" s="729" t="s">
        <v>14084</v>
      </c>
      <c r="R57" s="729" t="s">
        <v>640</v>
      </c>
      <c r="S57" s="729"/>
      <c r="T57" s="729"/>
      <c r="U57" s="729"/>
      <c r="V57" s="729"/>
      <c r="W57" s="729" t="str">
        <f>IFERROR(VLOOKUP('General price list'!$C57,Popisy!A:P,MATCH($W$17,Popisy!$A$7:$P$7,0),FALSE),"---------------")</f>
        <v>pískající vosa</v>
      </c>
      <c r="X57" s="729" t="str">
        <f t="shared" ref="X57:X68" si="47">IF(AB57&lt;0.0001,"",AB57)</f>
        <v/>
      </c>
      <c r="Y57" s="729" t="str">
        <f t="shared" ref="Y57:Y68" si="48">IF($AL$3=2,IF(OR(AB57&lt;&gt;"",AB57&lt;&gt;0),AU57,""),IF(C57="","",IF(AB57&lt;0.0001,"",IF(B57=0,"",IF(AQ57&lt;AB57,"",AB57)))))</f>
        <v/>
      </c>
      <c r="Z57" s="729" t="str">
        <f>HYPERLINK("https://www.klasekpyrotechnics.cz/lm0sw")</f>
        <v>https://www.klasekpyrotechnics.cz/lm0sw</v>
      </c>
      <c r="AA57" s="729">
        <f>IFERROR(IF(VLOOKUP(C57,[4]List1!$A:$D,4,FALSE)=0,"",VLOOKUP(C57,[4]List1!$A:$D,4,FALSE)),"")</f>
        <v>80</v>
      </c>
      <c r="AB57" s="720"/>
      <c r="AC57" s="743" t="str">
        <f>IFERROR(IF(VLOOKUP(C57,[1]List1!$A:$D,2,FALSE)="VYPRODÁNO",$V$9,IF(VLOOKUP(C57,[1]List1!$A:$D,2,FALSE)="DOCHÁZÍ",$V$3,VLOOKUP(C57,[1]List1!$A:$D,2,FALSE))),"OFFLINE!")</f>
        <v>SKLADEM</v>
      </c>
      <c r="AD57" s="744" t="str">
        <f ca="1">IF(AP57="NE",$V$10,IF(AC57=$V$3,IF(AQ57&lt;1,$V$8,$V$2&amp;" "&amp;AQ57&amp;" "&amp;$V$1),IF(AC57="SKLADEM",$V$6,IFERROR(IF(OR(AC57-TODAY()&gt;45,VLOOKUP(C57,[1]List1!$A:$E,4,FALSE)=0),AC57,DAY(AC57)&amp;"."&amp;MONTH(AC57)&amp;"."&amp;YEAR(AC57)&amp;" "&amp;$V$4&amp;VLOOKUP(C57,[1]List1!$A:$E,4,FALSE)&amp;" "&amp;$V$1),AC57))))</f>
        <v>SKLADEM</v>
      </c>
      <c r="AE57" s="729" t="str">
        <f t="shared" ref="AE57:AE68" ca="1" si="49">IFERROR(IF(AV57&lt;&gt;"",AV57,AD57),AD57)</f>
        <v>SKLADEM</v>
      </c>
      <c r="AF57" s="735">
        <f t="shared" ref="AF57:AF68" si="50">IFERROR(IF(AB57=Y57,G57*I57*Y57,0),0)</f>
        <v>0</v>
      </c>
      <c r="AG57" s="735">
        <f t="shared" ref="AG57:AG68" si="51">IF($W$17=$AF$8,AH57*1.23,AF57*1.21)</f>
        <v>0</v>
      </c>
      <c r="AH57" s="736">
        <f t="shared" ref="AH57:AH68" si="52">IFERROR(IF(Y57=AB57,H57*I57*Y57,0),0)</f>
        <v>0</v>
      </c>
      <c r="AI57" s="729">
        <f t="shared" ref="AI57:AI68" si="53">IFERROR(IF(Y57=AB57,(P57*Y57)/1000,1),0)</f>
        <v>0</v>
      </c>
      <c r="AJ57" s="729">
        <f t="shared" ref="AJ57:AJ68" si="54">IFERROR(IF(Y57=AB57,N57*Y57,0.1),0)</f>
        <v>0</v>
      </c>
      <c r="AK57" s="729" t="str">
        <f t="shared" ref="AK57:AK68" si="55">IFERROR(IF(Y57=AB57,IF(M57="1.1G",(O57/1000)*Y57,""),""),0)</f>
        <v/>
      </c>
      <c r="AL57" s="729" t="str">
        <f t="shared" ref="AL57:AL68" si="56">IFERROR(IF(Y57=AB57,IF(M57="1.3G",(O57/1000)*AB57,""),""),0)</f>
        <v/>
      </c>
      <c r="AM57" s="729">
        <f t="shared" ref="AM57:AM68" si="57">IFERROR(IF(Y57=AB57,IF(M57="1.4G",(O57/1000)*AB57,""),""),0)</f>
        <v>0</v>
      </c>
      <c r="AN57" s="729">
        <f t="shared" ref="AN57:AN68" si="58">SUM(AK57:AM57)</f>
        <v>0</v>
      </c>
      <c r="AO57" s="380"/>
      <c r="AP57" s="322" t="str">
        <f t="shared" ref="AP57:AP68" si="59">IF($AL$3=1,IF(Y57=AB57,"","NE"),IF(AR57=$V$10,"NE",""))</f>
        <v/>
      </c>
      <c r="AQ57" s="323" t="str">
        <f>IF(AC57=$V$3,IF(VLOOKUP(C57,[1]List1!$A:$E,5,FALSE)=0,1,VLOOKUP(C57,[1]List1!$A:$E,5,FALSE)),"")</f>
        <v/>
      </c>
      <c r="AR57" s="304" t="str">
        <f t="shared" ref="AR57:AR68" si="60">IF($AL$3=1,"",IF(OR(AB57&lt;&gt;"",AB57&lt;&gt;0),IF(OR(AC57=$V$6,AC57=$V$3,AC57=$V$9),$V$10,""),""))</f>
        <v/>
      </c>
      <c r="AS57" s="423" t="str">
        <f t="shared" ref="AS57:AS68" si="61">IF(AT57&lt;&gt;"","X","")</f>
        <v/>
      </c>
      <c r="AT57" s="304" t="str">
        <f t="shared" ref="AT57:AT68" si="62">IF(AND($AL$3=2,AR57="",AB57&lt;&gt;""),AD57,"")</f>
        <v/>
      </c>
      <c r="AU57" s="342" t="e">
        <f t="shared" ref="AU57:AU68" si="63">IF(AT57=$AS$21,AB57,"")</f>
        <v>#N/A</v>
      </c>
      <c r="AV57" s="304" t="e">
        <f t="shared" ref="AV57:AV68" si="64">IF(OR(AB57="",AND(AT57&lt;&gt;"",AU57&lt;&gt;"")),"",$V$10)</f>
        <v>#N/A</v>
      </c>
      <c r="AX57" s="304">
        <f>IF(AND('General price list'!$J57="F4",'General price list'!$AB57+0&gt;0),1,0)</f>
        <v>0</v>
      </c>
      <c r="AY57" s="304">
        <f t="shared" ref="AY57:AY68" si="65">IFERROR(FIND(VLOOKUP($AC$7,$AD$1:$AE$12,2,FALSE),Q57,1),0)</f>
        <v>1</v>
      </c>
      <c r="AZ57" s="304">
        <f t="shared" ref="AZ57:AZ68" si="66">IFERROR(FIND(VLOOKUP($AC$7,$AD$1:$AE$12,2,FALSE),R57,1),0)</f>
        <v>1</v>
      </c>
    </row>
    <row r="58" spans="1:52" ht="15" customHeight="1">
      <c r="A58" s="712" t="str">
        <f>Kat.!C58</f>
        <v>×</v>
      </c>
      <c r="B58" s="745">
        <f>IF(AND('General price list'!$J58="F4",$AI$1=FALSE),0,IF(AC58="SKLADEM",1,IF(AC58=$V$3,1,0)))</f>
        <v>1</v>
      </c>
      <c r="C58" s="714" t="s">
        <v>11310</v>
      </c>
      <c r="D58" s="715" t="s">
        <v>3276</v>
      </c>
      <c r="E58" s="716" t="s">
        <v>11309</v>
      </c>
      <c r="F58" s="712">
        <f>IFERROR(ROUND(IF($AL$3=2,VLOOKUP(C58,[2]List1!$A:$D,2,FALSE)*1.08,VLOOKUP(C58,[2]List1!$A:$D,2,FALSE)),0),"NEUVEDENO!")</f>
        <v>995</v>
      </c>
      <c r="G58" s="717">
        <f t="shared" si="45"/>
        <v>995</v>
      </c>
      <c r="H58" s="718">
        <f t="shared" si="46"/>
        <v>40.432526443685013</v>
      </c>
      <c r="I58" s="746">
        <v>5</v>
      </c>
      <c r="J58" s="716" t="s">
        <v>46</v>
      </c>
      <c r="K58" s="716"/>
      <c r="L58" s="716" t="s">
        <v>14358</v>
      </c>
      <c r="M58" s="716" t="s">
        <v>25</v>
      </c>
      <c r="N58" s="716">
        <f>IFERROR(VLOOKUP(C58,[3]List1!$A:$D,4,FALSE),"N/A!")</f>
        <v>1.8920000000000003E-2</v>
      </c>
      <c r="O58" s="716">
        <f>IFERROR(VLOOKUP(C58,[3]List1!$A:$D,3,FALSE),"N/A!")</f>
        <v>1920.0000000000002</v>
      </c>
      <c r="P58" s="716">
        <f>IFERROR(VLOOKUP(C58,[3]List1!$A:$D,2,FALSE),"N/A!")</f>
        <v>7500</v>
      </c>
      <c r="Q58" s="716" t="s">
        <v>14084</v>
      </c>
      <c r="R58" s="716" t="s">
        <v>11317</v>
      </c>
      <c r="S58" s="716"/>
      <c r="T58" s="716"/>
      <c r="U58" s="716"/>
      <c r="V58" s="716"/>
      <c r="W58" s="716" t="str">
        <f>IFERROR(VLOOKUP('General price list'!$C58,Popisy!A:P,MATCH($W$17,Popisy!$A$7:$P$7,0),FALSE),"---------------")</f>
        <v>pískající vosa</v>
      </c>
      <c r="X58" s="716" t="str">
        <f t="shared" si="47"/>
        <v/>
      </c>
      <c r="Y58" s="716" t="str">
        <f t="shared" si="48"/>
        <v/>
      </c>
      <c r="Z58" s="716" t="str">
        <f>HYPERLINK("https://www.klasekpyrotechnics.cz/lm0sw_1")</f>
        <v>https://www.klasekpyrotechnics.cz/lm0sw_1</v>
      </c>
      <c r="AA58" s="716">
        <f>IFERROR(IF(VLOOKUP(C58,[4]List1!$A:$D,4,FALSE)=0,"",VLOOKUP(C58,[4]List1!$A:$D,4,FALSE)),"")</f>
        <v>80</v>
      </c>
      <c r="AB58" s="720"/>
      <c r="AC58" s="747" t="str">
        <f>IFERROR(IF(VLOOKUP(C58,[1]List1!$A:$D,2,FALSE)="VYPRODÁNO",$V$9,IF(VLOOKUP(C58,[1]List1!$A:$D,2,FALSE)="DOCHÁZÍ",$V$3,VLOOKUP(C58,[1]List1!$A:$D,2,FALSE))),"OFFLINE!")</f>
        <v>SKLADEM</v>
      </c>
      <c r="AD58" s="748" t="str">
        <f ca="1">IF(AP58="NE",$V$10,IF(AC58=$V$3,IF(AQ58&lt;1,$V$8,$V$2&amp;" "&amp;AQ58&amp;" "&amp;$V$1),IF(AC58="SKLADEM",$V$6,IFERROR(IF(OR(AC58-TODAY()&gt;45,VLOOKUP(C58,[1]List1!$A:$E,4,FALSE)=0),AC58,DAY(AC58)&amp;"."&amp;MONTH(AC58)&amp;"."&amp;YEAR(AC58)&amp;" "&amp;$V$4&amp;VLOOKUP(C58,[1]List1!$A:$E,4,FALSE)&amp;" "&amp;$V$1),AC58))))</f>
        <v>SKLADEM</v>
      </c>
      <c r="AE58" s="716" t="str">
        <f t="shared" ca="1" si="49"/>
        <v>SKLADEM</v>
      </c>
      <c r="AF58" s="723">
        <f t="shared" si="50"/>
        <v>0</v>
      </c>
      <c r="AG58" s="723">
        <f t="shared" si="51"/>
        <v>0</v>
      </c>
      <c r="AH58" s="724">
        <f t="shared" si="52"/>
        <v>0</v>
      </c>
      <c r="AI58" s="716">
        <f t="shared" si="53"/>
        <v>0</v>
      </c>
      <c r="AJ58" s="716">
        <f t="shared" si="54"/>
        <v>0</v>
      </c>
      <c r="AK58" s="716" t="str">
        <f t="shared" si="55"/>
        <v/>
      </c>
      <c r="AL58" s="716" t="str">
        <f t="shared" si="56"/>
        <v/>
      </c>
      <c r="AM58" s="716">
        <f t="shared" si="57"/>
        <v>0</v>
      </c>
      <c r="AN58" s="716">
        <f t="shared" si="58"/>
        <v>0</v>
      </c>
      <c r="AO58" s="380"/>
      <c r="AP58" s="322" t="str">
        <f t="shared" si="59"/>
        <v/>
      </c>
      <c r="AQ58" s="323" t="str">
        <f>IF(AC58=$V$3,IF(VLOOKUP(C58,[1]List1!$A:$E,5,FALSE)=0,1,VLOOKUP(C58,[1]List1!$A:$E,5,FALSE)),"")</f>
        <v/>
      </c>
      <c r="AR58" s="304" t="str">
        <f t="shared" si="60"/>
        <v/>
      </c>
      <c r="AS58" s="423" t="str">
        <f t="shared" si="61"/>
        <v/>
      </c>
      <c r="AT58" s="304" t="str">
        <f t="shared" si="62"/>
        <v/>
      </c>
      <c r="AU58" s="342" t="e">
        <f t="shared" si="63"/>
        <v>#N/A</v>
      </c>
      <c r="AV58" s="304" t="e">
        <f t="shared" si="64"/>
        <v>#N/A</v>
      </c>
      <c r="AX58" s="304">
        <f>IF(AND('General price list'!$J58="F4",'General price list'!$AB58+0&gt;0),1,0)</f>
        <v>0</v>
      </c>
      <c r="AY58" s="304">
        <f t="shared" si="65"/>
        <v>1</v>
      </c>
      <c r="AZ58" s="304">
        <f t="shared" si="66"/>
        <v>0</v>
      </c>
    </row>
    <row r="59" spans="1:52" ht="15" customHeight="1">
      <c r="A59" s="725" t="str">
        <f>Kat.!C59</f>
        <v/>
      </c>
      <c r="B59" s="749">
        <f>IF(AND('General price list'!$J59="F4",$AI$1=FALSE),0,IF(AC59="SKLADEM",1,IF(AC59=$V$3,1,0)))</f>
        <v>0</v>
      </c>
      <c r="C59" s="727" t="s">
        <v>75</v>
      </c>
      <c r="D59" s="728" t="s">
        <v>76</v>
      </c>
      <c r="E59" s="729" t="s">
        <v>77</v>
      </c>
      <c r="F59" s="725">
        <f>IFERROR(ROUND(IF($AL$3=2,VLOOKUP(C59,[2]List1!$A:$D,2,FALSE)*1.08,VLOOKUP(C59,[2]List1!$A:$D,2,FALSE)),0),"NEUVEDENO!")</f>
        <v>44</v>
      </c>
      <c r="G59" s="730">
        <f t="shared" si="45"/>
        <v>44</v>
      </c>
      <c r="H59" s="731">
        <f t="shared" si="46"/>
        <v>1.7879710186152165</v>
      </c>
      <c r="I59" s="750">
        <v>120</v>
      </c>
      <c r="J59" s="729" t="s">
        <v>46</v>
      </c>
      <c r="K59" s="729"/>
      <c r="L59" s="729" t="s">
        <v>14358</v>
      </c>
      <c r="M59" s="729" t="s">
        <v>25</v>
      </c>
      <c r="N59" s="729">
        <f>IFERROR(VLOOKUP(C59,[3]List1!$A:$D,4,FALSE),"N/A!")</f>
        <v>2.6099999999999998E-2</v>
      </c>
      <c r="O59" s="729">
        <f>IFERROR(VLOOKUP(C59,[3]List1!$A:$D,3,FALSE),"N/A!")</f>
        <v>2400</v>
      </c>
      <c r="P59" s="729">
        <f>IFERROR(VLOOKUP(C59,[3]List1!$A:$D,2,FALSE),"N/A!")</f>
        <v>4700</v>
      </c>
      <c r="Q59" s="729" t="s">
        <v>217</v>
      </c>
      <c r="R59" s="729" t="s">
        <v>24</v>
      </c>
      <c r="S59" s="729"/>
      <c r="T59" s="729"/>
      <c r="U59" s="729"/>
      <c r="V59" s="729"/>
      <c r="W59" s="729" t="str">
        <f>IFERROR(VLOOKUP('General price list'!$C59,Popisy!A:P,MATCH($W$17,Popisy!$A$7:$P$7,0),FALSE),"---------------")</f>
        <v>stříbrná rotující stopa</v>
      </c>
      <c r="X59" s="729" t="str">
        <f t="shared" si="47"/>
        <v/>
      </c>
      <c r="Y59" s="729" t="str">
        <f t="shared" si="48"/>
        <v/>
      </c>
      <c r="Z59" s="729" t="str">
        <f>HYPERLINK("https://www.klasekpyrotechnics.cz/lm1o")</f>
        <v>https://www.klasekpyrotechnics.cz/lm1o</v>
      </c>
      <c r="AA59" s="729">
        <f>IFERROR(IF(VLOOKUP(C59,[4]List1!$A:$D,4,FALSE)=0,"",VLOOKUP(C59,[4]List1!$A:$D,4,FALSE)),"")</f>
        <v>80</v>
      </c>
      <c r="AB59" s="720"/>
      <c r="AC59" s="751" t="str">
        <f>IFERROR(IF(VLOOKUP(C59,[1]List1!$A:$D,2,FALSE)="VYPRODÁNO",$V$9,IF(VLOOKUP(C59,[1]List1!$A:$D,2,FALSE)="DOCHÁZÍ",$V$3,VLOOKUP(C59,[1]List1!$A:$D,2,FALSE))),"OFFLINE!")</f>
        <v>15.06.2024</v>
      </c>
      <c r="AD59" s="752" t="str">
        <f ca="1">IF(AP59="NE",$V$10,IF(AC59=$V$3,IF(AQ59&lt;1,$V$8,$V$2&amp;" "&amp;AQ59&amp;" "&amp;$V$1),IF(AC59="SKLADEM",$V$6,IFERROR(IF(OR(AC59-TODAY()&gt;45,VLOOKUP(C59,[1]List1!$A:$E,4,FALSE)=0),AC59,DAY(AC59)&amp;"."&amp;MONTH(AC59)&amp;"."&amp;YEAR(AC59)&amp;" "&amp;$V$4&amp;VLOOKUP(C59,[1]List1!$A:$E,4,FALSE)&amp;" "&amp;$V$1),AC59))))</f>
        <v>15.06.2024</v>
      </c>
      <c r="AE59" s="729" t="str">
        <f t="shared" ca="1" si="49"/>
        <v>15.06.2024</v>
      </c>
      <c r="AF59" s="735">
        <f t="shared" si="50"/>
        <v>0</v>
      </c>
      <c r="AG59" s="735">
        <f t="shared" si="51"/>
        <v>0</v>
      </c>
      <c r="AH59" s="736">
        <f t="shared" si="52"/>
        <v>0</v>
      </c>
      <c r="AI59" s="729">
        <f t="shared" si="53"/>
        <v>0</v>
      </c>
      <c r="AJ59" s="729">
        <f t="shared" si="54"/>
        <v>0</v>
      </c>
      <c r="AK59" s="729" t="str">
        <f t="shared" si="55"/>
        <v/>
      </c>
      <c r="AL59" s="729" t="str">
        <f t="shared" si="56"/>
        <v/>
      </c>
      <c r="AM59" s="729">
        <f t="shared" si="57"/>
        <v>0</v>
      </c>
      <c r="AN59" s="729">
        <f t="shared" si="58"/>
        <v>0</v>
      </c>
      <c r="AO59" s="380"/>
      <c r="AP59" s="322" t="str">
        <f t="shared" si="59"/>
        <v/>
      </c>
      <c r="AQ59" s="323" t="str">
        <f>IF(AC59=$V$3,IF(VLOOKUP(C59,[1]List1!$A:$E,5,FALSE)=0,1,VLOOKUP(C59,[1]List1!$A:$E,5,FALSE)),"")</f>
        <v/>
      </c>
      <c r="AR59" s="304" t="str">
        <f t="shared" si="60"/>
        <v/>
      </c>
      <c r="AS59" s="423" t="str">
        <f t="shared" si="61"/>
        <v/>
      </c>
      <c r="AT59" s="304" t="str">
        <f t="shared" si="62"/>
        <v/>
      </c>
      <c r="AU59" s="342" t="e">
        <f t="shared" si="63"/>
        <v>#N/A</v>
      </c>
      <c r="AV59" s="304" t="e">
        <f t="shared" si="64"/>
        <v>#N/A</v>
      </c>
      <c r="AX59" s="304">
        <f>IF(AND('General price list'!$J59="F4",'General price list'!$AB59+0&gt;0),1,0)</f>
        <v>0</v>
      </c>
      <c r="AY59" s="304">
        <f t="shared" si="65"/>
        <v>1</v>
      </c>
      <c r="AZ59" s="304">
        <f t="shared" si="66"/>
        <v>0</v>
      </c>
    </row>
    <row r="60" spans="1:52" ht="15" customHeight="1">
      <c r="A60" s="712" t="str">
        <f>Kat.!C60</f>
        <v/>
      </c>
      <c r="B60" s="745">
        <f>IF(AND('General price list'!$J60="F4",$AI$1=FALSE),0,IF(AC60="SKLADEM",1,IF(AC60=$V$3,1,0)))</f>
        <v>0</v>
      </c>
      <c r="C60" s="714" t="s">
        <v>70</v>
      </c>
      <c r="D60" s="715" t="s">
        <v>71</v>
      </c>
      <c r="E60" s="716" t="s">
        <v>66</v>
      </c>
      <c r="F60" s="712">
        <f>IFERROR(ROUND(IF($AL$3=2,VLOOKUP(C60,[2]List1!$A:$D,2,FALSE)*1.08,VLOOKUP(C60,[2]List1!$A:$D,2,FALSE)),0),"NEUVEDENO!")</f>
        <v>48</v>
      </c>
      <c r="G60" s="717">
        <f t="shared" si="45"/>
        <v>48</v>
      </c>
      <c r="H60" s="718">
        <f t="shared" si="46"/>
        <v>1.9505138384893272</v>
      </c>
      <c r="I60" s="746">
        <v>60</v>
      </c>
      <c r="J60" s="716" t="s">
        <v>46</v>
      </c>
      <c r="K60" s="716"/>
      <c r="L60" s="716" t="s">
        <v>14358</v>
      </c>
      <c r="M60" s="716" t="s">
        <v>25</v>
      </c>
      <c r="N60" s="716">
        <f>IFERROR(VLOOKUP(C60,[3]List1!$A:$D,4,FALSE),"N/A!")</f>
        <v>4.3987499999999999E-2</v>
      </c>
      <c r="O60" s="716">
        <f>IFERROR(VLOOKUP(C60,[3]List1!$A:$D,3,FALSE),"N/A!")</f>
        <v>2160</v>
      </c>
      <c r="P60" s="716">
        <f>IFERROR(VLOOKUP(C60,[3]List1!$A:$D,2,FALSE),"N/A!")</f>
        <v>6300</v>
      </c>
      <c r="Q60" s="716" t="s">
        <v>632</v>
      </c>
      <c r="R60" s="716" t="s">
        <v>24</v>
      </c>
      <c r="S60" s="716"/>
      <c r="T60" s="716"/>
      <c r="U60" s="716"/>
      <c r="V60" s="716"/>
      <c r="W60" s="716" t="str">
        <f>IFERROR(VLOOKUP('General price list'!$C60,Popisy!A:P,MATCH($W$17,Popisy!$A$7:$P$7,0),FALSE),"---------------")</f>
        <v>zelená rotující stopa se zelenými blikajícími hvězdami</v>
      </c>
      <c r="X60" s="716" t="str">
        <f t="shared" si="47"/>
        <v/>
      </c>
      <c r="Y60" s="716" t="str">
        <f t="shared" si="48"/>
        <v/>
      </c>
      <c r="Z60" s="716" t="str">
        <f>HYPERLINK("https://www.klasekpyrotechnics.cz/lm2c")</f>
        <v>https://www.klasekpyrotechnics.cz/lm2c</v>
      </c>
      <c r="AA60" s="716">
        <f>IFERROR(IF(VLOOKUP(C60,[4]List1!$A:$D,4,FALSE)=0,"",VLOOKUP(C60,[4]List1!$A:$D,4,FALSE)),"")</f>
        <v>24</v>
      </c>
      <c r="AB60" s="720"/>
      <c r="AC60" s="747" t="str">
        <f>IFERROR(IF(VLOOKUP(C60,[1]List1!$A:$D,2,FALSE)="VYPRODÁNO",$V$9,IF(VLOOKUP(C60,[1]List1!$A:$D,2,FALSE)="DOCHÁZÍ",$V$3,VLOOKUP(C60,[1]List1!$A:$D,2,FALSE))),"OFFLINE!")</f>
        <v>15.09.2024</v>
      </c>
      <c r="AD60" s="748" t="str">
        <f ca="1">IF(AP60="NE",$V$10,IF(AC60=$V$3,IF(AQ60&lt;1,$V$8,$V$2&amp;" "&amp;AQ60&amp;" "&amp;$V$1),IF(AC60="SKLADEM",$V$6,IFERROR(IF(OR(AC60-TODAY()&gt;45,VLOOKUP(C60,[1]List1!$A:$E,4,FALSE)=0),AC60,DAY(AC60)&amp;"."&amp;MONTH(AC60)&amp;"."&amp;YEAR(AC60)&amp;" "&amp;$V$4&amp;VLOOKUP(C60,[1]List1!$A:$E,4,FALSE)&amp;" "&amp;$V$1),AC60))))</f>
        <v>15.09.2024</v>
      </c>
      <c r="AE60" s="716" t="str">
        <f t="shared" ca="1" si="49"/>
        <v>15.09.2024</v>
      </c>
      <c r="AF60" s="723">
        <f t="shared" si="50"/>
        <v>0</v>
      </c>
      <c r="AG60" s="723">
        <f t="shared" si="51"/>
        <v>0</v>
      </c>
      <c r="AH60" s="724">
        <f t="shared" si="52"/>
        <v>0</v>
      </c>
      <c r="AI60" s="716">
        <f t="shared" si="53"/>
        <v>0</v>
      </c>
      <c r="AJ60" s="716">
        <f t="shared" si="54"/>
        <v>0</v>
      </c>
      <c r="AK60" s="716" t="str">
        <f t="shared" si="55"/>
        <v/>
      </c>
      <c r="AL60" s="716" t="str">
        <f t="shared" si="56"/>
        <v/>
      </c>
      <c r="AM60" s="716">
        <f t="shared" si="57"/>
        <v>0</v>
      </c>
      <c r="AN60" s="716">
        <f t="shared" si="58"/>
        <v>0</v>
      </c>
      <c r="AO60" s="380"/>
      <c r="AP60" s="322" t="str">
        <f t="shared" si="59"/>
        <v/>
      </c>
      <c r="AQ60" s="323" t="str">
        <f>IF(AC60=$V$3,IF(VLOOKUP(C60,[1]List1!$A:$E,5,FALSE)=0,1,VLOOKUP(C60,[1]List1!$A:$E,5,FALSE)),"")</f>
        <v/>
      </c>
      <c r="AR60" s="304" t="str">
        <f t="shared" si="60"/>
        <v/>
      </c>
      <c r="AS60" s="423" t="str">
        <f t="shared" si="61"/>
        <v/>
      </c>
      <c r="AT60" s="304" t="str">
        <f t="shared" si="62"/>
        <v/>
      </c>
      <c r="AU60" s="342" t="e">
        <f t="shared" si="63"/>
        <v>#N/A</v>
      </c>
      <c r="AV60" s="304" t="e">
        <f t="shared" si="64"/>
        <v>#N/A</v>
      </c>
      <c r="AX60" s="304">
        <f>IF(AND('General price list'!$J60="F4",'General price list'!$AB60+0&gt;0),1,0)</f>
        <v>0</v>
      </c>
      <c r="AY60" s="304">
        <f t="shared" si="65"/>
        <v>1</v>
      </c>
      <c r="AZ60" s="304">
        <f t="shared" si="66"/>
        <v>0</v>
      </c>
    </row>
    <row r="61" spans="1:52" ht="15" customHeight="1">
      <c r="A61" s="725" t="str">
        <f>Kat.!C61</f>
        <v/>
      </c>
      <c r="B61" s="749">
        <f>IF(AND('General price list'!$J61="F4",$AI$1=FALSE),0,IF(AC61="SKLADEM",1,IF(AC61=$V$3,1,0)))</f>
        <v>0</v>
      </c>
      <c r="C61" s="727" t="s">
        <v>64</v>
      </c>
      <c r="D61" s="728" t="s">
        <v>65</v>
      </c>
      <c r="E61" s="729" t="s">
        <v>66</v>
      </c>
      <c r="F61" s="725">
        <f>IFERROR(ROUND(IF($AL$3=2,VLOOKUP(C61,[2]List1!$A:$D,2,FALSE)*1.08,VLOOKUP(C61,[2]List1!$A:$D,2,FALSE)),0),"NEUVEDENO!")</f>
        <v>48</v>
      </c>
      <c r="G61" s="730">
        <f t="shared" si="45"/>
        <v>48</v>
      </c>
      <c r="H61" s="731">
        <f t="shared" si="46"/>
        <v>1.9505138384893272</v>
      </c>
      <c r="I61" s="750">
        <v>60</v>
      </c>
      <c r="J61" s="729" t="s">
        <v>46</v>
      </c>
      <c r="K61" s="729"/>
      <c r="L61" s="729" t="s">
        <v>14358</v>
      </c>
      <c r="M61" s="729" t="s">
        <v>25</v>
      </c>
      <c r="N61" s="729">
        <f>IFERROR(VLOOKUP(C61,[3]List1!$A:$D,4,FALSE),"N/A!")</f>
        <v>3.705E-2</v>
      </c>
      <c r="O61" s="729">
        <f>IFERROR(VLOOKUP(C61,[3]List1!$A:$D,3,FALSE),"N/A!")</f>
        <v>2160</v>
      </c>
      <c r="P61" s="729">
        <f>IFERROR(VLOOKUP(C61,[3]List1!$A:$D,2,FALSE),"N/A!")</f>
        <v>5600</v>
      </c>
      <c r="Q61" s="729" t="s">
        <v>45</v>
      </c>
      <c r="R61" s="729" t="s">
        <v>24</v>
      </c>
      <c r="S61" s="729"/>
      <c r="T61" s="729"/>
      <c r="U61" s="729"/>
      <c r="V61" s="729"/>
      <c r="W61" s="729" t="str">
        <f>IFERROR(VLOOKUP('General price list'!$C61,Popisy!A:P,MATCH($W$17,Popisy!$A$7:$P$7,0),FALSE),"---------------")</f>
        <v>stříbrná rotující stopa s práskajícími hvězdami</v>
      </c>
      <c r="X61" s="729" t="str">
        <f t="shared" si="47"/>
        <v/>
      </c>
      <c r="Y61" s="729" t="str">
        <f t="shared" si="48"/>
        <v/>
      </c>
      <c r="Z61" s="729" t="str">
        <f>HYPERLINK("https://www.klasekpyrotechnics.cz/lm2v")</f>
        <v>https://www.klasekpyrotechnics.cz/lm2v</v>
      </c>
      <c r="AA61" s="729">
        <f>IFERROR(IF(VLOOKUP(C61,[4]List1!$A:$D,4,FALSE)=0,"",VLOOKUP(C61,[4]List1!$A:$D,4,FALSE)),"")</f>
        <v>42</v>
      </c>
      <c r="AB61" s="720"/>
      <c r="AC61" s="751" t="str">
        <f>IFERROR(IF(VLOOKUP(C61,[1]List1!$A:$D,2,FALSE)="VYPRODÁNO",$V$9,IF(VLOOKUP(C61,[1]List1!$A:$D,2,FALSE)="DOCHÁZÍ",$V$3,VLOOKUP(C61,[1]List1!$A:$D,2,FALSE))),"OFFLINE!")</f>
        <v>15.08.2024</v>
      </c>
      <c r="AD61" s="752" t="str">
        <f ca="1">IF(AP61="NE",$V$10,IF(AC61=$V$3,IF(AQ61&lt;1,$V$8,$V$2&amp;" "&amp;AQ61&amp;" "&amp;$V$1),IF(AC61="SKLADEM",$V$6,IFERROR(IF(OR(AC61-TODAY()&gt;45,VLOOKUP(C61,[1]List1!$A:$E,4,FALSE)=0),AC61,DAY(AC61)&amp;"."&amp;MONTH(AC61)&amp;"."&amp;YEAR(AC61)&amp;" "&amp;$V$4&amp;VLOOKUP(C61,[1]List1!$A:$E,4,FALSE)&amp;" "&amp;$V$1),AC61))))</f>
        <v>15.08.2024</v>
      </c>
      <c r="AE61" s="729" t="str">
        <f t="shared" ca="1" si="49"/>
        <v>15.08.2024</v>
      </c>
      <c r="AF61" s="735">
        <f t="shared" si="50"/>
        <v>0</v>
      </c>
      <c r="AG61" s="735">
        <f t="shared" si="51"/>
        <v>0</v>
      </c>
      <c r="AH61" s="736">
        <f t="shared" si="52"/>
        <v>0</v>
      </c>
      <c r="AI61" s="729">
        <f t="shared" si="53"/>
        <v>0</v>
      </c>
      <c r="AJ61" s="729">
        <f t="shared" si="54"/>
        <v>0</v>
      </c>
      <c r="AK61" s="729" t="str">
        <f t="shared" si="55"/>
        <v/>
      </c>
      <c r="AL61" s="729" t="str">
        <f t="shared" si="56"/>
        <v/>
      </c>
      <c r="AM61" s="729">
        <f t="shared" si="57"/>
        <v>0</v>
      </c>
      <c r="AN61" s="729">
        <f t="shared" si="58"/>
        <v>0</v>
      </c>
      <c r="AO61" s="380"/>
      <c r="AP61" s="322" t="str">
        <f t="shared" si="59"/>
        <v/>
      </c>
      <c r="AQ61" s="323" t="str">
        <f>IF(AC61=$V$3,IF(VLOOKUP(C61,[1]List1!$A:$E,5,FALSE)=0,1,VLOOKUP(C61,[1]List1!$A:$E,5,FALSE)),"")</f>
        <v/>
      </c>
      <c r="AR61" s="304" t="str">
        <f t="shared" si="60"/>
        <v/>
      </c>
      <c r="AS61" s="423" t="str">
        <f t="shared" si="61"/>
        <v/>
      </c>
      <c r="AT61" s="304" t="str">
        <f t="shared" si="62"/>
        <v/>
      </c>
      <c r="AU61" s="342" t="e">
        <f t="shared" si="63"/>
        <v>#N/A</v>
      </c>
      <c r="AV61" s="304" t="e">
        <f t="shared" si="64"/>
        <v>#N/A</v>
      </c>
      <c r="AX61" s="304">
        <f>IF(AND('General price list'!$J61="F4",'General price list'!$AB61+0&gt;0),1,0)</f>
        <v>0</v>
      </c>
      <c r="AY61" s="304">
        <f t="shared" si="65"/>
        <v>1</v>
      </c>
      <c r="AZ61" s="304">
        <f t="shared" si="66"/>
        <v>0</v>
      </c>
    </row>
    <row r="62" spans="1:52" ht="15" customHeight="1">
      <c r="A62" s="712" t="str">
        <f>Kat.!C62</f>
        <v/>
      </c>
      <c r="B62" s="745">
        <f>IF(AND('General price list'!$J62="F4",$AI$1=FALSE),0,IF(AC62="SKLADEM",1,IF(AC62=$V$3,1,0)))</f>
        <v>1</v>
      </c>
      <c r="C62" s="714" t="s">
        <v>58</v>
      </c>
      <c r="D62" s="715" t="s">
        <v>59</v>
      </c>
      <c r="E62" s="716" t="s">
        <v>60</v>
      </c>
      <c r="F62" s="712">
        <f>IFERROR(ROUND(IF($AL$3=2,VLOOKUP(C62,[2]List1!$A:$D,2,FALSE)*1.08,VLOOKUP(C62,[2]List1!$A:$D,2,FALSE)),0),"NEUVEDENO!")</f>
        <v>69</v>
      </c>
      <c r="G62" s="717">
        <f t="shared" si="45"/>
        <v>69</v>
      </c>
      <c r="H62" s="718">
        <f t="shared" si="46"/>
        <v>2.8038636428284076</v>
      </c>
      <c r="I62" s="746">
        <v>36</v>
      </c>
      <c r="J62" s="716" t="s">
        <v>46</v>
      </c>
      <c r="K62" s="716"/>
      <c r="L62" s="716" t="s">
        <v>14358</v>
      </c>
      <c r="M62" s="716" t="s">
        <v>25</v>
      </c>
      <c r="N62" s="716">
        <f>IFERROR(VLOOKUP(C62,[3]List1!$A:$D,4,FALSE),"N/A!")</f>
        <v>3.6380250000000003E-2</v>
      </c>
      <c r="O62" s="716">
        <f>IFERROR(VLOOKUP(C62,[3]List1!$A:$D,3,FALSE),"N/A!")</f>
        <v>1296</v>
      </c>
      <c r="P62" s="716">
        <f>IFERROR(VLOOKUP(C62,[3]List1!$A:$D,2,FALSE),"N/A!")</f>
        <v>4500</v>
      </c>
      <c r="Q62" s="716" t="s">
        <v>14085</v>
      </c>
      <c r="R62" s="716" t="s">
        <v>24</v>
      </c>
      <c r="S62" s="716"/>
      <c r="T62" s="716"/>
      <c r="U62" s="716"/>
      <c r="V62" s="716"/>
      <c r="W62" s="716" t="str">
        <f>IFERROR(VLOOKUP('General price list'!$C62,Popisy!A:P,MATCH($W$17,Popisy!$A$7:$P$7,0),FALSE),"---------------")</f>
        <v>stříbrná rotující stopa +červené perly s bílým blikajícím středem</v>
      </c>
      <c r="X62" s="716" t="str">
        <f t="shared" si="47"/>
        <v/>
      </c>
      <c r="Y62" s="716" t="str">
        <f t="shared" si="48"/>
        <v/>
      </c>
      <c r="Z62" s="716" t="str">
        <f>HYPERLINK("https://www.klasekpyrotechnics.cz/lm3t")</f>
        <v>https://www.klasekpyrotechnics.cz/lm3t</v>
      </c>
      <c r="AA62" s="716">
        <f>IFERROR(IF(VLOOKUP(C62,[4]List1!$A:$D,4,FALSE)=0,"",VLOOKUP(C62,[4]List1!$A:$D,4,FALSE)),"")</f>
        <v>40</v>
      </c>
      <c r="AB62" s="720"/>
      <c r="AC62" s="747" t="str">
        <f>IFERROR(IF(VLOOKUP(C62,[1]List1!$A:$D,2,FALSE)="VYPRODÁNO",$V$9,IF(VLOOKUP(C62,[1]List1!$A:$D,2,FALSE)="DOCHÁZÍ",$V$3,VLOOKUP(C62,[1]List1!$A:$D,2,FALSE))),"OFFLINE!")</f>
        <v>SKLADEM</v>
      </c>
      <c r="AD62" s="748" t="str">
        <f ca="1">IF(AP62="NE",$V$10,IF(AC62=$V$3,IF(AQ62&lt;1,$V$8,$V$2&amp;" "&amp;AQ62&amp;" "&amp;$V$1),IF(AC62="SKLADEM",$V$6,IFERROR(IF(OR(AC62-TODAY()&gt;45,VLOOKUP(C62,[1]List1!$A:$E,4,FALSE)=0),AC62,DAY(AC62)&amp;"."&amp;MONTH(AC62)&amp;"."&amp;YEAR(AC62)&amp;" "&amp;$V$4&amp;VLOOKUP(C62,[1]List1!$A:$E,4,FALSE)&amp;" "&amp;$V$1),AC62))))</f>
        <v>SKLADEM</v>
      </c>
      <c r="AE62" s="716" t="str">
        <f t="shared" ca="1" si="49"/>
        <v>SKLADEM</v>
      </c>
      <c r="AF62" s="723">
        <f t="shared" si="50"/>
        <v>0</v>
      </c>
      <c r="AG62" s="723">
        <f t="shared" si="51"/>
        <v>0</v>
      </c>
      <c r="AH62" s="724">
        <f t="shared" si="52"/>
        <v>0</v>
      </c>
      <c r="AI62" s="716">
        <f t="shared" si="53"/>
        <v>0</v>
      </c>
      <c r="AJ62" s="716">
        <f t="shared" si="54"/>
        <v>0</v>
      </c>
      <c r="AK62" s="716" t="str">
        <f t="shared" si="55"/>
        <v/>
      </c>
      <c r="AL62" s="716" t="str">
        <f t="shared" si="56"/>
        <v/>
      </c>
      <c r="AM62" s="716">
        <f t="shared" si="57"/>
        <v>0</v>
      </c>
      <c r="AN62" s="716">
        <f t="shared" si="58"/>
        <v>0</v>
      </c>
      <c r="AO62" s="380"/>
      <c r="AP62" s="322" t="str">
        <f t="shared" si="59"/>
        <v/>
      </c>
      <c r="AQ62" s="323" t="str">
        <f>IF(AC62=$V$3,IF(VLOOKUP(C62,[1]List1!$A:$E,5,FALSE)=0,1,VLOOKUP(C62,[1]List1!$A:$E,5,FALSE)),"")</f>
        <v/>
      </c>
      <c r="AR62" s="304" t="str">
        <f t="shared" si="60"/>
        <v/>
      </c>
      <c r="AS62" s="423" t="str">
        <f t="shared" si="61"/>
        <v/>
      </c>
      <c r="AT62" s="304" t="str">
        <f t="shared" si="62"/>
        <v/>
      </c>
      <c r="AU62" s="342" t="e">
        <f t="shared" si="63"/>
        <v>#N/A</v>
      </c>
      <c r="AV62" s="304" t="e">
        <f t="shared" si="64"/>
        <v>#N/A</v>
      </c>
      <c r="AX62" s="304">
        <f>IF(AND('General price list'!$J62="F4",'General price list'!$AB62+0&gt;0),1,0)</f>
        <v>0</v>
      </c>
      <c r="AY62" s="304">
        <f t="shared" si="65"/>
        <v>1</v>
      </c>
      <c r="AZ62" s="304">
        <f t="shared" si="66"/>
        <v>0</v>
      </c>
    </row>
    <row r="63" spans="1:52" ht="15" customHeight="1">
      <c r="A63" s="725" t="str">
        <f>Kat.!C63</f>
        <v/>
      </c>
      <c r="B63" s="749">
        <f>IF(AND('General price list'!$J63="F4",$AI$1=FALSE),0,IF(AC63="SKLADEM",1,IF(AC63=$V$3,1,0)))</f>
        <v>1</v>
      </c>
      <c r="C63" s="727" t="s">
        <v>52</v>
      </c>
      <c r="D63" s="728" t="s">
        <v>53</v>
      </c>
      <c r="E63" s="729" t="s">
        <v>54</v>
      </c>
      <c r="F63" s="725">
        <f>IFERROR(ROUND(IF($AL$3=2,VLOOKUP(C63,[2]List1!$A:$D,2,FALSE)*1.08,VLOOKUP(C63,[2]List1!$A:$D,2,FALSE)),0),"NEUVEDENO!")</f>
        <v>79</v>
      </c>
      <c r="G63" s="730">
        <f t="shared" si="45"/>
        <v>79</v>
      </c>
      <c r="H63" s="731">
        <f t="shared" si="46"/>
        <v>3.2102206925136842</v>
      </c>
      <c r="I63" s="750">
        <v>36</v>
      </c>
      <c r="J63" s="729" t="s">
        <v>46</v>
      </c>
      <c r="K63" s="729"/>
      <c r="L63" s="729" t="s">
        <v>14358</v>
      </c>
      <c r="M63" s="729" t="s">
        <v>25</v>
      </c>
      <c r="N63" s="729">
        <f>IFERROR(VLOOKUP(C63,[3]List1!$A:$D,4,FALSE),"N/A!")</f>
        <v>3.3744000000000003E-2</v>
      </c>
      <c r="O63" s="729">
        <f>IFERROR(VLOOKUP(C63,[3]List1!$A:$D,3,FALSE),"N/A!")</f>
        <v>2016</v>
      </c>
      <c r="P63" s="729">
        <f>IFERROR(VLOOKUP(C63,[3]List1!$A:$D,2,FALSE),"N/A!")</f>
        <v>5000</v>
      </c>
      <c r="Q63" s="729" t="s">
        <v>45</v>
      </c>
      <c r="R63" s="729" t="s">
        <v>24</v>
      </c>
      <c r="S63" s="729"/>
      <c r="T63" s="729"/>
      <c r="U63" s="729"/>
      <c r="V63" s="729"/>
      <c r="W63" s="729" t="str">
        <f>IFERROR(VLOOKUP('General price list'!$C63,Popisy!A:P,MATCH($W$17,Popisy!$A$7:$P$7,0),FALSE),"---------------")</f>
        <v>červená stopa s červenou vlnou a práskajícím středem</v>
      </c>
      <c r="X63" s="729" t="str">
        <f t="shared" si="47"/>
        <v/>
      </c>
      <c r="Y63" s="729" t="str">
        <f t="shared" si="48"/>
        <v/>
      </c>
      <c r="Z63" s="729" t="str">
        <f>HYPERLINK("https://www.klasekpyrotechnics.cz/lm4o")</f>
        <v>https://www.klasekpyrotechnics.cz/lm4o</v>
      </c>
      <c r="AA63" s="729" t="str">
        <f>IFERROR(IF(VLOOKUP(C63,[4]List1!$A:$D,4,FALSE)=0,"",VLOOKUP(C63,[4]List1!$A:$D,4,FALSE)),"")</f>
        <v>40</v>
      </c>
      <c r="AB63" s="720"/>
      <c r="AC63" s="751" t="str">
        <f>IFERROR(IF(VLOOKUP(C63,[1]List1!$A:$D,2,FALSE)="VYPRODÁNO",$V$9,IF(VLOOKUP(C63,[1]List1!$A:$D,2,FALSE)="DOCHÁZÍ",$V$3,VLOOKUP(C63,[1]List1!$A:$D,2,FALSE))),"OFFLINE!")</f>
        <v>SKLADEM</v>
      </c>
      <c r="AD63" s="752" t="str">
        <f ca="1">IF(AP63="NE",$V$10,IF(AC63=$V$3,IF(AQ63&lt;1,$V$8,$V$2&amp;" "&amp;AQ63&amp;" "&amp;$V$1),IF(AC63="SKLADEM",$V$6,IFERROR(IF(OR(AC63-TODAY()&gt;45,VLOOKUP(C63,[1]List1!$A:$E,4,FALSE)=0),AC63,DAY(AC63)&amp;"."&amp;MONTH(AC63)&amp;"."&amp;YEAR(AC63)&amp;" "&amp;$V$4&amp;VLOOKUP(C63,[1]List1!$A:$E,4,FALSE)&amp;" "&amp;$V$1),AC63))))</f>
        <v>SKLADEM</v>
      </c>
      <c r="AE63" s="729" t="str">
        <f t="shared" ca="1" si="49"/>
        <v>SKLADEM</v>
      </c>
      <c r="AF63" s="735">
        <f t="shared" si="50"/>
        <v>0</v>
      </c>
      <c r="AG63" s="735">
        <f t="shared" si="51"/>
        <v>0</v>
      </c>
      <c r="AH63" s="736">
        <f t="shared" si="52"/>
        <v>0</v>
      </c>
      <c r="AI63" s="729">
        <f t="shared" si="53"/>
        <v>0</v>
      </c>
      <c r="AJ63" s="729">
        <f t="shared" si="54"/>
        <v>0</v>
      </c>
      <c r="AK63" s="729" t="str">
        <f t="shared" si="55"/>
        <v/>
      </c>
      <c r="AL63" s="729" t="str">
        <f t="shared" si="56"/>
        <v/>
      </c>
      <c r="AM63" s="729">
        <f t="shared" si="57"/>
        <v>0</v>
      </c>
      <c r="AN63" s="729">
        <f t="shared" si="58"/>
        <v>0</v>
      </c>
      <c r="AO63" s="380"/>
      <c r="AP63" s="322" t="str">
        <f t="shared" si="59"/>
        <v/>
      </c>
      <c r="AQ63" s="323" t="str">
        <f>IF(AC63=$V$3,IF(VLOOKUP(C63,[1]List1!$A:$E,5,FALSE)=0,1,VLOOKUP(C63,[1]List1!$A:$E,5,FALSE)),"")</f>
        <v/>
      </c>
      <c r="AR63" s="304" t="str">
        <f t="shared" si="60"/>
        <v/>
      </c>
      <c r="AS63" s="423" t="str">
        <f t="shared" si="61"/>
        <v/>
      </c>
      <c r="AT63" s="304" t="str">
        <f t="shared" si="62"/>
        <v/>
      </c>
      <c r="AU63" s="342" t="e">
        <f t="shared" si="63"/>
        <v>#N/A</v>
      </c>
      <c r="AV63" s="304" t="e">
        <f t="shared" si="64"/>
        <v>#N/A</v>
      </c>
      <c r="AX63" s="304">
        <f>IF(AND('General price list'!$J63="F4",'General price list'!$AB63+0&gt;0),1,0)</f>
        <v>0</v>
      </c>
      <c r="AY63" s="304">
        <f t="shared" si="65"/>
        <v>1</v>
      </c>
      <c r="AZ63" s="304">
        <f t="shared" si="66"/>
        <v>0</v>
      </c>
    </row>
    <row r="64" spans="1:52" ht="15" customHeight="1">
      <c r="A64" s="712" t="str">
        <f>Kat.!C64</f>
        <v/>
      </c>
      <c r="B64" s="745">
        <f>IF(AND('General price list'!$J64="F4",$AI$1=FALSE),0,IF(AC64="SKLADEM",1,IF(AC64=$V$3,1,0)))</f>
        <v>1</v>
      </c>
      <c r="C64" s="714" t="s">
        <v>2472</v>
      </c>
      <c r="D64" s="715" t="s">
        <v>2473</v>
      </c>
      <c r="E64" s="716" t="s">
        <v>2661</v>
      </c>
      <c r="F64" s="712">
        <f>IFERROR(ROUND(IF($AL$3=2,VLOOKUP(C64,[2]List1!$A:$D,2,FALSE)*1.08,VLOOKUP(C64,[2]List1!$A:$D,2,FALSE)),0),"NEUVEDENO!")</f>
        <v>93</v>
      </c>
      <c r="G64" s="717">
        <f t="shared" si="45"/>
        <v>93</v>
      </c>
      <c r="H64" s="718">
        <f t="shared" si="46"/>
        <v>3.7791205620730715</v>
      </c>
      <c r="I64" s="746">
        <v>48</v>
      </c>
      <c r="J64" s="716" t="s">
        <v>46</v>
      </c>
      <c r="K64" s="716"/>
      <c r="L64" s="716" t="s">
        <v>14358</v>
      </c>
      <c r="M64" s="716" t="s">
        <v>25</v>
      </c>
      <c r="N64" s="716">
        <f>IFERROR(VLOOKUP(C64,[3]List1!$A:$D,4,FALSE),"N/A!")</f>
        <v>5.3689500000000001E-2</v>
      </c>
      <c r="O64" s="716">
        <f>IFERROR(VLOOKUP(C64,[3]List1!$A:$D,3,FALSE),"N/A!")</f>
        <v>2880</v>
      </c>
      <c r="P64" s="716">
        <f>IFERROR(VLOOKUP(C64,[3]List1!$A:$D,2,FALSE),"N/A!")</f>
        <v>11000</v>
      </c>
      <c r="Q64" s="716" t="s">
        <v>45</v>
      </c>
      <c r="R64" s="716" t="s">
        <v>24</v>
      </c>
      <c r="S64" s="716"/>
      <c r="T64" s="716"/>
      <c r="U64" s="716"/>
      <c r="V64" s="716"/>
      <c r="W64" s="716" t="str">
        <f>IFERROR(VLOOKUP('General price list'!$C64,Popisy!A:P,MATCH($W$17,Popisy!$A$7:$P$7,0),FALSE),"---------------")</f>
        <v>pískající letadlo s červeným světlem a práskajícími hvězdami(2ks)+pískající letadlo s zeleným světlem a práskajícími+blikajícími hvězdami(2ks)</v>
      </c>
      <c r="X64" s="716" t="str">
        <f t="shared" si="47"/>
        <v/>
      </c>
      <c r="Y64" s="716" t="str">
        <f t="shared" si="48"/>
        <v/>
      </c>
      <c r="Z64" s="716" t="str">
        <f>HYPERLINK("https://www.klasekpyrotechnics.cz/lm5w")</f>
        <v>https://www.klasekpyrotechnics.cz/lm5w</v>
      </c>
      <c r="AA64" s="716">
        <f>IFERROR(IF(VLOOKUP(C64,[4]List1!$A:$D,4,FALSE)=0,"",VLOOKUP(C64,[4]List1!$A:$D,4,FALSE)),"")</f>
        <v>24</v>
      </c>
      <c r="AB64" s="720"/>
      <c r="AC64" s="747" t="str">
        <f>IFERROR(IF(VLOOKUP(C64,[1]List1!$A:$D,2,FALSE)="VYPRODÁNO",$V$9,IF(VLOOKUP(C64,[1]List1!$A:$D,2,FALSE)="DOCHÁZÍ",$V$3,VLOOKUP(C64,[1]List1!$A:$D,2,FALSE))),"OFFLINE!")</f>
        <v>SKLADEM</v>
      </c>
      <c r="AD64" s="748" t="str">
        <f ca="1">IF(AP64="NE",$V$10,IF(AC64=$V$3,IF(AQ64&lt;1,$V$8,$V$2&amp;" "&amp;AQ64&amp;" "&amp;$V$1),IF(AC64="SKLADEM",$V$6,IFERROR(IF(OR(AC64-TODAY()&gt;45,VLOOKUP(C64,[1]List1!$A:$E,4,FALSE)=0),AC64,DAY(AC64)&amp;"."&amp;MONTH(AC64)&amp;"."&amp;YEAR(AC64)&amp;" "&amp;$V$4&amp;VLOOKUP(C64,[1]List1!$A:$E,4,FALSE)&amp;" "&amp;$V$1),AC64))))</f>
        <v>SKLADEM</v>
      </c>
      <c r="AE64" s="716" t="str">
        <f t="shared" ca="1" si="49"/>
        <v>SKLADEM</v>
      </c>
      <c r="AF64" s="723">
        <f t="shared" si="50"/>
        <v>0</v>
      </c>
      <c r="AG64" s="723">
        <f t="shared" si="51"/>
        <v>0</v>
      </c>
      <c r="AH64" s="724">
        <f t="shared" si="52"/>
        <v>0</v>
      </c>
      <c r="AI64" s="716">
        <f t="shared" si="53"/>
        <v>0</v>
      </c>
      <c r="AJ64" s="716">
        <f t="shared" si="54"/>
        <v>0</v>
      </c>
      <c r="AK64" s="716" t="str">
        <f t="shared" si="55"/>
        <v/>
      </c>
      <c r="AL64" s="716" t="str">
        <f t="shared" si="56"/>
        <v/>
      </c>
      <c r="AM64" s="716">
        <f t="shared" si="57"/>
        <v>0</v>
      </c>
      <c r="AN64" s="716">
        <f t="shared" si="58"/>
        <v>0</v>
      </c>
      <c r="AO64" s="380"/>
      <c r="AP64" s="322" t="str">
        <f t="shared" si="59"/>
        <v/>
      </c>
      <c r="AQ64" s="323" t="str">
        <f>IF(AC64=$V$3,IF(VLOOKUP(C64,[1]List1!$A:$E,5,FALSE)=0,1,VLOOKUP(C64,[1]List1!$A:$E,5,FALSE)),"")</f>
        <v/>
      </c>
      <c r="AR64" s="304" t="str">
        <f t="shared" si="60"/>
        <v/>
      </c>
      <c r="AS64" s="423" t="str">
        <f t="shared" si="61"/>
        <v/>
      </c>
      <c r="AT64" s="304" t="str">
        <f t="shared" si="62"/>
        <v/>
      </c>
      <c r="AU64" s="342" t="e">
        <f t="shared" si="63"/>
        <v>#N/A</v>
      </c>
      <c r="AV64" s="304" t="e">
        <f t="shared" si="64"/>
        <v>#N/A</v>
      </c>
      <c r="AX64" s="304">
        <f>IF(AND('General price list'!$J64="F4",'General price list'!$AB64+0&gt;0),1,0)</f>
        <v>0</v>
      </c>
      <c r="AY64" s="304">
        <f t="shared" si="65"/>
        <v>1</v>
      </c>
      <c r="AZ64" s="304">
        <f t="shared" si="66"/>
        <v>0</v>
      </c>
    </row>
    <row r="65" spans="1:52" ht="15" customHeight="1">
      <c r="A65" s="725" t="str">
        <f>Kat.!C65</f>
        <v/>
      </c>
      <c r="B65" s="749">
        <f>IF(AND('General price list'!$J65="F4",$AI$1=FALSE),0,IF(AC65="SKLADEM",1,IF(AC65=$V$3,1,0)))</f>
        <v>0</v>
      </c>
      <c r="C65" s="727" t="s">
        <v>2474</v>
      </c>
      <c r="D65" s="728" t="s">
        <v>2475</v>
      </c>
      <c r="E65" s="729" t="s">
        <v>639</v>
      </c>
      <c r="F65" s="725">
        <f>IFERROR(ROUND(IF($AL$3=2,VLOOKUP(C65,[2]List1!$A:$D,2,FALSE)*1.08,VLOOKUP(C65,[2]List1!$A:$D,2,FALSE)),0),"NEUVEDENO!")</f>
        <v>190</v>
      </c>
      <c r="G65" s="730">
        <f t="shared" si="45"/>
        <v>190</v>
      </c>
      <c r="H65" s="731">
        <f t="shared" si="46"/>
        <v>7.720783944020253</v>
      </c>
      <c r="I65" s="750">
        <v>24</v>
      </c>
      <c r="J65" s="729" t="s">
        <v>46</v>
      </c>
      <c r="K65" s="729"/>
      <c r="L65" s="729" t="s">
        <v>14358</v>
      </c>
      <c r="M65" s="729" t="s">
        <v>25</v>
      </c>
      <c r="N65" s="729">
        <f>IFERROR(VLOOKUP(C65,[3]List1!$A:$D,4,FALSE),"N/A!")</f>
        <v>6.7229999999999998E-2</v>
      </c>
      <c r="O65" s="729">
        <f>IFERROR(VLOOKUP(C65,[3]List1!$A:$D,3,FALSE),"N/A!")</f>
        <v>1344</v>
      </c>
      <c r="P65" s="729">
        <f>IFERROR(VLOOKUP(C65,[3]List1!$A:$D,2,FALSE),"N/A!")</f>
        <v>6000</v>
      </c>
      <c r="Q65" s="729" t="s">
        <v>14294</v>
      </c>
      <c r="R65" s="729" t="s">
        <v>24</v>
      </c>
      <c r="S65" s="729"/>
      <c r="T65" s="729"/>
      <c r="U65" s="729"/>
      <c r="V65" s="729"/>
      <c r="W65" s="729" t="str">
        <f>IFERROR(VLOOKUP('General price list'!$C65,Popisy!A:P,MATCH($W$17,Popisy!$A$7:$P$7,0),FALSE),"---------------")</f>
        <v>létající/pulzující barevný efekt s brokátovou korunou(1ks) , létající/pulzující barevný efekt s práskajícími hvězdami(1ks)</v>
      </c>
      <c r="X65" s="729" t="str">
        <f t="shared" si="47"/>
        <v/>
      </c>
      <c r="Y65" s="729" t="str">
        <f t="shared" si="48"/>
        <v/>
      </c>
      <c r="Z65" s="729" t="str">
        <f>HYPERLINK("https://www.klasekpyrotechnics.cz/lm6m")</f>
        <v>https://www.klasekpyrotechnics.cz/lm6m</v>
      </c>
      <c r="AA65" s="729">
        <f>IFERROR(IF(VLOOKUP(C65,[4]List1!$A:$D,4,FALSE)=0,"",VLOOKUP(C65,[4]List1!$A:$D,4,FALSE)),"")</f>
        <v>24</v>
      </c>
      <c r="AB65" s="720"/>
      <c r="AC65" s="751" t="str">
        <f>IFERROR(IF(VLOOKUP(C65,[1]List1!$A:$D,2,FALSE)="VYPRODÁNO",$V$9,IF(VLOOKUP(C65,[1]List1!$A:$D,2,FALSE)="DOCHÁZÍ",$V$3,VLOOKUP(C65,[1]List1!$A:$D,2,FALSE))),"OFFLINE!")</f>
        <v>15.06.2024</v>
      </c>
      <c r="AD65" s="752" t="str">
        <f ca="1">IF(AP65="NE",$V$10,IF(AC65=$V$3,IF(AQ65&lt;1,$V$8,$V$2&amp;" "&amp;AQ65&amp;" "&amp;$V$1),IF(AC65="SKLADEM",$V$6,IFERROR(IF(OR(AC65-TODAY()&gt;45,VLOOKUP(C65,[1]List1!$A:$E,4,FALSE)=0),AC65,DAY(AC65)&amp;"."&amp;MONTH(AC65)&amp;"."&amp;YEAR(AC65)&amp;" "&amp;$V$4&amp;VLOOKUP(C65,[1]List1!$A:$E,4,FALSE)&amp;" "&amp;$V$1),AC65))))</f>
        <v>15.06.2024</v>
      </c>
      <c r="AE65" s="729" t="str">
        <f t="shared" ca="1" si="49"/>
        <v>15.06.2024</v>
      </c>
      <c r="AF65" s="735">
        <f t="shared" si="50"/>
        <v>0</v>
      </c>
      <c r="AG65" s="735">
        <f t="shared" si="51"/>
        <v>0</v>
      </c>
      <c r="AH65" s="736">
        <f t="shared" si="52"/>
        <v>0</v>
      </c>
      <c r="AI65" s="729">
        <f t="shared" si="53"/>
        <v>0</v>
      </c>
      <c r="AJ65" s="729">
        <f t="shared" si="54"/>
        <v>0</v>
      </c>
      <c r="AK65" s="729" t="str">
        <f t="shared" si="55"/>
        <v/>
      </c>
      <c r="AL65" s="729" t="str">
        <f t="shared" si="56"/>
        <v/>
      </c>
      <c r="AM65" s="729">
        <f t="shared" si="57"/>
        <v>0</v>
      </c>
      <c r="AN65" s="729">
        <f t="shared" si="58"/>
        <v>0</v>
      </c>
      <c r="AO65" s="380"/>
      <c r="AP65" s="322" t="str">
        <f t="shared" si="59"/>
        <v/>
      </c>
      <c r="AQ65" s="323" t="str">
        <f>IF(AC65=$V$3,IF(VLOOKUP(C65,[1]List1!$A:$E,5,FALSE)=0,1,VLOOKUP(C65,[1]List1!$A:$E,5,FALSE)),"")</f>
        <v/>
      </c>
      <c r="AR65" s="304" t="str">
        <f t="shared" si="60"/>
        <v/>
      </c>
      <c r="AS65" s="423" t="str">
        <f t="shared" si="61"/>
        <v/>
      </c>
      <c r="AT65" s="304" t="str">
        <f t="shared" si="62"/>
        <v/>
      </c>
      <c r="AU65" s="342" t="e">
        <f t="shared" si="63"/>
        <v>#N/A</v>
      </c>
      <c r="AV65" s="304" t="e">
        <f t="shared" si="64"/>
        <v>#N/A</v>
      </c>
      <c r="AX65" s="304">
        <f>IF(AND('General price list'!$J65="F4",'General price list'!$AB65+0&gt;0),1,0)</f>
        <v>0</v>
      </c>
      <c r="AY65" s="304">
        <f t="shared" si="65"/>
        <v>1</v>
      </c>
      <c r="AZ65" s="304">
        <f t="shared" si="66"/>
        <v>0</v>
      </c>
    </row>
    <row r="66" spans="1:52" ht="15" customHeight="1">
      <c r="A66" s="712" t="str">
        <f>Kat.!C66</f>
        <v/>
      </c>
      <c r="B66" s="745">
        <f>IF(AND('General price list'!$J66="F4",$AI$1=FALSE),0,IF(AC66="SKLADEM",1,IF(AC66=$V$3,1,0)))</f>
        <v>0</v>
      </c>
      <c r="C66" s="714" t="s">
        <v>2476</v>
      </c>
      <c r="D66" s="715" t="s">
        <v>2477</v>
      </c>
      <c r="E66" s="716" t="s">
        <v>643</v>
      </c>
      <c r="F66" s="712">
        <f>IFERROR(ROUND(IF($AL$3=2,VLOOKUP(C66,[2]List1!$A:$D,2,FALSE)*1.08,VLOOKUP(C66,[2]List1!$A:$D,2,FALSE)),0),"NEUVEDENO!")</f>
        <v>124</v>
      </c>
      <c r="G66" s="717">
        <f t="shared" si="45"/>
        <v>124</v>
      </c>
      <c r="H66" s="718">
        <f t="shared" si="46"/>
        <v>5.0388274160974289</v>
      </c>
      <c r="I66" s="746">
        <v>48</v>
      </c>
      <c r="J66" s="716" t="s">
        <v>46</v>
      </c>
      <c r="K66" s="716"/>
      <c r="L66" s="716" t="s">
        <v>14358</v>
      </c>
      <c r="M66" s="716" t="s">
        <v>25</v>
      </c>
      <c r="N66" s="716">
        <f>IFERROR(VLOOKUP(C66,[3]List1!$A:$D,4,FALSE),"N/A!")</f>
        <v>3.3728000000000001E-2</v>
      </c>
      <c r="O66" s="716">
        <f>IFERROR(VLOOKUP(C66,[3]List1!$A:$D,3,FALSE),"N/A!")</f>
        <v>720</v>
      </c>
      <c r="P66" s="716">
        <f>IFERROR(VLOOKUP(C66,[3]List1!$A:$D,2,FALSE),"N/A!")</f>
        <v>5000</v>
      </c>
      <c r="Q66" s="716" t="s">
        <v>632</v>
      </c>
      <c r="R66" s="716" t="s">
        <v>24</v>
      </c>
      <c r="S66" s="716"/>
      <c r="T66" s="716"/>
      <c r="U66" s="716"/>
      <c r="V66" s="716"/>
      <c r="W66" s="716" t="str">
        <f>IFERROR(VLOOKUP('General price list'!$C66,Popisy!A:P,MATCH($W$17,Popisy!$A$7:$P$7,0),FALSE),"---------------")</f>
        <v>pískající létající talíř se zeleným světlem</v>
      </c>
      <c r="X66" s="716" t="str">
        <f t="shared" si="47"/>
        <v/>
      </c>
      <c r="Y66" s="716" t="str">
        <f t="shared" si="48"/>
        <v/>
      </c>
      <c r="Z66" s="716" t="str">
        <f>HYPERLINK("https://www.klasekpyrotechnics.cz/lm7s")</f>
        <v>https://www.klasekpyrotechnics.cz/lm7s</v>
      </c>
      <c r="AA66" s="716">
        <f>IFERROR(IF(VLOOKUP(C66,[4]List1!$A:$D,4,FALSE)=0,"",VLOOKUP(C66,[4]List1!$A:$D,4,FALSE)),"")</f>
        <v>30</v>
      </c>
      <c r="AB66" s="720"/>
      <c r="AC66" s="747" t="str">
        <f>IFERROR(IF(VLOOKUP(C66,[1]List1!$A:$D,2,FALSE)="VYPRODÁNO",$V$9,IF(VLOOKUP(C66,[1]List1!$A:$D,2,FALSE)="DOCHÁZÍ",$V$3,VLOOKUP(C66,[1]List1!$A:$D,2,FALSE))),"OFFLINE!")</f>
        <v>30.04.2024</v>
      </c>
      <c r="AD66" s="748" t="str">
        <f ca="1">IF(AP66="NE",$V$10,IF(AC66=$V$3,IF(AQ66&lt;1,$V$8,$V$2&amp;" "&amp;AQ66&amp;" "&amp;$V$1),IF(AC66="SKLADEM",$V$6,IFERROR(IF(OR(AC66-TODAY()&gt;45,VLOOKUP(C66,[1]List1!$A:$E,4,FALSE)=0),AC66,DAY(AC66)&amp;"."&amp;MONTH(AC66)&amp;"."&amp;YEAR(AC66)&amp;" "&amp;$V$4&amp;VLOOKUP(C66,[1]List1!$A:$E,4,FALSE)&amp;" "&amp;$V$1),AC66))))</f>
        <v>30.04.2024</v>
      </c>
      <c r="AE66" s="716" t="str">
        <f t="shared" ca="1" si="49"/>
        <v>30.04.2024</v>
      </c>
      <c r="AF66" s="723">
        <f t="shared" si="50"/>
        <v>0</v>
      </c>
      <c r="AG66" s="723">
        <f t="shared" si="51"/>
        <v>0</v>
      </c>
      <c r="AH66" s="724">
        <f t="shared" si="52"/>
        <v>0</v>
      </c>
      <c r="AI66" s="716">
        <f t="shared" si="53"/>
        <v>0</v>
      </c>
      <c r="AJ66" s="716">
        <f t="shared" si="54"/>
        <v>0</v>
      </c>
      <c r="AK66" s="716" t="str">
        <f t="shared" si="55"/>
        <v/>
      </c>
      <c r="AL66" s="716" t="str">
        <f t="shared" si="56"/>
        <v/>
      </c>
      <c r="AM66" s="716">
        <f t="shared" si="57"/>
        <v>0</v>
      </c>
      <c r="AN66" s="716">
        <f t="shared" si="58"/>
        <v>0</v>
      </c>
      <c r="AO66" s="380"/>
      <c r="AP66" s="322" t="str">
        <f t="shared" si="59"/>
        <v/>
      </c>
      <c r="AQ66" s="323" t="str">
        <f>IF(AC66=$V$3,IF(VLOOKUP(C66,[1]List1!$A:$E,5,FALSE)=0,1,VLOOKUP(C66,[1]List1!$A:$E,5,FALSE)),"")</f>
        <v/>
      </c>
      <c r="AR66" s="304" t="str">
        <f t="shared" si="60"/>
        <v/>
      </c>
      <c r="AS66" s="423" t="str">
        <f t="shared" si="61"/>
        <v/>
      </c>
      <c r="AT66" s="304" t="str">
        <f t="shared" si="62"/>
        <v/>
      </c>
      <c r="AU66" s="342" t="e">
        <f t="shared" si="63"/>
        <v>#N/A</v>
      </c>
      <c r="AV66" s="304" t="e">
        <f t="shared" si="64"/>
        <v>#N/A</v>
      </c>
      <c r="AX66" s="304">
        <f>IF(AND('General price list'!$J66="F4",'General price list'!$AB66+0&gt;0),1,0)</f>
        <v>0</v>
      </c>
      <c r="AY66" s="304">
        <f t="shared" si="65"/>
        <v>1</v>
      </c>
      <c r="AZ66" s="304">
        <f t="shared" si="66"/>
        <v>0</v>
      </c>
    </row>
    <row r="67" spans="1:52" ht="15" customHeight="1">
      <c r="A67" s="725" t="str">
        <f>Kat.!C67</f>
        <v/>
      </c>
      <c r="B67" s="749">
        <f>IF(AND('General price list'!$J67="F4",$AI$1=FALSE),0,IF(AC67="SKLADEM",1,IF(AC67=$V$3,1,0)))</f>
        <v>1</v>
      </c>
      <c r="C67" s="727" t="s">
        <v>3335</v>
      </c>
      <c r="D67" s="728" t="s">
        <v>3336</v>
      </c>
      <c r="E67" s="729" t="s">
        <v>1074</v>
      </c>
      <c r="F67" s="725">
        <f>IFERROR(ROUND(IF($AL$3=2,VLOOKUP(C67,[2]List1!$A:$D,2,FALSE)*1.08,VLOOKUP(C67,[2]List1!$A:$D,2,FALSE)),0),"NEUVEDENO!")</f>
        <v>960</v>
      </c>
      <c r="G67" s="730">
        <f t="shared" si="45"/>
        <v>960</v>
      </c>
      <c r="H67" s="731">
        <f t="shared" si="46"/>
        <v>39.010276769786543</v>
      </c>
      <c r="I67" s="750">
        <v>4</v>
      </c>
      <c r="J67" s="729" t="s">
        <v>137</v>
      </c>
      <c r="K67" s="729"/>
      <c r="L67" s="729" t="s">
        <v>24</v>
      </c>
      <c r="M67" s="729" t="s">
        <v>25</v>
      </c>
      <c r="N67" s="729">
        <f>IFERROR(VLOOKUP(C67,[3]List1!$A:$D,4,FALSE),"N/A!")</f>
        <v>6.5831750000000008E-2</v>
      </c>
      <c r="O67" s="729">
        <f>IFERROR(VLOOKUP(C67,[3]List1!$A:$D,3,FALSE),"N/A!")</f>
        <v>356</v>
      </c>
      <c r="P67" s="729">
        <f>IFERROR(VLOOKUP(C67,[3]List1!$A:$D,2,FALSE),"N/A!")</f>
        <v>6500</v>
      </c>
      <c r="Q67" s="729" t="s">
        <v>14086</v>
      </c>
      <c r="R67" s="729" t="s">
        <v>24</v>
      </c>
      <c r="S67" s="729"/>
      <c r="T67" s="729">
        <v>10</v>
      </c>
      <c r="U67" s="729"/>
      <c r="V67" s="729"/>
      <c r="W67" s="729" t="str">
        <f>IFERROR(VLOOKUP('General price list'!$C67,Popisy!A:P,MATCH($W$17,Popisy!$A$7:$P$7,0),FALSE),"---------------")</f>
        <v>pískající létající talíř s chvostem+brokátová koruna, výška efektu 45m</v>
      </c>
      <c r="X67" s="729" t="str">
        <f t="shared" si="47"/>
        <v/>
      </c>
      <c r="Y67" s="729" t="str">
        <f t="shared" si="48"/>
        <v/>
      </c>
      <c r="Z67" s="729" t="str">
        <f>HYPERLINK("https://www.klasekpyrotechnics.cz/su45b")</f>
        <v>https://www.klasekpyrotechnics.cz/su45b</v>
      </c>
      <c r="AA67" s="729">
        <f>IFERROR(IF(VLOOKUP(C67,[4]List1!$A:$D,4,FALSE)=0,"",VLOOKUP(C67,[4]List1!$A:$D,4,FALSE)),"")</f>
        <v>14</v>
      </c>
      <c r="AB67" s="720"/>
      <c r="AC67" s="751" t="str">
        <f>IFERROR(IF(VLOOKUP(C67,[1]List1!$A:$D,2,FALSE)="VYPRODÁNO",$V$9,IF(VLOOKUP(C67,[1]List1!$A:$D,2,FALSE)="DOCHÁZÍ",$V$3,VLOOKUP(C67,[1]List1!$A:$D,2,FALSE))),"OFFLINE!")</f>
        <v>SKLADEM</v>
      </c>
      <c r="AD67" s="752" t="str">
        <f ca="1">IF(AP67="NE",$V$10,IF(AC67=$V$3,IF(AQ67&lt;1,$V$8,$V$2&amp;" "&amp;AQ67&amp;" "&amp;$V$1),IF(AC67="SKLADEM",$V$6,IFERROR(IF(OR(AC67-TODAY()&gt;45,VLOOKUP(C67,[1]List1!$A:$E,4,FALSE)=0),AC67,DAY(AC67)&amp;"."&amp;MONTH(AC67)&amp;"."&amp;YEAR(AC67)&amp;" "&amp;$V$4&amp;VLOOKUP(C67,[1]List1!$A:$E,4,FALSE)&amp;" "&amp;$V$1),AC67))))</f>
        <v>SKLADEM</v>
      </c>
      <c r="AE67" s="729" t="str">
        <f t="shared" ca="1" si="49"/>
        <v>SKLADEM</v>
      </c>
      <c r="AF67" s="735">
        <f t="shared" si="50"/>
        <v>0</v>
      </c>
      <c r="AG67" s="735">
        <f t="shared" si="51"/>
        <v>0</v>
      </c>
      <c r="AH67" s="736">
        <f t="shared" si="52"/>
        <v>0</v>
      </c>
      <c r="AI67" s="729">
        <f t="shared" si="53"/>
        <v>0</v>
      </c>
      <c r="AJ67" s="729">
        <f t="shared" si="54"/>
        <v>0</v>
      </c>
      <c r="AK67" s="729" t="str">
        <f t="shared" si="55"/>
        <v/>
      </c>
      <c r="AL67" s="729" t="str">
        <f t="shared" si="56"/>
        <v/>
      </c>
      <c r="AM67" s="729">
        <f t="shared" si="57"/>
        <v>0</v>
      </c>
      <c r="AN67" s="729">
        <f t="shared" si="58"/>
        <v>0</v>
      </c>
      <c r="AO67" s="380"/>
      <c r="AP67" s="322" t="str">
        <f t="shared" si="59"/>
        <v/>
      </c>
      <c r="AQ67" s="323" t="str">
        <f>IF(AC67=$V$3,IF(VLOOKUP(C67,[1]List1!$A:$E,5,FALSE)=0,1,VLOOKUP(C67,[1]List1!$A:$E,5,FALSE)),"")</f>
        <v/>
      </c>
      <c r="AR67" s="304" t="str">
        <f t="shared" si="60"/>
        <v/>
      </c>
      <c r="AS67" s="423" t="str">
        <f t="shared" si="61"/>
        <v/>
      </c>
      <c r="AT67" s="304" t="str">
        <f t="shared" si="62"/>
        <v/>
      </c>
      <c r="AU67" s="342" t="e">
        <f t="shared" si="63"/>
        <v>#N/A</v>
      </c>
      <c r="AV67" s="304" t="e">
        <f t="shared" si="64"/>
        <v>#N/A</v>
      </c>
      <c r="AX67" s="304">
        <f>IF(AND('General price list'!$J67="F4",'General price list'!$AB67+0&gt;0),1,0)</f>
        <v>0</v>
      </c>
      <c r="AY67" s="304">
        <f t="shared" si="65"/>
        <v>1</v>
      </c>
      <c r="AZ67" s="304">
        <f t="shared" si="66"/>
        <v>0</v>
      </c>
    </row>
    <row r="68" spans="1:52" ht="15" customHeight="1">
      <c r="A68" s="712" t="str">
        <f>Kat.!C68</f>
        <v/>
      </c>
      <c r="B68" s="745">
        <f>IF(AND('General price list'!$J68="F4",$AI$1=FALSE),0,IF(AC68="SKLADEM",1,IF(AC68=$V$3,1,0)))</f>
        <v>1</v>
      </c>
      <c r="C68" s="714" t="s">
        <v>12724</v>
      </c>
      <c r="D68" s="715" t="s">
        <v>14522</v>
      </c>
      <c r="E68" s="716" t="s">
        <v>12725</v>
      </c>
      <c r="F68" s="712">
        <f>IFERROR(ROUND(IF($AL$3=2,VLOOKUP(C68,[2]List1!$A:$D,2,FALSE)*1.08,VLOOKUP(C68,[2]List1!$A:$D,2,FALSE)),0),"NEUVEDENO!")</f>
        <v>185</v>
      </c>
      <c r="G68" s="717">
        <f t="shared" si="45"/>
        <v>185</v>
      </c>
      <c r="H68" s="718">
        <f t="shared" si="46"/>
        <v>7.5176054191776149</v>
      </c>
      <c r="I68" s="746">
        <v>30</v>
      </c>
      <c r="J68" s="716" t="s">
        <v>46</v>
      </c>
      <c r="K68" s="716"/>
      <c r="L68" s="716" t="s">
        <v>24</v>
      </c>
      <c r="M68" s="716" t="s">
        <v>25</v>
      </c>
      <c r="N68" s="716">
        <f>IFERROR(VLOOKUP(C68,[3]List1!$A:$D,4,FALSE),"N/A!")</f>
        <v>8.9055999999999996E-2</v>
      </c>
      <c r="O68" s="716">
        <f>IFERROR(VLOOKUP(C68,[3]List1!$A:$D,3,FALSE),"N/A!")</f>
        <v>570</v>
      </c>
      <c r="P68" s="716">
        <f>IFERROR(VLOOKUP(C68,[3]List1!$A:$D,2,FALSE),"N/A!")</f>
        <v>7500</v>
      </c>
      <c r="Q68" s="716" t="s">
        <v>14087</v>
      </c>
      <c r="R68" s="716" t="s">
        <v>24</v>
      </c>
      <c r="S68" s="716"/>
      <c r="T68" s="716">
        <v>10</v>
      </c>
      <c r="U68" s="716"/>
      <c r="V68" s="716"/>
      <c r="W68" s="716" t="str">
        <f>IFERROR(VLOOKUP('General price list'!$C68,Popisy!A:P,MATCH($W$17,Popisy!$A$7:$P$7,0),FALSE),"---------------")</f>
        <v>zelené světlo se zlatým rozujícím chvostem</v>
      </c>
      <c r="X68" s="716" t="str">
        <f t="shared" si="47"/>
        <v/>
      </c>
      <c r="Y68" s="716" t="str">
        <f t="shared" si="48"/>
        <v/>
      </c>
      <c r="Z68" s="716" t="str">
        <f>HYPERLINK("https://https://www.klasekpyrotechnics.cz/rd8")</f>
        <v>https://https://www.klasekpyrotechnics.cz/rd8</v>
      </c>
      <c r="AA68" s="716">
        <f>IFERROR(IF(VLOOKUP(C68,[4]List1!$A:$D,4,FALSE)=0,"",VLOOKUP(C68,[4]List1!$A:$D,4,FALSE)),"")</f>
        <v>16</v>
      </c>
      <c r="AB68" s="720"/>
      <c r="AC68" s="747" t="str">
        <f>IFERROR(IF(VLOOKUP(C68,[1]List1!$A:$D,2,FALSE)="VYPRODÁNO",$V$9,IF(VLOOKUP(C68,[1]List1!$A:$D,2,FALSE)="DOCHÁZÍ",$V$3,VLOOKUP(C68,[1]List1!$A:$D,2,FALSE))),"OFFLINE!")</f>
        <v>SKLADEM</v>
      </c>
      <c r="AD68" s="748" t="str">
        <f ca="1">IF(AP68="NE",$V$10,IF(AC68=$V$3,IF(AQ68&lt;1,$V$8,$V$2&amp;" "&amp;AQ68&amp;" "&amp;$V$1),IF(AC68="SKLADEM",$V$6,IFERROR(IF(OR(AC68-TODAY()&gt;45,VLOOKUP(C68,[1]List1!$A:$E,4,FALSE)=0),AC68,DAY(AC68)&amp;"."&amp;MONTH(AC68)&amp;"."&amp;YEAR(AC68)&amp;" "&amp;$V$4&amp;VLOOKUP(C68,[1]List1!$A:$E,4,FALSE)&amp;" "&amp;$V$1),AC68))))</f>
        <v>SKLADEM</v>
      </c>
      <c r="AE68" s="716" t="str">
        <f t="shared" ca="1" si="49"/>
        <v>SKLADEM</v>
      </c>
      <c r="AF68" s="723">
        <f t="shared" si="50"/>
        <v>0</v>
      </c>
      <c r="AG68" s="723">
        <f t="shared" si="51"/>
        <v>0</v>
      </c>
      <c r="AH68" s="724">
        <f t="shared" si="52"/>
        <v>0</v>
      </c>
      <c r="AI68" s="716">
        <f t="shared" si="53"/>
        <v>0</v>
      </c>
      <c r="AJ68" s="716">
        <f t="shared" si="54"/>
        <v>0</v>
      </c>
      <c r="AK68" s="716" t="str">
        <f t="shared" si="55"/>
        <v/>
      </c>
      <c r="AL68" s="716" t="str">
        <f t="shared" si="56"/>
        <v/>
      </c>
      <c r="AM68" s="716">
        <f t="shared" si="57"/>
        <v>0</v>
      </c>
      <c r="AN68" s="716">
        <f t="shared" si="58"/>
        <v>0</v>
      </c>
      <c r="AO68" s="380"/>
      <c r="AP68" s="322" t="str">
        <f t="shared" si="59"/>
        <v/>
      </c>
      <c r="AQ68" s="323" t="str">
        <f>IF(AC68=$V$3,IF(VLOOKUP(C68,[1]List1!$A:$E,5,FALSE)=0,1,VLOOKUP(C68,[1]List1!$A:$E,5,FALSE)),"")</f>
        <v/>
      </c>
      <c r="AR68" s="304" t="str">
        <f t="shared" si="60"/>
        <v/>
      </c>
      <c r="AS68" s="423" t="str">
        <f t="shared" si="61"/>
        <v/>
      </c>
      <c r="AT68" s="304" t="str">
        <f t="shared" si="62"/>
        <v/>
      </c>
      <c r="AU68" s="342" t="e">
        <f t="shared" si="63"/>
        <v>#N/A</v>
      </c>
      <c r="AV68" s="304" t="e">
        <f t="shared" si="64"/>
        <v>#N/A</v>
      </c>
      <c r="AX68" s="304">
        <f>IF(AND('General price list'!$J68="F4",'General price list'!$AB68+0&gt;0),1,0)</f>
        <v>0</v>
      </c>
      <c r="AY68" s="304">
        <f t="shared" si="65"/>
        <v>1</v>
      </c>
      <c r="AZ68" s="304">
        <f t="shared" si="66"/>
        <v>0</v>
      </c>
    </row>
    <row r="69" spans="1:52" ht="15" customHeight="1">
      <c r="A69" s="773" t="str">
        <f>Kat.!C69</f>
        <v xml:space="preserve">                                                               Rodinná balení</v>
      </c>
      <c r="B69" s="774"/>
      <c r="C69" s="774"/>
      <c r="D69" s="774"/>
      <c r="E69" s="774"/>
      <c r="F69" s="774"/>
      <c r="G69" s="774"/>
      <c r="H69" s="774"/>
      <c r="I69" s="774"/>
      <c r="J69" s="774"/>
      <c r="K69" s="774"/>
      <c r="L69" s="774"/>
      <c r="M69" s="774"/>
      <c r="N69" s="774"/>
      <c r="O69" s="774"/>
      <c r="P69" s="774"/>
      <c r="Q69" s="774"/>
      <c r="R69" s="774"/>
      <c r="S69" s="774"/>
      <c r="T69" s="774"/>
      <c r="U69" s="774"/>
      <c r="V69" s="774"/>
      <c r="W69" s="774"/>
      <c r="X69" s="774"/>
      <c r="Y69" s="774"/>
      <c r="Z69" s="774"/>
      <c r="AA69" s="774" t="str">
        <f>IFERROR(IF(VLOOKUP(C69,[4]List1!$A:$D,4,FALSE)=0,"",VLOOKUP(C69,[4]List1!$A:$D,4,FALSE)),"")</f>
        <v/>
      </c>
      <c r="AB69" s="774"/>
      <c r="AC69" s="775" t="str">
        <f>IFERROR(IF(VLOOKUP(C69,[1]List1!$A:$D,2,FALSE)="VYPRODÁNO",$V$9,IF(VLOOKUP(C69,[1]List1!$A:$D,2,FALSE)="DOCHÁZÍ",$V$3,VLOOKUP(C69,[1]List1!$A:$D,2,FALSE))),"OFFLINE!")</f>
        <v>OFFLINE!</v>
      </c>
      <c r="AD69" s="774"/>
      <c r="AE69" s="774"/>
      <c r="AF69" s="774"/>
      <c r="AG69" s="774"/>
      <c r="AH69" s="774"/>
      <c r="AI69" s="774"/>
      <c r="AJ69" s="774"/>
      <c r="AK69" s="774"/>
      <c r="AL69" s="774"/>
      <c r="AM69" s="774"/>
      <c r="AN69" s="774"/>
      <c r="AO69" s="380"/>
      <c r="AP69" s="322" t="str">
        <f t="shared" si="19"/>
        <v/>
      </c>
      <c r="AQ69" s="323" t="str">
        <f>IF(AC69=$V$3,IF(VLOOKUP(C69,[1]List1!$A:$E,5,FALSE)=0,1,VLOOKUP(C69,[1]List1!$A:$E,5,FALSE)),"")</f>
        <v/>
      </c>
      <c r="AR69" s="304" t="str">
        <f t="shared" si="20"/>
        <v/>
      </c>
      <c r="AS69" s="423" t="str">
        <f t="shared" si="21"/>
        <v/>
      </c>
      <c r="AT69" s="304" t="str">
        <f t="shared" si="22"/>
        <v/>
      </c>
      <c r="AU69" s="342" t="e">
        <f t="shared" si="23"/>
        <v>#N/A</v>
      </c>
      <c r="AV69" s="304" t="e">
        <f t="shared" si="24"/>
        <v>#N/A</v>
      </c>
      <c r="AX69" s="304">
        <f>IF(AND('General price list'!$J69="F4",'General price list'!$AB69+0&gt;0),1,0)</f>
        <v>0</v>
      </c>
      <c r="AY69" s="304">
        <f t="shared" si="25"/>
        <v>0</v>
      </c>
      <c r="AZ69" s="304">
        <f t="shared" si="26"/>
        <v>0</v>
      </c>
    </row>
    <row r="70" spans="1:52" ht="15" customHeight="1">
      <c r="A70" s="712" t="str">
        <f>Kat.!C70</f>
        <v/>
      </c>
      <c r="B70" s="713">
        <f>IF(AND('General price list'!$J70="F4",$AI$1=FALSE),0,IF(AC70="SKLADEM",1,IF(AC70=$V$3,1,0)))</f>
        <v>1</v>
      </c>
      <c r="C70" s="714" t="s">
        <v>139</v>
      </c>
      <c r="D70" s="715" t="s">
        <v>140</v>
      </c>
      <c r="E70" s="716" t="s">
        <v>141</v>
      </c>
      <c r="F70" s="712">
        <f>IFERROR(ROUND(IF($AL$3=2,VLOOKUP(C70,[2]List1!$A:$D,2,FALSE)*1.08,VLOOKUP(C70,[2]List1!$A:$D,2,FALSE)),0),"NEUVEDENO!")</f>
        <v>212</v>
      </c>
      <c r="G70" s="717">
        <f t="shared" ref="G70:G73" si="67">(F70)*$B$19</f>
        <v>212</v>
      </c>
      <c r="H70" s="718">
        <f t="shared" ref="H70:H73" si="68">G70/$F$19</f>
        <v>8.6147694533278614</v>
      </c>
      <c r="I70" s="719">
        <v>40</v>
      </c>
      <c r="J70" s="716" t="s">
        <v>23</v>
      </c>
      <c r="K70" s="716"/>
      <c r="L70" s="716" t="s">
        <v>24</v>
      </c>
      <c r="M70" s="716" t="s">
        <v>25</v>
      </c>
      <c r="N70" s="716">
        <f>IFERROR(VLOOKUP(C70,[3]List1!$A:$D,4,FALSE),"N/A!")</f>
        <v>5.7342250000000004E-2</v>
      </c>
      <c r="O70" s="716">
        <f>IFERROR(VLOOKUP(C70,[3]List1!$A:$D,3,FALSE),"N/A!")</f>
        <v>2920</v>
      </c>
      <c r="P70" s="716">
        <f>IFERROR(VLOOKUP(C70,[3]List1!$A:$D,2,FALSE),"N/A!")</f>
        <v>10800</v>
      </c>
      <c r="Q70" s="716" t="s">
        <v>14088</v>
      </c>
      <c r="R70" s="716" t="s">
        <v>18</v>
      </c>
      <c r="S70" s="716"/>
      <c r="T70" s="716"/>
      <c r="U70" s="716"/>
      <c r="V70" s="716"/>
      <c r="W70" s="716" t="str">
        <f>IFERROR(VLOOKUP('General price list'!$C70,Popisy!A:P,MATCH($W$17,Popisy!$A$7:$P$7,0),FALSE),"---------------")</f>
        <v>sada obsahuje: DP1FD- 1x,DP1FR-1x,DP1BP- 3x,BK1B-1x,BK1P-1x,DP1CB-1x,DP1B-1x,DP1R-2x, S12S-1x</v>
      </c>
      <c r="X70" s="716" t="str">
        <f t="shared" ref="X70:X73" si="69">IF(AB70&lt;0.0001,"",AB70)</f>
        <v/>
      </c>
      <c r="Y70" s="716" t="str">
        <f t="shared" ref="Y70:Y73" si="70">IF($AL$3=2,IF(OR(AB70&lt;&gt;"",AB70&lt;&gt;0),AU70,""),IF(C70="","",IF(AB70&lt;0.0001,"",IF(B70=0,"",IF(AQ70&lt;AB70,"",AB70)))))</f>
        <v/>
      </c>
      <c r="Z70" s="716" t="str">
        <f>HYPERLINK("https://www.klasekpyrotechnics.cz/ds1")</f>
        <v>https://www.klasekpyrotechnics.cz/ds1</v>
      </c>
      <c r="AA70" s="716">
        <f>IFERROR(IF(VLOOKUP(C70,[4]List1!$A:$D,4,FALSE)=0,"",VLOOKUP(C70,[4]List1!$A:$D,4,FALSE)),"")</f>
        <v>25</v>
      </c>
      <c r="AB70" s="720"/>
      <c r="AC70" s="721" t="str">
        <f>IFERROR(IF(VLOOKUP(C70,[1]List1!$A:$D,2,FALSE)="VYPRODÁNO",$V$9,IF(VLOOKUP(C70,[1]List1!$A:$D,2,FALSE)="DOCHÁZÍ",$V$3,VLOOKUP(C70,[1]List1!$A:$D,2,FALSE))),"OFFLINE!")</f>
        <v>SKLADEM</v>
      </c>
      <c r="AD70" s="722" t="str">
        <f ca="1">IF(AP70="NE",$V$10,IF(AC70=$V$3,IF(AQ70&lt;1,$V$8,$V$2&amp;" "&amp;AQ70&amp;" "&amp;$V$1),IF(AC70="SKLADEM",$V$6,IFERROR(IF(OR(AC70-TODAY()&gt;45,VLOOKUP(C70,[1]List1!$A:$E,4,FALSE)=0),AC70,DAY(AC70)&amp;"."&amp;MONTH(AC70)&amp;"."&amp;YEAR(AC70)&amp;" "&amp;$V$4&amp;VLOOKUP(C70,[1]List1!$A:$E,4,FALSE)&amp;" "&amp;$V$1),AC70))))</f>
        <v>SKLADEM</v>
      </c>
      <c r="AE70" s="716" t="str">
        <f t="shared" ref="AE70:AE73" ca="1" si="71">IFERROR(IF(AV70&lt;&gt;"",AV70,AD70),AD70)</f>
        <v>SKLADEM</v>
      </c>
      <c r="AF70" s="723">
        <f t="shared" ref="AF70:AF73" si="72">IFERROR(IF(AB70=Y70,G70*I70*Y70,0),0)</f>
        <v>0</v>
      </c>
      <c r="AG70" s="723">
        <f t="shared" ref="AG70:AG73" si="73">IF($W$17=$AF$8,AH70*1.23,AF70*1.21)</f>
        <v>0</v>
      </c>
      <c r="AH70" s="724">
        <f t="shared" ref="AH70:AH73" si="74">IFERROR(IF(Y70=AB70,H70*I70*Y70,0),0)</f>
        <v>0</v>
      </c>
      <c r="AI70" s="716">
        <f t="shared" ref="AI70:AI73" si="75">IFERROR(IF(Y70=AB70,(P70*Y70)/1000,1),0)</f>
        <v>0</v>
      </c>
      <c r="AJ70" s="716">
        <f t="shared" ref="AJ70:AJ73" si="76">IFERROR(IF(Y70=AB70,N70*Y70,0.1),0)</f>
        <v>0</v>
      </c>
      <c r="AK70" s="716" t="str">
        <f t="shared" ref="AK70:AK73" si="77">IFERROR(IF(Y70=AB70,IF(M70="1.1G",(O70/1000)*Y70,""),""),0)</f>
        <v/>
      </c>
      <c r="AL70" s="716" t="str">
        <f t="shared" ref="AL70:AL73" si="78">IFERROR(IF(Y70=AB70,IF(M70="1.3G",(O70/1000)*AB70,""),""),0)</f>
        <v/>
      </c>
      <c r="AM70" s="716">
        <f t="shared" ref="AM70:AM73" si="79">IFERROR(IF(Y70=AB70,IF(M70="1.4G",(O70/1000)*AB70,""),""),0)</f>
        <v>0</v>
      </c>
      <c r="AN70" s="716">
        <f t="shared" ref="AN70:AN73" si="80">SUM(AK70:AM70)</f>
        <v>0</v>
      </c>
      <c r="AO70" s="380"/>
      <c r="AP70" s="322" t="str">
        <f t="shared" ref="AP70:AP73" si="81">IF($AL$3=1,IF(Y70=AB70,"","NE"),IF(AR70=$V$10,"NE",""))</f>
        <v/>
      </c>
      <c r="AQ70" s="323" t="str">
        <f>IF(AC70=$V$3,IF(VLOOKUP(C70,[1]List1!$A:$E,5,FALSE)=0,1,VLOOKUP(C70,[1]List1!$A:$E,5,FALSE)),"")</f>
        <v/>
      </c>
      <c r="AR70" s="304" t="str">
        <f t="shared" ref="AR70:AR73" si="82">IF($AL$3=1,"",IF(OR(AB70&lt;&gt;"",AB70&lt;&gt;0),IF(OR(AC70=$V$6,AC70=$V$3,AC70=$V$9),$V$10,""),""))</f>
        <v/>
      </c>
      <c r="AS70" s="423" t="str">
        <f t="shared" ref="AS70:AS73" si="83">IF(AT70&lt;&gt;"","X","")</f>
        <v/>
      </c>
      <c r="AT70" s="304" t="str">
        <f t="shared" ref="AT70:AT73" si="84">IF(AND($AL$3=2,AR70="",AB70&lt;&gt;""),AD70,"")</f>
        <v/>
      </c>
      <c r="AU70" s="342" t="e">
        <f t="shared" ref="AU70:AU73" si="85">IF(AT70=$AS$21,AB70,"")</f>
        <v>#N/A</v>
      </c>
      <c r="AV70" s="304" t="e">
        <f t="shared" ref="AV70:AV73" si="86">IF(OR(AB70="",AND(AT70&lt;&gt;"",AU70&lt;&gt;"")),"",$V$10)</f>
        <v>#N/A</v>
      </c>
      <c r="AX70" s="304">
        <f>IF(AND('General price list'!$J70="F4",'General price list'!$AB70+0&gt;0),1,0)</f>
        <v>0</v>
      </c>
      <c r="AY70" s="304">
        <f t="shared" ref="AY70:AY73" si="87">IFERROR(FIND(VLOOKUP($AC$7,$AD$1:$AE$12,2,FALSE),Q70,1),0)</f>
        <v>1</v>
      </c>
      <c r="AZ70" s="304">
        <f t="shared" ref="AZ70:AZ73" si="88">IFERROR(FIND(VLOOKUP($AC$7,$AD$1:$AE$12,2,FALSE),R70,1),0)</f>
        <v>1</v>
      </c>
    </row>
    <row r="71" spans="1:52" ht="15" customHeight="1">
      <c r="A71" s="725" t="str">
        <f>Kat.!C71</f>
        <v>×</v>
      </c>
      <c r="B71" s="726">
        <f>IF(AND('General price list'!$J71="F4",$AI$1=FALSE),0,IF(AC71="SKLADEM",1,IF(AC71=$V$3,1,0)))</f>
        <v>1</v>
      </c>
      <c r="C71" s="727" t="s">
        <v>3351</v>
      </c>
      <c r="D71" s="728" t="s">
        <v>3352</v>
      </c>
      <c r="E71" s="729" t="s">
        <v>1084</v>
      </c>
      <c r="F71" s="725">
        <f>IFERROR(ROUND(IF($AL$3=2,VLOOKUP(C71,[2]List1!$A:$D,2,FALSE)*1.08,VLOOKUP(C71,[2]List1!$A:$D,2,FALSE)),0),"NEUVEDENO!")</f>
        <v>138</v>
      </c>
      <c r="G71" s="730">
        <f t="shared" si="67"/>
        <v>138</v>
      </c>
      <c r="H71" s="731">
        <f t="shared" si="68"/>
        <v>5.6077272856568152</v>
      </c>
      <c r="I71" s="732">
        <v>60</v>
      </c>
      <c r="J71" s="729" t="s">
        <v>23</v>
      </c>
      <c r="K71" s="729"/>
      <c r="L71" s="729" t="s">
        <v>24</v>
      </c>
      <c r="M71" s="729" t="s">
        <v>25</v>
      </c>
      <c r="N71" s="729">
        <f>IFERROR(VLOOKUP(C71,[3]List1!$A:$D,4,FALSE),"N/A!")</f>
        <v>0.13768649999999999</v>
      </c>
      <c r="O71" s="729">
        <f>IFERROR(VLOOKUP(C71,[3]List1!$A:$D,3,FALSE),"N/A!")</f>
        <v>3240</v>
      </c>
      <c r="P71" s="729">
        <f>IFERROR(VLOOKUP(C71,[3]List1!$A:$D,2,FALSE),"N/A!")</f>
        <v>14500</v>
      </c>
      <c r="Q71" s="729" t="s">
        <v>45</v>
      </c>
      <c r="R71" s="729" t="s">
        <v>24</v>
      </c>
      <c r="S71" s="729"/>
      <c r="T71" s="729"/>
      <c r="U71" s="729"/>
      <c r="V71" s="729"/>
      <c r="W71" s="729" t="str">
        <f>IFERROR(VLOOKUP('General price list'!$C71,Popisy!A:P,MATCH($W$17,Popisy!$A$7:$P$7,0),FALSE),"---------------")</f>
        <v>vylupovací dětský kalendář s 8 okýnky</v>
      </c>
      <c r="X71" s="729" t="str">
        <f t="shared" si="69"/>
        <v/>
      </c>
      <c r="Y71" s="729" t="str">
        <f t="shared" si="70"/>
        <v/>
      </c>
      <c r="Z71" s="729" t="str">
        <f>HYPERLINK("https://www.klasekpyrotechnics.cz/p8dch")</f>
        <v>https://www.klasekpyrotechnics.cz/p8dch</v>
      </c>
      <c r="AA71" s="729">
        <f>IFERROR(IF(VLOOKUP(C71,[4]List1!$A:$D,4,FALSE)=0,"",VLOOKUP(C71,[4]List1!$A:$D,4,FALSE)),"")</f>
        <v>8</v>
      </c>
      <c r="AB71" s="720"/>
      <c r="AC71" s="733" t="str">
        <f>IFERROR(IF(VLOOKUP(C71,[1]List1!$A:$D,2,FALSE)="VYPRODÁNO",$V$9,IF(VLOOKUP(C71,[1]List1!$A:$D,2,FALSE)="DOCHÁZÍ",$V$3,VLOOKUP(C71,[1]List1!$A:$D,2,FALSE))),"OFFLINE!")</f>
        <v>DOCHÁZÍ</v>
      </c>
      <c r="AD71" s="734" t="str">
        <f ca="1">IF(AP71="NE",$V$10,IF(AC71=$V$3,IF(AQ71&lt;1,$V$8,$V$2&amp;" "&amp;AQ71&amp;" "&amp;$V$1),IF(AC71="SKLADEM",$V$6,IFERROR(IF(OR(AC71-TODAY()&gt;45,VLOOKUP(C71,[1]List1!$A:$E,4,FALSE)=0),AC71,DAY(AC71)&amp;"."&amp;MONTH(AC71)&amp;"."&amp;YEAR(AC71)&amp;" "&amp;$V$4&amp;VLOOKUP(C71,[1]List1!$A:$E,4,FALSE)&amp;" "&amp;$V$1),AC71))))</f>
        <v>POSLEDNÍCH 20 VK</v>
      </c>
      <c r="AE71" s="729" t="str">
        <f t="shared" ca="1" si="71"/>
        <v>POSLEDNÍCH 20 VK</v>
      </c>
      <c r="AF71" s="735">
        <f t="shared" si="72"/>
        <v>0</v>
      </c>
      <c r="AG71" s="735">
        <f t="shared" si="73"/>
        <v>0</v>
      </c>
      <c r="AH71" s="736">
        <f t="shared" si="74"/>
        <v>0</v>
      </c>
      <c r="AI71" s="729">
        <f t="shared" si="75"/>
        <v>0</v>
      </c>
      <c r="AJ71" s="729">
        <f t="shared" si="76"/>
        <v>0</v>
      </c>
      <c r="AK71" s="729" t="str">
        <f t="shared" si="77"/>
        <v/>
      </c>
      <c r="AL71" s="729" t="str">
        <f t="shared" si="78"/>
        <v/>
      </c>
      <c r="AM71" s="729">
        <f t="shared" si="79"/>
        <v>0</v>
      </c>
      <c r="AN71" s="729">
        <f t="shared" si="80"/>
        <v>0</v>
      </c>
      <c r="AO71" s="380"/>
      <c r="AP71" s="322" t="str">
        <f t="shared" si="81"/>
        <v/>
      </c>
      <c r="AQ71" s="304">
        <f>IF(AC71=$V$3,IF(VLOOKUP(C71,[1]List1!$A:$E,5,FALSE)=0,1,VLOOKUP(C71,[1]List1!$A:$E,5,FALSE)),"")</f>
        <v>20</v>
      </c>
      <c r="AR71" s="304" t="str">
        <f t="shared" si="82"/>
        <v/>
      </c>
      <c r="AS71" s="423" t="str">
        <f t="shared" si="83"/>
        <v/>
      </c>
      <c r="AT71" s="304" t="str">
        <f t="shared" si="84"/>
        <v/>
      </c>
      <c r="AU71" s="342" t="e">
        <f t="shared" si="85"/>
        <v>#N/A</v>
      </c>
      <c r="AV71" s="304" t="e">
        <f t="shared" si="86"/>
        <v>#N/A</v>
      </c>
      <c r="AX71" s="304">
        <f>IF(AND('General price list'!$J71="F4",'General price list'!$AB71+0&gt;0),1,0)</f>
        <v>0</v>
      </c>
      <c r="AY71" s="304">
        <f t="shared" si="87"/>
        <v>1</v>
      </c>
      <c r="AZ71" s="304">
        <f t="shared" si="88"/>
        <v>0</v>
      </c>
    </row>
    <row r="72" spans="1:52" ht="15" customHeight="1">
      <c r="A72" s="712" t="str">
        <f>Kat.!C72</f>
        <v/>
      </c>
      <c r="B72" s="737">
        <f>IF(AND('General price list'!$J72="F4",$AI$1=FALSE),0,IF(AC72="SKLADEM",1,IF(AC72=$V$3,1,0)))</f>
        <v>1</v>
      </c>
      <c r="C72" s="714" t="s">
        <v>144</v>
      </c>
      <c r="D72" s="715" t="s">
        <v>145</v>
      </c>
      <c r="E72" s="716" t="s">
        <v>146</v>
      </c>
      <c r="F72" s="712">
        <f>IFERROR(ROUND(IF($AL$3=2,VLOOKUP(C72,[2]List1!$A:$D,2,FALSE)*1.08,VLOOKUP(C72,[2]List1!$A:$D,2,FALSE)),0),"NEUVEDENO!")</f>
        <v>440</v>
      </c>
      <c r="G72" s="717">
        <f t="shared" si="67"/>
        <v>440</v>
      </c>
      <c r="H72" s="718">
        <f t="shared" si="68"/>
        <v>17.879710186152167</v>
      </c>
      <c r="I72" s="738">
        <v>20</v>
      </c>
      <c r="J72" s="716" t="s">
        <v>46</v>
      </c>
      <c r="K72" s="716"/>
      <c r="L72" s="716" t="s">
        <v>24</v>
      </c>
      <c r="M72" s="716" t="s">
        <v>25</v>
      </c>
      <c r="N72" s="716">
        <f>IFERROR(VLOOKUP(C72,[3]List1!$A:$D,4,FALSE),"N/A!")</f>
        <v>8.5176000000000002E-2</v>
      </c>
      <c r="O72" s="716">
        <f>IFERROR(VLOOKUP(C72,[3]List1!$A:$D,3,FALSE),"N/A!")</f>
        <v>4640</v>
      </c>
      <c r="P72" s="716">
        <f>IFERROR(VLOOKUP(C72,[3]List1!$A:$D,2,FALSE),"N/A!")</f>
        <v>15500</v>
      </c>
      <c r="Q72" s="716" t="s">
        <v>14308</v>
      </c>
      <c r="R72" s="716" t="s">
        <v>18</v>
      </c>
      <c r="S72" s="716"/>
      <c r="T72" s="716"/>
      <c r="U72" s="716"/>
      <c r="V72" s="716"/>
      <c r="W72" s="716" t="str">
        <f>IFERROR(VLOOKUP('General price list'!$C72,Popisy!A:P,MATCH($W$17,Popisy!$A$7:$P$7,0),FALSE),"---------------")</f>
        <v>sada obsahuje: 4 rakety,DP1BP-2x,DP1B-1x,S12S-1x,P1-1x,BK1B-1x,DP1R-1x,DP1VC-1x,DP1CB-1x,K01M-1x,R4420B- 2x</v>
      </c>
      <c r="X72" s="716" t="str">
        <f t="shared" si="69"/>
        <v/>
      </c>
      <c r="Y72" s="716" t="str">
        <f t="shared" si="70"/>
        <v/>
      </c>
      <c r="Z72" s="716" t="str">
        <f>HYPERLINK("https://www.klasekpyrotechnics.cz/rb1")</f>
        <v>https://www.klasekpyrotechnics.cz/rb1</v>
      </c>
      <c r="AA72" s="716" t="str">
        <f>IFERROR(IF(VLOOKUP(C72,[4]List1!$A:$D,4,FALSE)=0,"",VLOOKUP(C72,[4]List1!$A:$D,4,FALSE)),"")</f>
        <v>16</v>
      </c>
      <c r="AB72" s="720"/>
      <c r="AC72" s="739" t="str">
        <f>IFERROR(IF(VLOOKUP(C72,[1]List1!$A:$D,2,FALSE)="VYPRODÁNO",$V$9,IF(VLOOKUP(C72,[1]List1!$A:$D,2,FALSE)="DOCHÁZÍ",$V$3,VLOOKUP(C72,[1]List1!$A:$D,2,FALSE))),"OFFLINE!")</f>
        <v>SKLADEM</v>
      </c>
      <c r="AD72" s="740" t="str">
        <f ca="1">IF(AP72="NE",$V$10,IF(AC72=$V$3,IF(AQ72&lt;1,$V$8,$V$2&amp;" "&amp;AQ72&amp;" "&amp;$V$1),IF(AC72="SKLADEM",$V$6,IFERROR(IF(OR(AC72-TODAY()&gt;45,VLOOKUP(C72,[1]List1!$A:$E,4,FALSE)=0),AC72,DAY(AC72)&amp;"."&amp;MONTH(AC72)&amp;"."&amp;YEAR(AC72)&amp;" "&amp;$V$4&amp;VLOOKUP(C72,[1]List1!$A:$E,4,FALSE)&amp;" "&amp;$V$1),AC72))))</f>
        <v>SKLADEM</v>
      </c>
      <c r="AE72" s="716" t="str">
        <f t="shared" ca="1" si="71"/>
        <v>SKLADEM</v>
      </c>
      <c r="AF72" s="723">
        <f t="shared" si="72"/>
        <v>0</v>
      </c>
      <c r="AG72" s="723">
        <f t="shared" si="73"/>
        <v>0</v>
      </c>
      <c r="AH72" s="724">
        <f t="shared" si="74"/>
        <v>0</v>
      </c>
      <c r="AI72" s="716">
        <f t="shared" si="75"/>
        <v>0</v>
      </c>
      <c r="AJ72" s="716">
        <f t="shared" si="76"/>
        <v>0</v>
      </c>
      <c r="AK72" s="716" t="str">
        <f t="shared" si="77"/>
        <v/>
      </c>
      <c r="AL72" s="716" t="str">
        <f t="shared" si="78"/>
        <v/>
      </c>
      <c r="AM72" s="716">
        <f t="shared" si="79"/>
        <v>0</v>
      </c>
      <c r="AN72" s="716">
        <f t="shared" si="80"/>
        <v>0</v>
      </c>
      <c r="AO72" s="380"/>
      <c r="AP72" s="471" t="str">
        <f t="shared" si="81"/>
        <v/>
      </c>
      <c r="AQ72" s="471" t="str">
        <f>IF(AC72=$V$3,IF(VLOOKUP(C72,[1]List1!$A:$E,5,FALSE)=0,1,VLOOKUP(C72,[1]List1!$A:$E,5,FALSE)),"")</f>
        <v/>
      </c>
      <c r="AR72" s="471" t="str">
        <f t="shared" si="82"/>
        <v/>
      </c>
      <c r="AS72" s="471" t="str">
        <f t="shared" si="83"/>
        <v/>
      </c>
      <c r="AT72" s="471" t="str">
        <f t="shared" si="84"/>
        <v/>
      </c>
      <c r="AU72" s="471" t="e">
        <f t="shared" si="85"/>
        <v>#N/A</v>
      </c>
      <c r="AV72" s="471" t="e">
        <f t="shared" si="86"/>
        <v>#N/A</v>
      </c>
      <c r="AW72" s="471"/>
      <c r="AX72" s="471">
        <f>IF(AND('General price list'!$J72="F4",'General price list'!$AB72+0&gt;0),1,0)</f>
        <v>0</v>
      </c>
      <c r="AY72" s="471">
        <f t="shared" si="87"/>
        <v>1</v>
      </c>
      <c r="AZ72" s="471">
        <f t="shared" si="88"/>
        <v>1</v>
      </c>
    </row>
    <row r="73" spans="1:52" ht="15" customHeight="1">
      <c r="A73" s="725" t="str">
        <f>Kat.!C73</f>
        <v/>
      </c>
      <c r="B73" s="726">
        <f>IF(AND('General price list'!$J73="F4",$AI$1=FALSE),0,IF(AC73="SKLADEM",1,IF(AC73=$V$3,1,0)))</f>
        <v>1</v>
      </c>
      <c r="C73" s="727" t="s">
        <v>2482</v>
      </c>
      <c r="D73" s="728" t="s">
        <v>2483</v>
      </c>
      <c r="E73" s="729" t="s">
        <v>146</v>
      </c>
      <c r="F73" s="725">
        <f>IFERROR(ROUND(IF($AL$3=2,VLOOKUP(C73,[2]List1!$A:$D,2,FALSE)*1.08,VLOOKUP(C73,[2]List1!$A:$D,2,FALSE)),0),"NEUVEDENO!")</f>
        <v>122</v>
      </c>
      <c r="G73" s="730">
        <f t="shared" si="67"/>
        <v>122</v>
      </c>
      <c r="H73" s="731">
        <f t="shared" si="68"/>
        <v>4.957556006160373</v>
      </c>
      <c r="I73" s="732">
        <v>20</v>
      </c>
      <c r="J73" s="729" t="s">
        <v>46</v>
      </c>
      <c r="K73" s="729"/>
      <c r="L73" s="729" t="s">
        <v>24</v>
      </c>
      <c r="M73" s="729" t="s">
        <v>25</v>
      </c>
      <c r="N73" s="729">
        <f>IFERROR(VLOOKUP(C73,[3]List1!$A:$D,4,FALSE),"N/A!")</f>
        <v>2.9497499999999999E-2</v>
      </c>
      <c r="O73" s="729">
        <f>IFERROR(VLOOKUP(C73,[3]List1!$A:$D,3,FALSE),"N/A!")</f>
        <v>1250</v>
      </c>
      <c r="P73" s="729">
        <f>IFERROR(VLOOKUP(C73,[3]List1!$A:$D,2,FALSE),"N/A!")</f>
        <v>5000</v>
      </c>
      <c r="Q73" s="729" t="s">
        <v>14089</v>
      </c>
      <c r="R73" s="729" t="s">
        <v>18</v>
      </c>
      <c r="S73" s="729"/>
      <c r="T73" s="729"/>
      <c r="U73" s="729"/>
      <c r="V73" s="729"/>
      <c r="W73" s="729" t="str">
        <f>IFERROR(VLOOKUP('General price list'!$C73,Popisy!A:P,MATCH($W$17,Popisy!$A$7:$P$7,0),FALSE),"---------------")</f>
        <v>sada obsahuje:1 balení-VP16A,DP1VC, LM2V 1ks, R4420B 2ks, R12T1 4ks</v>
      </c>
      <c r="X73" s="729" t="str">
        <f t="shared" si="69"/>
        <v/>
      </c>
      <c r="Y73" s="729" t="str">
        <f t="shared" si="70"/>
        <v/>
      </c>
      <c r="Z73" s="729" t="str">
        <f>HYPERLINK("https://www.klasekpyrotechnics.cz/fps1")</f>
        <v>https://www.klasekpyrotechnics.cz/fps1</v>
      </c>
      <c r="AA73" s="729" t="str">
        <f>IFERROR(IF(VLOOKUP(C73,[4]List1!$A:$D,4,FALSE)=0,"",VLOOKUP(C73,[4]List1!$A:$D,4,FALSE)),"")</f>
        <v>28</v>
      </c>
      <c r="AB73" s="720"/>
      <c r="AC73" s="733" t="str">
        <f>IFERROR(IF(VLOOKUP(C73,[1]List1!$A:$D,2,FALSE)="VYPRODÁNO",$V$9,IF(VLOOKUP(C73,[1]List1!$A:$D,2,FALSE)="DOCHÁZÍ",$V$3,VLOOKUP(C73,[1]List1!$A:$D,2,FALSE))),"OFFLINE!")</f>
        <v>SKLADEM</v>
      </c>
      <c r="AD73" s="734" t="str">
        <f ca="1">IF(AP73="NE",$V$10,IF(AC73=$V$3,IF(AQ73&lt;1,$V$8,$V$2&amp;" "&amp;AQ73&amp;" "&amp;$V$1),IF(AC73="SKLADEM",$V$6,IFERROR(IF(OR(AC73-TODAY()&gt;45,VLOOKUP(C73,[1]List1!$A:$E,4,FALSE)=0),AC73,DAY(AC73)&amp;"."&amp;MONTH(AC73)&amp;"."&amp;YEAR(AC73)&amp;" "&amp;$V$4&amp;VLOOKUP(C73,[1]List1!$A:$E,4,FALSE)&amp;" "&amp;$V$1),AC73))))</f>
        <v>SKLADEM</v>
      </c>
      <c r="AE73" s="729" t="str">
        <f t="shared" ca="1" si="71"/>
        <v>SKLADEM</v>
      </c>
      <c r="AF73" s="735">
        <f t="shared" si="72"/>
        <v>0</v>
      </c>
      <c r="AG73" s="735">
        <f t="shared" si="73"/>
        <v>0</v>
      </c>
      <c r="AH73" s="736">
        <f t="shared" si="74"/>
        <v>0</v>
      </c>
      <c r="AI73" s="729">
        <f t="shared" si="75"/>
        <v>0</v>
      </c>
      <c r="AJ73" s="729">
        <f t="shared" si="76"/>
        <v>0</v>
      </c>
      <c r="AK73" s="729" t="str">
        <f t="shared" si="77"/>
        <v/>
      </c>
      <c r="AL73" s="729" t="str">
        <f t="shared" si="78"/>
        <v/>
      </c>
      <c r="AM73" s="729">
        <f t="shared" si="79"/>
        <v>0</v>
      </c>
      <c r="AN73" s="729">
        <f t="shared" si="80"/>
        <v>0</v>
      </c>
      <c r="AO73" s="380"/>
      <c r="AP73" s="322" t="str">
        <f t="shared" si="81"/>
        <v/>
      </c>
      <c r="AQ73" s="323" t="str">
        <f>IF(AC73=$V$3,IF(VLOOKUP(C73,[1]List1!$A:$E,5,FALSE)=0,1,VLOOKUP(C73,[1]List1!$A:$E,5,FALSE)),"")</f>
        <v/>
      </c>
      <c r="AR73" s="304" t="str">
        <f t="shared" si="82"/>
        <v/>
      </c>
      <c r="AS73" s="423" t="str">
        <f t="shared" si="83"/>
        <v/>
      </c>
      <c r="AT73" s="304" t="str">
        <f t="shared" si="84"/>
        <v/>
      </c>
      <c r="AU73" s="342" t="e">
        <f t="shared" si="85"/>
        <v>#N/A</v>
      </c>
      <c r="AV73" s="304" t="e">
        <f t="shared" si="86"/>
        <v>#N/A</v>
      </c>
      <c r="AX73" s="304">
        <f>IF(AND('General price list'!$J73="F4",'General price list'!$AB73+0&gt;0),1,0)</f>
        <v>0</v>
      </c>
      <c r="AY73" s="304">
        <f t="shared" si="87"/>
        <v>1</v>
      </c>
      <c r="AZ73" s="304">
        <f t="shared" si="88"/>
        <v>1</v>
      </c>
    </row>
    <row r="74" spans="1:52" ht="15" customHeight="1">
      <c r="A74" s="773" t="str">
        <f>Kat.!C74</f>
        <v xml:space="preserve">                                                               Prskavky exclusive</v>
      </c>
      <c r="B74" s="774"/>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t="str">
        <f>IFERROR(IF(VLOOKUP(C74,[4]List1!$A:$D,4,FALSE)=0,"",VLOOKUP(C74,[4]List1!$A:$D,4,FALSE)),"")</f>
        <v/>
      </c>
      <c r="AB74" s="774"/>
      <c r="AC74" s="775" t="str">
        <f>IFERROR(IF(VLOOKUP(C74,[1]List1!$A:$D,2,FALSE)="VYPRODÁNO",$V$9,IF(VLOOKUP(C74,[1]List1!$A:$D,2,FALSE)="DOCHÁZÍ",$V$3,VLOOKUP(C74,[1]List1!$A:$D,2,FALSE))),"OFFLINE!")</f>
        <v>OFFLINE!</v>
      </c>
      <c r="AD74" s="774"/>
      <c r="AE74" s="774"/>
      <c r="AF74" s="774"/>
      <c r="AG74" s="774"/>
      <c r="AH74" s="774"/>
      <c r="AI74" s="774"/>
      <c r="AJ74" s="774"/>
      <c r="AK74" s="774"/>
      <c r="AL74" s="774"/>
      <c r="AM74" s="774"/>
      <c r="AN74" s="774"/>
      <c r="AO74" s="380"/>
      <c r="AP74" s="322" t="str">
        <f t="shared" si="19"/>
        <v/>
      </c>
      <c r="AQ74" s="323" t="str">
        <f>IF(AC74=$V$3,IF(VLOOKUP(C74,[1]List1!$A:$E,5,FALSE)=0,1,VLOOKUP(C74,[1]List1!$A:$E,5,FALSE)),"")</f>
        <v/>
      </c>
      <c r="AR74" s="304" t="str">
        <f t="shared" si="20"/>
        <v/>
      </c>
      <c r="AS74" s="423" t="str">
        <f t="shared" si="21"/>
        <v/>
      </c>
      <c r="AT74" s="304" t="str">
        <f t="shared" si="22"/>
        <v/>
      </c>
      <c r="AU74" s="342" t="e">
        <f t="shared" si="23"/>
        <v>#N/A</v>
      </c>
      <c r="AV74" s="304" t="e">
        <f t="shared" si="24"/>
        <v>#N/A</v>
      </c>
      <c r="AX74" s="304">
        <f>IF(AND('General price list'!$J74="F4",'General price list'!$AB74+0&gt;0),1,0)</f>
        <v>0</v>
      </c>
      <c r="AY74" s="304">
        <f t="shared" si="25"/>
        <v>0</v>
      </c>
      <c r="AZ74" s="304">
        <f t="shared" si="26"/>
        <v>0</v>
      </c>
    </row>
    <row r="75" spans="1:52" ht="15" customHeight="1">
      <c r="A75" s="725" t="str">
        <f>Kat.!C75</f>
        <v/>
      </c>
      <c r="B75" s="741">
        <f>IF(AND('General price list'!$J75="F4",$AI$1=FALSE),0,IF(AC75="SKLADEM",1,IF(AC75=$V$3,1,0)))</f>
        <v>1</v>
      </c>
      <c r="C75" s="727" t="s">
        <v>151</v>
      </c>
      <c r="D75" s="728" t="s">
        <v>152</v>
      </c>
      <c r="E75" s="729" t="s">
        <v>153</v>
      </c>
      <c r="F75" s="725">
        <f>IFERROR(ROUND(IF($AL$3=2,VLOOKUP(C75,[2]List1!$A:$D,2,FALSE)*1.08,VLOOKUP(C75,[2]List1!$A:$D,2,FALSE)),0),"NEUVEDENO!")</f>
        <v>53</v>
      </c>
      <c r="G75" s="730">
        <f t="shared" ref="G75:G77" si="89">(F75)*$B$19</f>
        <v>53</v>
      </c>
      <c r="H75" s="731">
        <f t="shared" ref="H75:H77" si="90">G75/$F$19</f>
        <v>2.1536923633319653</v>
      </c>
      <c r="I75" s="742">
        <v>72</v>
      </c>
      <c r="J75" s="729" t="s">
        <v>46</v>
      </c>
      <c r="K75" s="729"/>
      <c r="L75" s="729" t="s">
        <v>14359</v>
      </c>
      <c r="M75" s="729" t="s">
        <v>25</v>
      </c>
      <c r="N75" s="729">
        <f>IFERROR(VLOOKUP(C75,[3]List1!$A:$D,4,FALSE),"N/A!")</f>
        <v>2.0625000000000001E-2</v>
      </c>
      <c r="O75" s="729">
        <f>IFERROR(VLOOKUP(C75,[3]List1!$A:$D,3,FALSE),"N/A!")</f>
        <v>6336</v>
      </c>
      <c r="P75" s="729">
        <f>IFERROR(VLOOKUP(C75,[3]List1!$A:$D,2,FALSE),"N/A!")</f>
        <v>19800</v>
      </c>
      <c r="Q75" s="729" t="s">
        <v>160</v>
      </c>
      <c r="R75" s="729" t="s">
        <v>24</v>
      </c>
      <c r="S75" s="729"/>
      <c r="T75" s="729">
        <v>210</v>
      </c>
      <c r="U75" s="729"/>
      <c r="V75" s="729"/>
      <c r="W75" s="729" t="str">
        <f>IFERROR(VLOOKUP('General price list'!$C75,Popisy!A:P,MATCH($W$17,Popisy!$A$7:$P$7,0),FALSE),"---------------")</f>
        <v>zlaté prskavky,  délka 70cm, délka prskací hmoty 55cm, průměr prskací hmoty 4,5mm</v>
      </c>
      <c r="X75" s="729" t="str">
        <f t="shared" ref="X75:X77" si="91">IF(AB75&lt;0.0001,"",AB75)</f>
        <v/>
      </c>
      <c r="Y75" s="729" t="str">
        <f t="shared" ref="Y75:Y77" si="92">IF($AL$3=2,IF(OR(AB75&lt;&gt;"",AB75&lt;&gt;0),AU75,""),IF(C75="","",IF(AB75&lt;0.0001,"",IF(B75=0,"",IF(AQ75&lt;AB75,"",AB75)))))</f>
        <v/>
      </c>
      <c r="Z75" s="729" t="str">
        <f>HYPERLINK("https://www.klasekpyrotechnics.cz/vp70e")</f>
        <v>https://www.klasekpyrotechnics.cz/vp70e</v>
      </c>
      <c r="AA75" s="729" t="str">
        <f>IFERROR(IF(VLOOKUP(C75,[4]List1!$A:$D,4,FALSE)=0,"",VLOOKUP(C75,[4]List1!$A:$D,4,FALSE)),"")</f>
        <v>38</v>
      </c>
      <c r="AB75" s="720"/>
      <c r="AC75" s="743" t="str">
        <f>IFERROR(IF(VLOOKUP(C75,[1]List1!$A:$D,2,FALSE)="VYPRODÁNO",$V$9,IF(VLOOKUP(C75,[1]List1!$A:$D,2,FALSE)="DOCHÁZÍ",$V$3,VLOOKUP(C75,[1]List1!$A:$D,2,FALSE))),"OFFLINE!")</f>
        <v>SKLADEM</v>
      </c>
      <c r="AD75" s="744" t="str">
        <f ca="1">IF(AP75="NE",$V$10,IF(AC75=$V$3,IF(AQ75&lt;1,$V$8,$V$2&amp;" "&amp;AQ75&amp;" "&amp;$V$1),IF(AC75="SKLADEM",$V$6,IFERROR(IF(OR(AC75-TODAY()&gt;45,VLOOKUP(C75,[1]List1!$A:$E,4,FALSE)=0),AC75,DAY(AC75)&amp;"."&amp;MONTH(AC75)&amp;"."&amp;YEAR(AC75)&amp;" "&amp;$V$4&amp;VLOOKUP(C75,[1]List1!$A:$E,4,FALSE)&amp;" "&amp;$V$1),AC75))))</f>
        <v>SKLADEM</v>
      </c>
      <c r="AE75" s="729" t="str">
        <f t="shared" ref="AE75:AE77" ca="1" si="93">IFERROR(IF(AV75&lt;&gt;"",AV75,AD75),AD75)</f>
        <v>SKLADEM</v>
      </c>
      <c r="AF75" s="735">
        <f t="shared" ref="AF75:AF77" si="94">IFERROR(IF(AB75=Y75,G75*I75*Y75,0),0)</f>
        <v>0</v>
      </c>
      <c r="AG75" s="735">
        <f t="shared" ref="AG75:AG77" si="95">IF($W$17=$AF$8,AH75*1.23,AF75*1.21)</f>
        <v>0</v>
      </c>
      <c r="AH75" s="736">
        <f t="shared" ref="AH75:AH77" si="96">IFERROR(IF(Y75=AB75,H75*I75*Y75,0),0)</f>
        <v>0</v>
      </c>
      <c r="AI75" s="729">
        <f t="shared" ref="AI75:AI77" si="97">IFERROR(IF(Y75=AB75,(P75*Y75)/1000,1),0)</f>
        <v>0</v>
      </c>
      <c r="AJ75" s="729">
        <f t="shared" ref="AJ75:AJ77" si="98">IFERROR(IF(Y75=AB75,N75*Y75,0.1),0)</f>
        <v>0</v>
      </c>
      <c r="AK75" s="729" t="str">
        <f t="shared" ref="AK75:AK77" si="99">IFERROR(IF(Y75=AB75,IF(M75="1.1G",(O75/1000)*Y75,""),""),0)</f>
        <v/>
      </c>
      <c r="AL75" s="729" t="str">
        <f t="shared" ref="AL75:AL77" si="100">IFERROR(IF(Y75=AB75,IF(M75="1.3G",(O75/1000)*AB75,""),""),0)</f>
        <v/>
      </c>
      <c r="AM75" s="729">
        <f t="shared" ref="AM75:AM77" si="101">IFERROR(IF(Y75=AB75,IF(M75="1.4G",(O75/1000)*AB75,""),""),0)</f>
        <v>0</v>
      </c>
      <c r="AN75" s="729">
        <f t="shared" ref="AN75:AN77" si="102">SUM(AK75:AM75)</f>
        <v>0</v>
      </c>
      <c r="AO75" s="380"/>
      <c r="AP75" s="322" t="str">
        <f t="shared" ref="AP75:AP77" si="103">IF($AL$3=1,IF(Y75=AB75,"","NE"),IF(AR75=$V$10,"NE",""))</f>
        <v/>
      </c>
      <c r="AQ75" s="323" t="str">
        <f>IF(AC75=$V$3,IF(VLOOKUP(C75,[1]List1!$A:$E,5,FALSE)=0,1,VLOOKUP(C75,[1]List1!$A:$E,5,FALSE)),"")</f>
        <v/>
      </c>
      <c r="AR75" s="304" t="str">
        <f t="shared" ref="AR75:AR77" si="104">IF($AL$3=1,"",IF(OR(AB75&lt;&gt;"",AB75&lt;&gt;0),IF(OR(AC75=$V$6,AC75=$V$3,AC75=$V$9),$V$10,""),""))</f>
        <v/>
      </c>
      <c r="AS75" s="423" t="str">
        <f t="shared" ref="AS75:AS77" si="105">IF(AT75&lt;&gt;"","X","")</f>
        <v/>
      </c>
      <c r="AT75" s="304" t="str">
        <f t="shared" ref="AT75:AT77" si="106">IF(AND($AL$3=2,AR75="",AB75&lt;&gt;""),AD75,"")</f>
        <v/>
      </c>
      <c r="AU75" s="342" t="e">
        <f t="shared" ref="AU75:AU77" si="107">IF(AT75=$AS$21,AB75,"")</f>
        <v>#N/A</v>
      </c>
      <c r="AV75" s="304" t="e">
        <f t="shared" ref="AV75:AV77" si="108">IF(OR(AB75="",AND(AT75&lt;&gt;"",AU75&lt;&gt;"")),"",$V$10)</f>
        <v>#N/A</v>
      </c>
      <c r="AX75" s="304">
        <f>IF(AND('General price list'!$J75="F4",'General price list'!$AB75+0&gt;0),1,0)</f>
        <v>0</v>
      </c>
      <c r="AY75" s="304">
        <f t="shared" ref="AY75:AY77" si="109">IFERROR(FIND(VLOOKUP($AC$7,$AD$1:$AE$12,2,FALSE),Q75,1),0)</f>
        <v>1</v>
      </c>
      <c r="AZ75" s="304">
        <f t="shared" ref="AZ75:AZ77" si="110">IFERROR(FIND(VLOOKUP($AC$7,$AD$1:$AE$12,2,FALSE),R75,1),0)</f>
        <v>0</v>
      </c>
    </row>
    <row r="76" spans="1:52" ht="15" customHeight="1">
      <c r="A76" s="712" t="str">
        <f>Kat.!C76</f>
        <v/>
      </c>
      <c r="B76" s="745">
        <f>IF(AND('General price list'!$J76="F4",$AI$1=FALSE),0,IF(AC76="SKLADEM",1,IF(AC76=$V$3,1,0)))</f>
        <v>1</v>
      </c>
      <c r="C76" s="714" t="s">
        <v>156</v>
      </c>
      <c r="D76" s="715" t="s">
        <v>157</v>
      </c>
      <c r="E76" s="716" t="s">
        <v>158</v>
      </c>
      <c r="F76" s="712">
        <f>IFERROR(ROUND(IF($AL$3=2,VLOOKUP(C76,[2]List1!$A:$D,2,FALSE)*1.08,VLOOKUP(C76,[2]List1!$A:$D,2,FALSE)),0),"NEUVEDENO!")</f>
        <v>280</v>
      </c>
      <c r="G76" s="717">
        <f t="shared" si="89"/>
        <v>280</v>
      </c>
      <c r="H76" s="718">
        <f t="shared" si="90"/>
        <v>11.377997391187742</v>
      </c>
      <c r="I76" s="746">
        <v>10</v>
      </c>
      <c r="J76" s="716" t="s">
        <v>23</v>
      </c>
      <c r="K76" s="716"/>
      <c r="L76" s="716" t="s">
        <v>14360</v>
      </c>
      <c r="M76" s="716" t="s">
        <v>25</v>
      </c>
      <c r="N76" s="716">
        <f>IFERROR(VLOOKUP(C76,[3]List1!$A:$D,4,FALSE),"N/A!")</f>
        <v>2.5137422999999999E-2</v>
      </c>
      <c r="O76" s="716">
        <f>IFERROR(VLOOKUP(C76,[3]List1!$A:$D,3,FALSE),"N/A!")</f>
        <v>5437</v>
      </c>
      <c r="P76" s="716">
        <f>IFERROR(VLOOKUP(C76,[3]List1!$A:$D,2,FALSE),"N/A!")</f>
        <v>10300</v>
      </c>
      <c r="Q76" s="716" t="s">
        <v>159</v>
      </c>
      <c r="R76" s="716" t="s">
        <v>160</v>
      </c>
      <c r="S76" s="716"/>
      <c r="T76" s="716">
        <v>110</v>
      </c>
      <c r="U76" s="716"/>
      <c r="V76" s="716"/>
      <c r="W76" s="716" t="str">
        <f>IFERROR(VLOOKUP('General price list'!$C76,Popisy!A:P,MATCH($W$17,Popisy!$A$7:$P$7,0),FALSE),"---------------")</f>
        <v>zlaté prskavky,  délka 40cm, délka prskací hmoty 32,5cm, průměr prskací hmoty 3,7mm</v>
      </c>
      <c r="X76" s="716" t="str">
        <f t="shared" si="91"/>
        <v/>
      </c>
      <c r="Y76" s="716" t="str">
        <f t="shared" si="92"/>
        <v/>
      </c>
      <c r="Z76" s="716" t="str">
        <f>HYPERLINK("https://www.klasekpyrotechnics.cz/vp40e")</f>
        <v>https://www.klasekpyrotechnics.cz/vp40e</v>
      </c>
      <c r="AA76" s="716">
        <f>IFERROR(IF(VLOOKUP(C76,[4]List1!$A:$D,4,FALSE)=0,"",VLOOKUP(C76,[4]List1!$A:$D,4,FALSE)),"")</f>
        <v>60</v>
      </c>
      <c r="AB76" s="720"/>
      <c r="AC76" s="747" t="str">
        <f>IFERROR(IF(VLOOKUP(C76,[1]List1!$A:$D,2,FALSE)="VYPRODÁNO",$V$9,IF(VLOOKUP(C76,[1]List1!$A:$D,2,FALSE)="DOCHÁZÍ",$V$3,VLOOKUP(C76,[1]List1!$A:$D,2,FALSE))),"OFFLINE!")</f>
        <v>SKLADEM</v>
      </c>
      <c r="AD76" s="748" t="str">
        <f ca="1">IF(AP76="NE",$V$10,IF(AC76=$V$3,IF(AQ76&lt;1,$V$8,$V$2&amp;" "&amp;AQ76&amp;" "&amp;$V$1),IF(AC76="SKLADEM",$V$6,IFERROR(IF(OR(AC76-TODAY()&gt;45,VLOOKUP(C76,[1]List1!$A:$E,4,FALSE)=0),AC76,DAY(AC76)&amp;"."&amp;MONTH(AC76)&amp;"."&amp;YEAR(AC76)&amp;" "&amp;$V$4&amp;VLOOKUP(C76,[1]List1!$A:$E,4,FALSE)&amp;" "&amp;$V$1),AC76))))</f>
        <v>SKLADEM</v>
      </c>
      <c r="AE76" s="716" t="str">
        <f t="shared" ca="1" si="93"/>
        <v>SKLADEM</v>
      </c>
      <c r="AF76" s="723">
        <f t="shared" si="94"/>
        <v>0</v>
      </c>
      <c r="AG76" s="723">
        <f t="shared" si="95"/>
        <v>0</v>
      </c>
      <c r="AH76" s="724">
        <f t="shared" si="96"/>
        <v>0</v>
      </c>
      <c r="AI76" s="716">
        <f t="shared" si="97"/>
        <v>0</v>
      </c>
      <c r="AJ76" s="716">
        <f t="shared" si="98"/>
        <v>0</v>
      </c>
      <c r="AK76" s="716" t="str">
        <f t="shared" si="99"/>
        <v/>
      </c>
      <c r="AL76" s="716" t="str">
        <f t="shared" si="100"/>
        <v/>
      </c>
      <c r="AM76" s="716">
        <f t="shared" si="101"/>
        <v>0</v>
      </c>
      <c r="AN76" s="716">
        <f t="shared" si="102"/>
        <v>0</v>
      </c>
      <c r="AO76" s="380"/>
      <c r="AP76" s="322" t="str">
        <f t="shared" si="103"/>
        <v/>
      </c>
      <c r="AQ76" s="323" t="str">
        <f>IF(AC76=$V$3,IF(VLOOKUP(C76,[1]List1!$A:$E,5,FALSE)=0,1,VLOOKUP(C76,[1]List1!$A:$E,5,FALSE)),"")</f>
        <v/>
      </c>
      <c r="AR76" s="304" t="str">
        <f t="shared" si="104"/>
        <v/>
      </c>
      <c r="AS76" s="423" t="str">
        <f t="shared" si="105"/>
        <v/>
      </c>
      <c r="AT76" s="304" t="str">
        <f t="shared" si="106"/>
        <v/>
      </c>
      <c r="AU76" s="342" t="e">
        <f t="shared" si="107"/>
        <v>#N/A</v>
      </c>
      <c r="AV76" s="304" t="e">
        <f t="shared" si="108"/>
        <v>#N/A</v>
      </c>
      <c r="AX76" s="304">
        <f>IF(AND('General price list'!$J76="F4",'General price list'!$AB76+0&gt;0),1,0)</f>
        <v>0</v>
      </c>
      <c r="AY76" s="304">
        <f t="shared" si="109"/>
        <v>1</v>
      </c>
      <c r="AZ76" s="304">
        <f t="shared" si="110"/>
        <v>1</v>
      </c>
    </row>
    <row r="77" spans="1:52" ht="15" customHeight="1">
      <c r="A77" s="725" t="str">
        <f>Kat.!C77</f>
        <v/>
      </c>
      <c r="B77" s="749">
        <f>IF(AND('General price list'!$J77="F4",$AI$1=FALSE),0,IF(AC77="SKLADEM",1,IF(AC77=$V$3,1,0)))</f>
        <v>1</v>
      </c>
      <c r="C77" s="727" t="s">
        <v>164</v>
      </c>
      <c r="D77" s="728" t="s">
        <v>165</v>
      </c>
      <c r="E77" s="729" t="s">
        <v>112</v>
      </c>
      <c r="F77" s="725">
        <f>IFERROR(ROUND(IF($AL$3=2,VLOOKUP(C77,[2]List1!$A:$D,2,FALSE)*1.08,VLOOKUP(C77,[2]List1!$A:$D,2,FALSE)),0),"NEUVEDENO!")</f>
        <v>275</v>
      </c>
      <c r="G77" s="730">
        <f t="shared" si="89"/>
        <v>275</v>
      </c>
      <c r="H77" s="731">
        <f t="shared" si="90"/>
        <v>11.174818866345104</v>
      </c>
      <c r="I77" s="750">
        <v>10</v>
      </c>
      <c r="J77" s="729" t="s">
        <v>23</v>
      </c>
      <c r="K77" s="729"/>
      <c r="L77" s="729" t="s">
        <v>14360</v>
      </c>
      <c r="M77" s="729" t="s">
        <v>25</v>
      </c>
      <c r="N77" s="729">
        <f>IFERROR(VLOOKUP(C77,[3]List1!$A:$D,4,FALSE),"N/A!")</f>
        <v>2.1456749999999997E-2</v>
      </c>
      <c r="O77" s="729">
        <f>IFERROR(VLOOKUP(C77,[3]List1!$A:$D,3,FALSE),"N/A!")</f>
        <v>5760</v>
      </c>
      <c r="P77" s="729">
        <f>IFERROR(VLOOKUP(C77,[3]List1!$A:$D,2,FALSE),"N/A!")</f>
        <v>11700</v>
      </c>
      <c r="Q77" s="729" t="s">
        <v>11851</v>
      </c>
      <c r="R77" s="729" t="s">
        <v>166</v>
      </c>
      <c r="S77" s="729"/>
      <c r="T77" s="729">
        <v>90</v>
      </c>
      <c r="U77" s="729"/>
      <c r="V77" s="729"/>
      <c r="W77" s="729" t="str">
        <f>IFERROR(VLOOKUP('General price list'!$C77,Popisy!A:P,MATCH($W$17,Popisy!$A$7:$P$7,0),FALSE),"---------------")</f>
        <v>zlaté prskavky,  délka 28cm, délka prskací hmoty 20,5cm, průměr prskací hmoty  3mm</v>
      </c>
      <c r="X77" s="729" t="str">
        <f t="shared" si="91"/>
        <v/>
      </c>
      <c r="Y77" s="729" t="str">
        <f t="shared" si="92"/>
        <v/>
      </c>
      <c r="Z77" s="729" t="str">
        <f>HYPERLINK("https://www.klasekpyrotechnics.cz/vp28e")</f>
        <v>https://www.klasekpyrotechnics.cz/vp28e</v>
      </c>
      <c r="AA77" s="729" t="str">
        <f>IFERROR(IF(VLOOKUP(C77,[4]List1!$A:$D,4,FALSE)=0,"",VLOOKUP(C77,[4]List1!$A:$D,4,FALSE)),"")</f>
        <v>42</v>
      </c>
      <c r="AB77" s="720"/>
      <c r="AC77" s="751" t="str">
        <f>IFERROR(IF(VLOOKUP(C77,[1]List1!$A:$D,2,FALSE)="VYPRODÁNO",$V$9,IF(VLOOKUP(C77,[1]List1!$A:$D,2,FALSE)="DOCHÁZÍ",$V$3,VLOOKUP(C77,[1]List1!$A:$D,2,FALSE))),"OFFLINE!")</f>
        <v>SKLADEM</v>
      </c>
      <c r="AD77" s="752" t="str">
        <f ca="1">IF(AP77="NE",$V$10,IF(AC77=$V$3,IF(AQ77&lt;1,$V$8,$V$2&amp;" "&amp;AQ77&amp;" "&amp;$V$1),IF(AC77="SKLADEM",$V$6,IFERROR(IF(OR(AC77-TODAY()&gt;45,VLOOKUP(C77,[1]List1!$A:$E,4,FALSE)=0),AC77,DAY(AC77)&amp;"."&amp;MONTH(AC77)&amp;"."&amp;YEAR(AC77)&amp;" "&amp;$V$4&amp;VLOOKUP(C77,[1]List1!$A:$E,4,FALSE)&amp;" "&amp;$V$1),AC77))))</f>
        <v>SKLADEM</v>
      </c>
      <c r="AE77" s="729" t="str">
        <f t="shared" ca="1" si="93"/>
        <v>SKLADEM</v>
      </c>
      <c r="AF77" s="735">
        <f t="shared" si="94"/>
        <v>0</v>
      </c>
      <c r="AG77" s="735">
        <f t="shared" si="95"/>
        <v>0</v>
      </c>
      <c r="AH77" s="736">
        <f t="shared" si="96"/>
        <v>0</v>
      </c>
      <c r="AI77" s="729">
        <f t="shared" si="97"/>
        <v>0</v>
      </c>
      <c r="AJ77" s="729">
        <f t="shared" si="98"/>
        <v>0</v>
      </c>
      <c r="AK77" s="729" t="str">
        <f t="shared" si="99"/>
        <v/>
      </c>
      <c r="AL77" s="729" t="str">
        <f t="shared" si="100"/>
        <v/>
      </c>
      <c r="AM77" s="729">
        <f t="shared" si="101"/>
        <v>0</v>
      </c>
      <c r="AN77" s="729">
        <f t="shared" si="102"/>
        <v>0</v>
      </c>
      <c r="AO77" s="380"/>
      <c r="AP77" s="322" t="str">
        <f t="shared" si="103"/>
        <v/>
      </c>
      <c r="AQ77" s="304" t="str">
        <f>IF(AC77=$V$3,IF(VLOOKUP(C77,[1]List1!$A:$E,5,FALSE)=0,1,VLOOKUP(C77,[1]List1!$A:$E,5,FALSE)),"")</f>
        <v/>
      </c>
      <c r="AR77" s="304" t="str">
        <f t="shared" si="104"/>
        <v/>
      </c>
      <c r="AS77" s="423" t="str">
        <f t="shared" si="105"/>
        <v/>
      </c>
      <c r="AT77" s="304" t="str">
        <f t="shared" si="106"/>
        <v/>
      </c>
      <c r="AU77" s="342" t="e">
        <f t="shared" si="107"/>
        <v>#N/A</v>
      </c>
      <c r="AV77" s="304" t="e">
        <f t="shared" si="108"/>
        <v>#N/A</v>
      </c>
      <c r="AX77" s="304">
        <f>IF(AND('General price list'!$J77="F4",'General price list'!$AB77+0&gt;0),1,0)</f>
        <v>0</v>
      </c>
      <c r="AY77" s="304">
        <f t="shared" si="109"/>
        <v>1</v>
      </c>
      <c r="AZ77" s="304">
        <f t="shared" si="110"/>
        <v>1</v>
      </c>
    </row>
    <row r="78" spans="1:52" ht="15" customHeight="1">
      <c r="A78" s="773" t="str">
        <f>Kat.!C78</f>
        <v xml:space="preserve">                                                               Prskavky</v>
      </c>
      <c r="B78" s="774"/>
      <c r="C78" s="774"/>
      <c r="D78" s="774"/>
      <c r="E78" s="774"/>
      <c r="F78" s="774"/>
      <c r="G78" s="774"/>
      <c r="H78" s="774"/>
      <c r="I78" s="774"/>
      <c r="J78" s="774"/>
      <c r="K78" s="774"/>
      <c r="L78" s="774"/>
      <c r="M78" s="774"/>
      <c r="N78" s="774"/>
      <c r="O78" s="774"/>
      <c r="P78" s="774"/>
      <c r="Q78" s="774"/>
      <c r="R78" s="774"/>
      <c r="S78" s="774"/>
      <c r="T78" s="774"/>
      <c r="U78" s="774"/>
      <c r="V78" s="774"/>
      <c r="W78" s="774"/>
      <c r="X78" s="774"/>
      <c r="Y78" s="774"/>
      <c r="Z78" s="774"/>
      <c r="AA78" s="774" t="str">
        <f>IFERROR(IF(VLOOKUP(C78,[4]List1!$A:$D,4,FALSE)=0,"",VLOOKUP(C78,[4]List1!$A:$D,4,FALSE)),"")</f>
        <v/>
      </c>
      <c r="AB78" s="774"/>
      <c r="AC78" s="775" t="str">
        <f>IFERROR(IF(VLOOKUP(C78,[1]List1!$A:$D,2,FALSE)="VYPRODÁNO",$V$9,IF(VLOOKUP(C78,[1]List1!$A:$D,2,FALSE)="DOCHÁZÍ",$V$3,VLOOKUP(C78,[1]List1!$A:$D,2,FALSE))),"OFFLINE!")</f>
        <v>OFFLINE!</v>
      </c>
      <c r="AD78" s="774"/>
      <c r="AE78" s="774"/>
      <c r="AF78" s="774"/>
      <c r="AG78" s="774"/>
      <c r="AH78" s="774"/>
      <c r="AI78" s="774"/>
      <c r="AJ78" s="774"/>
      <c r="AK78" s="774"/>
      <c r="AL78" s="774"/>
      <c r="AM78" s="774"/>
      <c r="AN78" s="774"/>
      <c r="AO78" s="380"/>
      <c r="AP78" s="322" t="str">
        <f t="shared" si="19"/>
        <v/>
      </c>
      <c r="AQ78" s="323" t="str">
        <f>IF(AC78=$V$3,IF(VLOOKUP(C78,[1]List1!$A:$E,5,FALSE)=0,1,VLOOKUP(C78,[1]List1!$A:$E,5,FALSE)),"")</f>
        <v/>
      </c>
      <c r="AR78" s="304" t="str">
        <f t="shared" si="20"/>
        <v/>
      </c>
      <c r="AS78" s="423" t="str">
        <f t="shared" si="21"/>
        <v/>
      </c>
      <c r="AT78" s="304" t="str">
        <f t="shared" si="22"/>
        <v/>
      </c>
      <c r="AU78" s="342" t="e">
        <f t="shared" si="23"/>
        <v>#N/A</v>
      </c>
      <c r="AV78" s="304" t="e">
        <f t="shared" si="24"/>
        <v>#N/A</v>
      </c>
      <c r="AX78" s="304">
        <f>IF(AND('General price list'!$J78="F4",'General price list'!$AB78+0&gt;0),1,0)</f>
        <v>0</v>
      </c>
      <c r="AY78" s="304">
        <f t="shared" si="25"/>
        <v>0</v>
      </c>
      <c r="AZ78" s="304">
        <f t="shared" si="26"/>
        <v>0</v>
      </c>
    </row>
    <row r="79" spans="1:52" ht="15" customHeight="1">
      <c r="A79" s="725" t="str">
        <f>Kat.!C79</f>
        <v/>
      </c>
      <c r="B79" s="741">
        <f>IF(AND('General price list'!$J79="F4",$AI$1=FALSE),0,IF(AC79="SKLADEM",1,IF(AC79=$V$3,1,0)))</f>
        <v>1</v>
      </c>
      <c r="C79" s="727" t="s">
        <v>170</v>
      </c>
      <c r="D79" s="728" t="s">
        <v>171</v>
      </c>
      <c r="E79" s="729" t="s">
        <v>150</v>
      </c>
      <c r="F79" s="725">
        <f>IFERROR(ROUND(IF($AL$3=2,VLOOKUP(C79,[2]List1!$A:$D,2,FALSE)*1.08,VLOOKUP(C79,[2]List1!$A:$D,2,FALSE)),0),"NEUVEDENO!")</f>
        <v>33</v>
      </c>
      <c r="G79" s="730">
        <f t="shared" ref="G79:G87" si="111">(F79)*$B$19</f>
        <v>33</v>
      </c>
      <c r="H79" s="731">
        <f t="shared" ref="H79:H87" si="112">G79/$F$19</f>
        <v>1.3409782639614125</v>
      </c>
      <c r="I79" s="742">
        <v>80</v>
      </c>
      <c r="J79" s="729" t="s">
        <v>46</v>
      </c>
      <c r="K79" s="729" t="s">
        <v>14821</v>
      </c>
      <c r="L79" s="729" t="s">
        <v>14359</v>
      </c>
      <c r="M79" s="729" t="s">
        <v>25</v>
      </c>
      <c r="N79" s="729">
        <f>IFERROR(VLOOKUP(C79,[3]List1!$A:$D,4,FALSE),"N/A!")</f>
        <v>3.3425000000000003E-2</v>
      </c>
      <c r="O79" s="729">
        <f>IFERROR(VLOOKUP(C79,[3]List1!$A:$D,3,FALSE),"N/A!")</f>
        <v>2640</v>
      </c>
      <c r="P79" s="729">
        <f>IFERROR(VLOOKUP(C79,[3]List1!$A:$D,2,FALSE),"N/A!")</f>
        <v>14000</v>
      </c>
      <c r="Q79" s="729" t="s">
        <v>14090</v>
      </c>
      <c r="R79" s="729" t="s">
        <v>24</v>
      </c>
      <c r="S79" s="729"/>
      <c r="T79" s="729">
        <v>260</v>
      </c>
      <c r="U79" s="729"/>
      <c r="V79" s="729"/>
      <c r="W79" s="729" t="str">
        <f>IFERROR(VLOOKUP('General price list'!$C79,Popisy!A:P,MATCH($W$17,Popisy!$A$7:$P$7,0),FALSE),"---------------")</f>
        <v>zlaté prskavky, délka 90cm, délka prskací hmoty 61cm,  průměr prskací hmoty 4,8mm</v>
      </c>
      <c r="X79" s="729" t="str">
        <f t="shared" ref="X79:X87" si="113">IF(AB79&lt;0.0001,"",AB79)</f>
        <v/>
      </c>
      <c r="Y79" s="729" t="str">
        <f t="shared" ref="Y79:Y87" si="114">IF($AL$3=2,IF(OR(AB79&lt;&gt;"",AB79&lt;&gt;0),AU79,""),IF(C79="","",IF(AB79&lt;0.0001,"",IF(B79=0,"",IF(AQ79&lt;AB79,"",AB79)))))</f>
        <v/>
      </c>
      <c r="Z79" s="729" t="str">
        <f>HYPERLINK("https://www.klasekpyrotechnics.cz/vp90")</f>
        <v>https://www.klasekpyrotechnics.cz/vp90</v>
      </c>
      <c r="AA79" s="729">
        <f>IFERROR(IF(VLOOKUP(C79,[4]List1!$A:$D,4,FALSE)=0,"",VLOOKUP(C79,[4]List1!$A:$D,4,FALSE)),"")</f>
        <v>36</v>
      </c>
      <c r="AB79" s="720"/>
      <c r="AC79" s="743" t="str">
        <f>IFERROR(IF(VLOOKUP(C79,[1]List1!$A:$D,2,FALSE)="VYPRODÁNO",$V$9,IF(VLOOKUP(C79,[1]List1!$A:$D,2,FALSE)="DOCHÁZÍ",$V$3,VLOOKUP(C79,[1]List1!$A:$D,2,FALSE))),"OFFLINE!")</f>
        <v>SKLADEM</v>
      </c>
      <c r="AD79" s="744" t="str">
        <f ca="1">IF(AP79="NE",$V$10,IF(AC79=$V$3,IF(AQ79&lt;1,$V$8,$V$2&amp;" "&amp;AQ79&amp;" "&amp;$V$1),IF(AC79="SKLADEM",$V$6,IFERROR(IF(OR(AC79-TODAY()&gt;45,VLOOKUP(C79,[1]List1!$A:$E,4,FALSE)=0),AC79,DAY(AC79)&amp;"."&amp;MONTH(AC79)&amp;"."&amp;YEAR(AC79)&amp;" "&amp;$V$4&amp;VLOOKUP(C79,[1]List1!$A:$E,4,FALSE)&amp;" "&amp;$V$1),AC79))))</f>
        <v>SKLADEM</v>
      </c>
      <c r="AE79" s="729" t="str">
        <f t="shared" ref="AE79:AE87" ca="1" si="115">IFERROR(IF(AV79&lt;&gt;"",AV79,AD79),AD79)</f>
        <v>SKLADEM</v>
      </c>
      <c r="AF79" s="735">
        <f t="shared" ref="AF79:AF87" si="116">IFERROR(IF(AB79=Y79,G79*I79*Y79,0),0)</f>
        <v>0</v>
      </c>
      <c r="AG79" s="735">
        <f t="shared" ref="AG79:AG87" si="117">IF($W$17=$AF$8,AH79*1.23,AF79*1.21)</f>
        <v>0</v>
      </c>
      <c r="AH79" s="736">
        <f t="shared" ref="AH79:AH87" si="118">IFERROR(IF(Y79=AB79,H79*I79*Y79,0),0)</f>
        <v>0</v>
      </c>
      <c r="AI79" s="729">
        <f t="shared" ref="AI79:AI87" si="119">IFERROR(IF(Y79=AB79,(P79*Y79)/1000,1),0)</f>
        <v>0</v>
      </c>
      <c r="AJ79" s="729">
        <f t="shared" ref="AJ79:AJ87" si="120">IFERROR(IF(Y79=AB79,N79*Y79,0.1),0)</f>
        <v>0</v>
      </c>
      <c r="AK79" s="729" t="str">
        <f t="shared" ref="AK79:AK87" si="121">IFERROR(IF(Y79=AB79,IF(M79="1.1G",(O79/1000)*Y79,""),""),0)</f>
        <v/>
      </c>
      <c r="AL79" s="729" t="str">
        <f t="shared" ref="AL79:AL87" si="122">IFERROR(IF(Y79=AB79,IF(M79="1.3G",(O79/1000)*AB79,""),""),0)</f>
        <v/>
      </c>
      <c r="AM79" s="729">
        <f t="shared" ref="AM79:AM87" si="123">IFERROR(IF(Y79=AB79,IF(M79="1.4G",(O79/1000)*AB79,""),""),0)</f>
        <v>0</v>
      </c>
      <c r="AN79" s="729">
        <f t="shared" ref="AN79:AN87" si="124">SUM(AK79:AM79)</f>
        <v>0</v>
      </c>
      <c r="AO79" s="380"/>
      <c r="AP79" s="322" t="str">
        <f t="shared" ref="AP79:AP87" si="125">IF($AL$3=1,IF(Y79=AB79,"","NE"),IF(AR79=$V$10,"NE",""))</f>
        <v/>
      </c>
      <c r="AQ79" s="323" t="str">
        <f>IF(AC79=$V$3,IF(VLOOKUP(C79,[1]List1!$A:$E,5,FALSE)=0,1,VLOOKUP(C79,[1]List1!$A:$E,5,FALSE)),"")</f>
        <v/>
      </c>
      <c r="AR79" s="304" t="str">
        <f t="shared" ref="AR79:AR87" si="126">IF($AL$3=1,"",IF(OR(AB79&lt;&gt;"",AB79&lt;&gt;0),IF(OR(AC79=$V$6,AC79=$V$3,AC79=$V$9),$V$10,""),""))</f>
        <v/>
      </c>
      <c r="AS79" s="423" t="str">
        <f t="shared" ref="AS79:AS87" si="127">IF(AT79&lt;&gt;"","X","")</f>
        <v/>
      </c>
      <c r="AT79" s="304" t="str">
        <f t="shared" ref="AT79:AT87" si="128">IF(AND($AL$3=2,AR79="",AB79&lt;&gt;""),AD79,"")</f>
        <v/>
      </c>
      <c r="AU79" s="342" t="e">
        <f t="shared" ref="AU79:AU87" si="129">IF(AT79=$AS$21,AB79,"")</f>
        <v>#N/A</v>
      </c>
      <c r="AV79" s="304" t="e">
        <f t="shared" ref="AV79:AV87" si="130">IF(OR(AB79="",AND(AT79&lt;&gt;"",AU79&lt;&gt;"")),"",$V$10)</f>
        <v>#N/A</v>
      </c>
      <c r="AX79" s="304">
        <f>IF(AND('General price list'!$J79="F4",'General price list'!$AB79+0&gt;0),1,0)</f>
        <v>0</v>
      </c>
      <c r="AY79" s="304">
        <f t="shared" ref="AY79:AY87" si="131">IFERROR(FIND(VLOOKUP($AC$7,$AD$1:$AE$12,2,FALSE),Q79,1),0)</f>
        <v>1</v>
      </c>
      <c r="AZ79" s="304">
        <f t="shared" ref="AZ79:AZ87" si="132">IFERROR(FIND(VLOOKUP($AC$7,$AD$1:$AE$12,2,FALSE),R79,1),0)</f>
        <v>0</v>
      </c>
    </row>
    <row r="80" spans="1:52" ht="15" customHeight="1">
      <c r="A80" s="712" t="str">
        <f>Kat.!C80</f>
        <v/>
      </c>
      <c r="B80" s="745">
        <f>IF(AND('General price list'!$J80="F4",$AI$1=FALSE),0,IF(AC80="SKLADEM",1,IF(AC80=$V$3,1,0)))</f>
        <v>1</v>
      </c>
      <c r="C80" s="714" t="s">
        <v>176</v>
      </c>
      <c r="D80" s="715" t="s">
        <v>177</v>
      </c>
      <c r="E80" s="716" t="s">
        <v>178</v>
      </c>
      <c r="F80" s="712">
        <f>IFERROR(ROUND(IF($AL$3=2,VLOOKUP(C80,[2]List1!$A:$D,2,FALSE)*1.08,VLOOKUP(C80,[2]List1!$A:$D,2,FALSE)),0),"NEUVEDENO!")</f>
        <v>29</v>
      </c>
      <c r="G80" s="717">
        <f t="shared" si="111"/>
        <v>29</v>
      </c>
      <c r="H80" s="718">
        <f t="shared" si="112"/>
        <v>1.1784354440873017</v>
      </c>
      <c r="I80" s="746">
        <v>72</v>
      </c>
      <c r="J80" s="716" t="s">
        <v>46</v>
      </c>
      <c r="K80" s="716" t="s">
        <v>14821</v>
      </c>
      <c r="L80" s="716" t="s">
        <v>14359</v>
      </c>
      <c r="M80" s="716" t="s">
        <v>25</v>
      </c>
      <c r="N80" s="716">
        <f>IFERROR(VLOOKUP(C80,[3]List1!$A:$D,4,FALSE),"N/A!")</f>
        <v>2.1245699999999999E-2</v>
      </c>
      <c r="O80" s="716">
        <f>IFERROR(VLOOKUP(C80,[3]List1!$A:$D,3,FALSE),"N/A!")</f>
        <v>2620.7999999999997</v>
      </c>
      <c r="P80" s="716">
        <f>IFERROR(VLOOKUP(C80,[3]List1!$A:$D,2,FALSE),"N/A!")</f>
        <v>11500</v>
      </c>
      <c r="Q80" s="716" t="s">
        <v>14091</v>
      </c>
      <c r="R80" s="716" t="s">
        <v>24</v>
      </c>
      <c r="S80" s="716"/>
      <c r="T80" s="716">
        <v>170</v>
      </c>
      <c r="U80" s="716"/>
      <c r="V80" s="716"/>
      <c r="W80" s="716" t="str">
        <f>IFERROR(VLOOKUP('General price list'!$C80,Popisy!A:P,MATCH($W$17,Popisy!$A$7:$P$7,0),FALSE),"---------------")</f>
        <v>zlaté prskavky,  délka 70cm, délka prskací hmoty 45cm, průměr prskací hmoty 4,5mm</v>
      </c>
      <c r="X80" s="716" t="str">
        <f t="shared" si="113"/>
        <v/>
      </c>
      <c r="Y80" s="716" t="str">
        <f t="shared" si="114"/>
        <v/>
      </c>
      <c r="Z80" s="716" t="str">
        <f>HYPERLINK("https://www.klasekpyrotechnics.cz/vp70")</f>
        <v>https://www.klasekpyrotechnics.cz/vp70</v>
      </c>
      <c r="AA80" s="716">
        <f>IFERROR(IF(VLOOKUP(C80,[4]List1!$A:$D,4,FALSE)=0,"",VLOOKUP(C80,[4]List1!$A:$D,4,FALSE)),"")</f>
        <v>60</v>
      </c>
      <c r="AB80" s="720"/>
      <c r="AC80" s="747" t="str">
        <f>IFERROR(IF(VLOOKUP(C80,[1]List1!$A:$D,2,FALSE)="VYPRODÁNO",$V$9,IF(VLOOKUP(C80,[1]List1!$A:$D,2,FALSE)="DOCHÁZÍ",$V$3,VLOOKUP(C80,[1]List1!$A:$D,2,FALSE))),"OFFLINE!")</f>
        <v>SKLADEM</v>
      </c>
      <c r="AD80" s="748" t="str">
        <f ca="1">IF(AP80="NE",$V$10,IF(AC80=$V$3,IF(AQ80&lt;1,$V$8,$V$2&amp;" "&amp;AQ80&amp;" "&amp;$V$1),IF(AC80="SKLADEM",$V$6,IFERROR(IF(OR(AC80-TODAY()&gt;45,VLOOKUP(C80,[1]List1!$A:$E,4,FALSE)=0),AC80,DAY(AC80)&amp;"."&amp;MONTH(AC80)&amp;"."&amp;YEAR(AC80)&amp;" "&amp;$V$4&amp;VLOOKUP(C80,[1]List1!$A:$E,4,FALSE)&amp;" "&amp;$V$1),AC80))))</f>
        <v>SKLADEM</v>
      </c>
      <c r="AE80" s="716" t="str">
        <f t="shared" ca="1" si="115"/>
        <v>SKLADEM</v>
      </c>
      <c r="AF80" s="723">
        <f t="shared" si="116"/>
        <v>0</v>
      </c>
      <c r="AG80" s="723">
        <f t="shared" si="117"/>
        <v>0</v>
      </c>
      <c r="AH80" s="724">
        <f t="shared" si="118"/>
        <v>0</v>
      </c>
      <c r="AI80" s="716">
        <f t="shared" si="119"/>
        <v>0</v>
      </c>
      <c r="AJ80" s="716">
        <f t="shared" si="120"/>
        <v>0</v>
      </c>
      <c r="AK80" s="716" t="str">
        <f t="shared" si="121"/>
        <v/>
      </c>
      <c r="AL80" s="716" t="str">
        <f t="shared" si="122"/>
        <v/>
      </c>
      <c r="AM80" s="716">
        <f t="shared" si="123"/>
        <v>0</v>
      </c>
      <c r="AN80" s="716">
        <f t="shared" si="124"/>
        <v>0</v>
      </c>
      <c r="AO80" s="380"/>
      <c r="AP80" s="322" t="str">
        <f t="shared" si="125"/>
        <v/>
      </c>
      <c r="AQ80" s="304" t="str">
        <f>IF(AC80=$V$3,IF(VLOOKUP(C80,[1]List1!$A:$E,5,FALSE)=0,1,VLOOKUP(C80,[1]List1!$A:$E,5,FALSE)),"")</f>
        <v/>
      </c>
      <c r="AR80" s="304" t="str">
        <f t="shared" si="126"/>
        <v/>
      </c>
      <c r="AS80" s="423" t="str">
        <f t="shared" si="127"/>
        <v/>
      </c>
      <c r="AT80" s="304" t="str">
        <f t="shared" si="128"/>
        <v/>
      </c>
      <c r="AU80" s="342" t="e">
        <f t="shared" si="129"/>
        <v>#N/A</v>
      </c>
      <c r="AV80" s="304" t="e">
        <f t="shared" si="130"/>
        <v>#N/A</v>
      </c>
      <c r="AX80" s="304">
        <f>IF(AND('General price list'!$J80="F4",'General price list'!$AB80+0&gt;0),1,0)</f>
        <v>0</v>
      </c>
      <c r="AY80" s="304">
        <f t="shared" si="131"/>
        <v>1</v>
      </c>
      <c r="AZ80" s="304">
        <f t="shared" si="132"/>
        <v>0</v>
      </c>
    </row>
    <row r="81" spans="1:52" ht="15" customHeight="1">
      <c r="A81" s="725" t="str">
        <f>Kat.!C81</f>
        <v/>
      </c>
      <c r="B81" s="749">
        <f>IF(AND('General price list'!$J81="F4",$AI$1=FALSE),0,IF(AC81="SKLADEM",1,IF(AC81=$V$3,1,0)))</f>
        <v>1</v>
      </c>
      <c r="C81" s="727" t="s">
        <v>12002</v>
      </c>
      <c r="D81" s="728" t="s">
        <v>12003</v>
      </c>
      <c r="E81" s="729" t="s">
        <v>178</v>
      </c>
      <c r="F81" s="725">
        <f>IFERROR(ROUND(IF($AL$3=2,VLOOKUP(C81,[2]List1!$A:$D,2,FALSE)*1.08,VLOOKUP(C81,[2]List1!$A:$D,2,FALSE)),0),"NEUVEDENO!")</f>
        <v>32</v>
      </c>
      <c r="G81" s="730">
        <f t="shared" si="111"/>
        <v>32</v>
      </c>
      <c r="H81" s="731">
        <f t="shared" si="112"/>
        <v>1.3003425589928848</v>
      </c>
      <c r="I81" s="750">
        <v>72</v>
      </c>
      <c r="J81" s="729" t="s">
        <v>46</v>
      </c>
      <c r="K81" s="729"/>
      <c r="L81" s="729" t="s">
        <v>14361</v>
      </c>
      <c r="M81" s="729" t="s">
        <v>25</v>
      </c>
      <c r="N81" s="729">
        <f>IFERROR(VLOOKUP(C81,[3]List1!$A:$D,4,FALSE),"N/A!")</f>
        <v>2.1245699999999999E-2</v>
      </c>
      <c r="O81" s="729">
        <f>IFERROR(VLOOKUP(C81,[3]List1!$A:$D,3,FALSE),"N/A!")</f>
        <v>2620.7999999999997</v>
      </c>
      <c r="P81" s="729">
        <f>IFERROR(VLOOKUP(C81,[3]List1!$A:$D,2,FALSE),"N/A!")</f>
        <v>11500</v>
      </c>
      <c r="Q81" s="729" t="s">
        <v>160</v>
      </c>
      <c r="R81" s="729"/>
      <c r="S81" s="729"/>
      <c r="T81" s="729">
        <v>170</v>
      </c>
      <c r="U81" s="729"/>
      <c r="V81" s="729"/>
      <c r="W81" s="729" t="str">
        <f>IFERROR(VLOOKUP('General price list'!$C81,Popisy!A:P,MATCH($W$17,Popisy!$A$7:$P$7,0),FALSE),"---------------")</f>
        <v>zlaté prskavky,  délka 70cm, délka prskací hmoty 45cm, průměr prskací hmoty 4,5mm</v>
      </c>
      <c r="X81" s="729" t="str">
        <f t="shared" si="113"/>
        <v/>
      </c>
      <c r="Y81" s="729" t="str">
        <f t="shared" si="114"/>
        <v/>
      </c>
      <c r="Z81" s="729" t="str">
        <f>HYPERLINK("https://https://www.klasekpyrotechnics.cz/vp70w")</f>
        <v>https://https://www.klasekpyrotechnics.cz/vp70w</v>
      </c>
      <c r="AA81" s="729">
        <f>IFERROR(IF(VLOOKUP(C81,[4]List1!$A:$D,4,FALSE)=0,"",VLOOKUP(C81,[4]List1!$A:$D,4,FALSE)),"")</f>
        <v>60</v>
      </c>
      <c r="AB81" s="720"/>
      <c r="AC81" s="751" t="str">
        <f>IFERROR(IF(VLOOKUP(C81,[1]List1!$A:$D,2,FALSE)="VYPRODÁNO",$V$9,IF(VLOOKUP(C81,[1]List1!$A:$D,2,FALSE)="DOCHÁZÍ",$V$3,VLOOKUP(C81,[1]List1!$A:$D,2,FALSE))),"OFFLINE!")</f>
        <v>SKLADEM</v>
      </c>
      <c r="AD81" s="752" t="str">
        <f ca="1">IF(AP81="NE",$V$10,IF(AC81=$V$3,IF(AQ81&lt;1,$V$8,$V$2&amp;" "&amp;AQ81&amp;" "&amp;$V$1),IF(AC81="SKLADEM",$V$6,IFERROR(IF(OR(AC81-TODAY()&gt;45,VLOOKUP(C81,[1]List1!$A:$E,4,FALSE)=0),AC81,DAY(AC81)&amp;"."&amp;MONTH(AC81)&amp;"."&amp;YEAR(AC81)&amp;" "&amp;$V$4&amp;VLOOKUP(C81,[1]List1!$A:$E,4,FALSE)&amp;" "&amp;$V$1),AC81))))</f>
        <v>SKLADEM</v>
      </c>
      <c r="AE81" s="729" t="str">
        <f t="shared" ca="1" si="115"/>
        <v>SKLADEM</v>
      </c>
      <c r="AF81" s="735">
        <f t="shared" si="116"/>
        <v>0</v>
      </c>
      <c r="AG81" s="735">
        <f t="shared" si="117"/>
        <v>0</v>
      </c>
      <c r="AH81" s="736">
        <f t="shared" si="118"/>
        <v>0</v>
      </c>
      <c r="AI81" s="729">
        <f t="shared" si="119"/>
        <v>0</v>
      </c>
      <c r="AJ81" s="729">
        <f t="shared" si="120"/>
        <v>0</v>
      </c>
      <c r="AK81" s="729" t="str">
        <f t="shared" si="121"/>
        <v/>
      </c>
      <c r="AL81" s="729" t="str">
        <f t="shared" si="122"/>
        <v/>
      </c>
      <c r="AM81" s="729">
        <f t="shared" si="123"/>
        <v>0</v>
      </c>
      <c r="AN81" s="729">
        <f t="shared" si="124"/>
        <v>0</v>
      </c>
      <c r="AO81" s="380"/>
      <c r="AP81" s="322" t="str">
        <f t="shared" si="125"/>
        <v/>
      </c>
      <c r="AQ81" s="323" t="str">
        <f>IF(AC81=$V$3,IF(VLOOKUP(C81,[1]List1!$A:$E,5,FALSE)=0,1,VLOOKUP(C81,[1]List1!$A:$E,5,FALSE)),"")</f>
        <v/>
      </c>
      <c r="AR81" s="304" t="str">
        <f t="shared" si="126"/>
        <v/>
      </c>
      <c r="AS81" s="423" t="str">
        <f t="shared" si="127"/>
        <v/>
      </c>
      <c r="AT81" s="304" t="str">
        <f t="shared" si="128"/>
        <v/>
      </c>
      <c r="AU81" s="342" t="e">
        <f t="shared" si="129"/>
        <v>#N/A</v>
      </c>
      <c r="AV81" s="304" t="e">
        <f t="shared" si="130"/>
        <v>#N/A</v>
      </c>
      <c r="AX81" s="304">
        <f>IF(AND('General price list'!$J81="F4",'General price list'!$AB81+0&gt;0),1,0)</f>
        <v>0</v>
      </c>
      <c r="AY81" s="304">
        <f t="shared" si="131"/>
        <v>1</v>
      </c>
      <c r="AZ81" s="304">
        <f t="shared" si="132"/>
        <v>0</v>
      </c>
    </row>
    <row r="82" spans="1:52" ht="15" customHeight="1">
      <c r="A82" s="712" t="str">
        <f>Kat.!C82</f>
        <v/>
      </c>
      <c r="B82" s="745">
        <f>IF(AND('General price list'!$J82="F4",$AI$1=FALSE),0,IF(AC82="SKLADEM",1,IF(AC82=$V$3,1,0)))</f>
        <v>0</v>
      </c>
      <c r="C82" s="714" t="s">
        <v>182</v>
      </c>
      <c r="D82" s="715" t="s">
        <v>183</v>
      </c>
      <c r="E82" s="716" t="s">
        <v>12006</v>
      </c>
      <c r="F82" s="712">
        <f>IFERROR(ROUND(IF($AL$3=2,VLOOKUP(C82,[2]List1!$A:$D,2,FALSE)*1.08,VLOOKUP(C82,[2]List1!$A:$D,2,FALSE)),0),"NEUVEDENO!")</f>
        <v>25</v>
      </c>
      <c r="G82" s="717">
        <f t="shared" si="111"/>
        <v>25</v>
      </c>
      <c r="H82" s="718">
        <f t="shared" si="112"/>
        <v>1.0158926242131912</v>
      </c>
      <c r="I82" s="746">
        <v>100</v>
      </c>
      <c r="J82" s="716" t="s">
        <v>23</v>
      </c>
      <c r="K82" s="716" t="s">
        <v>14821</v>
      </c>
      <c r="L82" s="716" t="s">
        <v>14360</v>
      </c>
      <c r="M82" s="716" t="s">
        <v>25</v>
      </c>
      <c r="N82" s="716">
        <f>IFERROR(VLOOKUP(C82,[3]List1!$A:$D,4,FALSE),"N/A!")</f>
        <v>1.9460250000000002E-2</v>
      </c>
      <c r="O82" s="716">
        <f>IFERROR(VLOOKUP(C82,[3]List1!$A:$D,3,FALSE),"N/A!")</f>
        <v>4350</v>
      </c>
      <c r="P82" s="716">
        <f>IFERROR(VLOOKUP(C82,[3]List1!$A:$D,2,FALSE),"N/A!")</f>
        <v>11500</v>
      </c>
      <c r="Q82" s="716" t="s">
        <v>14092</v>
      </c>
      <c r="R82" s="716" t="s">
        <v>14093</v>
      </c>
      <c r="S82" s="716"/>
      <c r="T82" s="716">
        <v>95</v>
      </c>
      <c r="U82" s="716"/>
      <c r="V82" s="716"/>
      <c r="W82" s="716" t="str">
        <f>IFERROR(VLOOKUP('General price list'!$C82,Popisy!A:P,MATCH($W$17,Popisy!$A$7:$P$7,0),FALSE),"---------------")</f>
        <v>zlaté prskavky,  délka 40cm, délka prskací hmoty 26cm, průměr prskací hmoty 3,7mm</v>
      </c>
      <c r="X82" s="716" t="str">
        <f t="shared" si="113"/>
        <v/>
      </c>
      <c r="Y82" s="716" t="str">
        <f t="shared" si="114"/>
        <v/>
      </c>
      <c r="Z82" s="716" t="str">
        <f>HYPERLINK("https://www.klasekpyrotechnics.cz/vp40")</f>
        <v>https://www.klasekpyrotechnics.cz/vp40</v>
      </c>
      <c r="AA82" s="716">
        <f>IFERROR(IF(VLOOKUP(C82,[4]List1!$A:$D,4,FALSE)=0,"",VLOOKUP(C82,[4]List1!$A:$D,4,FALSE)),"")</f>
        <v>62</v>
      </c>
      <c r="AB82" s="720"/>
      <c r="AC82" s="747" t="str">
        <f>IFERROR(IF(VLOOKUP(C82,[1]List1!$A:$D,2,FALSE)="VYPRODÁNO",$V$9,IF(VLOOKUP(C82,[1]List1!$A:$D,2,FALSE)="DOCHÁZÍ",$V$3,VLOOKUP(C82,[1]List1!$A:$D,2,FALSE))),"OFFLINE!")</f>
        <v>30.04.2024</v>
      </c>
      <c r="AD82" s="748" t="str">
        <f ca="1">IF(AP82="NE",$V$10,IF(AC82=$V$3,IF(AQ82&lt;1,$V$8,$V$2&amp;" "&amp;AQ82&amp;" "&amp;$V$1),IF(AC82="SKLADEM",$V$6,IFERROR(IF(OR(AC82-TODAY()&gt;45,VLOOKUP(C82,[1]List1!$A:$E,4,FALSE)=0),AC82,DAY(AC82)&amp;"."&amp;MONTH(AC82)&amp;"."&amp;YEAR(AC82)&amp;" "&amp;$V$4&amp;VLOOKUP(C82,[1]List1!$A:$E,4,FALSE)&amp;" "&amp;$V$1),AC82))))</f>
        <v>30.04.2024</v>
      </c>
      <c r="AE82" s="716" t="str">
        <f t="shared" ca="1" si="115"/>
        <v>30.04.2024</v>
      </c>
      <c r="AF82" s="723">
        <f t="shared" si="116"/>
        <v>0</v>
      </c>
      <c r="AG82" s="723">
        <f t="shared" si="117"/>
        <v>0</v>
      </c>
      <c r="AH82" s="724">
        <f t="shared" si="118"/>
        <v>0</v>
      </c>
      <c r="AI82" s="716">
        <f t="shared" si="119"/>
        <v>0</v>
      </c>
      <c r="AJ82" s="716">
        <f t="shared" si="120"/>
        <v>0</v>
      </c>
      <c r="AK82" s="716" t="str">
        <f t="shared" si="121"/>
        <v/>
      </c>
      <c r="AL82" s="716" t="str">
        <f t="shared" si="122"/>
        <v/>
      </c>
      <c r="AM82" s="716">
        <f t="shared" si="123"/>
        <v>0</v>
      </c>
      <c r="AN82" s="716">
        <f t="shared" si="124"/>
        <v>0</v>
      </c>
      <c r="AO82" s="380"/>
      <c r="AP82" s="322" t="str">
        <f t="shared" si="125"/>
        <v/>
      </c>
      <c r="AQ82" s="323" t="str">
        <f>IF(AC82=$V$3,IF(VLOOKUP(C82,[1]List1!$A:$E,5,FALSE)=0,1,VLOOKUP(C82,[1]List1!$A:$E,5,FALSE)),"")</f>
        <v/>
      </c>
      <c r="AR82" s="304" t="str">
        <f t="shared" si="126"/>
        <v/>
      </c>
      <c r="AS82" s="423" t="str">
        <f t="shared" si="127"/>
        <v/>
      </c>
      <c r="AT82" s="304" t="str">
        <f t="shared" si="128"/>
        <v/>
      </c>
      <c r="AU82" s="342" t="e">
        <f t="shared" si="129"/>
        <v>#N/A</v>
      </c>
      <c r="AV82" s="304" t="e">
        <f t="shared" si="130"/>
        <v>#N/A</v>
      </c>
      <c r="AX82" s="304">
        <f>IF(AND('General price list'!$J82="F4",'General price list'!$AB82+0&gt;0),1,0)</f>
        <v>0</v>
      </c>
      <c r="AY82" s="304">
        <f t="shared" si="131"/>
        <v>1</v>
      </c>
      <c r="AZ82" s="304">
        <f t="shared" si="132"/>
        <v>1</v>
      </c>
    </row>
    <row r="83" spans="1:52" ht="15" customHeight="1">
      <c r="A83" s="725" t="str">
        <f>Kat.!C83</f>
        <v/>
      </c>
      <c r="B83" s="749">
        <f>IF(AND('General price list'!$J83="F4",$AI$1=FALSE),0,IF(AC83="SKLADEM",1,IF(AC83=$V$3,1,0)))</f>
        <v>1</v>
      </c>
      <c r="C83" s="727" t="s">
        <v>187</v>
      </c>
      <c r="D83" s="728" t="s">
        <v>183</v>
      </c>
      <c r="E83" s="729" t="s">
        <v>188</v>
      </c>
      <c r="F83" s="725">
        <f>IFERROR(ROUND(IF($AL$3=2,VLOOKUP(C83,[2]List1!$A:$D,2,FALSE)*1.08,VLOOKUP(C83,[2]List1!$A:$D,2,FALSE)),0),"NEUVEDENO!")</f>
        <v>460</v>
      </c>
      <c r="G83" s="730">
        <f t="shared" si="111"/>
        <v>460</v>
      </c>
      <c r="H83" s="731">
        <f t="shared" si="112"/>
        <v>18.692424285522719</v>
      </c>
      <c r="I83" s="750">
        <v>10</v>
      </c>
      <c r="J83" s="729" t="s">
        <v>23</v>
      </c>
      <c r="K83" s="729">
        <v>5</v>
      </c>
      <c r="L83" s="729" t="s">
        <v>14360</v>
      </c>
      <c r="M83" s="729" t="s">
        <v>25</v>
      </c>
      <c r="N83" s="729">
        <f>IFERROR(VLOOKUP(C83,[3]List1!$A:$D,4,FALSE),"N/A!")</f>
        <v>2.6553825000000003E-2</v>
      </c>
      <c r="O83" s="729">
        <f>IFERROR(VLOOKUP(C83,[3]List1!$A:$D,3,FALSE),"N/A!")</f>
        <v>8700</v>
      </c>
      <c r="P83" s="729">
        <f>IFERROR(VLOOKUP(C83,[3]List1!$A:$D,2,FALSE),"N/A!")</f>
        <v>17000</v>
      </c>
      <c r="Q83" s="729" t="s">
        <v>159</v>
      </c>
      <c r="R83" s="729" t="s">
        <v>160</v>
      </c>
      <c r="S83" s="729"/>
      <c r="T83" s="729">
        <v>95</v>
      </c>
      <c r="U83" s="729"/>
      <c r="V83" s="729"/>
      <c r="W83" s="729" t="str">
        <f>IFERROR(VLOOKUP('General price list'!$C83,Popisy!A:P,MATCH($W$17,Popisy!$A$7:$P$7,0),FALSE),"---------------")</f>
        <v>zlaté prskavky,  délka 40cm, délka prskací hmoty 26cm, průměr prskací hmoty 3,7mm</v>
      </c>
      <c r="X83" s="729" t="str">
        <f t="shared" si="113"/>
        <v/>
      </c>
      <c r="Y83" s="729" t="str">
        <f t="shared" si="114"/>
        <v/>
      </c>
      <c r="Z83" s="729" t="str">
        <f>HYPERLINK("https://www.klasekpyrotechnics.cz/vp40-20")</f>
        <v>https://www.klasekpyrotechnics.cz/vp40-20</v>
      </c>
      <c r="AA83" s="729">
        <f>IFERROR(IF(VLOOKUP(C83,[4]List1!$A:$D,4,FALSE)=0,"",VLOOKUP(C83,[4]List1!$A:$D,4,FALSE)),"")</f>
        <v>33</v>
      </c>
      <c r="AB83" s="720"/>
      <c r="AC83" s="751" t="str">
        <f>IFERROR(IF(VLOOKUP(C83,[1]List1!$A:$D,2,FALSE)="VYPRODÁNO",$V$9,IF(VLOOKUP(C83,[1]List1!$A:$D,2,FALSE)="DOCHÁZÍ",$V$3,VLOOKUP(C83,[1]List1!$A:$D,2,FALSE))),"OFFLINE!")</f>
        <v>SKLADEM</v>
      </c>
      <c r="AD83" s="752" t="str">
        <f ca="1">IF(AP83="NE",$V$10,IF(AC83=$V$3,IF(AQ83&lt;1,$V$8,$V$2&amp;" "&amp;AQ83&amp;" "&amp;$V$1),IF(AC83="SKLADEM",$V$6,IFERROR(IF(OR(AC83-TODAY()&gt;45,VLOOKUP(C83,[1]List1!$A:$E,4,FALSE)=0),AC83,DAY(AC83)&amp;"."&amp;MONTH(AC83)&amp;"."&amp;YEAR(AC83)&amp;" "&amp;$V$4&amp;VLOOKUP(C83,[1]List1!$A:$E,4,FALSE)&amp;" "&amp;$V$1),AC83))))</f>
        <v>SKLADEM</v>
      </c>
      <c r="AE83" s="729" t="str">
        <f t="shared" ca="1" si="115"/>
        <v>SKLADEM</v>
      </c>
      <c r="AF83" s="735">
        <f t="shared" si="116"/>
        <v>0</v>
      </c>
      <c r="AG83" s="735">
        <f t="shared" si="117"/>
        <v>0</v>
      </c>
      <c r="AH83" s="736">
        <f t="shared" si="118"/>
        <v>0</v>
      </c>
      <c r="AI83" s="729">
        <f t="shared" si="119"/>
        <v>0</v>
      </c>
      <c r="AJ83" s="729">
        <f t="shared" si="120"/>
        <v>0</v>
      </c>
      <c r="AK83" s="729" t="str">
        <f t="shared" si="121"/>
        <v/>
      </c>
      <c r="AL83" s="729" t="str">
        <f t="shared" si="122"/>
        <v/>
      </c>
      <c r="AM83" s="729">
        <f t="shared" si="123"/>
        <v>0</v>
      </c>
      <c r="AN83" s="729">
        <f t="shared" si="124"/>
        <v>0</v>
      </c>
      <c r="AO83" s="380"/>
      <c r="AP83" s="322" t="str">
        <f t="shared" si="125"/>
        <v/>
      </c>
      <c r="AQ83" s="323" t="str">
        <f>IF(AC83=$V$3,IF(VLOOKUP(C83,[1]List1!$A:$E,5,FALSE)=0,1,VLOOKUP(C83,[1]List1!$A:$E,5,FALSE)),"")</f>
        <v/>
      </c>
      <c r="AR83" s="304" t="str">
        <f t="shared" si="126"/>
        <v/>
      </c>
      <c r="AS83" s="423" t="str">
        <f t="shared" si="127"/>
        <v/>
      </c>
      <c r="AT83" s="304" t="str">
        <f t="shared" si="128"/>
        <v/>
      </c>
      <c r="AU83" s="342" t="e">
        <f t="shared" si="129"/>
        <v>#N/A</v>
      </c>
      <c r="AV83" s="304" t="e">
        <f t="shared" si="130"/>
        <v>#N/A</v>
      </c>
      <c r="AX83" s="304">
        <f>IF(AND('General price list'!$J83="F4",'General price list'!$AB83+0&gt;0),1,0)</f>
        <v>0</v>
      </c>
      <c r="AY83" s="304">
        <f t="shared" si="131"/>
        <v>1</v>
      </c>
      <c r="AZ83" s="304">
        <f t="shared" si="132"/>
        <v>1</v>
      </c>
    </row>
    <row r="84" spans="1:52" ht="15" customHeight="1">
      <c r="A84" s="712" t="str">
        <f>Kat.!C84</f>
        <v/>
      </c>
      <c r="B84" s="745">
        <f>IF(AND('General price list'!$J84="F4",$AI$1=FALSE),0,IF(AC84="SKLADEM",1,IF(AC84=$V$3,1,0)))</f>
        <v>1</v>
      </c>
      <c r="C84" s="714" t="s">
        <v>12004</v>
      </c>
      <c r="D84" s="715" t="s">
        <v>12005</v>
      </c>
      <c r="E84" s="716" t="s">
        <v>12006</v>
      </c>
      <c r="F84" s="712">
        <f>IFERROR(ROUND(IF($AL$3=2,VLOOKUP(C84,[2]List1!$A:$D,2,FALSE)*1.08,VLOOKUP(C84,[2]List1!$A:$D,2,FALSE)),0),"NEUVEDENO!")</f>
        <v>32</v>
      </c>
      <c r="G84" s="717">
        <f t="shared" si="111"/>
        <v>32</v>
      </c>
      <c r="H84" s="718">
        <f t="shared" si="112"/>
        <v>1.3003425589928848</v>
      </c>
      <c r="I84" s="746">
        <v>100</v>
      </c>
      <c r="J84" s="716" t="s">
        <v>23</v>
      </c>
      <c r="K84" s="716"/>
      <c r="L84" s="716" t="s">
        <v>14362</v>
      </c>
      <c r="M84" s="716" t="s">
        <v>25</v>
      </c>
      <c r="N84" s="716">
        <f>IFERROR(VLOOKUP(C84,[3]List1!$A:$D,4,FALSE),"N/A!")</f>
        <v>1.9460250000000002E-2</v>
      </c>
      <c r="O84" s="716">
        <f>IFERROR(VLOOKUP(C84,[3]List1!$A:$D,3,FALSE),"N/A!")</f>
        <v>4350</v>
      </c>
      <c r="P84" s="716">
        <f>IFERROR(VLOOKUP(C84,[3]List1!$A:$D,2,FALSE),"N/A!")</f>
        <v>11500</v>
      </c>
      <c r="Q84" s="716" t="s">
        <v>14309</v>
      </c>
      <c r="R84" s="716" t="s">
        <v>14310</v>
      </c>
      <c r="S84" s="716"/>
      <c r="T84" s="716">
        <v>95</v>
      </c>
      <c r="U84" s="716"/>
      <c r="V84" s="716"/>
      <c r="W84" s="716" t="str">
        <f>IFERROR(VLOOKUP('General price list'!$C84,Popisy!A:P,MATCH($W$17,Popisy!$A$7:$P$7,0),FALSE),"---------------")</f>
        <v>zlaté prskavky,  délka 40cm, délka prskací hmoty 26cm, průměr prskací hmoty 3,7mm</v>
      </c>
      <c r="X84" s="716" t="str">
        <f t="shared" si="113"/>
        <v/>
      </c>
      <c r="Y84" s="716" t="str">
        <f t="shared" si="114"/>
        <v/>
      </c>
      <c r="Z84" s="716" t="str">
        <f>HYPERLINK("https://https://www.klasekpyrotechnics.cz/vp40w")</f>
        <v>https://https://www.klasekpyrotechnics.cz/vp40w</v>
      </c>
      <c r="AA84" s="716">
        <f>IFERROR(IF(VLOOKUP(C84,[4]List1!$A:$D,4,FALSE)=0,"",VLOOKUP(C84,[4]List1!$A:$D,4,FALSE)),"")</f>
        <v>62</v>
      </c>
      <c r="AB84" s="720"/>
      <c r="AC84" s="747" t="str">
        <f>IFERROR(IF(VLOOKUP(C84,[1]List1!$A:$D,2,FALSE)="VYPRODÁNO",$V$9,IF(VLOOKUP(C84,[1]List1!$A:$D,2,FALSE)="DOCHÁZÍ",$V$3,VLOOKUP(C84,[1]List1!$A:$D,2,FALSE))),"OFFLINE!")</f>
        <v>SKLADEM</v>
      </c>
      <c r="AD84" s="748" t="str">
        <f ca="1">IF(AP84="NE",$V$10,IF(AC84=$V$3,IF(AQ84&lt;1,$V$8,$V$2&amp;" "&amp;AQ84&amp;" "&amp;$V$1),IF(AC84="SKLADEM",$V$6,IFERROR(IF(OR(AC84-TODAY()&gt;45,VLOOKUP(C84,[1]List1!$A:$E,4,FALSE)=0),AC84,DAY(AC84)&amp;"."&amp;MONTH(AC84)&amp;"."&amp;YEAR(AC84)&amp;" "&amp;$V$4&amp;VLOOKUP(C84,[1]List1!$A:$E,4,FALSE)&amp;" "&amp;$V$1),AC84))))</f>
        <v>SKLADEM</v>
      </c>
      <c r="AE84" s="716" t="str">
        <f t="shared" ca="1" si="115"/>
        <v>SKLADEM</v>
      </c>
      <c r="AF84" s="723">
        <f t="shared" si="116"/>
        <v>0</v>
      </c>
      <c r="AG84" s="723">
        <f t="shared" si="117"/>
        <v>0</v>
      </c>
      <c r="AH84" s="724">
        <f t="shared" si="118"/>
        <v>0</v>
      </c>
      <c r="AI84" s="716">
        <f t="shared" si="119"/>
        <v>0</v>
      </c>
      <c r="AJ84" s="716">
        <f t="shared" si="120"/>
        <v>0</v>
      </c>
      <c r="AK84" s="716" t="str">
        <f t="shared" si="121"/>
        <v/>
      </c>
      <c r="AL84" s="716" t="str">
        <f t="shared" si="122"/>
        <v/>
      </c>
      <c r="AM84" s="716">
        <f t="shared" si="123"/>
        <v>0</v>
      </c>
      <c r="AN84" s="716">
        <f t="shared" si="124"/>
        <v>0</v>
      </c>
      <c r="AO84" s="380"/>
      <c r="AP84" s="322" t="str">
        <f t="shared" si="125"/>
        <v/>
      </c>
      <c r="AQ84" s="323" t="str">
        <f>IF(AC84=$V$3,IF(VLOOKUP(C84,[1]List1!$A:$E,5,FALSE)=0,1,VLOOKUP(C84,[1]List1!$A:$E,5,FALSE)),"")</f>
        <v/>
      </c>
      <c r="AR84" s="304" t="str">
        <f t="shared" si="126"/>
        <v/>
      </c>
      <c r="AS84" s="423" t="str">
        <f t="shared" si="127"/>
        <v/>
      </c>
      <c r="AT84" s="304" t="str">
        <f t="shared" si="128"/>
        <v/>
      </c>
      <c r="AU84" s="342" t="e">
        <f t="shared" si="129"/>
        <v>#N/A</v>
      </c>
      <c r="AV84" s="304" t="e">
        <f t="shared" si="130"/>
        <v>#N/A</v>
      </c>
      <c r="AX84" s="304">
        <f>IF(AND('General price list'!$J84="F4",'General price list'!$AB84+0&gt;0),1,0)</f>
        <v>0</v>
      </c>
      <c r="AY84" s="304">
        <f t="shared" si="131"/>
        <v>1</v>
      </c>
      <c r="AZ84" s="304">
        <f t="shared" si="132"/>
        <v>1</v>
      </c>
    </row>
    <row r="85" spans="1:52" ht="15" customHeight="1">
      <c r="A85" s="725" t="str">
        <f>Kat.!C85</f>
        <v/>
      </c>
      <c r="B85" s="749">
        <f>IF(AND('General price list'!$J85="F4",$AI$1=FALSE),0,IF(AC85="SKLADEM",1,IF(AC85=$V$3,1,0)))</f>
        <v>1</v>
      </c>
      <c r="C85" s="727" t="s">
        <v>189</v>
      </c>
      <c r="D85" s="728" t="s">
        <v>190</v>
      </c>
      <c r="E85" s="729" t="s">
        <v>112</v>
      </c>
      <c r="F85" s="725">
        <f>IFERROR(ROUND(IF($AL$3=2,VLOOKUP(C85,[2]List1!$A:$D,2,FALSE)*1.08,VLOOKUP(C85,[2]List1!$A:$D,2,FALSE)),0),"NEUVEDENO!")</f>
        <v>249</v>
      </c>
      <c r="G85" s="730">
        <f t="shared" si="111"/>
        <v>249</v>
      </c>
      <c r="H85" s="731">
        <f t="shared" si="112"/>
        <v>10.118290537163384</v>
      </c>
      <c r="I85" s="750">
        <v>10</v>
      </c>
      <c r="J85" s="729" t="s">
        <v>23</v>
      </c>
      <c r="K85" s="729" t="s">
        <v>14821</v>
      </c>
      <c r="L85" s="729" t="s">
        <v>14360</v>
      </c>
      <c r="M85" s="729" t="s">
        <v>25</v>
      </c>
      <c r="N85" s="729">
        <f>IFERROR(VLOOKUP(C85,[3]List1!$A:$D,4,FALSE),"N/A!")</f>
        <v>2.6460000000000004E-2</v>
      </c>
      <c r="O85" s="729">
        <f>IFERROR(VLOOKUP(C85,[3]List1!$A:$D,3,FALSE),"N/A!")</f>
        <v>4800</v>
      </c>
      <c r="P85" s="729">
        <f>IFERROR(VLOOKUP(C85,[3]List1!$A:$D,2,FALSE),"N/A!")</f>
        <v>10500</v>
      </c>
      <c r="Q85" s="729" t="s">
        <v>14094</v>
      </c>
      <c r="R85" s="729" t="s">
        <v>217</v>
      </c>
      <c r="S85" s="729"/>
      <c r="T85" s="729">
        <v>70</v>
      </c>
      <c r="U85" s="729"/>
      <c r="V85" s="729"/>
      <c r="W85" s="729" t="str">
        <f>IFERROR(VLOOKUP('General price list'!$C85,Popisy!A:P,MATCH($W$17,Popisy!$A$7:$P$7,0),FALSE),"---------------")</f>
        <v>zlaté prskavky,  délka 28cm, délka prskací hmoty 17cm, průměr prskací hmoty 3mm</v>
      </c>
      <c r="X85" s="729" t="str">
        <f t="shared" si="113"/>
        <v/>
      </c>
      <c r="Y85" s="729" t="str">
        <f t="shared" si="114"/>
        <v/>
      </c>
      <c r="Z85" s="729" t="str">
        <f>HYPERLINK("https://www.klasekpyrotechnics.cz/vp28")</f>
        <v>https://www.klasekpyrotechnics.cz/vp28</v>
      </c>
      <c r="AA85" s="729">
        <f>IFERROR(IF(VLOOKUP(C85,[4]List1!$A:$D,4,FALSE)=0,"",VLOOKUP(C85,[4]List1!$A:$D,4,FALSE)),"")</f>
        <v>48</v>
      </c>
      <c r="AB85" s="720"/>
      <c r="AC85" s="751" t="str">
        <f>IFERROR(IF(VLOOKUP(C85,[1]List1!$A:$D,2,FALSE)="VYPRODÁNO",$V$9,IF(VLOOKUP(C85,[1]List1!$A:$D,2,FALSE)="DOCHÁZÍ",$V$3,VLOOKUP(C85,[1]List1!$A:$D,2,FALSE))),"OFFLINE!")</f>
        <v>SKLADEM</v>
      </c>
      <c r="AD85" s="752" t="str">
        <f ca="1">IF(AP85="NE",$V$10,IF(AC85=$V$3,IF(AQ85&lt;1,$V$8,$V$2&amp;" "&amp;AQ85&amp;" "&amp;$V$1),IF(AC85="SKLADEM",$V$6,IFERROR(IF(OR(AC85-TODAY()&gt;45,VLOOKUP(C85,[1]List1!$A:$E,4,FALSE)=0),AC85,DAY(AC85)&amp;"."&amp;MONTH(AC85)&amp;"."&amp;YEAR(AC85)&amp;" "&amp;$V$4&amp;VLOOKUP(C85,[1]List1!$A:$E,4,FALSE)&amp;" "&amp;$V$1),AC85))))</f>
        <v>SKLADEM</v>
      </c>
      <c r="AE85" s="729" t="str">
        <f t="shared" ca="1" si="115"/>
        <v>SKLADEM</v>
      </c>
      <c r="AF85" s="735">
        <f t="shared" si="116"/>
        <v>0</v>
      </c>
      <c r="AG85" s="735">
        <f t="shared" si="117"/>
        <v>0</v>
      </c>
      <c r="AH85" s="736">
        <f t="shared" si="118"/>
        <v>0</v>
      </c>
      <c r="AI85" s="729">
        <f t="shared" si="119"/>
        <v>0</v>
      </c>
      <c r="AJ85" s="729">
        <f t="shared" si="120"/>
        <v>0</v>
      </c>
      <c r="AK85" s="729" t="str">
        <f t="shared" si="121"/>
        <v/>
      </c>
      <c r="AL85" s="729" t="str">
        <f t="shared" si="122"/>
        <v/>
      </c>
      <c r="AM85" s="729">
        <f t="shared" si="123"/>
        <v>0</v>
      </c>
      <c r="AN85" s="729">
        <f t="shared" si="124"/>
        <v>0</v>
      </c>
      <c r="AO85" s="380"/>
      <c r="AP85" s="322" t="str">
        <f t="shared" si="125"/>
        <v/>
      </c>
      <c r="AQ85" s="323" t="str">
        <f>IF(AC85=$V$3,IF(VLOOKUP(C85,[1]List1!$A:$E,5,FALSE)=0,1,VLOOKUP(C85,[1]List1!$A:$E,5,FALSE)),"")</f>
        <v/>
      </c>
      <c r="AR85" s="304" t="str">
        <f t="shared" si="126"/>
        <v/>
      </c>
      <c r="AS85" s="423" t="str">
        <f t="shared" si="127"/>
        <v/>
      </c>
      <c r="AT85" s="304" t="str">
        <f t="shared" si="128"/>
        <v/>
      </c>
      <c r="AU85" s="342" t="e">
        <f t="shared" si="129"/>
        <v>#N/A</v>
      </c>
      <c r="AV85" s="304" t="e">
        <f t="shared" si="130"/>
        <v>#N/A</v>
      </c>
      <c r="AX85" s="304">
        <f>IF(AND('General price list'!$J85="F4",'General price list'!$AB85+0&gt;0),1,0)</f>
        <v>0</v>
      </c>
      <c r="AY85" s="304">
        <f t="shared" si="131"/>
        <v>1</v>
      </c>
      <c r="AZ85" s="304">
        <f t="shared" si="132"/>
        <v>1</v>
      </c>
    </row>
    <row r="86" spans="1:52" ht="15" customHeight="1">
      <c r="A86" s="712" t="str">
        <f>Kat.!C86</f>
        <v/>
      </c>
      <c r="B86" s="745">
        <f>IF(AND('General price list'!$J86="F4",$AI$1=FALSE),0,IF(AC86="SKLADEM",1,IF(AC86=$V$3,1,0)))</f>
        <v>1</v>
      </c>
      <c r="C86" s="714" t="s">
        <v>194</v>
      </c>
      <c r="D86" s="715" t="s">
        <v>195</v>
      </c>
      <c r="E86" s="716" t="s">
        <v>196</v>
      </c>
      <c r="F86" s="712">
        <f>IFERROR(ROUND(IF($AL$3=2,VLOOKUP(C86,[2]List1!$A:$D,2,FALSE)*1.08,VLOOKUP(C86,[2]List1!$A:$D,2,FALSE)),0),"NEUVEDENO!")</f>
        <v>118</v>
      </c>
      <c r="G86" s="717">
        <f t="shared" si="111"/>
        <v>118</v>
      </c>
      <c r="H86" s="718">
        <f t="shared" si="112"/>
        <v>4.7950131862862628</v>
      </c>
      <c r="I86" s="746">
        <v>40</v>
      </c>
      <c r="J86" s="716" t="s">
        <v>23</v>
      </c>
      <c r="K86" s="716">
        <v>5</v>
      </c>
      <c r="L86" s="716" t="s">
        <v>14360</v>
      </c>
      <c r="M86" s="716" t="s">
        <v>25</v>
      </c>
      <c r="N86" s="716">
        <f>IFERROR(VLOOKUP(C86,[3]List1!$A:$D,4,FALSE),"N/A!")</f>
        <v>2.7213624999999998E-2</v>
      </c>
      <c r="O86" s="716">
        <f>IFERROR(VLOOKUP(C86,[3]List1!$A:$D,3,FALSE),"N/A!")</f>
        <v>3840</v>
      </c>
      <c r="P86" s="716">
        <f>IFERROR(VLOOKUP(C86,[3]List1!$A:$D,2,FALSE),"N/A!")</f>
        <v>13000</v>
      </c>
      <c r="Q86" s="716" t="s">
        <v>45</v>
      </c>
      <c r="R86" s="716" t="s">
        <v>18</v>
      </c>
      <c r="S86" s="716"/>
      <c r="T86" s="716">
        <v>35</v>
      </c>
      <c r="U86" s="716"/>
      <c r="V86" s="716"/>
      <c r="W86" s="716" t="str">
        <f>IFERROR(VLOOKUP('General price list'!$C86,Popisy!A:P,MATCH($W$17,Popisy!$A$7:$P$7,0),FALSE),"---------------")</f>
        <v>zlaté prskavky,  délka 16cm, délka prskací hmoty 8,5cm, průměr prskací hmoty 2,5mm</v>
      </c>
      <c r="X86" s="716" t="str">
        <f t="shared" si="113"/>
        <v/>
      </c>
      <c r="Y86" s="716" t="str">
        <f t="shared" si="114"/>
        <v/>
      </c>
      <c r="Z86" s="716" t="str">
        <f>HYPERLINK("https://www.klasekpyrotechnics.cz/vp16a")</f>
        <v>https://www.klasekpyrotechnics.cz/vp16a</v>
      </c>
      <c r="AA86" s="716" t="str">
        <f>IFERROR(IF(VLOOKUP(C86,[4]List1!$A:$D,4,FALSE)=0,"",VLOOKUP(C86,[4]List1!$A:$D,4,FALSE)),"")</f>
        <v>25</v>
      </c>
      <c r="AB86" s="720"/>
      <c r="AC86" s="747" t="str">
        <f>IFERROR(IF(VLOOKUP(C86,[1]List1!$A:$D,2,FALSE)="VYPRODÁNO",$V$9,IF(VLOOKUP(C86,[1]List1!$A:$D,2,FALSE)="DOCHÁZÍ",$V$3,VLOOKUP(C86,[1]List1!$A:$D,2,FALSE))),"OFFLINE!")</f>
        <v>SKLADEM</v>
      </c>
      <c r="AD86" s="748" t="str">
        <f ca="1">IF(AP86="NE",$V$10,IF(AC86=$V$3,IF(AQ86&lt;1,$V$8,$V$2&amp;" "&amp;AQ86&amp;" "&amp;$V$1),IF(AC86="SKLADEM",$V$6,IFERROR(IF(OR(AC86-TODAY()&gt;45,VLOOKUP(C86,[1]List1!$A:$E,4,FALSE)=0),AC86,DAY(AC86)&amp;"."&amp;MONTH(AC86)&amp;"."&amp;YEAR(AC86)&amp;" "&amp;$V$4&amp;VLOOKUP(C86,[1]List1!$A:$E,4,FALSE)&amp;" "&amp;$V$1),AC86))))</f>
        <v>SKLADEM</v>
      </c>
      <c r="AE86" s="716" t="str">
        <f t="shared" ca="1" si="115"/>
        <v>SKLADEM</v>
      </c>
      <c r="AF86" s="723">
        <f t="shared" si="116"/>
        <v>0</v>
      </c>
      <c r="AG86" s="723">
        <f t="shared" si="117"/>
        <v>0</v>
      </c>
      <c r="AH86" s="724">
        <f t="shared" si="118"/>
        <v>0</v>
      </c>
      <c r="AI86" s="716">
        <f t="shared" si="119"/>
        <v>0</v>
      </c>
      <c r="AJ86" s="716">
        <f t="shared" si="120"/>
        <v>0</v>
      </c>
      <c r="AK86" s="716" t="str">
        <f t="shared" si="121"/>
        <v/>
      </c>
      <c r="AL86" s="716" t="str">
        <f t="shared" si="122"/>
        <v/>
      </c>
      <c r="AM86" s="716">
        <f t="shared" si="123"/>
        <v>0</v>
      </c>
      <c r="AN86" s="716">
        <f t="shared" si="124"/>
        <v>0</v>
      </c>
      <c r="AO86" s="380"/>
      <c r="AP86" s="322" t="str">
        <f t="shared" si="125"/>
        <v/>
      </c>
      <c r="AQ86" s="323" t="str">
        <f>IF(AC86=$V$3,IF(VLOOKUP(C86,[1]List1!$A:$E,5,FALSE)=0,1,VLOOKUP(C86,[1]List1!$A:$E,5,FALSE)),"")</f>
        <v/>
      </c>
      <c r="AR86" s="304" t="str">
        <f t="shared" si="126"/>
        <v/>
      </c>
      <c r="AS86" s="423" t="str">
        <f t="shared" si="127"/>
        <v/>
      </c>
      <c r="AT86" s="304" t="str">
        <f t="shared" si="128"/>
        <v/>
      </c>
      <c r="AU86" s="342" t="e">
        <f t="shared" si="129"/>
        <v>#N/A</v>
      </c>
      <c r="AV86" s="304" t="e">
        <f t="shared" si="130"/>
        <v>#N/A</v>
      </c>
      <c r="AX86" s="304">
        <f>IF(AND('General price list'!$J86="F4",'General price list'!$AB86+0&gt;0),1,0)</f>
        <v>0</v>
      </c>
      <c r="AY86" s="304">
        <f t="shared" si="131"/>
        <v>1</v>
      </c>
      <c r="AZ86" s="304">
        <f t="shared" si="132"/>
        <v>1</v>
      </c>
    </row>
    <row r="87" spans="1:52" ht="15" customHeight="1">
      <c r="A87" s="725" t="str">
        <f>Kat.!C87</f>
        <v>×</v>
      </c>
      <c r="B87" s="749">
        <f>IF(AND('General price list'!$J87="F4",$AI$1=FALSE),0,IF(AC87="SKLADEM",1,IF(AC87=$V$3,1,0)))</f>
        <v>1</v>
      </c>
      <c r="C87" s="727" t="s">
        <v>200</v>
      </c>
      <c r="D87" s="728" t="s">
        <v>195</v>
      </c>
      <c r="E87" s="729" t="s">
        <v>196</v>
      </c>
      <c r="F87" s="725">
        <f>IFERROR(ROUND(IF($AL$3=2,VLOOKUP(C87,[2]List1!$A:$D,2,FALSE)*1.08,VLOOKUP(C87,[2]List1!$A:$D,2,FALSE)),0),"NEUVEDENO!")</f>
        <v>118</v>
      </c>
      <c r="G87" s="730">
        <f t="shared" si="111"/>
        <v>118</v>
      </c>
      <c r="H87" s="731">
        <f t="shared" si="112"/>
        <v>4.7950131862862628</v>
      </c>
      <c r="I87" s="750">
        <v>40</v>
      </c>
      <c r="J87" s="729" t="s">
        <v>23</v>
      </c>
      <c r="K87" s="729">
        <v>5</v>
      </c>
      <c r="L87" s="729" t="s">
        <v>14360</v>
      </c>
      <c r="M87" s="729" t="s">
        <v>25</v>
      </c>
      <c r="N87" s="729">
        <f>IFERROR(VLOOKUP(C87,[3]List1!$A:$D,4,FALSE),"N/A!")</f>
        <v>2.7213624999999998E-2</v>
      </c>
      <c r="O87" s="729">
        <f>IFERROR(VLOOKUP(C87,[3]List1!$A:$D,3,FALSE),"N/A!")</f>
        <v>3840</v>
      </c>
      <c r="P87" s="729">
        <f>IFERROR(VLOOKUP(C87,[3]List1!$A:$D,2,FALSE),"N/A!")</f>
        <v>13600</v>
      </c>
      <c r="Q87" s="729" t="s">
        <v>45</v>
      </c>
      <c r="R87" s="729" t="s">
        <v>19</v>
      </c>
      <c r="S87" s="729"/>
      <c r="T87" s="729">
        <v>35</v>
      </c>
      <c r="U87" s="729"/>
      <c r="V87" s="729"/>
      <c r="W87" s="729" t="str">
        <f>IFERROR(VLOOKUP('General price list'!$C87,Popisy!A:P,MATCH($W$17,Popisy!$A$7:$P$7,0),FALSE),"---------------")</f>
        <v>zlaté prskavky,  délka 16cm, délka prskací hmoty 8,5cm, průměr prskací hmoty 2,5mm</v>
      </c>
      <c r="X87" s="729" t="str">
        <f t="shared" si="113"/>
        <v/>
      </c>
      <c r="Y87" s="729" t="str">
        <f t="shared" si="114"/>
        <v/>
      </c>
      <c r="Z87" s="729" t="str">
        <f>HYPERLINK("https://www.klasekpyrotechnics.cz/vp16a_1")</f>
        <v>https://www.klasekpyrotechnics.cz/vp16a_1</v>
      </c>
      <c r="AA87" s="729" t="str">
        <f>IFERROR(IF(VLOOKUP(C87,[4]List1!$A:$D,4,FALSE)=0,"",VLOOKUP(C87,[4]List1!$A:$D,4,FALSE)),"")</f>
        <v>25</v>
      </c>
      <c r="AB87" s="720"/>
      <c r="AC87" s="751" t="str">
        <f>IFERROR(IF(VLOOKUP(C87,[1]List1!$A:$D,2,FALSE)="VYPRODÁNO",$V$9,IF(VLOOKUP(C87,[1]List1!$A:$D,2,FALSE)="DOCHÁZÍ",$V$3,VLOOKUP(C87,[1]List1!$A:$D,2,FALSE))),"OFFLINE!")</f>
        <v>SKLADEM</v>
      </c>
      <c r="AD87" s="752" t="str">
        <f ca="1">IF(AP87="NE",$V$10,IF(AC87=$V$3,IF(AQ87&lt;1,$V$8,$V$2&amp;" "&amp;AQ87&amp;" "&amp;$V$1),IF(AC87="SKLADEM",$V$6,IFERROR(IF(OR(AC87-TODAY()&gt;45,VLOOKUP(C87,[1]List1!$A:$E,4,FALSE)=0),AC87,DAY(AC87)&amp;"."&amp;MONTH(AC87)&amp;"."&amp;YEAR(AC87)&amp;" "&amp;$V$4&amp;VLOOKUP(C87,[1]List1!$A:$E,4,FALSE)&amp;" "&amp;$V$1),AC87))))</f>
        <v>SKLADEM</v>
      </c>
      <c r="AE87" s="729" t="str">
        <f t="shared" ca="1" si="115"/>
        <v>SKLADEM</v>
      </c>
      <c r="AF87" s="735">
        <f t="shared" si="116"/>
        <v>0</v>
      </c>
      <c r="AG87" s="735">
        <f t="shared" si="117"/>
        <v>0</v>
      </c>
      <c r="AH87" s="736">
        <f t="shared" si="118"/>
        <v>0</v>
      </c>
      <c r="AI87" s="729">
        <f t="shared" si="119"/>
        <v>0</v>
      </c>
      <c r="AJ87" s="729">
        <f t="shared" si="120"/>
        <v>0</v>
      </c>
      <c r="AK87" s="729" t="str">
        <f t="shared" si="121"/>
        <v/>
      </c>
      <c r="AL87" s="729" t="str">
        <f t="shared" si="122"/>
        <v/>
      </c>
      <c r="AM87" s="729">
        <f t="shared" si="123"/>
        <v>0</v>
      </c>
      <c r="AN87" s="729">
        <f t="shared" si="124"/>
        <v>0</v>
      </c>
      <c r="AO87" s="380"/>
      <c r="AP87" s="322" t="str">
        <f t="shared" si="125"/>
        <v/>
      </c>
      <c r="AQ87" s="323" t="str">
        <f>IF(AC87=$V$3,IF(VLOOKUP(C87,[1]List1!$A:$E,5,FALSE)=0,1,VLOOKUP(C87,[1]List1!$A:$E,5,FALSE)),"")</f>
        <v/>
      </c>
      <c r="AR87" s="304" t="str">
        <f t="shared" si="126"/>
        <v/>
      </c>
      <c r="AS87" s="423" t="str">
        <f t="shared" si="127"/>
        <v/>
      </c>
      <c r="AT87" s="304" t="str">
        <f t="shared" si="128"/>
        <v/>
      </c>
      <c r="AU87" s="342" t="e">
        <f t="shared" si="129"/>
        <v>#N/A</v>
      </c>
      <c r="AV87" s="304" t="e">
        <f t="shared" si="130"/>
        <v>#N/A</v>
      </c>
      <c r="AX87" s="304">
        <f>IF(AND('General price list'!$J87="F4",'General price list'!$AB87+0&gt;0),1,0)</f>
        <v>0</v>
      </c>
      <c r="AY87" s="304">
        <f t="shared" si="131"/>
        <v>1</v>
      </c>
      <c r="AZ87" s="304">
        <f t="shared" si="132"/>
        <v>0</v>
      </c>
    </row>
    <row r="88" spans="1:52" ht="15" customHeight="1">
      <c r="A88" s="773" t="str">
        <f>Kat.!C88</f>
        <v xml:space="preserve">                                                               Prskavky speciální</v>
      </c>
      <c r="B88" s="774"/>
      <c r="C88" s="774"/>
      <c r="D88" s="774"/>
      <c r="E88" s="774"/>
      <c r="F88" s="774"/>
      <c r="G88" s="774"/>
      <c r="H88" s="774"/>
      <c r="I88" s="774"/>
      <c r="J88" s="774"/>
      <c r="K88" s="774"/>
      <c r="L88" s="774"/>
      <c r="M88" s="774"/>
      <c r="N88" s="774"/>
      <c r="O88" s="774"/>
      <c r="P88" s="774"/>
      <c r="Q88" s="774"/>
      <c r="R88" s="774"/>
      <c r="S88" s="774"/>
      <c r="T88" s="774"/>
      <c r="U88" s="774"/>
      <c r="V88" s="774"/>
      <c r="W88" s="774"/>
      <c r="X88" s="774"/>
      <c r="Y88" s="774"/>
      <c r="Z88" s="774"/>
      <c r="AA88" s="774" t="str">
        <f>IFERROR(IF(VLOOKUP(C88,[4]List1!$A:$D,4,FALSE)=0,"",VLOOKUP(C88,[4]List1!$A:$D,4,FALSE)),"")</f>
        <v/>
      </c>
      <c r="AB88" s="774"/>
      <c r="AC88" s="775" t="str">
        <f>IFERROR(IF(VLOOKUP(C88,[1]List1!$A:$D,2,FALSE)="VYPRODÁNO",$V$9,IF(VLOOKUP(C88,[1]List1!$A:$D,2,FALSE)="DOCHÁZÍ",$V$3,VLOOKUP(C88,[1]List1!$A:$D,2,FALSE))),"OFFLINE!")</f>
        <v>OFFLINE!</v>
      </c>
      <c r="AD88" s="774"/>
      <c r="AE88" s="774"/>
      <c r="AF88" s="774"/>
      <c r="AG88" s="774"/>
      <c r="AH88" s="774"/>
      <c r="AI88" s="774"/>
      <c r="AJ88" s="774"/>
      <c r="AK88" s="774"/>
      <c r="AL88" s="774"/>
      <c r="AM88" s="774"/>
      <c r="AN88" s="774"/>
      <c r="AO88" s="380"/>
      <c r="AP88" s="322" t="str">
        <f t="shared" ref="AP88:AP150" si="133">IF($AL$3=1,IF(Y88=AB88,"","NE"),IF(AR88=$V$10,"NE",""))</f>
        <v/>
      </c>
      <c r="AQ88" s="323" t="str">
        <f>IF(AC88=$V$3,IF(VLOOKUP(C88,[1]List1!$A:$E,5,FALSE)=0,1,VLOOKUP(C88,[1]List1!$A:$E,5,FALSE)),"")</f>
        <v/>
      </c>
      <c r="AR88" s="304" t="str">
        <f t="shared" ref="AR88:AR150" si="134">IF($AL$3=1,"",IF(OR(AB88&lt;&gt;"",AB88&lt;&gt;0),IF(OR(AC88=$V$6,AC88=$V$3,AC88=$V$9),$V$10,""),""))</f>
        <v/>
      </c>
      <c r="AS88" s="423" t="str">
        <f t="shared" ref="AS88:AS150" si="135">IF(AT88&lt;&gt;"","X","")</f>
        <v/>
      </c>
      <c r="AT88" s="304" t="str">
        <f t="shared" ref="AT88:AT150" si="136">IF(AND($AL$3=2,AR88="",AB88&lt;&gt;""),AD88,"")</f>
        <v/>
      </c>
      <c r="AU88" s="342" t="e">
        <f t="shared" ref="AU88:AU150" si="137">IF(AT88=$AS$21,AB88,"")</f>
        <v>#N/A</v>
      </c>
      <c r="AV88" s="304" t="e">
        <f t="shared" ref="AV88:AV150" si="138">IF(OR(AB88="",AND(AT88&lt;&gt;"",AU88&lt;&gt;"")),"",$V$10)</f>
        <v>#N/A</v>
      </c>
      <c r="AX88" s="304">
        <f>IF(AND('General price list'!$J88="F4",'General price list'!$AB88+0&gt;0),1,0)</f>
        <v>0</v>
      </c>
      <c r="AY88" s="304">
        <f t="shared" ref="AY88:AY150" si="139">IFERROR(FIND(VLOOKUP($AC$7,$AD$1:$AE$12,2,FALSE),Q88,1),0)</f>
        <v>0</v>
      </c>
      <c r="AZ88" s="304">
        <f t="shared" ref="AZ88:AZ150" si="140">IFERROR(FIND(VLOOKUP($AC$7,$AD$1:$AE$12,2,FALSE),R88,1),0)</f>
        <v>0</v>
      </c>
    </row>
    <row r="89" spans="1:52" ht="15" customHeight="1">
      <c r="A89" s="725" t="str">
        <f>Kat.!C89</f>
        <v/>
      </c>
      <c r="B89" s="741">
        <f>IF(AND('General price list'!$J89="F4",$AI$1=FALSE),0,IF(AC89="SKLADEM",1,IF(AC89=$V$3,1,0)))</f>
        <v>1</v>
      </c>
      <c r="C89" s="727" t="s">
        <v>201</v>
      </c>
      <c r="D89" s="728" t="s">
        <v>202</v>
      </c>
      <c r="E89" s="729" t="s">
        <v>203</v>
      </c>
      <c r="F89" s="725">
        <f>IFERROR(ROUND(IF($AL$3=2,VLOOKUP(C89,[2]List1!$A:$D,2,FALSE)*1.08,VLOOKUP(C89,[2]List1!$A:$D,2,FALSE)),0),"NEUVEDENO!")</f>
        <v>46</v>
      </c>
      <c r="G89" s="730">
        <f t="shared" ref="G89:G95" si="141">(F89)*$B$19</f>
        <v>46</v>
      </c>
      <c r="H89" s="731">
        <f t="shared" ref="H89:H95" si="142">G89/$F$19</f>
        <v>1.869242428552272</v>
      </c>
      <c r="I89" s="742">
        <v>100</v>
      </c>
      <c r="J89" s="729" t="s">
        <v>23</v>
      </c>
      <c r="K89" s="729" t="s">
        <v>14820</v>
      </c>
      <c r="L89" s="729" t="s">
        <v>14355</v>
      </c>
      <c r="M89" s="729" t="s">
        <v>25</v>
      </c>
      <c r="N89" s="729">
        <f>IFERROR(VLOOKUP(C89,[3]List1!$A:$D,4,FALSE),"N/A!")</f>
        <v>5.2000000000000005E-2</v>
      </c>
      <c r="O89" s="729">
        <f>IFERROR(VLOOKUP(C89,[3]List1!$A:$D,3,FALSE),"N/A!")</f>
        <v>4800</v>
      </c>
      <c r="P89" s="729">
        <f>IFERROR(VLOOKUP(C89,[3]List1!$A:$D,2,FALSE),"N/A!")</f>
        <v>13100</v>
      </c>
      <c r="Q89" s="729" t="s">
        <v>2786</v>
      </c>
      <c r="R89" s="729" t="s">
        <v>24</v>
      </c>
      <c r="S89" s="729"/>
      <c r="T89" s="729">
        <v>40</v>
      </c>
      <c r="U89" s="729"/>
      <c r="V89" s="729"/>
      <c r="W89" s="729" t="str">
        <f>IFERROR(VLOOKUP('General price list'!$C89,Popisy!A:P,MATCH($W$17,Popisy!$A$7:$P$7,0),FALSE),"---------------")</f>
        <v>neonové prskavky(růžová,žlutá,zelelná,modrá),  délka 28cm, délka prskací hmoty 17cm, průměr prskací hmoty 3mm</v>
      </c>
      <c r="X89" s="729" t="str">
        <f t="shared" ref="X89:X95" si="143">IF(AB89&lt;0.0001,"",AB89)</f>
        <v/>
      </c>
      <c r="Y89" s="729" t="str">
        <f t="shared" ref="Y89:Y95" si="144">IF($AL$3=2,IF(OR(AB89&lt;&gt;"",AB89&lt;&gt;0),AU89,""),IF(C89="","",IF(AB89&lt;0.0001,"",IF(B89=0,"",IF(AQ89&lt;AB89,"",AB89)))))</f>
        <v/>
      </c>
      <c r="Z89" s="729" t="str">
        <f>HYPERLINK("https://www.klasekpyrotechnics.cz/vp28n")</f>
        <v>https://www.klasekpyrotechnics.cz/vp28n</v>
      </c>
      <c r="AA89" s="729" t="str">
        <f>IFERROR(IF(VLOOKUP(C89,[4]List1!$A:$D,4,FALSE)=0,"",VLOOKUP(C89,[4]List1!$A:$D,4,FALSE)),"")</f>
        <v>24</v>
      </c>
      <c r="AB89" s="720"/>
      <c r="AC89" s="743" t="str">
        <f>IFERROR(IF(VLOOKUP(C89,[1]List1!$A:$D,2,FALSE)="VYPRODÁNO",$V$9,IF(VLOOKUP(C89,[1]List1!$A:$D,2,FALSE)="DOCHÁZÍ",$V$3,VLOOKUP(C89,[1]List1!$A:$D,2,FALSE))),"OFFLINE!")</f>
        <v>SKLADEM</v>
      </c>
      <c r="AD89" s="744" t="str">
        <f ca="1">IF(AP89="NE",$V$10,IF(AC89=$V$3,IF(AQ89&lt;1,$V$8,$V$2&amp;" "&amp;AQ89&amp;" "&amp;$V$1),IF(AC89="SKLADEM",$V$6,IFERROR(IF(OR(AC89-TODAY()&gt;45,VLOOKUP(C89,[1]List1!$A:$E,4,FALSE)=0),AC89,DAY(AC89)&amp;"."&amp;MONTH(AC89)&amp;"."&amp;YEAR(AC89)&amp;" "&amp;$V$4&amp;VLOOKUP(C89,[1]List1!$A:$E,4,FALSE)&amp;" "&amp;$V$1),AC89))))</f>
        <v>SKLADEM</v>
      </c>
      <c r="AE89" s="729" t="str">
        <f t="shared" ref="AE89:AE95" ca="1" si="145">IFERROR(IF(AV89&lt;&gt;"",AV89,AD89),AD89)</f>
        <v>SKLADEM</v>
      </c>
      <c r="AF89" s="735">
        <f t="shared" ref="AF89:AF95" si="146">IFERROR(IF(AB89=Y89,G89*I89*Y89,0),0)</f>
        <v>0</v>
      </c>
      <c r="AG89" s="735">
        <f t="shared" ref="AG89:AG95" si="147">IF($W$17=$AF$8,AH89*1.23,AF89*1.21)</f>
        <v>0</v>
      </c>
      <c r="AH89" s="736">
        <f t="shared" ref="AH89:AH95" si="148">IFERROR(IF(Y89=AB89,H89*I89*Y89,0),0)</f>
        <v>0</v>
      </c>
      <c r="AI89" s="729">
        <f t="shared" ref="AI89:AI95" si="149">IFERROR(IF(Y89=AB89,(P89*Y89)/1000,1),0)</f>
        <v>0</v>
      </c>
      <c r="AJ89" s="729">
        <f t="shared" ref="AJ89:AJ95" si="150">IFERROR(IF(Y89=AB89,N89*Y89,0.1),0)</f>
        <v>0</v>
      </c>
      <c r="AK89" s="729" t="str">
        <f t="shared" ref="AK89:AK95" si="151">IFERROR(IF(Y89=AB89,IF(M89="1.1G",(O89/1000)*Y89,""),""),0)</f>
        <v/>
      </c>
      <c r="AL89" s="729" t="str">
        <f t="shared" ref="AL89:AL95" si="152">IFERROR(IF(Y89=AB89,IF(M89="1.3G",(O89/1000)*AB89,""),""),0)</f>
        <v/>
      </c>
      <c r="AM89" s="729">
        <f t="shared" ref="AM89:AM95" si="153">IFERROR(IF(Y89=AB89,IF(M89="1.4G",(O89/1000)*AB89,""),""),0)</f>
        <v>0</v>
      </c>
      <c r="AN89" s="729">
        <f t="shared" ref="AN89:AN95" si="154">SUM(AK89:AM89)</f>
        <v>0</v>
      </c>
      <c r="AO89" s="380"/>
      <c r="AP89" s="322" t="str">
        <f t="shared" si="133"/>
        <v/>
      </c>
      <c r="AQ89" s="323" t="str">
        <f>IF(AC89=$V$3,IF(VLOOKUP(C89,[1]List1!$A:$E,5,FALSE)=0,1,VLOOKUP(C89,[1]List1!$A:$E,5,FALSE)),"")</f>
        <v/>
      </c>
      <c r="AR89" s="304" t="str">
        <f t="shared" si="134"/>
        <v/>
      </c>
      <c r="AS89" s="423" t="str">
        <f t="shared" si="135"/>
        <v/>
      </c>
      <c r="AT89" s="304" t="str">
        <f t="shared" si="136"/>
        <v/>
      </c>
      <c r="AU89" s="342" t="e">
        <f t="shared" si="137"/>
        <v>#N/A</v>
      </c>
      <c r="AV89" s="304" t="e">
        <f t="shared" si="138"/>
        <v>#N/A</v>
      </c>
      <c r="AX89" s="304">
        <f>IF(AND('General price list'!$J89="F4",'General price list'!$AB89+0&gt;0),1,0)</f>
        <v>0</v>
      </c>
      <c r="AY89" s="304">
        <f t="shared" si="139"/>
        <v>1</v>
      </c>
      <c r="AZ89" s="304">
        <f t="shared" si="140"/>
        <v>0</v>
      </c>
    </row>
    <row r="90" spans="1:52" ht="15" customHeight="1">
      <c r="A90" s="712" t="str">
        <f>Kat.!C90</f>
        <v/>
      </c>
      <c r="B90" s="745">
        <f>IF(AND('General price list'!$J90="F4",$AI$1=FALSE),0,IF(AC90="SKLADEM",1,IF(AC90=$V$3,1,0)))</f>
        <v>1</v>
      </c>
      <c r="C90" s="714" t="s">
        <v>204</v>
      </c>
      <c r="D90" s="715" t="s">
        <v>205</v>
      </c>
      <c r="E90" s="716" t="s">
        <v>206</v>
      </c>
      <c r="F90" s="712">
        <f>IFERROR(ROUND(IF($AL$3=2,VLOOKUP(C90,[2]List1!$A:$D,2,FALSE)*1.08,VLOOKUP(C90,[2]List1!$A:$D,2,FALSE)),0),"NEUVEDENO!")</f>
        <v>62</v>
      </c>
      <c r="G90" s="717">
        <f t="shared" si="141"/>
        <v>62</v>
      </c>
      <c r="H90" s="718">
        <f t="shared" si="142"/>
        <v>2.5194137080487145</v>
      </c>
      <c r="I90" s="746">
        <v>50</v>
      </c>
      <c r="J90" s="716" t="s">
        <v>23</v>
      </c>
      <c r="K90" s="716" t="s">
        <v>14734</v>
      </c>
      <c r="L90" s="716" t="s">
        <v>14355</v>
      </c>
      <c r="M90" s="716" t="s">
        <v>25</v>
      </c>
      <c r="N90" s="716">
        <f>IFERROR(VLOOKUP(C90,[3]List1!$A:$D,4,FALSE),"N/A!")</f>
        <v>2.4022249999999998E-2</v>
      </c>
      <c r="O90" s="716">
        <f>IFERROR(VLOOKUP(C90,[3]List1!$A:$D,3,FALSE),"N/A!")</f>
        <v>1760.0000000000002</v>
      </c>
      <c r="P90" s="716">
        <f>IFERROR(VLOOKUP(C90,[3]List1!$A:$D,2,FALSE),"N/A!")</f>
        <v>6200</v>
      </c>
      <c r="Q90" s="716" t="s">
        <v>14095</v>
      </c>
      <c r="R90" s="716" t="s">
        <v>24</v>
      </c>
      <c r="S90" s="716"/>
      <c r="T90" s="716">
        <v>60</v>
      </c>
      <c r="U90" s="716"/>
      <c r="V90" s="716"/>
      <c r="W90" s="716" t="str">
        <f>IFERROR(VLOOKUP('General price list'!$C90,Popisy!A:P,MATCH($W$17,Popisy!$A$7:$P$7,0),FALSE),"---------------")</f>
        <v>neonové prskavky(červená,žlutá,zelelná,modrá),  délka 40cm, délka prskací hmoty 26cm, průměr prskací hmoty 3,7mm</v>
      </c>
      <c r="X90" s="716" t="str">
        <f t="shared" si="143"/>
        <v/>
      </c>
      <c r="Y90" s="716" t="str">
        <f t="shared" si="144"/>
        <v/>
      </c>
      <c r="Z90" s="716" t="str">
        <f>HYPERLINK("https://www.klasekpyrotechnics.cz/vp40n")</f>
        <v>https://www.klasekpyrotechnics.cz/vp40n</v>
      </c>
      <c r="AA90" s="716">
        <f>IFERROR(IF(VLOOKUP(C90,[4]List1!$A:$D,4,FALSE)=0,"",VLOOKUP(C90,[4]List1!$A:$D,4,FALSE)),"")</f>
        <v>63</v>
      </c>
      <c r="AB90" s="720"/>
      <c r="AC90" s="747" t="str">
        <f>IFERROR(IF(VLOOKUP(C90,[1]List1!$A:$D,2,FALSE)="VYPRODÁNO",$V$9,IF(VLOOKUP(C90,[1]List1!$A:$D,2,FALSE)="DOCHÁZÍ",$V$3,VLOOKUP(C90,[1]List1!$A:$D,2,FALSE))),"OFFLINE!")</f>
        <v>SKLADEM</v>
      </c>
      <c r="AD90" s="748" t="str">
        <f ca="1">IF(AP90="NE",$V$10,IF(AC90=$V$3,IF(AQ90&lt;1,$V$8,$V$2&amp;" "&amp;AQ90&amp;" "&amp;$V$1),IF(AC90="SKLADEM",$V$6,IFERROR(IF(OR(AC90-TODAY()&gt;45,VLOOKUP(C90,[1]List1!$A:$E,4,FALSE)=0),AC90,DAY(AC90)&amp;"."&amp;MONTH(AC90)&amp;"."&amp;YEAR(AC90)&amp;" "&amp;$V$4&amp;VLOOKUP(C90,[1]List1!$A:$E,4,FALSE)&amp;" "&amp;$V$1),AC90))))</f>
        <v>SKLADEM</v>
      </c>
      <c r="AE90" s="716" t="str">
        <f t="shared" ca="1" si="145"/>
        <v>SKLADEM</v>
      </c>
      <c r="AF90" s="723">
        <f t="shared" si="146"/>
        <v>0</v>
      </c>
      <c r="AG90" s="723">
        <f t="shared" si="147"/>
        <v>0</v>
      </c>
      <c r="AH90" s="724">
        <f t="shared" si="148"/>
        <v>0</v>
      </c>
      <c r="AI90" s="716">
        <f t="shared" si="149"/>
        <v>0</v>
      </c>
      <c r="AJ90" s="716">
        <f t="shared" si="150"/>
        <v>0</v>
      </c>
      <c r="AK90" s="716" t="str">
        <f t="shared" si="151"/>
        <v/>
      </c>
      <c r="AL90" s="716" t="str">
        <f t="shared" si="152"/>
        <v/>
      </c>
      <c r="AM90" s="716">
        <f t="shared" si="153"/>
        <v>0</v>
      </c>
      <c r="AN90" s="716">
        <f t="shared" si="154"/>
        <v>0</v>
      </c>
      <c r="AO90" s="380"/>
      <c r="AP90" s="322" t="str">
        <f t="shared" si="133"/>
        <v/>
      </c>
      <c r="AQ90" s="323" t="str">
        <f>IF(AC90=$V$3,IF(VLOOKUP(C90,[1]List1!$A:$E,5,FALSE)=0,1,VLOOKUP(C90,[1]List1!$A:$E,5,FALSE)),"")</f>
        <v/>
      </c>
      <c r="AR90" s="304" t="str">
        <f t="shared" si="134"/>
        <v/>
      </c>
      <c r="AS90" s="423" t="str">
        <f t="shared" si="135"/>
        <v/>
      </c>
      <c r="AT90" s="304" t="str">
        <f t="shared" si="136"/>
        <v/>
      </c>
      <c r="AU90" s="342" t="e">
        <f t="shared" si="137"/>
        <v>#N/A</v>
      </c>
      <c r="AV90" s="304" t="e">
        <f t="shared" si="138"/>
        <v>#N/A</v>
      </c>
      <c r="AX90" s="304">
        <f>IF(AND('General price list'!$J90="F4",'General price list'!$AB90+0&gt;0),1,0)</f>
        <v>0</v>
      </c>
      <c r="AY90" s="304">
        <f t="shared" si="139"/>
        <v>1</v>
      </c>
      <c r="AZ90" s="304">
        <f t="shared" si="140"/>
        <v>0</v>
      </c>
    </row>
    <row r="91" spans="1:52" ht="15" customHeight="1">
      <c r="A91" s="725" t="str">
        <f>Kat.!C91</f>
        <v>×</v>
      </c>
      <c r="B91" s="749">
        <f>IF(AND('General price list'!$J91="F4",$AI$1=FALSE),0,IF(AC91="SKLADEM",1,IF(AC91=$V$3,1,0)))</f>
        <v>1</v>
      </c>
      <c r="C91" s="727" t="s">
        <v>214</v>
      </c>
      <c r="D91" s="728" t="s">
        <v>215</v>
      </c>
      <c r="E91" s="729" t="s">
        <v>216</v>
      </c>
      <c r="F91" s="725">
        <f>IFERROR(ROUND(IF($AL$3=2,VLOOKUP(C91,[2]List1!$A:$D,2,FALSE)*1.08,VLOOKUP(C91,[2]List1!$A:$D,2,FALSE)),0),"NEUVEDENO!")</f>
        <v>349</v>
      </c>
      <c r="G91" s="730">
        <f t="shared" si="141"/>
        <v>349</v>
      </c>
      <c r="H91" s="731">
        <f t="shared" si="142"/>
        <v>14.18186103401615</v>
      </c>
      <c r="I91" s="750">
        <v>6</v>
      </c>
      <c r="J91" s="729" t="s">
        <v>23</v>
      </c>
      <c r="K91" s="729"/>
      <c r="L91" s="729" t="s">
        <v>14355</v>
      </c>
      <c r="M91" s="729" t="s">
        <v>25</v>
      </c>
      <c r="N91" s="729">
        <f>IFERROR(VLOOKUP(C91,[3]List1!$A:$D,4,FALSE),"N/A!")</f>
        <v>2.6207999999999999E-2</v>
      </c>
      <c r="O91" s="729">
        <f>IFERROR(VLOOKUP(C91,[3]List1!$A:$D,3,FALSE),"N/A!")</f>
        <v>225</v>
      </c>
      <c r="P91" s="729">
        <f>IFERROR(VLOOKUP(C91,[3]List1!$A:$D,2,FALSE),"N/A!")</f>
        <v>3000</v>
      </c>
      <c r="Q91" s="729" t="s">
        <v>217</v>
      </c>
      <c r="R91" s="729" t="s">
        <v>24</v>
      </c>
      <c r="S91" s="729"/>
      <c r="T91" s="729">
        <v>40</v>
      </c>
      <c r="U91" s="729"/>
      <c r="V91" s="729"/>
      <c r="W91" s="729" t="str">
        <f>IFERROR(VLOOKUP('General price list'!$C91,Popisy!A:P,MATCH($W$17,Popisy!$A$7:$P$7,0),FALSE),"---------------")</f>
        <v>zlatá prskavka ve tvaru čísla 1</v>
      </c>
      <c r="X91" s="729" t="str">
        <f t="shared" si="143"/>
        <v/>
      </c>
      <c r="Y91" s="729" t="str">
        <f t="shared" si="144"/>
        <v/>
      </c>
      <c r="Z91" s="729" t="str">
        <f>HYPERLINK("https://www.klasekpyrotechnics.cz/vp12t1")</f>
        <v>https://www.klasekpyrotechnics.cz/vp12t1</v>
      </c>
      <c r="AA91" s="729">
        <f>IFERROR(IF(VLOOKUP(C91,[4]List1!$A:$D,4,FALSE)=0,"",VLOOKUP(C91,[4]List1!$A:$D,4,FALSE)),"")</f>
        <v>42</v>
      </c>
      <c r="AB91" s="720"/>
      <c r="AC91" s="751" t="str">
        <f>IFERROR(IF(VLOOKUP(C91,[1]List1!$A:$D,2,FALSE)="VYPRODÁNO",$V$9,IF(VLOOKUP(C91,[1]List1!$A:$D,2,FALSE)="DOCHÁZÍ",$V$3,VLOOKUP(C91,[1]List1!$A:$D,2,FALSE))),"OFFLINE!")</f>
        <v>SKLADEM</v>
      </c>
      <c r="AD91" s="752" t="str">
        <f ca="1">IF(AP91="NE",$V$10,IF(AC91=$V$3,IF(AQ91&lt;1,$V$8,$V$2&amp;" "&amp;AQ91&amp;" "&amp;$V$1),IF(AC91="SKLADEM",$V$6,IFERROR(IF(OR(AC91-TODAY()&gt;45,VLOOKUP(C91,[1]List1!$A:$E,4,FALSE)=0),AC91,DAY(AC91)&amp;"."&amp;MONTH(AC91)&amp;"."&amp;YEAR(AC91)&amp;" "&amp;$V$4&amp;VLOOKUP(C91,[1]List1!$A:$E,4,FALSE)&amp;" "&amp;$V$1),AC91))))</f>
        <v>SKLADEM</v>
      </c>
      <c r="AE91" s="729" t="str">
        <f t="shared" ca="1" si="145"/>
        <v>SKLADEM</v>
      </c>
      <c r="AF91" s="735">
        <f t="shared" si="146"/>
        <v>0</v>
      </c>
      <c r="AG91" s="735">
        <f t="shared" si="147"/>
        <v>0</v>
      </c>
      <c r="AH91" s="736">
        <f t="shared" si="148"/>
        <v>0</v>
      </c>
      <c r="AI91" s="729">
        <f t="shared" si="149"/>
        <v>0</v>
      </c>
      <c r="AJ91" s="729">
        <f t="shared" si="150"/>
        <v>0</v>
      </c>
      <c r="AK91" s="729" t="str">
        <f t="shared" si="151"/>
        <v/>
      </c>
      <c r="AL91" s="729" t="str">
        <f t="shared" si="152"/>
        <v/>
      </c>
      <c r="AM91" s="729">
        <f t="shared" si="153"/>
        <v>0</v>
      </c>
      <c r="AN91" s="729">
        <f t="shared" si="154"/>
        <v>0</v>
      </c>
      <c r="AO91" s="380"/>
      <c r="AP91" s="322" t="str">
        <f t="shared" si="133"/>
        <v/>
      </c>
      <c r="AQ91" s="323" t="str">
        <f>IF(AC91=$V$3,IF(VLOOKUP(C91,[1]List1!$A:$E,5,FALSE)=0,1,VLOOKUP(C91,[1]List1!$A:$E,5,FALSE)),"")</f>
        <v/>
      </c>
      <c r="AR91" s="304" t="str">
        <f t="shared" si="134"/>
        <v/>
      </c>
      <c r="AS91" s="423" t="str">
        <f t="shared" si="135"/>
        <v/>
      </c>
      <c r="AT91" s="304" t="str">
        <f t="shared" si="136"/>
        <v/>
      </c>
      <c r="AU91" s="342" t="e">
        <f t="shared" si="137"/>
        <v>#N/A</v>
      </c>
      <c r="AV91" s="304" t="e">
        <f t="shared" si="138"/>
        <v>#N/A</v>
      </c>
      <c r="AX91" s="304">
        <f>IF(AND('General price list'!$J91="F4",'General price list'!$AB91+0&gt;0),1,0)</f>
        <v>0</v>
      </c>
      <c r="AY91" s="304">
        <f t="shared" si="139"/>
        <v>1</v>
      </c>
      <c r="AZ91" s="304">
        <f t="shared" si="140"/>
        <v>0</v>
      </c>
    </row>
    <row r="92" spans="1:52" ht="15" customHeight="1">
      <c r="A92" s="712" t="str">
        <f>Kat.!C92</f>
        <v>×</v>
      </c>
      <c r="B92" s="745">
        <f>IF(AND('General price list'!$J92="F4",$AI$1=FALSE),0,IF(AC92="SKLADEM",1,IF(AC92=$V$3,1,0)))</f>
        <v>1</v>
      </c>
      <c r="C92" s="714" t="s">
        <v>221</v>
      </c>
      <c r="D92" s="715" t="s">
        <v>222</v>
      </c>
      <c r="E92" s="716" t="s">
        <v>216</v>
      </c>
      <c r="F92" s="712">
        <f>IFERROR(ROUND(IF($AL$3=2,VLOOKUP(C92,[2]List1!$A:$D,2,FALSE)*1.08,VLOOKUP(C92,[2]List1!$A:$D,2,FALSE)),0),"NEUVEDENO!")</f>
        <v>349</v>
      </c>
      <c r="G92" s="717">
        <f t="shared" si="141"/>
        <v>349</v>
      </c>
      <c r="H92" s="718">
        <f t="shared" si="142"/>
        <v>14.18186103401615</v>
      </c>
      <c r="I92" s="746">
        <v>6</v>
      </c>
      <c r="J92" s="716" t="s">
        <v>23</v>
      </c>
      <c r="K92" s="716"/>
      <c r="L92" s="716" t="s">
        <v>14355</v>
      </c>
      <c r="M92" s="716" t="s">
        <v>25</v>
      </c>
      <c r="N92" s="716">
        <f>IFERROR(VLOOKUP(C92,[3]List1!$A:$D,4,FALSE),"N/A!")</f>
        <v>1.8218750000000002E-2</v>
      </c>
      <c r="O92" s="716">
        <f>IFERROR(VLOOKUP(C92,[3]List1!$A:$D,3,FALSE),"N/A!")</f>
        <v>225</v>
      </c>
      <c r="P92" s="716">
        <f>IFERROR(VLOOKUP(C92,[3]List1!$A:$D,2,FALSE),"N/A!")</f>
        <v>3000</v>
      </c>
      <c r="Q92" s="716" t="s">
        <v>217</v>
      </c>
      <c r="R92" s="716" t="s">
        <v>24</v>
      </c>
      <c r="S92" s="716"/>
      <c r="T92" s="716">
        <v>35</v>
      </c>
      <c r="U92" s="716"/>
      <c r="V92" s="716"/>
      <c r="W92" s="716" t="str">
        <f>IFERROR(VLOOKUP('General price list'!$C92,Popisy!A:P,MATCH($W$17,Popisy!$A$7:$P$7,0),FALSE),"---------------")</f>
        <v>zlatá prskavka ve tvaru srdce</v>
      </c>
      <c r="X92" s="716" t="str">
        <f t="shared" si="143"/>
        <v/>
      </c>
      <c r="Y92" s="716" t="str">
        <f t="shared" si="144"/>
        <v/>
      </c>
      <c r="Z92" s="716" t="str">
        <f>HYPERLINK("https://www.klasekpyrotechnics.cz/vp12ts")</f>
        <v>https://www.klasekpyrotechnics.cz/vp12ts</v>
      </c>
      <c r="AA92" s="716">
        <f>IFERROR(IF(VLOOKUP(C92,[4]List1!$A:$D,4,FALSE)=0,"",VLOOKUP(C92,[4]List1!$A:$D,4,FALSE)),"")</f>
        <v>72</v>
      </c>
      <c r="AB92" s="720"/>
      <c r="AC92" s="747" t="str">
        <f>IFERROR(IF(VLOOKUP(C92,[1]List1!$A:$D,2,FALSE)="VYPRODÁNO",$V$9,IF(VLOOKUP(C92,[1]List1!$A:$D,2,FALSE)="DOCHÁZÍ",$V$3,VLOOKUP(C92,[1]List1!$A:$D,2,FALSE))),"OFFLINE!")</f>
        <v>SKLADEM</v>
      </c>
      <c r="AD92" s="748" t="str">
        <f ca="1">IF(AP92="NE",$V$10,IF(AC92=$V$3,IF(AQ92&lt;1,$V$8,$V$2&amp;" "&amp;AQ92&amp;" "&amp;$V$1),IF(AC92="SKLADEM",$V$6,IFERROR(IF(OR(AC92-TODAY()&gt;45,VLOOKUP(C92,[1]List1!$A:$E,4,FALSE)=0),AC92,DAY(AC92)&amp;"."&amp;MONTH(AC92)&amp;"."&amp;YEAR(AC92)&amp;" "&amp;$V$4&amp;VLOOKUP(C92,[1]List1!$A:$E,4,FALSE)&amp;" "&amp;$V$1),AC92))))</f>
        <v>SKLADEM</v>
      </c>
      <c r="AE92" s="716" t="str">
        <f t="shared" ca="1" si="145"/>
        <v>SKLADEM</v>
      </c>
      <c r="AF92" s="723">
        <f t="shared" si="146"/>
        <v>0</v>
      </c>
      <c r="AG92" s="723">
        <f t="shared" si="147"/>
        <v>0</v>
      </c>
      <c r="AH92" s="724">
        <f t="shared" si="148"/>
        <v>0</v>
      </c>
      <c r="AI92" s="716">
        <f t="shared" si="149"/>
        <v>0</v>
      </c>
      <c r="AJ92" s="716">
        <f t="shared" si="150"/>
        <v>0</v>
      </c>
      <c r="AK92" s="716" t="str">
        <f t="shared" si="151"/>
        <v/>
      </c>
      <c r="AL92" s="716" t="str">
        <f t="shared" si="152"/>
        <v/>
      </c>
      <c r="AM92" s="716">
        <f t="shared" si="153"/>
        <v>0</v>
      </c>
      <c r="AN92" s="716">
        <f t="shared" si="154"/>
        <v>0</v>
      </c>
      <c r="AO92" s="380"/>
      <c r="AP92" s="322" t="str">
        <f t="shared" si="133"/>
        <v/>
      </c>
      <c r="AQ92" s="304" t="str">
        <f>IF(AC92=$V$3,IF(VLOOKUP(C92,[1]List1!$A:$E,5,FALSE)=0,1,VLOOKUP(C92,[1]List1!$A:$E,5,FALSE)),"")</f>
        <v/>
      </c>
      <c r="AR92" s="304" t="str">
        <f t="shared" si="134"/>
        <v/>
      </c>
      <c r="AS92" s="423" t="str">
        <f t="shared" si="135"/>
        <v/>
      </c>
      <c r="AT92" s="304" t="str">
        <f t="shared" si="136"/>
        <v/>
      </c>
      <c r="AU92" s="342" t="e">
        <f t="shared" si="137"/>
        <v>#N/A</v>
      </c>
      <c r="AV92" s="304" t="e">
        <f t="shared" si="138"/>
        <v>#N/A</v>
      </c>
      <c r="AX92" s="304">
        <f>IF(AND('General price list'!$J92="F4",'General price list'!$AB92+0&gt;0),1,0)</f>
        <v>0</v>
      </c>
      <c r="AY92" s="304">
        <f t="shared" si="139"/>
        <v>1</v>
      </c>
      <c r="AZ92" s="304">
        <f t="shared" si="140"/>
        <v>0</v>
      </c>
    </row>
    <row r="93" spans="1:52" ht="15" customHeight="1">
      <c r="A93" s="725" t="str">
        <f>Kat.!C93</f>
        <v>×</v>
      </c>
      <c r="B93" s="749">
        <f>IF(AND('General price list'!$J93="F4",$AI$1=FALSE),0,IF(AC93="SKLADEM",1,IF(AC93=$V$3,1,0)))</f>
        <v>1</v>
      </c>
      <c r="C93" s="727" t="s">
        <v>226</v>
      </c>
      <c r="D93" s="728" t="s">
        <v>227</v>
      </c>
      <c r="E93" s="729" t="s">
        <v>216</v>
      </c>
      <c r="F93" s="725">
        <f>IFERROR(ROUND(IF($AL$3=2,VLOOKUP(C93,[2]List1!$A:$D,2,FALSE)*1.08,VLOOKUP(C93,[2]List1!$A:$D,2,FALSE)),0),"NEUVEDENO!")</f>
        <v>349</v>
      </c>
      <c r="G93" s="730">
        <f t="shared" si="141"/>
        <v>349</v>
      </c>
      <c r="H93" s="731">
        <f t="shared" si="142"/>
        <v>14.18186103401615</v>
      </c>
      <c r="I93" s="750">
        <v>6</v>
      </c>
      <c r="J93" s="729" t="s">
        <v>23</v>
      </c>
      <c r="K93" s="729"/>
      <c r="L93" s="729" t="s">
        <v>14355</v>
      </c>
      <c r="M93" s="729" t="s">
        <v>25</v>
      </c>
      <c r="N93" s="729">
        <f>IFERROR(VLOOKUP(C93,[3]List1!$A:$D,4,FALSE),"N/A!")</f>
        <v>1.8218750000000002E-2</v>
      </c>
      <c r="O93" s="729">
        <f>IFERROR(VLOOKUP(C93,[3]List1!$A:$D,3,FALSE),"N/A!")</f>
        <v>225</v>
      </c>
      <c r="P93" s="729">
        <f>IFERROR(VLOOKUP(C93,[3]List1!$A:$D,2,FALSE),"N/A!")</f>
        <v>3000</v>
      </c>
      <c r="Q93" s="729" t="s">
        <v>217</v>
      </c>
      <c r="R93" s="729" t="s">
        <v>24</v>
      </c>
      <c r="S93" s="729"/>
      <c r="T93" s="729">
        <v>35</v>
      </c>
      <c r="U93" s="729"/>
      <c r="V93" s="729"/>
      <c r="W93" s="729" t="str">
        <f>IFERROR(VLOOKUP('General price list'!$C93,Popisy!A:P,MATCH($W$17,Popisy!$A$7:$P$7,0),FALSE),"---------------")</f>
        <v>zlatá prskavka ve tvaru hvězdy</v>
      </c>
      <c r="X93" s="729" t="str">
        <f t="shared" si="143"/>
        <v/>
      </c>
      <c r="Y93" s="729" t="str">
        <f t="shared" si="144"/>
        <v/>
      </c>
      <c r="Z93" s="729" t="str">
        <f>HYPERLINK("https://www.klasekpyrotechnics.cz/vp12th")</f>
        <v>https://www.klasekpyrotechnics.cz/vp12th</v>
      </c>
      <c r="AA93" s="729">
        <f>IFERROR(IF(VLOOKUP(C93,[4]List1!$A:$D,4,FALSE)=0,"",VLOOKUP(C93,[4]List1!$A:$D,4,FALSE)),"")</f>
        <v>72</v>
      </c>
      <c r="AB93" s="720"/>
      <c r="AC93" s="751" t="str">
        <f>IFERROR(IF(VLOOKUP(C93,[1]List1!$A:$D,2,FALSE)="VYPRODÁNO",$V$9,IF(VLOOKUP(C93,[1]List1!$A:$D,2,FALSE)="DOCHÁZÍ",$V$3,VLOOKUP(C93,[1]List1!$A:$D,2,FALSE))),"OFFLINE!")</f>
        <v>SKLADEM</v>
      </c>
      <c r="AD93" s="752" t="str">
        <f ca="1">IF(AP93="NE",$V$10,IF(AC93=$V$3,IF(AQ93&lt;1,$V$8,$V$2&amp;" "&amp;AQ93&amp;" "&amp;$V$1),IF(AC93="SKLADEM",$V$6,IFERROR(IF(OR(AC93-TODAY()&gt;45,VLOOKUP(C93,[1]List1!$A:$E,4,FALSE)=0),AC93,DAY(AC93)&amp;"."&amp;MONTH(AC93)&amp;"."&amp;YEAR(AC93)&amp;" "&amp;$V$4&amp;VLOOKUP(C93,[1]List1!$A:$E,4,FALSE)&amp;" "&amp;$V$1),AC93))))</f>
        <v>SKLADEM</v>
      </c>
      <c r="AE93" s="729" t="str">
        <f t="shared" ca="1" si="145"/>
        <v>SKLADEM</v>
      </c>
      <c r="AF93" s="735">
        <f t="shared" si="146"/>
        <v>0</v>
      </c>
      <c r="AG93" s="735">
        <f t="shared" si="147"/>
        <v>0</v>
      </c>
      <c r="AH93" s="736">
        <f t="shared" si="148"/>
        <v>0</v>
      </c>
      <c r="AI93" s="729">
        <f t="shared" si="149"/>
        <v>0</v>
      </c>
      <c r="AJ93" s="729">
        <f t="shared" si="150"/>
        <v>0</v>
      </c>
      <c r="AK93" s="729" t="str">
        <f t="shared" si="151"/>
        <v/>
      </c>
      <c r="AL93" s="729" t="str">
        <f t="shared" si="152"/>
        <v/>
      </c>
      <c r="AM93" s="729">
        <f t="shared" si="153"/>
        <v>0</v>
      </c>
      <c r="AN93" s="729">
        <f t="shared" si="154"/>
        <v>0</v>
      </c>
      <c r="AO93" s="380"/>
      <c r="AP93" s="322" t="str">
        <f t="shared" si="133"/>
        <v/>
      </c>
      <c r="AQ93" s="323" t="str">
        <f>IF(AC93=$V$3,IF(VLOOKUP(C93,[1]List1!$A:$E,5,FALSE)=0,1,VLOOKUP(C93,[1]List1!$A:$E,5,FALSE)),"")</f>
        <v/>
      </c>
      <c r="AR93" s="304" t="str">
        <f t="shared" si="134"/>
        <v/>
      </c>
      <c r="AS93" s="423" t="str">
        <f t="shared" si="135"/>
        <v/>
      </c>
      <c r="AT93" s="304" t="str">
        <f t="shared" si="136"/>
        <v/>
      </c>
      <c r="AU93" s="342" t="e">
        <f t="shared" si="137"/>
        <v>#N/A</v>
      </c>
      <c r="AV93" s="304" t="e">
        <f t="shared" si="138"/>
        <v>#N/A</v>
      </c>
      <c r="AX93" s="304">
        <f>IF(AND('General price list'!$J93="F4",'General price list'!$AB93+0&gt;0),1,0)</f>
        <v>0</v>
      </c>
      <c r="AY93" s="304">
        <f t="shared" si="139"/>
        <v>1</v>
      </c>
      <c r="AZ93" s="304">
        <f t="shared" si="140"/>
        <v>0</v>
      </c>
    </row>
    <row r="94" spans="1:52" ht="15" customHeight="1">
      <c r="A94" s="712" t="str">
        <f>Kat.!C94</f>
        <v/>
      </c>
      <c r="B94" s="745">
        <f>IF(AND('General price list'!$J94="F4",$AI$1=FALSE),0,IF(AC94="SKLADEM",1,IF(AC94=$V$3,1,0)))</f>
        <v>1</v>
      </c>
      <c r="C94" s="714" t="s">
        <v>231</v>
      </c>
      <c r="D94" s="715" t="s">
        <v>232</v>
      </c>
      <c r="E94" s="716" t="s">
        <v>233</v>
      </c>
      <c r="F94" s="712">
        <f>IFERROR(ROUND(IF($AL$3=2,VLOOKUP(C94,[2]List1!$A:$D,2,FALSE)*1.08,VLOOKUP(C94,[2]List1!$A:$D,2,FALSE)),0),"NEUVEDENO!")</f>
        <v>125</v>
      </c>
      <c r="G94" s="717">
        <f t="shared" si="141"/>
        <v>125</v>
      </c>
      <c r="H94" s="718">
        <f t="shared" si="142"/>
        <v>5.079463121065956</v>
      </c>
      <c r="I94" s="746">
        <v>12</v>
      </c>
      <c r="J94" s="716" t="s">
        <v>23</v>
      </c>
      <c r="K94" s="716"/>
      <c r="L94" s="716" t="s">
        <v>14355</v>
      </c>
      <c r="M94" s="716" t="s">
        <v>25</v>
      </c>
      <c r="N94" s="716">
        <f>IFERROR(VLOOKUP(C94,[3]List1!$A:$D,4,FALSE),"N/A!")</f>
        <v>2.5688000000000002E-2</v>
      </c>
      <c r="O94" s="716">
        <f>IFERROR(VLOOKUP(C94,[3]List1!$A:$D,3,FALSE),"N/A!")</f>
        <v>180</v>
      </c>
      <c r="P94" s="716">
        <f>IFERROR(VLOOKUP(C94,[3]List1!$A:$D,2,FALSE),"N/A!")</f>
        <v>2500</v>
      </c>
      <c r="Q94" s="716" t="s">
        <v>217</v>
      </c>
      <c r="R94" s="716" t="s">
        <v>24</v>
      </c>
      <c r="S94" s="716"/>
      <c r="T94" s="716">
        <v>35</v>
      </c>
      <c r="U94" s="716"/>
      <c r="V94" s="716"/>
      <c r="W94" s="716" t="str">
        <f>IFERROR(VLOOKUP('General price list'!$C94,Popisy!A:P,MATCH($W$17,Popisy!$A$7:$P$7,0),FALSE),"---------------")</f>
        <v>zlatá prskavka(mix čísel 0-9, srdce, hvězda)</v>
      </c>
      <c r="X94" s="716" t="str">
        <f t="shared" si="143"/>
        <v/>
      </c>
      <c r="Y94" s="716" t="str">
        <f t="shared" si="144"/>
        <v/>
      </c>
      <c r="Z94" s="716" t="str">
        <f>HYPERLINK("https://www.klasekpyrotechnics.cz/vp12mix")</f>
        <v>https://www.klasekpyrotechnics.cz/vp12mix</v>
      </c>
      <c r="AA94" s="716" t="str">
        <f>IFERROR(IF(VLOOKUP(C94,[4]List1!$A:$D,4,FALSE)=0,"",VLOOKUP(C94,[4]List1!$A:$D,4,FALSE)),"")</f>
        <v>54</v>
      </c>
      <c r="AB94" s="720"/>
      <c r="AC94" s="747" t="str">
        <f>IFERROR(IF(VLOOKUP(C94,[1]List1!$A:$D,2,FALSE)="VYPRODÁNO",$V$9,IF(VLOOKUP(C94,[1]List1!$A:$D,2,FALSE)="DOCHÁZÍ",$V$3,VLOOKUP(C94,[1]List1!$A:$D,2,FALSE))),"OFFLINE!")</f>
        <v>SKLADEM</v>
      </c>
      <c r="AD94" s="748" t="str">
        <f ca="1">IF(AP94="NE",$V$10,IF(AC94=$V$3,IF(AQ94&lt;1,$V$8,$V$2&amp;" "&amp;AQ94&amp;" "&amp;$V$1),IF(AC94="SKLADEM",$V$6,IFERROR(IF(OR(AC94-TODAY()&gt;45,VLOOKUP(C94,[1]List1!$A:$E,4,FALSE)=0),AC94,DAY(AC94)&amp;"."&amp;MONTH(AC94)&amp;"."&amp;YEAR(AC94)&amp;" "&amp;$V$4&amp;VLOOKUP(C94,[1]List1!$A:$E,4,FALSE)&amp;" "&amp;$V$1),AC94))))</f>
        <v>SKLADEM</v>
      </c>
      <c r="AE94" s="716" t="str">
        <f t="shared" ca="1" si="145"/>
        <v>SKLADEM</v>
      </c>
      <c r="AF94" s="723">
        <f t="shared" si="146"/>
        <v>0</v>
      </c>
      <c r="AG94" s="723">
        <f t="shared" si="147"/>
        <v>0</v>
      </c>
      <c r="AH94" s="724">
        <f t="shared" si="148"/>
        <v>0</v>
      </c>
      <c r="AI94" s="716">
        <f t="shared" si="149"/>
        <v>0</v>
      </c>
      <c r="AJ94" s="716">
        <f t="shared" si="150"/>
        <v>0</v>
      </c>
      <c r="AK94" s="716" t="str">
        <f t="shared" si="151"/>
        <v/>
      </c>
      <c r="AL94" s="716" t="str">
        <f t="shared" si="152"/>
        <v/>
      </c>
      <c r="AM94" s="716">
        <f t="shared" si="153"/>
        <v>0</v>
      </c>
      <c r="AN94" s="716">
        <f t="shared" si="154"/>
        <v>0</v>
      </c>
      <c r="AO94" s="380"/>
      <c r="AP94" s="322" t="str">
        <f t="shared" si="133"/>
        <v/>
      </c>
      <c r="AQ94" s="323" t="str">
        <f>IF(AC94=$V$3,IF(VLOOKUP(C94,[1]List1!$A:$E,5,FALSE)=0,1,VLOOKUP(C94,[1]List1!$A:$E,5,FALSE)),"")</f>
        <v/>
      </c>
      <c r="AR94" s="304" t="str">
        <f t="shared" si="134"/>
        <v/>
      </c>
      <c r="AS94" s="423" t="str">
        <f t="shared" si="135"/>
        <v/>
      </c>
      <c r="AT94" s="304" t="str">
        <f t="shared" si="136"/>
        <v/>
      </c>
      <c r="AU94" s="342" t="e">
        <f t="shared" si="137"/>
        <v>#N/A</v>
      </c>
      <c r="AV94" s="304" t="e">
        <f t="shared" si="138"/>
        <v>#N/A</v>
      </c>
      <c r="AX94" s="304">
        <f>IF(AND('General price list'!$J94="F4",'General price list'!$AB94+0&gt;0),1,0)</f>
        <v>0</v>
      </c>
      <c r="AY94" s="304">
        <f t="shared" si="139"/>
        <v>1</v>
      </c>
      <c r="AZ94" s="304">
        <f t="shared" si="140"/>
        <v>0</v>
      </c>
    </row>
    <row r="95" spans="1:52" ht="15" customHeight="1">
      <c r="A95" s="725" t="str">
        <f>Kat.!C95</f>
        <v/>
      </c>
      <c r="B95" s="749">
        <f>IF(AND('General price list'!$J95="F4",$AI$1=FALSE),0,IF(AC95="SKLADEM",1,IF(AC95=$V$3,1,0)))</f>
        <v>1</v>
      </c>
      <c r="C95" s="727" t="s">
        <v>2973</v>
      </c>
      <c r="D95" s="728" t="s">
        <v>2974</v>
      </c>
      <c r="E95" s="729" t="s">
        <v>136</v>
      </c>
      <c r="F95" s="725">
        <f>IFERROR(ROUND(IF($AL$3=2,VLOOKUP(C95,[2]List1!$A:$D,2,FALSE)*1.08,VLOOKUP(C95,[2]List1!$A:$D,2,FALSE)),0),"NEUVEDENO!")</f>
        <v>9367</v>
      </c>
      <c r="G95" s="730">
        <f t="shared" si="141"/>
        <v>9367</v>
      </c>
      <c r="H95" s="731">
        <f t="shared" si="142"/>
        <v>380.63464844019848</v>
      </c>
      <c r="I95" s="750">
        <v>1</v>
      </c>
      <c r="J95" s="729"/>
      <c r="K95" s="729"/>
      <c r="L95" s="729" t="s">
        <v>14464</v>
      </c>
      <c r="M95" s="729"/>
      <c r="N95" s="729">
        <f>IFERROR(VLOOKUP(C95,[3]List1!$A:$D,4,FALSE),"N/A!")</f>
        <v>0</v>
      </c>
      <c r="O95" s="729">
        <f>IFERROR(VLOOKUP(C95,[3]List1!$A:$D,3,FALSE),"N/A!")</f>
        <v>0</v>
      </c>
      <c r="P95" s="729">
        <f>IFERROR(VLOOKUP(C95,[3]List1!$A:$D,2,FALSE),"N/A!")</f>
        <v>15000</v>
      </c>
      <c r="Q95" s="729" t="s">
        <v>24</v>
      </c>
      <c r="R95" s="729" t="s">
        <v>24</v>
      </c>
      <c r="S95" s="729"/>
      <c r="T95" s="729"/>
      <c r="U95" s="729"/>
      <c r="V95" s="729"/>
      <c r="W95" s="729" t="str">
        <f>IFERROR(VLOOKUP('General price list'!$C95,Popisy!A:P,MATCH($W$17,Popisy!$A$7:$P$7,0),FALSE),"---------------")</f>
        <v>Prezentační stojan na prskavky(prázdný)</v>
      </c>
      <c r="X95" s="729" t="str">
        <f t="shared" si="143"/>
        <v/>
      </c>
      <c r="Y95" s="729" t="str">
        <f t="shared" si="144"/>
        <v/>
      </c>
      <c r="Z95" s="729" t="str">
        <f>HYPERLINK("https://www.klasekpyrotechnics.cz/sprs1e")</f>
        <v>https://www.klasekpyrotechnics.cz/sprs1e</v>
      </c>
      <c r="AA95" s="729" t="str">
        <f>IFERROR(IF(VLOOKUP(C95,[4]List1!$A:$D,4,FALSE)=0,"",VLOOKUP(C95,[4]List1!$A:$D,4,FALSE)),"")</f>
        <v/>
      </c>
      <c r="AB95" s="720"/>
      <c r="AC95" s="751" t="str">
        <f>IFERROR(IF(VLOOKUP(C95,[1]List1!$A:$D,2,FALSE)="VYPRODÁNO",$V$9,IF(VLOOKUP(C95,[1]List1!$A:$D,2,FALSE)="DOCHÁZÍ",$V$3,VLOOKUP(C95,[1]List1!$A:$D,2,FALSE))),"OFFLINE!")</f>
        <v>SKLADEM</v>
      </c>
      <c r="AD95" s="752" t="str">
        <f ca="1">IF(AP95="NE",$V$10,IF(AC95=$V$3,IF(AQ95&lt;1,$V$8,$V$2&amp;" "&amp;AQ95&amp;" "&amp;$V$1),IF(AC95="SKLADEM",$V$6,IFERROR(IF(OR(AC95-TODAY()&gt;45,VLOOKUP(C95,[1]List1!$A:$E,4,FALSE)=0),AC95,DAY(AC95)&amp;"."&amp;MONTH(AC95)&amp;"."&amp;YEAR(AC95)&amp;" "&amp;$V$4&amp;VLOOKUP(C95,[1]List1!$A:$E,4,FALSE)&amp;" "&amp;$V$1),AC95))))</f>
        <v>SKLADEM</v>
      </c>
      <c r="AE95" s="729" t="str">
        <f t="shared" ca="1" si="145"/>
        <v>SKLADEM</v>
      </c>
      <c r="AF95" s="735">
        <f t="shared" si="146"/>
        <v>0</v>
      </c>
      <c r="AG95" s="735">
        <f t="shared" si="147"/>
        <v>0</v>
      </c>
      <c r="AH95" s="736">
        <f t="shared" si="148"/>
        <v>0</v>
      </c>
      <c r="AI95" s="729">
        <f t="shared" si="149"/>
        <v>0</v>
      </c>
      <c r="AJ95" s="729">
        <f t="shared" si="150"/>
        <v>0</v>
      </c>
      <c r="AK95" s="729" t="str">
        <f t="shared" si="151"/>
        <v/>
      </c>
      <c r="AL95" s="729" t="str">
        <f t="shared" si="152"/>
        <v/>
      </c>
      <c r="AM95" s="729" t="str">
        <f t="shared" si="153"/>
        <v/>
      </c>
      <c r="AN95" s="729">
        <f t="shared" si="154"/>
        <v>0</v>
      </c>
      <c r="AO95" s="380"/>
      <c r="AP95" s="322" t="str">
        <f t="shared" si="133"/>
        <v/>
      </c>
      <c r="AQ95" s="323" t="str">
        <f>IF(AC95=$V$3,IF(VLOOKUP(C95,[1]List1!$A:$E,5,FALSE)=0,1,VLOOKUP(C95,[1]List1!$A:$E,5,FALSE)),"")</f>
        <v/>
      </c>
      <c r="AR95" s="304" t="str">
        <f t="shared" si="134"/>
        <v/>
      </c>
      <c r="AS95" s="423" t="str">
        <f t="shared" si="135"/>
        <v/>
      </c>
      <c r="AT95" s="304" t="str">
        <f t="shared" si="136"/>
        <v/>
      </c>
      <c r="AU95" s="342" t="e">
        <f t="shared" si="137"/>
        <v>#N/A</v>
      </c>
      <c r="AV95" s="304" t="e">
        <f t="shared" si="138"/>
        <v>#N/A</v>
      </c>
      <c r="AX95" s="304">
        <f>IF(AND('General price list'!$J95="F4",'General price list'!$AB95+0&gt;0),1,0)</f>
        <v>0</v>
      </c>
      <c r="AY95" s="304">
        <f t="shared" si="139"/>
        <v>0</v>
      </c>
      <c r="AZ95" s="304">
        <f t="shared" si="140"/>
        <v>0</v>
      </c>
    </row>
    <row r="96" spans="1:52" ht="15" customHeight="1">
      <c r="A96" s="773" t="str">
        <f>Kat.!C96</f>
        <v xml:space="preserve">                                                               Dýmovnice se zápalnou šňůrou</v>
      </c>
      <c r="B96" s="774"/>
      <c r="C96" s="774"/>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t="str">
        <f>IFERROR(IF(VLOOKUP(C96,[4]List1!$A:$D,4,FALSE)=0,"",VLOOKUP(C96,[4]List1!$A:$D,4,FALSE)),"")</f>
        <v/>
      </c>
      <c r="AB96" s="774"/>
      <c r="AC96" s="775" t="str">
        <f>IFERROR(IF(VLOOKUP(C96,[1]List1!$A:$D,2,FALSE)="VYPRODÁNO",$V$9,IF(VLOOKUP(C96,[1]List1!$A:$D,2,FALSE)="DOCHÁZÍ",$V$3,VLOOKUP(C96,[1]List1!$A:$D,2,FALSE))),"OFFLINE!")</f>
        <v>OFFLINE!</v>
      </c>
      <c r="AD96" s="774"/>
      <c r="AE96" s="774"/>
      <c r="AF96" s="774"/>
      <c r="AG96" s="774"/>
      <c r="AH96" s="774"/>
      <c r="AI96" s="774"/>
      <c r="AJ96" s="774"/>
      <c r="AK96" s="774"/>
      <c r="AL96" s="774"/>
      <c r="AM96" s="774"/>
      <c r="AN96" s="774"/>
      <c r="AO96" s="380"/>
      <c r="AP96" s="322" t="str">
        <f t="shared" si="133"/>
        <v/>
      </c>
      <c r="AQ96" s="323" t="str">
        <f>IF(AC96=$V$3,IF(VLOOKUP(C96,[1]List1!$A:$E,5,FALSE)=0,1,VLOOKUP(C96,[1]List1!$A:$E,5,FALSE)),"")</f>
        <v/>
      </c>
      <c r="AR96" s="304" t="str">
        <f t="shared" si="134"/>
        <v/>
      </c>
      <c r="AS96" s="423" t="str">
        <f t="shared" si="135"/>
        <v/>
      </c>
      <c r="AT96" s="304" t="str">
        <f t="shared" si="136"/>
        <v/>
      </c>
      <c r="AU96" s="342" t="e">
        <f t="shared" si="137"/>
        <v>#N/A</v>
      </c>
      <c r="AV96" s="304" t="e">
        <f t="shared" si="138"/>
        <v>#N/A</v>
      </c>
      <c r="AX96" s="304">
        <f>IF(AND('General price list'!$J96="F4",'General price list'!$AB96+0&gt;0),1,0)</f>
        <v>0</v>
      </c>
      <c r="AY96" s="304">
        <f t="shared" si="139"/>
        <v>0</v>
      </c>
      <c r="AZ96" s="304">
        <f t="shared" si="140"/>
        <v>0</v>
      </c>
    </row>
    <row r="97" spans="1:53" ht="15" customHeight="1">
      <c r="A97" s="725" t="str">
        <f>Kat.!C97</f>
        <v/>
      </c>
      <c r="B97" s="741">
        <f>IF(AND('General price list'!$J97="F4",$AI$1=FALSE),0,IF(AC97="SKLADEM",1,IF(AC97=$V$3,1,0)))</f>
        <v>1</v>
      </c>
      <c r="C97" s="727" t="s">
        <v>237</v>
      </c>
      <c r="D97" s="728" t="s">
        <v>238</v>
      </c>
      <c r="E97" s="729" t="s">
        <v>239</v>
      </c>
      <c r="F97" s="725">
        <f>IFERROR(ROUND(IF($AL$3=2,VLOOKUP(C97,[2]List1!$A:$D,2,FALSE)*1.08,VLOOKUP(C97,[2]List1!$A:$D,2,FALSE)),0),"NEUVEDENO!")</f>
        <v>189</v>
      </c>
      <c r="G97" s="730">
        <f t="shared" ref="G97:G117" si="155">(F97)*$B$19</f>
        <v>189</v>
      </c>
      <c r="H97" s="731">
        <f t="shared" ref="H97:H117" si="156">G97/$F$19</f>
        <v>7.6801482390517259</v>
      </c>
      <c r="I97" s="742">
        <v>20</v>
      </c>
      <c r="J97" s="729" t="s">
        <v>240</v>
      </c>
      <c r="K97" s="729"/>
      <c r="L97" s="729" t="s">
        <v>14363</v>
      </c>
      <c r="M97" s="729" t="s">
        <v>25</v>
      </c>
      <c r="N97" s="729">
        <f>IFERROR(VLOOKUP(C97,[3]List1!$A:$D,4,FALSE),"N/A!")</f>
        <v>3.7434749999999996E-2</v>
      </c>
      <c r="O97" s="729">
        <f>IFERROR(VLOOKUP(C97,[3]List1!$A:$D,3,FALSE),"N/A!")</f>
        <v>1872.0000000000002</v>
      </c>
      <c r="P97" s="729">
        <f>IFERROR(VLOOKUP(C97,[3]List1!$A:$D,2,FALSE),"N/A!")</f>
        <v>17800</v>
      </c>
      <c r="Q97" s="729" t="s">
        <v>14096</v>
      </c>
      <c r="R97" s="729" t="s">
        <v>217</v>
      </c>
      <c r="S97" s="729"/>
      <c r="T97" s="729">
        <v>10</v>
      </c>
      <c r="U97" s="729"/>
      <c r="V97" s="729"/>
      <c r="W97" s="729" t="str">
        <f>IFERROR(VLOOKUP('General price list'!$C97,Popisy!A:P,MATCH($W$17,Popisy!$A$7:$P$7,0),FALSE),"---------------")</f>
        <v>barevné kulaté dýmovnice(červená,zelená,žlutá,modrá,bílá,fialová)</v>
      </c>
      <c r="X97" s="729" t="str">
        <f t="shared" ref="X97:X117" si="157">IF(AB97&lt;0.0001,"",AB97)</f>
        <v/>
      </c>
      <c r="Y97" s="729" t="str">
        <f t="shared" ref="Y97:Y117" si="158">IF($AL$3=2,IF(OR(AB97&lt;&gt;"",AB97&lt;&gt;0),AU97,""),IF(C97="","",IF(AB97&lt;0.0001,"",IF(B97=0,"",IF(AQ97&lt;AB97,"",AB97)))))</f>
        <v/>
      </c>
      <c r="Z97" s="729" t="str">
        <f>HYPERLINK("https://www.klasekpyrotechnics.cz/d1d")</f>
        <v>https://www.klasekpyrotechnics.cz/d1d</v>
      </c>
      <c r="AA97" s="729">
        <f>IFERROR(IF(VLOOKUP(C97,[4]List1!$A:$D,4,FALSE)=0,"",VLOOKUP(C97,[4]List1!$A:$D,4,FALSE)),"")</f>
        <v>32</v>
      </c>
      <c r="AB97" s="720"/>
      <c r="AC97" s="743" t="str">
        <f>IFERROR(IF(VLOOKUP(C97,[1]List1!$A:$D,2,FALSE)="VYPRODÁNO",$V$9,IF(VLOOKUP(C97,[1]List1!$A:$D,2,FALSE)="DOCHÁZÍ",$V$3,VLOOKUP(C97,[1]List1!$A:$D,2,FALSE))),"OFFLINE!")</f>
        <v>SKLADEM</v>
      </c>
      <c r="AD97" s="744" t="str">
        <f ca="1">IF(AP97="NE",$V$10,IF(AC97=$V$3,IF(AQ97&lt;1,$V$8,$V$2&amp;" "&amp;AQ97&amp;" "&amp;$V$1),IF(AC97="SKLADEM",$V$6,IFERROR(IF(OR(AC97-TODAY()&gt;45,VLOOKUP(C97,[1]List1!$A:$E,4,FALSE)=0),AC97,DAY(AC97)&amp;"."&amp;MONTH(AC97)&amp;"."&amp;YEAR(AC97)&amp;" "&amp;$V$4&amp;VLOOKUP(C97,[1]List1!$A:$E,4,FALSE)&amp;" "&amp;$V$1),AC97))))</f>
        <v>SKLADEM</v>
      </c>
      <c r="AE97" s="729" t="str">
        <f t="shared" ref="AE97:AE117" ca="1" si="159">IFERROR(IF(AV97&lt;&gt;"",AV97,AD97),AD97)</f>
        <v>SKLADEM</v>
      </c>
      <c r="AF97" s="735">
        <f t="shared" ref="AF97:AF117" si="160">IFERROR(IF(AB97=Y97,G97*I97*Y97,0),0)</f>
        <v>0</v>
      </c>
      <c r="AG97" s="735">
        <f t="shared" ref="AG97:AG117" si="161">IF($W$17=$AF$8,AH97*1.23,AF97*1.21)</f>
        <v>0</v>
      </c>
      <c r="AH97" s="736">
        <f t="shared" ref="AH97:AH117" si="162">IFERROR(IF(Y97=AB97,H97*I97*Y97,0),0)</f>
        <v>0</v>
      </c>
      <c r="AI97" s="729">
        <f t="shared" ref="AI97:AI117" si="163">IFERROR(IF(Y97=AB97,(P97*Y97)/1000,1),0)</f>
        <v>0</v>
      </c>
      <c r="AJ97" s="729">
        <f t="shared" ref="AJ97:AJ117" si="164">IFERROR(IF(Y97=AB97,N97*Y97,0.1),0)</f>
        <v>0</v>
      </c>
      <c r="AK97" s="729" t="str">
        <f t="shared" ref="AK97:AK117" si="165">IFERROR(IF(Y97=AB97,IF(M97="1.1G",(O97/1000)*Y97,""),""),0)</f>
        <v/>
      </c>
      <c r="AL97" s="729" t="str">
        <f t="shared" ref="AL97:AL117" si="166">IFERROR(IF(Y97=AB97,IF(M97="1.3G",(O97/1000)*AB97,""),""),0)</f>
        <v/>
      </c>
      <c r="AM97" s="729">
        <f t="shared" ref="AM97:AM117" si="167">IFERROR(IF(Y97=AB97,IF(M97="1.4G",(O97/1000)*AB97,""),""),0)</f>
        <v>0</v>
      </c>
      <c r="AN97" s="729">
        <f t="shared" ref="AN97:AN117" si="168">SUM(AK97:AM97)</f>
        <v>0</v>
      </c>
      <c r="AO97" s="380"/>
      <c r="AP97" s="322" t="str">
        <f t="shared" si="133"/>
        <v/>
      </c>
      <c r="AQ97" s="323" t="str">
        <f>IF(AC97=$V$3,IF(VLOOKUP(C97,[1]List1!$A:$E,5,FALSE)=0,1,VLOOKUP(C97,[1]List1!$A:$E,5,FALSE)),"")</f>
        <v/>
      </c>
      <c r="AR97" s="304" t="str">
        <f t="shared" si="134"/>
        <v/>
      </c>
      <c r="AS97" s="423" t="str">
        <f t="shared" si="135"/>
        <v/>
      </c>
      <c r="AT97" s="304" t="str">
        <f t="shared" si="136"/>
        <v/>
      </c>
      <c r="AU97" s="342" t="e">
        <f t="shared" si="137"/>
        <v>#N/A</v>
      </c>
      <c r="AV97" s="304" t="e">
        <f t="shared" si="138"/>
        <v>#N/A</v>
      </c>
      <c r="AX97" s="304">
        <f>IF(AND('General price list'!$J97="F4",'General price list'!$AB97+0&gt;0),1,0)</f>
        <v>0</v>
      </c>
      <c r="AY97" s="304">
        <f t="shared" si="139"/>
        <v>1</v>
      </c>
      <c r="AZ97" s="304">
        <f t="shared" si="140"/>
        <v>1</v>
      </c>
    </row>
    <row r="98" spans="1:53" ht="15" customHeight="1">
      <c r="A98" s="712" t="str">
        <f>Kat.!C98</f>
        <v/>
      </c>
      <c r="B98" s="745">
        <f>IF(AND('General price list'!$J98="F4",$AI$1=FALSE),0,IF(AC98="SKLADEM",1,IF(AC98=$V$3,1,0)))</f>
        <v>1</v>
      </c>
      <c r="C98" s="714" t="s">
        <v>13472</v>
      </c>
      <c r="D98" s="715" t="s">
        <v>14523</v>
      </c>
      <c r="E98" s="716" t="s">
        <v>14052</v>
      </c>
      <c r="F98" s="712">
        <f>IFERROR(ROUND(IF($AL$3=2,VLOOKUP(C98,[2]List1!$A:$D,2,FALSE)*1.08,VLOOKUP(C98,[2]List1!$A:$D,2,FALSE)),0),"NEUVEDENO!")</f>
        <v>446</v>
      </c>
      <c r="G98" s="717">
        <f t="shared" si="155"/>
        <v>446</v>
      </c>
      <c r="H98" s="718">
        <f t="shared" si="156"/>
        <v>18.123524415963331</v>
      </c>
      <c r="I98" s="746">
        <v>8</v>
      </c>
      <c r="J98" s="716" t="s">
        <v>240</v>
      </c>
      <c r="K98" s="716"/>
      <c r="L98" s="716"/>
      <c r="M98" s="716" t="s">
        <v>25</v>
      </c>
      <c r="N98" s="716">
        <f>IFERROR(VLOOKUP(C98,[3]List1!$A:$D,4,FALSE),"N/A!")</f>
        <v>2.5294499999999998E-2</v>
      </c>
      <c r="O98" s="716">
        <f>IFERROR(VLOOKUP(C98,[3]List1!$A:$D,3,FALSE),"N/A!")</f>
        <v>1600</v>
      </c>
      <c r="P98" s="716">
        <f>IFERROR(VLOOKUP(C98,[3]List1!$A:$D,2,FALSE),"N/A!")</f>
        <v>15000</v>
      </c>
      <c r="Q98" s="716" t="s">
        <v>14097</v>
      </c>
      <c r="R98" s="716" t="s">
        <v>14098</v>
      </c>
      <c r="S98" s="716"/>
      <c r="T98" s="716">
        <v>25</v>
      </c>
      <c r="U98" s="716"/>
      <c r="V98" s="716"/>
      <c r="W98" s="716" t="str">
        <f>IFERROR(VLOOKUP('General price list'!$C98,Popisy!A:P,MATCH($W$17,Popisy!$A$7:$P$7,0),FALSE),"---------------")</f>
        <v>40mm barevné kulaté dýmovnice(červená,zelená,žlutá,modrá,bílá,růžová,fialová, oranžová)</v>
      </c>
      <c r="X98" s="716" t="str">
        <f t="shared" si="157"/>
        <v/>
      </c>
      <c r="Y98" s="716" t="str">
        <f t="shared" si="158"/>
        <v/>
      </c>
      <c r="Z98" s="716" t="str">
        <f>HYPERLINK("https://www.klasekpyrotechnics.cz/d1m")</f>
        <v>https://www.klasekpyrotechnics.cz/d1m</v>
      </c>
      <c r="AA98" s="716">
        <f>IFERROR(IF(VLOOKUP(C98,[4]List1!$A:$D,4,FALSE)=0,"",VLOOKUP(C98,[4]List1!$A:$D,4,FALSE)),"")</f>
        <v>15</v>
      </c>
      <c r="AB98" s="720"/>
      <c r="AC98" s="747" t="str">
        <f>IFERROR(IF(VLOOKUP(C98,[1]List1!$A:$D,2,FALSE)="VYPRODÁNO",$V$9,IF(VLOOKUP(C98,[1]List1!$A:$D,2,FALSE)="DOCHÁZÍ",$V$3,VLOOKUP(C98,[1]List1!$A:$D,2,FALSE))),"OFFLINE!")</f>
        <v>SKLADEM</v>
      </c>
      <c r="AD98" s="748" t="str">
        <f ca="1">IF(AP98="NE",$V$10,IF(AC98=$V$3,IF(AQ98&lt;1,$V$8,$V$2&amp;" "&amp;AQ98&amp;" "&amp;$V$1),IF(AC98="SKLADEM",$V$6,IFERROR(IF(OR(AC98-TODAY()&gt;45,VLOOKUP(C98,[1]List1!$A:$E,4,FALSE)=0),AC98,DAY(AC98)&amp;"."&amp;MONTH(AC98)&amp;"."&amp;YEAR(AC98)&amp;" "&amp;$V$4&amp;VLOOKUP(C98,[1]List1!$A:$E,4,FALSE)&amp;" "&amp;$V$1),AC98))))</f>
        <v>SKLADEM</v>
      </c>
      <c r="AE98" s="716" t="str">
        <f t="shared" ca="1" si="159"/>
        <v>SKLADEM</v>
      </c>
      <c r="AF98" s="723">
        <f t="shared" si="160"/>
        <v>0</v>
      </c>
      <c r="AG98" s="723">
        <f t="shared" si="161"/>
        <v>0</v>
      </c>
      <c r="AH98" s="724">
        <f t="shared" si="162"/>
        <v>0</v>
      </c>
      <c r="AI98" s="716">
        <f t="shared" si="163"/>
        <v>0</v>
      </c>
      <c r="AJ98" s="716">
        <f t="shared" si="164"/>
        <v>0</v>
      </c>
      <c r="AK98" s="716" t="str">
        <f t="shared" si="165"/>
        <v/>
      </c>
      <c r="AL98" s="716" t="str">
        <f t="shared" si="166"/>
        <v/>
      </c>
      <c r="AM98" s="716">
        <f t="shared" si="167"/>
        <v>0</v>
      </c>
      <c r="AN98" s="716">
        <f t="shared" si="168"/>
        <v>0</v>
      </c>
      <c r="AO98" s="380"/>
      <c r="AP98" s="322" t="str">
        <f t="shared" si="133"/>
        <v/>
      </c>
      <c r="AQ98" s="323" t="str">
        <f>IF(AC98=$V$3,IF(VLOOKUP(C98,[1]List1!$A:$E,5,FALSE)=0,1,VLOOKUP(C98,[1]List1!$A:$E,5,FALSE)),"")</f>
        <v/>
      </c>
      <c r="AR98" s="304" t="str">
        <f t="shared" si="134"/>
        <v/>
      </c>
      <c r="AS98" s="423" t="str">
        <f t="shared" si="135"/>
        <v/>
      </c>
      <c r="AT98" s="304" t="str">
        <f t="shared" si="136"/>
        <v/>
      </c>
      <c r="AU98" s="342" t="e">
        <f t="shared" si="137"/>
        <v>#N/A</v>
      </c>
      <c r="AV98" s="304" t="e">
        <f t="shared" si="138"/>
        <v>#N/A</v>
      </c>
      <c r="AX98" s="304">
        <f>IF(AND('General price list'!$J98="F4",'General price list'!$AB98+0&gt;0),1,0)</f>
        <v>0</v>
      </c>
      <c r="AY98" s="304">
        <f t="shared" si="139"/>
        <v>1</v>
      </c>
      <c r="AZ98" s="304">
        <f t="shared" si="140"/>
        <v>1</v>
      </c>
    </row>
    <row r="99" spans="1:53" ht="15" customHeight="1">
      <c r="A99" s="725" t="str">
        <f>Kat.!C99</f>
        <v/>
      </c>
      <c r="B99" s="749">
        <f>IF(AND('General price list'!$J99="F4",$AI$1=FALSE),0,IF(AC99="SKLADEM",1,IF(AC99=$V$3,1,0)))</f>
        <v>1</v>
      </c>
      <c r="C99" s="727" t="s">
        <v>244</v>
      </c>
      <c r="D99" s="728" t="s">
        <v>245</v>
      </c>
      <c r="E99" s="729" t="s">
        <v>54</v>
      </c>
      <c r="F99" s="725">
        <f>IFERROR(ROUND(IF($AL$3=2,VLOOKUP(C99,[2]List1!$A:$D,2,FALSE)*1.08,VLOOKUP(C99,[2]List1!$A:$D,2,FALSE)),0),"NEUVEDENO!")</f>
        <v>103</v>
      </c>
      <c r="G99" s="730">
        <f t="shared" si="155"/>
        <v>103</v>
      </c>
      <c r="H99" s="731">
        <f t="shared" si="156"/>
        <v>4.1854776117583476</v>
      </c>
      <c r="I99" s="750">
        <v>36</v>
      </c>
      <c r="J99" s="729" t="s">
        <v>240</v>
      </c>
      <c r="K99" s="729" t="s">
        <v>12734</v>
      </c>
      <c r="L99" s="729" t="s">
        <v>14363</v>
      </c>
      <c r="M99" s="729" t="s">
        <v>25</v>
      </c>
      <c r="N99" s="729">
        <f>IFERROR(VLOOKUP(C99,[3]List1!$A:$D,4,FALSE),"N/A!")</f>
        <v>2.8787499999999994E-2</v>
      </c>
      <c r="O99" s="729">
        <f>IFERROR(VLOOKUP(C99,[3]List1!$A:$D,3,FALSE),"N/A!")</f>
        <v>4320</v>
      </c>
      <c r="P99" s="729">
        <f>IFERROR(VLOOKUP(C99,[3]List1!$A:$D,2,FALSE),"N/A!")</f>
        <v>13600</v>
      </c>
      <c r="Q99" s="729" t="s">
        <v>14099</v>
      </c>
      <c r="R99" s="729" t="s">
        <v>18</v>
      </c>
      <c r="S99" s="729"/>
      <c r="T99" s="729">
        <v>40</v>
      </c>
      <c r="U99" s="729"/>
      <c r="V99" s="729"/>
      <c r="W99" s="729" t="str">
        <f>IFERROR(VLOOKUP('General price list'!$C99,Popisy!A:P,MATCH($W$17,Popisy!$A$7:$P$7,0),FALSE),"---------------")</f>
        <v>dýmovnice(tuba)-modrá,červená,žlutá,zelená</v>
      </c>
      <c r="X99" s="729" t="str">
        <f t="shared" si="157"/>
        <v/>
      </c>
      <c r="Y99" s="729" t="str">
        <f t="shared" si="158"/>
        <v/>
      </c>
      <c r="Z99" s="729" t="str">
        <f>HYPERLINK("https://www.klasekpyrotechnics.cz/d2c")</f>
        <v>https://www.klasekpyrotechnics.cz/d2c</v>
      </c>
      <c r="AA99" s="729">
        <f>IFERROR(IF(VLOOKUP(C99,[4]List1!$A:$D,4,FALSE)=0,"",VLOOKUP(C99,[4]List1!$A:$D,4,FALSE)),"")</f>
        <v>42</v>
      </c>
      <c r="AB99" s="720"/>
      <c r="AC99" s="751" t="str">
        <f>IFERROR(IF(VLOOKUP(C99,[1]List1!$A:$D,2,FALSE)="VYPRODÁNO",$V$9,IF(VLOOKUP(C99,[1]List1!$A:$D,2,FALSE)="DOCHÁZÍ",$V$3,VLOOKUP(C99,[1]List1!$A:$D,2,FALSE))),"OFFLINE!")</f>
        <v>SKLADEM</v>
      </c>
      <c r="AD99" s="752" t="str">
        <f ca="1">IF(AP99="NE",$V$10,IF(AC99=$V$3,IF(AQ99&lt;1,$V$8,$V$2&amp;" "&amp;AQ99&amp;" "&amp;$V$1),IF(AC99="SKLADEM",$V$6,IFERROR(IF(OR(AC99-TODAY()&gt;45,VLOOKUP(C99,[1]List1!$A:$E,4,FALSE)=0),AC99,DAY(AC99)&amp;"."&amp;MONTH(AC99)&amp;"."&amp;YEAR(AC99)&amp;" "&amp;$V$4&amp;VLOOKUP(C99,[1]List1!$A:$E,4,FALSE)&amp;" "&amp;$V$1),AC99))))</f>
        <v>SKLADEM</v>
      </c>
      <c r="AE99" s="729" t="str">
        <f t="shared" ca="1" si="159"/>
        <v>SKLADEM</v>
      </c>
      <c r="AF99" s="735">
        <f t="shared" si="160"/>
        <v>0</v>
      </c>
      <c r="AG99" s="735">
        <f t="shared" si="161"/>
        <v>0</v>
      </c>
      <c r="AH99" s="736">
        <f t="shared" si="162"/>
        <v>0</v>
      </c>
      <c r="AI99" s="729">
        <f t="shared" si="163"/>
        <v>0</v>
      </c>
      <c r="AJ99" s="729">
        <f t="shared" si="164"/>
        <v>0</v>
      </c>
      <c r="AK99" s="729" t="str">
        <f t="shared" si="165"/>
        <v/>
      </c>
      <c r="AL99" s="729" t="str">
        <f t="shared" si="166"/>
        <v/>
      </c>
      <c r="AM99" s="729">
        <f t="shared" si="167"/>
        <v>0</v>
      </c>
      <c r="AN99" s="729">
        <f t="shared" si="168"/>
        <v>0</v>
      </c>
      <c r="AO99" s="380"/>
      <c r="AP99" s="322" t="str">
        <f t="shared" si="133"/>
        <v/>
      </c>
      <c r="AQ99" s="323" t="str">
        <f>IF(AC99=$V$3,IF(VLOOKUP(C99,[1]List1!$A:$E,5,FALSE)=0,1,VLOOKUP(C99,[1]List1!$A:$E,5,FALSE)),"")</f>
        <v/>
      </c>
      <c r="AR99" s="304" t="str">
        <f t="shared" si="134"/>
        <v/>
      </c>
      <c r="AS99" s="423" t="str">
        <f t="shared" si="135"/>
        <v/>
      </c>
      <c r="AT99" s="304" t="str">
        <f t="shared" si="136"/>
        <v/>
      </c>
      <c r="AU99" s="342" t="e">
        <f t="shared" si="137"/>
        <v>#N/A</v>
      </c>
      <c r="AV99" s="304" t="e">
        <f t="shared" si="138"/>
        <v>#N/A</v>
      </c>
      <c r="AX99" s="304">
        <f>IF(AND('General price list'!$J99="F4",'General price list'!$AB99+0&gt;0),1,0)</f>
        <v>0</v>
      </c>
      <c r="AY99" s="304">
        <f t="shared" si="139"/>
        <v>1</v>
      </c>
      <c r="AZ99" s="304">
        <f t="shared" si="140"/>
        <v>1</v>
      </c>
    </row>
    <row r="100" spans="1:53" ht="15" customHeight="1">
      <c r="A100" s="712" t="str">
        <f>Kat.!C100</f>
        <v/>
      </c>
      <c r="B100" s="745">
        <f>IF(AND('General price list'!$J100="F4",$AI$1=FALSE),0,IF(AC100="SKLADEM",1,IF(AC100=$V$3,1,0)))</f>
        <v>1</v>
      </c>
      <c r="C100" s="714" t="s">
        <v>249</v>
      </c>
      <c r="D100" s="715" t="s">
        <v>250</v>
      </c>
      <c r="E100" s="716" t="s">
        <v>54</v>
      </c>
      <c r="F100" s="712">
        <f>IFERROR(ROUND(IF($AL$3=2,VLOOKUP(C100,[2]List1!$A:$D,2,FALSE)*1.08,VLOOKUP(C100,[2]List1!$A:$D,2,FALSE)),0),"NEUVEDENO!")</f>
        <v>103</v>
      </c>
      <c r="G100" s="717">
        <f t="shared" si="155"/>
        <v>103</v>
      </c>
      <c r="H100" s="718">
        <f t="shared" si="156"/>
        <v>4.1854776117583476</v>
      </c>
      <c r="I100" s="746">
        <v>36</v>
      </c>
      <c r="J100" s="716" t="s">
        <v>240</v>
      </c>
      <c r="K100" s="716"/>
      <c r="L100" s="716" t="s">
        <v>14363</v>
      </c>
      <c r="M100" s="716" t="s">
        <v>25</v>
      </c>
      <c r="N100" s="716">
        <f>IFERROR(VLOOKUP(C100,[3]List1!$A:$D,4,FALSE),"N/A!")</f>
        <v>2.8787499999999994E-2</v>
      </c>
      <c r="O100" s="716">
        <f>IFERROR(VLOOKUP(C100,[3]List1!$A:$D,3,FALSE),"N/A!")</f>
        <v>4320</v>
      </c>
      <c r="P100" s="716">
        <f>IFERROR(VLOOKUP(C100,[3]List1!$A:$D,2,FALSE),"N/A!")</f>
        <v>14300</v>
      </c>
      <c r="Q100" s="716" t="s">
        <v>14100</v>
      </c>
      <c r="R100" s="716" t="s">
        <v>18</v>
      </c>
      <c r="S100" s="716"/>
      <c r="T100" s="716">
        <v>40</v>
      </c>
      <c r="U100" s="716"/>
      <c r="V100" s="716"/>
      <c r="W100" s="716" t="str">
        <f>IFERROR(VLOOKUP('General price list'!$C100,Popisy!A:P,MATCH($W$17,Popisy!$A$7:$P$7,0),FALSE),"---------------")</f>
        <v>dýmovnice(tuba)-oranžová,fialová,bílá,černá</v>
      </c>
      <c r="X100" s="716" t="str">
        <f t="shared" si="157"/>
        <v/>
      </c>
      <c r="Y100" s="716" t="str">
        <f t="shared" si="158"/>
        <v/>
      </c>
      <c r="Z100" s="716" t="str">
        <f>HYPERLINK("https://www.klasekpyrotechnics.cz/d2cn")</f>
        <v>https://www.klasekpyrotechnics.cz/d2cn</v>
      </c>
      <c r="AA100" s="716">
        <f>IFERROR(IF(VLOOKUP(C100,[4]List1!$A:$D,4,FALSE)=0,"",VLOOKUP(C100,[4]List1!$A:$D,4,FALSE)),"")</f>
        <v>42</v>
      </c>
      <c r="AB100" s="720"/>
      <c r="AC100" s="747" t="str">
        <f>IFERROR(IF(VLOOKUP(C100,[1]List1!$A:$D,2,FALSE)="VYPRODÁNO",$V$9,IF(VLOOKUP(C100,[1]List1!$A:$D,2,FALSE)="DOCHÁZÍ",$V$3,VLOOKUP(C100,[1]List1!$A:$D,2,FALSE))),"OFFLINE!")</f>
        <v>SKLADEM</v>
      </c>
      <c r="AD100" s="748" t="str">
        <f ca="1">IF(AP100="NE",$V$10,IF(AC100=$V$3,IF(AQ100&lt;1,$V$8,$V$2&amp;" "&amp;AQ100&amp;" "&amp;$V$1),IF(AC100="SKLADEM",$V$6,IFERROR(IF(OR(AC100-TODAY()&gt;45,VLOOKUP(C100,[1]List1!$A:$E,4,FALSE)=0),AC100,DAY(AC100)&amp;"."&amp;MONTH(AC100)&amp;"."&amp;YEAR(AC100)&amp;" "&amp;$V$4&amp;VLOOKUP(C100,[1]List1!$A:$E,4,FALSE)&amp;" "&amp;$V$1),AC100))))</f>
        <v>SKLADEM</v>
      </c>
      <c r="AE100" s="716" t="str">
        <f t="shared" ca="1" si="159"/>
        <v>SKLADEM</v>
      </c>
      <c r="AF100" s="723">
        <f t="shared" si="160"/>
        <v>0</v>
      </c>
      <c r="AG100" s="723">
        <f t="shared" si="161"/>
        <v>0</v>
      </c>
      <c r="AH100" s="724">
        <f t="shared" si="162"/>
        <v>0</v>
      </c>
      <c r="AI100" s="716">
        <f t="shared" si="163"/>
        <v>0</v>
      </c>
      <c r="AJ100" s="716">
        <f t="shared" si="164"/>
        <v>0</v>
      </c>
      <c r="AK100" s="716" t="str">
        <f t="shared" si="165"/>
        <v/>
      </c>
      <c r="AL100" s="716" t="str">
        <f t="shared" si="166"/>
        <v/>
      </c>
      <c r="AM100" s="716">
        <f t="shared" si="167"/>
        <v>0</v>
      </c>
      <c r="AN100" s="716">
        <f t="shared" si="168"/>
        <v>0</v>
      </c>
      <c r="AO100" s="380"/>
      <c r="AP100" s="322" t="str">
        <f t="shared" si="133"/>
        <v/>
      </c>
      <c r="AQ100" s="323" t="str">
        <f>IF(AC100=$V$3,IF(VLOOKUP(C100,[1]List1!$A:$E,5,FALSE)=0,1,VLOOKUP(C100,[1]List1!$A:$E,5,FALSE)),"")</f>
        <v/>
      </c>
      <c r="AR100" s="304" t="str">
        <f t="shared" si="134"/>
        <v/>
      </c>
      <c r="AS100" s="423" t="str">
        <f t="shared" si="135"/>
        <v/>
      </c>
      <c r="AT100" s="304" t="str">
        <f t="shared" si="136"/>
        <v/>
      </c>
      <c r="AU100" s="342" t="e">
        <f t="shared" si="137"/>
        <v>#N/A</v>
      </c>
      <c r="AV100" s="304" t="e">
        <f t="shared" si="138"/>
        <v>#N/A</v>
      </c>
      <c r="AX100" s="304">
        <f>IF(AND('General price list'!$J100="F4",'General price list'!$AB100+0&gt;0),1,0)</f>
        <v>0</v>
      </c>
      <c r="AY100" s="304">
        <f t="shared" si="139"/>
        <v>1</v>
      </c>
      <c r="AZ100" s="304">
        <f t="shared" si="140"/>
        <v>1</v>
      </c>
    </row>
    <row r="101" spans="1:53" ht="15" customHeight="1">
      <c r="A101" s="725" t="str">
        <f>Kat.!C101</f>
        <v>×</v>
      </c>
      <c r="B101" s="749">
        <f>IF(AND('General price list'!$J101="F4",$AI$1=FALSE),0,IF(AC101="SKLADEM",1,IF(AC101=$V$3,1,0)))</f>
        <v>1</v>
      </c>
      <c r="C101" s="727" t="s">
        <v>3489</v>
      </c>
      <c r="D101" s="728" t="s">
        <v>14524</v>
      </c>
      <c r="E101" s="729" t="s">
        <v>54</v>
      </c>
      <c r="F101" s="725">
        <f>IFERROR(ROUND(IF($AL$3=2,VLOOKUP(C101,[2]List1!$A:$D,2,FALSE)*1.08,VLOOKUP(C101,[2]List1!$A:$D,2,FALSE)),0),"NEUVEDENO!")</f>
        <v>103</v>
      </c>
      <c r="G101" s="730">
        <f t="shared" si="155"/>
        <v>103</v>
      </c>
      <c r="H101" s="731">
        <f t="shared" si="156"/>
        <v>4.1854776117583476</v>
      </c>
      <c r="I101" s="750">
        <v>36</v>
      </c>
      <c r="J101" s="729" t="s">
        <v>240</v>
      </c>
      <c r="K101" s="729"/>
      <c r="L101" s="729" t="s">
        <v>14363</v>
      </c>
      <c r="M101" s="729" t="s">
        <v>25</v>
      </c>
      <c r="N101" s="729">
        <f>IFERROR(VLOOKUP(C101,[3]List1!$A:$D,4,FALSE),"N/A!")</f>
        <v>2.8787499999999994E-2</v>
      </c>
      <c r="O101" s="729">
        <f>IFERROR(VLOOKUP(C101,[3]List1!$A:$D,3,FALSE),"N/A!")</f>
        <v>4320</v>
      </c>
      <c r="P101" s="729">
        <f>IFERROR(VLOOKUP(C101,[3]List1!$A:$D,2,FALSE),"N/A!")</f>
        <v>13600</v>
      </c>
      <c r="Q101" s="729" t="s">
        <v>217</v>
      </c>
      <c r="R101" s="729" t="s">
        <v>18</v>
      </c>
      <c r="S101" s="729"/>
      <c r="T101" s="729">
        <v>40</v>
      </c>
      <c r="U101" s="729"/>
      <c r="V101" s="729"/>
      <c r="W101" s="729" t="str">
        <f>IFERROR(VLOOKUP('General price list'!$C101,Popisy!A:P,MATCH($W$17,Popisy!$A$7:$P$7,0),FALSE),"---------------")</f>
        <v>dýmovnice(tuba)-modrá,červená,žlutá,zelená</v>
      </c>
      <c r="X101" s="729" t="str">
        <f t="shared" si="157"/>
        <v/>
      </c>
      <c r="Y101" s="729" t="str">
        <f t="shared" si="158"/>
        <v/>
      </c>
      <c r="Z101" s="729" t="str">
        <f>HYPERLINK("https://www.klasekpyrotechnics.cz/d2c_1")</f>
        <v>https://www.klasekpyrotechnics.cz/d2c_1</v>
      </c>
      <c r="AA101" s="729">
        <f>IFERROR(IF(VLOOKUP(C101,[4]List1!$A:$D,4,FALSE)=0,"",VLOOKUP(C101,[4]List1!$A:$D,4,FALSE)),"")</f>
        <v>42</v>
      </c>
      <c r="AB101" s="720"/>
      <c r="AC101" s="751" t="str">
        <f>IFERROR(IF(VLOOKUP(C101,[1]List1!$A:$D,2,FALSE)="VYPRODÁNO",$V$9,IF(VLOOKUP(C101,[1]List1!$A:$D,2,FALSE)="DOCHÁZÍ",$V$3,VLOOKUP(C101,[1]List1!$A:$D,2,FALSE))),"OFFLINE!")</f>
        <v>SKLADEM</v>
      </c>
      <c r="AD101" s="752" t="str">
        <f ca="1">IF(AP101="NE",$V$10,IF(AC101=$V$3,IF(AQ101&lt;1,$V$8,$V$2&amp;" "&amp;AQ101&amp;" "&amp;$V$1),IF(AC101="SKLADEM",$V$6,IFERROR(IF(OR(AC101-TODAY()&gt;45,VLOOKUP(C101,[1]List1!$A:$E,4,FALSE)=0),AC101,DAY(AC101)&amp;"."&amp;MONTH(AC101)&amp;"."&amp;YEAR(AC101)&amp;" "&amp;$V$4&amp;VLOOKUP(C101,[1]List1!$A:$E,4,FALSE)&amp;" "&amp;$V$1),AC101))))</f>
        <v>SKLADEM</v>
      </c>
      <c r="AE101" s="729" t="str">
        <f t="shared" ca="1" si="159"/>
        <v>SKLADEM</v>
      </c>
      <c r="AF101" s="735">
        <f t="shared" si="160"/>
        <v>0</v>
      </c>
      <c r="AG101" s="735">
        <f t="shared" si="161"/>
        <v>0</v>
      </c>
      <c r="AH101" s="736">
        <f t="shared" si="162"/>
        <v>0</v>
      </c>
      <c r="AI101" s="729">
        <f t="shared" si="163"/>
        <v>0</v>
      </c>
      <c r="AJ101" s="729">
        <f t="shared" si="164"/>
        <v>0</v>
      </c>
      <c r="AK101" s="729" t="str">
        <f t="shared" si="165"/>
        <v/>
      </c>
      <c r="AL101" s="729" t="str">
        <f t="shared" si="166"/>
        <v/>
      </c>
      <c r="AM101" s="729">
        <f t="shared" si="167"/>
        <v>0</v>
      </c>
      <c r="AN101" s="729">
        <f t="shared" si="168"/>
        <v>0</v>
      </c>
      <c r="AO101" s="380"/>
      <c r="AP101" s="322" t="str">
        <f t="shared" si="133"/>
        <v/>
      </c>
      <c r="AQ101" s="304" t="str">
        <f>IF(AC101=$V$3,IF(VLOOKUP(C101,[1]List1!$A:$E,5,FALSE)=0,1,VLOOKUP(C101,[1]List1!$A:$E,5,FALSE)),"")</f>
        <v/>
      </c>
      <c r="AR101" s="304" t="str">
        <f t="shared" si="134"/>
        <v/>
      </c>
      <c r="AS101" s="423" t="str">
        <f t="shared" si="135"/>
        <v/>
      </c>
      <c r="AT101" s="304" t="str">
        <f t="shared" si="136"/>
        <v/>
      </c>
      <c r="AU101" s="342" t="e">
        <f t="shared" si="137"/>
        <v>#N/A</v>
      </c>
      <c r="AV101" s="304" t="e">
        <f t="shared" si="138"/>
        <v>#N/A</v>
      </c>
      <c r="AX101" s="304">
        <f>IF(AND('General price list'!$J101="F4",'General price list'!$AB101+0&gt;0),1,0)</f>
        <v>0</v>
      </c>
      <c r="AY101" s="304">
        <f t="shared" si="139"/>
        <v>1</v>
      </c>
      <c r="AZ101" s="304">
        <f t="shared" si="140"/>
        <v>1</v>
      </c>
    </row>
    <row r="102" spans="1:53" s="596" customFormat="1" ht="15" customHeight="1">
      <c r="A102" s="712" t="str">
        <f>Kat.!C102</f>
        <v>×</v>
      </c>
      <c r="B102" s="745">
        <f>IF(AND('General price list'!$J102="F4",$AI$1=FALSE),0,IF(AC102="SKLADEM",1,IF(AC102=$V$3,1,0)))</f>
        <v>1</v>
      </c>
      <c r="C102" s="714" t="s">
        <v>3490</v>
      </c>
      <c r="D102" s="715" t="s">
        <v>14524</v>
      </c>
      <c r="E102" s="716" t="s">
        <v>54</v>
      </c>
      <c r="F102" s="712">
        <f>IFERROR(ROUND(IF($AL$3=2,VLOOKUP(C102,[2]List1!$A:$D,2,FALSE)*1.08,VLOOKUP(C102,[2]List1!$A:$D,2,FALSE)),0),"NEUVEDENO!")</f>
        <v>103</v>
      </c>
      <c r="G102" s="717">
        <f t="shared" si="155"/>
        <v>103</v>
      </c>
      <c r="H102" s="718">
        <f t="shared" si="156"/>
        <v>4.1854776117583476</v>
      </c>
      <c r="I102" s="746">
        <v>36</v>
      </c>
      <c r="J102" s="716" t="s">
        <v>240</v>
      </c>
      <c r="K102" s="716"/>
      <c r="L102" s="716" t="s">
        <v>14363</v>
      </c>
      <c r="M102" s="716" t="s">
        <v>25</v>
      </c>
      <c r="N102" s="716">
        <f>IFERROR(VLOOKUP(C102,[3]List1!$A:$D,4,FALSE),"N/A!")</f>
        <v>2.8787499999999994E-2</v>
      </c>
      <c r="O102" s="716">
        <f>IFERROR(VLOOKUP(C102,[3]List1!$A:$D,3,FALSE),"N/A!")</f>
        <v>4320</v>
      </c>
      <c r="P102" s="716">
        <f>IFERROR(VLOOKUP(C102,[3]List1!$A:$D,2,FALSE),"N/A!")</f>
        <v>14300</v>
      </c>
      <c r="Q102" s="716" t="s">
        <v>217</v>
      </c>
      <c r="R102" s="716" t="s">
        <v>18</v>
      </c>
      <c r="S102" s="716"/>
      <c r="T102" s="716">
        <v>40</v>
      </c>
      <c r="U102" s="716"/>
      <c r="V102" s="716"/>
      <c r="W102" s="716" t="str">
        <f>IFERROR(VLOOKUP('General price list'!$C102,Popisy!A:P,MATCH($W$17,Popisy!$A$7:$P$7,0),FALSE),"---------------")</f>
        <v>dýmovnice(tuba)-oranžová,fialová,bílá,černá</v>
      </c>
      <c r="X102" s="716" t="str">
        <f t="shared" si="157"/>
        <v/>
      </c>
      <c r="Y102" s="716" t="str">
        <f t="shared" si="158"/>
        <v/>
      </c>
      <c r="Z102" s="716" t="str">
        <f>HYPERLINK("https://www.klasekpyrotechnics.cz/d2cn_1")</f>
        <v>https://www.klasekpyrotechnics.cz/d2cn_1</v>
      </c>
      <c r="AA102" s="716">
        <f>IFERROR(IF(VLOOKUP(C102,[4]List1!$A:$D,4,FALSE)=0,"",VLOOKUP(C102,[4]List1!$A:$D,4,FALSE)),"")</f>
        <v>42</v>
      </c>
      <c r="AB102" s="720"/>
      <c r="AC102" s="747" t="str">
        <f>IFERROR(IF(VLOOKUP(C102,[1]List1!$A:$D,2,FALSE)="VYPRODÁNO",$V$9,IF(VLOOKUP(C102,[1]List1!$A:$D,2,FALSE)="DOCHÁZÍ",$V$3,VLOOKUP(C102,[1]List1!$A:$D,2,FALSE))),"OFFLINE!")</f>
        <v>SKLADEM</v>
      </c>
      <c r="AD102" s="748" t="str">
        <f ca="1">IF(AP102="NE",$V$10,IF(AC102=$V$3,IF(AQ102&lt;1,$V$8,$V$2&amp;" "&amp;AQ102&amp;" "&amp;$V$1),IF(AC102="SKLADEM",$V$6,IFERROR(IF(OR(AC102-TODAY()&gt;45,VLOOKUP(C102,[1]List1!$A:$E,4,FALSE)=0),AC102,DAY(AC102)&amp;"."&amp;MONTH(AC102)&amp;"."&amp;YEAR(AC102)&amp;" "&amp;$V$4&amp;VLOOKUP(C102,[1]List1!$A:$E,4,FALSE)&amp;" "&amp;$V$1),AC102))))</f>
        <v>SKLADEM</v>
      </c>
      <c r="AE102" s="716" t="str">
        <f t="shared" ca="1" si="159"/>
        <v>SKLADEM</v>
      </c>
      <c r="AF102" s="723">
        <f t="shared" si="160"/>
        <v>0</v>
      </c>
      <c r="AG102" s="723">
        <f t="shared" si="161"/>
        <v>0</v>
      </c>
      <c r="AH102" s="724">
        <f t="shared" si="162"/>
        <v>0</v>
      </c>
      <c r="AI102" s="716">
        <f t="shared" si="163"/>
        <v>0</v>
      </c>
      <c r="AJ102" s="716">
        <f t="shared" si="164"/>
        <v>0</v>
      </c>
      <c r="AK102" s="716" t="str">
        <f t="shared" si="165"/>
        <v/>
      </c>
      <c r="AL102" s="716" t="str">
        <f t="shared" si="166"/>
        <v/>
      </c>
      <c r="AM102" s="716">
        <f t="shared" si="167"/>
        <v>0</v>
      </c>
      <c r="AN102" s="716">
        <f t="shared" si="168"/>
        <v>0</v>
      </c>
      <c r="AO102" s="380"/>
      <c r="AP102" s="304" t="str">
        <f t="shared" si="133"/>
        <v/>
      </c>
      <c r="AQ102" s="304" t="str">
        <f>IF(AC102=$V$3,IF(VLOOKUP(C102,[1]List1!$A:$E,5,FALSE)=0,1,VLOOKUP(C102,[1]List1!$A:$E,5,FALSE)),"")</f>
        <v/>
      </c>
      <c r="AR102" s="304" t="str">
        <f t="shared" si="134"/>
        <v/>
      </c>
      <c r="AS102" s="304" t="str">
        <f t="shared" si="135"/>
        <v/>
      </c>
      <c r="AT102" s="304" t="str">
        <f t="shared" si="136"/>
        <v/>
      </c>
      <c r="AU102" s="304" t="e">
        <f t="shared" si="137"/>
        <v>#N/A</v>
      </c>
      <c r="AV102" s="304" t="e">
        <f t="shared" si="138"/>
        <v>#N/A</v>
      </c>
      <c r="AW102" s="304"/>
      <c r="AX102" s="304">
        <f>IF(AND('General price list'!$J102="F4",'General price list'!$AB102+0&gt;0),1,0)</f>
        <v>0</v>
      </c>
      <c r="AY102" s="304">
        <f t="shared" si="139"/>
        <v>1</v>
      </c>
      <c r="AZ102" s="304">
        <f t="shared" si="140"/>
        <v>1</v>
      </c>
      <c r="BA102" s="304"/>
    </row>
    <row r="103" spans="1:53" ht="15" customHeight="1">
      <c r="A103" s="725" t="str">
        <f>Kat.!C103</f>
        <v/>
      </c>
      <c r="B103" s="749">
        <f>IF(AND('General price list'!$J103="F4",$AI$1=FALSE),0,IF(AC103="SKLADEM",1,IF(AC103=$V$3,1,0)))</f>
        <v>1</v>
      </c>
      <c r="C103" s="727" t="s">
        <v>2484</v>
      </c>
      <c r="D103" s="728" t="s">
        <v>2485</v>
      </c>
      <c r="E103" s="729" t="s">
        <v>178</v>
      </c>
      <c r="F103" s="725">
        <f>IFERROR(ROUND(IF($AL$3=2,VLOOKUP(C103,[2]List1!$A:$D,2,FALSE)*1.08,VLOOKUP(C103,[2]List1!$A:$D,2,FALSE)),0),"NEUVEDENO!")</f>
        <v>55</v>
      </c>
      <c r="G103" s="730">
        <f t="shared" si="155"/>
        <v>55</v>
      </c>
      <c r="H103" s="731">
        <f t="shared" si="156"/>
        <v>2.2349637732690208</v>
      </c>
      <c r="I103" s="750">
        <v>72</v>
      </c>
      <c r="J103" s="729" t="s">
        <v>240</v>
      </c>
      <c r="K103" s="729"/>
      <c r="L103" s="729" t="s">
        <v>14363</v>
      </c>
      <c r="M103" s="729" t="s">
        <v>25</v>
      </c>
      <c r="N103" s="729">
        <f>IFERROR(VLOOKUP(C103,[3]List1!$A:$D,4,FALSE),"N/A!")</f>
        <v>1.44E-2</v>
      </c>
      <c r="O103" s="729">
        <f>IFERROR(VLOOKUP(C103,[3]List1!$A:$D,3,FALSE),"N/A!")</f>
        <v>5472</v>
      </c>
      <c r="P103" s="729">
        <f>IFERROR(VLOOKUP(C103,[3]List1!$A:$D,2,FALSE),"N/A!")</f>
        <v>5000</v>
      </c>
      <c r="Q103" s="729" t="s">
        <v>632</v>
      </c>
      <c r="R103" s="729" t="s">
        <v>24</v>
      </c>
      <c r="S103" s="729"/>
      <c r="T103" s="729">
        <v>180</v>
      </c>
      <c r="U103" s="729"/>
      <c r="V103" s="729"/>
      <c r="W103" s="729" t="str">
        <f>IFERROR(VLOOKUP('General price list'!$C103,Popisy!A:P,MATCH($W$17,Popisy!$A$7:$P$7,0),FALSE),"---------------")</f>
        <v>dýmovnice odpuzující krtky(dým+zápach)</v>
      </c>
      <c r="X103" s="729" t="str">
        <f t="shared" si="157"/>
        <v/>
      </c>
      <c r="Y103" s="729" t="str">
        <f t="shared" si="158"/>
        <v/>
      </c>
      <c r="Z103" s="729" t="str">
        <f>HYPERLINK("https://www.klasekpyrotechnics.cz/d3sk")</f>
        <v>https://www.klasekpyrotechnics.cz/d3sk</v>
      </c>
      <c r="AA103" s="729" t="str">
        <f>IFERROR(IF(VLOOKUP(C103,[4]List1!$A:$D,4,FALSE)=0,"",VLOOKUP(C103,[4]List1!$A:$D,4,FALSE)),"")</f>
        <v>105</v>
      </c>
      <c r="AB103" s="720"/>
      <c r="AC103" s="751" t="str">
        <f>IFERROR(IF(VLOOKUP(C103,[1]List1!$A:$D,2,FALSE)="VYPRODÁNO",$V$9,IF(VLOOKUP(C103,[1]List1!$A:$D,2,FALSE)="DOCHÁZÍ",$V$3,VLOOKUP(C103,[1]List1!$A:$D,2,FALSE))),"OFFLINE!")</f>
        <v>SKLADEM</v>
      </c>
      <c r="AD103" s="752" t="str">
        <f ca="1">IF(AP103="NE",$V$10,IF(AC103=$V$3,IF(AQ103&lt;1,$V$8,$V$2&amp;" "&amp;AQ103&amp;" "&amp;$V$1),IF(AC103="SKLADEM",$V$6,IFERROR(IF(OR(AC103-TODAY()&gt;45,VLOOKUP(C103,[1]List1!$A:$E,4,FALSE)=0),AC103,DAY(AC103)&amp;"."&amp;MONTH(AC103)&amp;"."&amp;YEAR(AC103)&amp;" "&amp;$V$4&amp;VLOOKUP(C103,[1]List1!$A:$E,4,FALSE)&amp;" "&amp;$V$1),AC103))))</f>
        <v>SKLADEM</v>
      </c>
      <c r="AE103" s="729" t="str">
        <f t="shared" ca="1" si="159"/>
        <v>SKLADEM</v>
      </c>
      <c r="AF103" s="735">
        <f t="shared" si="160"/>
        <v>0</v>
      </c>
      <c r="AG103" s="735">
        <f t="shared" si="161"/>
        <v>0</v>
      </c>
      <c r="AH103" s="736">
        <f t="shared" si="162"/>
        <v>0</v>
      </c>
      <c r="AI103" s="729">
        <f t="shared" si="163"/>
        <v>0</v>
      </c>
      <c r="AJ103" s="729">
        <f t="shared" si="164"/>
        <v>0</v>
      </c>
      <c r="AK103" s="729" t="str">
        <f t="shared" si="165"/>
        <v/>
      </c>
      <c r="AL103" s="729" t="str">
        <f t="shared" si="166"/>
        <v/>
      </c>
      <c r="AM103" s="729">
        <f t="shared" si="167"/>
        <v>0</v>
      </c>
      <c r="AN103" s="729">
        <f t="shared" si="168"/>
        <v>0</v>
      </c>
      <c r="AO103" s="380"/>
      <c r="AP103" s="322" t="str">
        <f t="shared" si="133"/>
        <v/>
      </c>
      <c r="AQ103" s="323" t="str">
        <f>IF(AC103=$V$3,IF(VLOOKUP(C103,[1]List1!$A:$E,5,FALSE)=0,1,VLOOKUP(C103,[1]List1!$A:$E,5,FALSE)),"")</f>
        <v/>
      </c>
      <c r="AR103" s="304" t="str">
        <f t="shared" si="134"/>
        <v/>
      </c>
      <c r="AS103" s="423" t="str">
        <f t="shared" si="135"/>
        <v/>
      </c>
      <c r="AT103" s="304" t="str">
        <f t="shared" si="136"/>
        <v/>
      </c>
      <c r="AU103" s="342" t="e">
        <f t="shared" si="137"/>
        <v>#N/A</v>
      </c>
      <c r="AV103" s="304" t="e">
        <f t="shared" si="138"/>
        <v>#N/A</v>
      </c>
      <c r="AX103" s="304">
        <f>IF(AND('General price list'!$J103="F4",'General price list'!$AB103+0&gt;0),1,0)</f>
        <v>0</v>
      </c>
      <c r="AY103" s="304">
        <f t="shared" si="139"/>
        <v>1</v>
      </c>
      <c r="AZ103" s="304">
        <f t="shared" si="140"/>
        <v>0</v>
      </c>
    </row>
    <row r="104" spans="1:53" ht="15" customHeight="1">
      <c r="A104" s="712" t="str">
        <f>Kat.!C104</f>
        <v/>
      </c>
      <c r="B104" s="745">
        <f>IF(AND('General price list'!$J104="F4",$AI$1=FALSE),0,IF(AC104="SKLADEM",1,IF(AC104=$V$3,1,0)))</f>
        <v>0</v>
      </c>
      <c r="C104" s="714" t="s">
        <v>254</v>
      </c>
      <c r="D104" s="715" t="s">
        <v>255</v>
      </c>
      <c r="E104" s="716" t="s">
        <v>14053</v>
      </c>
      <c r="F104" s="712">
        <f>IFERROR(ROUND(IF($AL$3=2,VLOOKUP(C104,[2]List1!$A:$D,2,FALSE)*1.08,VLOOKUP(C104,[2]List1!$A:$D,2,FALSE)),0),"NEUVEDENO!")</f>
        <v>250</v>
      </c>
      <c r="G104" s="717">
        <f t="shared" si="155"/>
        <v>250</v>
      </c>
      <c r="H104" s="718">
        <f t="shared" si="156"/>
        <v>10.158926242131912</v>
      </c>
      <c r="I104" s="746">
        <v>12</v>
      </c>
      <c r="J104" s="716" t="s">
        <v>257</v>
      </c>
      <c r="K104" s="716">
        <v>5</v>
      </c>
      <c r="L104" s="716" t="s">
        <v>14364</v>
      </c>
      <c r="M104" s="716" t="s">
        <v>25</v>
      </c>
      <c r="N104" s="716">
        <f>IFERROR(VLOOKUP(C104,[3]List1!$A:$D,4,FALSE),"N/A!")</f>
        <v>1.7199000000000002E-2</v>
      </c>
      <c r="O104" s="716">
        <f>IFERROR(VLOOKUP(C104,[3]List1!$A:$D,3,FALSE),"N/A!")</f>
        <v>5000</v>
      </c>
      <c r="P104" s="716">
        <f>IFERROR(VLOOKUP(C104,[3]List1!$A:$D,2,FALSE),"N/A!")</f>
        <v>8700</v>
      </c>
      <c r="Q104" s="716" t="s">
        <v>14311</v>
      </c>
      <c r="R104" s="716" t="s">
        <v>2787</v>
      </c>
      <c r="S104" s="716"/>
      <c r="T104" s="716">
        <v>35</v>
      </c>
      <c r="U104" s="716"/>
      <c r="V104" s="716"/>
      <c r="W104" s="716" t="str">
        <f>IFERROR(VLOOKUP('General price list'!$C104,Popisy!A:P,MATCH($W$17,Popisy!$A$7:$P$7,0),FALSE),"---------------")</f>
        <v>dýmovnice(tuba)-bílá barva</v>
      </c>
      <c r="X104" s="716" t="str">
        <f t="shared" si="157"/>
        <v/>
      </c>
      <c r="Y104" s="716" t="str">
        <f t="shared" si="158"/>
        <v/>
      </c>
      <c r="Z104" s="716" t="str">
        <f>HYPERLINK("https://www.klasekpyrotechnics.cz/rdg1b")</f>
        <v>https://www.klasekpyrotechnics.cz/rdg1b</v>
      </c>
      <c r="AA104" s="716" t="str">
        <f>IFERROR(IF(VLOOKUP(C104,[4]List1!$A:$D,4,FALSE)=0,"",VLOOKUP(C104,[4]List1!$A:$D,4,FALSE)),"")</f>
        <v>72</v>
      </c>
      <c r="AB104" s="720"/>
      <c r="AC104" s="747" t="str">
        <f>IFERROR(IF(VLOOKUP(C104,[1]List1!$A:$D,2,FALSE)="VYPRODÁNO",$V$9,IF(VLOOKUP(C104,[1]List1!$A:$D,2,FALSE)="DOCHÁZÍ",$V$3,VLOOKUP(C104,[1]List1!$A:$D,2,FALSE))),"OFFLINE!")</f>
        <v>15.06.2024</v>
      </c>
      <c r="AD104" s="748" t="str">
        <f ca="1">IF(AP104="NE",$V$10,IF(AC104=$V$3,IF(AQ104&lt;1,$V$8,$V$2&amp;" "&amp;AQ104&amp;" "&amp;$V$1),IF(AC104="SKLADEM",$V$6,IFERROR(IF(OR(AC104-TODAY()&gt;45,VLOOKUP(C104,[1]List1!$A:$E,4,FALSE)=0),AC104,DAY(AC104)&amp;"."&amp;MONTH(AC104)&amp;"."&amp;YEAR(AC104)&amp;" "&amp;$V$4&amp;VLOOKUP(C104,[1]List1!$A:$E,4,FALSE)&amp;" "&amp;$V$1),AC104))))</f>
        <v>15.06.2024</v>
      </c>
      <c r="AE104" s="716" t="str">
        <f t="shared" ca="1" si="159"/>
        <v>15.06.2024</v>
      </c>
      <c r="AF104" s="723">
        <f t="shared" si="160"/>
        <v>0</v>
      </c>
      <c r="AG104" s="723">
        <f t="shared" si="161"/>
        <v>0</v>
      </c>
      <c r="AH104" s="724">
        <f t="shared" si="162"/>
        <v>0</v>
      </c>
      <c r="AI104" s="716">
        <f t="shared" si="163"/>
        <v>0</v>
      </c>
      <c r="AJ104" s="716">
        <f t="shared" si="164"/>
        <v>0</v>
      </c>
      <c r="AK104" s="716" t="str">
        <f t="shared" si="165"/>
        <v/>
      </c>
      <c r="AL104" s="716" t="str">
        <f t="shared" si="166"/>
        <v/>
      </c>
      <c r="AM104" s="716">
        <f t="shared" si="167"/>
        <v>0</v>
      </c>
      <c r="AN104" s="716">
        <f t="shared" si="168"/>
        <v>0</v>
      </c>
      <c r="AO104" s="380"/>
      <c r="AP104" s="322" t="str">
        <f t="shared" si="133"/>
        <v/>
      </c>
      <c r="AQ104" s="323" t="str">
        <f>IF(AC104=$V$3,IF(VLOOKUP(C104,[1]List1!$A:$E,5,FALSE)=0,1,VLOOKUP(C104,[1]List1!$A:$E,5,FALSE)),"")</f>
        <v/>
      </c>
      <c r="AR104" s="304" t="str">
        <f t="shared" si="134"/>
        <v/>
      </c>
      <c r="AS104" s="423" t="str">
        <f t="shared" si="135"/>
        <v/>
      </c>
      <c r="AT104" s="304" t="str">
        <f t="shared" si="136"/>
        <v/>
      </c>
      <c r="AU104" s="342" t="e">
        <f t="shared" si="137"/>
        <v>#N/A</v>
      </c>
      <c r="AV104" s="304" t="e">
        <f t="shared" si="138"/>
        <v>#N/A</v>
      </c>
      <c r="AX104" s="304">
        <f>IF(AND('General price list'!$J104="F4",'General price list'!$AB104+0&gt;0),1,0)</f>
        <v>0</v>
      </c>
      <c r="AY104" s="304">
        <f t="shared" si="139"/>
        <v>1</v>
      </c>
      <c r="AZ104" s="304">
        <f t="shared" si="140"/>
        <v>1</v>
      </c>
    </row>
    <row r="105" spans="1:53" ht="15" customHeight="1">
      <c r="A105" s="725" t="str">
        <f>Kat.!C105</f>
        <v>×</v>
      </c>
      <c r="B105" s="749">
        <f>IF(AND('General price list'!$J105="F4",$AI$1=FALSE),0,IF(AC105="SKLADEM",1,IF(AC105=$V$3,1,0)))</f>
        <v>1</v>
      </c>
      <c r="C105" s="727" t="s">
        <v>261</v>
      </c>
      <c r="D105" s="728" t="s">
        <v>255</v>
      </c>
      <c r="E105" s="729" t="s">
        <v>256</v>
      </c>
      <c r="F105" s="725">
        <f>IFERROR(ROUND(IF($AL$3=2,VLOOKUP(C105,[2]List1!$A:$D,2,FALSE)*1.08,VLOOKUP(C105,[2]List1!$A:$D,2,FALSE)),0),"NEUVEDENO!")</f>
        <v>62</v>
      </c>
      <c r="G105" s="730">
        <f t="shared" si="155"/>
        <v>62</v>
      </c>
      <c r="H105" s="731">
        <f t="shared" si="156"/>
        <v>2.5194137080487145</v>
      </c>
      <c r="I105" s="750">
        <v>50</v>
      </c>
      <c r="J105" s="729" t="s">
        <v>257</v>
      </c>
      <c r="K105" s="729"/>
      <c r="L105" s="729" t="s">
        <v>14364</v>
      </c>
      <c r="M105" s="729" t="s">
        <v>25</v>
      </c>
      <c r="N105" s="729">
        <f>IFERROR(VLOOKUP(C105,[3]List1!$A:$D,4,FALSE),"N/A!")</f>
        <v>1.7199000000000002E-2</v>
      </c>
      <c r="O105" s="729">
        <f>IFERROR(VLOOKUP(C105,[3]List1!$A:$D,3,FALSE),"N/A!")</f>
        <v>5000</v>
      </c>
      <c r="P105" s="729">
        <f>IFERROR(VLOOKUP(C105,[3]List1!$A:$D,2,FALSE),"N/A!")</f>
        <v>8700</v>
      </c>
      <c r="Q105" s="729" t="s">
        <v>2788</v>
      </c>
      <c r="R105" s="729" t="s">
        <v>24</v>
      </c>
      <c r="S105" s="729"/>
      <c r="T105" s="729">
        <v>35</v>
      </c>
      <c r="U105" s="729"/>
      <c r="V105" s="729"/>
      <c r="W105" s="729" t="str">
        <f>IFERROR(VLOOKUP('General price list'!$C105,Popisy!A:P,MATCH($W$17,Popisy!$A$7:$P$7,0),FALSE),"---------------")</f>
        <v>dýmovnice(tuba)-bílá barva</v>
      </c>
      <c r="X105" s="729" t="str">
        <f t="shared" si="157"/>
        <v/>
      </c>
      <c r="Y105" s="729" t="str">
        <f t="shared" si="158"/>
        <v/>
      </c>
      <c r="Z105" s="729" t="str">
        <f>HYPERLINK("https://www.klasekpyrotechnics.cz/rdg1b_1")</f>
        <v>https://www.klasekpyrotechnics.cz/rdg1b_1</v>
      </c>
      <c r="AA105" s="729" t="str">
        <f>IFERROR(IF(VLOOKUP(C105,[4]List1!$A:$D,4,FALSE)=0,"",VLOOKUP(C105,[4]List1!$A:$D,4,FALSE)),"")</f>
        <v>72</v>
      </c>
      <c r="AB105" s="720"/>
      <c r="AC105" s="751" t="str">
        <f>IFERROR(IF(VLOOKUP(C105,[1]List1!$A:$D,2,FALSE)="VYPRODÁNO",$V$9,IF(VLOOKUP(C105,[1]List1!$A:$D,2,FALSE)="DOCHÁZÍ",$V$3,VLOOKUP(C105,[1]List1!$A:$D,2,FALSE))),"OFFLINE!")</f>
        <v>SKLADEM</v>
      </c>
      <c r="AD105" s="752" t="str">
        <f ca="1">IF(AP105="NE",$V$10,IF(AC105=$V$3,IF(AQ105&lt;1,$V$8,$V$2&amp;" "&amp;AQ105&amp;" "&amp;$V$1),IF(AC105="SKLADEM",$V$6,IFERROR(IF(OR(AC105-TODAY()&gt;45,VLOOKUP(C105,[1]List1!$A:$E,4,FALSE)=0),AC105,DAY(AC105)&amp;"."&amp;MONTH(AC105)&amp;"."&amp;YEAR(AC105)&amp;" "&amp;$V$4&amp;VLOOKUP(C105,[1]List1!$A:$E,4,FALSE)&amp;" "&amp;$V$1),AC105))))</f>
        <v>SKLADEM</v>
      </c>
      <c r="AE105" s="729" t="str">
        <f t="shared" ca="1" si="159"/>
        <v>SKLADEM</v>
      </c>
      <c r="AF105" s="735">
        <f t="shared" si="160"/>
        <v>0</v>
      </c>
      <c r="AG105" s="735">
        <f t="shared" si="161"/>
        <v>0</v>
      </c>
      <c r="AH105" s="736">
        <f t="shared" si="162"/>
        <v>0</v>
      </c>
      <c r="AI105" s="729">
        <f t="shared" si="163"/>
        <v>0</v>
      </c>
      <c r="AJ105" s="729">
        <f t="shared" si="164"/>
        <v>0</v>
      </c>
      <c r="AK105" s="729" t="str">
        <f t="shared" si="165"/>
        <v/>
      </c>
      <c r="AL105" s="729" t="str">
        <f t="shared" si="166"/>
        <v/>
      </c>
      <c r="AM105" s="729">
        <f t="shared" si="167"/>
        <v>0</v>
      </c>
      <c r="AN105" s="729">
        <f t="shared" si="168"/>
        <v>0</v>
      </c>
      <c r="AO105" s="380"/>
      <c r="AP105" s="322" t="str">
        <f t="shared" si="133"/>
        <v/>
      </c>
      <c r="AQ105" s="323" t="str">
        <f>IF(AC105=$V$3,IF(VLOOKUP(C105,[1]List1!$A:$E,5,FALSE)=0,1,VLOOKUP(C105,[1]List1!$A:$E,5,FALSE)),"")</f>
        <v/>
      </c>
      <c r="AR105" s="304" t="str">
        <f t="shared" si="134"/>
        <v/>
      </c>
      <c r="AS105" s="423" t="str">
        <f t="shared" si="135"/>
        <v/>
      </c>
      <c r="AT105" s="304" t="str">
        <f t="shared" si="136"/>
        <v/>
      </c>
      <c r="AU105" s="342" t="e">
        <f t="shared" si="137"/>
        <v>#N/A</v>
      </c>
      <c r="AV105" s="304" t="e">
        <f t="shared" si="138"/>
        <v>#N/A</v>
      </c>
      <c r="AX105" s="304">
        <f>IF(AND('General price list'!$J105="F4",'General price list'!$AB105+0&gt;0),1,0)</f>
        <v>0</v>
      </c>
      <c r="AY105" s="304">
        <f t="shared" si="139"/>
        <v>0</v>
      </c>
      <c r="AZ105" s="304">
        <f t="shared" si="140"/>
        <v>0</v>
      </c>
    </row>
    <row r="106" spans="1:53" ht="15" customHeight="1">
      <c r="A106" s="712" t="str">
        <f>Kat.!C106</f>
        <v/>
      </c>
      <c r="B106" s="745">
        <f>IF(AND('General price list'!$J106="F4",$AI$1=FALSE),0,IF(AC106="SKLADEM",1,IF(AC106=$V$3,1,0)))</f>
        <v>1</v>
      </c>
      <c r="C106" s="714" t="s">
        <v>262</v>
      </c>
      <c r="D106" s="715" t="s">
        <v>263</v>
      </c>
      <c r="E106" s="716" t="s">
        <v>256</v>
      </c>
      <c r="F106" s="712">
        <f>IFERROR(ROUND(IF($AL$3=2,VLOOKUP(C106,[2]List1!$A:$D,2,FALSE)*1.08,VLOOKUP(C106,[2]List1!$A:$D,2,FALSE)),0),"NEUVEDENO!")</f>
        <v>62</v>
      </c>
      <c r="G106" s="717">
        <f t="shared" si="155"/>
        <v>62</v>
      </c>
      <c r="H106" s="718">
        <f t="shared" si="156"/>
        <v>2.5194137080487145</v>
      </c>
      <c r="I106" s="746">
        <v>50</v>
      </c>
      <c r="J106" s="716" t="s">
        <v>257</v>
      </c>
      <c r="K106" s="716"/>
      <c r="L106" s="716" t="s">
        <v>14364</v>
      </c>
      <c r="M106" s="716" t="s">
        <v>25</v>
      </c>
      <c r="N106" s="716">
        <f>IFERROR(VLOOKUP(C106,[3]List1!$A:$D,4,FALSE),"N/A!")</f>
        <v>1.7199000000000002E-2</v>
      </c>
      <c r="O106" s="716">
        <f>IFERROR(VLOOKUP(C106,[3]List1!$A:$D,3,FALSE),"N/A!")</f>
        <v>5000</v>
      </c>
      <c r="P106" s="716">
        <f>IFERROR(VLOOKUP(C106,[3]List1!$A:$D,2,FALSE),"N/A!")</f>
        <v>8700</v>
      </c>
      <c r="Q106" s="716" t="s">
        <v>14311</v>
      </c>
      <c r="R106" s="716" t="s">
        <v>2787</v>
      </c>
      <c r="S106" s="716"/>
      <c r="T106" s="716">
        <v>35</v>
      </c>
      <c r="U106" s="716"/>
      <c r="V106" s="716"/>
      <c r="W106" s="716" t="str">
        <f>IFERROR(VLOOKUP('General price list'!$C106,Popisy!A:P,MATCH($W$17,Popisy!$A$7:$P$7,0),FALSE),"---------------")</f>
        <v>dýmovnice(tuba) červená barva</v>
      </c>
      <c r="X106" s="716" t="str">
        <f t="shared" si="157"/>
        <v/>
      </c>
      <c r="Y106" s="716" t="str">
        <f t="shared" si="158"/>
        <v/>
      </c>
      <c r="Z106" s="716" t="str">
        <f>HYPERLINK("https://www.klasekpyrotechnics.cz/rdg1c")</f>
        <v>https://www.klasekpyrotechnics.cz/rdg1c</v>
      </c>
      <c r="AA106" s="716" t="str">
        <f>IFERROR(IF(VLOOKUP(C106,[4]List1!$A:$D,4,FALSE)=0,"",VLOOKUP(C106,[4]List1!$A:$D,4,FALSE)),"")</f>
        <v>72</v>
      </c>
      <c r="AB106" s="720"/>
      <c r="AC106" s="747" t="str">
        <f>IFERROR(IF(VLOOKUP(C106,[1]List1!$A:$D,2,FALSE)="VYPRODÁNO",$V$9,IF(VLOOKUP(C106,[1]List1!$A:$D,2,FALSE)="DOCHÁZÍ",$V$3,VLOOKUP(C106,[1]List1!$A:$D,2,FALSE))),"OFFLINE!")</f>
        <v>SKLADEM</v>
      </c>
      <c r="AD106" s="748" t="str">
        <f ca="1">IF(AP106="NE",$V$10,IF(AC106=$V$3,IF(AQ106&lt;1,$V$8,$V$2&amp;" "&amp;AQ106&amp;" "&amp;$V$1),IF(AC106="SKLADEM",$V$6,IFERROR(IF(OR(AC106-TODAY()&gt;45,VLOOKUP(C106,[1]List1!$A:$E,4,FALSE)=0),AC106,DAY(AC106)&amp;"."&amp;MONTH(AC106)&amp;"."&amp;YEAR(AC106)&amp;" "&amp;$V$4&amp;VLOOKUP(C106,[1]List1!$A:$E,4,FALSE)&amp;" "&amp;$V$1),AC106))))</f>
        <v>SKLADEM</v>
      </c>
      <c r="AE106" s="716" t="str">
        <f t="shared" ca="1" si="159"/>
        <v>SKLADEM</v>
      </c>
      <c r="AF106" s="723">
        <f t="shared" si="160"/>
        <v>0</v>
      </c>
      <c r="AG106" s="723">
        <f t="shared" si="161"/>
        <v>0</v>
      </c>
      <c r="AH106" s="724">
        <f t="shared" si="162"/>
        <v>0</v>
      </c>
      <c r="AI106" s="716">
        <f t="shared" si="163"/>
        <v>0</v>
      </c>
      <c r="AJ106" s="716">
        <f t="shared" si="164"/>
        <v>0</v>
      </c>
      <c r="AK106" s="716" t="str">
        <f t="shared" si="165"/>
        <v/>
      </c>
      <c r="AL106" s="716" t="str">
        <f t="shared" si="166"/>
        <v/>
      </c>
      <c r="AM106" s="716">
        <f t="shared" si="167"/>
        <v>0</v>
      </c>
      <c r="AN106" s="716">
        <f t="shared" si="168"/>
        <v>0</v>
      </c>
      <c r="AO106" s="380"/>
      <c r="AP106" s="322" t="str">
        <f t="shared" si="133"/>
        <v/>
      </c>
      <c r="AQ106" s="323" t="str">
        <f>IF(AC106=$V$3,IF(VLOOKUP(C106,[1]List1!$A:$E,5,FALSE)=0,1,VLOOKUP(C106,[1]List1!$A:$E,5,FALSE)),"")</f>
        <v/>
      </c>
      <c r="AR106" s="304" t="str">
        <f t="shared" si="134"/>
        <v/>
      </c>
      <c r="AS106" s="423" t="str">
        <f t="shared" si="135"/>
        <v/>
      </c>
      <c r="AT106" s="304" t="str">
        <f t="shared" si="136"/>
        <v/>
      </c>
      <c r="AU106" s="342" t="e">
        <f t="shared" si="137"/>
        <v>#N/A</v>
      </c>
      <c r="AV106" s="304" t="e">
        <f t="shared" si="138"/>
        <v>#N/A</v>
      </c>
      <c r="AX106" s="304">
        <f>IF(AND('General price list'!$J106="F4",'General price list'!$AB106+0&gt;0),1,0)</f>
        <v>0</v>
      </c>
      <c r="AY106" s="304">
        <f t="shared" si="139"/>
        <v>1</v>
      </c>
      <c r="AZ106" s="304">
        <f t="shared" si="140"/>
        <v>1</v>
      </c>
    </row>
    <row r="107" spans="1:53" ht="15" customHeight="1">
      <c r="A107" s="725" t="str">
        <f>Kat.!C107</f>
        <v>×</v>
      </c>
      <c r="B107" s="749">
        <f>IF(AND('General price list'!$J107="F4",$AI$1=FALSE),0,IF(AC107="SKLADEM",1,IF(AC107=$V$3,1,0)))</f>
        <v>1</v>
      </c>
      <c r="C107" s="727" t="s">
        <v>267</v>
      </c>
      <c r="D107" s="728" t="s">
        <v>263</v>
      </c>
      <c r="E107" s="729" t="s">
        <v>256</v>
      </c>
      <c r="F107" s="725">
        <f>IFERROR(ROUND(IF($AL$3=2,VLOOKUP(C107,[2]List1!$A:$D,2,FALSE)*1.08,VLOOKUP(C107,[2]List1!$A:$D,2,FALSE)),0),"NEUVEDENO!")</f>
        <v>62</v>
      </c>
      <c r="G107" s="730">
        <f t="shared" si="155"/>
        <v>62</v>
      </c>
      <c r="H107" s="731">
        <f t="shared" si="156"/>
        <v>2.5194137080487145</v>
      </c>
      <c r="I107" s="750">
        <v>50</v>
      </c>
      <c r="J107" s="729" t="s">
        <v>257</v>
      </c>
      <c r="K107" s="729"/>
      <c r="L107" s="729" t="s">
        <v>14364</v>
      </c>
      <c r="M107" s="729" t="s">
        <v>25</v>
      </c>
      <c r="N107" s="729">
        <f>IFERROR(VLOOKUP(C107,[3]List1!$A:$D,4,FALSE),"N/A!")</f>
        <v>1.7199000000000002E-2</v>
      </c>
      <c r="O107" s="729">
        <f>IFERROR(VLOOKUP(C107,[3]List1!$A:$D,3,FALSE),"N/A!")</f>
        <v>5000</v>
      </c>
      <c r="P107" s="729">
        <f>IFERROR(VLOOKUP(C107,[3]List1!$A:$D,2,FALSE),"N/A!")</f>
        <v>8700</v>
      </c>
      <c r="Q107" s="729" t="s">
        <v>2788</v>
      </c>
      <c r="R107" s="729" t="s">
        <v>24</v>
      </c>
      <c r="S107" s="729"/>
      <c r="T107" s="729">
        <v>35</v>
      </c>
      <c r="U107" s="729"/>
      <c r="V107" s="729"/>
      <c r="W107" s="729" t="str">
        <f>IFERROR(VLOOKUP('General price list'!$C107,Popisy!A:P,MATCH($W$17,Popisy!$A$7:$P$7,0),FALSE),"---------------")</f>
        <v>dýmovnice(tuba) červená barva</v>
      </c>
      <c r="X107" s="729" t="str">
        <f t="shared" si="157"/>
        <v/>
      </c>
      <c r="Y107" s="729" t="str">
        <f t="shared" si="158"/>
        <v/>
      </c>
      <c r="Z107" s="729" t="str">
        <f>HYPERLINK("https://www.klasekpyrotechnics.cz/rdg1c_1")</f>
        <v>https://www.klasekpyrotechnics.cz/rdg1c_1</v>
      </c>
      <c r="AA107" s="729" t="str">
        <f>IFERROR(IF(VLOOKUP(C107,[4]List1!$A:$D,4,FALSE)=0,"",VLOOKUP(C107,[4]List1!$A:$D,4,FALSE)),"")</f>
        <v>72</v>
      </c>
      <c r="AB107" s="720"/>
      <c r="AC107" s="751" t="str">
        <f>IFERROR(IF(VLOOKUP(C107,[1]List1!$A:$D,2,FALSE)="VYPRODÁNO",$V$9,IF(VLOOKUP(C107,[1]List1!$A:$D,2,FALSE)="DOCHÁZÍ",$V$3,VLOOKUP(C107,[1]List1!$A:$D,2,FALSE))),"OFFLINE!")</f>
        <v>DOCHÁZÍ</v>
      </c>
      <c r="AD107" s="752" t="str">
        <f ca="1">IF(AP107="NE",$V$10,IF(AC107=$V$3,IF(AQ107&lt;1,$V$8,$V$2&amp;" "&amp;AQ107&amp;" "&amp;$V$1),IF(AC107="SKLADEM",$V$6,IFERROR(IF(OR(AC107-TODAY()&gt;45,VLOOKUP(C107,[1]List1!$A:$E,4,FALSE)=0),AC107,DAY(AC107)&amp;"."&amp;MONTH(AC107)&amp;"."&amp;YEAR(AC107)&amp;" "&amp;$V$4&amp;VLOOKUP(C107,[1]List1!$A:$E,4,FALSE)&amp;" "&amp;$V$1),AC107))))</f>
        <v>POSLEDNÍCH 3 VK</v>
      </c>
      <c r="AE107" s="729" t="str">
        <f t="shared" ca="1" si="159"/>
        <v>POSLEDNÍCH 3 VK</v>
      </c>
      <c r="AF107" s="735">
        <f t="shared" si="160"/>
        <v>0</v>
      </c>
      <c r="AG107" s="735">
        <f t="shared" si="161"/>
        <v>0</v>
      </c>
      <c r="AH107" s="736">
        <f t="shared" si="162"/>
        <v>0</v>
      </c>
      <c r="AI107" s="729">
        <f t="shared" si="163"/>
        <v>0</v>
      </c>
      <c r="AJ107" s="729">
        <f t="shared" si="164"/>
        <v>0</v>
      </c>
      <c r="AK107" s="729" t="str">
        <f t="shared" si="165"/>
        <v/>
      </c>
      <c r="AL107" s="729" t="str">
        <f t="shared" si="166"/>
        <v/>
      </c>
      <c r="AM107" s="729">
        <f t="shared" si="167"/>
        <v>0</v>
      </c>
      <c r="AN107" s="729">
        <f t="shared" si="168"/>
        <v>0</v>
      </c>
      <c r="AO107" s="380"/>
      <c r="AP107" s="322" t="str">
        <f t="shared" si="133"/>
        <v/>
      </c>
      <c r="AQ107" s="323">
        <f>IF(AC107=$V$3,IF(VLOOKUP(C107,[1]List1!$A:$E,5,FALSE)=0,1,VLOOKUP(C107,[1]List1!$A:$E,5,FALSE)),"")</f>
        <v>3</v>
      </c>
      <c r="AR107" s="304" t="str">
        <f t="shared" si="134"/>
        <v/>
      </c>
      <c r="AS107" s="423" t="str">
        <f t="shared" si="135"/>
        <v/>
      </c>
      <c r="AT107" s="304" t="str">
        <f t="shared" si="136"/>
        <v/>
      </c>
      <c r="AU107" s="342" t="e">
        <f t="shared" si="137"/>
        <v>#N/A</v>
      </c>
      <c r="AV107" s="304" t="e">
        <f t="shared" si="138"/>
        <v>#N/A</v>
      </c>
      <c r="AX107" s="304">
        <f>IF(AND('General price list'!$J107="F4",'General price list'!$AB107+0&gt;0),1,0)</f>
        <v>0</v>
      </c>
      <c r="AY107" s="304">
        <f t="shared" si="139"/>
        <v>0</v>
      </c>
      <c r="AZ107" s="304">
        <f t="shared" si="140"/>
        <v>0</v>
      </c>
    </row>
    <row r="108" spans="1:53" ht="15" customHeight="1">
      <c r="A108" s="712" t="str">
        <f>Kat.!C108</f>
        <v/>
      </c>
      <c r="B108" s="745">
        <f>IF(AND('General price list'!$J108="F4",$AI$1=FALSE),0,IF(AC108="SKLADEM",1,IF(AC108=$V$3,1,0)))</f>
        <v>1</v>
      </c>
      <c r="C108" s="714" t="s">
        <v>268</v>
      </c>
      <c r="D108" s="715" t="s">
        <v>269</v>
      </c>
      <c r="E108" s="716" t="s">
        <v>256</v>
      </c>
      <c r="F108" s="712">
        <f>IFERROR(ROUND(IF($AL$3=2,VLOOKUP(C108,[2]List1!$A:$D,2,FALSE)*1.08,VLOOKUP(C108,[2]List1!$A:$D,2,FALSE)),0),"NEUVEDENO!")</f>
        <v>62</v>
      </c>
      <c r="G108" s="717">
        <f t="shared" si="155"/>
        <v>62</v>
      </c>
      <c r="H108" s="718">
        <f t="shared" si="156"/>
        <v>2.5194137080487145</v>
      </c>
      <c r="I108" s="746">
        <v>50</v>
      </c>
      <c r="J108" s="716" t="s">
        <v>257</v>
      </c>
      <c r="K108" s="716"/>
      <c r="L108" s="716" t="s">
        <v>14364</v>
      </c>
      <c r="M108" s="716" t="s">
        <v>25</v>
      </c>
      <c r="N108" s="716">
        <f>IFERROR(VLOOKUP(C108,[3]List1!$A:$D,4,FALSE),"N/A!")</f>
        <v>1.7199000000000002E-2</v>
      </c>
      <c r="O108" s="716">
        <f>IFERROR(VLOOKUP(C108,[3]List1!$A:$D,3,FALSE),"N/A!")</f>
        <v>5000</v>
      </c>
      <c r="P108" s="716">
        <f>IFERROR(VLOOKUP(C108,[3]List1!$A:$D,2,FALSE),"N/A!")</f>
        <v>8700</v>
      </c>
      <c r="Q108" s="716" t="s">
        <v>14311</v>
      </c>
      <c r="R108" s="716" t="s">
        <v>2787</v>
      </c>
      <c r="S108" s="716"/>
      <c r="T108" s="716">
        <v>35</v>
      </c>
      <c r="U108" s="716"/>
      <c r="V108" s="716"/>
      <c r="W108" s="716" t="str">
        <f>IFERROR(VLOOKUP('General price list'!$C108,Popisy!A:P,MATCH($W$17,Popisy!$A$7:$P$7,0),FALSE),"---------------")</f>
        <v>dýmovnice(tuba) modrá barva</v>
      </c>
      <c r="X108" s="716" t="str">
        <f t="shared" si="157"/>
        <v/>
      </c>
      <c r="Y108" s="716" t="str">
        <f t="shared" si="158"/>
        <v/>
      </c>
      <c r="Z108" s="716" t="str">
        <f>HYPERLINK("https://www.klasekpyrotechnics.cz/rdg1m")</f>
        <v>https://www.klasekpyrotechnics.cz/rdg1m</v>
      </c>
      <c r="AA108" s="716" t="str">
        <f>IFERROR(IF(VLOOKUP(C108,[4]List1!$A:$D,4,FALSE)=0,"",VLOOKUP(C108,[4]List1!$A:$D,4,FALSE)),"")</f>
        <v>72</v>
      </c>
      <c r="AB108" s="720"/>
      <c r="AC108" s="747" t="str">
        <f>IFERROR(IF(VLOOKUP(C108,[1]List1!$A:$D,2,FALSE)="VYPRODÁNO",$V$9,IF(VLOOKUP(C108,[1]List1!$A:$D,2,FALSE)="DOCHÁZÍ",$V$3,VLOOKUP(C108,[1]List1!$A:$D,2,FALSE))),"OFFLINE!")</f>
        <v>SKLADEM</v>
      </c>
      <c r="AD108" s="748" t="str">
        <f ca="1">IF(AP108="NE",$V$10,IF(AC108=$V$3,IF(AQ108&lt;1,$V$8,$V$2&amp;" "&amp;AQ108&amp;" "&amp;$V$1),IF(AC108="SKLADEM",$V$6,IFERROR(IF(OR(AC108-TODAY()&gt;45,VLOOKUP(C108,[1]List1!$A:$E,4,FALSE)=0),AC108,DAY(AC108)&amp;"."&amp;MONTH(AC108)&amp;"."&amp;YEAR(AC108)&amp;" "&amp;$V$4&amp;VLOOKUP(C108,[1]List1!$A:$E,4,FALSE)&amp;" "&amp;$V$1),AC108))))</f>
        <v>SKLADEM</v>
      </c>
      <c r="AE108" s="716" t="str">
        <f t="shared" ca="1" si="159"/>
        <v>SKLADEM</v>
      </c>
      <c r="AF108" s="723">
        <f t="shared" si="160"/>
        <v>0</v>
      </c>
      <c r="AG108" s="723">
        <f t="shared" si="161"/>
        <v>0</v>
      </c>
      <c r="AH108" s="724">
        <f t="shared" si="162"/>
        <v>0</v>
      </c>
      <c r="AI108" s="716">
        <f t="shared" si="163"/>
        <v>0</v>
      </c>
      <c r="AJ108" s="716">
        <f t="shared" si="164"/>
        <v>0</v>
      </c>
      <c r="AK108" s="716" t="str">
        <f t="shared" si="165"/>
        <v/>
      </c>
      <c r="AL108" s="716" t="str">
        <f t="shared" si="166"/>
        <v/>
      </c>
      <c r="AM108" s="716">
        <f t="shared" si="167"/>
        <v>0</v>
      </c>
      <c r="AN108" s="716">
        <f t="shared" si="168"/>
        <v>0</v>
      </c>
      <c r="AO108" s="380"/>
      <c r="AP108" s="322" t="str">
        <f t="shared" si="133"/>
        <v/>
      </c>
      <c r="AQ108" s="323" t="str">
        <f>IF(AC108=$V$3,IF(VLOOKUP(C108,[1]List1!$A:$E,5,FALSE)=0,1,VLOOKUP(C108,[1]List1!$A:$E,5,FALSE)),"")</f>
        <v/>
      </c>
      <c r="AR108" s="304" t="str">
        <f t="shared" si="134"/>
        <v/>
      </c>
      <c r="AS108" s="423" t="str">
        <f t="shared" si="135"/>
        <v/>
      </c>
      <c r="AT108" s="304" t="str">
        <f t="shared" si="136"/>
        <v/>
      </c>
      <c r="AU108" s="342" t="e">
        <f t="shared" si="137"/>
        <v>#N/A</v>
      </c>
      <c r="AV108" s="304" t="e">
        <f t="shared" si="138"/>
        <v>#N/A</v>
      </c>
      <c r="AX108" s="304">
        <f>IF(AND('General price list'!$J108="F4",'General price list'!$AB108+0&gt;0),1,0)</f>
        <v>0</v>
      </c>
      <c r="AY108" s="304">
        <f t="shared" si="139"/>
        <v>1</v>
      </c>
      <c r="AZ108" s="304">
        <f t="shared" si="140"/>
        <v>1</v>
      </c>
    </row>
    <row r="109" spans="1:53" ht="15" customHeight="1">
      <c r="A109" s="725" t="str">
        <f>Kat.!C109</f>
        <v/>
      </c>
      <c r="B109" s="749">
        <f>IF(AND('General price list'!$J109="F4",$AI$1=FALSE),0,IF(AC109="SKLADEM",1,IF(AC109=$V$3,1,0)))</f>
        <v>1</v>
      </c>
      <c r="C109" s="727" t="s">
        <v>274</v>
      </c>
      <c r="D109" s="728" t="s">
        <v>275</v>
      </c>
      <c r="E109" s="729" t="s">
        <v>256</v>
      </c>
      <c r="F109" s="725">
        <f>IFERROR(ROUND(IF($AL$3=2,VLOOKUP(C109,[2]List1!$A:$D,2,FALSE)*1.08,VLOOKUP(C109,[2]List1!$A:$D,2,FALSE)),0),"NEUVEDENO!")</f>
        <v>62</v>
      </c>
      <c r="G109" s="730">
        <f t="shared" si="155"/>
        <v>62</v>
      </c>
      <c r="H109" s="731">
        <f t="shared" si="156"/>
        <v>2.5194137080487145</v>
      </c>
      <c r="I109" s="750">
        <v>50</v>
      </c>
      <c r="J109" s="729" t="s">
        <v>257</v>
      </c>
      <c r="K109" s="729"/>
      <c r="L109" s="729" t="s">
        <v>14364</v>
      </c>
      <c r="M109" s="729" t="s">
        <v>25</v>
      </c>
      <c r="N109" s="729">
        <f>IFERROR(VLOOKUP(C109,[3]List1!$A:$D,4,FALSE),"N/A!")</f>
        <v>1.7199000000000002E-2</v>
      </c>
      <c r="O109" s="729">
        <f>IFERROR(VLOOKUP(C109,[3]List1!$A:$D,3,FALSE),"N/A!")</f>
        <v>5000</v>
      </c>
      <c r="P109" s="729">
        <f>IFERROR(VLOOKUP(C109,[3]List1!$A:$D,2,FALSE),"N/A!")</f>
        <v>8700</v>
      </c>
      <c r="Q109" s="729" t="s">
        <v>2787</v>
      </c>
      <c r="R109" s="729" t="s">
        <v>24</v>
      </c>
      <c r="S109" s="729"/>
      <c r="T109" s="729">
        <v>35</v>
      </c>
      <c r="U109" s="729"/>
      <c r="V109" s="729"/>
      <c r="W109" s="729" t="str">
        <f>IFERROR(VLOOKUP('General price list'!$C109,Popisy!A:P,MATCH($W$17,Popisy!$A$7:$P$7,0),FALSE),"---------------")</f>
        <v>dýmovnice(tuba)-žlutá barva</v>
      </c>
      <c r="X109" s="729" t="str">
        <f t="shared" si="157"/>
        <v/>
      </c>
      <c r="Y109" s="729" t="str">
        <f t="shared" si="158"/>
        <v/>
      </c>
      <c r="Z109" s="729" t="str">
        <f>HYPERLINK("https://www.klasekpyrotechnics.cz/rdg1zl")</f>
        <v>https://www.klasekpyrotechnics.cz/rdg1zl</v>
      </c>
      <c r="AA109" s="729" t="str">
        <f>IFERROR(IF(VLOOKUP(C109,[4]List1!$A:$D,4,FALSE)=0,"",VLOOKUP(C109,[4]List1!$A:$D,4,FALSE)),"")</f>
        <v>72</v>
      </c>
      <c r="AB109" s="720"/>
      <c r="AC109" s="751" t="str">
        <f>IFERROR(IF(VLOOKUP(C109,[1]List1!$A:$D,2,FALSE)="VYPRODÁNO",$V$9,IF(VLOOKUP(C109,[1]List1!$A:$D,2,FALSE)="DOCHÁZÍ",$V$3,VLOOKUP(C109,[1]List1!$A:$D,2,FALSE))),"OFFLINE!")</f>
        <v>SKLADEM</v>
      </c>
      <c r="AD109" s="752" t="str">
        <f ca="1">IF(AP109="NE",$V$10,IF(AC109=$V$3,IF(AQ109&lt;1,$V$8,$V$2&amp;" "&amp;AQ109&amp;" "&amp;$V$1),IF(AC109="SKLADEM",$V$6,IFERROR(IF(OR(AC109-TODAY()&gt;45,VLOOKUP(C109,[1]List1!$A:$E,4,FALSE)=0),AC109,DAY(AC109)&amp;"."&amp;MONTH(AC109)&amp;"."&amp;YEAR(AC109)&amp;" "&amp;$V$4&amp;VLOOKUP(C109,[1]List1!$A:$E,4,FALSE)&amp;" "&amp;$V$1),AC109))))</f>
        <v>SKLADEM</v>
      </c>
      <c r="AE109" s="729" t="str">
        <f t="shared" ca="1" si="159"/>
        <v>SKLADEM</v>
      </c>
      <c r="AF109" s="735">
        <f t="shared" si="160"/>
        <v>0</v>
      </c>
      <c r="AG109" s="735">
        <f t="shared" si="161"/>
        <v>0</v>
      </c>
      <c r="AH109" s="736">
        <f t="shared" si="162"/>
        <v>0</v>
      </c>
      <c r="AI109" s="729">
        <f t="shared" si="163"/>
        <v>0</v>
      </c>
      <c r="AJ109" s="729">
        <f t="shared" si="164"/>
        <v>0</v>
      </c>
      <c r="AK109" s="729" t="str">
        <f t="shared" si="165"/>
        <v/>
      </c>
      <c r="AL109" s="729" t="str">
        <f t="shared" si="166"/>
        <v/>
      </c>
      <c r="AM109" s="729">
        <f t="shared" si="167"/>
        <v>0</v>
      </c>
      <c r="AN109" s="729">
        <f t="shared" si="168"/>
        <v>0</v>
      </c>
      <c r="AO109" s="380"/>
      <c r="AP109" s="322" t="str">
        <f t="shared" si="133"/>
        <v/>
      </c>
      <c r="AQ109" s="323" t="str">
        <f>IF(AC109=$V$3,IF(VLOOKUP(C109,[1]List1!$A:$E,5,FALSE)=0,1,VLOOKUP(C109,[1]List1!$A:$E,5,FALSE)),"")</f>
        <v/>
      </c>
      <c r="AR109" s="304" t="str">
        <f t="shared" si="134"/>
        <v/>
      </c>
      <c r="AS109" s="423" t="str">
        <f t="shared" si="135"/>
        <v/>
      </c>
      <c r="AT109" s="304" t="str">
        <f t="shared" si="136"/>
        <v/>
      </c>
      <c r="AU109" s="342" t="e">
        <f t="shared" si="137"/>
        <v>#N/A</v>
      </c>
      <c r="AV109" s="304" t="e">
        <f t="shared" si="138"/>
        <v>#N/A</v>
      </c>
      <c r="AX109" s="304">
        <f>IF(AND('General price list'!$J109="F4",'General price list'!$AB109+0&gt;0),1,0)</f>
        <v>0</v>
      </c>
      <c r="AY109" s="304">
        <f t="shared" si="139"/>
        <v>1</v>
      </c>
      <c r="AZ109" s="304">
        <f t="shared" si="140"/>
        <v>0</v>
      </c>
    </row>
    <row r="110" spans="1:53" ht="15" customHeight="1">
      <c r="A110" s="712" t="str">
        <f>Kat.!C110</f>
        <v>×</v>
      </c>
      <c r="B110" s="745">
        <f>IF(AND('General price list'!$J110="F4",$AI$1=FALSE),0,IF(AC110="SKLADEM",1,IF(AC110=$V$3,1,0)))</f>
        <v>1</v>
      </c>
      <c r="C110" s="714" t="s">
        <v>279</v>
      </c>
      <c r="D110" s="715" t="s">
        <v>275</v>
      </c>
      <c r="E110" s="716" t="s">
        <v>256</v>
      </c>
      <c r="F110" s="712">
        <f>IFERROR(ROUND(IF($AL$3=2,VLOOKUP(C110,[2]List1!$A:$D,2,FALSE)*1.08,VLOOKUP(C110,[2]List1!$A:$D,2,FALSE)),0),"NEUVEDENO!")</f>
        <v>62</v>
      </c>
      <c r="G110" s="717">
        <f t="shared" si="155"/>
        <v>62</v>
      </c>
      <c r="H110" s="718">
        <f t="shared" si="156"/>
        <v>2.5194137080487145</v>
      </c>
      <c r="I110" s="746">
        <v>50</v>
      </c>
      <c r="J110" s="716" t="s">
        <v>257</v>
      </c>
      <c r="K110" s="716"/>
      <c r="L110" s="716" t="s">
        <v>14364</v>
      </c>
      <c r="M110" s="716" t="s">
        <v>25</v>
      </c>
      <c r="N110" s="716">
        <f>IFERROR(VLOOKUP(C110,[3]List1!$A:$D,4,FALSE),"N/A!")</f>
        <v>1.7199000000000002E-2</v>
      </c>
      <c r="O110" s="716">
        <f>IFERROR(VLOOKUP(C110,[3]List1!$A:$D,3,FALSE),"N/A!")</f>
        <v>5000</v>
      </c>
      <c r="P110" s="716">
        <f>IFERROR(VLOOKUP(C110,[3]List1!$A:$D,2,FALSE),"N/A!")</f>
        <v>8700</v>
      </c>
      <c r="Q110" s="716" t="s">
        <v>2788</v>
      </c>
      <c r="R110" s="716" t="s">
        <v>24</v>
      </c>
      <c r="S110" s="716"/>
      <c r="T110" s="716">
        <v>35</v>
      </c>
      <c r="U110" s="716"/>
      <c r="V110" s="716"/>
      <c r="W110" s="716" t="str">
        <f>IFERROR(VLOOKUP('General price list'!$C110,Popisy!A:P,MATCH($W$17,Popisy!$A$7:$P$7,0),FALSE),"---------------")</f>
        <v>dýmovnice(tuba)-žlutá barva</v>
      </c>
      <c r="X110" s="716" t="str">
        <f t="shared" si="157"/>
        <v/>
      </c>
      <c r="Y110" s="716" t="str">
        <f t="shared" si="158"/>
        <v/>
      </c>
      <c r="Z110" s="716" t="str">
        <f>HYPERLINK("https://www.klasekpyrotechnics.cz/rdg1zl_1")</f>
        <v>https://www.klasekpyrotechnics.cz/rdg1zl_1</v>
      </c>
      <c r="AA110" s="716" t="str">
        <f>IFERROR(IF(VLOOKUP(C110,[4]List1!$A:$D,4,FALSE)=0,"",VLOOKUP(C110,[4]List1!$A:$D,4,FALSE)),"")</f>
        <v>72</v>
      </c>
      <c r="AB110" s="720"/>
      <c r="AC110" s="747" t="str">
        <f>IFERROR(IF(VLOOKUP(C110,[1]List1!$A:$D,2,FALSE)="VYPRODÁNO",$V$9,IF(VLOOKUP(C110,[1]List1!$A:$D,2,FALSE)="DOCHÁZÍ",$V$3,VLOOKUP(C110,[1]List1!$A:$D,2,FALSE))),"OFFLINE!")</f>
        <v>SKLADEM</v>
      </c>
      <c r="AD110" s="748" t="str">
        <f ca="1">IF(AP110="NE",$V$10,IF(AC110=$V$3,IF(AQ110&lt;1,$V$8,$V$2&amp;" "&amp;AQ110&amp;" "&amp;$V$1),IF(AC110="SKLADEM",$V$6,IFERROR(IF(OR(AC110-TODAY()&gt;45,VLOOKUP(C110,[1]List1!$A:$E,4,FALSE)=0),AC110,DAY(AC110)&amp;"."&amp;MONTH(AC110)&amp;"."&amp;YEAR(AC110)&amp;" "&amp;$V$4&amp;VLOOKUP(C110,[1]List1!$A:$E,4,FALSE)&amp;" "&amp;$V$1),AC110))))</f>
        <v>SKLADEM</v>
      </c>
      <c r="AE110" s="716" t="str">
        <f t="shared" ca="1" si="159"/>
        <v>SKLADEM</v>
      </c>
      <c r="AF110" s="723">
        <f t="shared" si="160"/>
        <v>0</v>
      </c>
      <c r="AG110" s="723">
        <f t="shared" si="161"/>
        <v>0</v>
      </c>
      <c r="AH110" s="724">
        <f t="shared" si="162"/>
        <v>0</v>
      </c>
      <c r="AI110" s="716">
        <f t="shared" si="163"/>
        <v>0</v>
      </c>
      <c r="AJ110" s="716">
        <f t="shared" si="164"/>
        <v>0</v>
      </c>
      <c r="AK110" s="716" t="str">
        <f t="shared" si="165"/>
        <v/>
      </c>
      <c r="AL110" s="716" t="str">
        <f t="shared" si="166"/>
        <v/>
      </c>
      <c r="AM110" s="716">
        <f t="shared" si="167"/>
        <v>0</v>
      </c>
      <c r="AN110" s="716">
        <f t="shared" si="168"/>
        <v>0</v>
      </c>
      <c r="AO110" s="380"/>
      <c r="AP110" s="322" t="str">
        <f t="shared" si="133"/>
        <v/>
      </c>
      <c r="AQ110" s="323" t="str">
        <f>IF(AC110=$V$3,IF(VLOOKUP(C110,[1]List1!$A:$E,5,FALSE)=0,1,VLOOKUP(C110,[1]List1!$A:$E,5,FALSE)),"")</f>
        <v/>
      </c>
      <c r="AR110" s="304" t="str">
        <f t="shared" si="134"/>
        <v/>
      </c>
      <c r="AS110" s="423" t="str">
        <f t="shared" si="135"/>
        <v/>
      </c>
      <c r="AT110" s="304" t="str">
        <f t="shared" si="136"/>
        <v/>
      </c>
      <c r="AU110" s="342" t="e">
        <f t="shared" si="137"/>
        <v>#N/A</v>
      </c>
      <c r="AV110" s="304" t="e">
        <f t="shared" si="138"/>
        <v>#N/A</v>
      </c>
      <c r="AX110" s="304">
        <f>IF(AND('General price list'!$J110="F4",'General price list'!$AB110+0&gt;0),1,0)</f>
        <v>0</v>
      </c>
      <c r="AY110" s="304">
        <f t="shared" si="139"/>
        <v>0</v>
      </c>
      <c r="AZ110" s="304">
        <f t="shared" si="140"/>
        <v>0</v>
      </c>
    </row>
    <row r="111" spans="1:53" ht="15" customHeight="1">
      <c r="A111" s="725" t="str">
        <f>Kat.!C111</f>
        <v/>
      </c>
      <c r="B111" s="749">
        <f>IF(AND('General price list'!$J111="F4",$AI$1=FALSE),0,IF(AC111="SKLADEM",1,IF(AC111=$V$3,1,0)))</f>
        <v>1</v>
      </c>
      <c r="C111" s="727" t="s">
        <v>280</v>
      </c>
      <c r="D111" s="728" t="s">
        <v>281</v>
      </c>
      <c r="E111" s="729" t="s">
        <v>256</v>
      </c>
      <c r="F111" s="725">
        <f>IFERROR(ROUND(IF($AL$3=2,VLOOKUP(C111,[2]List1!$A:$D,2,FALSE)*1.08,VLOOKUP(C111,[2]List1!$A:$D,2,FALSE)),0),"NEUVEDENO!")</f>
        <v>62</v>
      </c>
      <c r="G111" s="730">
        <f t="shared" si="155"/>
        <v>62</v>
      </c>
      <c r="H111" s="731">
        <f t="shared" si="156"/>
        <v>2.5194137080487145</v>
      </c>
      <c r="I111" s="750">
        <v>50</v>
      </c>
      <c r="J111" s="729" t="s">
        <v>257</v>
      </c>
      <c r="K111" s="729"/>
      <c r="L111" s="729" t="s">
        <v>14364</v>
      </c>
      <c r="M111" s="729" t="s">
        <v>25</v>
      </c>
      <c r="N111" s="729">
        <f>IFERROR(VLOOKUP(C111,[3]List1!$A:$D,4,FALSE),"N/A!")</f>
        <v>1.7199000000000002E-2</v>
      </c>
      <c r="O111" s="729">
        <f>IFERROR(VLOOKUP(C111,[3]List1!$A:$D,3,FALSE),"N/A!")</f>
        <v>5000</v>
      </c>
      <c r="P111" s="729">
        <f>IFERROR(VLOOKUP(C111,[3]List1!$A:$D,2,FALSE),"N/A!")</f>
        <v>8700</v>
      </c>
      <c r="Q111" s="729" t="s">
        <v>2787</v>
      </c>
      <c r="R111" s="729" t="s">
        <v>24</v>
      </c>
      <c r="S111" s="729"/>
      <c r="T111" s="729">
        <v>35</v>
      </c>
      <c r="U111" s="729"/>
      <c r="V111" s="729"/>
      <c r="W111" s="729" t="str">
        <f>IFERROR(VLOOKUP('General price list'!$C111,Popisy!A:P,MATCH($W$17,Popisy!$A$7:$P$7,0),FALSE),"---------------")</f>
        <v>dýmovnice(tuba)-zelená barva</v>
      </c>
      <c r="X111" s="729" t="str">
        <f t="shared" si="157"/>
        <v/>
      </c>
      <c r="Y111" s="729" t="str">
        <f t="shared" si="158"/>
        <v/>
      </c>
      <c r="Z111" s="729" t="str">
        <f>HYPERLINK("https://www.klasekpyrotechnics.cz/rdg1ze")</f>
        <v>https://www.klasekpyrotechnics.cz/rdg1ze</v>
      </c>
      <c r="AA111" s="729" t="str">
        <f>IFERROR(IF(VLOOKUP(C111,[4]List1!$A:$D,4,FALSE)=0,"",VLOOKUP(C111,[4]List1!$A:$D,4,FALSE)),"")</f>
        <v>72</v>
      </c>
      <c r="AB111" s="720"/>
      <c r="AC111" s="751" t="str">
        <f>IFERROR(IF(VLOOKUP(C111,[1]List1!$A:$D,2,FALSE)="VYPRODÁNO",$V$9,IF(VLOOKUP(C111,[1]List1!$A:$D,2,FALSE)="DOCHÁZÍ",$V$3,VLOOKUP(C111,[1]List1!$A:$D,2,FALSE))),"OFFLINE!")</f>
        <v>SKLADEM</v>
      </c>
      <c r="AD111" s="752" t="str">
        <f ca="1">IF(AP111="NE",$V$10,IF(AC111=$V$3,IF(AQ111&lt;1,$V$8,$V$2&amp;" "&amp;AQ111&amp;" "&amp;$V$1),IF(AC111="SKLADEM",$V$6,IFERROR(IF(OR(AC111-TODAY()&gt;45,VLOOKUP(C111,[1]List1!$A:$E,4,FALSE)=0),AC111,DAY(AC111)&amp;"."&amp;MONTH(AC111)&amp;"."&amp;YEAR(AC111)&amp;" "&amp;$V$4&amp;VLOOKUP(C111,[1]List1!$A:$E,4,FALSE)&amp;" "&amp;$V$1),AC111))))</f>
        <v>SKLADEM</v>
      </c>
      <c r="AE111" s="729" t="str">
        <f t="shared" ca="1" si="159"/>
        <v>SKLADEM</v>
      </c>
      <c r="AF111" s="735">
        <f t="shared" si="160"/>
        <v>0</v>
      </c>
      <c r="AG111" s="735">
        <f t="shared" si="161"/>
        <v>0</v>
      </c>
      <c r="AH111" s="736">
        <f t="shared" si="162"/>
        <v>0</v>
      </c>
      <c r="AI111" s="729">
        <f t="shared" si="163"/>
        <v>0</v>
      </c>
      <c r="AJ111" s="729">
        <f t="shared" si="164"/>
        <v>0</v>
      </c>
      <c r="AK111" s="729" t="str">
        <f t="shared" si="165"/>
        <v/>
      </c>
      <c r="AL111" s="729" t="str">
        <f t="shared" si="166"/>
        <v/>
      </c>
      <c r="AM111" s="729">
        <f t="shared" si="167"/>
        <v>0</v>
      </c>
      <c r="AN111" s="729">
        <f t="shared" si="168"/>
        <v>0</v>
      </c>
      <c r="AO111" s="380"/>
      <c r="AP111" s="322" t="str">
        <f t="shared" si="133"/>
        <v/>
      </c>
      <c r="AQ111" s="323" t="str">
        <f>IF(AC111=$V$3,IF(VLOOKUP(C111,[1]List1!$A:$E,5,FALSE)=0,1,VLOOKUP(C111,[1]List1!$A:$E,5,FALSE)),"")</f>
        <v/>
      </c>
      <c r="AR111" s="304" t="str">
        <f t="shared" si="134"/>
        <v/>
      </c>
      <c r="AS111" s="423" t="str">
        <f t="shared" si="135"/>
        <v/>
      </c>
      <c r="AT111" s="304" t="str">
        <f t="shared" si="136"/>
        <v/>
      </c>
      <c r="AU111" s="342" t="e">
        <f t="shared" si="137"/>
        <v>#N/A</v>
      </c>
      <c r="AV111" s="304" t="e">
        <f t="shared" si="138"/>
        <v>#N/A</v>
      </c>
      <c r="AX111" s="304">
        <f>IF(AND('General price list'!$J111="F4",'General price list'!$AB111+0&gt;0),1,0)</f>
        <v>0</v>
      </c>
      <c r="AY111" s="304">
        <f t="shared" si="139"/>
        <v>1</v>
      </c>
      <c r="AZ111" s="304">
        <f t="shared" si="140"/>
        <v>0</v>
      </c>
    </row>
    <row r="112" spans="1:53" ht="15" customHeight="1">
      <c r="A112" s="712" t="str">
        <f>Kat.!C112</f>
        <v>×</v>
      </c>
      <c r="B112" s="745">
        <f>IF(AND('General price list'!$J112="F4",$AI$1=FALSE),0,IF(AC112="SKLADEM",1,IF(AC112=$V$3,1,0)))</f>
        <v>1</v>
      </c>
      <c r="C112" s="714" t="s">
        <v>285</v>
      </c>
      <c r="D112" s="715" t="s">
        <v>281</v>
      </c>
      <c r="E112" s="716" t="s">
        <v>256</v>
      </c>
      <c r="F112" s="712">
        <f>IFERROR(ROUND(IF($AL$3=2,VLOOKUP(C112,[2]List1!$A:$D,2,FALSE)*1.08,VLOOKUP(C112,[2]List1!$A:$D,2,FALSE)),0),"NEUVEDENO!")</f>
        <v>62</v>
      </c>
      <c r="G112" s="717">
        <f t="shared" si="155"/>
        <v>62</v>
      </c>
      <c r="H112" s="718">
        <f t="shared" si="156"/>
        <v>2.5194137080487145</v>
      </c>
      <c r="I112" s="746">
        <v>50</v>
      </c>
      <c r="J112" s="716" t="s">
        <v>257</v>
      </c>
      <c r="K112" s="716"/>
      <c r="L112" s="716" t="s">
        <v>14364</v>
      </c>
      <c r="M112" s="716" t="s">
        <v>25</v>
      </c>
      <c r="N112" s="716">
        <f>IFERROR(VLOOKUP(C112,[3]List1!$A:$D,4,FALSE),"N/A!")</f>
        <v>1.7199000000000002E-2</v>
      </c>
      <c r="O112" s="716">
        <f>IFERROR(VLOOKUP(C112,[3]List1!$A:$D,3,FALSE),"N/A!")</f>
        <v>5000</v>
      </c>
      <c r="P112" s="716">
        <f>IFERROR(VLOOKUP(C112,[3]List1!$A:$D,2,FALSE),"N/A!")</f>
        <v>8700</v>
      </c>
      <c r="Q112" s="716" t="s">
        <v>2788</v>
      </c>
      <c r="R112" s="716" t="s">
        <v>24</v>
      </c>
      <c r="S112" s="716"/>
      <c r="T112" s="716">
        <v>35</v>
      </c>
      <c r="U112" s="716"/>
      <c r="V112" s="716"/>
      <c r="W112" s="716" t="str">
        <f>IFERROR(VLOOKUP('General price list'!$C112,Popisy!A:P,MATCH($W$17,Popisy!$A$7:$P$7,0),FALSE),"---------------")</f>
        <v>dýmovnice(tuba)-zelená barva</v>
      </c>
      <c r="X112" s="716" t="str">
        <f t="shared" si="157"/>
        <v/>
      </c>
      <c r="Y112" s="716" t="str">
        <f t="shared" si="158"/>
        <v/>
      </c>
      <c r="Z112" s="716" t="str">
        <f>HYPERLINK("https://www.klasekpyrotechnics.cz/rdg1ze_1")</f>
        <v>https://www.klasekpyrotechnics.cz/rdg1ze_1</v>
      </c>
      <c r="AA112" s="716" t="str">
        <f>IFERROR(IF(VLOOKUP(C112,[4]List1!$A:$D,4,FALSE)=0,"",VLOOKUP(C112,[4]List1!$A:$D,4,FALSE)),"")</f>
        <v>72</v>
      </c>
      <c r="AB112" s="720"/>
      <c r="AC112" s="747" t="str">
        <f>IFERROR(IF(VLOOKUP(C112,[1]List1!$A:$D,2,FALSE)="VYPRODÁNO",$V$9,IF(VLOOKUP(C112,[1]List1!$A:$D,2,FALSE)="DOCHÁZÍ",$V$3,VLOOKUP(C112,[1]List1!$A:$D,2,FALSE))),"OFFLINE!")</f>
        <v>SKLADEM</v>
      </c>
      <c r="AD112" s="748" t="str">
        <f ca="1">IF(AP112="NE",$V$10,IF(AC112=$V$3,IF(AQ112&lt;1,$V$8,$V$2&amp;" "&amp;AQ112&amp;" "&amp;$V$1),IF(AC112="SKLADEM",$V$6,IFERROR(IF(OR(AC112-TODAY()&gt;45,VLOOKUP(C112,[1]List1!$A:$E,4,FALSE)=0),AC112,DAY(AC112)&amp;"."&amp;MONTH(AC112)&amp;"."&amp;YEAR(AC112)&amp;" "&amp;$V$4&amp;VLOOKUP(C112,[1]List1!$A:$E,4,FALSE)&amp;" "&amp;$V$1),AC112))))</f>
        <v>SKLADEM</v>
      </c>
      <c r="AE112" s="716" t="str">
        <f t="shared" ca="1" si="159"/>
        <v>SKLADEM</v>
      </c>
      <c r="AF112" s="723">
        <f t="shared" si="160"/>
        <v>0</v>
      </c>
      <c r="AG112" s="723">
        <f t="shared" si="161"/>
        <v>0</v>
      </c>
      <c r="AH112" s="724">
        <f t="shared" si="162"/>
        <v>0</v>
      </c>
      <c r="AI112" s="716">
        <f t="shared" si="163"/>
        <v>0</v>
      </c>
      <c r="AJ112" s="716">
        <f t="shared" si="164"/>
        <v>0</v>
      </c>
      <c r="AK112" s="716" t="str">
        <f t="shared" si="165"/>
        <v/>
      </c>
      <c r="AL112" s="716" t="str">
        <f t="shared" si="166"/>
        <v/>
      </c>
      <c r="AM112" s="716">
        <f t="shared" si="167"/>
        <v>0</v>
      </c>
      <c r="AN112" s="716">
        <f t="shared" si="168"/>
        <v>0</v>
      </c>
      <c r="AO112" s="380"/>
      <c r="AP112" s="322" t="str">
        <f t="shared" si="133"/>
        <v/>
      </c>
      <c r="AQ112" s="323" t="str">
        <f>IF(AC112=$V$3,IF(VLOOKUP(C112,[1]List1!$A:$E,5,FALSE)=0,1,VLOOKUP(C112,[1]List1!$A:$E,5,FALSE)),"")</f>
        <v/>
      </c>
      <c r="AR112" s="304" t="str">
        <f t="shared" si="134"/>
        <v/>
      </c>
      <c r="AS112" s="423" t="str">
        <f t="shared" si="135"/>
        <v/>
      </c>
      <c r="AT112" s="304" t="str">
        <f t="shared" si="136"/>
        <v/>
      </c>
      <c r="AU112" s="342" t="e">
        <f t="shared" si="137"/>
        <v>#N/A</v>
      </c>
      <c r="AV112" s="304" t="e">
        <f t="shared" si="138"/>
        <v>#N/A</v>
      </c>
      <c r="AX112" s="304">
        <f>IF(AND('General price list'!$J112="F4",'General price list'!$AB112+0&gt;0),1,0)</f>
        <v>0</v>
      </c>
      <c r="AY112" s="304">
        <f t="shared" si="139"/>
        <v>0</v>
      </c>
      <c r="AZ112" s="304">
        <f t="shared" si="140"/>
        <v>0</v>
      </c>
    </row>
    <row r="113" spans="1:52" ht="15" customHeight="1">
      <c r="A113" s="725" t="str">
        <f>Kat.!C113</f>
        <v>×</v>
      </c>
      <c r="B113" s="749">
        <f>IF(AND('General price list'!$J113="F4",$AI$1=FALSE),0,IF(AC113="SKLADEM",1,IF(AC113=$V$3,1,0)))</f>
        <v>1</v>
      </c>
      <c r="C113" s="727" t="s">
        <v>286</v>
      </c>
      <c r="D113" s="728" t="s">
        <v>287</v>
      </c>
      <c r="E113" s="729" t="s">
        <v>256</v>
      </c>
      <c r="F113" s="725">
        <f>IFERROR(ROUND(IF($AL$3=2,VLOOKUP(C113,[2]List1!$A:$D,2,FALSE)*1.08,VLOOKUP(C113,[2]List1!$A:$D,2,FALSE)),0),"NEUVEDENO!")</f>
        <v>62</v>
      </c>
      <c r="G113" s="730">
        <f t="shared" si="155"/>
        <v>62</v>
      </c>
      <c r="H113" s="731">
        <f t="shared" si="156"/>
        <v>2.5194137080487145</v>
      </c>
      <c r="I113" s="750">
        <v>50</v>
      </c>
      <c r="J113" s="729" t="s">
        <v>257</v>
      </c>
      <c r="K113" s="729"/>
      <c r="L113" s="729" t="s">
        <v>14364</v>
      </c>
      <c r="M113" s="729" t="s">
        <v>25</v>
      </c>
      <c r="N113" s="729">
        <f>IFERROR(VLOOKUP(C113,[3]List1!$A:$D,4,FALSE),"N/A!")</f>
        <v>1.7199000000000002E-2</v>
      </c>
      <c r="O113" s="729">
        <f>IFERROR(VLOOKUP(C113,[3]List1!$A:$D,3,FALSE),"N/A!")</f>
        <v>5000</v>
      </c>
      <c r="P113" s="729">
        <f>IFERROR(VLOOKUP(C113,[3]List1!$A:$D,2,FALSE),"N/A!")</f>
        <v>8700</v>
      </c>
      <c r="Q113" s="729" t="s">
        <v>2787</v>
      </c>
      <c r="R113" s="729" t="s">
        <v>24</v>
      </c>
      <c r="S113" s="729"/>
      <c r="T113" s="729">
        <v>35</v>
      </c>
      <c r="U113" s="729"/>
      <c r="V113" s="729"/>
      <c r="W113" s="729" t="str">
        <f>IFERROR(VLOOKUP('General price list'!$C113,Popisy!A:P,MATCH($W$17,Popisy!$A$7:$P$7,0),FALSE),"---------------")</f>
        <v>dýmovnice(tuba)-oranžová barva</v>
      </c>
      <c r="X113" s="729" t="str">
        <f t="shared" si="157"/>
        <v/>
      </c>
      <c r="Y113" s="729" t="str">
        <f t="shared" si="158"/>
        <v/>
      </c>
      <c r="Z113" s="729" t="str">
        <f>HYPERLINK("https://www.klasekpyrotechnics.cz/rdg1o")</f>
        <v>https://www.klasekpyrotechnics.cz/rdg1o</v>
      </c>
      <c r="AA113" s="729" t="str">
        <f>IFERROR(IF(VLOOKUP(C113,[4]List1!$A:$D,4,FALSE)=0,"",VLOOKUP(C113,[4]List1!$A:$D,4,FALSE)),"")</f>
        <v>72</v>
      </c>
      <c r="AB113" s="720"/>
      <c r="AC113" s="751" t="str">
        <f>IFERROR(IF(VLOOKUP(C113,[1]List1!$A:$D,2,FALSE)="VYPRODÁNO",$V$9,IF(VLOOKUP(C113,[1]List1!$A:$D,2,FALSE)="DOCHÁZÍ",$V$3,VLOOKUP(C113,[1]List1!$A:$D,2,FALSE))),"OFFLINE!")</f>
        <v>SKLADEM</v>
      </c>
      <c r="AD113" s="752" t="str">
        <f ca="1">IF(AP113="NE",$V$10,IF(AC113=$V$3,IF(AQ113&lt;1,$V$8,$V$2&amp;" "&amp;AQ113&amp;" "&amp;$V$1),IF(AC113="SKLADEM",$V$6,IFERROR(IF(OR(AC113-TODAY()&gt;45,VLOOKUP(C113,[1]List1!$A:$E,4,FALSE)=0),AC113,DAY(AC113)&amp;"."&amp;MONTH(AC113)&amp;"."&amp;YEAR(AC113)&amp;" "&amp;$V$4&amp;VLOOKUP(C113,[1]List1!$A:$E,4,FALSE)&amp;" "&amp;$V$1),AC113))))</f>
        <v>SKLADEM</v>
      </c>
      <c r="AE113" s="729" t="str">
        <f t="shared" ca="1" si="159"/>
        <v>SKLADEM</v>
      </c>
      <c r="AF113" s="735">
        <f t="shared" si="160"/>
        <v>0</v>
      </c>
      <c r="AG113" s="735">
        <f t="shared" si="161"/>
        <v>0</v>
      </c>
      <c r="AH113" s="736">
        <f t="shared" si="162"/>
        <v>0</v>
      </c>
      <c r="AI113" s="729">
        <f t="shared" si="163"/>
        <v>0</v>
      </c>
      <c r="AJ113" s="729">
        <f t="shared" si="164"/>
        <v>0</v>
      </c>
      <c r="AK113" s="729" t="str">
        <f t="shared" si="165"/>
        <v/>
      </c>
      <c r="AL113" s="729" t="str">
        <f t="shared" si="166"/>
        <v/>
      </c>
      <c r="AM113" s="729">
        <f t="shared" si="167"/>
        <v>0</v>
      </c>
      <c r="AN113" s="729">
        <f t="shared" si="168"/>
        <v>0</v>
      </c>
      <c r="AO113" s="380"/>
      <c r="AP113" s="322" t="str">
        <f t="shared" si="133"/>
        <v/>
      </c>
      <c r="AQ113" s="323" t="str">
        <f>IF(AC113=$V$3,IF(VLOOKUP(C113,[1]List1!$A:$E,5,FALSE)=0,1,VLOOKUP(C113,[1]List1!$A:$E,5,FALSE)),"")</f>
        <v/>
      </c>
      <c r="AR113" s="304" t="str">
        <f t="shared" si="134"/>
        <v/>
      </c>
      <c r="AS113" s="423" t="str">
        <f t="shared" si="135"/>
        <v/>
      </c>
      <c r="AT113" s="304" t="str">
        <f t="shared" si="136"/>
        <v/>
      </c>
      <c r="AU113" s="342" t="e">
        <f t="shared" si="137"/>
        <v>#N/A</v>
      </c>
      <c r="AV113" s="304" t="e">
        <f t="shared" si="138"/>
        <v>#N/A</v>
      </c>
      <c r="AX113" s="304">
        <f>IF(AND('General price list'!$J113="F4",'General price list'!$AB113+0&gt;0),1,0)</f>
        <v>0</v>
      </c>
      <c r="AY113" s="304">
        <f t="shared" si="139"/>
        <v>1</v>
      </c>
      <c r="AZ113" s="304">
        <f t="shared" si="140"/>
        <v>0</v>
      </c>
    </row>
    <row r="114" spans="1:52" ht="15" customHeight="1">
      <c r="A114" s="712" t="str">
        <f>Kat.!C114</f>
        <v>×</v>
      </c>
      <c r="B114" s="745">
        <f>IF(AND('General price list'!$J114="F4",$AI$1=FALSE),0,IF(AC114="SKLADEM",1,IF(AC114=$V$3,1,0)))</f>
        <v>1</v>
      </c>
      <c r="C114" s="714" t="s">
        <v>291</v>
      </c>
      <c r="D114" s="715" t="s">
        <v>287</v>
      </c>
      <c r="E114" s="716" t="s">
        <v>256</v>
      </c>
      <c r="F114" s="712">
        <f>IFERROR(ROUND(IF($AL$3=2,VLOOKUP(C114,[2]List1!$A:$D,2,FALSE)*1.08,VLOOKUP(C114,[2]List1!$A:$D,2,FALSE)),0),"NEUVEDENO!")</f>
        <v>62</v>
      </c>
      <c r="G114" s="717">
        <f t="shared" si="155"/>
        <v>62</v>
      </c>
      <c r="H114" s="718">
        <f t="shared" si="156"/>
        <v>2.5194137080487145</v>
      </c>
      <c r="I114" s="746">
        <v>50</v>
      </c>
      <c r="J114" s="716" t="s">
        <v>257</v>
      </c>
      <c r="K114" s="716"/>
      <c r="L114" s="716" t="s">
        <v>14364</v>
      </c>
      <c r="M114" s="716" t="s">
        <v>25</v>
      </c>
      <c r="N114" s="716">
        <f>IFERROR(VLOOKUP(C114,[3]List1!$A:$D,4,FALSE),"N/A!")</f>
        <v>1.7199000000000002E-2</v>
      </c>
      <c r="O114" s="716">
        <f>IFERROR(VLOOKUP(C114,[3]List1!$A:$D,3,FALSE),"N/A!")</f>
        <v>5000</v>
      </c>
      <c r="P114" s="716">
        <f>IFERROR(VLOOKUP(C114,[3]List1!$A:$D,2,FALSE),"N/A!")</f>
        <v>8700</v>
      </c>
      <c r="Q114" s="716" t="s">
        <v>2788</v>
      </c>
      <c r="R114" s="716" t="s">
        <v>24</v>
      </c>
      <c r="S114" s="716"/>
      <c r="T114" s="716">
        <v>35</v>
      </c>
      <c r="U114" s="716"/>
      <c r="V114" s="716"/>
      <c r="W114" s="716" t="str">
        <f>IFERROR(VLOOKUP('General price list'!$C114,Popisy!A:P,MATCH($W$17,Popisy!$A$7:$P$7,0),FALSE),"---------------")</f>
        <v>dýmovnice(tuba)-oranžová barva</v>
      </c>
      <c r="X114" s="716" t="str">
        <f t="shared" si="157"/>
        <v/>
      </c>
      <c r="Y114" s="716" t="str">
        <f t="shared" si="158"/>
        <v/>
      </c>
      <c r="Z114" s="716" t="str">
        <f>HYPERLINK("https://www.klasekpyrotechnics.cz/rdg1o_1")</f>
        <v>https://www.klasekpyrotechnics.cz/rdg1o_1</v>
      </c>
      <c r="AA114" s="716" t="str">
        <f>IFERROR(IF(VLOOKUP(C114,[4]List1!$A:$D,4,FALSE)=0,"",VLOOKUP(C114,[4]List1!$A:$D,4,FALSE)),"")</f>
        <v>72</v>
      </c>
      <c r="AB114" s="720"/>
      <c r="AC114" s="747" t="str">
        <f>IFERROR(IF(VLOOKUP(C114,[1]List1!$A:$D,2,FALSE)="VYPRODÁNO",$V$9,IF(VLOOKUP(C114,[1]List1!$A:$D,2,FALSE)="DOCHÁZÍ",$V$3,VLOOKUP(C114,[1]List1!$A:$D,2,FALSE))),"OFFLINE!")</f>
        <v>DOCHÁZÍ</v>
      </c>
      <c r="AD114" s="748" t="str">
        <f ca="1">IF(AP114="NE",$V$10,IF(AC114=$V$3,IF(AQ114&lt;1,$V$8,$V$2&amp;" "&amp;AQ114&amp;" "&amp;$V$1),IF(AC114="SKLADEM",$V$6,IFERROR(IF(OR(AC114-TODAY()&gt;45,VLOOKUP(C114,[1]List1!$A:$E,4,FALSE)=0),AC114,DAY(AC114)&amp;"."&amp;MONTH(AC114)&amp;"."&amp;YEAR(AC114)&amp;" "&amp;$V$4&amp;VLOOKUP(C114,[1]List1!$A:$E,4,FALSE)&amp;" "&amp;$V$1),AC114))))</f>
        <v>POSLEDNÍCH 9 VK</v>
      </c>
      <c r="AE114" s="716" t="str">
        <f t="shared" ca="1" si="159"/>
        <v>POSLEDNÍCH 9 VK</v>
      </c>
      <c r="AF114" s="723">
        <f t="shared" si="160"/>
        <v>0</v>
      </c>
      <c r="AG114" s="723">
        <f t="shared" si="161"/>
        <v>0</v>
      </c>
      <c r="AH114" s="724">
        <f t="shared" si="162"/>
        <v>0</v>
      </c>
      <c r="AI114" s="716">
        <f t="shared" si="163"/>
        <v>0</v>
      </c>
      <c r="AJ114" s="716">
        <f t="shared" si="164"/>
        <v>0</v>
      </c>
      <c r="AK114" s="716" t="str">
        <f t="shared" si="165"/>
        <v/>
      </c>
      <c r="AL114" s="716" t="str">
        <f t="shared" si="166"/>
        <v/>
      </c>
      <c r="AM114" s="716">
        <f t="shared" si="167"/>
        <v>0</v>
      </c>
      <c r="AN114" s="716">
        <f t="shared" si="168"/>
        <v>0</v>
      </c>
      <c r="AO114" s="380"/>
      <c r="AP114" s="322" t="str">
        <f t="shared" si="133"/>
        <v/>
      </c>
      <c r="AQ114" s="323">
        <f>IF(AC114=$V$3,IF(VLOOKUP(C114,[1]List1!$A:$E,5,FALSE)=0,1,VLOOKUP(C114,[1]List1!$A:$E,5,FALSE)),"")</f>
        <v>9</v>
      </c>
      <c r="AR114" s="304" t="str">
        <f t="shared" si="134"/>
        <v/>
      </c>
      <c r="AS114" s="423" t="str">
        <f t="shared" si="135"/>
        <v/>
      </c>
      <c r="AT114" s="304" t="str">
        <f t="shared" si="136"/>
        <v/>
      </c>
      <c r="AU114" s="342" t="e">
        <f t="shared" si="137"/>
        <v>#N/A</v>
      </c>
      <c r="AV114" s="304" t="e">
        <f t="shared" si="138"/>
        <v>#N/A</v>
      </c>
      <c r="AX114" s="304">
        <f>IF(AND('General price list'!$J114="F4",'General price list'!$AB114+0&gt;0),1,0)</f>
        <v>0</v>
      </c>
      <c r="AY114" s="304">
        <f t="shared" si="139"/>
        <v>0</v>
      </c>
      <c r="AZ114" s="304">
        <f t="shared" si="140"/>
        <v>0</v>
      </c>
    </row>
    <row r="115" spans="1:52" ht="15" customHeight="1">
      <c r="A115" s="725" t="str">
        <f>Kat.!C115</f>
        <v/>
      </c>
      <c r="B115" s="749">
        <f>IF(AND('General price list'!$J115="F4",$AI$1=FALSE),0,IF(AC115="SKLADEM",1,IF(AC115=$V$3,1,0)))</f>
        <v>1</v>
      </c>
      <c r="C115" s="727" t="s">
        <v>292</v>
      </c>
      <c r="D115" s="728" t="s">
        <v>293</v>
      </c>
      <c r="E115" s="729" t="s">
        <v>256</v>
      </c>
      <c r="F115" s="725">
        <f>IFERROR(ROUND(IF($AL$3=2,VLOOKUP(C115,[2]List1!$A:$D,2,FALSE)*1.08,VLOOKUP(C115,[2]List1!$A:$D,2,FALSE)),0),"NEUVEDENO!")</f>
        <v>132</v>
      </c>
      <c r="G115" s="730">
        <f t="shared" si="155"/>
        <v>132</v>
      </c>
      <c r="H115" s="731">
        <f t="shared" si="156"/>
        <v>5.36391305584565</v>
      </c>
      <c r="I115" s="750">
        <v>50</v>
      </c>
      <c r="J115" s="729" t="s">
        <v>257</v>
      </c>
      <c r="K115" s="729"/>
      <c r="L115" s="729" t="s">
        <v>14364</v>
      </c>
      <c r="M115" s="729" t="s">
        <v>25</v>
      </c>
      <c r="N115" s="729">
        <f>IFERROR(VLOOKUP(C115,[3]List1!$A:$D,4,FALSE),"N/A!")</f>
        <v>3.6358000000000008E-2</v>
      </c>
      <c r="O115" s="729">
        <f>IFERROR(VLOOKUP(C115,[3]List1!$A:$D,3,FALSE),"N/A!")</f>
        <v>12000</v>
      </c>
      <c r="P115" s="729">
        <f>IFERROR(VLOOKUP(C115,[3]List1!$A:$D,2,FALSE),"N/A!")</f>
        <v>17000</v>
      </c>
      <c r="Q115" s="729" t="s">
        <v>217</v>
      </c>
      <c r="R115" s="729" t="s">
        <v>24</v>
      </c>
      <c r="S115" s="729"/>
      <c r="T115" s="729">
        <v>60</v>
      </c>
      <c r="U115" s="729"/>
      <c r="V115" s="729"/>
      <c r="W115" s="729" t="str">
        <f>IFERROR(VLOOKUP('General price list'!$C115,Popisy!A:P,MATCH($W$17,Popisy!$A$7:$P$7,0),FALSE),"---------------")</f>
        <v>dýmovnice(tuba dýmící ze dvou stran)-bílá barva</v>
      </c>
      <c r="X115" s="729" t="str">
        <f t="shared" si="157"/>
        <v/>
      </c>
      <c r="Y115" s="729" t="str">
        <f t="shared" si="158"/>
        <v/>
      </c>
      <c r="Z115" s="729" t="str">
        <f>HYPERLINK("https://www.klasekpyrotechnics.cz/rdg2b")</f>
        <v>https://www.klasekpyrotechnics.cz/rdg2b</v>
      </c>
      <c r="AA115" s="729">
        <f>IFERROR(IF(VLOOKUP(C115,[4]List1!$A:$D,4,FALSE)=0,"",VLOOKUP(C115,[4]List1!$A:$D,4,FALSE)),"")</f>
        <v>42</v>
      </c>
      <c r="AB115" s="720"/>
      <c r="AC115" s="751" t="str">
        <f>IFERROR(IF(VLOOKUP(C115,[1]List1!$A:$D,2,FALSE)="VYPRODÁNO",$V$9,IF(VLOOKUP(C115,[1]List1!$A:$D,2,FALSE)="DOCHÁZÍ",$V$3,VLOOKUP(C115,[1]List1!$A:$D,2,FALSE))),"OFFLINE!")</f>
        <v>SKLADEM</v>
      </c>
      <c r="AD115" s="752" t="str">
        <f ca="1">IF(AP115="NE",$V$10,IF(AC115=$V$3,IF(AQ115&lt;1,$V$8,$V$2&amp;" "&amp;AQ115&amp;" "&amp;$V$1),IF(AC115="SKLADEM",$V$6,IFERROR(IF(OR(AC115-TODAY()&gt;45,VLOOKUP(C115,[1]List1!$A:$E,4,FALSE)=0),AC115,DAY(AC115)&amp;"."&amp;MONTH(AC115)&amp;"."&amp;YEAR(AC115)&amp;" "&amp;$V$4&amp;VLOOKUP(C115,[1]List1!$A:$E,4,FALSE)&amp;" "&amp;$V$1),AC115))))</f>
        <v>SKLADEM</v>
      </c>
      <c r="AE115" s="729" t="str">
        <f t="shared" ca="1" si="159"/>
        <v>SKLADEM</v>
      </c>
      <c r="AF115" s="735">
        <f t="shared" si="160"/>
        <v>0</v>
      </c>
      <c r="AG115" s="735">
        <f t="shared" si="161"/>
        <v>0</v>
      </c>
      <c r="AH115" s="736">
        <f t="shared" si="162"/>
        <v>0</v>
      </c>
      <c r="AI115" s="729">
        <f t="shared" si="163"/>
        <v>0</v>
      </c>
      <c r="AJ115" s="729">
        <f t="shared" si="164"/>
        <v>0</v>
      </c>
      <c r="AK115" s="729" t="str">
        <f t="shared" si="165"/>
        <v/>
      </c>
      <c r="AL115" s="729" t="str">
        <f t="shared" si="166"/>
        <v/>
      </c>
      <c r="AM115" s="729">
        <f t="shared" si="167"/>
        <v>0</v>
      </c>
      <c r="AN115" s="729">
        <f t="shared" si="168"/>
        <v>0</v>
      </c>
      <c r="AO115" s="380"/>
      <c r="AP115" s="322" t="str">
        <f t="shared" si="133"/>
        <v/>
      </c>
      <c r="AQ115" s="323" t="str">
        <f>IF(AC115=$V$3,IF(VLOOKUP(C115,[1]List1!$A:$E,5,FALSE)=0,1,VLOOKUP(C115,[1]List1!$A:$E,5,FALSE)),"")</f>
        <v/>
      </c>
      <c r="AR115" s="304" t="str">
        <f t="shared" si="134"/>
        <v/>
      </c>
      <c r="AS115" s="423" t="str">
        <f t="shared" si="135"/>
        <v/>
      </c>
      <c r="AT115" s="304" t="str">
        <f t="shared" si="136"/>
        <v/>
      </c>
      <c r="AU115" s="342" t="e">
        <f t="shared" si="137"/>
        <v>#N/A</v>
      </c>
      <c r="AV115" s="304" t="e">
        <f t="shared" si="138"/>
        <v>#N/A</v>
      </c>
      <c r="AX115" s="304">
        <f>IF(AND('General price list'!$J115="F4",'General price list'!$AB115+0&gt;0),1,0)</f>
        <v>0</v>
      </c>
      <c r="AY115" s="304">
        <f t="shared" si="139"/>
        <v>1</v>
      </c>
      <c r="AZ115" s="304">
        <f t="shared" si="140"/>
        <v>0</v>
      </c>
    </row>
    <row r="116" spans="1:52" ht="15" customHeight="1">
      <c r="A116" s="712" t="str">
        <f>Kat.!C116</f>
        <v/>
      </c>
      <c r="B116" s="745">
        <f>IF(AND('General price list'!$J116="F4",$AI$1=FALSE),0,IF(AC116="SKLADEM",1,IF(AC116=$V$3,1,0)))</f>
        <v>1</v>
      </c>
      <c r="C116" s="714" t="s">
        <v>297</v>
      </c>
      <c r="D116" s="715" t="s">
        <v>298</v>
      </c>
      <c r="E116" s="716" t="s">
        <v>256</v>
      </c>
      <c r="F116" s="712">
        <f>IFERROR(ROUND(IF($AL$3=2,VLOOKUP(C116,[2]List1!$A:$D,2,FALSE)*1.08,VLOOKUP(C116,[2]List1!$A:$D,2,FALSE)),0),"NEUVEDENO!")</f>
        <v>132</v>
      </c>
      <c r="G116" s="717">
        <f t="shared" si="155"/>
        <v>132</v>
      </c>
      <c r="H116" s="718">
        <f t="shared" si="156"/>
        <v>5.36391305584565</v>
      </c>
      <c r="I116" s="746">
        <v>50</v>
      </c>
      <c r="J116" s="716" t="s">
        <v>257</v>
      </c>
      <c r="K116" s="716"/>
      <c r="L116" s="716" t="s">
        <v>14364</v>
      </c>
      <c r="M116" s="716" t="s">
        <v>25</v>
      </c>
      <c r="N116" s="716">
        <f>IFERROR(VLOOKUP(C116,[3]List1!$A:$D,4,FALSE),"N/A!")</f>
        <v>3.6358000000000008E-2</v>
      </c>
      <c r="O116" s="716">
        <f>IFERROR(VLOOKUP(C116,[3]List1!$A:$D,3,FALSE),"N/A!")</f>
        <v>12000</v>
      </c>
      <c r="P116" s="716">
        <f>IFERROR(VLOOKUP(C116,[3]List1!$A:$D,2,FALSE),"N/A!")</f>
        <v>17000</v>
      </c>
      <c r="Q116" s="716" t="s">
        <v>217</v>
      </c>
      <c r="R116" s="716" t="s">
        <v>24</v>
      </c>
      <c r="S116" s="716"/>
      <c r="T116" s="716">
        <v>60</v>
      </c>
      <c r="U116" s="716"/>
      <c r="V116" s="716"/>
      <c r="W116" s="716" t="str">
        <f>IFERROR(VLOOKUP('General price list'!$C116,Popisy!A:P,MATCH($W$17,Popisy!$A$7:$P$7,0),FALSE),"---------------")</f>
        <v>dýmovnice(tuba dýmící ze dvou stran)-červená barva</v>
      </c>
      <c r="X116" s="716" t="str">
        <f t="shared" si="157"/>
        <v/>
      </c>
      <c r="Y116" s="716" t="str">
        <f t="shared" si="158"/>
        <v/>
      </c>
      <c r="Z116" s="716" t="str">
        <f>HYPERLINK("https://www.klasekpyrotechnics.cz/rdg2c")</f>
        <v>https://www.klasekpyrotechnics.cz/rdg2c</v>
      </c>
      <c r="AA116" s="716">
        <f>IFERROR(IF(VLOOKUP(C116,[4]List1!$A:$D,4,FALSE)=0,"",VLOOKUP(C116,[4]List1!$A:$D,4,FALSE)),"")</f>
        <v>42</v>
      </c>
      <c r="AB116" s="720"/>
      <c r="AC116" s="747" t="str">
        <f>IFERROR(IF(VLOOKUP(C116,[1]List1!$A:$D,2,FALSE)="VYPRODÁNO",$V$9,IF(VLOOKUP(C116,[1]List1!$A:$D,2,FALSE)="DOCHÁZÍ",$V$3,VLOOKUP(C116,[1]List1!$A:$D,2,FALSE))),"OFFLINE!")</f>
        <v>SKLADEM</v>
      </c>
      <c r="AD116" s="748" t="str">
        <f ca="1">IF(AP116="NE",$V$10,IF(AC116=$V$3,IF(AQ116&lt;1,$V$8,$V$2&amp;" "&amp;AQ116&amp;" "&amp;$V$1),IF(AC116="SKLADEM",$V$6,IFERROR(IF(OR(AC116-TODAY()&gt;45,VLOOKUP(C116,[1]List1!$A:$E,4,FALSE)=0),AC116,DAY(AC116)&amp;"."&amp;MONTH(AC116)&amp;"."&amp;YEAR(AC116)&amp;" "&amp;$V$4&amp;VLOOKUP(C116,[1]List1!$A:$E,4,FALSE)&amp;" "&amp;$V$1),AC116))))</f>
        <v>SKLADEM</v>
      </c>
      <c r="AE116" s="716" t="str">
        <f t="shared" ca="1" si="159"/>
        <v>SKLADEM</v>
      </c>
      <c r="AF116" s="723">
        <f t="shared" si="160"/>
        <v>0</v>
      </c>
      <c r="AG116" s="723">
        <f t="shared" si="161"/>
        <v>0</v>
      </c>
      <c r="AH116" s="724">
        <f t="shared" si="162"/>
        <v>0</v>
      </c>
      <c r="AI116" s="716">
        <f t="shared" si="163"/>
        <v>0</v>
      </c>
      <c r="AJ116" s="716">
        <f t="shared" si="164"/>
        <v>0</v>
      </c>
      <c r="AK116" s="716" t="str">
        <f t="shared" si="165"/>
        <v/>
      </c>
      <c r="AL116" s="716" t="str">
        <f t="shared" si="166"/>
        <v/>
      </c>
      <c r="AM116" s="716">
        <f t="shared" si="167"/>
        <v>0</v>
      </c>
      <c r="AN116" s="716">
        <f t="shared" si="168"/>
        <v>0</v>
      </c>
      <c r="AO116" s="380"/>
      <c r="AP116" s="322" t="str">
        <f t="shared" si="133"/>
        <v/>
      </c>
      <c r="AQ116" s="323" t="str">
        <f>IF(AC116=$V$3,IF(VLOOKUP(C116,[1]List1!$A:$E,5,FALSE)=0,1,VLOOKUP(C116,[1]List1!$A:$E,5,FALSE)),"")</f>
        <v/>
      </c>
      <c r="AR116" s="304" t="str">
        <f t="shared" si="134"/>
        <v/>
      </c>
      <c r="AS116" s="423" t="str">
        <f t="shared" si="135"/>
        <v/>
      </c>
      <c r="AT116" s="304" t="str">
        <f t="shared" si="136"/>
        <v/>
      </c>
      <c r="AU116" s="342" t="e">
        <f t="shared" si="137"/>
        <v>#N/A</v>
      </c>
      <c r="AV116" s="304" t="e">
        <f t="shared" si="138"/>
        <v>#N/A</v>
      </c>
      <c r="AX116" s="304">
        <f>IF(AND('General price list'!$J116="F4",'General price list'!$AB116+0&gt;0),1,0)</f>
        <v>0</v>
      </c>
      <c r="AY116" s="304">
        <f t="shared" si="139"/>
        <v>1</v>
      </c>
      <c r="AZ116" s="304">
        <f t="shared" si="140"/>
        <v>0</v>
      </c>
    </row>
    <row r="117" spans="1:52" ht="15" customHeight="1">
      <c r="A117" s="725" t="str">
        <f>Kat.!C117</f>
        <v/>
      </c>
      <c r="B117" s="749">
        <f>IF(AND('General price list'!$J117="F4",$AI$1=FALSE),0,IF(AC117="SKLADEM",1,IF(AC117=$V$3,1,0)))</f>
        <v>1</v>
      </c>
      <c r="C117" s="727" t="s">
        <v>302</v>
      </c>
      <c r="D117" s="728" t="s">
        <v>303</v>
      </c>
      <c r="E117" s="729" t="s">
        <v>256</v>
      </c>
      <c r="F117" s="725">
        <f>IFERROR(ROUND(IF($AL$3=2,VLOOKUP(C117,[2]List1!$A:$D,2,FALSE)*1.08,VLOOKUP(C117,[2]List1!$A:$D,2,FALSE)),0),"NEUVEDENO!")</f>
        <v>132</v>
      </c>
      <c r="G117" s="730">
        <f t="shared" si="155"/>
        <v>132</v>
      </c>
      <c r="H117" s="731">
        <f t="shared" si="156"/>
        <v>5.36391305584565</v>
      </c>
      <c r="I117" s="750">
        <v>50</v>
      </c>
      <c r="J117" s="729" t="s">
        <v>257</v>
      </c>
      <c r="K117" s="729"/>
      <c r="L117" s="729" t="s">
        <v>14364</v>
      </c>
      <c r="M117" s="729" t="s">
        <v>25</v>
      </c>
      <c r="N117" s="729">
        <f>IFERROR(VLOOKUP(C117,[3]List1!$A:$D,4,FALSE),"N/A!")</f>
        <v>3.6358000000000008E-2</v>
      </c>
      <c r="O117" s="729">
        <f>IFERROR(VLOOKUP(C117,[3]List1!$A:$D,3,FALSE),"N/A!")</f>
        <v>12000</v>
      </c>
      <c r="P117" s="729">
        <f>IFERROR(VLOOKUP(C117,[3]List1!$A:$D,2,FALSE),"N/A!")</f>
        <v>17000</v>
      </c>
      <c r="Q117" s="729" t="s">
        <v>217</v>
      </c>
      <c r="R117" s="729" t="s">
        <v>24</v>
      </c>
      <c r="S117" s="729"/>
      <c r="T117" s="729">
        <v>60</v>
      </c>
      <c r="U117" s="729"/>
      <c r="V117" s="729"/>
      <c r="W117" s="729" t="str">
        <f>IFERROR(VLOOKUP('General price list'!$C117,Popisy!A:P,MATCH($W$17,Popisy!$A$7:$P$7,0),FALSE),"---------------")</f>
        <v>dýmovnice(tuba dýmící ze dvou stran)-modrá barva</v>
      </c>
      <c r="X117" s="729" t="str">
        <f t="shared" si="157"/>
        <v/>
      </c>
      <c r="Y117" s="729" t="str">
        <f t="shared" si="158"/>
        <v/>
      </c>
      <c r="Z117" s="729" t="str">
        <f>HYPERLINK("https://www.klasekpyrotechnics.cz/rdg2m")</f>
        <v>https://www.klasekpyrotechnics.cz/rdg2m</v>
      </c>
      <c r="AA117" s="729">
        <f>IFERROR(IF(VLOOKUP(C117,[4]List1!$A:$D,4,FALSE)=0,"",VLOOKUP(C117,[4]List1!$A:$D,4,FALSE)),"")</f>
        <v>42</v>
      </c>
      <c r="AB117" s="720"/>
      <c r="AC117" s="751" t="str">
        <f>IFERROR(IF(VLOOKUP(C117,[1]List1!$A:$D,2,FALSE)="VYPRODÁNO",$V$9,IF(VLOOKUP(C117,[1]List1!$A:$D,2,FALSE)="DOCHÁZÍ",$V$3,VLOOKUP(C117,[1]List1!$A:$D,2,FALSE))),"OFFLINE!")</f>
        <v>SKLADEM</v>
      </c>
      <c r="AD117" s="752" t="str">
        <f ca="1">IF(AP117="NE",$V$10,IF(AC117=$V$3,IF(AQ117&lt;1,$V$8,$V$2&amp;" "&amp;AQ117&amp;" "&amp;$V$1),IF(AC117="SKLADEM",$V$6,IFERROR(IF(OR(AC117-TODAY()&gt;45,VLOOKUP(C117,[1]List1!$A:$E,4,FALSE)=0),AC117,DAY(AC117)&amp;"."&amp;MONTH(AC117)&amp;"."&amp;YEAR(AC117)&amp;" "&amp;$V$4&amp;VLOOKUP(C117,[1]List1!$A:$E,4,FALSE)&amp;" "&amp;$V$1),AC117))))</f>
        <v>SKLADEM</v>
      </c>
      <c r="AE117" s="729" t="str">
        <f t="shared" ca="1" si="159"/>
        <v>SKLADEM</v>
      </c>
      <c r="AF117" s="735">
        <f t="shared" si="160"/>
        <v>0</v>
      </c>
      <c r="AG117" s="735">
        <f t="shared" si="161"/>
        <v>0</v>
      </c>
      <c r="AH117" s="736">
        <f t="shared" si="162"/>
        <v>0</v>
      </c>
      <c r="AI117" s="729">
        <f t="shared" si="163"/>
        <v>0</v>
      </c>
      <c r="AJ117" s="729">
        <f t="shared" si="164"/>
        <v>0</v>
      </c>
      <c r="AK117" s="729" t="str">
        <f t="shared" si="165"/>
        <v/>
      </c>
      <c r="AL117" s="729" t="str">
        <f t="shared" si="166"/>
        <v/>
      </c>
      <c r="AM117" s="729">
        <f t="shared" si="167"/>
        <v>0</v>
      </c>
      <c r="AN117" s="729">
        <f t="shared" si="168"/>
        <v>0</v>
      </c>
      <c r="AO117" s="380"/>
      <c r="AP117" s="322" t="str">
        <f t="shared" si="133"/>
        <v/>
      </c>
      <c r="AQ117" s="323" t="str">
        <f>IF(AC117=$V$3,IF(VLOOKUP(C117,[1]List1!$A:$E,5,FALSE)=0,1,VLOOKUP(C117,[1]List1!$A:$E,5,FALSE)),"")</f>
        <v/>
      </c>
      <c r="AR117" s="304" t="str">
        <f t="shared" si="134"/>
        <v/>
      </c>
      <c r="AS117" s="423" t="str">
        <f t="shared" si="135"/>
        <v/>
      </c>
      <c r="AT117" s="304" t="str">
        <f t="shared" si="136"/>
        <v/>
      </c>
      <c r="AU117" s="342" t="e">
        <f t="shared" si="137"/>
        <v>#N/A</v>
      </c>
      <c r="AV117" s="304" t="e">
        <f t="shared" si="138"/>
        <v>#N/A</v>
      </c>
      <c r="AX117" s="304">
        <f>IF(AND('General price list'!$J117="F4",'General price list'!$AB117+0&gt;0),1,0)</f>
        <v>0</v>
      </c>
      <c r="AY117" s="304">
        <f t="shared" si="139"/>
        <v>1</v>
      </c>
      <c r="AZ117" s="304">
        <f t="shared" si="140"/>
        <v>0</v>
      </c>
    </row>
    <row r="118" spans="1:52" ht="15" customHeight="1">
      <c r="A118" s="773" t="str">
        <f>Kat.!C118</f>
        <v xml:space="preserve">                                                               Dýmovnice s trhací pojistkou</v>
      </c>
      <c r="B118" s="774"/>
      <c r="C118" s="774"/>
      <c r="D118" s="774"/>
      <c r="E118" s="774"/>
      <c r="F118" s="774"/>
      <c r="G118" s="774"/>
      <c r="H118" s="774"/>
      <c r="I118" s="774"/>
      <c r="J118" s="774"/>
      <c r="K118" s="774"/>
      <c r="L118" s="774"/>
      <c r="M118" s="774"/>
      <c r="N118" s="774"/>
      <c r="O118" s="774"/>
      <c r="P118" s="774"/>
      <c r="Q118" s="774"/>
      <c r="R118" s="774"/>
      <c r="S118" s="774"/>
      <c r="T118" s="774"/>
      <c r="U118" s="774"/>
      <c r="V118" s="774"/>
      <c r="W118" s="774"/>
      <c r="X118" s="774"/>
      <c r="Y118" s="774"/>
      <c r="Z118" s="774"/>
      <c r="AA118" s="774" t="str">
        <f>IFERROR(IF(VLOOKUP(C118,[4]List1!$A:$D,4,FALSE)=0,"",VLOOKUP(C118,[4]List1!$A:$D,4,FALSE)),"")</f>
        <v/>
      </c>
      <c r="AB118" s="774"/>
      <c r="AC118" s="775" t="str">
        <f>IFERROR(IF(VLOOKUP(C118,[1]List1!$A:$D,2,FALSE)="VYPRODÁNO",$V$9,IF(VLOOKUP(C118,[1]List1!$A:$D,2,FALSE)="DOCHÁZÍ",$V$3,VLOOKUP(C118,[1]List1!$A:$D,2,FALSE))),"OFFLINE!")</f>
        <v>OFFLINE!</v>
      </c>
      <c r="AD118" s="774"/>
      <c r="AE118" s="774"/>
      <c r="AF118" s="774"/>
      <c r="AG118" s="774"/>
      <c r="AH118" s="774"/>
      <c r="AI118" s="774"/>
      <c r="AJ118" s="774"/>
      <c r="AK118" s="774"/>
      <c r="AL118" s="774"/>
      <c r="AM118" s="774"/>
      <c r="AN118" s="774"/>
      <c r="AO118" s="380"/>
      <c r="AP118" s="322" t="str">
        <f t="shared" si="133"/>
        <v/>
      </c>
      <c r="AQ118" s="323" t="str">
        <f>IF(AC118=$V$3,IF(VLOOKUP(C118,[1]List1!$A:$E,5,FALSE)=0,1,VLOOKUP(C118,[1]List1!$A:$E,5,FALSE)),"")</f>
        <v/>
      </c>
      <c r="AR118" s="304" t="str">
        <f t="shared" si="134"/>
        <v/>
      </c>
      <c r="AS118" s="423" t="str">
        <f t="shared" si="135"/>
        <v/>
      </c>
      <c r="AT118" s="304" t="str">
        <f t="shared" si="136"/>
        <v/>
      </c>
      <c r="AU118" s="342" t="e">
        <f t="shared" si="137"/>
        <v>#N/A</v>
      </c>
      <c r="AV118" s="304" t="e">
        <f t="shared" si="138"/>
        <v>#N/A</v>
      </c>
      <c r="AX118" s="304">
        <f>IF(AND('General price list'!$J118="F4",'General price list'!$AB118+0&gt;0),1,0)</f>
        <v>0</v>
      </c>
      <c r="AY118" s="304">
        <f t="shared" si="139"/>
        <v>0</v>
      </c>
      <c r="AZ118" s="304">
        <f t="shared" si="140"/>
        <v>0</v>
      </c>
    </row>
    <row r="119" spans="1:52" ht="15" customHeight="1">
      <c r="A119" s="725" t="str">
        <f>Kat.!C119</f>
        <v>×</v>
      </c>
      <c r="B119" s="741">
        <f>IF(AND('General price list'!$J119="F4",$AI$1=FALSE),0,IF(AC119="SKLADEM",1,IF(AC119=$V$3,1,0)))</f>
        <v>1</v>
      </c>
      <c r="C119" s="727" t="s">
        <v>12355</v>
      </c>
      <c r="D119" s="728" t="s">
        <v>14525</v>
      </c>
      <c r="E119" s="729" t="s">
        <v>307</v>
      </c>
      <c r="F119" s="725">
        <f>IFERROR(ROUND(IF($AL$3=2,VLOOKUP(C119,[2]List1!$A:$D,2,FALSE)*1.08,VLOOKUP(C119,[2]List1!$A:$D,2,FALSE)),0),"NEUVEDENO!")</f>
        <v>420</v>
      </c>
      <c r="G119" s="730">
        <f t="shared" ref="G119:G127" si="169">(F119)*$B$19</f>
        <v>420</v>
      </c>
      <c r="H119" s="731">
        <f t="shared" ref="H119:H127" si="170">G119/$F$19</f>
        <v>17.066996086781611</v>
      </c>
      <c r="I119" s="742">
        <v>20</v>
      </c>
      <c r="J119" s="729" t="s">
        <v>257</v>
      </c>
      <c r="K119" s="729"/>
      <c r="L119" s="729" t="s">
        <v>24</v>
      </c>
      <c r="M119" s="729" t="s">
        <v>25</v>
      </c>
      <c r="N119" s="729">
        <f>IFERROR(VLOOKUP(C119,[3]List1!$A:$D,4,FALSE),"N/A!")</f>
        <v>3.1122E-2</v>
      </c>
      <c r="O119" s="729">
        <f>IFERROR(VLOOKUP(C119,[3]List1!$A:$D,3,FALSE),"N/A!")</f>
        <v>3200</v>
      </c>
      <c r="P119" s="729">
        <f>IFERROR(VLOOKUP(C119,[3]List1!$A:$D,2,FALSE),"N/A!")</f>
        <v>14500</v>
      </c>
      <c r="Q119" s="729" t="s">
        <v>12729</v>
      </c>
      <c r="R119" s="729" t="s">
        <v>24</v>
      </c>
      <c r="S119" s="729"/>
      <c r="T119" s="729">
        <v>60</v>
      </c>
      <c r="U119" s="729"/>
      <c r="V119" s="729"/>
      <c r="W119" s="729" t="str">
        <f>IFERROR(VLOOKUP('General price list'!$C119,Popisy!A:P,MATCH($W$17,Popisy!$A$7:$P$7,0),FALSE),"---------------")</f>
        <v>dýmovnice(tuba) s trhací pojistkou-bílá barva</v>
      </c>
      <c r="X119" s="729" t="str">
        <f t="shared" ref="X119:X127" si="171">IF(AB119&lt;0.0001,"",AB119)</f>
        <v/>
      </c>
      <c r="Y119" s="729" t="str">
        <f t="shared" ref="Y119:Y127" si="172">IF($AL$3=2,IF(OR(AB119&lt;&gt;"",AB119&lt;&gt;0),AU119,""),IF(C119="","",IF(AB119&lt;0.0001,"",IF(B119=0,"",IF(AQ119&lt;AB119,"",AB119)))))</f>
        <v/>
      </c>
      <c r="Z119" s="729" t="str">
        <f>HYPERLINK("https://www.klasekpyrotechnics.cz/rdg60b_sp9020w")</f>
        <v>https://www.klasekpyrotechnics.cz/rdg60b_sp9020w</v>
      </c>
      <c r="AA119" s="729" t="str">
        <f>IFERROR(IF(VLOOKUP(C119,[4]List1!$A:$D,4,FALSE)=0,"",VLOOKUP(C119,[4]List1!$A:$D,4,FALSE)),"")</f>
        <v>36</v>
      </c>
      <c r="AB119" s="720"/>
      <c r="AC119" s="743" t="str">
        <f>IFERROR(IF(VLOOKUP(C119,[1]List1!$A:$D,2,FALSE)="VYPRODÁNO",$V$9,IF(VLOOKUP(C119,[1]List1!$A:$D,2,FALSE)="DOCHÁZÍ",$V$3,VLOOKUP(C119,[1]List1!$A:$D,2,FALSE))),"OFFLINE!")</f>
        <v>DOCHÁZÍ</v>
      </c>
      <c r="AD119" s="744" t="str">
        <f ca="1">IF(AP119="NE",$V$10,IF(AC119=$V$3,IF(AQ119&lt;1,$V$8,$V$2&amp;" "&amp;AQ119&amp;" "&amp;$V$1),IF(AC119="SKLADEM",$V$6,IFERROR(IF(OR(AC119-TODAY()&gt;45,VLOOKUP(C119,[1]List1!$A:$E,4,FALSE)=0),AC119,DAY(AC119)&amp;"."&amp;MONTH(AC119)&amp;"."&amp;YEAR(AC119)&amp;" "&amp;$V$4&amp;VLOOKUP(C119,[1]List1!$A:$E,4,FALSE)&amp;" "&amp;$V$1),AC119))))</f>
        <v>POSLEDNÍCH 3 VK</v>
      </c>
      <c r="AE119" s="729" t="str">
        <f t="shared" ref="AE119:AE127" ca="1" si="173">IFERROR(IF(AV119&lt;&gt;"",AV119,AD119),AD119)</f>
        <v>POSLEDNÍCH 3 VK</v>
      </c>
      <c r="AF119" s="735">
        <f t="shared" ref="AF119:AF127" si="174">IFERROR(IF(AB119=Y119,G119*I119*Y119,0),0)</f>
        <v>0</v>
      </c>
      <c r="AG119" s="735">
        <f t="shared" ref="AG119:AG127" si="175">IF($W$17=$AF$8,AH119*1.23,AF119*1.21)</f>
        <v>0</v>
      </c>
      <c r="AH119" s="736">
        <f t="shared" ref="AH119:AH127" si="176">IFERROR(IF(Y119=AB119,H119*I119*Y119,0),0)</f>
        <v>0</v>
      </c>
      <c r="AI119" s="729">
        <f t="shared" ref="AI119:AI127" si="177">IFERROR(IF(Y119=AB119,(P119*Y119)/1000,1),0)</f>
        <v>0</v>
      </c>
      <c r="AJ119" s="729">
        <f t="shared" ref="AJ119:AJ127" si="178">IFERROR(IF(Y119=AB119,N119*Y119,0.1),0)</f>
        <v>0</v>
      </c>
      <c r="AK119" s="729" t="str">
        <f t="shared" ref="AK119:AK127" si="179">IFERROR(IF(Y119=AB119,IF(M119="1.1G",(O119/1000)*Y119,""),""),0)</f>
        <v/>
      </c>
      <c r="AL119" s="729" t="str">
        <f t="shared" ref="AL119:AL127" si="180">IFERROR(IF(Y119=AB119,IF(M119="1.3G",(O119/1000)*AB119,""),""),0)</f>
        <v/>
      </c>
      <c r="AM119" s="729">
        <f t="shared" ref="AM119:AM127" si="181">IFERROR(IF(Y119=AB119,IF(M119="1.4G",(O119/1000)*AB119,""),""),0)</f>
        <v>0</v>
      </c>
      <c r="AN119" s="729">
        <f t="shared" ref="AN119:AN127" si="182">SUM(AK119:AM119)</f>
        <v>0</v>
      </c>
      <c r="AO119" s="380"/>
      <c r="AP119" s="322" t="str">
        <f t="shared" si="133"/>
        <v/>
      </c>
      <c r="AQ119" s="323">
        <f>IF(AC119=$V$3,IF(VLOOKUP(C119,[1]List1!$A:$E,5,FALSE)=0,1,VLOOKUP(C119,[1]List1!$A:$E,5,FALSE)),"")</f>
        <v>3</v>
      </c>
      <c r="AR119" s="304" t="str">
        <f t="shared" si="134"/>
        <v/>
      </c>
      <c r="AS119" s="423" t="str">
        <f t="shared" si="135"/>
        <v/>
      </c>
      <c r="AT119" s="304" t="str">
        <f t="shared" si="136"/>
        <v/>
      </c>
      <c r="AU119" s="342" t="e">
        <f t="shared" si="137"/>
        <v>#N/A</v>
      </c>
      <c r="AV119" s="304" t="e">
        <f t="shared" si="138"/>
        <v>#N/A</v>
      </c>
      <c r="AX119" s="304">
        <f>IF(AND('General price list'!$J119="F4",'General price list'!$AB119+0&gt;0),1,0)</f>
        <v>0</v>
      </c>
      <c r="AY119" s="304">
        <f t="shared" si="139"/>
        <v>1</v>
      </c>
      <c r="AZ119" s="304">
        <f t="shared" si="140"/>
        <v>0</v>
      </c>
    </row>
    <row r="120" spans="1:52" ht="15" customHeight="1">
      <c r="A120" s="712" t="str">
        <f>Kat.!C120</f>
        <v>×</v>
      </c>
      <c r="B120" s="745">
        <f>IF(AND('General price list'!$J120="F4",$AI$1=FALSE),0,IF(AC120="SKLADEM",1,IF(AC120=$V$3,1,0)))</f>
        <v>1</v>
      </c>
      <c r="C120" s="714" t="s">
        <v>12357</v>
      </c>
      <c r="D120" s="715" t="s">
        <v>14526</v>
      </c>
      <c r="E120" s="716" t="s">
        <v>307</v>
      </c>
      <c r="F120" s="712">
        <f>IFERROR(ROUND(IF($AL$3=2,VLOOKUP(C120,[2]List1!$A:$D,2,FALSE)*1.08,VLOOKUP(C120,[2]List1!$A:$D,2,FALSE)),0),"NEUVEDENO!")</f>
        <v>420</v>
      </c>
      <c r="G120" s="717">
        <f t="shared" si="169"/>
        <v>420</v>
      </c>
      <c r="H120" s="718">
        <f t="shared" si="170"/>
        <v>17.066996086781611</v>
      </c>
      <c r="I120" s="746">
        <v>20</v>
      </c>
      <c r="J120" s="716" t="s">
        <v>257</v>
      </c>
      <c r="K120" s="716"/>
      <c r="L120" s="716" t="s">
        <v>24</v>
      </c>
      <c r="M120" s="716" t="s">
        <v>25</v>
      </c>
      <c r="N120" s="716">
        <f>IFERROR(VLOOKUP(C120,[3]List1!$A:$D,4,FALSE),"N/A!")</f>
        <v>3.1122E-2</v>
      </c>
      <c r="O120" s="716">
        <f>IFERROR(VLOOKUP(C120,[3]List1!$A:$D,3,FALSE),"N/A!")</f>
        <v>3200</v>
      </c>
      <c r="P120" s="716">
        <f>IFERROR(VLOOKUP(C120,[3]List1!$A:$D,2,FALSE),"N/A!")</f>
        <v>14500</v>
      </c>
      <c r="Q120" s="716" t="s">
        <v>12729</v>
      </c>
      <c r="R120" s="716" t="s">
        <v>24</v>
      </c>
      <c r="S120" s="716"/>
      <c r="T120" s="716">
        <v>60</v>
      </c>
      <c r="U120" s="716"/>
      <c r="V120" s="716"/>
      <c r="W120" s="716" t="str">
        <f>IFERROR(VLOOKUP('General price list'!$C120,Popisy!A:P,MATCH($W$17,Popisy!$A$7:$P$7,0),FALSE),"---------------")</f>
        <v>dýmovnice(tuba) s trhací pojistkou-modrá barva</v>
      </c>
      <c r="X120" s="716" t="str">
        <f t="shared" si="171"/>
        <v/>
      </c>
      <c r="Y120" s="716" t="str">
        <f t="shared" si="172"/>
        <v/>
      </c>
      <c r="Z120" s="716" t="str">
        <f>HYPERLINK("https://www.klasekpyrotechnics.cz/rdg60m_sp9020b")</f>
        <v>https://www.klasekpyrotechnics.cz/rdg60m_sp9020b</v>
      </c>
      <c r="AA120" s="716" t="str">
        <f>IFERROR(IF(VLOOKUP(C120,[4]List1!$A:$D,4,FALSE)=0,"",VLOOKUP(C120,[4]List1!$A:$D,4,FALSE)),"")</f>
        <v>36</v>
      </c>
      <c r="AB120" s="720"/>
      <c r="AC120" s="747" t="str">
        <f>IFERROR(IF(VLOOKUP(C120,[1]List1!$A:$D,2,FALSE)="VYPRODÁNO",$V$9,IF(VLOOKUP(C120,[1]List1!$A:$D,2,FALSE)="DOCHÁZÍ",$V$3,VLOOKUP(C120,[1]List1!$A:$D,2,FALSE))),"OFFLINE!")</f>
        <v>DOCHÁZÍ</v>
      </c>
      <c r="AD120" s="748" t="str">
        <f ca="1">IF(AP120="NE",$V$10,IF(AC120=$V$3,IF(AQ120&lt;1,$V$8,$V$2&amp;" "&amp;AQ120&amp;" "&amp;$V$1),IF(AC120="SKLADEM",$V$6,IFERROR(IF(OR(AC120-TODAY()&gt;45,VLOOKUP(C120,[1]List1!$A:$E,4,FALSE)=0),AC120,DAY(AC120)&amp;"."&amp;MONTH(AC120)&amp;"."&amp;YEAR(AC120)&amp;" "&amp;$V$4&amp;VLOOKUP(C120,[1]List1!$A:$E,4,FALSE)&amp;" "&amp;$V$1),AC120))))</f>
        <v>POSLEDNÍCH 13 VK</v>
      </c>
      <c r="AE120" s="716" t="str">
        <f t="shared" ca="1" si="173"/>
        <v>POSLEDNÍCH 13 VK</v>
      </c>
      <c r="AF120" s="723">
        <f t="shared" si="174"/>
        <v>0</v>
      </c>
      <c r="AG120" s="723">
        <f t="shared" si="175"/>
        <v>0</v>
      </c>
      <c r="AH120" s="724">
        <f t="shared" si="176"/>
        <v>0</v>
      </c>
      <c r="AI120" s="716">
        <f t="shared" si="177"/>
        <v>0</v>
      </c>
      <c r="AJ120" s="716">
        <f t="shared" si="178"/>
        <v>0</v>
      </c>
      <c r="AK120" s="716" t="str">
        <f t="shared" si="179"/>
        <v/>
      </c>
      <c r="AL120" s="716" t="str">
        <f t="shared" si="180"/>
        <v/>
      </c>
      <c r="AM120" s="716">
        <f t="shared" si="181"/>
        <v>0</v>
      </c>
      <c r="AN120" s="716">
        <f t="shared" si="182"/>
        <v>0</v>
      </c>
      <c r="AO120" s="380"/>
      <c r="AP120" s="322" t="str">
        <f t="shared" si="133"/>
        <v/>
      </c>
      <c r="AQ120" s="323">
        <f>IF(AC120=$V$3,IF(VLOOKUP(C120,[1]List1!$A:$E,5,FALSE)=0,1,VLOOKUP(C120,[1]List1!$A:$E,5,FALSE)),"")</f>
        <v>13</v>
      </c>
      <c r="AR120" s="304" t="str">
        <f t="shared" si="134"/>
        <v/>
      </c>
      <c r="AS120" s="423" t="str">
        <f t="shared" si="135"/>
        <v/>
      </c>
      <c r="AT120" s="304" t="str">
        <f t="shared" si="136"/>
        <v/>
      </c>
      <c r="AU120" s="342" t="e">
        <f t="shared" si="137"/>
        <v>#N/A</v>
      </c>
      <c r="AV120" s="304" t="e">
        <f t="shared" si="138"/>
        <v>#N/A</v>
      </c>
      <c r="AX120" s="304">
        <f>IF(AND('General price list'!$J120="F4",'General price list'!$AB120+0&gt;0),1,0)</f>
        <v>0</v>
      </c>
      <c r="AY120" s="304">
        <f t="shared" si="139"/>
        <v>1</v>
      </c>
      <c r="AZ120" s="304">
        <f t="shared" si="140"/>
        <v>0</v>
      </c>
    </row>
    <row r="121" spans="1:52" ht="15" customHeight="1">
      <c r="A121" s="725" t="str">
        <f>Kat.!C121</f>
        <v>×</v>
      </c>
      <c r="B121" s="749">
        <f>IF(AND('General price list'!$J121="F4",$AI$1=FALSE),0,IF(AC121="SKLADEM",1,IF(AC121=$V$3,1,0)))</f>
        <v>1</v>
      </c>
      <c r="C121" s="727" t="s">
        <v>12360</v>
      </c>
      <c r="D121" s="728" t="s">
        <v>14527</v>
      </c>
      <c r="E121" s="729" t="s">
        <v>307</v>
      </c>
      <c r="F121" s="725">
        <f>IFERROR(ROUND(IF($AL$3=2,VLOOKUP(C121,[2]List1!$A:$D,2,FALSE)*1.08,VLOOKUP(C121,[2]List1!$A:$D,2,FALSE)),0),"NEUVEDENO!")</f>
        <v>420</v>
      </c>
      <c r="G121" s="730">
        <f t="shared" si="169"/>
        <v>420</v>
      </c>
      <c r="H121" s="731">
        <f t="shared" si="170"/>
        <v>17.066996086781611</v>
      </c>
      <c r="I121" s="750">
        <v>20</v>
      </c>
      <c r="J121" s="729" t="s">
        <v>257</v>
      </c>
      <c r="K121" s="729"/>
      <c r="L121" s="729" t="s">
        <v>24</v>
      </c>
      <c r="M121" s="729" t="s">
        <v>25</v>
      </c>
      <c r="N121" s="729">
        <f>IFERROR(VLOOKUP(C121,[3]List1!$A:$D,4,FALSE),"N/A!")</f>
        <v>3.1122E-2</v>
      </c>
      <c r="O121" s="729">
        <f>IFERROR(VLOOKUP(C121,[3]List1!$A:$D,3,FALSE),"N/A!")</f>
        <v>3200</v>
      </c>
      <c r="P121" s="729">
        <f>IFERROR(VLOOKUP(C121,[3]List1!$A:$D,2,FALSE),"N/A!")</f>
        <v>14500</v>
      </c>
      <c r="Q121" s="729" t="s">
        <v>12729</v>
      </c>
      <c r="R121" s="729" t="s">
        <v>24</v>
      </c>
      <c r="S121" s="729"/>
      <c r="T121" s="729">
        <v>60</v>
      </c>
      <c r="U121" s="729"/>
      <c r="V121" s="729"/>
      <c r="W121" s="729" t="str">
        <f>IFERROR(VLOOKUP('General price list'!$C121,Popisy!A:P,MATCH($W$17,Popisy!$A$7:$P$7,0),FALSE),"---------------")</f>
        <v>dýmovnice(tuba) s trhací pojistkou-oranžová barva</v>
      </c>
      <c r="X121" s="729" t="str">
        <f t="shared" si="171"/>
        <v/>
      </c>
      <c r="Y121" s="729" t="str">
        <f t="shared" si="172"/>
        <v/>
      </c>
      <c r="Z121" s="729" t="str">
        <f>HYPERLINK("https://www.klasekpyrotechnics.cz/rdg60o_sp9020o")</f>
        <v>https://www.klasekpyrotechnics.cz/rdg60o_sp9020o</v>
      </c>
      <c r="AA121" s="729" t="str">
        <f>IFERROR(IF(VLOOKUP(C121,[4]List1!$A:$D,4,FALSE)=0,"",VLOOKUP(C121,[4]List1!$A:$D,4,FALSE)),"")</f>
        <v>36</v>
      </c>
      <c r="AB121" s="720"/>
      <c r="AC121" s="751" t="str">
        <f>IFERROR(IF(VLOOKUP(C121,[1]List1!$A:$D,2,FALSE)="VYPRODÁNO",$V$9,IF(VLOOKUP(C121,[1]List1!$A:$D,2,FALSE)="DOCHÁZÍ",$V$3,VLOOKUP(C121,[1]List1!$A:$D,2,FALSE))),"OFFLINE!")</f>
        <v>DOCHÁZÍ</v>
      </c>
      <c r="AD121" s="752" t="str">
        <f ca="1">IF(AP121="NE",$V$10,IF(AC121=$V$3,IF(AQ121&lt;1,$V$8,$V$2&amp;" "&amp;AQ121&amp;" "&amp;$V$1),IF(AC121="SKLADEM",$V$6,IFERROR(IF(OR(AC121-TODAY()&gt;45,VLOOKUP(C121,[1]List1!$A:$E,4,FALSE)=0),AC121,DAY(AC121)&amp;"."&amp;MONTH(AC121)&amp;"."&amp;YEAR(AC121)&amp;" "&amp;$V$4&amp;VLOOKUP(C121,[1]List1!$A:$E,4,FALSE)&amp;" "&amp;$V$1),AC121))))</f>
        <v>POSLEDNÍCH 14 VK</v>
      </c>
      <c r="AE121" s="729" t="str">
        <f t="shared" ca="1" si="173"/>
        <v>POSLEDNÍCH 14 VK</v>
      </c>
      <c r="AF121" s="735">
        <f t="shared" si="174"/>
        <v>0</v>
      </c>
      <c r="AG121" s="735">
        <f t="shared" si="175"/>
        <v>0</v>
      </c>
      <c r="AH121" s="736">
        <f t="shared" si="176"/>
        <v>0</v>
      </c>
      <c r="AI121" s="729">
        <f t="shared" si="177"/>
        <v>0</v>
      </c>
      <c r="AJ121" s="729">
        <f t="shared" si="178"/>
        <v>0</v>
      </c>
      <c r="AK121" s="729" t="str">
        <f t="shared" si="179"/>
        <v/>
      </c>
      <c r="AL121" s="729" t="str">
        <f t="shared" si="180"/>
        <v/>
      </c>
      <c r="AM121" s="729">
        <f t="shared" si="181"/>
        <v>0</v>
      </c>
      <c r="AN121" s="729">
        <f t="shared" si="182"/>
        <v>0</v>
      </c>
      <c r="AO121" s="380"/>
      <c r="AP121" s="322" t="str">
        <f t="shared" si="133"/>
        <v/>
      </c>
      <c r="AQ121" s="323">
        <f>IF(AC121=$V$3,IF(VLOOKUP(C121,[1]List1!$A:$E,5,FALSE)=0,1,VLOOKUP(C121,[1]List1!$A:$E,5,FALSE)),"")</f>
        <v>14</v>
      </c>
      <c r="AR121" s="304" t="str">
        <f t="shared" si="134"/>
        <v/>
      </c>
      <c r="AS121" s="423" t="str">
        <f t="shared" si="135"/>
        <v/>
      </c>
      <c r="AT121" s="304" t="str">
        <f t="shared" si="136"/>
        <v/>
      </c>
      <c r="AU121" s="342" t="e">
        <f t="shared" si="137"/>
        <v>#N/A</v>
      </c>
      <c r="AV121" s="304" t="e">
        <f t="shared" si="138"/>
        <v>#N/A</v>
      </c>
      <c r="AX121" s="304">
        <f>IF(AND('General price list'!$J121="F4",'General price list'!$AB121+0&gt;0),1,0)</f>
        <v>0</v>
      </c>
      <c r="AY121" s="304">
        <f t="shared" si="139"/>
        <v>1</v>
      </c>
      <c r="AZ121" s="304">
        <f t="shared" si="140"/>
        <v>0</v>
      </c>
    </row>
    <row r="122" spans="1:52" ht="15" customHeight="1">
      <c r="A122" s="712" t="str">
        <f>Kat.!C122</f>
        <v>×</v>
      </c>
      <c r="B122" s="745">
        <f>IF(AND('General price list'!$J122="F4",$AI$1=FALSE),0,IF(AC122="SKLADEM",1,IF(AC122=$V$3,1,0)))</f>
        <v>1</v>
      </c>
      <c r="C122" s="714" t="s">
        <v>12361</v>
      </c>
      <c r="D122" s="715" t="s">
        <v>14528</v>
      </c>
      <c r="E122" s="716" t="s">
        <v>307</v>
      </c>
      <c r="F122" s="712">
        <f>IFERROR(ROUND(IF($AL$3=2,VLOOKUP(C122,[2]List1!$A:$D,2,FALSE)*1.08,VLOOKUP(C122,[2]List1!$A:$D,2,FALSE)),0),"NEUVEDENO!")</f>
        <v>420</v>
      </c>
      <c r="G122" s="717">
        <f t="shared" si="169"/>
        <v>420</v>
      </c>
      <c r="H122" s="718">
        <f t="shared" si="170"/>
        <v>17.066996086781611</v>
      </c>
      <c r="I122" s="746">
        <v>20</v>
      </c>
      <c r="J122" s="716" t="s">
        <v>257</v>
      </c>
      <c r="K122" s="716"/>
      <c r="L122" s="716" t="s">
        <v>24</v>
      </c>
      <c r="M122" s="716" t="s">
        <v>25</v>
      </c>
      <c r="N122" s="716">
        <f>IFERROR(VLOOKUP(C122,[3]List1!$A:$D,4,FALSE),"N/A!")</f>
        <v>3.1122E-2</v>
      </c>
      <c r="O122" s="716">
        <f>IFERROR(VLOOKUP(C122,[3]List1!$A:$D,3,FALSE),"N/A!")</f>
        <v>3200</v>
      </c>
      <c r="P122" s="716">
        <f>IFERROR(VLOOKUP(C122,[3]List1!$A:$D,2,FALSE),"N/A!")</f>
        <v>14500</v>
      </c>
      <c r="Q122" s="716" t="s">
        <v>12729</v>
      </c>
      <c r="R122" s="716" t="s">
        <v>24</v>
      </c>
      <c r="S122" s="716"/>
      <c r="T122" s="716">
        <v>60</v>
      </c>
      <c r="U122" s="716"/>
      <c r="V122" s="716"/>
      <c r="W122" s="716" t="str">
        <f>IFERROR(VLOOKUP('General price list'!$C122,Popisy!A:P,MATCH($W$17,Popisy!$A$7:$P$7,0),FALSE),"---------------")</f>
        <v>dýmovnice(tuba) s trhací pojistkou-černá barva</v>
      </c>
      <c r="X122" s="716" t="str">
        <f t="shared" si="171"/>
        <v/>
      </c>
      <c r="Y122" s="716" t="str">
        <f t="shared" si="172"/>
        <v/>
      </c>
      <c r="Z122" s="716" t="str">
        <f>HYPERLINK("https://www.klasekpyrotechnics.cz/rdg60cer_sp9020b2")</f>
        <v>https://www.klasekpyrotechnics.cz/rdg60cer_sp9020b2</v>
      </c>
      <c r="AA122" s="716" t="str">
        <f>IFERROR(IF(VLOOKUP(C122,[4]List1!$A:$D,4,FALSE)=0,"",VLOOKUP(C122,[4]List1!$A:$D,4,FALSE)),"")</f>
        <v>36</v>
      </c>
      <c r="AB122" s="720"/>
      <c r="AC122" s="747" t="str">
        <f>IFERROR(IF(VLOOKUP(C122,[1]List1!$A:$D,2,FALSE)="VYPRODÁNO",$V$9,IF(VLOOKUP(C122,[1]List1!$A:$D,2,FALSE)="DOCHÁZÍ",$V$3,VLOOKUP(C122,[1]List1!$A:$D,2,FALSE))),"OFFLINE!")</f>
        <v>DOCHÁZÍ</v>
      </c>
      <c r="AD122" s="748" t="str">
        <f ca="1">IF(AP122="NE",$V$10,IF(AC122=$V$3,IF(AQ122&lt;1,$V$8,$V$2&amp;" "&amp;AQ122&amp;" "&amp;$V$1),IF(AC122="SKLADEM",$V$6,IFERROR(IF(OR(AC122-TODAY()&gt;45,VLOOKUP(C122,[1]List1!$A:$E,4,FALSE)=0),AC122,DAY(AC122)&amp;"."&amp;MONTH(AC122)&amp;"."&amp;YEAR(AC122)&amp;" "&amp;$V$4&amp;VLOOKUP(C122,[1]List1!$A:$E,4,FALSE)&amp;" "&amp;$V$1),AC122))))</f>
        <v>POSLEDNÍCH 5 VK</v>
      </c>
      <c r="AE122" s="716" t="str">
        <f t="shared" ca="1" si="173"/>
        <v>POSLEDNÍCH 5 VK</v>
      </c>
      <c r="AF122" s="723">
        <f t="shared" si="174"/>
        <v>0</v>
      </c>
      <c r="AG122" s="723">
        <f t="shared" si="175"/>
        <v>0</v>
      </c>
      <c r="AH122" s="724">
        <f t="shared" si="176"/>
        <v>0</v>
      </c>
      <c r="AI122" s="716">
        <f t="shared" si="177"/>
        <v>0</v>
      </c>
      <c r="AJ122" s="716">
        <f t="shared" si="178"/>
        <v>0</v>
      </c>
      <c r="AK122" s="716" t="str">
        <f t="shared" si="179"/>
        <v/>
      </c>
      <c r="AL122" s="716" t="str">
        <f t="shared" si="180"/>
        <v/>
      </c>
      <c r="AM122" s="716">
        <f t="shared" si="181"/>
        <v>0</v>
      </c>
      <c r="AN122" s="716">
        <f t="shared" si="182"/>
        <v>0</v>
      </c>
      <c r="AO122" s="380"/>
      <c r="AP122" s="322" t="str">
        <f t="shared" si="133"/>
        <v/>
      </c>
      <c r="AQ122" s="323">
        <f>IF(AC122=$V$3,IF(VLOOKUP(C122,[1]List1!$A:$E,5,FALSE)=0,1,VLOOKUP(C122,[1]List1!$A:$E,5,FALSE)),"")</f>
        <v>5</v>
      </c>
      <c r="AR122" s="304" t="str">
        <f t="shared" si="134"/>
        <v/>
      </c>
      <c r="AS122" s="423" t="str">
        <f t="shared" si="135"/>
        <v/>
      </c>
      <c r="AT122" s="304" t="str">
        <f t="shared" si="136"/>
        <v/>
      </c>
      <c r="AU122" s="342" t="e">
        <f t="shared" si="137"/>
        <v>#N/A</v>
      </c>
      <c r="AV122" s="304" t="e">
        <f t="shared" si="138"/>
        <v>#N/A</v>
      </c>
      <c r="AX122" s="304">
        <f>IF(AND('General price list'!$J122="F4",'General price list'!$AB122+0&gt;0),1,0)</f>
        <v>0</v>
      </c>
      <c r="AY122" s="304">
        <f t="shared" si="139"/>
        <v>1</v>
      </c>
      <c r="AZ122" s="304">
        <f t="shared" si="140"/>
        <v>0</v>
      </c>
    </row>
    <row r="123" spans="1:52" ht="15" customHeight="1">
      <c r="A123" s="725" t="str">
        <f>Kat.!C123</f>
        <v>×</v>
      </c>
      <c r="B123" s="749">
        <f>IF(AND('General price list'!$J123="F4",$AI$1=FALSE),0,IF(AC123="SKLADEM",1,IF(AC123=$V$3,1,0)))</f>
        <v>1</v>
      </c>
      <c r="C123" s="727" t="s">
        <v>12362</v>
      </c>
      <c r="D123" s="728" t="s">
        <v>14529</v>
      </c>
      <c r="E123" s="729" t="s">
        <v>307</v>
      </c>
      <c r="F123" s="725">
        <f>IFERROR(ROUND(IF($AL$3=2,VLOOKUP(C123,[2]List1!$A:$D,2,FALSE)*1.08,VLOOKUP(C123,[2]List1!$A:$D,2,FALSE)),0),"NEUVEDENO!")</f>
        <v>420</v>
      </c>
      <c r="G123" s="730">
        <f t="shared" si="169"/>
        <v>420</v>
      </c>
      <c r="H123" s="731">
        <f t="shared" si="170"/>
        <v>17.066996086781611</v>
      </c>
      <c r="I123" s="750">
        <v>20</v>
      </c>
      <c r="J123" s="729" t="s">
        <v>257</v>
      </c>
      <c r="K123" s="729"/>
      <c r="L123" s="729" t="s">
        <v>24</v>
      </c>
      <c r="M123" s="729" t="s">
        <v>25</v>
      </c>
      <c r="N123" s="729">
        <f>IFERROR(VLOOKUP(C123,[3]List1!$A:$D,4,FALSE),"N/A!")</f>
        <v>3.1850000000000003E-2</v>
      </c>
      <c r="O123" s="729">
        <f>IFERROR(VLOOKUP(C123,[3]List1!$A:$D,3,FALSE),"N/A!")</f>
        <v>4500</v>
      </c>
      <c r="P123" s="729">
        <f>IFERROR(VLOOKUP(C123,[3]List1!$A:$D,2,FALSE),"N/A!")</f>
        <v>14500</v>
      </c>
      <c r="Q123" s="729" t="s">
        <v>12729</v>
      </c>
      <c r="R123" s="729" t="s">
        <v>24</v>
      </c>
      <c r="S123" s="729"/>
      <c r="T123" s="729">
        <v>25</v>
      </c>
      <c r="U123" s="729"/>
      <c r="V123" s="729"/>
      <c r="W123" s="729" t="str">
        <f>IFERROR(VLOOKUP('General price list'!$C123,Popisy!A:P,MATCH($W$17,Popisy!$A$7:$P$7,0),FALSE),"---------------")</f>
        <v>dýmovnice(tuba dýmící ze dvou stran) s trhací pojistkou-bílá barva</v>
      </c>
      <c r="X123" s="729" t="str">
        <f t="shared" si="171"/>
        <v/>
      </c>
      <c r="Y123" s="729" t="str">
        <f t="shared" si="172"/>
        <v/>
      </c>
      <c r="Z123" s="729" t="str">
        <f>HYPERLINK("https://www.klasekpyrotechnics.cz/rdg25b_sp9036w")</f>
        <v>https://www.klasekpyrotechnics.cz/rdg25b_sp9036w</v>
      </c>
      <c r="AA123" s="729" t="str">
        <f>IFERROR(IF(VLOOKUP(C123,[4]List1!$A:$D,4,FALSE)=0,"",VLOOKUP(C123,[4]List1!$A:$D,4,FALSE)),"")</f>
        <v>45</v>
      </c>
      <c r="AB123" s="720"/>
      <c r="AC123" s="751" t="str">
        <f>IFERROR(IF(VLOOKUP(C123,[1]List1!$A:$D,2,FALSE)="VYPRODÁNO",$V$9,IF(VLOOKUP(C123,[1]List1!$A:$D,2,FALSE)="DOCHÁZÍ",$V$3,VLOOKUP(C123,[1]List1!$A:$D,2,FALSE))),"OFFLINE!")</f>
        <v>DOCHÁZÍ</v>
      </c>
      <c r="AD123" s="752" t="str">
        <f ca="1">IF(AP123="NE",$V$10,IF(AC123=$V$3,IF(AQ123&lt;1,$V$8,$V$2&amp;" "&amp;AQ123&amp;" "&amp;$V$1),IF(AC123="SKLADEM",$V$6,IFERROR(IF(OR(AC123-TODAY()&gt;45,VLOOKUP(C123,[1]List1!$A:$E,4,FALSE)=0),AC123,DAY(AC123)&amp;"."&amp;MONTH(AC123)&amp;"."&amp;YEAR(AC123)&amp;" "&amp;$V$4&amp;VLOOKUP(C123,[1]List1!$A:$E,4,FALSE)&amp;" "&amp;$V$1),AC123))))</f>
        <v>POSLEDNÍCH 8 VK</v>
      </c>
      <c r="AE123" s="729" t="str">
        <f t="shared" ca="1" si="173"/>
        <v>POSLEDNÍCH 8 VK</v>
      </c>
      <c r="AF123" s="735">
        <f t="shared" si="174"/>
        <v>0</v>
      </c>
      <c r="AG123" s="735">
        <f t="shared" si="175"/>
        <v>0</v>
      </c>
      <c r="AH123" s="736">
        <f t="shared" si="176"/>
        <v>0</v>
      </c>
      <c r="AI123" s="729">
        <f t="shared" si="177"/>
        <v>0</v>
      </c>
      <c r="AJ123" s="729">
        <f t="shared" si="178"/>
        <v>0</v>
      </c>
      <c r="AK123" s="729" t="str">
        <f t="shared" si="179"/>
        <v/>
      </c>
      <c r="AL123" s="729" t="str">
        <f t="shared" si="180"/>
        <v/>
      </c>
      <c r="AM123" s="729">
        <f t="shared" si="181"/>
        <v>0</v>
      </c>
      <c r="AN123" s="729">
        <f t="shared" si="182"/>
        <v>0</v>
      </c>
      <c r="AO123" s="380"/>
      <c r="AP123" s="322" t="str">
        <f t="shared" si="133"/>
        <v/>
      </c>
      <c r="AQ123" s="323">
        <f>IF(AC123=$V$3,IF(VLOOKUP(C123,[1]List1!$A:$E,5,FALSE)=0,1,VLOOKUP(C123,[1]List1!$A:$E,5,FALSE)),"")</f>
        <v>8</v>
      </c>
      <c r="AR123" s="304" t="str">
        <f t="shared" si="134"/>
        <v/>
      </c>
      <c r="AS123" s="423" t="str">
        <f t="shared" si="135"/>
        <v/>
      </c>
      <c r="AT123" s="304" t="str">
        <f t="shared" si="136"/>
        <v/>
      </c>
      <c r="AU123" s="342" t="e">
        <f t="shared" si="137"/>
        <v>#N/A</v>
      </c>
      <c r="AV123" s="304" t="e">
        <f t="shared" si="138"/>
        <v>#N/A</v>
      </c>
      <c r="AX123" s="304">
        <f>IF(AND('General price list'!$J123="F4",'General price list'!$AB123+0&gt;0),1,0)</f>
        <v>0</v>
      </c>
      <c r="AY123" s="304">
        <f t="shared" si="139"/>
        <v>1</v>
      </c>
      <c r="AZ123" s="304">
        <f t="shared" si="140"/>
        <v>0</v>
      </c>
    </row>
    <row r="124" spans="1:52" ht="15" customHeight="1">
      <c r="A124" s="712" t="str">
        <f>Kat.!C124</f>
        <v>×</v>
      </c>
      <c r="B124" s="745">
        <f>IF(AND('General price list'!$J124="F4",$AI$1=FALSE),0,IF(AC124="SKLADEM",1,IF(AC124=$V$3,1,0)))</f>
        <v>1</v>
      </c>
      <c r="C124" s="714" t="s">
        <v>12365</v>
      </c>
      <c r="D124" s="715" t="s">
        <v>14530</v>
      </c>
      <c r="E124" s="716" t="s">
        <v>307</v>
      </c>
      <c r="F124" s="712">
        <f>IFERROR(ROUND(IF($AL$3=2,VLOOKUP(C124,[2]List1!$A:$D,2,FALSE)*1.08,VLOOKUP(C124,[2]List1!$A:$D,2,FALSE)),0),"NEUVEDENO!")</f>
        <v>420</v>
      </c>
      <c r="G124" s="717">
        <f t="shared" si="169"/>
        <v>420</v>
      </c>
      <c r="H124" s="718">
        <f t="shared" si="170"/>
        <v>17.066996086781611</v>
      </c>
      <c r="I124" s="746">
        <v>20</v>
      </c>
      <c r="J124" s="716" t="s">
        <v>257</v>
      </c>
      <c r="K124" s="716"/>
      <c r="L124" s="716" t="s">
        <v>24</v>
      </c>
      <c r="M124" s="716" t="s">
        <v>25</v>
      </c>
      <c r="N124" s="716">
        <f>IFERROR(VLOOKUP(C124,[3]List1!$A:$D,4,FALSE),"N/A!")</f>
        <v>3.1850000000000003E-2</v>
      </c>
      <c r="O124" s="716">
        <f>IFERROR(VLOOKUP(C124,[3]List1!$A:$D,3,FALSE),"N/A!")</f>
        <v>4500</v>
      </c>
      <c r="P124" s="716">
        <f>IFERROR(VLOOKUP(C124,[3]List1!$A:$D,2,FALSE),"N/A!")</f>
        <v>16000</v>
      </c>
      <c r="Q124" s="716" t="s">
        <v>12729</v>
      </c>
      <c r="R124" s="716" t="s">
        <v>24</v>
      </c>
      <c r="S124" s="716"/>
      <c r="T124" s="716">
        <v>25</v>
      </c>
      <c r="U124" s="716"/>
      <c r="V124" s="716"/>
      <c r="W124" s="716" t="str">
        <f>IFERROR(VLOOKUP('General price list'!$C124,Popisy!A:P,MATCH($W$17,Popisy!$A$7:$P$7,0),FALSE),"---------------")</f>
        <v>dýmovnice(tuba dýmící ze dvou stran) s trhací pojistkou-žlutá barva</v>
      </c>
      <c r="X124" s="716" t="str">
        <f t="shared" si="171"/>
        <v/>
      </c>
      <c r="Y124" s="716" t="str">
        <f t="shared" si="172"/>
        <v/>
      </c>
      <c r="Z124" s="716" t="str">
        <f>HYPERLINK("https://www.klasekpyrotechnics.cz/rdg25zl_sp9036y")</f>
        <v>https://www.klasekpyrotechnics.cz/rdg25zl_sp9036y</v>
      </c>
      <c r="AA124" s="716" t="str">
        <f>IFERROR(IF(VLOOKUP(C124,[4]List1!$A:$D,4,FALSE)=0,"",VLOOKUP(C124,[4]List1!$A:$D,4,FALSE)),"")</f>
        <v>45</v>
      </c>
      <c r="AB124" s="720"/>
      <c r="AC124" s="747" t="str">
        <f>IFERROR(IF(VLOOKUP(C124,[1]List1!$A:$D,2,FALSE)="VYPRODÁNO",$V$9,IF(VLOOKUP(C124,[1]List1!$A:$D,2,FALSE)="DOCHÁZÍ",$V$3,VLOOKUP(C124,[1]List1!$A:$D,2,FALSE))),"OFFLINE!")</f>
        <v>DOCHÁZÍ</v>
      </c>
      <c r="AD124" s="748" t="str">
        <f ca="1">IF(AP124="NE",$V$10,IF(AC124=$V$3,IF(AQ124&lt;1,$V$8,$V$2&amp;" "&amp;AQ124&amp;" "&amp;$V$1),IF(AC124="SKLADEM",$V$6,IFERROR(IF(OR(AC124-TODAY()&gt;45,VLOOKUP(C124,[1]List1!$A:$E,4,FALSE)=0),AC124,DAY(AC124)&amp;"."&amp;MONTH(AC124)&amp;"."&amp;YEAR(AC124)&amp;" "&amp;$V$4&amp;VLOOKUP(C124,[1]List1!$A:$E,4,FALSE)&amp;" "&amp;$V$1),AC124))))</f>
        <v>POSLEDNÍCH 9 VK</v>
      </c>
      <c r="AE124" s="716" t="str">
        <f t="shared" ca="1" si="173"/>
        <v>POSLEDNÍCH 9 VK</v>
      </c>
      <c r="AF124" s="723">
        <f t="shared" si="174"/>
        <v>0</v>
      </c>
      <c r="AG124" s="723">
        <f t="shared" si="175"/>
        <v>0</v>
      </c>
      <c r="AH124" s="724">
        <f t="shared" si="176"/>
        <v>0</v>
      </c>
      <c r="AI124" s="716">
        <f t="shared" si="177"/>
        <v>0</v>
      </c>
      <c r="AJ124" s="716">
        <f t="shared" si="178"/>
        <v>0</v>
      </c>
      <c r="AK124" s="716" t="str">
        <f t="shared" si="179"/>
        <v/>
      </c>
      <c r="AL124" s="716" t="str">
        <f t="shared" si="180"/>
        <v/>
      </c>
      <c r="AM124" s="716">
        <f t="shared" si="181"/>
        <v>0</v>
      </c>
      <c r="AN124" s="716">
        <f t="shared" si="182"/>
        <v>0</v>
      </c>
      <c r="AO124" s="380"/>
      <c r="AP124" s="322" t="str">
        <f t="shared" si="133"/>
        <v/>
      </c>
      <c r="AQ124" s="304">
        <f>IF(AC124=$V$3,IF(VLOOKUP(C124,[1]List1!$A:$E,5,FALSE)=0,1,VLOOKUP(C124,[1]List1!$A:$E,5,FALSE)),"")</f>
        <v>9</v>
      </c>
      <c r="AR124" s="304" t="str">
        <f t="shared" si="134"/>
        <v/>
      </c>
      <c r="AS124" s="423" t="str">
        <f t="shared" si="135"/>
        <v/>
      </c>
      <c r="AT124" s="304" t="str">
        <f t="shared" si="136"/>
        <v/>
      </c>
      <c r="AU124" s="342" t="e">
        <f t="shared" si="137"/>
        <v>#N/A</v>
      </c>
      <c r="AV124" s="304" t="e">
        <f t="shared" si="138"/>
        <v>#N/A</v>
      </c>
      <c r="AX124" s="304">
        <f>IF(AND('General price list'!$J124="F4",'General price list'!$AB124+0&gt;0),1,0)</f>
        <v>0</v>
      </c>
      <c r="AY124" s="304">
        <f t="shared" si="139"/>
        <v>1</v>
      </c>
      <c r="AZ124" s="304">
        <f t="shared" si="140"/>
        <v>0</v>
      </c>
    </row>
    <row r="125" spans="1:52" ht="15" customHeight="1">
      <c r="A125" s="725" t="str">
        <f>Kat.!C125</f>
        <v>×</v>
      </c>
      <c r="B125" s="749">
        <f>IF(AND('General price list'!$J125="F4",$AI$1=FALSE),0,IF(AC125="SKLADEM",1,IF(AC125=$V$3,1,0)))</f>
        <v>1</v>
      </c>
      <c r="C125" s="727" t="s">
        <v>12366</v>
      </c>
      <c r="D125" s="728" t="s">
        <v>14531</v>
      </c>
      <c r="E125" s="729" t="s">
        <v>307</v>
      </c>
      <c r="F125" s="725">
        <f>IFERROR(ROUND(IF($AL$3=2,VLOOKUP(C125,[2]List1!$A:$D,2,FALSE)*1.08,VLOOKUP(C125,[2]List1!$A:$D,2,FALSE)),0),"NEUVEDENO!")</f>
        <v>420</v>
      </c>
      <c r="G125" s="730">
        <f t="shared" si="169"/>
        <v>420</v>
      </c>
      <c r="H125" s="731">
        <f t="shared" si="170"/>
        <v>17.066996086781611</v>
      </c>
      <c r="I125" s="750">
        <v>20</v>
      </c>
      <c r="J125" s="729" t="s">
        <v>257</v>
      </c>
      <c r="K125" s="729"/>
      <c r="L125" s="729" t="s">
        <v>24</v>
      </c>
      <c r="M125" s="729" t="s">
        <v>25</v>
      </c>
      <c r="N125" s="729">
        <f>IFERROR(VLOOKUP(C125,[3]List1!$A:$D,4,FALSE),"N/A!")</f>
        <v>3.1850000000000003E-2</v>
      </c>
      <c r="O125" s="729">
        <f>IFERROR(VLOOKUP(C125,[3]List1!$A:$D,3,FALSE),"N/A!")</f>
        <v>4500</v>
      </c>
      <c r="P125" s="729">
        <f>IFERROR(VLOOKUP(C125,[3]List1!$A:$D,2,FALSE),"N/A!")</f>
        <v>15000</v>
      </c>
      <c r="Q125" s="729" t="s">
        <v>12729</v>
      </c>
      <c r="R125" s="729" t="s">
        <v>24</v>
      </c>
      <c r="S125" s="729"/>
      <c r="T125" s="729">
        <v>25</v>
      </c>
      <c r="U125" s="729"/>
      <c r="V125" s="729"/>
      <c r="W125" s="729" t="str">
        <f>IFERROR(VLOOKUP('General price list'!$C125,Popisy!A:P,MATCH($W$17,Popisy!$A$7:$P$7,0),FALSE),"---------------")</f>
        <v>dýmovnice(tuba dýmící ze dvou stran) s trhací pojistkou-zelená barva</v>
      </c>
      <c r="X125" s="729" t="str">
        <f t="shared" si="171"/>
        <v/>
      </c>
      <c r="Y125" s="729" t="str">
        <f t="shared" si="172"/>
        <v/>
      </c>
      <c r="Z125" s="729" t="str">
        <f>HYPERLINK("https://www.klasekpyrotechnics.cz/rdg25ze_sp9036g")</f>
        <v>https://www.klasekpyrotechnics.cz/rdg25ze_sp9036g</v>
      </c>
      <c r="AA125" s="729" t="str">
        <f>IFERROR(IF(VLOOKUP(C125,[4]List1!$A:$D,4,FALSE)=0,"",VLOOKUP(C125,[4]List1!$A:$D,4,FALSE)),"")</f>
        <v>45</v>
      </c>
      <c r="AB125" s="720"/>
      <c r="AC125" s="751" t="str">
        <f>IFERROR(IF(VLOOKUP(C125,[1]List1!$A:$D,2,FALSE)="VYPRODÁNO",$V$9,IF(VLOOKUP(C125,[1]List1!$A:$D,2,FALSE)="DOCHÁZÍ",$V$3,VLOOKUP(C125,[1]List1!$A:$D,2,FALSE))),"OFFLINE!")</f>
        <v>DOCHÁZÍ</v>
      </c>
      <c r="AD125" s="752" t="str">
        <f ca="1">IF(AP125="NE",$V$10,IF(AC125=$V$3,IF(AQ125&lt;1,$V$8,$V$2&amp;" "&amp;AQ125&amp;" "&amp;$V$1),IF(AC125="SKLADEM",$V$6,IFERROR(IF(OR(AC125-TODAY()&gt;45,VLOOKUP(C125,[1]List1!$A:$E,4,FALSE)=0),AC125,DAY(AC125)&amp;"."&amp;MONTH(AC125)&amp;"."&amp;YEAR(AC125)&amp;" "&amp;$V$4&amp;VLOOKUP(C125,[1]List1!$A:$E,4,FALSE)&amp;" "&amp;$V$1),AC125))))</f>
        <v>POSLEDNÍCH 8 VK</v>
      </c>
      <c r="AE125" s="729" t="str">
        <f t="shared" ca="1" si="173"/>
        <v>POSLEDNÍCH 8 VK</v>
      </c>
      <c r="AF125" s="735">
        <f t="shared" si="174"/>
        <v>0</v>
      </c>
      <c r="AG125" s="735">
        <f t="shared" si="175"/>
        <v>0</v>
      </c>
      <c r="AH125" s="736">
        <f t="shared" si="176"/>
        <v>0</v>
      </c>
      <c r="AI125" s="729">
        <f t="shared" si="177"/>
        <v>0</v>
      </c>
      <c r="AJ125" s="729">
        <f t="shared" si="178"/>
        <v>0</v>
      </c>
      <c r="AK125" s="729" t="str">
        <f t="shared" si="179"/>
        <v/>
      </c>
      <c r="AL125" s="729" t="str">
        <f t="shared" si="180"/>
        <v/>
      </c>
      <c r="AM125" s="729">
        <f t="shared" si="181"/>
        <v>0</v>
      </c>
      <c r="AN125" s="729">
        <f t="shared" si="182"/>
        <v>0</v>
      </c>
      <c r="AO125" s="380"/>
      <c r="AP125" s="322" t="str">
        <f t="shared" si="133"/>
        <v/>
      </c>
      <c r="AQ125" s="323">
        <f>IF(AC125=$V$3,IF(VLOOKUP(C125,[1]List1!$A:$E,5,FALSE)=0,1,VLOOKUP(C125,[1]List1!$A:$E,5,FALSE)),"")</f>
        <v>8</v>
      </c>
      <c r="AR125" s="304" t="str">
        <f t="shared" si="134"/>
        <v/>
      </c>
      <c r="AS125" s="423" t="str">
        <f t="shared" si="135"/>
        <v/>
      </c>
      <c r="AT125" s="304" t="str">
        <f t="shared" si="136"/>
        <v/>
      </c>
      <c r="AU125" s="342" t="e">
        <f t="shared" si="137"/>
        <v>#N/A</v>
      </c>
      <c r="AV125" s="304" t="e">
        <f t="shared" si="138"/>
        <v>#N/A</v>
      </c>
      <c r="AX125" s="304">
        <f>IF(AND('General price list'!$J125="F4",'General price list'!$AB125+0&gt;0),1,0)</f>
        <v>0</v>
      </c>
      <c r="AY125" s="304">
        <f t="shared" si="139"/>
        <v>1</v>
      </c>
      <c r="AZ125" s="304">
        <f t="shared" si="140"/>
        <v>0</v>
      </c>
    </row>
    <row r="126" spans="1:52" ht="15" customHeight="1">
      <c r="A126" s="712" t="str">
        <f>Kat.!C126</f>
        <v>×</v>
      </c>
      <c r="B126" s="745">
        <f>IF(AND('General price list'!$J126="F4",$AI$1=FALSE),0,IF(AC126="SKLADEM",1,IF(AC126=$V$3,1,0)))</f>
        <v>1</v>
      </c>
      <c r="C126" s="714" t="s">
        <v>12367</v>
      </c>
      <c r="D126" s="715" t="s">
        <v>14532</v>
      </c>
      <c r="E126" s="716" t="s">
        <v>307</v>
      </c>
      <c r="F126" s="712">
        <f>IFERROR(ROUND(IF($AL$3=2,VLOOKUP(C126,[2]List1!$A:$D,2,FALSE)*1.08,VLOOKUP(C126,[2]List1!$A:$D,2,FALSE)),0),"NEUVEDENO!")</f>
        <v>420</v>
      </c>
      <c r="G126" s="717">
        <f t="shared" si="169"/>
        <v>420</v>
      </c>
      <c r="H126" s="718">
        <f t="shared" si="170"/>
        <v>17.066996086781611</v>
      </c>
      <c r="I126" s="746">
        <v>20</v>
      </c>
      <c r="J126" s="716" t="s">
        <v>257</v>
      </c>
      <c r="K126" s="716"/>
      <c r="L126" s="716" t="s">
        <v>24</v>
      </c>
      <c r="M126" s="716" t="s">
        <v>25</v>
      </c>
      <c r="N126" s="716">
        <f>IFERROR(VLOOKUP(C126,[3]List1!$A:$D,4,FALSE),"N/A!")</f>
        <v>3.1850000000000003E-2</v>
      </c>
      <c r="O126" s="716">
        <f>IFERROR(VLOOKUP(C126,[3]List1!$A:$D,3,FALSE),"N/A!")</f>
        <v>4500</v>
      </c>
      <c r="P126" s="716">
        <f>IFERROR(VLOOKUP(C126,[3]List1!$A:$D,2,FALSE),"N/A!")</f>
        <v>16500</v>
      </c>
      <c r="Q126" s="716" t="s">
        <v>12729</v>
      </c>
      <c r="R126" s="716" t="s">
        <v>24</v>
      </c>
      <c r="S126" s="716"/>
      <c r="T126" s="716">
        <v>25</v>
      </c>
      <c r="U126" s="716"/>
      <c r="V126" s="716"/>
      <c r="W126" s="716" t="str">
        <f>IFERROR(VLOOKUP('General price list'!$C126,Popisy!A:P,MATCH($W$17,Popisy!$A$7:$P$7,0),FALSE),"---------------")</f>
        <v>dýmovnice(tuba dýmící ze dvou stran) s trhací pojistkou-oranžová barva</v>
      </c>
      <c r="X126" s="716" t="str">
        <f t="shared" si="171"/>
        <v/>
      </c>
      <c r="Y126" s="716" t="str">
        <f t="shared" si="172"/>
        <v/>
      </c>
      <c r="Z126" s="716" t="str">
        <f>HYPERLINK("https://www.klasekpyrotechnics.cz/rdg25o_sp9036o")</f>
        <v>https://www.klasekpyrotechnics.cz/rdg25o_sp9036o</v>
      </c>
      <c r="AA126" s="716" t="str">
        <f>IFERROR(IF(VLOOKUP(C126,[4]List1!$A:$D,4,FALSE)=0,"",VLOOKUP(C126,[4]List1!$A:$D,4,FALSE)),"")</f>
        <v>45</v>
      </c>
      <c r="AB126" s="720"/>
      <c r="AC126" s="747" t="str">
        <f>IFERROR(IF(VLOOKUP(C126,[1]List1!$A:$D,2,FALSE)="VYPRODÁNO",$V$9,IF(VLOOKUP(C126,[1]List1!$A:$D,2,FALSE)="DOCHÁZÍ",$V$3,VLOOKUP(C126,[1]List1!$A:$D,2,FALSE))),"OFFLINE!")</f>
        <v>SKLADEM</v>
      </c>
      <c r="AD126" s="748" t="str">
        <f ca="1">IF(AP126="NE",$V$10,IF(AC126=$V$3,IF(AQ126&lt;1,$V$8,$V$2&amp;" "&amp;AQ126&amp;" "&amp;$V$1),IF(AC126="SKLADEM",$V$6,IFERROR(IF(OR(AC126-TODAY()&gt;45,VLOOKUP(C126,[1]List1!$A:$E,4,FALSE)=0),AC126,DAY(AC126)&amp;"."&amp;MONTH(AC126)&amp;"."&amp;YEAR(AC126)&amp;" "&amp;$V$4&amp;VLOOKUP(C126,[1]List1!$A:$E,4,FALSE)&amp;" "&amp;$V$1),AC126))))</f>
        <v>SKLADEM</v>
      </c>
      <c r="AE126" s="716" t="str">
        <f t="shared" ca="1" si="173"/>
        <v>SKLADEM</v>
      </c>
      <c r="AF126" s="723">
        <f t="shared" si="174"/>
        <v>0</v>
      </c>
      <c r="AG126" s="723">
        <f t="shared" si="175"/>
        <v>0</v>
      </c>
      <c r="AH126" s="724">
        <f t="shared" si="176"/>
        <v>0</v>
      </c>
      <c r="AI126" s="716">
        <f t="shared" si="177"/>
        <v>0</v>
      </c>
      <c r="AJ126" s="716">
        <f t="shared" si="178"/>
        <v>0</v>
      </c>
      <c r="AK126" s="716" t="str">
        <f t="shared" si="179"/>
        <v/>
      </c>
      <c r="AL126" s="716" t="str">
        <f t="shared" si="180"/>
        <v/>
      </c>
      <c r="AM126" s="716">
        <f t="shared" si="181"/>
        <v>0</v>
      </c>
      <c r="AN126" s="716">
        <f t="shared" si="182"/>
        <v>0</v>
      </c>
      <c r="AO126" s="380"/>
      <c r="AP126" s="322" t="str">
        <f t="shared" si="133"/>
        <v/>
      </c>
      <c r="AQ126" s="323" t="str">
        <f>IF(AC126=$V$3,IF(VLOOKUP(C126,[1]List1!$A:$E,5,FALSE)=0,1,VLOOKUP(C126,[1]List1!$A:$E,5,FALSE)),"")</f>
        <v/>
      </c>
      <c r="AR126" s="304" t="str">
        <f t="shared" si="134"/>
        <v/>
      </c>
      <c r="AS126" s="423" t="str">
        <f t="shared" si="135"/>
        <v/>
      </c>
      <c r="AT126" s="304" t="str">
        <f t="shared" si="136"/>
        <v/>
      </c>
      <c r="AU126" s="342" t="e">
        <f t="shared" si="137"/>
        <v>#N/A</v>
      </c>
      <c r="AV126" s="304" t="e">
        <f t="shared" si="138"/>
        <v>#N/A</v>
      </c>
      <c r="AX126" s="304">
        <f>IF(AND('General price list'!$J126="F4",'General price list'!$AB126+0&gt;0),1,0)</f>
        <v>0</v>
      </c>
      <c r="AY126" s="304">
        <f t="shared" si="139"/>
        <v>1</v>
      </c>
      <c r="AZ126" s="304">
        <f t="shared" si="140"/>
        <v>0</v>
      </c>
    </row>
    <row r="127" spans="1:52" ht="15" customHeight="1">
      <c r="A127" s="725" t="str">
        <f>Kat.!C127</f>
        <v>×</v>
      </c>
      <c r="B127" s="749">
        <f>IF(AND('General price list'!$J127="F4",$AI$1=FALSE),0,IF(AC127="SKLADEM",1,IF(AC127=$V$3,1,0)))</f>
        <v>1</v>
      </c>
      <c r="C127" s="727" t="s">
        <v>12368</v>
      </c>
      <c r="D127" s="728" t="s">
        <v>14533</v>
      </c>
      <c r="E127" s="729" t="s">
        <v>307</v>
      </c>
      <c r="F127" s="725">
        <f>IFERROR(ROUND(IF($AL$3=2,VLOOKUP(C127,[2]List1!$A:$D,2,FALSE)*1.08,VLOOKUP(C127,[2]List1!$A:$D,2,FALSE)),0),"NEUVEDENO!")</f>
        <v>420</v>
      </c>
      <c r="G127" s="730">
        <f t="shared" si="169"/>
        <v>420</v>
      </c>
      <c r="H127" s="731">
        <f t="shared" si="170"/>
        <v>17.066996086781611</v>
      </c>
      <c r="I127" s="750">
        <v>20</v>
      </c>
      <c r="J127" s="729" t="s">
        <v>257</v>
      </c>
      <c r="K127" s="729"/>
      <c r="L127" s="729" t="s">
        <v>24</v>
      </c>
      <c r="M127" s="729" t="s">
        <v>25</v>
      </c>
      <c r="N127" s="729">
        <f>IFERROR(VLOOKUP(C127,[3]List1!$A:$D,4,FALSE),"N/A!")</f>
        <v>3.1850000000000003E-2</v>
      </c>
      <c r="O127" s="729">
        <f>IFERROR(VLOOKUP(C127,[3]List1!$A:$D,3,FALSE),"N/A!")</f>
        <v>4500</v>
      </c>
      <c r="P127" s="729">
        <f>IFERROR(VLOOKUP(C127,[3]List1!$A:$D,2,FALSE),"N/A!")</f>
        <v>15000</v>
      </c>
      <c r="Q127" s="729" t="s">
        <v>12729</v>
      </c>
      <c r="R127" s="729" t="s">
        <v>24</v>
      </c>
      <c r="S127" s="729"/>
      <c r="T127" s="729">
        <v>25</v>
      </c>
      <c r="U127" s="729"/>
      <c r="V127" s="729"/>
      <c r="W127" s="729" t="str">
        <f>IFERROR(VLOOKUP('General price list'!$C127,Popisy!A:P,MATCH($W$17,Popisy!$A$7:$P$7,0),FALSE),"---------------")</f>
        <v>dýmovnice(tuba dýmící ze dvou stran) s trhací pojistkou-černá barva</v>
      </c>
      <c r="X127" s="729" t="str">
        <f t="shared" si="171"/>
        <v/>
      </c>
      <c r="Y127" s="729" t="str">
        <f t="shared" si="172"/>
        <v/>
      </c>
      <c r="Z127" s="729" t="str">
        <f>HYPERLINK("https://www.klasekpyrotechnics.cz/rdg25cer_sp9036b2")</f>
        <v>https://www.klasekpyrotechnics.cz/rdg25cer_sp9036b2</v>
      </c>
      <c r="AA127" s="729" t="str">
        <f>IFERROR(IF(VLOOKUP(C127,[4]List1!$A:$D,4,FALSE)=0,"",VLOOKUP(C127,[4]List1!$A:$D,4,FALSE)),"")</f>
        <v>45</v>
      </c>
      <c r="AB127" s="720"/>
      <c r="AC127" s="751" t="str">
        <f>IFERROR(IF(VLOOKUP(C127,[1]List1!$A:$D,2,FALSE)="VYPRODÁNO",$V$9,IF(VLOOKUP(C127,[1]List1!$A:$D,2,FALSE)="DOCHÁZÍ",$V$3,VLOOKUP(C127,[1]List1!$A:$D,2,FALSE))),"OFFLINE!")</f>
        <v>DOCHÁZÍ</v>
      </c>
      <c r="AD127" s="752" t="str">
        <f ca="1">IF(AP127="NE",$V$10,IF(AC127=$V$3,IF(AQ127&lt;1,$V$8,$V$2&amp;" "&amp;AQ127&amp;" "&amp;$V$1),IF(AC127="SKLADEM",$V$6,IFERROR(IF(OR(AC127-TODAY()&gt;45,VLOOKUP(C127,[1]List1!$A:$E,4,FALSE)=0),AC127,DAY(AC127)&amp;"."&amp;MONTH(AC127)&amp;"."&amp;YEAR(AC127)&amp;" "&amp;$V$4&amp;VLOOKUP(C127,[1]List1!$A:$E,4,FALSE)&amp;" "&amp;$V$1),AC127))))</f>
        <v>POSLEDNÍCH 7 VK</v>
      </c>
      <c r="AE127" s="729" t="str">
        <f t="shared" ca="1" si="173"/>
        <v>POSLEDNÍCH 7 VK</v>
      </c>
      <c r="AF127" s="735">
        <f t="shared" si="174"/>
        <v>0</v>
      </c>
      <c r="AG127" s="735">
        <f t="shared" si="175"/>
        <v>0</v>
      </c>
      <c r="AH127" s="736">
        <f t="shared" si="176"/>
        <v>0</v>
      </c>
      <c r="AI127" s="729">
        <f t="shared" si="177"/>
        <v>0</v>
      </c>
      <c r="AJ127" s="729">
        <f t="shared" si="178"/>
        <v>0</v>
      </c>
      <c r="AK127" s="729" t="str">
        <f t="shared" si="179"/>
        <v/>
      </c>
      <c r="AL127" s="729" t="str">
        <f t="shared" si="180"/>
        <v/>
      </c>
      <c r="AM127" s="729">
        <f t="shared" si="181"/>
        <v>0</v>
      </c>
      <c r="AN127" s="729">
        <f t="shared" si="182"/>
        <v>0</v>
      </c>
      <c r="AO127" s="380"/>
      <c r="AP127" s="322" t="str">
        <f t="shared" si="133"/>
        <v/>
      </c>
      <c r="AQ127" s="323">
        <f>IF(AC127=$V$3,IF(VLOOKUP(C127,[1]List1!$A:$E,5,FALSE)=0,1,VLOOKUP(C127,[1]List1!$A:$E,5,FALSE)),"")</f>
        <v>7</v>
      </c>
      <c r="AR127" s="304" t="str">
        <f t="shared" si="134"/>
        <v/>
      </c>
      <c r="AS127" s="423" t="str">
        <f t="shared" si="135"/>
        <v/>
      </c>
      <c r="AT127" s="304" t="str">
        <f t="shared" si="136"/>
        <v/>
      </c>
      <c r="AU127" s="342" t="e">
        <f t="shared" si="137"/>
        <v>#N/A</v>
      </c>
      <c r="AV127" s="304" t="e">
        <f t="shared" si="138"/>
        <v>#N/A</v>
      </c>
      <c r="AX127" s="304">
        <f>IF(AND('General price list'!$J127="F4",'General price list'!$AB127+0&gt;0),1,0)</f>
        <v>0</v>
      </c>
      <c r="AY127" s="304">
        <f t="shared" si="139"/>
        <v>1</v>
      </c>
      <c r="AZ127" s="304">
        <f t="shared" si="140"/>
        <v>0</v>
      </c>
    </row>
    <row r="128" spans="1:52" ht="15" customHeight="1">
      <c r="A128" s="773" t="str">
        <f>Kat.!C128</f>
        <v xml:space="preserve">                                                               Dýmovnice škrtací</v>
      </c>
      <c r="B128" s="774"/>
      <c r="C128" s="774"/>
      <c r="D128" s="774"/>
      <c r="E128" s="774"/>
      <c r="F128" s="774"/>
      <c r="G128" s="774"/>
      <c r="H128" s="774"/>
      <c r="I128" s="774"/>
      <c r="J128" s="774"/>
      <c r="K128" s="774"/>
      <c r="L128" s="774"/>
      <c r="M128" s="774"/>
      <c r="N128" s="774"/>
      <c r="O128" s="774"/>
      <c r="P128" s="774"/>
      <c r="Q128" s="774"/>
      <c r="R128" s="774"/>
      <c r="S128" s="774"/>
      <c r="T128" s="774"/>
      <c r="U128" s="774"/>
      <c r="V128" s="774"/>
      <c r="W128" s="774"/>
      <c r="X128" s="774"/>
      <c r="Y128" s="774"/>
      <c r="Z128" s="774"/>
      <c r="AA128" s="774" t="str">
        <f>IFERROR(IF(VLOOKUP(C128,[4]List1!$A:$D,4,FALSE)=0,"",VLOOKUP(C128,[4]List1!$A:$D,4,FALSE)),"")</f>
        <v/>
      </c>
      <c r="AB128" s="774"/>
      <c r="AC128" s="775" t="str">
        <f>IFERROR(IF(VLOOKUP(C128,[1]List1!$A:$D,2,FALSE)="VYPRODÁNO",$V$9,IF(VLOOKUP(C128,[1]List1!$A:$D,2,FALSE)="DOCHÁZÍ",$V$3,VLOOKUP(C128,[1]List1!$A:$D,2,FALSE))),"OFFLINE!")</f>
        <v>OFFLINE!</v>
      </c>
      <c r="AD128" s="774"/>
      <c r="AE128" s="774"/>
      <c r="AF128" s="774"/>
      <c r="AG128" s="774"/>
      <c r="AH128" s="774"/>
      <c r="AI128" s="774"/>
      <c r="AJ128" s="774"/>
      <c r="AK128" s="774"/>
      <c r="AL128" s="774"/>
      <c r="AM128" s="774"/>
      <c r="AN128" s="774"/>
      <c r="AO128" s="380"/>
      <c r="AP128" s="322" t="str">
        <f t="shared" si="133"/>
        <v/>
      </c>
      <c r="AQ128" s="323" t="str">
        <f>IF(AC128=$V$3,IF(VLOOKUP(C128,[1]List1!$A:$E,5,FALSE)=0,1,VLOOKUP(C128,[1]List1!$A:$E,5,FALSE)),"")</f>
        <v/>
      </c>
      <c r="AR128" s="304" t="str">
        <f t="shared" si="134"/>
        <v/>
      </c>
      <c r="AS128" s="423" t="str">
        <f t="shared" si="135"/>
        <v/>
      </c>
      <c r="AT128" s="304" t="str">
        <f t="shared" si="136"/>
        <v/>
      </c>
      <c r="AU128" s="342" t="e">
        <f t="shared" si="137"/>
        <v>#N/A</v>
      </c>
      <c r="AV128" s="304" t="e">
        <f t="shared" si="138"/>
        <v>#N/A</v>
      </c>
      <c r="AX128" s="304">
        <f>IF(AND('General price list'!$J128="F4",'General price list'!$AB128+0&gt;0),1,0)</f>
        <v>0</v>
      </c>
      <c r="AY128" s="304">
        <f t="shared" si="139"/>
        <v>0</v>
      </c>
      <c r="AZ128" s="304">
        <f t="shared" si="140"/>
        <v>0</v>
      </c>
    </row>
    <row r="129" spans="1:52" ht="15" customHeight="1">
      <c r="A129" s="725" t="str">
        <f>Kat.!C129</f>
        <v>×</v>
      </c>
      <c r="B129" s="741">
        <f>IF(AND('General price list'!$J129="F4",$AI$1=FALSE),0,IF(AC129="SKLADEM",1,IF(AC129=$V$3,1,0)))</f>
        <v>1</v>
      </c>
      <c r="C129" s="727" t="s">
        <v>3635</v>
      </c>
      <c r="D129" s="728" t="s">
        <v>3636</v>
      </c>
      <c r="E129" s="729" t="s">
        <v>307</v>
      </c>
      <c r="F129" s="725">
        <f>IFERROR(ROUND(IF($AL$3=2,VLOOKUP(C129,[2]List1!$A:$D,2,FALSE)*1.08,VLOOKUP(C129,[2]List1!$A:$D,2,FALSE)),0),"NEUVEDENO!")</f>
        <v>290</v>
      </c>
      <c r="G129" s="730">
        <f t="shared" ref="G129:G136" si="183">(F129)*$B$19</f>
        <v>290</v>
      </c>
      <c r="H129" s="731">
        <f t="shared" ref="H129:H136" si="184">G129/$F$19</f>
        <v>11.784354440873019</v>
      </c>
      <c r="I129" s="742">
        <v>20</v>
      </c>
      <c r="J129" s="729" t="s">
        <v>240</v>
      </c>
      <c r="K129" s="729"/>
      <c r="L129" s="729" t="s">
        <v>14363</v>
      </c>
      <c r="M129" s="729" t="s">
        <v>25</v>
      </c>
      <c r="N129" s="729">
        <f>IFERROR(VLOOKUP(C129,[3]List1!$A:$D,4,FALSE),"N/A!")</f>
        <v>3.6141499999999993E-2</v>
      </c>
      <c r="O129" s="729">
        <f>IFERROR(VLOOKUP(C129,[3]List1!$A:$D,3,FALSE),"N/A!")</f>
        <v>2500</v>
      </c>
      <c r="P129" s="729">
        <f>IFERROR(VLOOKUP(C129,[3]List1!$A:$D,2,FALSE),"N/A!")</f>
        <v>12000</v>
      </c>
      <c r="Q129" s="729" t="s">
        <v>14101</v>
      </c>
      <c r="R129" s="729" t="s">
        <v>24</v>
      </c>
      <c r="S129" s="729"/>
      <c r="T129" s="729">
        <v>60</v>
      </c>
      <c r="U129" s="729"/>
      <c r="V129" s="729"/>
      <c r="W129" s="729" t="str">
        <f>IFERROR(VLOOKUP('General price list'!$C129,Popisy!A:P,MATCH($W$17,Popisy!$A$7:$P$7,0),FALSE),"---------------")</f>
        <v>dýmovnice škrtací-bílá barva</v>
      </c>
      <c r="X129" s="729" t="str">
        <f t="shared" ref="X129:X136" si="185">IF(AB129&lt;0.0001,"",AB129)</f>
        <v/>
      </c>
      <c r="Y129" s="729" t="str">
        <f t="shared" ref="Y129:Y136" si="186">IF($AL$3=2,IF(OR(AB129&lt;&gt;"",AB129&lt;&gt;0),AU129,""),IF(C129="","",IF(AB129&lt;0.0001,"",IF(B129=0,"",IF(AQ129&lt;AB129,"",AB129)))))</f>
        <v/>
      </c>
      <c r="Z129" s="729" t="str">
        <f>HYPERLINK("https://www.klasekpyrotechnics.cz/rdg60b_sh")</f>
        <v>https://www.klasekpyrotechnics.cz/rdg60b_sh</v>
      </c>
      <c r="AA129" s="729">
        <f>IFERROR(IF(VLOOKUP(C129,[4]List1!$A:$D,4,FALSE)=0,"",VLOOKUP(C129,[4]List1!$A:$D,4,FALSE)),"")</f>
        <v>28</v>
      </c>
      <c r="AB129" s="720"/>
      <c r="AC129" s="743" t="str">
        <f>IFERROR(IF(VLOOKUP(C129,[1]List1!$A:$D,2,FALSE)="VYPRODÁNO",$V$9,IF(VLOOKUP(C129,[1]List1!$A:$D,2,FALSE)="DOCHÁZÍ",$V$3,VLOOKUP(C129,[1]List1!$A:$D,2,FALSE))),"OFFLINE!")</f>
        <v>SKLADEM</v>
      </c>
      <c r="AD129" s="744" t="str">
        <f ca="1">IF(AP129="NE",$V$10,IF(AC129=$V$3,IF(AQ129&lt;1,$V$8,$V$2&amp;" "&amp;AQ129&amp;" "&amp;$V$1),IF(AC129="SKLADEM",$V$6,IFERROR(IF(OR(AC129-TODAY()&gt;45,VLOOKUP(C129,[1]List1!$A:$E,4,FALSE)=0),AC129,DAY(AC129)&amp;"."&amp;MONTH(AC129)&amp;"."&amp;YEAR(AC129)&amp;" "&amp;$V$4&amp;VLOOKUP(C129,[1]List1!$A:$E,4,FALSE)&amp;" "&amp;$V$1),AC129))))</f>
        <v>SKLADEM</v>
      </c>
      <c r="AE129" s="729" t="str">
        <f t="shared" ref="AE129:AE136" ca="1" si="187">IFERROR(IF(AV129&lt;&gt;"",AV129,AD129),AD129)</f>
        <v>SKLADEM</v>
      </c>
      <c r="AF129" s="735">
        <f t="shared" ref="AF129:AF136" si="188">IFERROR(IF(AB129=Y129,G129*I129*Y129,0),0)</f>
        <v>0</v>
      </c>
      <c r="AG129" s="735">
        <f t="shared" ref="AG129:AG136" si="189">IF($W$17=$AF$8,AH129*1.23,AF129*1.21)</f>
        <v>0</v>
      </c>
      <c r="AH129" s="736">
        <f t="shared" ref="AH129:AH136" si="190">IFERROR(IF(Y129=AB129,H129*I129*Y129,0),0)</f>
        <v>0</v>
      </c>
      <c r="AI129" s="729">
        <f t="shared" ref="AI129:AI136" si="191">IFERROR(IF(Y129=AB129,(P129*Y129)/1000,1),0)</f>
        <v>0</v>
      </c>
      <c r="AJ129" s="729">
        <f t="shared" ref="AJ129:AJ136" si="192">IFERROR(IF(Y129=AB129,N129*Y129,0.1),0)</f>
        <v>0</v>
      </c>
      <c r="AK129" s="729" t="str">
        <f t="shared" ref="AK129:AK136" si="193">IFERROR(IF(Y129=AB129,IF(M129="1.1G",(O129/1000)*Y129,""),""),0)</f>
        <v/>
      </c>
      <c r="AL129" s="729" t="str">
        <f t="shared" ref="AL129:AL136" si="194">IFERROR(IF(Y129=AB129,IF(M129="1.3G",(O129/1000)*AB129,""),""),0)</f>
        <v/>
      </c>
      <c r="AM129" s="729">
        <f t="shared" ref="AM129:AM136" si="195">IFERROR(IF(Y129=AB129,IF(M129="1.4G",(O129/1000)*AB129,""),""),0)</f>
        <v>0</v>
      </c>
      <c r="AN129" s="729">
        <f t="shared" ref="AN129:AN136" si="196">SUM(AK129:AM129)</f>
        <v>0</v>
      </c>
      <c r="AO129" s="380"/>
      <c r="AP129" s="322" t="str">
        <f t="shared" si="133"/>
        <v/>
      </c>
      <c r="AQ129" s="323" t="str">
        <f>IF(AC129=$V$3,IF(VLOOKUP(C129,[1]List1!$A:$E,5,FALSE)=0,1,VLOOKUP(C129,[1]List1!$A:$E,5,FALSE)),"")</f>
        <v/>
      </c>
      <c r="AR129" s="304" t="str">
        <f t="shared" si="134"/>
        <v/>
      </c>
      <c r="AS129" s="423" t="str">
        <f t="shared" si="135"/>
        <v/>
      </c>
      <c r="AT129" s="304" t="str">
        <f t="shared" si="136"/>
        <v/>
      </c>
      <c r="AU129" s="342" t="e">
        <f t="shared" si="137"/>
        <v>#N/A</v>
      </c>
      <c r="AV129" s="304" t="e">
        <f t="shared" si="138"/>
        <v>#N/A</v>
      </c>
      <c r="AX129" s="304">
        <f>IF(AND('General price list'!$J129="F4",'General price list'!$AB129+0&gt;0),1,0)</f>
        <v>0</v>
      </c>
      <c r="AY129" s="304">
        <f t="shared" si="139"/>
        <v>1</v>
      </c>
      <c r="AZ129" s="304">
        <f t="shared" si="140"/>
        <v>0</v>
      </c>
    </row>
    <row r="130" spans="1:52" ht="15" customHeight="1">
      <c r="A130" s="712" t="str">
        <f>Kat.!C130</f>
        <v>×</v>
      </c>
      <c r="B130" s="745">
        <f>IF(AND('General price list'!$J130="F4",$AI$1=FALSE),0,IF(AC130="SKLADEM",1,IF(AC130=$V$3,1,0)))</f>
        <v>1</v>
      </c>
      <c r="C130" s="714" t="s">
        <v>3646</v>
      </c>
      <c r="D130" s="715" t="s">
        <v>3647</v>
      </c>
      <c r="E130" s="716" t="s">
        <v>307</v>
      </c>
      <c r="F130" s="712">
        <f>IFERROR(ROUND(IF($AL$3=2,VLOOKUP(C130,[2]List1!$A:$D,2,FALSE)*1.08,VLOOKUP(C130,[2]List1!$A:$D,2,FALSE)),0),"NEUVEDENO!")</f>
        <v>290</v>
      </c>
      <c r="G130" s="717">
        <f t="shared" si="183"/>
        <v>290</v>
      </c>
      <c r="H130" s="718">
        <f t="shared" si="184"/>
        <v>11.784354440873019</v>
      </c>
      <c r="I130" s="746">
        <v>20</v>
      </c>
      <c r="J130" s="716" t="s">
        <v>240</v>
      </c>
      <c r="K130" s="716"/>
      <c r="L130" s="716" t="s">
        <v>14363</v>
      </c>
      <c r="M130" s="716" t="s">
        <v>25</v>
      </c>
      <c r="N130" s="716">
        <f>IFERROR(VLOOKUP(C130,[3]List1!$A:$D,4,FALSE),"N/A!")</f>
        <v>3.6141499999999993E-2</v>
      </c>
      <c r="O130" s="716">
        <f>IFERROR(VLOOKUP(C130,[3]List1!$A:$D,3,FALSE),"N/A!")</f>
        <v>2500</v>
      </c>
      <c r="P130" s="716">
        <f>IFERROR(VLOOKUP(C130,[3]List1!$A:$D,2,FALSE),"N/A!")</f>
        <v>12000</v>
      </c>
      <c r="Q130" s="716" t="s">
        <v>14101</v>
      </c>
      <c r="R130" s="716" t="s">
        <v>24</v>
      </c>
      <c r="S130" s="716"/>
      <c r="T130" s="716">
        <v>60</v>
      </c>
      <c r="U130" s="716"/>
      <c r="V130" s="716"/>
      <c r="W130" s="716" t="str">
        <f>IFERROR(VLOOKUP('General price list'!$C130,Popisy!A:P,MATCH($W$17,Popisy!$A$7:$P$7,0),FALSE),"---------------")</f>
        <v>dýmovnice škrtací-červená barva</v>
      </c>
      <c r="X130" s="716" t="str">
        <f t="shared" si="185"/>
        <v/>
      </c>
      <c r="Y130" s="716" t="str">
        <f t="shared" si="186"/>
        <v/>
      </c>
      <c r="Z130" s="716" t="str">
        <f>HYPERLINK("https://www.klasekpyrotechnics.cz/rdg60c_sh")</f>
        <v>https://www.klasekpyrotechnics.cz/rdg60c_sh</v>
      </c>
      <c r="AA130" s="716">
        <f>IFERROR(IF(VLOOKUP(C130,[4]List1!$A:$D,4,FALSE)=0,"",VLOOKUP(C130,[4]List1!$A:$D,4,FALSE)),"")</f>
        <v>28</v>
      </c>
      <c r="AB130" s="720"/>
      <c r="AC130" s="747" t="str">
        <f>IFERROR(IF(VLOOKUP(C130,[1]List1!$A:$D,2,FALSE)="VYPRODÁNO",$V$9,IF(VLOOKUP(C130,[1]List1!$A:$D,2,FALSE)="DOCHÁZÍ",$V$3,VLOOKUP(C130,[1]List1!$A:$D,2,FALSE))),"OFFLINE!")</f>
        <v>SKLADEM</v>
      </c>
      <c r="AD130" s="748" t="str">
        <f ca="1">IF(AP130="NE",$V$10,IF(AC130=$V$3,IF(AQ130&lt;1,$V$8,$V$2&amp;" "&amp;AQ130&amp;" "&amp;$V$1),IF(AC130="SKLADEM",$V$6,IFERROR(IF(OR(AC130-TODAY()&gt;45,VLOOKUP(C130,[1]List1!$A:$E,4,FALSE)=0),AC130,DAY(AC130)&amp;"."&amp;MONTH(AC130)&amp;"."&amp;YEAR(AC130)&amp;" "&amp;$V$4&amp;VLOOKUP(C130,[1]List1!$A:$E,4,FALSE)&amp;" "&amp;$V$1),AC130))))</f>
        <v>SKLADEM</v>
      </c>
      <c r="AE130" s="716" t="str">
        <f t="shared" ca="1" si="187"/>
        <v>SKLADEM</v>
      </c>
      <c r="AF130" s="723">
        <f t="shared" si="188"/>
        <v>0</v>
      </c>
      <c r="AG130" s="723">
        <f t="shared" si="189"/>
        <v>0</v>
      </c>
      <c r="AH130" s="724">
        <f t="shared" si="190"/>
        <v>0</v>
      </c>
      <c r="AI130" s="716">
        <f t="shared" si="191"/>
        <v>0</v>
      </c>
      <c r="AJ130" s="716">
        <f t="shared" si="192"/>
        <v>0</v>
      </c>
      <c r="AK130" s="716" t="str">
        <f t="shared" si="193"/>
        <v/>
      </c>
      <c r="AL130" s="716" t="str">
        <f t="shared" si="194"/>
        <v/>
      </c>
      <c r="AM130" s="716">
        <f t="shared" si="195"/>
        <v>0</v>
      </c>
      <c r="AN130" s="716">
        <f t="shared" si="196"/>
        <v>0</v>
      </c>
      <c r="AO130" s="380"/>
      <c r="AP130" s="322" t="str">
        <f t="shared" si="133"/>
        <v/>
      </c>
      <c r="AQ130" s="323" t="str">
        <f>IF(AC130=$V$3,IF(VLOOKUP(C130,[1]List1!$A:$E,5,FALSE)=0,1,VLOOKUP(C130,[1]List1!$A:$E,5,FALSE)),"")</f>
        <v/>
      </c>
      <c r="AR130" s="304" t="str">
        <f t="shared" si="134"/>
        <v/>
      </c>
      <c r="AS130" s="423" t="str">
        <f t="shared" si="135"/>
        <v/>
      </c>
      <c r="AT130" s="304" t="str">
        <f t="shared" si="136"/>
        <v/>
      </c>
      <c r="AU130" s="342" t="e">
        <f t="shared" si="137"/>
        <v>#N/A</v>
      </c>
      <c r="AV130" s="304" t="e">
        <f t="shared" si="138"/>
        <v>#N/A</v>
      </c>
      <c r="AX130" s="304">
        <f>IF(AND('General price list'!$J130="F4",'General price list'!$AB130+0&gt;0),1,0)</f>
        <v>0</v>
      </c>
      <c r="AY130" s="304">
        <f t="shared" si="139"/>
        <v>1</v>
      </c>
      <c r="AZ130" s="304">
        <f t="shared" si="140"/>
        <v>0</v>
      </c>
    </row>
    <row r="131" spans="1:52" ht="15" customHeight="1">
      <c r="A131" s="725" t="str">
        <f>Kat.!C131</f>
        <v>×</v>
      </c>
      <c r="B131" s="749">
        <f>IF(AND('General price list'!$J131="F4",$AI$1=FALSE),0,IF(AC131="SKLADEM",1,IF(AC131=$V$3,1,0)))</f>
        <v>1</v>
      </c>
      <c r="C131" s="727" t="s">
        <v>3657</v>
      </c>
      <c r="D131" s="728" t="s">
        <v>3658</v>
      </c>
      <c r="E131" s="729" t="s">
        <v>307</v>
      </c>
      <c r="F131" s="725">
        <f>IFERROR(ROUND(IF($AL$3=2,VLOOKUP(C131,[2]List1!$A:$D,2,FALSE)*1.08,VLOOKUP(C131,[2]List1!$A:$D,2,FALSE)),0),"NEUVEDENO!")</f>
        <v>290</v>
      </c>
      <c r="G131" s="730">
        <f t="shared" si="183"/>
        <v>290</v>
      </c>
      <c r="H131" s="731">
        <f t="shared" si="184"/>
        <v>11.784354440873019</v>
      </c>
      <c r="I131" s="750">
        <v>20</v>
      </c>
      <c r="J131" s="729" t="s">
        <v>240</v>
      </c>
      <c r="K131" s="729"/>
      <c r="L131" s="729" t="s">
        <v>14363</v>
      </c>
      <c r="M131" s="729" t="s">
        <v>25</v>
      </c>
      <c r="N131" s="729">
        <f>IFERROR(VLOOKUP(C131,[3]List1!$A:$D,4,FALSE),"N/A!")</f>
        <v>3.6141499999999993E-2</v>
      </c>
      <c r="O131" s="729">
        <f>IFERROR(VLOOKUP(C131,[3]List1!$A:$D,3,FALSE),"N/A!")</f>
        <v>2500</v>
      </c>
      <c r="P131" s="729">
        <f>IFERROR(VLOOKUP(C131,[3]List1!$A:$D,2,FALSE),"N/A!")</f>
        <v>12000</v>
      </c>
      <c r="Q131" s="729" t="s">
        <v>14101</v>
      </c>
      <c r="R131" s="729" t="s">
        <v>24</v>
      </c>
      <c r="S131" s="729"/>
      <c r="T131" s="729">
        <v>60</v>
      </c>
      <c r="U131" s="729"/>
      <c r="V131" s="729"/>
      <c r="W131" s="729" t="str">
        <f>IFERROR(VLOOKUP('General price list'!$C131,Popisy!A:P,MATCH($W$17,Popisy!$A$7:$P$7,0),FALSE),"---------------")</f>
        <v>dýmovnice škrtací-modrá barva</v>
      </c>
      <c r="X131" s="729" t="str">
        <f t="shared" si="185"/>
        <v/>
      </c>
      <c r="Y131" s="729" t="str">
        <f t="shared" si="186"/>
        <v/>
      </c>
      <c r="Z131" s="729" t="str">
        <f>HYPERLINK("https://www.klasekpyrotechnics.cz/rdg60m_sh")</f>
        <v>https://www.klasekpyrotechnics.cz/rdg60m_sh</v>
      </c>
      <c r="AA131" s="729">
        <f>IFERROR(IF(VLOOKUP(C131,[4]List1!$A:$D,4,FALSE)=0,"",VLOOKUP(C131,[4]List1!$A:$D,4,FALSE)),"")</f>
        <v>28</v>
      </c>
      <c r="AB131" s="720"/>
      <c r="AC131" s="751" t="str">
        <f>IFERROR(IF(VLOOKUP(C131,[1]List1!$A:$D,2,FALSE)="VYPRODÁNO",$V$9,IF(VLOOKUP(C131,[1]List1!$A:$D,2,FALSE)="DOCHÁZÍ",$V$3,VLOOKUP(C131,[1]List1!$A:$D,2,FALSE))),"OFFLINE!")</f>
        <v>SKLADEM</v>
      </c>
      <c r="AD131" s="752" t="str">
        <f ca="1">IF(AP131="NE",$V$10,IF(AC131=$V$3,IF(AQ131&lt;1,$V$8,$V$2&amp;" "&amp;AQ131&amp;" "&amp;$V$1),IF(AC131="SKLADEM",$V$6,IFERROR(IF(OR(AC131-TODAY()&gt;45,VLOOKUP(C131,[1]List1!$A:$E,4,FALSE)=0),AC131,DAY(AC131)&amp;"."&amp;MONTH(AC131)&amp;"."&amp;YEAR(AC131)&amp;" "&amp;$V$4&amp;VLOOKUP(C131,[1]List1!$A:$E,4,FALSE)&amp;" "&amp;$V$1),AC131))))</f>
        <v>SKLADEM</v>
      </c>
      <c r="AE131" s="729" t="str">
        <f t="shared" ca="1" si="187"/>
        <v>SKLADEM</v>
      </c>
      <c r="AF131" s="735">
        <f t="shared" si="188"/>
        <v>0</v>
      </c>
      <c r="AG131" s="735">
        <f t="shared" si="189"/>
        <v>0</v>
      </c>
      <c r="AH131" s="736">
        <f t="shared" si="190"/>
        <v>0</v>
      </c>
      <c r="AI131" s="729">
        <f t="shared" si="191"/>
        <v>0</v>
      </c>
      <c r="AJ131" s="729">
        <f t="shared" si="192"/>
        <v>0</v>
      </c>
      <c r="AK131" s="729" t="str">
        <f t="shared" si="193"/>
        <v/>
      </c>
      <c r="AL131" s="729" t="str">
        <f t="shared" si="194"/>
        <v/>
      </c>
      <c r="AM131" s="729">
        <f t="shared" si="195"/>
        <v>0</v>
      </c>
      <c r="AN131" s="729">
        <f t="shared" si="196"/>
        <v>0</v>
      </c>
      <c r="AO131" s="380"/>
      <c r="AP131" s="322" t="str">
        <f t="shared" si="133"/>
        <v/>
      </c>
      <c r="AQ131" s="323" t="str">
        <f>IF(AC131=$V$3,IF(VLOOKUP(C131,[1]List1!$A:$E,5,FALSE)=0,1,VLOOKUP(C131,[1]List1!$A:$E,5,FALSE)),"")</f>
        <v/>
      </c>
      <c r="AR131" s="304" t="str">
        <f t="shared" si="134"/>
        <v/>
      </c>
      <c r="AS131" s="423" t="str">
        <f t="shared" si="135"/>
        <v/>
      </c>
      <c r="AT131" s="304" t="str">
        <f t="shared" si="136"/>
        <v/>
      </c>
      <c r="AU131" s="342" t="e">
        <f t="shared" si="137"/>
        <v>#N/A</v>
      </c>
      <c r="AV131" s="304" t="e">
        <f t="shared" si="138"/>
        <v>#N/A</v>
      </c>
      <c r="AX131" s="304">
        <f>IF(AND('General price list'!$J131="F4",'General price list'!$AB131+0&gt;0),1,0)</f>
        <v>0</v>
      </c>
      <c r="AY131" s="304">
        <f t="shared" si="139"/>
        <v>1</v>
      </c>
      <c r="AZ131" s="304">
        <f t="shared" si="140"/>
        <v>0</v>
      </c>
    </row>
    <row r="132" spans="1:52" ht="15" customHeight="1">
      <c r="A132" s="712" t="str">
        <f>Kat.!C132</f>
        <v>×</v>
      </c>
      <c r="B132" s="745">
        <f>IF(AND('General price list'!$J132="F4",$AI$1=FALSE),0,IF(AC132="SKLADEM",1,IF(AC132=$V$3,1,0)))</f>
        <v>1</v>
      </c>
      <c r="C132" s="714" t="s">
        <v>3668</v>
      </c>
      <c r="D132" s="715" t="s">
        <v>3669</v>
      </c>
      <c r="E132" s="716" t="s">
        <v>307</v>
      </c>
      <c r="F132" s="712">
        <f>IFERROR(ROUND(IF($AL$3=2,VLOOKUP(C132,[2]List1!$A:$D,2,FALSE)*1.08,VLOOKUP(C132,[2]List1!$A:$D,2,FALSE)),0),"NEUVEDENO!")</f>
        <v>290</v>
      </c>
      <c r="G132" s="717">
        <f t="shared" si="183"/>
        <v>290</v>
      </c>
      <c r="H132" s="718">
        <f t="shared" si="184"/>
        <v>11.784354440873019</v>
      </c>
      <c r="I132" s="746">
        <v>20</v>
      </c>
      <c r="J132" s="716" t="s">
        <v>240</v>
      </c>
      <c r="K132" s="716"/>
      <c r="L132" s="716" t="s">
        <v>14363</v>
      </c>
      <c r="M132" s="716" t="s">
        <v>25</v>
      </c>
      <c r="N132" s="716">
        <f>IFERROR(VLOOKUP(C132,[3]List1!$A:$D,4,FALSE),"N/A!")</f>
        <v>3.6141499999999993E-2</v>
      </c>
      <c r="O132" s="716">
        <f>IFERROR(VLOOKUP(C132,[3]List1!$A:$D,3,FALSE),"N/A!")</f>
        <v>2500</v>
      </c>
      <c r="P132" s="716">
        <f>IFERROR(VLOOKUP(C132,[3]List1!$A:$D,2,FALSE),"N/A!")</f>
        <v>12000</v>
      </c>
      <c r="Q132" s="716" t="s">
        <v>14101</v>
      </c>
      <c r="R132" s="716" t="s">
        <v>24</v>
      </c>
      <c r="S132" s="716"/>
      <c r="T132" s="716">
        <v>60</v>
      </c>
      <c r="U132" s="716"/>
      <c r="V132" s="716"/>
      <c r="W132" s="716" t="str">
        <f>IFERROR(VLOOKUP('General price list'!$C132,Popisy!A:P,MATCH($W$17,Popisy!$A$7:$P$7,0),FALSE),"---------------")</f>
        <v>dýmovnice škrtací-žlutá barva</v>
      </c>
      <c r="X132" s="716" t="str">
        <f t="shared" si="185"/>
        <v/>
      </c>
      <c r="Y132" s="716" t="str">
        <f t="shared" si="186"/>
        <v/>
      </c>
      <c r="Z132" s="716" t="str">
        <f>HYPERLINK("https://www.klasekpyrotechnics.cz/rdg60zl_sh")</f>
        <v>https://www.klasekpyrotechnics.cz/rdg60zl_sh</v>
      </c>
      <c r="AA132" s="716">
        <f>IFERROR(IF(VLOOKUP(C132,[4]List1!$A:$D,4,FALSE)=0,"",VLOOKUP(C132,[4]List1!$A:$D,4,FALSE)),"")</f>
        <v>28</v>
      </c>
      <c r="AB132" s="720"/>
      <c r="AC132" s="747" t="str">
        <f>IFERROR(IF(VLOOKUP(C132,[1]List1!$A:$D,2,FALSE)="VYPRODÁNO",$V$9,IF(VLOOKUP(C132,[1]List1!$A:$D,2,FALSE)="DOCHÁZÍ",$V$3,VLOOKUP(C132,[1]List1!$A:$D,2,FALSE))),"OFFLINE!")</f>
        <v>SKLADEM</v>
      </c>
      <c r="AD132" s="748" t="str">
        <f ca="1">IF(AP132="NE",$V$10,IF(AC132=$V$3,IF(AQ132&lt;1,$V$8,$V$2&amp;" "&amp;AQ132&amp;" "&amp;$V$1),IF(AC132="SKLADEM",$V$6,IFERROR(IF(OR(AC132-TODAY()&gt;45,VLOOKUP(C132,[1]List1!$A:$E,4,FALSE)=0),AC132,DAY(AC132)&amp;"."&amp;MONTH(AC132)&amp;"."&amp;YEAR(AC132)&amp;" "&amp;$V$4&amp;VLOOKUP(C132,[1]List1!$A:$E,4,FALSE)&amp;" "&amp;$V$1),AC132))))</f>
        <v>SKLADEM</v>
      </c>
      <c r="AE132" s="716" t="str">
        <f t="shared" ca="1" si="187"/>
        <v>SKLADEM</v>
      </c>
      <c r="AF132" s="723">
        <f t="shared" si="188"/>
        <v>0</v>
      </c>
      <c r="AG132" s="723">
        <f t="shared" si="189"/>
        <v>0</v>
      </c>
      <c r="AH132" s="724">
        <f t="shared" si="190"/>
        <v>0</v>
      </c>
      <c r="AI132" s="716">
        <f t="shared" si="191"/>
        <v>0</v>
      </c>
      <c r="AJ132" s="716">
        <f t="shared" si="192"/>
        <v>0</v>
      </c>
      <c r="AK132" s="716" t="str">
        <f t="shared" si="193"/>
        <v/>
      </c>
      <c r="AL132" s="716" t="str">
        <f t="shared" si="194"/>
        <v/>
      </c>
      <c r="AM132" s="716">
        <f t="shared" si="195"/>
        <v>0</v>
      </c>
      <c r="AN132" s="716">
        <f t="shared" si="196"/>
        <v>0</v>
      </c>
      <c r="AO132" s="380"/>
      <c r="AP132" s="322" t="str">
        <f t="shared" si="133"/>
        <v/>
      </c>
      <c r="AQ132" s="323" t="str">
        <f>IF(AC132=$V$3,IF(VLOOKUP(C132,[1]List1!$A:$E,5,FALSE)=0,1,VLOOKUP(C132,[1]List1!$A:$E,5,FALSE)),"")</f>
        <v/>
      </c>
      <c r="AR132" s="304" t="str">
        <f t="shared" si="134"/>
        <v/>
      </c>
      <c r="AS132" s="423" t="str">
        <f t="shared" si="135"/>
        <v/>
      </c>
      <c r="AT132" s="304" t="str">
        <f t="shared" si="136"/>
        <v/>
      </c>
      <c r="AU132" s="342" t="e">
        <f t="shared" si="137"/>
        <v>#N/A</v>
      </c>
      <c r="AV132" s="304" t="e">
        <f t="shared" si="138"/>
        <v>#N/A</v>
      </c>
      <c r="AX132" s="304">
        <f>IF(AND('General price list'!$J132="F4",'General price list'!$AB132+0&gt;0),1,0)</f>
        <v>0</v>
      </c>
      <c r="AY132" s="304">
        <f t="shared" si="139"/>
        <v>1</v>
      </c>
      <c r="AZ132" s="304">
        <f t="shared" si="140"/>
        <v>0</v>
      </c>
    </row>
    <row r="133" spans="1:52" ht="15" customHeight="1">
      <c r="A133" s="725" t="str">
        <f>Kat.!C133</f>
        <v>×</v>
      </c>
      <c r="B133" s="749">
        <f>IF(AND('General price list'!$J133="F4",$AI$1=FALSE),0,IF(AC133="SKLADEM",1,IF(AC133=$V$3,1,0)))</f>
        <v>1</v>
      </c>
      <c r="C133" s="727" t="s">
        <v>3679</v>
      </c>
      <c r="D133" s="728" t="s">
        <v>3680</v>
      </c>
      <c r="E133" s="729" t="s">
        <v>307</v>
      </c>
      <c r="F133" s="725">
        <f>IFERROR(ROUND(IF($AL$3=2,VLOOKUP(C133,[2]List1!$A:$D,2,FALSE)*1.08,VLOOKUP(C133,[2]List1!$A:$D,2,FALSE)),0),"NEUVEDENO!")</f>
        <v>290</v>
      </c>
      <c r="G133" s="730">
        <f t="shared" si="183"/>
        <v>290</v>
      </c>
      <c r="H133" s="731">
        <f t="shared" si="184"/>
        <v>11.784354440873019</v>
      </c>
      <c r="I133" s="750">
        <v>20</v>
      </c>
      <c r="J133" s="729" t="s">
        <v>240</v>
      </c>
      <c r="K133" s="729"/>
      <c r="L133" s="729" t="s">
        <v>14363</v>
      </c>
      <c r="M133" s="729" t="s">
        <v>25</v>
      </c>
      <c r="N133" s="729">
        <f>IFERROR(VLOOKUP(C133,[3]List1!$A:$D,4,FALSE),"N/A!")</f>
        <v>3.6141499999999993E-2</v>
      </c>
      <c r="O133" s="729">
        <f>IFERROR(VLOOKUP(C133,[3]List1!$A:$D,3,FALSE),"N/A!")</f>
        <v>2500</v>
      </c>
      <c r="P133" s="729">
        <f>IFERROR(VLOOKUP(C133,[3]List1!$A:$D,2,FALSE),"N/A!")</f>
        <v>12000</v>
      </c>
      <c r="Q133" s="729" t="s">
        <v>14101</v>
      </c>
      <c r="R133" s="729" t="s">
        <v>24</v>
      </c>
      <c r="S133" s="729"/>
      <c r="T133" s="729">
        <v>60</v>
      </c>
      <c r="U133" s="729"/>
      <c r="V133" s="729"/>
      <c r="W133" s="729" t="str">
        <f>IFERROR(VLOOKUP('General price list'!$C133,Popisy!A:P,MATCH($W$17,Popisy!$A$7:$P$7,0),FALSE),"---------------")</f>
        <v>dýmovnice škrtací-zelená barva</v>
      </c>
      <c r="X133" s="729" t="str">
        <f t="shared" si="185"/>
        <v/>
      </c>
      <c r="Y133" s="729" t="str">
        <f t="shared" si="186"/>
        <v/>
      </c>
      <c r="Z133" s="729" t="str">
        <f>HYPERLINK("https://www.klasekpyrotechnics.cz/rdg60ze_sh")</f>
        <v>https://www.klasekpyrotechnics.cz/rdg60ze_sh</v>
      </c>
      <c r="AA133" s="729">
        <f>IFERROR(IF(VLOOKUP(C133,[4]List1!$A:$D,4,FALSE)=0,"",VLOOKUP(C133,[4]List1!$A:$D,4,FALSE)),"")</f>
        <v>36</v>
      </c>
      <c r="AB133" s="720"/>
      <c r="AC133" s="751" t="str">
        <f>IFERROR(IF(VLOOKUP(C133,[1]List1!$A:$D,2,FALSE)="VYPRODÁNO",$V$9,IF(VLOOKUP(C133,[1]List1!$A:$D,2,FALSE)="DOCHÁZÍ",$V$3,VLOOKUP(C133,[1]List1!$A:$D,2,FALSE))),"OFFLINE!")</f>
        <v>SKLADEM</v>
      </c>
      <c r="AD133" s="752" t="str">
        <f ca="1">IF(AP133="NE",$V$10,IF(AC133=$V$3,IF(AQ133&lt;1,$V$8,$V$2&amp;" "&amp;AQ133&amp;" "&amp;$V$1),IF(AC133="SKLADEM",$V$6,IFERROR(IF(OR(AC133-TODAY()&gt;45,VLOOKUP(C133,[1]List1!$A:$E,4,FALSE)=0),AC133,DAY(AC133)&amp;"."&amp;MONTH(AC133)&amp;"."&amp;YEAR(AC133)&amp;" "&amp;$V$4&amp;VLOOKUP(C133,[1]List1!$A:$E,4,FALSE)&amp;" "&amp;$V$1),AC133))))</f>
        <v>SKLADEM</v>
      </c>
      <c r="AE133" s="729" t="str">
        <f t="shared" ca="1" si="187"/>
        <v>SKLADEM</v>
      </c>
      <c r="AF133" s="735">
        <f t="shared" si="188"/>
        <v>0</v>
      </c>
      <c r="AG133" s="735">
        <f t="shared" si="189"/>
        <v>0</v>
      </c>
      <c r="AH133" s="736">
        <f t="shared" si="190"/>
        <v>0</v>
      </c>
      <c r="AI133" s="729">
        <f t="shared" si="191"/>
        <v>0</v>
      </c>
      <c r="AJ133" s="729">
        <f t="shared" si="192"/>
        <v>0</v>
      </c>
      <c r="AK133" s="729" t="str">
        <f t="shared" si="193"/>
        <v/>
      </c>
      <c r="AL133" s="729" t="str">
        <f t="shared" si="194"/>
        <v/>
      </c>
      <c r="AM133" s="729">
        <f t="shared" si="195"/>
        <v>0</v>
      </c>
      <c r="AN133" s="729">
        <f t="shared" si="196"/>
        <v>0</v>
      </c>
      <c r="AO133" s="380"/>
      <c r="AP133" s="322" t="str">
        <f t="shared" si="133"/>
        <v/>
      </c>
      <c r="AQ133" s="323" t="str">
        <f>IF(AC133=$V$3,IF(VLOOKUP(C133,[1]List1!$A:$E,5,FALSE)=0,1,VLOOKUP(C133,[1]List1!$A:$E,5,FALSE)),"")</f>
        <v/>
      </c>
      <c r="AR133" s="304" t="str">
        <f t="shared" si="134"/>
        <v/>
      </c>
      <c r="AS133" s="423" t="str">
        <f t="shared" si="135"/>
        <v/>
      </c>
      <c r="AT133" s="304" t="str">
        <f t="shared" si="136"/>
        <v/>
      </c>
      <c r="AU133" s="342" t="e">
        <f t="shared" si="137"/>
        <v>#N/A</v>
      </c>
      <c r="AV133" s="304" t="e">
        <f t="shared" si="138"/>
        <v>#N/A</v>
      </c>
      <c r="AX133" s="304">
        <f>IF(AND('General price list'!$J133="F4",'General price list'!$AB133+0&gt;0),1,0)</f>
        <v>0</v>
      </c>
      <c r="AY133" s="304">
        <f t="shared" si="139"/>
        <v>1</v>
      </c>
      <c r="AZ133" s="304">
        <f t="shared" si="140"/>
        <v>0</v>
      </c>
    </row>
    <row r="134" spans="1:52" ht="15" customHeight="1">
      <c r="A134" s="712" t="str">
        <f>Kat.!C134</f>
        <v>×</v>
      </c>
      <c r="B134" s="745">
        <f>IF(AND('General price list'!$J134="F4",$AI$1=FALSE),0,IF(AC134="SKLADEM",1,IF(AC134=$V$3,1,0)))</f>
        <v>1</v>
      </c>
      <c r="C134" s="714" t="s">
        <v>3690</v>
      </c>
      <c r="D134" s="715" t="s">
        <v>3691</v>
      </c>
      <c r="E134" s="716" t="s">
        <v>307</v>
      </c>
      <c r="F134" s="712">
        <f>IFERROR(ROUND(IF($AL$3=2,VLOOKUP(C134,[2]List1!$A:$D,2,FALSE)*1.08,VLOOKUP(C134,[2]List1!$A:$D,2,FALSE)),0),"NEUVEDENO!")</f>
        <v>290</v>
      </c>
      <c r="G134" s="717">
        <f t="shared" si="183"/>
        <v>290</v>
      </c>
      <c r="H134" s="718">
        <f t="shared" si="184"/>
        <v>11.784354440873019</v>
      </c>
      <c r="I134" s="746">
        <v>20</v>
      </c>
      <c r="J134" s="716" t="s">
        <v>240</v>
      </c>
      <c r="K134" s="716"/>
      <c r="L134" s="716" t="s">
        <v>14363</v>
      </c>
      <c r="M134" s="716" t="s">
        <v>25</v>
      </c>
      <c r="N134" s="716">
        <f>IFERROR(VLOOKUP(C134,[3]List1!$A:$D,4,FALSE),"N/A!")</f>
        <v>3.6141499999999993E-2</v>
      </c>
      <c r="O134" s="716">
        <f>IFERROR(VLOOKUP(C134,[3]List1!$A:$D,3,FALSE),"N/A!")</f>
        <v>2500</v>
      </c>
      <c r="P134" s="716">
        <f>IFERROR(VLOOKUP(C134,[3]List1!$A:$D,2,FALSE),"N/A!")</f>
        <v>12000</v>
      </c>
      <c r="Q134" s="716" t="s">
        <v>14101</v>
      </c>
      <c r="R134" s="716" t="s">
        <v>24</v>
      </c>
      <c r="S134" s="716"/>
      <c r="T134" s="716">
        <v>60</v>
      </c>
      <c r="U134" s="716"/>
      <c r="V134" s="716"/>
      <c r="W134" s="716" t="str">
        <f>IFERROR(VLOOKUP('General price list'!$C134,Popisy!A:P,MATCH($W$17,Popisy!$A$7:$P$7,0),FALSE),"---------------")</f>
        <v>dýmovnice škrtací-oranžová barva</v>
      </c>
      <c r="X134" s="716" t="str">
        <f t="shared" si="185"/>
        <v/>
      </c>
      <c r="Y134" s="716" t="str">
        <f t="shared" si="186"/>
        <v/>
      </c>
      <c r="Z134" s="716" t="str">
        <f>HYPERLINK("https://www.klasekpyrotechnics.cz/rdg60o_sh")</f>
        <v>https://www.klasekpyrotechnics.cz/rdg60o_sh</v>
      </c>
      <c r="AA134" s="716">
        <f>IFERROR(IF(VLOOKUP(C134,[4]List1!$A:$D,4,FALSE)=0,"",VLOOKUP(C134,[4]List1!$A:$D,4,FALSE)),"")</f>
        <v>36</v>
      </c>
      <c r="AB134" s="720"/>
      <c r="AC134" s="747" t="str">
        <f>IFERROR(IF(VLOOKUP(C134,[1]List1!$A:$D,2,FALSE)="VYPRODÁNO",$V$9,IF(VLOOKUP(C134,[1]List1!$A:$D,2,FALSE)="DOCHÁZÍ",$V$3,VLOOKUP(C134,[1]List1!$A:$D,2,FALSE))),"OFFLINE!")</f>
        <v>SKLADEM</v>
      </c>
      <c r="AD134" s="748" t="str">
        <f ca="1">IF(AP134="NE",$V$10,IF(AC134=$V$3,IF(AQ134&lt;1,$V$8,$V$2&amp;" "&amp;AQ134&amp;" "&amp;$V$1),IF(AC134="SKLADEM",$V$6,IFERROR(IF(OR(AC134-TODAY()&gt;45,VLOOKUP(C134,[1]List1!$A:$E,4,FALSE)=0),AC134,DAY(AC134)&amp;"."&amp;MONTH(AC134)&amp;"."&amp;YEAR(AC134)&amp;" "&amp;$V$4&amp;VLOOKUP(C134,[1]List1!$A:$E,4,FALSE)&amp;" "&amp;$V$1),AC134))))</f>
        <v>SKLADEM</v>
      </c>
      <c r="AE134" s="716" t="str">
        <f t="shared" ca="1" si="187"/>
        <v>SKLADEM</v>
      </c>
      <c r="AF134" s="723">
        <f t="shared" si="188"/>
        <v>0</v>
      </c>
      <c r="AG134" s="723">
        <f t="shared" si="189"/>
        <v>0</v>
      </c>
      <c r="AH134" s="724">
        <f t="shared" si="190"/>
        <v>0</v>
      </c>
      <c r="AI134" s="716">
        <f t="shared" si="191"/>
        <v>0</v>
      </c>
      <c r="AJ134" s="716">
        <f t="shared" si="192"/>
        <v>0</v>
      </c>
      <c r="AK134" s="716" t="str">
        <f t="shared" si="193"/>
        <v/>
      </c>
      <c r="AL134" s="716" t="str">
        <f t="shared" si="194"/>
        <v/>
      </c>
      <c r="AM134" s="716">
        <f t="shared" si="195"/>
        <v>0</v>
      </c>
      <c r="AN134" s="716">
        <f t="shared" si="196"/>
        <v>0</v>
      </c>
      <c r="AO134" s="380"/>
      <c r="AP134" s="322" t="str">
        <f t="shared" si="133"/>
        <v/>
      </c>
      <c r="AQ134" s="323" t="str">
        <f>IF(AC134=$V$3,IF(VLOOKUP(C134,[1]List1!$A:$E,5,FALSE)=0,1,VLOOKUP(C134,[1]List1!$A:$E,5,FALSE)),"")</f>
        <v/>
      </c>
      <c r="AR134" s="304" t="str">
        <f t="shared" si="134"/>
        <v/>
      </c>
      <c r="AS134" s="423" t="str">
        <f t="shared" si="135"/>
        <v/>
      </c>
      <c r="AT134" s="304" t="str">
        <f t="shared" si="136"/>
        <v/>
      </c>
      <c r="AU134" s="342" t="e">
        <f t="shared" si="137"/>
        <v>#N/A</v>
      </c>
      <c r="AV134" s="304" t="e">
        <f t="shared" si="138"/>
        <v>#N/A</v>
      </c>
      <c r="AX134" s="304">
        <f>IF(AND('General price list'!$J134="F4",'General price list'!$AB134+0&gt;0),1,0)</f>
        <v>0</v>
      </c>
      <c r="AY134" s="304">
        <f t="shared" si="139"/>
        <v>1</v>
      </c>
      <c r="AZ134" s="304">
        <f t="shared" si="140"/>
        <v>0</v>
      </c>
    </row>
    <row r="135" spans="1:52" ht="15" customHeight="1">
      <c r="A135" s="725" t="str">
        <f>Kat.!C135</f>
        <v>×</v>
      </c>
      <c r="B135" s="749">
        <f>IF(AND('General price list'!$J135="F4",$AI$1=FALSE),0,IF(AC135="SKLADEM",1,IF(AC135=$V$3,1,0)))</f>
        <v>1</v>
      </c>
      <c r="C135" s="727" t="s">
        <v>3701</v>
      </c>
      <c r="D135" s="728" t="s">
        <v>3702</v>
      </c>
      <c r="E135" s="729" t="s">
        <v>307</v>
      </c>
      <c r="F135" s="725">
        <f>IFERROR(ROUND(IF($AL$3=2,VLOOKUP(C135,[2]List1!$A:$D,2,FALSE)*1.08,VLOOKUP(C135,[2]List1!$A:$D,2,FALSE)),0),"NEUVEDENO!")</f>
        <v>290</v>
      </c>
      <c r="G135" s="730">
        <f t="shared" si="183"/>
        <v>290</v>
      </c>
      <c r="H135" s="731">
        <f t="shared" si="184"/>
        <v>11.784354440873019</v>
      </c>
      <c r="I135" s="750">
        <v>20</v>
      </c>
      <c r="J135" s="729" t="s">
        <v>240</v>
      </c>
      <c r="K135" s="729"/>
      <c r="L135" s="729" t="s">
        <v>14363</v>
      </c>
      <c r="M135" s="729" t="s">
        <v>25</v>
      </c>
      <c r="N135" s="729">
        <f>IFERROR(VLOOKUP(C135,[3]List1!$A:$D,4,FALSE),"N/A!")</f>
        <v>3.6141499999999993E-2</v>
      </c>
      <c r="O135" s="729">
        <f>IFERROR(VLOOKUP(C135,[3]List1!$A:$D,3,FALSE),"N/A!")</f>
        <v>2500</v>
      </c>
      <c r="P135" s="729">
        <f>IFERROR(VLOOKUP(C135,[3]List1!$A:$D,2,FALSE),"N/A!")</f>
        <v>13000</v>
      </c>
      <c r="Q135" s="729" t="s">
        <v>14101</v>
      </c>
      <c r="R135" s="729" t="s">
        <v>24</v>
      </c>
      <c r="S135" s="729"/>
      <c r="T135" s="729">
        <v>60</v>
      </c>
      <c r="U135" s="729"/>
      <c r="V135" s="729"/>
      <c r="W135" s="729" t="str">
        <f>IFERROR(VLOOKUP('General price list'!$C135,Popisy!A:P,MATCH($W$17,Popisy!$A$7:$P$7,0),FALSE),"---------------")</f>
        <v>dýmovnice škrtací-černá barva</v>
      </c>
      <c r="X135" s="729" t="str">
        <f t="shared" si="185"/>
        <v/>
      </c>
      <c r="Y135" s="729" t="str">
        <f t="shared" si="186"/>
        <v/>
      </c>
      <c r="Z135" s="729" t="str">
        <f>HYPERLINK("https://www.klasekpyrotechnics.cz/rdg60cer_sh")</f>
        <v>https://www.klasekpyrotechnics.cz/rdg60cer_sh</v>
      </c>
      <c r="AA135" s="729">
        <f>IFERROR(IF(VLOOKUP(C135,[4]List1!$A:$D,4,FALSE)=0,"",VLOOKUP(C135,[4]List1!$A:$D,4,FALSE)),"")</f>
        <v>36</v>
      </c>
      <c r="AB135" s="720"/>
      <c r="AC135" s="751" t="str">
        <f>IFERROR(IF(VLOOKUP(C135,[1]List1!$A:$D,2,FALSE)="VYPRODÁNO",$V$9,IF(VLOOKUP(C135,[1]List1!$A:$D,2,FALSE)="DOCHÁZÍ",$V$3,VLOOKUP(C135,[1]List1!$A:$D,2,FALSE))),"OFFLINE!")</f>
        <v>SKLADEM</v>
      </c>
      <c r="AD135" s="752" t="str">
        <f ca="1">IF(AP135="NE",$V$10,IF(AC135=$V$3,IF(AQ135&lt;1,$V$8,$V$2&amp;" "&amp;AQ135&amp;" "&amp;$V$1),IF(AC135="SKLADEM",$V$6,IFERROR(IF(OR(AC135-TODAY()&gt;45,VLOOKUP(C135,[1]List1!$A:$E,4,FALSE)=0),AC135,DAY(AC135)&amp;"."&amp;MONTH(AC135)&amp;"."&amp;YEAR(AC135)&amp;" "&amp;$V$4&amp;VLOOKUP(C135,[1]List1!$A:$E,4,FALSE)&amp;" "&amp;$V$1),AC135))))</f>
        <v>SKLADEM</v>
      </c>
      <c r="AE135" s="729" t="str">
        <f t="shared" ca="1" si="187"/>
        <v>SKLADEM</v>
      </c>
      <c r="AF135" s="735">
        <f t="shared" si="188"/>
        <v>0</v>
      </c>
      <c r="AG135" s="735">
        <f t="shared" si="189"/>
        <v>0</v>
      </c>
      <c r="AH135" s="736">
        <f t="shared" si="190"/>
        <v>0</v>
      </c>
      <c r="AI135" s="729">
        <f t="shared" si="191"/>
        <v>0</v>
      </c>
      <c r="AJ135" s="729">
        <f t="shared" si="192"/>
        <v>0</v>
      </c>
      <c r="AK135" s="729" t="str">
        <f t="shared" si="193"/>
        <v/>
      </c>
      <c r="AL135" s="729" t="str">
        <f t="shared" si="194"/>
        <v/>
      </c>
      <c r="AM135" s="729">
        <f t="shared" si="195"/>
        <v>0</v>
      </c>
      <c r="AN135" s="729">
        <f t="shared" si="196"/>
        <v>0</v>
      </c>
      <c r="AO135" s="380"/>
      <c r="AP135" s="322" t="str">
        <f t="shared" si="133"/>
        <v/>
      </c>
      <c r="AQ135" s="323" t="str">
        <f>IF(AC135=$V$3,IF(VLOOKUP(C135,[1]List1!$A:$E,5,FALSE)=0,1,VLOOKUP(C135,[1]List1!$A:$E,5,FALSE)),"")</f>
        <v/>
      </c>
      <c r="AR135" s="304" t="str">
        <f t="shared" si="134"/>
        <v/>
      </c>
      <c r="AS135" s="423" t="str">
        <f t="shared" si="135"/>
        <v/>
      </c>
      <c r="AT135" s="304" t="str">
        <f t="shared" si="136"/>
        <v/>
      </c>
      <c r="AU135" s="342" t="e">
        <f t="shared" si="137"/>
        <v>#N/A</v>
      </c>
      <c r="AV135" s="304" t="e">
        <f t="shared" si="138"/>
        <v>#N/A</v>
      </c>
      <c r="AX135" s="304">
        <f>IF(AND('General price list'!$J135="F4",'General price list'!$AB135+0&gt;0),1,0)</f>
        <v>0</v>
      </c>
      <c r="AY135" s="304">
        <f t="shared" si="139"/>
        <v>1</v>
      </c>
      <c r="AZ135" s="304">
        <f t="shared" si="140"/>
        <v>0</v>
      </c>
    </row>
    <row r="136" spans="1:52" ht="15" customHeight="1">
      <c r="A136" s="712" t="str">
        <f>Kat.!C136</f>
        <v>×</v>
      </c>
      <c r="B136" s="745">
        <f>IF(AND('General price list'!$J136="F4",$AI$1=FALSE),0,IF(AC136="SKLADEM",1,IF(AC136=$V$3,1,0)))</f>
        <v>1</v>
      </c>
      <c r="C136" s="714" t="s">
        <v>3712</v>
      </c>
      <c r="D136" s="715" t="s">
        <v>3713</v>
      </c>
      <c r="E136" s="716" t="s">
        <v>307</v>
      </c>
      <c r="F136" s="712">
        <f>IFERROR(ROUND(IF($AL$3=2,VLOOKUP(C136,[2]List1!$A:$D,2,FALSE)*1.08,VLOOKUP(C136,[2]List1!$A:$D,2,FALSE)),0),"NEUVEDENO!")</f>
        <v>290</v>
      </c>
      <c r="G136" s="717">
        <f t="shared" si="183"/>
        <v>290</v>
      </c>
      <c r="H136" s="718">
        <f t="shared" si="184"/>
        <v>11.784354440873019</v>
      </c>
      <c r="I136" s="746">
        <v>20</v>
      </c>
      <c r="J136" s="716" t="s">
        <v>240</v>
      </c>
      <c r="K136" s="716"/>
      <c r="L136" s="716" t="s">
        <v>14363</v>
      </c>
      <c r="M136" s="716" t="s">
        <v>25</v>
      </c>
      <c r="N136" s="716">
        <f>IFERROR(VLOOKUP(C136,[3]List1!$A:$D,4,FALSE),"N/A!")</f>
        <v>3.6141499999999993E-2</v>
      </c>
      <c r="O136" s="716">
        <f>IFERROR(VLOOKUP(C136,[3]List1!$A:$D,3,FALSE),"N/A!")</f>
        <v>2500</v>
      </c>
      <c r="P136" s="716">
        <f>IFERROR(VLOOKUP(C136,[3]List1!$A:$D,2,FALSE),"N/A!")</f>
        <v>12000</v>
      </c>
      <c r="Q136" s="716" t="s">
        <v>14101</v>
      </c>
      <c r="R136" s="716" t="s">
        <v>24</v>
      </c>
      <c r="S136" s="716"/>
      <c r="T136" s="716">
        <v>60</v>
      </c>
      <c r="U136" s="716"/>
      <c r="V136" s="716"/>
      <c r="W136" s="716" t="str">
        <f>IFERROR(VLOOKUP('General price list'!$C136,Popisy!A:P,MATCH($W$17,Popisy!$A$7:$P$7,0),FALSE),"---------------")</f>
        <v>dýmovnice škrtací-růžová barva</v>
      </c>
      <c r="X136" s="716" t="str">
        <f t="shared" si="185"/>
        <v/>
      </c>
      <c r="Y136" s="716" t="str">
        <f t="shared" si="186"/>
        <v/>
      </c>
      <c r="Z136" s="716" t="str">
        <f>HYPERLINK("https://www.klasekpyrotechnics.cz/rdg60r_sh")</f>
        <v>https://www.klasekpyrotechnics.cz/rdg60r_sh</v>
      </c>
      <c r="AA136" s="716">
        <f>IFERROR(IF(VLOOKUP(C136,[4]List1!$A:$D,4,FALSE)=0,"",VLOOKUP(C136,[4]List1!$A:$D,4,FALSE)),"")</f>
        <v>36</v>
      </c>
      <c r="AB136" s="720"/>
      <c r="AC136" s="747" t="str">
        <f>IFERROR(IF(VLOOKUP(C136,[1]List1!$A:$D,2,FALSE)="VYPRODÁNO",$V$9,IF(VLOOKUP(C136,[1]List1!$A:$D,2,FALSE)="DOCHÁZÍ",$V$3,VLOOKUP(C136,[1]List1!$A:$D,2,FALSE))),"OFFLINE!")</f>
        <v>SKLADEM</v>
      </c>
      <c r="AD136" s="748" t="str">
        <f ca="1">IF(AP136="NE",$V$10,IF(AC136=$V$3,IF(AQ136&lt;1,$V$8,$V$2&amp;" "&amp;AQ136&amp;" "&amp;$V$1),IF(AC136="SKLADEM",$V$6,IFERROR(IF(OR(AC136-TODAY()&gt;45,VLOOKUP(C136,[1]List1!$A:$E,4,FALSE)=0),AC136,DAY(AC136)&amp;"."&amp;MONTH(AC136)&amp;"."&amp;YEAR(AC136)&amp;" "&amp;$V$4&amp;VLOOKUP(C136,[1]List1!$A:$E,4,FALSE)&amp;" "&amp;$V$1),AC136))))</f>
        <v>SKLADEM</v>
      </c>
      <c r="AE136" s="716" t="str">
        <f t="shared" ca="1" si="187"/>
        <v>SKLADEM</v>
      </c>
      <c r="AF136" s="723">
        <f t="shared" si="188"/>
        <v>0</v>
      </c>
      <c r="AG136" s="723">
        <f t="shared" si="189"/>
        <v>0</v>
      </c>
      <c r="AH136" s="724">
        <f t="shared" si="190"/>
        <v>0</v>
      </c>
      <c r="AI136" s="716">
        <f t="shared" si="191"/>
        <v>0</v>
      </c>
      <c r="AJ136" s="716">
        <f t="shared" si="192"/>
        <v>0</v>
      </c>
      <c r="AK136" s="716" t="str">
        <f t="shared" si="193"/>
        <v/>
      </c>
      <c r="AL136" s="716" t="str">
        <f t="shared" si="194"/>
        <v/>
      </c>
      <c r="AM136" s="716">
        <f t="shared" si="195"/>
        <v>0</v>
      </c>
      <c r="AN136" s="716">
        <f t="shared" si="196"/>
        <v>0</v>
      </c>
      <c r="AO136" s="380"/>
      <c r="AP136" s="322" t="str">
        <f t="shared" si="133"/>
        <v/>
      </c>
      <c r="AQ136" s="304" t="str">
        <f>IF(AC136=$V$3,IF(VLOOKUP(C136,[1]List1!$A:$E,5,FALSE)=0,1,VLOOKUP(C136,[1]List1!$A:$E,5,FALSE)),"")</f>
        <v/>
      </c>
      <c r="AR136" s="304" t="str">
        <f t="shared" si="134"/>
        <v/>
      </c>
      <c r="AS136" s="423" t="str">
        <f t="shared" si="135"/>
        <v/>
      </c>
      <c r="AT136" s="304" t="str">
        <f t="shared" si="136"/>
        <v/>
      </c>
      <c r="AU136" s="342" t="e">
        <f t="shared" si="137"/>
        <v>#N/A</v>
      </c>
      <c r="AV136" s="304" t="e">
        <f t="shared" si="138"/>
        <v>#N/A</v>
      </c>
      <c r="AX136" s="304">
        <f>IF(AND('General price list'!$J136="F4",'General price list'!$AB136+0&gt;0),1,0)</f>
        <v>0</v>
      </c>
      <c r="AY136" s="304">
        <f t="shared" si="139"/>
        <v>1</v>
      </c>
      <c r="AZ136" s="304">
        <f t="shared" si="140"/>
        <v>0</v>
      </c>
    </row>
    <row r="137" spans="1:52" ht="15" customHeight="1">
      <c r="A137" s="773" t="str">
        <f>Kat.!C137</f>
        <v xml:space="preserve">                                                               Dýmovnice s pákovou roznětkou</v>
      </c>
      <c r="B137" s="774"/>
      <c r="C137" s="774"/>
      <c r="D137" s="774"/>
      <c r="E137" s="774"/>
      <c r="F137" s="774"/>
      <c r="G137" s="774"/>
      <c r="H137" s="774"/>
      <c r="I137" s="774"/>
      <c r="J137" s="774"/>
      <c r="K137" s="774"/>
      <c r="L137" s="774"/>
      <c r="M137" s="774"/>
      <c r="N137" s="774"/>
      <c r="O137" s="774"/>
      <c r="P137" s="774"/>
      <c r="Q137" s="774"/>
      <c r="R137" s="774"/>
      <c r="S137" s="774"/>
      <c r="T137" s="774"/>
      <c r="U137" s="774"/>
      <c r="V137" s="774"/>
      <c r="W137" s="774"/>
      <c r="X137" s="774"/>
      <c r="Y137" s="774"/>
      <c r="Z137" s="774"/>
      <c r="AA137" s="774" t="str">
        <f>IFERROR(IF(VLOOKUP(C137,[4]List1!$A:$D,4,FALSE)=0,"",VLOOKUP(C137,[4]List1!$A:$D,4,FALSE)),"")</f>
        <v/>
      </c>
      <c r="AB137" s="774"/>
      <c r="AC137" s="775" t="str">
        <f>IFERROR(IF(VLOOKUP(C137,[1]List1!$A:$D,2,FALSE)="VYPRODÁNO",$V$9,IF(VLOOKUP(C137,[1]List1!$A:$D,2,FALSE)="DOCHÁZÍ",$V$3,VLOOKUP(C137,[1]List1!$A:$D,2,FALSE))),"OFFLINE!")</f>
        <v>OFFLINE!</v>
      </c>
      <c r="AD137" s="774"/>
      <c r="AE137" s="774"/>
      <c r="AF137" s="774"/>
      <c r="AG137" s="774"/>
      <c r="AH137" s="774"/>
      <c r="AI137" s="774"/>
      <c r="AJ137" s="774"/>
      <c r="AK137" s="774"/>
      <c r="AL137" s="774"/>
      <c r="AM137" s="774"/>
      <c r="AN137" s="774"/>
      <c r="AO137" s="380"/>
      <c r="AP137" s="322" t="str">
        <f t="shared" si="133"/>
        <v/>
      </c>
      <c r="AQ137" s="323" t="str">
        <f>IF(AC137=$V$3,IF(VLOOKUP(C137,[1]List1!$A:$E,5,FALSE)=0,1,VLOOKUP(C137,[1]List1!$A:$E,5,FALSE)),"")</f>
        <v/>
      </c>
      <c r="AR137" s="304" t="str">
        <f t="shared" si="134"/>
        <v/>
      </c>
      <c r="AS137" s="423" t="str">
        <f t="shared" si="135"/>
        <v/>
      </c>
      <c r="AT137" s="304" t="str">
        <f t="shared" si="136"/>
        <v/>
      </c>
      <c r="AU137" s="342" t="e">
        <f t="shared" si="137"/>
        <v>#N/A</v>
      </c>
      <c r="AV137" s="304" t="e">
        <f t="shared" si="138"/>
        <v>#N/A</v>
      </c>
      <c r="AX137" s="304">
        <f>IF(AND('General price list'!$J137="F4",'General price list'!$AB137+0&gt;0),1,0)</f>
        <v>0</v>
      </c>
      <c r="AY137" s="304">
        <f t="shared" si="139"/>
        <v>0</v>
      </c>
      <c r="AZ137" s="304">
        <f t="shared" si="140"/>
        <v>0</v>
      </c>
    </row>
    <row r="138" spans="1:52" ht="15" customHeight="1">
      <c r="A138" s="712" t="str">
        <f>Kat.!C138</f>
        <v>×</v>
      </c>
      <c r="B138" s="713">
        <f>IF(AND('General price list'!$J138="F4",$AI$1=FALSE),0,IF(AC138="SKLADEM",1,IF(AC138=$V$3,1,0)))</f>
        <v>1</v>
      </c>
      <c r="C138" s="714" t="s">
        <v>361</v>
      </c>
      <c r="D138" s="715" t="s">
        <v>255</v>
      </c>
      <c r="E138" s="716" t="s">
        <v>362</v>
      </c>
      <c r="F138" s="712">
        <f>IFERROR(ROUND(IF($AL$3=2,VLOOKUP(C138,[2]List1!$A:$D,2,FALSE)*1.08,VLOOKUP(C138,[2]List1!$A:$D,2,FALSE)),0),"NEUVEDENO!")</f>
        <v>370</v>
      </c>
      <c r="G138" s="717">
        <f t="shared" ref="G138:G146" si="197">(F138)*$B$19</f>
        <v>370</v>
      </c>
      <c r="H138" s="718">
        <f t="shared" ref="H138:H146" si="198">G138/$F$19</f>
        <v>15.03521083835523</v>
      </c>
      <c r="I138" s="719">
        <v>25</v>
      </c>
      <c r="J138" s="716" t="s">
        <v>257</v>
      </c>
      <c r="K138" s="716" t="s">
        <v>12771</v>
      </c>
      <c r="L138" s="716" t="s">
        <v>24</v>
      </c>
      <c r="M138" s="716" t="s">
        <v>25</v>
      </c>
      <c r="N138" s="716">
        <f>IFERROR(VLOOKUP(C138,[3]List1!$A:$D,4,FALSE),"N/A!")</f>
        <v>2.0475E-2</v>
      </c>
      <c r="O138" s="716">
        <f>IFERROR(VLOOKUP(C138,[3]List1!$A:$D,3,FALSE),"N/A!")</f>
        <v>2625</v>
      </c>
      <c r="P138" s="716">
        <f>IFERROR(VLOOKUP(C138,[3]List1!$A:$D,2,FALSE),"N/A!")</f>
        <v>9500</v>
      </c>
      <c r="Q138" s="716" t="s">
        <v>2787</v>
      </c>
      <c r="R138" s="716" t="s">
        <v>24</v>
      </c>
      <c r="S138" s="716"/>
      <c r="T138" s="716">
        <v>70</v>
      </c>
      <c r="U138" s="716"/>
      <c r="V138" s="716"/>
      <c r="W138" s="716" t="str">
        <f>IFERROR(VLOOKUP('General price list'!$C138,Popisy!A:P,MATCH($W$17,Popisy!$A$7:$P$7,0),FALSE),"---------------")</f>
        <v>dýmovnice s pákovou roznětkou-bílá barva</v>
      </c>
      <c r="X138" s="716" t="str">
        <f t="shared" ref="X138:X146" si="199">IF(AB138&lt;0.0001,"",AB138)</f>
        <v/>
      </c>
      <c r="Y138" s="716" t="str">
        <f t="shared" ref="Y138:Y146" si="200">IF($AL$3=2,IF(OR(AB138&lt;&gt;"",AB138&lt;&gt;0),AU138,""),IF(C138="","",IF(AB138&lt;0.0001,"",IF(B138=0,"",IF(AQ138&lt;AB138,"",AB138)))))</f>
        <v/>
      </c>
      <c r="Z138" s="716" t="str">
        <f>HYPERLINK("https://www.klasekpyrotechnics.cz/rdg1b-p")</f>
        <v>https://www.klasekpyrotechnics.cz/rdg1b-p</v>
      </c>
      <c r="AA138" s="716">
        <f>IFERROR(IF(VLOOKUP(C138,[4]List1!$A:$D,4,FALSE)=0,"",VLOOKUP(C138,[4]List1!$A:$D,4,FALSE)),"")</f>
        <v>60</v>
      </c>
      <c r="AB138" s="720"/>
      <c r="AC138" s="721" t="str">
        <f>IFERROR(IF(VLOOKUP(C138,[1]List1!$A:$D,2,FALSE)="VYPRODÁNO",$V$9,IF(VLOOKUP(C138,[1]List1!$A:$D,2,FALSE)="DOCHÁZÍ",$V$3,VLOOKUP(C138,[1]List1!$A:$D,2,FALSE))),"OFFLINE!")</f>
        <v>DOCHÁZÍ</v>
      </c>
      <c r="AD138" s="722" t="str">
        <f ca="1">IF(AP138="NE",$V$10,IF(AC138=$V$3,IF(AQ138&lt;1,$V$8,$V$2&amp;" "&amp;AQ138&amp;" "&amp;$V$1),IF(AC138="SKLADEM",$V$6,IFERROR(IF(OR(AC138-TODAY()&gt;45,VLOOKUP(C138,[1]List1!$A:$E,4,FALSE)=0),AC138,DAY(AC138)&amp;"."&amp;MONTH(AC138)&amp;"."&amp;YEAR(AC138)&amp;" "&amp;$V$4&amp;VLOOKUP(C138,[1]List1!$A:$E,4,FALSE)&amp;" "&amp;$V$1),AC138))))</f>
        <v>POSLEDNÍCH 2 VK</v>
      </c>
      <c r="AE138" s="716" t="str">
        <f t="shared" ref="AE138:AE146" ca="1" si="201">IFERROR(IF(AV138&lt;&gt;"",AV138,AD138),AD138)</f>
        <v>POSLEDNÍCH 2 VK</v>
      </c>
      <c r="AF138" s="723">
        <f t="shared" ref="AF138:AF146" si="202">IFERROR(IF(AB138=Y138,G138*I138*Y138,0),0)</f>
        <v>0</v>
      </c>
      <c r="AG138" s="723">
        <f t="shared" ref="AG138:AG146" si="203">IF($W$17=$AF$8,AH138*1.23,AF138*1.21)</f>
        <v>0</v>
      </c>
      <c r="AH138" s="724">
        <f t="shared" ref="AH138:AH146" si="204">IFERROR(IF(Y138=AB138,H138*I138*Y138,0),0)</f>
        <v>0</v>
      </c>
      <c r="AI138" s="716">
        <f t="shared" ref="AI138:AI146" si="205">IFERROR(IF(Y138=AB138,(P138*Y138)/1000,1),0)</f>
        <v>0</v>
      </c>
      <c r="AJ138" s="716">
        <f t="shared" ref="AJ138:AJ146" si="206">IFERROR(IF(Y138=AB138,N138*Y138,0.1),0)</f>
        <v>0</v>
      </c>
      <c r="AK138" s="716" t="str">
        <f t="shared" ref="AK138:AK146" si="207">IFERROR(IF(Y138=AB138,IF(M138="1.1G",(O138/1000)*Y138,""),""),0)</f>
        <v/>
      </c>
      <c r="AL138" s="716" t="str">
        <f t="shared" ref="AL138:AL146" si="208">IFERROR(IF(Y138=AB138,IF(M138="1.3G",(O138/1000)*AB138,""),""),0)</f>
        <v/>
      </c>
      <c r="AM138" s="716">
        <f t="shared" ref="AM138:AM146" si="209">IFERROR(IF(Y138=AB138,IF(M138="1.4G",(O138/1000)*AB138,""),""),0)</f>
        <v>0</v>
      </c>
      <c r="AN138" s="716">
        <f t="shared" ref="AN138:AN146" si="210">SUM(AK138:AM138)</f>
        <v>0</v>
      </c>
      <c r="AO138" s="380"/>
      <c r="AP138" s="322" t="str">
        <f t="shared" si="133"/>
        <v/>
      </c>
      <c r="AQ138" s="323">
        <f>IF(AC138=$V$3,IF(VLOOKUP(C138,[1]List1!$A:$E,5,FALSE)=0,1,VLOOKUP(C138,[1]List1!$A:$E,5,FALSE)),"")</f>
        <v>2</v>
      </c>
      <c r="AR138" s="304" t="str">
        <f t="shared" si="134"/>
        <v/>
      </c>
      <c r="AS138" s="423" t="str">
        <f t="shared" si="135"/>
        <v/>
      </c>
      <c r="AT138" s="304" t="str">
        <f t="shared" si="136"/>
        <v/>
      </c>
      <c r="AU138" s="342" t="e">
        <f t="shared" si="137"/>
        <v>#N/A</v>
      </c>
      <c r="AV138" s="304" t="e">
        <f t="shared" si="138"/>
        <v>#N/A</v>
      </c>
      <c r="AX138" s="304">
        <f>IF(AND('General price list'!$J138="F4",'General price list'!$AB138+0&gt;0),1,0)</f>
        <v>0</v>
      </c>
      <c r="AY138" s="304">
        <f t="shared" si="139"/>
        <v>1</v>
      </c>
      <c r="AZ138" s="304">
        <f t="shared" si="140"/>
        <v>0</v>
      </c>
    </row>
    <row r="139" spans="1:52" ht="15" customHeight="1">
      <c r="A139" s="725" t="str">
        <f>Kat.!C139</f>
        <v>×</v>
      </c>
      <c r="B139" s="726">
        <f>IF(AND('General price list'!$J139="F4",$AI$1=FALSE),0,IF(AC139="SKLADEM",1,IF(AC139=$V$3,1,0)))</f>
        <v>1</v>
      </c>
      <c r="C139" s="727" t="s">
        <v>367</v>
      </c>
      <c r="D139" s="728" t="s">
        <v>263</v>
      </c>
      <c r="E139" s="729" t="s">
        <v>362</v>
      </c>
      <c r="F139" s="725">
        <f>IFERROR(ROUND(IF($AL$3=2,VLOOKUP(C139,[2]List1!$A:$D,2,FALSE)*1.08,VLOOKUP(C139,[2]List1!$A:$D,2,FALSE)),0),"NEUVEDENO!")</f>
        <v>370</v>
      </c>
      <c r="G139" s="730">
        <f t="shared" si="197"/>
        <v>370</v>
      </c>
      <c r="H139" s="731">
        <f t="shared" si="198"/>
        <v>15.03521083835523</v>
      </c>
      <c r="I139" s="732">
        <v>25</v>
      </c>
      <c r="J139" s="729" t="s">
        <v>257</v>
      </c>
      <c r="K139" s="729" t="s">
        <v>12771</v>
      </c>
      <c r="L139" s="729" t="s">
        <v>24</v>
      </c>
      <c r="M139" s="729" t="s">
        <v>25</v>
      </c>
      <c r="N139" s="729">
        <f>IFERROR(VLOOKUP(C139,[3]List1!$A:$D,4,FALSE),"N/A!")</f>
        <v>2.0475E-2</v>
      </c>
      <c r="O139" s="729">
        <f>IFERROR(VLOOKUP(C139,[3]List1!$A:$D,3,FALSE),"N/A!")</f>
        <v>2625</v>
      </c>
      <c r="P139" s="729">
        <f>IFERROR(VLOOKUP(C139,[3]List1!$A:$D,2,FALSE),"N/A!")</f>
        <v>9500</v>
      </c>
      <c r="Q139" s="729" t="s">
        <v>2787</v>
      </c>
      <c r="R139" s="729" t="s">
        <v>24</v>
      </c>
      <c r="S139" s="729"/>
      <c r="T139" s="729">
        <v>70</v>
      </c>
      <c r="U139" s="729"/>
      <c r="V139" s="729"/>
      <c r="W139" s="729" t="str">
        <f>IFERROR(VLOOKUP('General price list'!$C139,Popisy!A:P,MATCH($W$17,Popisy!$A$7:$P$7,0),FALSE),"---------------")</f>
        <v>dýmovnice s pákovou roznětkou-červená barva</v>
      </c>
      <c r="X139" s="729" t="str">
        <f t="shared" si="199"/>
        <v/>
      </c>
      <c r="Y139" s="729" t="str">
        <f t="shared" si="200"/>
        <v/>
      </c>
      <c r="Z139" s="729" t="str">
        <f>HYPERLINK("https://www.klasekpyrotechnics.cz/rdg1c-p")</f>
        <v>https://www.klasekpyrotechnics.cz/rdg1c-p</v>
      </c>
      <c r="AA139" s="729">
        <f>IFERROR(IF(VLOOKUP(C139,[4]List1!$A:$D,4,FALSE)=0,"",VLOOKUP(C139,[4]List1!$A:$D,4,FALSE)),"")</f>
        <v>60</v>
      </c>
      <c r="AB139" s="720"/>
      <c r="AC139" s="733" t="str">
        <f>IFERROR(IF(VLOOKUP(C139,[1]List1!$A:$D,2,FALSE)="VYPRODÁNO",$V$9,IF(VLOOKUP(C139,[1]List1!$A:$D,2,FALSE)="DOCHÁZÍ",$V$3,VLOOKUP(C139,[1]List1!$A:$D,2,FALSE))),"OFFLINE!")</f>
        <v>SKLADEM</v>
      </c>
      <c r="AD139" s="734" t="str">
        <f ca="1">IF(AP139="NE",$V$10,IF(AC139=$V$3,IF(AQ139&lt;1,$V$8,$V$2&amp;" "&amp;AQ139&amp;" "&amp;$V$1),IF(AC139="SKLADEM",$V$6,IFERROR(IF(OR(AC139-TODAY()&gt;45,VLOOKUP(C139,[1]List1!$A:$E,4,FALSE)=0),AC139,DAY(AC139)&amp;"."&amp;MONTH(AC139)&amp;"."&amp;YEAR(AC139)&amp;" "&amp;$V$4&amp;VLOOKUP(C139,[1]List1!$A:$E,4,FALSE)&amp;" "&amp;$V$1),AC139))))</f>
        <v>SKLADEM</v>
      </c>
      <c r="AE139" s="729" t="str">
        <f t="shared" ca="1" si="201"/>
        <v>SKLADEM</v>
      </c>
      <c r="AF139" s="735">
        <f t="shared" si="202"/>
        <v>0</v>
      </c>
      <c r="AG139" s="735">
        <f t="shared" si="203"/>
        <v>0</v>
      </c>
      <c r="AH139" s="736">
        <f t="shared" si="204"/>
        <v>0</v>
      </c>
      <c r="AI139" s="729">
        <f t="shared" si="205"/>
        <v>0</v>
      </c>
      <c r="AJ139" s="729">
        <f t="shared" si="206"/>
        <v>0</v>
      </c>
      <c r="AK139" s="729" t="str">
        <f t="shared" si="207"/>
        <v/>
      </c>
      <c r="AL139" s="729" t="str">
        <f t="shared" si="208"/>
        <v/>
      </c>
      <c r="AM139" s="729">
        <f t="shared" si="209"/>
        <v>0</v>
      </c>
      <c r="AN139" s="729">
        <f t="shared" si="210"/>
        <v>0</v>
      </c>
      <c r="AO139" s="380"/>
      <c r="AP139" s="322" t="str">
        <f t="shared" si="133"/>
        <v/>
      </c>
      <c r="AQ139" s="323" t="str">
        <f>IF(AC139=$V$3,IF(VLOOKUP(C139,[1]List1!$A:$E,5,FALSE)=0,1,VLOOKUP(C139,[1]List1!$A:$E,5,FALSE)),"")</f>
        <v/>
      </c>
      <c r="AR139" s="304" t="str">
        <f t="shared" si="134"/>
        <v/>
      </c>
      <c r="AS139" s="423" t="str">
        <f t="shared" si="135"/>
        <v/>
      </c>
      <c r="AT139" s="304" t="str">
        <f t="shared" si="136"/>
        <v/>
      </c>
      <c r="AU139" s="342" t="e">
        <f t="shared" si="137"/>
        <v>#N/A</v>
      </c>
      <c r="AV139" s="304" t="e">
        <f t="shared" si="138"/>
        <v>#N/A</v>
      </c>
      <c r="AX139" s="304">
        <f>IF(AND('General price list'!$J139="F4",'General price list'!$AB139+0&gt;0),1,0)</f>
        <v>0</v>
      </c>
      <c r="AY139" s="304">
        <f t="shared" si="139"/>
        <v>1</v>
      </c>
      <c r="AZ139" s="304">
        <f t="shared" si="140"/>
        <v>0</v>
      </c>
    </row>
    <row r="140" spans="1:52" ht="15" customHeight="1">
      <c r="A140" s="712" t="str">
        <f>Kat.!C140</f>
        <v>×</v>
      </c>
      <c r="B140" s="737">
        <f>IF(AND('General price list'!$J140="F4",$AI$1=FALSE),0,IF(AC140="SKLADEM",1,IF(AC140=$V$3,1,0)))</f>
        <v>1</v>
      </c>
      <c r="C140" s="714" t="s">
        <v>371</v>
      </c>
      <c r="D140" s="715" t="s">
        <v>269</v>
      </c>
      <c r="E140" s="716" t="s">
        <v>362</v>
      </c>
      <c r="F140" s="712">
        <f>IFERROR(ROUND(IF($AL$3=2,VLOOKUP(C140,[2]List1!$A:$D,2,FALSE)*1.08,VLOOKUP(C140,[2]List1!$A:$D,2,FALSE)),0),"NEUVEDENO!")</f>
        <v>370</v>
      </c>
      <c r="G140" s="717">
        <f t="shared" si="197"/>
        <v>370</v>
      </c>
      <c r="H140" s="718">
        <f t="shared" si="198"/>
        <v>15.03521083835523</v>
      </c>
      <c r="I140" s="738">
        <v>25</v>
      </c>
      <c r="J140" s="716" t="s">
        <v>257</v>
      </c>
      <c r="K140" s="716" t="s">
        <v>12771</v>
      </c>
      <c r="L140" s="716" t="s">
        <v>24</v>
      </c>
      <c r="M140" s="716" t="s">
        <v>25</v>
      </c>
      <c r="N140" s="716">
        <f>IFERROR(VLOOKUP(C140,[3]List1!$A:$D,4,FALSE),"N/A!")</f>
        <v>2.0475E-2</v>
      </c>
      <c r="O140" s="716">
        <f>IFERROR(VLOOKUP(C140,[3]List1!$A:$D,3,FALSE),"N/A!")</f>
        <v>2625</v>
      </c>
      <c r="P140" s="716">
        <f>IFERROR(VLOOKUP(C140,[3]List1!$A:$D,2,FALSE),"N/A!")</f>
        <v>9500</v>
      </c>
      <c r="Q140" s="716" t="s">
        <v>2787</v>
      </c>
      <c r="R140" s="716" t="s">
        <v>24</v>
      </c>
      <c r="S140" s="716"/>
      <c r="T140" s="716">
        <v>70</v>
      </c>
      <c r="U140" s="716"/>
      <c r="V140" s="716"/>
      <c r="W140" s="716" t="str">
        <f>IFERROR(VLOOKUP('General price list'!$C140,Popisy!A:P,MATCH($W$17,Popisy!$A$7:$P$7,0),FALSE),"---------------")</f>
        <v>dýmovnice s pákovou roznětkou-modrá barva</v>
      </c>
      <c r="X140" s="716" t="str">
        <f t="shared" si="199"/>
        <v/>
      </c>
      <c r="Y140" s="716" t="str">
        <f t="shared" si="200"/>
        <v/>
      </c>
      <c r="Z140" s="716" t="str">
        <f>HYPERLINK("https://www.klasekpyrotechnics.cz/rdg1m-p")</f>
        <v>https://www.klasekpyrotechnics.cz/rdg1m-p</v>
      </c>
      <c r="AA140" s="716">
        <f>IFERROR(IF(VLOOKUP(C140,[4]List1!$A:$D,4,FALSE)=0,"",VLOOKUP(C140,[4]List1!$A:$D,4,FALSE)),"")</f>
        <v>60</v>
      </c>
      <c r="AB140" s="720"/>
      <c r="AC140" s="739" t="str">
        <f>IFERROR(IF(VLOOKUP(C140,[1]List1!$A:$D,2,FALSE)="VYPRODÁNO",$V$9,IF(VLOOKUP(C140,[1]List1!$A:$D,2,FALSE)="DOCHÁZÍ",$V$3,VLOOKUP(C140,[1]List1!$A:$D,2,FALSE))),"OFFLINE!")</f>
        <v>DOCHÁZÍ</v>
      </c>
      <c r="AD140" s="740" t="str">
        <f ca="1">IF(AP140="NE",$V$10,IF(AC140=$V$3,IF(AQ140&lt;1,$V$8,$V$2&amp;" "&amp;AQ140&amp;" "&amp;$V$1),IF(AC140="SKLADEM",$V$6,IFERROR(IF(OR(AC140-TODAY()&gt;45,VLOOKUP(C140,[1]List1!$A:$E,4,FALSE)=0),AC140,DAY(AC140)&amp;"."&amp;MONTH(AC140)&amp;"."&amp;YEAR(AC140)&amp;" "&amp;$V$4&amp;VLOOKUP(C140,[1]List1!$A:$E,4,FALSE)&amp;" "&amp;$V$1),AC140))))</f>
        <v>POSLEDNÍCH 4 VK</v>
      </c>
      <c r="AE140" s="716" t="str">
        <f t="shared" ca="1" si="201"/>
        <v>POSLEDNÍCH 4 VK</v>
      </c>
      <c r="AF140" s="723">
        <f t="shared" si="202"/>
        <v>0</v>
      </c>
      <c r="AG140" s="723">
        <f t="shared" si="203"/>
        <v>0</v>
      </c>
      <c r="AH140" s="724">
        <f t="shared" si="204"/>
        <v>0</v>
      </c>
      <c r="AI140" s="716">
        <f t="shared" si="205"/>
        <v>0</v>
      </c>
      <c r="AJ140" s="716">
        <f t="shared" si="206"/>
        <v>0</v>
      </c>
      <c r="AK140" s="716" t="str">
        <f t="shared" si="207"/>
        <v/>
      </c>
      <c r="AL140" s="716" t="str">
        <f t="shared" si="208"/>
        <v/>
      </c>
      <c r="AM140" s="716">
        <f t="shared" si="209"/>
        <v>0</v>
      </c>
      <c r="AN140" s="716">
        <f t="shared" si="210"/>
        <v>0</v>
      </c>
      <c r="AO140" s="380"/>
      <c r="AP140" s="322" t="str">
        <f t="shared" si="133"/>
        <v/>
      </c>
      <c r="AQ140" s="323">
        <f>IF(AC140=$V$3,IF(VLOOKUP(C140,[1]List1!$A:$E,5,FALSE)=0,1,VLOOKUP(C140,[1]List1!$A:$E,5,FALSE)),"")</f>
        <v>4</v>
      </c>
      <c r="AR140" s="304" t="str">
        <f t="shared" si="134"/>
        <v/>
      </c>
      <c r="AS140" s="423" t="str">
        <f t="shared" si="135"/>
        <v/>
      </c>
      <c r="AT140" s="304" t="str">
        <f t="shared" si="136"/>
        <v/>
      </c>
      <c r="AU140" s="342" t="e">
        <f t="shared" si="137"/>
        <v>#N/A</v>
      </c>
      <c r="AV140" s="304" t="e">
        <f t="shared" si="138"/>
        <v>#N/A</v>
      </c>
      <c r="AX140" s="304">
        <f>IF(AND('General price list'!$J140="F4",'General price list'!$AB140+0&gt;0),1,0)</f>
        <v>0</v>
      </c>
      <c r="AY140" s="304">
        <f t="shared" si="139"/>
        <v>1</v>
      </c>
      <c r="AZ140" s="304">
        <f t="shared" si="140"/>
        <v>0</v>
      </c>
    </row>
    <row r="141" spans="1:52" ht="15" customHeight="1">
      <c r="A141" s="725" t="str">
        <f>Kat.!C141</f>
        <v>×</v>
      </c>
      <c r="B141" s="726">
        <f>IF(AND('General price list'!$J141="F4",$AI$1=FALSE),0,IF(AC141="SKLADEM",1,IF(AC141=$V$3,1,0)))</f>
        <v>1</v>
      </c>
      <c r="C141" s="727" t="s">
        <v>376</v>
      </c>
      <c r="D141" s="728" t="s">
        <v>275</v>
      </c>
      <c r="E141" s="729" t="s">
        <v>362</v>
      </c>
      <c r="F141" s="725">
        <f>IFERROR(ROUND(IF($AL$3=2,VLOOKUP(C141,[2]List1!$A:$D,2,FALSE)*1.08,VLOOKUP(C141,[2]List1!$A:$D,2,FALSE)),0),"NEUVEDENO!")</f>
        <v>370</v>
      </c>
      <c r="G141" s="730">
        <f t="shared" si="197"/>
        <v>370</v>
      </c>
      <c r="H141" s="731">
        <f t="shared" si="198"/>
        <v>15.03521083835523</v>
      </c>
      <c r="I141" s="732">
        <v>25</v>
      </c>
      <c r="J141" s="729" t="s">
        <v>257</v>
      </c>
      <c r="K141" s="729" t="s">
        <v>12771</v>
      </c>
      <c r="L141" s="729" t="s">
        <v>24</v>
      </c>
      <c r="M141" s="729" t="s">
        <v>25</v>
      </c>
      <c r="N141" s="729">
        <f>IFERROR(VLOOKUP(C141,[3]List1!$A:$D,4,FALSE),"N/A!")</f>
        <v>2.0475E-2</v>
      </c>
      <c r="O141" s="729">
        <f>IFERROR(VLOOKUP(C141,[3]List1!$A:$D,3,FALSE),"N/A!")</f>
        <v>2625</v>
      </c>
      <c r="P141" s="729">
        <f>IFERROR(VLOOKUP(C141,[3]List1!$A:$D,2,FALSE),"N/A!")</f>
        <v>9500</v>
      </c>
      <c r="Q141" s="729" t="s">
        <v>2787</v>
      </c>
      <c r="R141" s="729" t="s">
        <v>24</v>
      </c>
      <c r="S141" s="729"/>
      <c r="T141" s="729">
        <v>70</v>
      </c>
      <c r="U141" s="729"/>
      <c r="V141" s="729"/>
      <c r="W141" s="729" t="str">
        <f>IFERROR(VLOOKUP('General price list'!$C141,Popisy!A:P,MATCH($W$17,Popisy!$A$7:$P$7,0),FALSE),"---------------")</f>
        <v>dýmovnice s pákovou roznětkou-žlutá barva</v>
      </c>
      <c r="X141" s="729" t="str">
        <f t="shared" si="199"/>
        <v/>
      </c>
      <c r="Y141" s="729" t="str">
        <f t="shared" si="200"/>
        <v/>
      </c>
      <c r="Z141" s="729" t="str">
        <f>HYPERLINK("https://www.klasekpyrotechnics.cz/rdg1zl-p")</f>
        <v>https://www.klasekpyrotechnics.cz/rdg1zl-p</v>
      </c>
      <c r="AA141" s="729">
        <f>IFERROR(IF(VLOOKUP(C141,[4]List1!$A:$D,4,FALSE)=0,"",VLOOKUP(C141,[4]List1!$A:$D,4,FALSE)),"")</f>
        <v>60</v>
      </c>
      <c r="AB141" s="720"/>
      <c r="AC141" s="733" t="str">
        <f>IFERROR(IF(VLOOKUP(C141,[1]List1!$A:$D,2,FALSE)="VYPRODÁNO",$V$9,IF(VLOOKUP(C141,[1]List1!$A:$D,2,FALSE)="DOCHÁZÍ",$V$3,VLOOKUP(C141,[1]List1!$A:$D,2,FALSE))),"OFFLINE!")</f>
        <v>SKLADEM</v>
      </c>
      <c r="AD141" s="734" t="str">
        <f ca="1">IF(AP141="NE",$V$10,IF(AC141=$V$3,IF(AQ141&lt;1,$V$8,$V$2&amp;" "&amp;AQ141&amp;" "&amp;$V$1),IF(AC141="SKLADEM",$V$6,IFERROR(IF(OR(AC141-TODAY()&gt;45,VLOOKUP(C141,[1]List1!$A:$E,4,FALSE)=0),AC141,DAY(AC141)&amp;"."&amp;MONTH(AC141)&amp;"."&amp;YEAR(AC141)&amp;" "&amp;$V$4&amp;VLOOKUP(C141,[1]List1!$A:$E,4,FALSE)&amp;" "&amp;$V$1),AC141))))</f>
        <v>SKLADEM</v>
      </c>
      <c r="AE141" s="729" t="str">
        <f t="shared" ca="1" si="201"/>
        <v>SKLADEM</v>
      </c>
      <c r="AF141" s="735">
        <f t="shared" si="202"/>
        <v>0</v>
      </c>
      <c r="AG141" s="735">
        <f t="shared" si="203"/>
        <v>0</v>
      </c>
      <c r="AH141" s="736">
        <f t="shared" si="204"/>
        <v>0</v>
      </c>
      <c r="AI141" s="729">
        <f t="shared" si="205"/>
        <v>0</v>
      </c>
      <c r="AJ141" s="729">
        <f t="shared" si="206"/>
        <v>0</v>
      </c>
      <c r="AK141" s="729" t="str">
        <f t="shared" si="207"/>
        <v/>
      </c>
      <c r="AL141" s="729" t="str">
        <f t="shared" si="208"/>
        <v/>
      </c>
      <c r="AM141" s="729">
        <f t="shared" si="209"/>
        <v>0</v>
      </c>
      <c r="AN141" s="729">
        <f t="shared" si="210"/>
        <v>0</v>
      </c>
      <c r="AO141" s="380"/>
      <c r="AP141" s="322" t="str">
        <f t="shared" si="133"/>
        <v/>
      </c>
      <c r="AQ141" s="323" t="str">
        <f>IF(AC141=$V$3,IF(VLOOKUP(C141,[1]List1!$A:$E,5,FALSE)=0,1,VLOOKUP(C141,[1]List1!$A:$E,5,FALSE)),"")</f>
        <v/>
      </c>
      <c r="AR141" s="304" t="str">
        <f t="shared" si="134"/>
        <v/>
      </c>
      <c r="AS141" s="423" t="str">
        <f t="shared" si="135"/>
        <v/>
      </c>
      <c r="AT141" s="304" t="str">
        <f t="shared" si="136"/>
        <v/>
      </c>
      <c r="AU141" s="342" t="e">
        <f t="shared" si="137"/>
        <v>#N/A</v>
      </c>
      <c r="AV141" s="304" t="e">
        <f t="shared" si="138"/>
        <v>#N/A</v>
      </c>
      <c r="AX141" s="304">
        <f>IF(AND('General price list'!$J141="F4",'General price list'!$AB141+0&gt;0),1,0)</f>
        <v>0</v>
      </c>
      <c r="AY141" s="304">
        <f t="shared" si="139"/>
        <v>1</v>
      </c>
      <c r="AZ141" s="304">
        <f t="shared" si="140"/>
        <v>0</v>
      </c>
    </row>
    <row r="142" spans="1:52" ht="15" customHeight="1">
      <c r="A142" s="712" t="str">
        <f>Kat.!C142</f>
        <v>×</v>
      </c>
      <c r="B142" s="737">
        <f>IF(AND('General price list'!$J142="F4",$AI$1=FALSE),0,IF(AC142="SKLADEM",1,IF(AC142=$V$3,1,0)))</f>
        <v>1</v>
      </c>
      <c r="C142" s="714" t="s">
        <v>380</v>
      </c>
      <c r="D142" s="715" t="s">
        <v>275</v>
      </c>
      <c r="E142" s="716" t="s">
        <v>362</v>
      </c>
      <c r="F142" s="712">
        <f>IFERROR(ROUND(IF($AL$3=2,VLOOKUP(C142,[2]List1!$A:$D,2,FALSE)*1.08,VLOOKUP(C142,[2]List1!$A:$D,2,FALSE)),0),"NEUVEDENO!")</f>
        <v>370</v>
      </c>
      <c r="G142" s="717">
        <f t="shared" si="197"/>
        <v>370</v>
      </c>
      <c r="H142" s="718">
        <f t="shared" si="198"/>
        <v>15.03521083835523</v>
      </c>
      <c r="I142" s="738">
        <v>25</v>
      </c>
      <c r="J142" s="716" t="s">
        <v>257</v>
      </c>
      <c r="K142" s="716" t="s">
        <v>12771</v>
      </c>
      <c r="L142" s="716" t="s">
        <v>24</v>
      </c>
      <c r="M142" s="716" t="s">
        <v>25</v>
      </c>
      <c r="N142" s="716">
        <f>IFERROR(VLOOKUP(C142,[3]List1!$A:$D,4,FALSE),"N/A!")</f>
        <v>2.0475E-2</v>
      </c>
      <c r="O142" s="716">
        <f>IFERROR(VLOOKUP(C142,[3]List1!$A:$D,3,FALSE),"N/A!")</f>
        <v>2625</v>
      </c>
      <c r="P142" s="716">
        <f>IFERROR(VLOOKUP(C142,[3]List1!$A:$D,2,FALSE),"N/A!")</f>
        <v>9500</v>
      </c>
      <c r="Q142" s="716" t="s">
        <v>739</v>
      </c>
      <c r="R142" s="716" t="s">
        <v>24</v>
      </c>
      <c r="S142" s="716"/>
      <c r="T142" s="716">
        <v>70</v>
      </c>
      <c r="U142" s="716"/>
      <c r="V142" s="716"/>
      <c r="W142" s="716" t="str">
        <f>IFERROR(VLOOKUP('General price list'!$C142,Popisy!A:P,MATCH($W$17,Popisy!$A$7:$P$7,0),FALSE),"---------------")</f>
        <v>dýmovnice s pákovou roznětkou-žlutá barva</v>
      </c>
      <c r="X142" s="716" t="str">
        <f t="shared" si="199"/>
        <v/>
      </c>
      <c r="Y142" s="716" t="str">
        <f t="shared" si="200"/>
        <v/>
      </c>
      <c r="Z142" s="716" t="str">
        <f>HYPERLINK("https://www.klasekpyrotechnics.cz/rdg1zl-p_1")</f>
        <v>https://www.klasekpyrotechnics.cz/rdg1zl-p_1</v>
      </c>
      <c r="AA142" s="716">
        <f>IFERROR(IF(VLOOKUP(C142,[4]List1!$A:$D,4,FALSE)=0,"",VLOOKUP(C142,[4]List1!$A:$D,4,FALSE)),"")</f>
        <v>60</v>
      </c>
      <c r="AB142" s="720"/>
      <c r="AC142" s="739" t="str">
        <f>IFERROR(IF(VLOOKUP(C142,[1]List1!$A:$D,2,FALSE)="VYPRODÁNO",$V$9,IF(VLOOKUP(C142,[1]List1!$A:$D,2,FALSE)="DOCHÁZÍ",$V$3,VLOOKUP(C142,[1]List1!$A:$D,2,FALSE))),"OFFLINE!")</f>
        <v>SKLADEM</v>
      </c>
      <c r="AD142" s="740" t="str">
        <f ca="1">IF(AP142="NE",$V$10,IF(AC142=$V$3,IF(AQ142&lt;1,$V$8,$V$2&amp;" "&amp;AQ142&amp;" "&amp;$V$1),IF(AC142="SKLADEM",$V$6,IFERROR(IF(OR(AC142-TODAY()&gt;45,VLOOKUP(C142,[1]List1!$A:$E,4,FALSE)=0),AC142,DAY(AC142)&amp;"."&amp;MONTH(AC142)&amp;"."&amp;YEAR(AC142)&amp;" "&amp;$V$4&amp;VLOOKUP(C142,[1]List1!$A:$E,4,FALSE)&amp;" "&amp;$V$1),AC142))))</f>
        <v>SKLADEM</v>
      </c>
      <c r="AE142" s="716" t="str">
        <f t="shared" ca="1" si="201"/>
        <v>SKLADEM</v>
      </c>
      <c r="AF142" s="723">
        <f t="shared" si="202"/>
        <v>0</v>
      </c>
      <c r="AG142" s="723">
        <f t="shared" si="203"/>
        <v>0</v>
      </c>
      <c r="AH142" s="724">
        <f t="shared" si="204"/>
        <v>0</v>
      </c>
      <c r="AI142" s="716">
        <f t="shared" si="205"/>
        <v>0</v>
      </c>
      <c r="AJ142" s="716">
        <f t="shared" si="206"/>
        <v>0</v>
      </c>
      <c r="AK142" s="716" t="str">
        <f t="shared" si="207"/>
        <v/>
      </c>
      <c r="AL142" s="716" t="str">
        <f t="shared" si="208"/>
        <v/>
      </c>
      <c r="AM142" s="716">
        <f t="shared" si="209"/>
        <v>0</v>
      </c>
      <c r="AN142" s="716">
        <f t="shared" si="210"/>
        <v>0</v>
      </c>
      <c r="AO142" s="380"/>
      <c r="AP142" s="322" t="str">
        <f t="shared" si="133"/>
        <v/>
      </c>
      <c r="AQ142" s="323" t="str">
        <f>IF(AC142=$V$3,IF(VLOOKUP(C142,[1]List1!$A:$E,5,FALSE)=0,1,VLOOKUP(C142,[1]List1!$A:$E,5,FALSE)),"")</f>
        <v/>
      </c>
      <c r="AR142" s="304" t="str">
        <f t="shared" si="134"/>
        <v/>
      </c>
      <c r="AS142" s="423" t="str">
        <f t="shared" si="135"/>
        <v/>
      </c>
      <c r="AT142" s="304" t="str">
        <f t="shared" si="136"/>
        <v/>
      </c>
      <c r="AU142" s="342" t="e">
        <f t="shared" si="137"/>
        <v>#N/A</v>
      </c>
      <c r="AV142" s="304" t="e">
        <f t="shared" si="138"/>
        <v>#N/A</v>
      </c>
      <c r="AX142" s="304">
        <f>IF(AND('General price list'!$J142="F4",'General price list'!$AB142+0&gt;0),1,0)</f>
        <v>0</v>
      </c>
      <c r="AY142" s="304">
        <f t="shared" si="139"/>
        <v>1</v>
      </c>
      <c r="AZ142" s="304">
        <f t="shared" si="140"/>
        <v>0</v>
      </c>
    </row>
    <row r="143" spans="1:52" ht="15" customHeight="1">
      <c r="A143" s="725" t="str">
        <f>Kat.!C143</f>
        <v>×</v>
      </c>
      <c r="B143" s="726">
        <f>IF(AND('General price list'!$J143="F4",$AI$1=FALSE),0,IF(AC143="SKLADEM",1,IF(AC143=$V$3,1,0)))</f>
        <v>1</v>
      </c>
      <c r="C143" s="727" t="s">
        <v>381</v>
      </c>
      <c r="D143" s="728" t="s">
        <v>281</v>
      </c>
      <c r="E143" s="729" t="s">
        <v>362</v>
      </c>
      <c r="F143" s="725">
        <f>IFERROR(ROUND(IF($AL$3=2,VLOOKUP(C143,[2]List1!$A:$D,2,FALSE)*1.08,VLOOKUP(C143,[2]List1!$A:$D,2,FALSE)),0),"NEUVEDENO!")</f>
        <v>370</v>
      </c>
      <c r="G143" s="730">
        <f t="shared" si="197"/>
        <v>370</v>
      </c>
      <c r="H143" s="731">
        <f t="shared" si="198"/>
        <v>15.03521083835523</v>
      </c>
      <c r="I143" s="732">
        <v>25</v>
      </c>
      <c r="J143" s="729" t="s">
        <v>257</v>
      </c>
      <c r="K143" s="729" t="s">
        <v>12771</v>
      </c>
      <c r="L143" s="729" t="s">
        <v>24</v>
      </c>
      <c r="M143" s="729" t="s">
        <v>25</v>
      </c>
      <c r="N143" s="729">
        <f>IFERROR(VLOOKUP(C143,[3]List1!$A:$D,4,FALSE),"N/A!")</f>
        <v>2.0475E-2</v>
      </c>
      <c r="O143" s="729">
        <f>IFERROR(VLOOKUP(C143,[3]List1!$A:$D,3,FALSE),"N/A!")</f>
        <v>2625</v>
      </c>
      <c r="P143" s="729">
        <f>IFERROR(VLOOKUP(C143,[3]List1!$A:$D,2,FALSE),"N/A!")</f>
        <v>9500</v>
      </c>
      <c r="Q143" s="729" t="s">
        <v>2787</v>
      </c>
      <c r="R143" s="729" t="s">
        <v>24</v>
      </c>
      <c r="S143" s="729"/>
      <c r="T143" s="729">
        <v>70</v>
      </c>
      <c r="U143" s="729"/>
      <c r="V143" s="729"/>
      <c r="W143" s="729" t="str">
        <f>IFERROR(VLOOKUP('General price list'!$C143,Popisy!A:P,MATCH($W$17,Popisy!$A$7:$P$7,0),FALSE),"---------------")</f>
        <v>dýmovnice s pákovou roznětkou-zelená barva</v>
      </c>
      <c r="X143" s="729" t="str">
        <f t="shared" si="199"/>
        <v/>
      </c>
      <c r="Y143" s="729" t="str">
        <f t="shared" si="200"/>
        <v/>
      </c>
      <c r="Z143" s="729" t="str">
        <f>HYPERLINK("https://www.klasekpyrotechnics.cz/rdg1ze-p")</f>
        <v>https://www.klasekpyrotechnics.cz/rdg1ze-p</v>
      </c>
      <c r="AA143" s="729">
        <f>IFERROR(IF(VLOOKUP(C143,[4]List1!$A:$D,4,FALSE)=0,"",VLOOKUP(C143,[4]List1!$A:$D,4,FALSE)),"")</f>
        <v>60</v>
      </c>
      <c r="AB143" s="720"/>
      <c r="AC143" s="733" t="str">
        <f>IFERROR(IF(VLOOKUP(C143,[1]List1!$A:$D,2,FALSE)="VYPRODÁNO",$V$9,IF(VLOOKUP(C143,[1]List1!$A:$D,2,FALSE)="DOCHÁZÍ",$V$3,VLOOKUP(C143,[1]List1!$A:$D,2,FALSE))),"OFFLINE!")</f>
        <v>SKLADEM</v>
      </c>
      <c r="AD143" s="734" t="str">
        <f ca="1">IF(AP143="NE",$V$10,IF(AC143=$V$3,IF(AQ143&lt;1,$V$8,$V$2&amp;" "&amp;AQ143&amp;" "&amp;$V$1),IF(AC143="SKLADEM",$V$6,IFERROR(IF(OR(AC143-TODAY()&gt;45,VLOOKUP(C143,[1]List1!$A:$E,4,FALSE)=0),AC143,DAY(AC143)&amp;"."&amp;MONTH(AC143)&amp;"."&amp;YEAR(AC143)&amp;" "&amp;$V$4&amp;VLOOKUP(C143,[1]List1!$A:$E,4,FALSE)&amp;" "&amp;$V$1),AC143))))</f>
        <v>SKLADEM</v>
      </c>
      <c r="AE143" s="729" t="str">
        <f t="shared" ca="1" si="201"/>
        <v>SKLADEM</v>
      </c>
      <c r="AF143" s="735">
        <f t="shared" si="202"/>
        <v>0</v>
      </c>
      <c r="AG143" s="735">
        <f t="shared" si="203"/>
        <v>0</v>
      </c>
      <c r="AH143" s="736">
        <f t="shared" si="204"/>
        <v>0</v>
      </c>
      <c r="AI143" s="729">
        <f t="shared" si="205"/>
        <v>0</v>
      </c>
      <c r="AJ143" s="729">
        <f t="shared" si="206"/>
        <v>0</v>
      </c>
      <c r="AK143" s="729" t="str">
        <f t="shared" si="207"/>
        <v/>
      </c>
      <c r="AL143" s="729" t="str">
        <f t="shared" si="208"/>
        <v/>
      </c>
      <c r="AM143" s="729">
        <f t="shared" si="209"/>
        <v>0</v>
      </c>
      <c r="AN143" s="729">
        <f t="shared" si="210"/>
        <v>0</v>
      </c>
      <c r="AO143" s="380"/>
      <c r="AP143" s="322" t="str">
        <f t="shared" si="133"/>
        <v/>
      </c>
      <c r="AQ143" s="305" t="str">
        <f>IF(AC143=$V$3,IF(VLOOKUP(C143,[1]List1!$A:$E,5,FALSE)=0,1,VLOOKUP(C143,[1]List1!$A:$E,5,FALSE)),"")</f>
        <v/>
      </c>
      <c r="AR143" s="304" t="str">
        <f t="shared" si="134"/>
        <v/>
      </c>
      <c r="AS143" s="423" t="str">
        <f t="shared" si="135"/>
        <v/>
      </c>
      <c r="AT143" s="304" t="str">
        <f t="shared" si="136"/>
        <v/>
      </c>
      <c r="AU143" s="342" t="e">
        <f t="shared" si="137"/>
        <v>#N/A</v>
      </c>
      <c r="AV143" s="304" t="e">
        <f t="shared" si="138"/>
        <v>#N/A</v>
      </c>
      <c r="AX143" s="304">
        <f>IF(AND('General price list'!$J143="F4",'General price list'!$AB143+0&gt;0),1,0)</f>
        <v>0</v>
      </c>
      <c r="AY143" s="304">
        <f t="shared" si="139"/>
        <v>1</v>
      </c>
      <c r="AZ143" s="304">
        <f t="shared" si="140"/>
        <v>0</v>
      </c>
    </row>
    <row r="144" spans="1:52" ht="15" customHeight="1">
      <c r="A144" s="712" t="str">
        <f>Kat.!C144</f>
        <v>×</v>
      </c>
      <c r="B144" s="737">
        <f>IF(AND('General price list'!$J144="F4",$AI$1=FALSE),0,IF(AC144="SKLADEM",1,IF(AC144=$V$3,1,0)))</f>
        <v>1</v>
      </c>
      <c r="C144" s="714" t="s">
        <v>385</v>
      </c>
      <c r="D144" s="715" t="s">
        <v>281</v>
      </c>
      <c r="E144" s="716" t="s">
        <v>362</v>
      </c>
      <c r="F144" s="712">
        <f>IFERROR(ROUND(IF($AL$3=2,VLOOKUP(C144,[2]List1!$A:$D,2,FALSE)*1.08,VLOOKUP(C144,[2]List1!$A:$D,2,FALSE)),0),"NEUVEDENO!")</f>
        <v>370</v>
      </c>
      <c r="G144" s="717">
        <f t="shared" si="197"/>
        <v>370</v>
      </c>
      <c r="H144" s="718">
        <f t="shared" si="198"/>
        <v>15.03521083835523</v>
      </c>
      <c r="I144" s="738">
        <v>25</v>
      </c>
      <c r="J144" s="716" t="s">
        <v>257</v>
      </c>
      <c r="K144" s="716" t="s">
        <v>12771</v>
      </c>
      <c r="L144" s="716" t="s">
        <v>24</v>
      </c>
      <c r="M144" s="716" t="s">
        <v>25</v>
      </c>
      <c r="N144" s="716">
        <f>IFERROR(VLOOKUP(C144,[3]List1!$A:$D,4,FALSE),"N/A!")</f>
        <v>2.0475E-2</v>
      </c>
      <c r="O144" s="716">
        <f>IFERROR(VLOOKUP(C144,[3]List1!$A:$D,3,FALSE),"N/A!")</f>
        <v>2625</v>
      </c>
      <c r="P144" s="716">
        <f>IFERROR(VLOOKUP(C144,[3]List1!$A:$D,2,FALSE),"N/A!")</f>
        <v>9500</v>
      </c>
      <c r="Q144" s="716" t="s">
        <v>739</v>
      </c>
      <c r="R144" s="716" t="s">
        <v>24</v>
      </c>
      <c r="S144" s="716"/>
      <c r="T144" s="716">
        <v>70</v>
      </c>
      <c r="U144" s="716"/>
      <c r="V144" s="716"/>
      <c r="W144" s="716" t="str">
        <f>IFERROR(VLOOKUP('General price list'!$C144,Popisy!A:P,MATCH($W$17,Popisy!$A$7:$P$7,0),FALSE),"---------------")</f>
        <v>dýmovnice s pákovou roznětkou-zelená barva</v>
      </c>
      <c r="X144" s="716" t="str">
        <f t="shared" si="199"/>
        <v/>
      </c>
      <c r="Y144" s="716" t="str">
        <f t="shared" si="200"/>
        <v/>
      </c>
      <c r="Z144" s="716" t="str">
        <f>HYPERLINK("https://www.klasekpyrotechnics.cz/rdg1ze-p_1")</f>
        <v>https://www.klasekpyrotechnics.cz/rdg1ze-p_1</v>
      </c>
      <c r="AA144" s="716">
        <f>IFERROR(IF(VLOOKUP(C144,[4]List1!$A:$D,4,FALSE)=0,"",VLOOKUP(C144,[4]List1!$A:$D,4,FALSE)),"")</f>
        <v>60</v>
      </c>
      <c r="AB144" s="720"/>
      <c r="AC144" s="739" t="str">
        <f>IFERROR(IF(VLOOKUP(C144,[1]List1!$A:$D,2,FALSE)="VYPRODÁNO",$V$9,IF(VLOOKUP(C144,[1]List1!$A:$D,2,FALSE)="DOCHÁZÍ",$V$3,VLOOKUP(C144,[1]List1!$A:$D,2,FALSE))),"OFFLINE!")</f>
        <v>SKLADEM</v>
      </c>
      <c r="AD144" s="740" t="str">
        <f ca="1">IF(AP144="NE",$V$10,IF(AC144=$V$3,IF(AQ144&lt;1,$V$8,$V$2&amp;" "&amp;AQ144&amp;" "&amp;$V$1),IF(AC144="SKLADEM",$V$6,IFERROR(IF(OR(AC144-TODAY()&gt;45,VLOOKUP(C144,[1]List1!$A:$E,4,FALSE)=0),AC144,DAY(AC144)&amp;"."&amp;MONTH(AC144)&amp;"."&amp;YEAR(AC144)&amp;" "&amp;$V$4&amp;VLOOKUP(C144,[1]List1!$A:$E,4,FALSE)&amp;" "&amp;$V$1),AC144))))</f>
        <v>SKLADEM</v>
      </c>
      <c r="AE144" s="716" t="str">
        <f t="shared" ca="1" si="201"/>
        <v>SKLADEM</v>
      </c>
      <c r="AF144" s="723">
        <f t="shared" si="202"/>
        <v>0</v>
      </c>
      <c r="AG144" s="723">
        <f t="shared" si="203"/>
        <v>0</v>
      </c>
      <c r="AH144" s="724">
        <f t="shared" si="204"/>
        <v>0</v>
      </c>
      <c r="AI144" s="716">
        <f t="shared" si="205"/>
        <v>0</v>
      </c>
      <c r="AJ144" s="716">
        <f t="shared" si="206"/>
        <v>0</v>
      </c>
      <c r="AK144" s="716" t="str">
        <f t="shared" si="207"/>
        <v/>
      </c>
      <c r="AL144" s="716" t="str">
        <f t="shared" si="208"/>
        <v/>
      </c>
      <c r="AM144" s="716">
        <f t="shared" si="209"/>
        <v>0</v>
      </c>
      <c r="AN144" s="716">
        <f t="shared" si="210"/>
        <v>0</v>
      </c>
      <c r="AO144" s="380"/>
      <c r="AP144" s="322" t="str">
        <f t="shared" si="133"/>
        <v/>
      </c>
      <c r="AQ144" s="323" t="str">
        <f>IF(AC144=$V$3,IF(VLOOKUP(C144,[1]List1!$A:$E,5,FALSE)=0,1,VLOOKUP(C144,[1]List1!$A:$E,5,FALSE)),"")</f>
        <v/>
      </c>
      <c r="AR144" s="304" t="str">
        <f t="shared" si="134"/>
        <v/>
      </c>
      <c r="AS144" s="423" t="str">
        <f t="shared" si="135"/>
        <v/>
      </c>
      <c r="AT144" s="304" t="str">
        <f t="shared" si="136"/>
        <v/>
      </c>
      <c r="AU144" s="342" t="e">
        <f t="shared" si="137"/>
        <v>#N/A</v>
      </c>
      <c r="AV144" s="304" t="e">
        <f t="shared" si="138"/>
        <v>#N/A</v>
      </c>
      <c r="AX144" s="304">
        <f>IF(AND('General price list'!$J144="F4",'General price list'!$AB144+0&gt;0),1,0)</f>
        <v>0</v>
      </c>
      <c r="AY144" s="304">
        <f t="shared" si="139"/>
        <v>1</v>
      </c>
      <c r="AZ144" s="304">
        <f t="shared" si="140"/>
        <v>0</v>
      </c>
    </row>
    <row r="145" spans="1:52" ht="15" customHeight="1">
      <c r="A145" s="725" t="str">
        <f>Kat.!C145</f>
        <v>×</v>
      </c>
      <c r="B145" s="726">
        <f>IF(AND('General price list'!$J145="F4",$AI$1=FALSE),0,IF(AC145="SKLADEM",1,IF(AC145=$V$3,1,0)))</f>
        <v>1</v>
      </c>
      <c r="C145" s="727" t="s">
        <v>386</v>
      </c>
      <c r="D145" s="728" t="s">
        <v>287</v>
      </c>
      <c r="E145" s="729" t="s">
        <v>362</v>
      </c>
      <c r="F145" s="725">
        <f>IFERROR(ROUND(IF($AL$3=2,VLOOKUP(C145,[2]List1!$A:$D,2,FALSE)*1.08,VLOOKUP(C145,[2]List1!$A:$D,2,FALSE)),0),"NEUVEDENO!")</f>
        <v>370</v>
      </c>
      <c r="G145" s="730">
        <f t="shared" si="197"/>
        <v>370</v>
      </c>
      <c r="H145" s="731">
        <f t="shared" si="198"/>
        <v>15.03521083835523</v>
      </c>
      <c r="I145" s="732">
        <v>25</v>
      </c>
      <c r="J145" s="729" t="s">
        <v>257</v>
      </c>
      <c r="K145" s="729" t="s">
        <v>12771</v>
      </c>
      <c r="L145" s="729" t="s">
        <v>24</v>
      </c>
      <c r="M145" s="729" t="s">
        <v>25</v>
      </c>
      <c r="N145" s="729">
        <f>IFERROR(VLOOKUP(C145,[3]List1!$A:$D,4,FALSE),"N/A!")</f>
        <v>2.0475E-2</v>
      </c>
      <c r="O145" s="729">
        <f>IFERROR(VLOOKUP(C145,[3]List1!$A:$D,3,FALSE),"N/A!")</f>
        <v>2625</v>
      </c>
      <c r="P145" s="729">
        <f>IFERROR(VLOOKUP(C145,[3]List1!$A:$D,2,FALSE),"N/A!")</f>
        <v>9500</v>
      </c>
      <c r="Q145" s="729" t="s">
        <v>2787</v>
      </c>
      <c r="R145" s="729" t="s">
        <v>24</v>
      </c>
      <c r="S145" s="729"/>
      <c r="T145" s="729">
        <v>70</v>
      </c>
      <c r="U145" s="729"/>
      <c r="V145" s="729"/>
      <c r="W145" s="729" t="str">
        <f>IFERROR(VLOOKUP('General price list'!$C145,Popisy!A:P,MATCH($W$17,Popisy!$A$7:$P$7,0),FALSE),"---------------")</f>
        <v>dýmovnice s pákovou roznětkou-oranžová barva</v>
      </c>
      <c r="X145" s="729" t="str">
        <f t="shared" si="199"/>
        <v/>
      </c>
      <c r="Y145" s="729" t="str">
        <f t="shared" si="200"/>
        <v/>
      </c>
      <c r="Z145" s="729" t="str">
        <f>HYPERLINK("https://www.klasekpyrotechnics.cz/rdg1o-p")</f>
        <v>https://www.klasekpyrotechnics.cz/rdg1o-p</v>
      </c>
      <c r="AA145" s="729">
        <f>IFERROR(IF(VLOOKUP(C145,[4]List1!$A:$D,4,FALSE)=0,"",VLOOKUP(C145,[4]List1!$A:$D,4,FALSE)),"")</f>
        <v>60</v>
      </c>
      <c r="AB145" s="720"/>
      <c r="AC145" s="733" t="str">
        <f>IFERROR(IF(VLOOKUP(C145,[1]List1!$A:$D,2,FALSE)="VYPRODÁNO",$V$9,IF(VLOOKUP(C145,[1]List1!$A:$D,2,FALSE)="DOCHÁZÍ",$V$3,VLOOKUP(C145,[1]List1!$A:$D,2,FALSE))),"OFFLINE!")</f>
        <v>SKLADEM</v>
      </c>
      <c r="AD145" s="734" t="str">
        <f ca="1">IF(AP145="NE",$V$10,IF(AC145=$V$3,IF(AQ145&lt;1,$V$8,$V$2&amp;" "&amp;AQ145&amp;" "&amp;$V$1),IF(AC145="SKLADEM",$V$6,IFERROR(IF(OR(AC145-TODAY()&gt;45,VLOOKUP(C145,[1]List1!$A:$E,4,FALSE)=0),AC145,DAY(AC145)&amp;"."&amp;MONTH(AC145)&amp;"."&amp;YEAR(AC145)&amp;" "&amp;$V$4&amp;VLOOKUP(C145,[1]List1!$A:$E,4,FALSE)&amp;" "&amp;$V$1),AC145))))</f>
        <v>SKLADEM</v>
      </c>
      <c r="AE145" s="729" t="str">
        <f t="shared" ca="1" si="201"/>
        <v>SKLADEM</v>
      </c>
      <c r="AF145" s="735">
        <f t="shared" si="202"/>
        <v>0</v>
      </c>
      <c r="AG145" s="735">
        <f t="shared" si="203"/>
        <v>0</v>
      </c>
      <c r="AH145" s="736">
        <f t="shared" si="204"/>
        <v>0</v>
      </c>
      <c r="AI145" s="729">
        <f t="shared" si="205"/>
        <v>0</v>
      </c>
      <c r="AJ145" s="729">
        <f t="shared" si="206"/>
        <v>0</v>
      </c>
      <c r="AK145" s="729" t="str">
        <f t="shared" si="207"/>
        <v/>
      </c>
      <c r="AL145" s="729" t="str">
        <f t="shared" si="208"/>
        <v/>
      </c>
      <c r="AM145" s="729">
        <f t="shared" si="209"/>
        <v>0</v>
      </c>
      <c r="AN145" s="729">
        <f t="shared" si="210"/>
        <v>0</v>
      </c>
      <c r="AO145" s="380"/>
      <c r="AP145" s="322" t="str">
        <f t="shared" si="133"/>
        <v/>
      </c>
      <c r="AQ145" s="323" t="str">
        <f>IF(AC145=$V$3,IF(VLOOKUP(C145,[1]List1!$A:$E,5,FALSE)=0,1,VLOOKUP(C145,[1]List1!$A:$E,5,FALSE)),"")</f>
        <v/>
      </c>
      <c r="AR145" s="304" t="str">
        <f t="shared" si="134"/>
        <v/>
      </c>
      <c r="AS145" s="423" t="str">
        <f t="shared" si="135"/>
        <v/>
      </c>
      <c r="AT145" s="304" t="str">
        <f t="shared" si="136"/>
        <v/>
      </c>
      <c r="AU145" s="342" t="e">
        <f t="shared" si="137"/>
        <v>#N/A</v>
      </c>
      <c r="AV145" s="304" t="e">
        <f t="shared" si="138"/>
        <v>#N/A</v>
      </c>
      <c r="AX145" s="304">
        <f>IF(AND('General price list'!$J145="F4",'General price list'!$AB145+0&gt;0),1,0)</f>
        <v>0</v>
      </c>
      <c r="AY145" s="304">
        <f t="shared" si="139"/>
        <v>1</v>
      </c>
      <c r="AZ145" s="304">
        <f t="shared" si="140"/>
        <v>0</v>
      </c>
    </row>
    <row r="146" spans="1:52" ht="15" customHeight="1">
      <c r="A146" s="712" t="str">
        <f>Kat.!C146</f>
        <v>×</v>
      </c>
      <c r="B146" s="737">
        <f>IF(AND('General price list'!$J146="F4",$AI$1=FALSE),0,IF(AC146="SKLADEM",1,IF(AC146=$V$3,1,0)))</f>
        <v>1</v>
      </c>
      <c r="C146" s="714" t="s">
        <v>390</v>
      </c>
      <c r="D146" s="715" t="s">
        <v>287</v>
      </c>
      <c r="E146" s="716" t="s">
        <v>362</v>
      </c>
      <c r="F146" s="712">
        <f>IFERROR(ROUND(IF($AL$3=2,VLOOKUP(C146,[2]List1!$A:$D,2,FALSE)*1.08,VLOOKUP(C146,[2]List1!$A:$D,2,FALSE)),0),"NEUVEDENO!")</f>
        <v>370</v>
      </c>
      <c r="G146" s="717">
        <f t="shared" si="197"/>
        <v>370</v>
      </c>
      <c r="H146" s="718">
        <f t="shared" si="198"/>
        <v>15.03521083835523</v>
      </c>
      <c r="I146" s="738">
        <v>25</v>
      </c>
      <c r="J146" s="716" t="s">
        <v>257</v>
      </c>
      <c r="K146" s="716" t="s">
        <v>12771</v>
      </c>
      <c r="L146" s="716" t="s">
        <v>24</v>
      </c>
      <c r="M146" s="716" t="s">
        <v>25</v>
      </c>
      <c r="N146" s="716">
        <f>IFERROR(VLOOKUP(C146,[3]List1!$A:$D,4,FALSE),"N/A!")</f>
        <v>2.0475E-2</v>
      </c>
      <c r="O146" s="716">
        <f>IFERROR(VLOOKUP(C146,[3]List1!$A:$D,3,FALSE),"N/A!")</f>
        <v>2625</v>
      </c>
      <c r="P146" s="716">
        <f>IFERROR(VLOOKUP(C146,[3]List1!$A:$D,2,FALSE),"N/A!")</f>
        <v>9500</v>
      </c>
      <c r="Q146" s="716" t="s">
        <v>739</v>
      </c>
      <c r="R146" s="716" t="s">
        <v>24</v>
      </c>
      <c r="S146" s="716"/>
      <c r="T146" s="716">
        <v>70</v>
      </c>
      <c r="U146" s="716"/>
      <c r="V146" s="716"/>
      <c r="W146" s="716" t="str">
        <f>IFERROR(VLOOKUP('General price list'!$C146,Popisy!A:P,MATCH($W$17,Popisy!$A$7:$P$7,0),FALSE),"---------------")</f>
        <v>dýmovnice s pákovou roznětkou-oranžová barva</v>
      </c>
      <c r="X146" s="716" t="str">
        <f t="shared" si="199"/>
        <v/>
      </c>
      <c r="Y146" s="716" t="str">
        <f t="shared" si="200"/>
        <v/>
      </c>
      <c r="Z146" s="716" t="str">
        <f>HYPERLINK("https://www.klasekpyrotechnics.cz/rdg1o-p_1")</f>
        <v>https://www.klasekpyrotechnics.cz/rdg1o-p_1</v>
      </c>
      <c r="AA146" s="716">
        <f>IFERROR(IF(VLOOKUP(C146,[4]List1!$A:$D,4,FALSE)=0,"",VLOOKUP(C146,[4]List1!$A:$D,4,FALSE)),"")</f>
        <v>60</v>
      </c>
      <c r="AB146" s="720"/>
      <c r="AC146" s="739" t="str">
        <f>IFERROR(IF(VLOOKUP(C146,[1]List1!$A:$D,2,FALSE)="VYPRODÁNO",$V$9,IF(VLOOKUP(C146,[1]List1!$A:$D,2,FALSE)="DOCHÁZÍ",$V$3,VLOOKUP(C146,[1]List1!$A:$D,2,FALSE))),"OFFLINE!")</f>
        <v>SKLADEM</v>
      </c>
      <c r="AD146" s="740" t="str">
        <f ca="1">IF(AP146="NE",$V$10,IF(AC146=$V$3,IF(AQ146&lt;1,$V$8,$V$2&amp;" "&amp;AQ146&amp;" "&amp;$V$1),IF(AC146="SKLADEM",$V$6,IFERROR(IF(OR(AC146-TODAY()&gt;45,VLOOKUP(C146,[1]List1!$A:$E,4,FALSE)=0),AC146,DAY(AC146)&amp;"."&amp;MONTH(AC146)&amp;"."&amp;YEAR(AC146)&amp;" "&amp;$V$4&amp;VLOOKUP(C146,[1]List1!$A:$E,4,FALSE)&amp;" "&amp;$V$1),AC146))))</f>
        <v>SKLADEM</v>
      </c>
      <c r="AE146" s="716" t="str">
        <f t="shared" ca="1" si="201"/>
        <v>SKLADEM</v>
      </c>
      <c r="AF146" s="723">
        <f t="shared" si="202"/>
        <v>0</v>
      </c>
      <c r="AG146" s="723">
        <f t="shared" si="203"/>
        <v>0</v>
      </c>
      <c r="AH146" s="724">
        <f t="shared" si="204"/>
        <v>0</v>
      </c>
      <c r="AI146" s="716">
        <f t="shared" si="205"/>
        <v>0</v>
      </c>
      <c r="AJ146" s="716">
        <f t="shared" si="206"/>
        <v>0</v>
      </c>
      <c r="AK146" s="716" t="str">
        <f t="shared" si="207"/>
        <v/>
      </c>
      <c r="AL146" s="716" t="str">
        <f t="shared" si="208"/>
        <v/>
      </c>
      <c r="AM146" s="716">
        <f t="shared" si="209"/>
        <v>0</v>
      </c>
      <c r="AN146" s="716">
        <f t="shared" si="210"/>
        <v>0</v>
      </c>
      <c r="AO146" s="380"/>
      <c r="AP146" s="322" t="str">
        <f t="shared" si="133"/>
        <v/>
      </c>
      <c r="AQ146" s="323" t="str">
        <f>IF(AC146=$V$3,IF(VLOOKUP(C146,[1]List1!$A:$E,5,FALSE)=0,1,VLOOKUP(C146,[1]List1!$A:$E,5,FALSE)),"")</f>
        <v/>
      </c>
      <c r="AR146" s="304" t="str">
        <f t="shared" si="134"/>
        <v/>
      </c>
      <c r="AS146" s="423" t="str">
        <f t="shared" si="135"/>
        <v/>
      </c>
      <c r="AT146" s="304" t="str">
        <f t="shared" si="136"/>
        <v/>
      </c>
      <c r="AU146" s="342" t="e">
        <f t="shared" si="137"/>
        <v>#N/A</v>
      </c>
      <c r="AV146" s="304" t="e">
        <f t="shared" si="138"/>
        <v>#N/A</v>
      </c>
      <c r="AX146" s="304">
        <f>IF(AND('General price list'!$J146="F4",'General price list'!$AB146+0&gt;0),1,0)</f>
        <v>0</v>
      </c>
      <c r="AY146" s="304">
        <f t="shared" si="139"/>
        <v>1</v>
      </c>
      <c r="AZ146" s="304">
        <f t="shared" si="140"/>
        <v>0</v>
      </c>
    </row>
    <row r="147" spans="1:52" ht="15" customHeight="1">
      <c r="A147" s="773" t="str">
        <f>Kat.!C147</f>
        <v xml:space="preserve">                                                               Dýmové pochodně</v>
      </c>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t="str">
        <f>IFERROR(IF(VLOOKUP(C147,[4]List1!$A:$D,4,FALSE)=0,"",VLOOKUP(C147,[4]List1!$A:$D,4,FALSE)),"")</f>
        <v/>
      </c>
      <c r="AB147" s="774"/>
      <c r="AC147" s="775" t="str">
        <f>IFERROR(IF(VLOOKUP(C147,[1]List1!$A:$D,2,FALSE)="VYPRODÁNO",$V$9,IF(VLOOKUP(C147,[1]List1!$A:$D,2,FALSE)="DOCHÁZÍ",$V$3,VLOOKUP(C147,[1]List1!$A:$D,2,FALSE))),"OFFLINE!")</f>
        <v>OFFLINE!</v>
      </c>
      <c r="AD147" s="774"/>
      <c r="AE147" s="774"/>
      <c r="AF147" s="774"/>
      <c r="AG147" s="774"/>
      <c r="AH147" s="774"/>
      <c r="AI147" s="774"/>
      <c r="AJ147" s="774"/>
      <c r="AK147" s="774"/>
      <c r="AL147" s="774"/>
      <c r="AM147" s="774"/>
      <c r="AN147" s="774"/>
      <c r="AO147" s="380"/>
      <c r="AP147" s="322" t="str">
        <f t="shared" si="133"/>
        <v/>
      </c>
      <c r="AQ147" s="323" t="str">
        <f>IF(AC147=$V$3,IF(VLOOKUP(C147,[1]List1!$A:$E,5,FALSE)=0,1,VLOOKUP(C147,[1]List1!$A:$E,5,FALSE)),"")</f>
        <v/>
      </c>
      <c r="AR147" s="304" t="str">
        <f t="shared" si="134"/>
        <v/>
      </c>
      <c r="AS147" s="423" t="str">
        <f t="shared" si="135"/>
        <v/>
      </c>
      <c r="AT147" s="304" t="str">
        <f t="shared" si="136"/>
        <v/>
      </c>
      <c r="AU147" s="342" t="e">
        <f t="shared" si="137"/>
        <v>#N/A</v>
      </c>
      <c r="AV147" s="304" t="e">
        <f t="shared" si="138"/>
        <v>#N/A</v>
      </c>
      <c r="AX147" s="304">
        <f>IF(AND('General price list'!$J147="F4",'General price list'!$AB147+0&gt;0),1,0)</f>
        <v>0</v>
      </c>
      <c r="AY147" s="304">
        <f t="shared" si="139"/>
        <v>0</v>
      </c>
      <c r="AZ147" s="304">
        <f t="shared" si="140"/>
        <v>0</v>
      </c>
    </row>
    <row r="148" spans="1:52" ht="15" customHeight="1">
      <c r="A148" s="712" t="str">
        <f>Kat.!C148</f>
        <v>×</v>
      </c>
      <c r="B148" s="713">
        <f>IF(AND('General price list'!$J148="F4",$AI$1=FALSE),0,IF(AC148="SKLADEM",1,IF(AC148=$V$3,1,0)))</f>
        <v>1</v>
      </c>
      <c r="C148" s="714" t="s">
        <v>12453</v>
      </c>
      <c r="D148" s="715" t="s">
        <v>14534</v>
      </c>
      <c r="E148" s="716" t="s">
        <v>307</v>
      </c>
      <c r="F148" s="712">
        <f>IFERROR(ROUND(IF($AL$3=2,VLOOKUP(C148,[2]List1!$A:$D,2,FALSE)*1.08,VLOOKUP(C148,[2]List1!$A:$D,2,FALSE)),0),"NEUVEDENO!")</f>
        <v>399</v>
      </c>
      <c r="G148" s="717">
        <f t="shared" ref="G148:G157" si="211">(F148)*$B$19</f>
        <v>399</v>
      </c>
      <c r="H148" s="718">
        <f t="shared" ref="H148:H157" si="212">G148/$F$19</f>
        <v>16.213646282442532</v>
      </c>
      <c r="I148" s="719">
        <v>20</v>
      </c>
      <c r="J148" s="716" t="s">
        <v>240</v>
      </c>
      <c r="K148" s="716"/>
      <c r="L148" s="716" t="s">
        <v>24</v>
      </c>
      <c r="M148" s="716" t="s">
        <v>25</v>
      </c>
      <c r="N148" s="716">
        <f>IFERROR(VLOOKUP(C148,[3]List1!$A:$D,4,FALSE),"N/A!")</f>
        <v>5.7330000000000013E-2</v>
      </c>
      <c r="O148" s="716">
        <f>IFERROR(VLOOKUP(C148,[3]List1!$A:$D,3,FALSE),"N/A!")</f>
        <v>4500</v>
      </c>
      <c r="P148" s="716">
        <f>IFERROR(VLOOKUP(C148,[3]List1!$A:$D,2,FALSE),"N/A!")</f>
        <v>16500</v>
      </c>
      <c r="Q148" s="716" t="s">
        <v>24</v>
      </c>
      <c r="R148" s="716" t="s">
        <v>24</v>
      </c>
      <c r="S148" s="716"/>
      <c r="T148" s="716">
        <v>60</v>
      </c>
      <c r="U148" s="716"/>
      <c r="V148" s="716"/>
      <c r="W148" s="716" t="str">
        <f>IFERROR(VLOOKUP('General price list'!$C148,Popisy!A:P,MATCH($W$17,Popisy!$A$7:$P$7,0),FALSE),"---------------")</f>
        <v>ruční dýmová pochodeň s trhací pojistkou-červená barva</v>
      </c>
      <c r="X148" s="716" t="str">
        <f t="shared" ref="X148:X157" si="213">IF(AB148&lt;0.0001,"",AB148)</f>
        <v/>
      </c>
      <c r="Y148" s="716" t="str">
        <f t="shared" ref="Y148:Y157" si="214">IF($AL$3=2,IF(OR(AB148&lt;&gt;"",AB148&lt;&gt;0),AU148,""),IF(C148="","",IF(AB148&lt;0.0001,"",IF(B148=0,"",IF(AQ148&lt;AB148,"",AB148)))))</f>
        <v/>
      </c>
      <c r="Z148" s="716" t="str">
        <f>HYPERLINK("https://www.klasekpyrotechnics.cz/rdp60c_sp9038r")</f>
        <v>https://www.klasekpyrotechnics.cz/rdp60c_sp9038r</v>
      </c>
      <c r="AA148" s="716" t="str">
        <f>IFERROR(IF(VLOOKUP(C148,[4]List1!$A:$D,4,FALSE)=0,"",VLOOKUP(C148,[4]List1!$A:$D,4,FALSE)),"")</f>
        <v>36</v>
      </c>
      <c r="AB148" s="720"/>
      <c r="AC148" s="721" t="str">
        <f>IFERROR(IF(VLOOKUP(C148,[1]List1!$A:$D,2,FALSE)="VYPRODÁNO",$V$9,IF(VLOOKUP(C148,[1]List1!$A:$D,2,FALSE)="DOCHÁZÍ",$V$3,VLOOKUP(C148,[1]List1!$A:$D,2,FALSE))),"OFFLINE!")</f>
        <v>SKLADEM</v>
      </c>
      <c r="AD148" s="722" t="str">
        <f ca="1">IF(AP148="NE",$V$10,IF(AC148=$V$3,IF(AQ148&lt;1,$V$8,$V$2&amp;" "&amp;AQ148&amp;" "&amp;$V$1),IF(AC148="SKLADEM",$V$6,IFERROR(IF(OR(AC148-TODAY()&gt;45,VLOOKUP(C148,[1]List1!$A:$E,4,FALSE)=0),AC148,DAY(AC148)&amp;"."&amp;MONTH(AC148)&amp;"."&amp;YEAR(AC148)&amp;" "&amp;$V$4&amp;VLOOKUP(C148,[1]List1!$A:$E,4,FALSE)&amp;" "&amp;$V$1),AC148))))</f>
        <v>SKLADEM</v>
      </c>
      <c r="AE148" s="716" t="str">
        <f t="shared" ref="AE148:AE157" ca="1" si="215">IFERROR(IF(AV148&lt;&gt;"",AV148,AD148),AD148)</f>
        <v>SKLADEM</v>
      </c>
      <c r="AF148" s="723">
        <f t="shared" ref="AF148:AF157" si="216">IFERROR(IF(AB148=Y148,G148*I148*Y148,0),0)</f>
        <v>0</v>
      </c>
      <c r="AG148" s="723">
        <f t="shared" ref="AG148:AG157" si="217">IF($W$17=$AF$8,AH148*1.23,AF148*1.21)</f>
        <v>0</v>
      </c>
      <c r="AH148" s="724">
        <f t="shared" ref="AH148:AH157" si="218">IFERROR(IF(Y148=AB148,H148*I148*Y148,0),0)</f>
        <v>0</v>
      </c>
      <c r="AI148" s="716">
        <f t="shared" ref="AI148:AI157" si="219">IFERROR(IF(Y148=AB148,(P148*Y148)/1000,1),0)</f>
        <v>0</v>
      </c>
      <c r="AJ148" s="716">
        <f t="shared" ref="AJ148:AJ157" si="220">IFERROR(IF(Y148=AB148,N148*Y148,0.1),0)</f>
        <v>0</v>
      </c>
      <c r="AK148" s="716" t="str">
        <f t="shared" ref="AK148:AK157" si="221">IFERROR(IF(Y148=AB148,IF(M148="1.1G",(O148/1000)*Y148,""),""),0)</f>
        <v/>
      </c>
      <c r="AL148" s="716" t="str">
        <f t="shared" ref="AL148:AL157" si="222">IFERROR(IF(Y148=AB148,IF(M148="1.3G",(O148/1000)*AB148,""),""),0)</f>
        <v/>
      </c>
      <c r="AM148" s="716">
        <f t="shared" ref="AM148:AM157" si="223">IFERROR(IF(Y148=AB148,IF(M148="1.4G",(O148/1000)*AB148,""),""),0)</f>
        <v>0</v>
      </c>
      <c r="AN148" s="716">
        <f t="shared" ref="AN148:AN157" si="224">SUM(AK148:AM148)</f>
        <v>0</v>
      </c>
      <c r="AO148" s="380"/>
      <c r="AP148" s="322" t="str">
        <f t="shared" si="133"/>
        <v/>
      </c>
      <c r="AQ148" s="323" t="str">
        <f>IF(AC148=$V$3,IF(VLOOKUP(C148,[1]List1!$A:$E,5,FALSE)=0,1,VLOOKUP(C148,[1]List1!$A:$E,5,FALSE)),"")</f>
        <v/>
      </c>
      <c r="AR148" s="304" t="str">
        <f t="shared" si="134"/>
        <v/>
      </c>
      <c r="AS148" s="423" t="str">
        <f t="shared" si="135"/>
        <v/>
      </c>
      <c r="AT148" s="304" t="str">
        <f t="shared" si="136"/>
        <v/>
      </c>
      <c r="AU148" s="342" t="e">
        <f t="shared" si="137"/>
        <v>#N/A</v>
      </c>
      <c r="AV148" s="304" t="e">
        <f t="shared" si="138"/>
        <v>#N/A</v>
      </c>
      <c r="AX148" s="304">
        <f>IF(AND('General price list'!$J148="F4",'General price list'!$AB148+0&gt;0),1,0)</f>
        <v>0</v>
      </c>
      <c r="AY148" s="304">
        <f t="shared" si="139"/>
        <v>0</v>
      </c>
      <c r="AZ148" s="304">
        <f t="shared" si="140"/>
        <v>0</v>
      </c>
    </row>
    <row r="149" spans="1:52" ht="15" customHeight="1">
      <c r="A149" s="725" t="str">
        <f>Kat.!C149</f>
        <v>×</v>
      </c>
      <c r="B149" s="726">
        <f>IF(AND('General price list'!$J149="F4",$AI$1=FALSE),0,IF(AC149="SKLADEM",1,IF(AC149=$V$3,1,0)))</f>
        <v>1</v>
      </c>
      <c r="C149" s="727" t="s">
        <v>12454</v>
      </c>
      <c r="D149" s="728" t="s">
        <v>14535</v>
      </c>
      <c r="E149" s="729" t="s">
        <v>307</v>
      </c>
      <c r="F149" s="725">
        <f>IFERROR(ROUND(IF($AL$3=2,VLOOKUP(C149,[2]List1!$A:$D,2,FALSE)*1.08,VLOOKUP(C149,[2]List1!$A:$D,2,FALSE)),0),"NEUVEDENO!")</f>
        <v>399</v>
      </c>
      <c r="G149" s="730">
        <f t="shared" si="211"/>
        <v>399</v>
      </c>
      <c r="H149" s="731">
        <f t="shared" si="212"/>
        <v>16.213646282442532</v>
      </c>
      <c r="I149" s="732">
        <v>20</v>
      </c>
      <c r="J149" s="729" t="s">
        <v>240</v>
      </c>
      <c r="K149" s="729"/>
      <c r="L149" s="729" t="s">
        <v>24</v>
      </c>
      <c r="M149" s="729" t="s">
        <v>25</v>
      </c>
      <c r="N149" s="729">
        <f>IFERROR(VLOOKUP(C149,[3]List1!$A:$D,4,FALSE),"N/A!")</f>
        <v>5.7330000000000013E-2</v>
      </c>
      <c r="O149" s="729">
        <f>IFERROR(VLOOKUP(C149,[3]List1!$A:$D,3,FALSE),"N/A!")</f>
        <v>4500</v>
      </c>
      <c r="P149" s="729">
        <f>IFERROR(VLOOKUP(C149,[3]List1!$A:$D,2,FALSE),"N/A!")</f>
        <v>16500</v>
      </c>
      <c r="Q149" s="729" t="s">
        <v>24</v>
      </c>
      <c r="R149" s="729" t="s">
        <v>24</v>
      </c>
      <c r="S149" s="729"/>
      <c r="T149" s="729">
        <v>60</v>
      </c>
      <c r="U149" s="729"/>
      <c r="V149" s="729"/>
      <c r="W149" s="729" t="str">
        <f>IFERROR(VLOOKUP('General price list'!$C149,Popisy!A:P,MATCH($W$17,Popisy!$A$7:$P$7,0),FALSE),"---------------")</f>
        <v>ruční dýmová pochodeň s trhací pojistkou-modrá barva</v>
      </c>
      <c r="X149" s="729" t="str">
        <f t="shared" si="213"/>
        <v/>
      </c>
      <c r="Y149" s="729" t="str">
        <f t="shared" si="214"/>
        <v/>
      </c>
      <c r="Z149" s="729" t="str">
        <f>HYPERLINK("https://www.klasekpyrotechnics.cz/rdp60m_sp9038b")</f>
        <v>https://www.klasekpyrotechnics.cz/rdp60m_sp9038b</v>
      </c>
      <c r="AA149" s="729" t="str">
        <f>IFERROR(IF(VLOOKUP(C149,[4]List1!$A:$D,4,FALSE)=0,"",VLOOKUP(C149,[4]List1!$A:$D,4,FALSE)),"")</f>
        <v>36</v>
      </c>
      <c r="AB149" s="720"/>
      <c r="AC149" s="733" t="str">
        <f>IFERROR(IF(VLOOKUP(C149,[1]List1!$A:$D,2,FALSE)="VYPRODÁNO",$V$9,IF(VLOOKUP(C149,[1]List1!$A:$D,2,FALSE)="DOCHÁZÍ",$V$3,VLOOKUP(C149,[1]List1!$A:$D,2,FALSE))),"OFFLINE!")</f>
        <v>SKLADEM</v>
      </c>
      <c r="AD149" s="734" t="str">
        <f ca="1">IF(AP149="NE",$V$10,IF(AC149=$V$3,IF(AQ149&lt;1,$V$8,$V$2&amp;" "&amp;AQ149&amp;" "&amp;$V$1),IF(AC149="SKLADEM",$V$6,IFERROR(IF(OR(AC149-TODAY()&gt;45,VLOOKUP(C149,[1]List1!$A:$E,4,FALSE)=0),AC149,DAY(AC149)&amp;"."&amp;MONTH(AC149)&amp;"."&amp;YEAR(AC149)&amp;" "&amp;$V$4&amp;VLOOKUP(C149,[1]List1!$A:$E,4,FALSE)&amp;" "&amp;$V$1),AC149))))</f>
        <v>SKLADEM</v>
      </c>
      <c r="AE149" s="729" t="str">
        <f t="shared" ca="1" si="215"/>
        <v>SKLADEM</v>
      </c>
      <c r="AF149" s="735">
        <f t="shared" si="216"/>
        <v>0</v>
      </c>
      <c r="AG149" s="735">
        <f t="shared" si="217"/>
        <v>0</v>
      </c>
      <c r="AH149" s="736">
        <f t="shared" si="218"/>
        <v>0</v>
      </c>
      <c r="AI149" s="729">
        <f t="shared" si="219"/>
        <v>0</v>
      </c>
      <c r="AJ149" s="729">
        <f t="shared" si="220"/>
        <v>0</v>
      </c>
      <c r="AK149" s="729" t="str">
        <f t="shared" si="221"/>
        <v/>
      </c>
      <c r="AL149" s="729" t="str">
        <f t="shared" si="222"/>
        <v/>
      </c>
      <c r="AM149" s="729">
        <f t="shared" si="223"/>
        <v>0</v>
      </c>
      <c r="AN149" s="729">
        <f t="shared" si="224"/>
        <v>0</v>
      </c>
      <c r="AO149" s="380"/>
      <c r="AP149" s="322" t="str">
        <f t="shared" si="133"/>
        <v/>
      </c>
      <c r="AQ149" s="323" t="str">
        <f>IF(AC149=$V$3,IF(VLOOKUP(C149,[1]List1!$A:$E,5,FALSE)=0,1,VLOOKUP(C149,[1]List1!$A:$E,5,FALSE)),"")</f>
        <v/>
      </c>
      <c r="AR149" s="304" t="str">
        <f t="shared" si="134"/>
        <v/>
      </c>
      <c r="AS149" s="423" t="str">
        <f t="shared" si="135"/>
        <v/>
      </c>
      <c r="AT149" s="304" t="str">
        <f t="shared" si="136"/>
        <v/>
      </c>
      <c r="AU149" s="342" t="e">
        <f t="shared" si="137"/>
        <v>#N/A</v>
      </c>
      <c r="AV149" s="304" t="e">
        <f t="shared" si="138"/>
        <v>#N/A</v>
      </c>
      <c r="AX149" s="304">
        <f>IF(AND('General price list'!$J149="F4",'General price list'!$AB149+0&gt;0),1,0)</f>
        <v>0</v>
      </c>
      <c r="AY149" s="304">
        <f t="shared" si="139"/>
        <v>0</v>
      </c>
      <c r="AZ149" s="304">
        <f t="shared" si="140"/>
        <v>0</v>
      </c>
    </row>
    <row r="150" spans="1:52" ht="15" customHeight="1">
      <c r="A150" s="712" t="str">
        <f>Kat.!C150</f>
        <v>×</v>
      </c>
      <c r="B150" s="737">
        <f>IF(AND('General price list'!$J150="F4",$AI$1=FALSE),0,IF(AC150="SKLADEM",1,IF(AC150=$V$3,1,0)))</f>
        <v>1</v>
      </c>
      <c r="C150" s="714" t="s">
        <v>12372</v>
      </c>
      <c r="D150" s="715" t="s">
        <v>14536</v>
      </c>
      <c r="E150" s="716" t="s">
        <v>307</v>
      </c>
      <c r="F150" s="712">
        <f>IFERROR(ROUND(IF($AL$3=2,VLOOKUP(C150,[2]List1!$A:$D,2,FALSE)*1.08,VLOOKUP(C150,[2]List1!$A:$D,2,FALSE)),0),"NEUVEDENO!")</f>
        <v>399</v>
      </c>
      <c r="G150" s="717">
        <f t="shared" si="211"/>
        <v>399</v>
      </c>
      <c r="H150" s="718">
        <f t="shared" si="212"/>
        <v>16.213646282442532</v>
      </c>
      <c r="I150" s="738">
        <v>20</v>
      </c>
      <c r="J150" s="716" t="s">
        <v>240</v>
      </c>
      <c r="K150" s="716"/>
      <c r="L150" s="716" t="s">
        <v>24</v>
      </c>
      <c r="M150" s="716" t="s">
        <v>25</v>
      </c>
      <c r="N150" s="716">
        <f>IFERROR(VLOOKUP(C150,[3]List1!$A:$D,4,FALSE),"N/A!")</f>
        <v>5.7330000000000013E-2</v>
      </c>
      <c r="O150" s="716">
        <f>IFERROR(VLOOKUP(C150,[3]List1!$A:$D,3,FALSE),"N/A!")</f>
        <v>4500</v>
      </c>
      <c r="P150" s="716">
        <f>IFERROR(VLOOKUP(C150,[3]List1!$A:$D,2,FALSE),"N/A!")</f>
        <v>16500</v>
      </c>
      <c r="Q150" s="716" t="s">
        <v>1283</v>
      </c>
      <c r="R150" s="716" t="s">
        <v>24</v>
      </c>
      <c r="S150" s="716"/>
      <c r="T150" s="716">
        <v>60</v>
      </c>
      <c r="U150" s="716"/>
      <c r="V150" s="716"/>
      <c r="W150" s="716" t="str">
        <f>IFERROR(VLOOKUP('General price list'!$C150,Popisy!A:P,MATCH($W$17,Popisy!$A$7:$P$7,0),FALSE),"---------------")</f>
        <v>ruční dýmová pochodeň s trhací pojistkou-černá barva</v>
      </c>
      <c r="X150" s="716" t="str">
        <f t="shared" si="213"/>
        <v/>
      </c>
      <c r="Y150" s="716" t="str">
        <f t="shared" si="214"/>
        <v/>
      </c>
      <c r="Z150" s="716" t="str">
        <f>HYPERLINK("https://www.klasekpyrotechnics.cz/rdp60cer_sp9038b2")</f>
        <v>https://www.klasekpyrotechnics.cz/rdp60cer_sp9038b2</v>
      </c>
      <c r="AA150" s="716">
        <f>IFERROR(IF(VLOOKUP(C150,[4]List1!$A:$D,4,FALSE)=0,"",VLOOKUP(C150,[4]List1!$A:$D,4,FALSE)),"")</f>
        <v>21</v>
      </c>
      <c r="AB150" s="720"/>
      <c r="AC150" s="739" t="str">
        <f>IFERROR(IF(VLOOKUP(C150,[1]List1!$A:$D,2,FALSE)="VYPRODÁNO",$V$9,IF(VLOOKUP(C150,[1]List1!$A:$D,2,FALSE)="DOCHÁZÍ",$V$3,VLOOKUP(C150,[1]List1!$A:$D,2,FALSE))),"OFFLINE!")</f>
        <v>DOCHÁZÍ</v>
      </c>
      <c r="AD150" s="740" t="str">
        <f ca="1">IF(AP150="NE",$V$10,IF(AC150=$V$3,IF(AQ150&lt;1,$V$8,$V$2&amp;" "&amp;AQ150&amp;" "&amp;$V$1),IF(AC150="SKLADEM",$V$6,IFERROR(IF(OR(AC150-TODAY()&gt;45,VLOOKUP(C150,[1]List1!$A:$E,4,FALSE)=0),AC150,DAY(AC150)&amp;"."&amp;MONTH(AC150)&amp;"."&amp;YEAR(AC150)&amp;" "&amp;$V$4&amp;VLOOKUP(C150,[1]List1!$A:$E,4,FALSE)&amp;" "&amp;$V$1),AC150))))</f>
        <v>POSLEDNÍCH 5 VK</v>
      </c>
      <c r="AE150" s="716" t="str">
        <f t="shared" ca="1" si="215"/>
        <v>POSLEDNÍCH 5 VK</v>
      </c>
      <c r="AF150" s="723">
        <f t="shared" si="216"/>
        <v>0</v>
      </c>
      <c r="AG150" s="723">
        <f t="shared" si="217"/>
        <v>0</v>
      </c>
      <c r="AH150" s="724">
        <f t="shared" si="218"/>
        <v>0</v>
      </c>
      <c r="AI150" s="716">
        <f t="shared" si="219"/>
        <v>0</v>
      </c>
      <c r="AJ150" s="716">
        <f t="shared" si="220"/>
        <v>0</v>
      </c>
      <c r="AK150" s="716" t="str">
        <f t="shared" si="221"/>
        <v/>
      </c>
      <c r="AL150" s="716" t="str">
        <f t="shared" si="222"/>
        <v/>
      </c>
      <c r="AM150" s="716">
        <f t="shared" si="223"/>
        <v>0</v>
      </c>
      <c r="AN150" s="716">
        <f t="shared" si="224"/>
        <v>0</v>
      </c>
      <c r="AO150" s="380"/>
      <c r="AP150" s="322" t="str">
        <f t="shared" si="133"/>
        <v/>
      </c>
      <c r="AQ150" s="323">
        <f>IF(AC150=$V$3,IF(VLOOKUP(C150,[1]List1!$A:$E,5,FALSE)=0,1,VLOOKUP(C150,[1]List1!$A:$E,5,FALSE)),"")</f>
        <v>5</v>
      </c>
      <c r="AR150" s="304" t="str">
        <f t="shared" si="134"/>
        <v/>
      </c>
      <c r="AS150" s="423" t="str">
        <f t="shared" si="135"/>
        <v/>
      </c>
      <c r="AT150" s="304" t="str">
        <f t="shared" si="136"/>
        <v/>
      </c>
      <c r="AU150" s="342" t="e">
        <f t="shared" si="137"/>
        <v>#N/A</v>
      </c>
      <c r="AV150" s="304" t="e">
        <f t="shared" si="138"/>
        <v>#N/A</v>
      </c>
      <c r="AX150" s="304">
        <f>IF(AND('General price list'!$J150="F4",'General price list'!$AB150+0&gt;0),1,0)</f>
        <v>0</v>
      </c>
      <c r="AY150" s="304">
        <f t="shared" si="139"/>
        <v>1</v>
      </c>
      <c r="AZ150" s="304">
        <f t="shared" si="140"/>
        <v>0</v>
      </c>
    </row>
    <row r="151" spans="1:52" ht="15" customHeight="1">
      <c r="A151" s="725" t="str">
        <f>Kat.!C151</f>
        <v/>
      </c>
      <c r="B151" s="726">
        <f>IF(AND('General price list'!$J151="F4",$AI$1=FALSE),0,IF(AC151="SKLADEM",1,IF(AC151=$V$3,1,0)))</f>
        <v>1</v>
      </c>
      <c r="C151" s="727" t="s">
        <v>3782</v>
      </c>
      <c r="D151" s="728" t="s">
        <v>3783</v>
      </c>
      <c r="E151" s="729" t="s">
        <v>307</v>
      </c>
      <c r="F151" s="725">
        <f>IFERROR(ROUND(IF($AL$3=2,VLOOKUP(C151,[2]List1!$A:$D,2,FALSE)*1.08,VLOOKUP(C151,[2]List1!$A:$D,2,FALSE)),0),"NEUVEDENO!")</f>
        <v>325</v>
      </c>
      <c r="G151" s="730">
        <f t="shared" si="211"/>
        <v>325</v>
      </c>
      <c r="H151" s="731">
        <f t="shared" si="212"/>
        <v>13.206604114771485</v>
      </c>
      <c r="I151" s="732">
        <v>20</v>
      </c>
      <c r="J151" s="729" t="s">
        <v>240</v>
      </c>
      <c r="K151" s="729"/>
      <c r="L151" s="729" t="s">
        <v>14363</v>
      </c>
      <c r="M151" s="729" t="s">
        <v>25</v>
      </c>
      <c r="N151" s="729">
        <f>IFERROR(VLOOKUP(C151,[3]List1!$A:$D,4,FALSE),"N/A!")</f>
        <v>5.7330000000000013E-2</v>
      </c>
      <c r="O151" s="729">
        <f>IFERROR(VLOOKUP(C151,[3]List1!$A:$D,3,FALSE),"N/A!")</f>
        <v>4500</v>
      </c>
      <c r="P151" s="729">
        <f>IFERROR(VLOOKUP(C151,[3]List1!$A:$D,2,FALSE),"N/A!")</f>
        <v>15000</v>
      </c>
      <c r="Q151" s="729" t="s">
        <v>1283</v>
      </c>
      <c r="R151" s="729" t="s">
        <v>24</v>
      </c>
      <c r="S151" s="729"/>
      <c r="T151" s="729">
        <v>60</v>
      </c>
      <c r="U151" s="729"/>
      <c r="V151" s="729"/>
      <c r="W151" s="729" t="str">
        <f>IFERROR(VLOOKUP('General price list'!$C151,Popisy!A:P,MATCH($W$17,Popisy!$A$7:$P$7,0),FALSE),"---------------")</f>
        <v>ruční dýmová pochodeň-bílá barva</v>
      </c>
      <c r="X151" s="729" t="str">
        <f t="shared" si="213"/>
        <v/>
      </c>
      <c r="Y151" s="729" t="str">
        <f t="shared" si="214"/>
        <v/>
      </c>
      <c r="Z151" s="729" t="str">
        <f>HYPERLINK("https://www.klasekpyrotechnics.cz/hdp60b")</f>
        <v>https://www.klasekpyrotechnics.cz/hdp60b</v>
      </c>
      <c r="AA151" s="729">
        <f>IFERROR(IF(VLOOKUP(C151,[4]List1!$A:$D,4,FALSE)=0,"",VLOOKUP(C151,[4]List1!$A:$D,4,FALSE)),"")</f>
        <v>21</v>
      </c>
      <c r="AB151" s="720"/>
      <c r="AC151" s="733" t="str">
        <f>IFERROR(IF(VLOOKUP(C151,[1]List1!$A:$D,2,FALSE)="VYPRODÁNO",$V$9,IF(VLOOKUP(C151,[1]List1!$A:$D,2,FALSE)="DOCHÁZÍ",$V$3,VLOOKUP(C151,[1]List1!$A:$D,2,FALSE))),"OFFLINE!")</f>
        <v>SKLADEM</v>
      </c>
      <c r="AD151" s="734" t="str">
        <f ca="1">IF(AP151="NE",$V$10,IF(AC151=$V$3,IF(AQ151&lt;1,$V$8,$V$2&amp;" "&amp;AQ151&amp;" "&amp;$V$1),IF(AC151="SKLADEM",$V$6,IFERROR(IF(OR(AC151-TODAY()&gt;45,VLOOKUP(C151,[1]List1!$A:$E,4,FALSE)=0),AC151,DAY(AC151)&amp;"."&amp;MONTH(AC151)&amp;"."&amp;YEAR(AC151)&amp;" "&amp;$V$4&amp;VLOOKUP(C151,[1]List1!$A:$E,4,FALSE)&amp;" "&amp;$V$1),AC151))))</f>
        <v>SKLADEM</v>
      </c>
      <c r="AE151" s="729" t="str">
        <f t="shared" ca="1" si="215"/>
        <v>SKLADEM</v>
      </c>
      <c r="AF151" s="735">
        <f t="shared" si="216"/>
        <v>0</v>
      </c>
      <c r="AG151" s="735">
        <f t="shared" si="217"/>
        <v>0</v>
      </c>
      <c r="AH151" s="736">
        <f t="shared" si="218"/>
        <v>0</v>
      </c>
      <c r="AI151" s="729">
        <f t="shared" si="219"/>
        <v>0</v>
      </c>
      <c r="AJ151" s="729">
        <f t="shared" si="220"/>
        <v>0</v>
      </c>
      <c r="AK151" s="729" t="str">
        <f t="shared" si="221"/>
        <v/>
      </c>
      <c r="AL151" s="729" t="str">
        <f t="shared" si="222"/>
        <v/>
      </c>
      <c r="AM151" s="729">
        <f t="shared" si="223"/>
        <v>0</v>
      </c>
      <c r="AN151" s="729">
        <f t="shared" si="224"/>
        <v>0</v>
      </c>
      <c r="AO151" s="380"/>
      <c r="AP151" s="322" t="str">
        <f t="shared" ref="AP151:AP157" si="225">IF($AL$3=1,IF(Y151=AB151,"","NE"),IF(AR151=$V$10,"NE",""))</f>
        <v/>
      </c>
      <c r="AQ151" s="323" t="str">
        <f>IF(AC151=$V$3,IF(VLOOKUP(C151,[1]List1!$A:$E,5,FALSE)=0,1,VLOOKUP(C151,[1]List1!$A:$E,5,FALSE)),"")</f>
        <v/>
      </c>
      <c r="AR151" s="304" t="str">
        <f t="shared" ref="AR151:AR157" si="226">IF($AL$3=1,"",IF(OR(AB151&lt;&gt;"",AB151&lt;&gt;0),IF(OR(AC151=$V$6,AC151=$V$3,AC151=$V$9),$V$10,""),""))</f>
        <v/>
      </c>
      <c r="AS151" s="423" t="str">
        <f t="shared" ref="AS151:AS157" si="227">IF(AT151&lt;&gt;"","X","")</f>
        <v/>
      </c>
      <c r="AT151" s="304" t="str">
        <f t="shared" ref="AT151:AT157" si="228">IF(AND($AL$3=2,AR151="",AB151&lt;&gt;""),AD151,"")</f>
        <v/>
      </c>
      <c r="AU151" s="342" t="e">
        <f t="shared" ref="AU151:AU157" si="229">IF(AT151=$AS$21,AB151,"")</f>
        <v>#N/A</v>
      </c>
      <c r="AV151" s="304" t="e">
        <f t="shared" ref="AV151:AV157" si="230">IF(OR(AB151="",AND(AT151&lt;&gt;"",AU151&lt;&gt;"")),"",$V$10)</f>
        <v>#N/A</v>
      </c>
      <c r="AX151" s="304">
        <f>IF(AND('General price list'!$J151="F4",'General price list'!$AB151+0&gt;0),1,0)</f>
        <v>0</v>
      </c>
      <c r="AY151" s="304">
        <f t="shared" ref="AY151:AY157" si="231">IFERROR(FIND(VLOOKUP($AC$7,$AD$1:$AE$12,2,FALSE),Q151,1),0)</f>
        <v>1</v>
      </c>
      <c r="AZ151" s="304">
        <f t="shared" ref="AZ151:AZ157" si="232">IFERROR(FIND(VLOOKUP($AC$7,$AD$1:$AE$12,2,FALSE),R151,1),0)</f>
        <v>0</v>
      </c>
    </row>
    <row r="152" spans="1:52" ht="15" customHeight="1">
      <c r="A152" s="712" t="str">
        <f>Kat.!C152</f>
        <v/>
      </c>
      <c r="B152" s="737">
        <f>IF(AND('General price list'!$J152="F4",$AI$1=FALSE),0,IF(AC152="SKLADEM",1,IF(AC152=$V$3,1,0)))</f>
        <v>1</v>
      </c>
      <c r="C152" s="714" t="s">
        <v>3793</v>
      </c>
      <c r="D152" s="715" t="s">
        <v>3794</v>
      </c>
      <c r="E152" s="716" t="s">
        <v>307</v>
      </c>
      <c r="F152" s="712">
        <f>IFERROR(ROUND(IF($AL$3=2,VLOOKUP(C152,[2]List1!$A:$D,2,FALSE)*1.08,VLOOKUP(C152,[2]List1!$A:$D,2,FALSE)),0),"NEUVEDENO!")</f>
        <v>325</v>
      </c>
      <c r="G152" s="717">
        <f t="shared" si="211"/>
        <v>325</v>
      </c>
      <c r="H152" s="718">
        <f t="shared" si="212"/>
        <v>13.206604114771485</v>
      </c>
      <c r="I152" s="738">
        <v>20</v>
      </c>
      <c r="J152" s="716" t="s">
        <v>240</v>
      </c>
      <c r="K152" s="716"/>
      <c r="L152" s="716" t="s">
        <v>14363</v>
      </c>
      <c r="M152" s="716" t="s">
        <v>25</v>
      </c>
      <c r="N152" s="716">
        <f>IFERROR(VLOOKUP(C152,[3]List1!$A:$D,4,FALSE),"N/A!")</f>
        <v>5.7330000000000013E-2</v>
      </c>
      <c r="O152" s="716">
        <f>IFERROR(VLOOKUP(C152,[3]List1!$A:$D,3,FALSE),"N/A!")</f>
        <v>4500</v>
      </c>
      <c r="P152" s="716">
        <f>IFERROR(VLOOKUP(C152,[3]List1!$A:$D,2,FALSE),"N/A!")</f>
        <v>15000</v>
      </c>
      <c r="Q152" s="716" t="s">
        <v>1283</v>
      </c>
      <c r="R152" s="716" t="s">
        <v>24</v>
      </c>
      <c r="S152" s="716"/>
      <c r="T152" s="716">
        <v>60</v>
      </c>
      <c r="U152" s="716"/>
      <c r="V152" s="716"/>
      <c r="W152" s="716" t="str">
        <f>IFERROR(VLOOKUP('General price list'!$C152,Popisy!A:P,MATCH($W$17,Popisy!$A$7:$P$7,0),FALSE),"---------------")</f>
        <v>ruční dýmová pochodeň-červená barva</v>
      </c>
      <c r="X152" s="716" t="str">
        <f t="shared" si="213"/>
        <v/>
      </c>
      <c r="Y152" s="716" t="str">
        <f t="shared" si="214"/>
        <v/>
      </c>
      <c r="Z152" s="716" t="str">
        <f>HYPERLINK("https://www.klasekpyrotechnics.cz/hdp60c")</f>
        <v>https://www.klasekpyrotechnics.cz/hdp60c</v>
      </c>
      <c r="AA152" s="716">
        <f>IFERROR(IF(VLOOKUP(C152,[4]List1!$A:$D,4,FALSE)=0,"",VLOOKUP(C152,[4]List1!$A:$D,4,FALSE)),"")</f>
        <v>21</v>
      </c>
      <c r="AB152" s="720"/>
      <c r="AC152" s="739" t="str">
        <f>IFERROR(IF(VLOOKUP(C152,[1]List1!$A:$D,2,FALSE)="VYPRODÁNO",$V$9,IF(VLOOKUP(C152,[1]List1!$A:$D,2,FALSE)="DOCHÁZÍ",$V$3,VLOOKUP(C152,[1]List1!$A:$D,2,FALSE))),"OFFLINE!")</f>
        <v>SKLADEM</v>
      </c>
      <c r="AD152" s="740" t="str">
        <f ca="1">IF(AP152="NE",$V$10,IF(AC152=$V$3,IF(AQ152&lt;1,$V$8,$V$2&amp;" "&amp;AQ152&amp;" "&amp;$V$1),IF(AC152="SKLADEM",$V$6,IFERROR(IF(OR(AC152-TODAY()&gt;45,VLOOKUP(C152,[1]List1!$A:$E,4,FALSE)=0),AC152,DAY(AC152)&amp;"."&amp;MONTH(AC152)&amp;"."&amp;YEAR(AC152)&amp;" "&amp;$V$4&amp;VLOOKUP(C152,[1]List1!$A:$E,4,FALSE)&amp;" "&amp;$V$1),AC152))))</f>
        <v>SKLADEM</v>
      </c>
      <c r="AE152" s="716" t="str">
        <f t="shared" ca="1" si="215"/>
        <v>SKLADEM</v>
      </c>
      <c r="AF152" s="723">
        <f t="shared" si="216"/>
        <v>0</v>
      </c>
      <c r="AG152" s="723">
        <f t="shared" si="217"/>
        <v>0</v>
      </c>
      <c r="AH152" s="724">
        <f t="shared" si="218"/>
        <v>0</v>
      </c>
      <c r="AI152" s="716">
        <f t="shared" si="219"/>
        <v>0</v>
      </c>
      <c r="AJ152" s="716">
        <f t="shared" si="220"/>
        <v>0</v>
      </c>
      <c r="AK152" s="716" t="str">
        <f t="shared" si="221"/>
        <v/>
      </c>
      <c r="AL152" s="716" t="str">
        <f t="shared" si="222"/>
        <v/>
      </c>
      <c r="AM152" s="716">
        <f t="shared" si="223"/>
        <v>0</v>
      </c>
      <c r="AN152" s="716">
        <f t="shared" si="224"/>
        <v>0</v>
      </c>
      <c r="AO152" s="380"/>
      <c r="AP152" s="322" t="str">
        <f t="shared" si="225"/>
        <v/>
      </c>
      <c r="AQ152" s="323" t="str">
        <f>IF(AC152=$V$3,IF(VLOOKUP(C152,[1]List1!$A:$E,5,FALSE)=0,1,VLOOKUP(C152,[1]List1!$A:$E,5,FALSE)),"")</f>
        <v/>
      </c>
      <c r="AR152" s="304" t="str">
        <f t="shared" si="226"/>
        <v/>
      </c>
      <c r="AS152" s="423" t="str">
        <f t="shared" si="227"/>
        <v/>
      </c>
      <c r="AT152" s="304" t="str">
        <f t="shared" si="228"/>
        <v/>
      </c>
      <c r="AU152" s="342" t="e">
        <f t="shared" si="229"/>
        <v>#N/A</v>
      </c>
      <c r="AV152" s="304" t="e">
        <f t="shared" si="230"/>
        <v>#N/A</v>
      </c>
      <c r="AX152" s="304">
        <f>IF(AND('General price list'!$J152="F4",'General price list'!$AB152+0&gt;0),1,0)</f>
        <v>0</v>
      </c>
      <c r="AY152" s="304">
        <f t="shared" si="231"/>
        <v>1</v>
      </c>
      <c r="AZ152" s="304">
        <f t="shared" si="232"/>
        <v>0</v>
      </c>
    </row>
    <row r="153" spans="1:52" ht="15" customHeight="1">
      <c r="A153" s="725" t="str">
        <f>Kat.!C153</f>
        <v/>
      </c>
      <c r="B153" s="726">
        <f>IF(AND('General price list'!$J153="F4",$AI$1=FALSE),0,IF(AC153="SKLADEM",1,IF(AC153=$V$3,1,0)))</f>
        <v>1</v>
      </c>
      <c r="C153" s="727" t="s">
        <v>3804</v>
      </c>
      <c r="D153" s="728" t="s">
        <v>3805</v>
      </c>
      <c r="E153" s="729" t="s">
        <v>307</v>
      </c>
      <c r="F153" s="725">
        <f>IFERROR(ROUND(IF($AL$3=2,VLOOKUP(C153,[2]List1!$A:$D,2,FALSE)*1.08,VLOOKUP(C153,[2]List1!$A:$D,2,FALSE)),0),"NEUVEDENO!")</f>
        <v>325</v>
      </c>
      <c r="G153" s="730">
        <f t="shared" si="211"/>
        <v>325</v>
      </c>
      <c r="H153" s="731">
        <f t="shared" si="212"/>
        <v>13.206604114771485</v>
      </c>
      <c r="I153" s="732">
        <v>20</v>
      </c>
      <c r="J153" s="729" t="s">
        <v>240</v>
      </c>
      <c r="K153" s="729"/>
      <c r="L153" s="729" t="s">
        <v>14363</v>
      </c>
      <c r="M153" s="729" t="s">
        <v>25</v>
      </c>
      <c r="N153" s="729">
        <f>IFERROR(VLOOKUP(C153,[3]List1!$A:$D,4,FALSE),"N/A!")</f>
        <v>5.7330000000000013E-2</v>
      </c>
      <c r="O153" s="729">
        <f>IFERROR(VLOOKUP(C153,[3]List1!$A:$D,3,FALSE),"N/A!")</f>
        <v>4500</v>
      </c>
      <c r="P153" s="729">
        <f>IFERROR(VLOOKUP(C153,[3]List1!$A:$D,2,FALSE),"N/A!")</f>
        <v>15000</v>
      </c>
      <c r="Q153" s="729" t="s">
        <v>1283</v>
      </c>
      <c r="R153" s="729" t="s">
        <v>24</v>
      </c>
      <c r="S153" s="729"/>
      <c r="T153" s="729">
        <v>60</v>
      </c>
      <c r="U153" s="729"/>
      <c r="V153" s="729"/>
      <c r="W153" s="729" t="str">
        <f>IFERROR(VLOOKUP('General price list'!$C153,Popisy!A:P,MATCH($W$17,Popisy!$A$7:$P$7,0),FALSE),"---------------")</f>
        <v>ruční dýmová pochodeň-modrá barva</v>
      </c>
      <c r="X153" s="729" t="str">
        <f t="shared" si="213"/>
        <v/>
      </c>
      <c r="Y153" s="729" t="str">
        <f t="shared" si="214"/>
        <v/>
      </c>
      <c r="Z153" s="729" t="str">
        <f>HYPERLINK("https://www.klasekpyrotechnics.cz/hdp60m")</f>
        <v>https://www.klasekpyrotechnics.cz/hdp60m</v>
      </c>
      <c r="AA153" s="729">
        <f>IFERROR(IF(VLOOKUP(C153,[4]List1!$A:$D,4,FALSE)=0,"",VLOOKUP(C153,[4]List1!$A:$D,4,FALSE)),"")</f>
        <v>21</v>
      </c>
      <c r="AB153" s="720"/>
      <c r="AC153" s="733" t="str">
        <f>IFERROR(IF(VLOOKUP(C153,[1]List1!$A:$D,2,FALSE)="VYPRODÁNO",$V$9,IF(VLOOKUP(C153,[1]List1!$A:$D,2,FALSE)="DOCHÁZÍ",$V$3,VLOOKUP(C153,[1]List1!$A:$D,2,FALSE))),"OFFLINE!")</f>
        <v>SKLADEM</v>
      </c>
      <c r="AD153" s="734" t="str">
        <f ca="1">IF(AP153="NE",$V$10,IF(AC153=$V$3,IF(AQ153&lt;1,$V$8,$V$2&amp;" "&amp;AQ153&amp;" "&amp;$V$1),IF(AC153="SKLADEM",$V$6,IFERROR(IF(OR(AC153-TODAY()&gt;45,VLOOKUP(C153,[1]List1!$A:$E,4,FALSE)=0),AC153,DAY(AC153)&amp;"."&amp;MONTH(AC153)&amp;"."&amp;YEAR(AC153)&amp;" "&amp;$V$4&amp;VLOOKUP(C153,[1]List1!$A:$E,4,FALSE)&amp;" "&amp;$V$1),AC153))))</f>
        <v>SKLADEM</v>
      </c>
      <c r="AE153" s="729" t="str">
        <f t="shared" ca="1" si="215"/>
        <v>SKLADEM</v>
      </c>
      <c r="AF153" s="735">
        <f t="shared" si="216"/>
        <v>0</v>
      </c>
      <c r="AG153" s="735">
        <f t="shared" si="217"/>
        <v>0</v>
      </c>
      <c r="AH153" s="736">
        <f t="shared" si="218"/>
        <v>0</v>
      </c>
      <c r="AI153" s="729">
        <f t="shared" si="219"/>
        <v>0</v>
      </c>
      <c r="AJ153" s="729">
        <f t="shared" si="220"/>
        <v>0</v>
      </c>
      <c r="AK153" s="729" t="str">
        <f t="shared" si="221"/>
        <v/>
      </c>
      <c r="AL153" s="729" t="str">
        <f t="shared" si="222"/>
        <v/>
      </c>
      <c r="AM153" s="729">
        <f t="shared" si="223"/>
        <v>0</v>
      </c>
      <c r="AN153" s="729">
        <f t="shared" si="224"/>
        <v>0</v>
      </c>
      <c r="AO153" s="380"/>
      <c r="AP153" s="322" t="str">
        <f t="shared" si="225"/>
        <v/>
      </c>
      <c r="AQ153" s="323" t="str">
        <f>IF(AC153=$V$3,IF(VLOOKUP(C153,[1]List1!$A:$E,5,FALSE)=0,1,VLOOKUP(C153,[1]List1!$A:$E,5,FALSE)),"")</f>
        <v/>
      </c>
      <c r="AR153" s="304" t="str">
        <f t="shared" si="226"/>
        <v/>
      </c>
      <c r="AS153" s="423" t="str">
        <f t="shared" si="227"/>
        <v/>
      </c>
      <c r="AT153" s="304" t="str">
        <f t="shared" si="228"/>
        <v/>
      </c>
      <c r="AU153" s="342" t="e">
        <f t="shared" si="229"/>
        <v>#N/A</v>
      </c>
      <c r="AV153" s="304" t="e">
        <f t="shared" si="230"/>
        <v>#N/A</v>
      </c>
      <c r="AX153" s="304">
        <f>IF(AND('General price list'!$J153="F4",'General price list'!$AB153+0&gt;0),1,0)</f>
        <v>0</v>
      </c>
      <c r="AY153" s="304">
        <f t="shared" si="231"/>
        <v>1</v>
      </c>
      <c r="AZ153" s="304">
        <f t="shared" si="232"/>
        <v>0</v>
      </c>
    </row>
    <row r="154" spans="1:52" ht="15" customHeight="1">
      <c r="A154" s="712" t="str">
        <f>Kat.!C154</f>
        <v/>
      </c>
      <c r="B154" s="737">
        <f>IF(AND('General price list'!$J154="F4",$AI$1=FALSE),0,IF(AC154="SKLADEM",1,IF(AC154=$V$3,1,0)))</f>
        <v>1</v>
      </c>
      <c r="C154" s="714" t="s">
        <v>3815</v>
      </c>
      <c r="D154" s="715" t="s">
        <v>3816</v>
      </c>
      <c r="E154" s="716" t="s">
        <v>307</v>
      </c>
      <c r="F154" s="712">
        <f>IFERROR(ROUND(IF($AL$3=2,VLOOKUP(C154,[2]List1!$A:$D,2,FALSE)*1.08,VLOOKUP(C154,[2]List1!$A:$D,2,FALSE)),0),"NEUVEDENO!")</f>
        <v>325</v>
      </c>
      <c r="G154" s="717">
        <f t="shared" si="211"/>
        <v>325</v>
      </c>
      <c r="H154" s="718">
        <f t="shared" si="212"/>
        <v>13.206604114771485</v>
      </c>
      <c r="I154" s="738">
        <v>20</v>
      </c>
      <c r="J154" s="716" t="s">
        <v>240</v>
      </c>
      <c r="K154" s="716"/>
      <c r="L154" s="716" t="s">
        <v>14363</v>
      </c>
      <c r="M154" s="716" t="s">
        <v>25</v>
      </c>
      <c r="N154" s="716">
        <f>IFERROR(VLOOKUP(C154,[3]List1!$A:$D,4,FALSE),"N/A!")</f>
        <v>5.7330000000000013E-2</v>
      </c>
      <c r="O154" s="716">
        <f>IFERROR(VLOOKUP(C154,[3]List1!$A:$D,3,FALSE),"N/A!")</f>
        <v>4500</v>
      </c>
      <c r="P154" s="716">
        <f>IFERROR(VLOOKUP(C154,[3]List1!$A:$D,2,FALSE),"N/A!")</f>
        <v>15000</v>
      </c>
      <c r="Q154" s="716" t="s">
        <v>1283</v>
      </c>
      <c r="R154" s="716" t="s">
        <v>24</v>
      </c>
      <c r="S154" s="716"/>
      <c r="T154" s="716">
        <v>60</v>
      </c>
      <c r="U154" s="716"/>
      <c r="V154" s="716"/>
      <c r="W154" s="716" t="str">
        <f>IFERROR(VLOOKUP('General price list'!$C154,Popisy!A:P,MATCH($W$17,Popisy!$A$7:$P$7,0),FALSE),"---------------")</f>
        <v>ruční dýmová pochodeň-žlutá barva</v>
      </c>
      <c r="X154" s="716" t="str">
        <f t="shared" si="213"/>
        <v/>
      </c>
      <c r="Y154" s="716" t="str">
        <f t="shared" si="214"/>
        <v/>
      </c>
      <c r="Z154" s="716" t="str">
        <f>HYPERLINK("https://www.klasekpyrotechnics.cz/hdp60zl")</f>
        <v>https://www.klasekpyrotechnics.cz/hdp60zl</v>
      </c>
      <c r="AA154" s="716">
        <f>IFERROR(IF(VLOOKUP(C154,[4]List1!$A:$D,4,FALSE)=0,"",VLOOKUP(C154,[4]List1!$A:$D,4,FALSE)),"")</f>
        <v>21</v>
      </c>
      <c r="AB154" s="720"/>
      <c r="AC154" s="739" t="str">
        <f>IFERROR(IF(VLOOKUP(C154,[1]List1!$A:$D,2,FALSE)="VYPRODÁNO",$V$9,IF(VLOOKUP(C154,[1]List1!$A:$D,2,FALSE)="DOCHÁZÍ",$V$3,VLOOKUP(C154,[1]List1!$A:$D,2,FALSE))),"OFFLINE!")</f>
        <v>SKLADEM</v>
      </c>
      <c r="AD154" s="740" t="str">
        <f ca="1">IF(AP154="NE",$V$10,IF(AC154=$V$3,IF(AQ154&lt;1,$V$8,$V$2&amp;" "&amp;AQ154&amp;" "&amp;$V$1),IF(AC154="SKLADEM",$V$6,IFERROR(IF(OR(AC154-TODAY()&gt;45,VLOOKUP(C154,[1]List1!$A:$E,4,FALSE)=0),AC154,DAY(AC154)&amp;"."&amp;MONTH(AC154)&amp;"."&amp;YEAR(AC154)&amp;" "&amp;$V$4&amp;VLOOKUP(C154,[1]List1!$A:$E,4,FALSE)&amp;" "&amp;$V$1),AC154))))</f>
        <v>SKLADEM</v>
      </c>
      <c r="AE154" s="716" t="str">
        <f t="shared" ca="1" si="215"/>
        <v>SKLADEM</v>
      </c>
      <c r="AF154" s="723">
        <f t="shared" si="216"/>
        <v>0</v>
      </c>
      <c r="AG154" s="723">
        <f t="shared" si="217"/>
        <v>0</v>
      </c>
      <c r="AH154" s="724">
        <f t="shared" si="218"/>
        <v>0</v>
      </c>
      <c r="AI154" s="716">
        <f t="shared" si="219"/>
        <v>0</v>
      </c>
      <c r="AJ154" s="716">
        <f t="shared" si="220"/>
        <v>0</v>
      </c>
      <c r="AK154" s="716" t="str">
        <f t="shared" si="221"/>
        <v/>
      </c>
      <c r="AL154" s="716" t="str">
        <f t="shared" si="222"/>
        <v/>
      </c>
      <c r="AM154" s="716">
        <f t="shared" si="223"/>
        <v>0</v>
      </c>
      <c r="AN154" s="716">
        <f t="shared" si="224"/>
        <v>0</v>
      </c>
      <c r="AO154" s="380"/>
      <c r="AP154" s="322" t="str">
        <f t="shared" si="225"/>
        <v/>
      </c>
      <c r="AQ154" s="323" t="str">
        <f>IF(AC154=$V$3,IF(VLOOKUP(C154,[1]List1!$A:$E,5,FALSE)=0,1,VLOOKUP(C154,[1]List1!$A:$E,5,FALSE)),"")</f>
        <v/>
      </c>
      <c r="AR154" s="304" t="str">
        <f t="shared" si="226"/>
        <v/>
      </c>
      <c r="AS154" s="423" t="str">
        <f t="shared" si="227"/>
        <v/>
      </c>
      <c r="AT154" s="304" t="str">
        <f t="shared" si="228"/>
        <v/>
      </c>
      <c r="AU154" s="342" t="e">
        <f t="shared" si="229"/>
        <v>#N/A</v>
      </c>
      <c r="AV154" s="304" t="e">
        <f t="shared" si="230"/>
        <v>#N/A</v>
      </c>
      <c r="AX154" s="304">
        <f>IF(AND('General price list'!$J154="F4",'General price list'!$AB154+0&gt;0),1,0)</f>
        <v>0</v>
      </c>
      <c r="AY154" s="304">
        <f t="shared" si="231"/>
        <v>1</v>
      </c>
      <c r="AZ154" s="304">
        <f t="shared" si="232"/>
        <v>0</v>
      </c>
    </row>
    <row r="155" spans="1:52" ht="15" customHeight="1">
      <c r="A155" s="725" t="str">
        <f>Kat.!C155</f>
        <v/>
      </c>
      <c r="B155" s="726">
        <f>IF(AND('General price list'!$J155="F4",$AI$1=FALSE),0,IF(AC155="SKLADEM",1,IF(AC155=$V$3,1,0)))</f>
        <v>1</v>
      </c>
      <c r="C155" s="727" t="s">
        <v>3826</v>
      </c>
      <c r="D155" s="728" t="s">
        <v>3827</v>
      </c>
      <c r="E155" s="729" t="s">
        <v>307</v>
      </c>
      <c r="F155" s="725">
        <f>IFERROR(ROUND(IF($AL$3=2,VLOOKUP(C155,[2]List1!$A:$D,2,FALSE)*1.08,VLOOKUP(C155,[2]List1!$A:$D,2,FALSE)),0),"NEUVEDENO!")</f>
        <v>325</v>
      </c>
      <c r="G155" s="730">
        <f t="shared" si="211"/>
        <v>325</v>
      </c>
      <c r="H155" s="731">
        <f t="shared" si="212"/>
        <v>13.206604114771485</v>
      </c>
      <c r="I155" s="732">
        <v>20</v>
      </c>
      <c r="J155" s="729" t="s">
        <v>240</v>
      </c>
      <c r="K155" s="729"/>
      <c r="L155" s="729" t="s">
        <v>14363</v>
      </c>
      <c r="M155" s="729" t="s">
        <v>25</v>
      </c>
      <c r="N155" s="729">
        <f>IFERROR(VLOOKUP(C155,[3]List1!$A:$D,4,FALSE),"N/A!")</f>
        <v>5.7330000000000013E-2</v>
      </c>
      <c r="O155" s="729">
        <f>IFERROR(VLOOKUP(C155,[3]List1!$A:$D,3,FALSE),"N/A!")</f>
        <v>4500</v>
      </c>
      <c r="P155" s="729">
        <f>IFERROR(VLOOKUP(C155,[3]List1!$A:$D,2,FALSE),"N/A!")</f>
        <v>15000</v>
      </c>
      <c r="Q155" s="729" t="s">
        <v>1283</v>
      </c>
      <c r="R155" s="729" t="s">
        <v>24</v>
      </c>
      <c r="S155" s="729"/>
      <c r="T155" s="729">
        <v>60</v>
      </c>
      <c r="U155" s="729"/>
      <c r="V155" s="729"/>
      <c r="W155" s="729" t="str">
        <f>IFERROR(VLOOKUP('General price list'!$C155,Popisy!A:P,MATCH($W$17,Popisy!$A$7:$P$7,0),FALSE),"---------------")</f>
        <v>ruční dýmová pochodeň-zelená barva</v>
      </c>
      <c r="X155" s="729" t="str">
        <f t="shared" si="213"/>
        <v/>
      </c>
      <c r="Y155" s="729" t="str">
        <f t="shared" si="214"/>
        <v/>
      </c>
      <c r="Z155" s="729" t="str">
        <f>HYPERLINK("https://www.klasekpyrotechnics.cz/hdp60ze")</f>
        <v>https://www.klasekpyrotechnics.cz/hdp60ze</v>
      </c>
      <c r="AA155" s="729">
        <f>IFERROR(IF(VLOOKUP(C155,[4]List1!$A:$D,4,FALSE)=0,"",VLOOKUP(C155,[4]List1!$A:$D,4,FALSE)),"")</f>
        <v>21</v>
      </c>
      <c r="AB155" s="720"/>
      <c r="AC155" s="733" t="str">
        <f>IFERROR(IF(VLOOKUP(C155,[1]List1!$A:$D,2,FALSE)="VYPRODÁNO",$V$9,IF(VLOOKUP(C155,[1]List1!$A:$D,2,FALSE)="DOCHÁZÍ",$V$3,VLOOKUP(C155,[1]List1!$A:$D,2,FALSE))),"OFFLINE!")</f>
        <v>SKLADEM</v>
      </c>
      <c r="AD155" s="734" t="str">
        <f ca="1">IF(AP155="NE",$V$10,IF(AC155=$V$3,IF(AQ155&lt;1,$V$8,$V$2&amp;" "&amp;AQ155&amp;" "&amp;$V$1),IF(AC155="SKLADEM",$V$6,IFERROR(IF(OR(AC155-TODAY()&gt;45,VLOOKUP(C155,[1]List1!$A:$E,4,FALSE)=0),AC155,DAY(AC155)&amp;"."&amp;MONTH(AC155)&amp;"."&amp;YEAR(AC155)&amp;" "&amp;$V$4&amp;VLOOKUP(C155,[1]List1!$A:$E,4,FALSE)&amp;" "&amp;$V$1),AC155))))</f>
        <v>SKLADEM</v>
      </c>
      <c r="AE155" s="729" t="str">
        <f t="shared" ca="1" si="215"/>
        <v>SKLADEM</v>
      </c>
      <c r="AF155" s="735">
        <f t="shared" si="216"/>
        <v>0</v>
      </c>
      <c r="AG155" s="735">
        <f t="shared" si="217"/>
        <v>0</v>
      </c>
      <c r="AH155" s="736">
        <f t="shared" si="218"/>
        <v>0</v>
      </c>
      <c r="AI155" s="729">
        <f t="shared" si="219"/>
        <v>0</v>
      </c>
      <c r="AJ155" s="729">
        <f t="shared" si="220"/>
        <v>0</v>
      </c>
      <c r="AK155" s="729" t="str">
        <f t="shared" si="221"/>
        <v/>
      </c>
      <c r="AL155" s="729" t="str">
        <f t="shared" si="222"/>
        <v/>
      </c>
      <c r="AM155" s="729">
        <f t="shared" si="223"/>
        <v>0</v>
      </c>
      <c r="AN155" s="729">
        <f t="shared" si="224"/>
        <v>0</v>
      </c>
      <c r="AO155" s="380"/>
      <c r="AP155" s="322" t="str">
        <f t="shared" si="225"/>
        <v/>
      </c>
      <c r="AQ155" s="323" t="str">
        <f>IF(AC155=$V$3,IF(VLOOKUP(C155,[1]List1!$A:$E,5,FALSE)=0,1,VLOOKUP(C155,[1]List1!$A:$E,5,FALSE)),"")</f>
        <v/>
      </c>
      <c r="AR155" s="304" t="str">
        <f t="shared" si="226"/>
        <v/>
      </c>
      <c r="AS155" s="423" t="str">
        <f t="shared" si="227"/>
        <v/>
      </c>
      <c r="AT155" s="304" t="str">
        <f t="shared" si="228"/>
        <v/>
      </c>
      <c r="AU155" s="342" t="e">
        <f t="shared" si="229"/>
        <v>#N/A</v>
      </c>
      <c r="AV155" s="304" t="e">
        <f t="shared" si="230"/>
        <v>#N/A</v>
      </c>
      <c r="AX155" s="304">
        <f>IF(AND('General price list'!$J155="F4",'General price list'!$AB155+0&gt;0),1,0)</f>
        <v>0</v>
      </c>
      <c r="AY155" s="304">
        <f t="shared" si="231"/>
        <v>1</v>
      </c>
      <c r="AZ155" s="304">
        <f t="shared" si="232"/>
        <v>0</v>
      </c>
    </row>
    <row r="156" spans="1:52" ht="15" customHeight="1">
      <c r="A156" s="712" t="str">
        <f>Kat.!C156</f>
        <v/>
      </c>
      <c r="B156" s="737">
        <f>IF(AND('General price list'!$J156="F4",$AI$1=FALSE),0,IF(AC156="SKLADEM",1,IF(AC156=$V$3,1,0)))</f>
        <v>1</v>
      </c>
      <c r="C156" s="714" t="s">
        <v>3837</v>
      </c>
      <c r="D156" s="715" t="s">
        <v>3838</v>
      </c>
      <c r="E156" s="716" t="s">
        <v>307</v>
      </c>
      <c r="F156" s="712">
        <f>IFERROR(ROUND(IF($AL$3=2,VLOOKUP(C156,[2]List1!$A:$D,2,FALSE)*1.08,VLOOKUP(C156,[2]List1!$A:$D,2,FALSE)),0),"NEUVEDENO!")</f>
        <v>325</v>
      </c>
      <c r="G156" s="717">
        <f t="shared" si="211"/>
        <v>325</v>
      </c>
      <c r="H156" s="718">
        <f t="shared" si="212"/>
        <v>13.206604114771485</v>
      </c>
      <c r="I156" s="738">
        <v>20</v>
      </c>
      <c r="J156" s="716" t="s">
        <v>240</v>
      </c>
      <c r="K156" s="716"/>
      <c r="L156" s="716" t="s">
        <v>14363</v>
      </c>
      <c r="M156" s="716" t="s">
        <v>25</v>
      </c>
      <c r="N156" s="716">
        <f>IFERROR(VLOOKUP(C156,[3]List1!$A:$D,4,FALSE),"N/A!")</f>
        <v>5.7330000000000013E-2</v>
      </c>
      <c r="O156" s="716">
        <f>IFERROR(VLOOKUP(C156,[3]List1!$A:$D,3,FALSE),"N/A!")</f>
        <v>4500</v>
      </c>
      <c r="P156" s="716">
        <f>IFERROR(VLOOKUP(C156,[3]List1!$A:$D,2,FALSE),"N/A!")</f>
        <v>15000</v>
      </c>
      <c r="Q156" s="716" t="s">
        <v>1283</v>
      </c>
      <c r="R156" s="716" t="s">
        <v>24</v>
      </c>
      <c r="S156" s="716"/>
      <c r="T156" s="716">
        <v>60</v>
      </c>
      <c r="U156" s="716"/>
      <c r="V156" s="716"/>
      <c r="W156" s="716" t="str">
        <f>IFERROR(VLOOKUP('General price list'!$C156,Popisy!A:P,MATCH($W$17,Popisy!$A$7:$P$7,0),FALSE),"---------------")</f>
        <v>ruční dýmová pochodeň-oranžová barva</v>
      </c>
      <c r="X156" s="716" t="str">
        <f t="shared" si="213"/>
        <v/>
      </c>
      <c r="Y156" s="716" t="str">
        <f t="shared" si="214"/>
        <v/>
      </c>
      <c r="Z156" s="716" t="str">
        <f>HYPERLINK("https://www.klasekpyrotechnics.cz/hdp60o")</f>
        <v>https://www.klasekpyrotechnics.cz/hdp60o</v>
      </c>
      <c r="AA156" s="716">
        <f>IFERROR(IF(VLOOKUP(C156,[4]List1!$A:$D,4,FALSE)=0,"",VLOOKUP(C156,[4]List1!$A:$D,4,FALSE)),"")</f>
        <v>21</v>
      </c>
      <c r="AB156" s="720"/>
      <c r="AC156" s="739" t="str">
        <f>IFERROR(IF(VLOOKUP(C156,[1]List1!$A:$D,2,FALSE)="VYPRODÁNO",$V$9,IF(VLOOKUP(C156,[1]List1!$A:$D,2,FALSE)="DOCHÁZÍ",$V$3,VLOOKUP(C156,[1]List1!$A:$D,2,FALSE))),"OFFLINE!")</f>
        <v>SKLADEM</v>
      </c>
      <c r="AD156" s="740" t="str">
        <f ca="1">IF(AP156="NE",$V$10,IF(AC156=$V$3,IF(AQ156&lt;1,$V$8,$V$2&amp;" "&amp;AQ156&amp;" "&amp;$V$1),IF(AC156="SKLADEM",$V$6,IFERROR(IF(OR(AC156-TODAY()&gt;45,VLOOKUP(C156,[1]List1!$A:$E,4,FALSE)=0),AC156,DAY(AC156)&amp;"."&amp;MONTH(AC156)&amp;"."&amp;YEAR(AC156)&amp;" "&amp;$V$4&amp;VLOOKUP(C156,[1]List1!$A:$E,4,FALSE)&amp;" "&amp;$V$1),AC156))))</f>
        <v>SKLADEM</v>
      </c>
      <c r="AE156" s="716" t="str">
        <f t="shared" ca="1" si="215"/>
        <v>SKLADEM</v>
      </c>
      <c r="AF156" s="723">
        <f t="shared" si="216"/>
        <v>0</v>
      </c>
      <c r="AG156" s="723">
        <f t="shared" si="217"/>
        <v>0</v>
      </c>
      <c r="AH156" s="724">
        <f t="shared" si="218"/>
        <v>0</v>
      </c>
      <c r="AI156" s="716">
        <f t="shared" si="219"/>
        <v>0</v>
      </c>
      <c r="AJ156" s="716">
        <f t="shared" si="220"/>
        <v>0</v>
      </c>
      <c r="AK156" s="716" t="str">
        <f t="shared" si="221"/>
        <v/>
      </c>
      <c r="AL156" s="716" t="str">
        <f t="shared" si="222"/>
        <v/>
      </c>
      <c r="AM156" s="716">
        <f t="shared" si="223"/>
        <v>0</v>
      </c>
      <c r="AN156" s="716">
        <f t="shared" si="224"/>
        <v>0</v>
      </c>
      <c r="AO156" s="380"/>
      <c r="AP156" s="322" t="str">
        <f t="shared" si="225"/>
        <v/>
      </c>
      <c r="AQ156" s="323" t="str">
        <f>IF(AC156=$V$3,IF(VLOOKUP(C156,[1]List1!$A:$E,5,FALSE)=0,1,VLOOKUP(C156,[1]List1!$A:$E,5,FALSE)),"")</f>
        <v/>
      </c>
      <c r="AR156" s="304" t="str">
        <f t="shared" si="226"/>
        <v/>
      </c>
      <c r="AS156" s="423" t="str">
        <f t="shared" si="227"/>
        <v/>
      </c>
      <c r="AT156" s="304" t="str">
        <f t="shared" si="228"/>
        <v/>
      </c>
      <c r="AU156" s="342" t="e">
        <f t="shared" si="229"/>
        <v>#N/A</v>
      </c>
      <c r="AV156" s="304" t="e">
        <f t="shared" si="230"/>
        <v>#N/A</v>
      </c>
      <c r="AX156" s="304">
        <f>IF(AND('General price list'!$J156="F4",'General price list'!$AB156+0&gt;0),1,0)</f>
        <v>0</v>
      </c>
      <c r="AY156" s="304">
        <f t="shared" si="231"/>
        <v>1</v>
      </c>
      <c r="AZ156" s="304">
        <f t="shared" si="232"/>
        <v>0</v>
      </c>
    </row>
    <row r="157" spans="1:52" ht="15" customHeight="1">
      <c r="A157" s="725" t="str">
        <f>Kat.!C157</f>
        <v/>
      </c>
      <c r="B157" s="726">
        <f>IF(AND('General price list'!$J157="F4",$AI$1=FALSE),0,IF(AC157="SKLADEM",1,IF(AC157=$V$3,1,0)))</f>
        <v>1</v>
      </c>
      <c r="C157" s="727" t="s">
        <v>3848</v>
      </c>
      <c r="D157" s="728" t="s">
        <v>3849</v>
      </c>
      <c r="E157" s="729" t="s">
        <v>307</v>
      </c>
      <c r="F157" s="725">
        <f>IFERROR(ROUND(IF($AL$3=2,VLOOKUP(C157,[2]List1!$A:$D,2,FALSE)*1.08,VLOOKUP(C157,[2]List1!$A:$D,2,FALSE)),0),"NEUVEDENO!")</f>
        <v>325</v>
      </c>
      <c r="G157" s="730">
        <f t="shared" si="211"/>
        <v>325</v>
      </c>
      <c r="H157" s="731">
        <f t="shared" si="212"/>
        <v>13.206604114771485</v>
      </c>
      <c r="I157" s="732">
        <v>20</v>
      </c>
      <c r="J157" s="729" t="s">
        <v>240</v>
      </c>
      <c r="K157" s="729"/>
      <c r="L157" s="729" t="s">
        <v>14363</v>
      </c>
      <c r="M157" s="729" t="s">
        <v>25</v>
      </c>
      <c r="N157" s="729">
        <f>IFERROR(VLOOKUP(C157,[3]List1!$A:$D,4,FALSE),"N/A!")</f>
        <v>5.7330000000000013E-2</v>
      </c>
      <c r="O157" s="729">
        <f>IFERROR(VLOOKUP(C157,[3]List1!$A:$D,3,FALSE),"N/A!")</f>
        <v>4500</v>
      </c>
      <c r="P157" s="729">
        <f>IFERROR(VLOOKUP(C157,[3]List1!$A:$D,2,FALSE),"N/A!")</f>
        <v>15000</v>
      </c>
      <c r="Q157" s="729" t="s">
        <v>1283</v>
      </c>
      <c r="R157" s="729" t="s">
        <v>24</v>
      </c>
      <c r="S157" s="729"/>
      <c r="T157" s="729">
        <v>60</v>
      </c>
      <c r="U157" s="729"/>
      <c r="V157" s="729"/>
      <c r="W157" s="729" t="str">
        <f>IFERROR(VLOOKUP('General price list'!$C157,Popisy!A:P,MATCH($W$17,Popisy!$A$7:$P$7,0),FALSE),"---------------")</f>
        <v>ruční dýmová pochodeň-černá barva</v>
      </c>
      <c r="X157" s="729" t="str">
        <f t="shared" si="213"/>
        <v/>
      </c>
      <c r="Y157" s="729" t="str">
        <f t="shared" si="214"/>
        <v/>
      </c>
      <c r="Z157" s="729" t="str">
        <f>HYPERLINK("https://www.klasekpyrotechnics.cz/hdp60cer")</f>
        <v>https://www.klasekpyrotechnics.cz/hdp60cer</v>
      </c>
      <c r="AA157" s="729">
        <f>IFERROR(IF(VLOOKUP(C157,[4]List1!$A:$D,4,FALSE)=0,"",VLOOKUP(C157,[4]List1!$A:$D,4,FALSE)),"")</f>
        <v>21</v>
      </c>
      <c r="AB157" s="720"/>
      <c r="AC157" s="733" t="str">
        <f>IFERROR(IF(VLOOKUP(C157,[1]List1!$A:$D,2,FALSE)="VYPRODÁNO",$V$9,IF(VLOOKUP(C157,[1]List1!$A:$D,2,FALSE)="DOCHÁZÍ",$V$3,VLOOKUP(C157,[1]List1!$A:$D,2,FALSE))),"OFFLINE!")</f>
        <v>DOCHÁZÍ</v>
      </c>
      <c r="AD157" s="734" t="str">
        <f ca="1">IF(AP157="NE",$V$10,IF(AC157=$V$3,IF(AQ157&lt;1,$V$8,$V$2&amp;" "&amp;AQ157&amp;" "&amp;$V$1),IF(AC157="SKLADEM",$V$6,IFERROR(IF(OR(AC157-TODAY()&gt;45,VLOOKUP(C157,[1]List1!$A:$E,4,FALSE)=0),AC157,DAY(AC157)&amp;"."&amp;MONTH(AC157)&amp;"."&amp;YEAR(AC157)&amp;" "&amp;$V$4&amp;VLOOKUP(C157,[1]List1!$A:$E,4,FALSE)&amp;" "&amp;$V$1),AC157))))</f>
        <v>POSLEDNÍCH 19 VK</v>
      </c>
      <c r="AE157" s="729" t="str">
        <f t="shared" ca="1" si="215"/>
        <v>POSLEDNÍCH 19 VK</v>
      </c>
      <c r="AF157" s="735">
        <f t="shared" si="216"/>
        <v>0</v>
      </c>
      <c r="AG157" s="735">
        <f t="shared" si="217"/>
        <v>0</v>
      </c>
      <c r="AH157" s="736">
        <f t="shared" si="218"/>
        <v>0</v>
      </c>
      <c r="AI157" s="729">
        <f t="shared" si="219"/>
        <v>0</v>
      </c>
      <c r="AJ157" s="729">
        <f t="shared" si="220"/>
        <v>0</v>
      </c>
      <c r="AK157" s="729" t="str">
        <f t="shared" si="221"/>
        <v/>
      </c>
      <c r="AL157" s="729" t="str">
        <f t="shared" si="222"/>
        <v/>
      </c>
      <c r="AM157" s="729">
        <f t="shared" si="223"/>
        <v>0</v>
      </c>
      <c r="AN157" s="729">
        <f t="shared" si="224"/>
        <v>0</v>
      </c>
      <c r="AO157" s="380"/>
      <c r="AP157" s="322" t="str">
        <f t="shared" si="225"/>
        <v/>
      </c>
      <c r="AQ157" s="323">
        <f>IF(AC157=$V$3,IF(VLOOKUP(C157,[1]List1!$A:$E,5,FALSE)=0,1,VLOOKUP(C157,[1]List1!$A:$E,5,FALSE)),"")</f>
        <v>19</v>
      </c>
      <c r="AR157" s="304" t="str">
        <f t="shared" si="226"/>
        <v/>
      </c>
      <c r="AS157" s="423" t="str">
        <f t="shared" si="227"/>
        <v/>
      </c>
      <c r="AT157" s="304" t="str">
        <f t="shared" si="228"/>
        <v/>
      </c>
      <c r="AU157" s="342" t="e">
        <f t="shared" si="229"/>
        <v>#N/A</v>
      </c>
      <c r="AV157" s="304" t="e">
        <f t="shared" si="230"/>
        <v>#N/A</v>
      </c>
      <c r="AX157" s="304">
        <f>IF(AND('General price list'!$J157="F4",'General price list'!$AB157+0&gt;0),1,0)</f>
        <v>0</v>
      </c>
      <c r="AY157" s="304">
        <f t="shared" si="231"/>
        <v>1</v>
      </c>
      <c r="AZ157" s="304">
        <f t="shared" si="232"/>
        <v>0</v>
      </c>
    </row>
    <row r="158" spans="1:52" ht="15" customHeight="1">
      <c r="A158" s="773" t="str">
        <f>Kat.!C158</f>
        <v xml:space="preserve">                                                               Pochodně</v>
      </c>
      <c r="B158" s="774"/>
      <c r="C158" s="774"/>
      <c r="D158" s="774"/>
      <c r="E158" s="774"/>
      <c r="F158" s="774"/>
      <c r="G158" s="774"/>
      <c r="H158" s="774"/>
      <c r="I158" s="774"/>
      <c r="J158" s="774"/>
      <c r="K158" s="774"/>
      <c r="L158" s="774"/>
      <c r="M158" s="774"/>
      <c r="N158" s="774"/>
      <c r="O158" s="774"/>
      <c r="P158" s="774"/>
      <c r="Q158" s="774"/>
      <c r="R158" s="774"/>
      <c r="S158" s="774"/>
      <c r="T158" s="774"/>
      <c r="U158" s="774"/>
      <c r="V158" s="774"/>
      <c r="W158" s="774"/>
      <c r="X158" s="774"/>
      <c r="Y158" s="774"/>
      <c r="Z158" s="774"/>
      <c r="AA158" s="774" t="str">
        <f>IFERROR(IF(VLOOKUP(C158,[4]List1!$A:$D,4,FALSE)=0,"",VLOOKUP(C158,[4]List1!$A:$D,4,FALSE)),"")</f>
        <v/>
      </c>
      <c r="AB158" s="774"/>
      <c r="AC158" s="775" t="str">
        <f>IFERROR(IF(VLOOKUP(C158,[1]List1!$A:$D,2,FALSE)="VYPRODÁNO",$V$9,IF(VLOOKUP(C158,[1]List1!$A:$D,2,FALSE)="DOCHÁZÍ",$V$3,VLOOKUP(C158,[1]List1!$A:$D,2,FALSE))),"OFFLINE!")</f>
        <v>OFFLINE!</v>
      </c>
      <c r="AD158" s="774"/>
      <c r="AE158" s="774"/>
      <c r="AF158" s="774"/>
      <c r="AG158" s="774"/>
      <c r="AH158" s="774"/>
      <c r="AI158" s="774"/>
      <c r="AJ158" s="774"/>
      <c r="AK158" s="774"/>
      <c r="AL158" s="774"/>
      <c r="AM158" s="774"/>
      <c r="AN158" s="774"/>
      <c r="AO158" s="380"/>
      <c r="AP158" s="322" t="str">
        <f t="shared" ref="AP158:AP214" si="233">IF($AL$3=1,IF(Y158=AB158,"","NE"),IF(AR158=$V$10,"NE",""))</f>
        <v/>
      </c>
      <c r="AQ158" s="323" t="str">
        <f>IF(AC158=$V$3,IF(VLOOKUP(C158,[1]List1!$A:$E,5,FALSE)=0,1,VLOOKUP(C158,[1]List1!$A:$E,5,FALSE)),"")</f>
        <v/>
      </c>
      <c r="AR158" s="304" t="str">
        <f t="shared" ref="AR158:AR214" si="234">IF($AL$3=1,"",IF(OR(AB158&lt;&gt;"",AB158&lt;&gt;0),IF(OR(AC158=$V$6,AC158=$V$3,AC158=$V$9),$V$10,""),""))</f>
        <v/>
      </c>
      <c r="AS158" s="423" t="str">
        <f t="shared" ref="AS158:AS214" si="235">IF(AT158&lt;&gt;"","X","")</f>
        <v/>
      </c>
      <c r="AT158" s="304" t="str">
        <f t="shared" ref="AT158:AT214" si="236">IF(AND($AL$3=2,AR158="",AB158&lt;&gt;""),AD158,"")</f>
        <v/>
      </c>
      <c r="AU158" s="342" t="e">
        <f t="shared" ref="AU158:AU214" si="237">IF(AT158=$AS$21,AB158,"")</f>
        <v>#N/A</v>
      </c>
      <c r="AV158" s="304" t="e">
        <f t="shared" ref="AV158:AV214" si="238">IF(OR(AB158="",AND(AT158&lt;&gt;"",AU158&lt;&gt;"")),"",$V$10)</f>
        <v>#N/A</v>
      </c>
      <c r="AX158" s="304">
        <f>IF(AND('General price list'!$J158="F4",'General price list'!$AB158+0&gt;0),1,0)</f>
        <v>0</v>
      </c>
      <c r="AY158" s="304">
        <f t="shared" ref="AY158:AY214" si="239">IFERROR(FIND(VLOOKUP($AC$7,$AD$1:$AE$12,2,FALSE),Q158,1),0)</f>
        <v>0</v>
      </c>
      <c r="AZ158" s="304">
        <f t="shared" ref="AZ158:AZ214" si="240">IFERROR(FIND(VLOOKUP($AC$7,$AD$1:$AE$12,2,FALSE),R158,1),0)</f>
        <v>0</v>
      </c>
    </row>
    <row r="159" spans="1:52" ht="15" customHeight="1">
      <c r="A159" s="725" t="str">
        <f>Kat.!C159</f>
        <v/>
      </c>
      <c r="B159" s="741">
        <f>IF(AND('General price list'!$J159="F4",$AI$1=FALSE),0,IF(AC159="SKLADEM",1,IF(AC159=$V$3,1,0)))</f>
        <v>1</v>
      </c>
      <c r="C159" s="727" t="s">
        <v>944</v>
      </c>
      <c r="D159" s="728" t="s">
        <v>945</v>
      </c>
      <c r="E159" s="729" t="s">
        <v>307</v>
      </c>
      <c r="F159" s="725">
        <f>IFERROR(ROUND(IF($AL$3=2,VLOOKUP(C159,[2]List1!$A:$D,2,FALSE)*1.08,VLOOKUP(C159,[2]List1!$A:$D,2,FALSE)),0),"NEUVEDENO!")</f>
        <v>250</v>
      </c>
      <c r="G159" s="730">
        <f t="shared" ref="G159:G164" si="241">(F159)*$B$19</f>
        <v>250</v>
      </c>
      <c r="H159" s="731">
        <f t="shared" ref="H159:H164" si="242">G159/$F$19</f>
        <v>10.158926242131912</v>
      </c>
      <c r="I159" s="742">
        <v>20</v>
      </c>
      <c r="J159" s="729" t="s">
        <v>240</v>
      </c>
      <c r="K159" s="729"/>
      <c r="L159" s="729" t="s">
        <v>14363</v>
      </c>
      <c r="M159" s="729" t="s">
        <v>25</v>
      </c>
      <c r="N159" s="729">
        <f>IFERROR(VLOOKUP(C159,[3]List1!$A:$D,4,FALSE),"N/A!")</f>
        <v>2.3552E-2</v>
      </c>
      <c r="O159" s="729">
        <f>IFERROR(VLOOKUP(C159,[3]List1!$A:$D,3,FALSE),"N/A!")</f>
        <v>4000</v>
      </c>
      <c r="P159" s="729">
        <f>IFERROR(VLOOKUP(C159,[3]List1!$A:$D,2,FALSE),"N/A!")</f>
        <v>9100</v>
      </c>
      <c r="Q159" s="729" t="s">
        <v>632</v>
      </c>
      <c r="R159" s="729" t="s">
        <v>24</v>
      </c>
      <c r="S159" s="729"/>
      <c r="T159" s="729">
        <v>40</v>
      </c>
      <c r="U159" s="729"/>
      <c r="V159" s="729"/>
      <c r="W159" s="729" t="str">
        <f>IFERROR(VLOOKUP('General price list'!$C159,Popisy!A:P,MATCH($W$17,Popisy!$A$7:$P$7,0),FALSE),"---------------")</f>
        <v>pochodeň červené světlo+ bílý dým</v>
      </c>
      <c r="X159" s="729" t="str">
        <f t="shared" ref="X159:X164" si="243">IF(AB159&lt;0.0001,"",AB159)</f>
        <v/>
      </c>
      <c r="Y159" s="729" t="str">
        <f t="shared" ref="Y159:Y164" si="244">IF($AL$3=2,IF(OR(AB159&lt;&gt;"",AB159&lt;&gt;0),AU159,""),IF(C159="","",IF(AB159&lt;0.0001,"",IF(B159=0,"",IF(AQ159&lt;AB159,"",AB159)))))</f>
        <v/>
      </c>
      <c r="Z159" s="729" t="str">
        <f>HYPERLINK("https://www.klasekpyrotechnics.cz/p40c25")</f>
        <v>https://www.klasekpyrotechnics.cz/p40c25</v>
      </c>
      <c r="AA159" s="729" t="str">
        <f>IFERROR(IF(VLOOKUP(C159,[4]List1!$A:$D,4,FALSE)=0,"",VLOOKUP(C159,[4]List1!$A:$D,4,FALSE)),"")</f>
        <v>60</v>
      </c>
      <c r="AB159" s="720"/>
      <c r="AC159" s="743" t="str">
        <f>IFERROR(IF(VLOOKUP(C159,[1]List1!$A:$D,2,FALSE)="VYPRODÁNO",$V$9,IF(VLOOKUP(C159,[1]List1!$A:$D,2,FALSE)="DOCHÁZÍ",$V$3,VLOOKUP(C159,[1]List1!$A:$D,2,FALSE))),"OFFLINE!")</f>
        <v>SKLADEM</v>
      </c>
      <c r="AD159" s="744" t="str">
        <f ca="1">IF(AP159="NE",$V$10,IF(AC159=$V$3,IF(AQ159&lt;1,$V$8,$V$2&amp;" "&amp;AQ159&amp;" "&amp;$V$1),IF(AC159="SKLADEM",$V$6,IFERROR(IF(OR(AC159-TODAY()&gt;45,VLOOKUP(C159,[1]List1!$A:$E,4,FALSE)=0),AC159,DAY(AC159)&amp;"."&amp;MONTH(AC159)&amp;"."&amp;YEAR(AC159)&amp;" "&amp;$V$4&amp;VLOOKUP(C159,[1]List1!$A:$E,4,FALSE)&amp;" "&amp;$V$1),AC159))))</f>
        <v>SKLADEM</v>
      </c>
      <c r="AE159" s="729" t="str">
        <f t="shared" ref="AE159:AE164" ca="1" si="245">IFERROR(IF(AV159&lt;&gt;"",AV159,AD159),AD159)</f>
        <v>SKLADEM</v>
      </c>
      <c r="AF159" s="735">
        <f t="shared" ref="AF159:AF164" si="246">IFERROR(IF(AB159=Y159,G159*I159*Y159,0),0)</f>
        <v>0</v>
      </c>
      <c r="AG159" s="735">
        <f t="shared" ref="AG159:AG164" si="247">IF($W$17=$AF$8,AH159*1.23,AF159*1.21)</f>
        <v>0</v>
      </c>
      <c r="AH159" s="736">
        <f t="shared" ref="AH159:AH164" si="248">IFERROR(IF(Y159=AB159,H159*I159*Y159,0),0)</f>
        <v>0</v>
      </c>
      <c r="AI159" s="729">
        <f t="shared" ref="AI159:AI164" si="249">IFERROR(IF(Y159=AB159,(P159*Y159)/1000,1),0)</f>
        <v>0</v>
      </c>
      <c r="AJ159" s="729">
        <f t="shared" ref="AJ159:AJ164" si="250">IFERROR(IF(Y159=AB159,N159*Y159,0.1),0)</f>
        <v>0</v>
      </c>
      <c r="AK159" s="729" t="str">
        <f t="shared" ref="AK159:AK164" si="251">IFERROR(IF(Y159=AB159,IF(M159="1.1G",(O159/1000)*Y159,""),""),0)</f>
        <v/>
      </c>
      <c r="AL159" s="729" t="str">
        <f t="shared" ref="AL159:AL164" si="252">IFERROR(IF(Y159=AB159,IF(M159="1.3G",(O159/1000)*AB159,""),""),0)</f>
        <v/>
      </c>
      <c r="AM159" s="729">
        <f t="shared" ref="AM159:AM164" si="253">IFERROR(IF(Y159=AB159,IF(M159="1.4G",(O159/1000)*AB159,""),""),0)</f>
        <v>0</v>
      </c>
      <c r="AN159" s="729">
        <f t="shared" ref="AN159:AN164" si="254">SUM(AK159:AM159)</f>
        <v>0</v>
      </c>
      <c r="AO159" s="380"/>
      <c r="AP159" s="322" t="str">
        <f t="shared" si="233"/>
        <v/>
      </c>
      <c r="AQ159" s="323" t="str">
        <f>IF(AC159=$V$3,IF(VLOOKUP(C159,[1]List1!$A:$E,5,FALSE)=0,1,VLOOKUP(C159,[1]List1!$A:$E,5,FALSE)),"")</f>
        <v/>
      </c>
      <c r="AR159" s="304" t="str">
        <f t="shared" si="234"/>
        <v/>
      </c>
      <c r="AS159" s="423" t="str">
        <f t="shared" si="235"/>
        <v/>
      </c>
      <c r="AT159" s="304" t="str">
        <f t="shared" si="236"/>
        <v/>
      </c>
      <c r="AU159" s="342" t="e">
        <f t="shared" si="237"/>
        <v>#N/A</v>
      </c>
      <c r="AV159" s="304" t="e">
        <f t="shared" si="238"/>
        <v>#N/A</v>
      </c>
      <c r="AX159" s="304">
        <f>IF(AND('General price list'!$J159="F4",'General price list'!$AB159+0&gt;0),1,0)</f>
        <v>0</v>
      </c>
      <c r="AY159" s="304">
        <f t="shared" si="239"/>
        <v>1</v>
      </c>
      <c r="AZ159" s="304">
        <f t="shared" si="240"/>
        <v>0</v>
      </c>
    </row>
    <row r="160" spans="1:52" ht="15" customHeight="1">
      <c r="A160" s="712" t="str">
        <f>Kat.!C160</f>
        <v/>
      </c>
      <c r="B160" s="745">
        <f>IF(AND('General price list'!$J160="F4",$AI$1=FALSE),0,IF(AC160="SKLADEM",1,IF(AC160=$V$3,1,0)))</f>
        <v>1</v>
      </c>
      <c r="C160" s="714" t="s">
        <v>946</v>
      </c>
      <c r="D160" s="715" t="s">
        <v>937</v>
      </c>
      <c r="E160" s="716" t="s">
        <v>307</v>
      </c>
      <c r="F160" s="712">
        <f>IFERROR(ROUND(IF($AL$3=2,VLOOKUP(C160,[2]List1!$A:$D,2,FALSE)*1.08,VLOOKUP(C160,[2]List1!$A:$D,2,FALSE)),0),"NEUVEDENO!")</f>
        <v>250</v>
      </c>
      <c r="G160" s="717">
        <f t="shared" si="241"/>
        <v>250</v>
      </c>
      <c r="H160" s="718">
        <f t="shared" si="242"/>
        <v>10.158926242131912</v>
      </c>
      <c r="I160" s="746">
        <v>20</v>
      </c>
      <c r="J160" s="716" t="s">
        <v>240</v>
      </c>
      <c r="K160" s="716"/>
      <c r="L160" s="716" t="s">
        <v>14363</v>
      </c>
      <c r="M160" s="716" t="s">
        <v>25</v>
      </c>
      <c r="N160" s="716">
        <f>IFERROR(VLOOKUP(C160,[3]List1!$A:$D,4,FALSE),"N/A!")</f>
        <v>2.3552E-2</v>
      </c>
      <c r="O160" s="716">
        <f>IFERROR(VLOOKUP(C160,[3]List1!$A:$D,3,FALSE),"N/A!")</f>
        <v>4000</v>
      </c>
      <c r="P160" s="716">
        <f>IFERROR(VLOOKUP(C160,[3]List1!$A:$D,2,FALSE),"N/A!")</f>
        <v>10800</v>
      </c>
      <c r="Q160" s="716" t="s">
        <v>632</v>
      </c>
      <c r="R160" s="716" t="s">
        <v>24</v>
      </c>
      <c r="S160" s="716"/>
      <c r="T160" s="716">
        <v>40</v>
      </c>
      <c r="U160" s="716"/>
      <c r="V160" s="716"/>
      <c r="W160" s="716" t="str">
        <f>IFERROR(VLOOKUP('General price list'!$C160,Popisy!A:P,MATCH($W$17,Popisy!$A$7:$P$7,0),FALSE),"---------------")</f>
        <v>pochodeň zelenéné světlo+ bílý dým</v>
      </c>
      <c r="X160" s="716" t="str">
        <f t="shared" si="243"/>
        <v/>
      </c>
      <c r="Y160" s="716" t="str">
        <f t="shared" si="244"/>
        <v/>
      </c>
      <c r="Z160" s="716" t="str">
        <f>HYPERLINK("https://www.klasekpyrotechnics.cz/p40z25")</f>
        <v>https://www.klasekpyrotechnics.cz/p40z25</v>
      </c>
      <c r="AA160" s="716" t="str">
        <f>IFERROR(IF(VLOOKUP(C160,[4]List1!$A:$D,4,FALSE)=0,"",VLOOKUP(C160,[4]List1!$A:$D,4,FALSE)),"")</f>
        <v>60</v>
      </c>
      <c r="AB160" s="720"/>
      <c r="AC160" s="747" t="str">
        <f>IFERROR(IF(VLOOKUP(C160,[1]List1!$A:$D,2,FALSE)="VYPRODÁNO",$V$9,IF(VLOOKUP(C160,[1]List1!$A:$D,2,FALSE)="DOCHÁZÍ",$V$3,VLOOKUP(C160,[1]List1!$A:$D,2,FALSE))),"OFFLINE!")</f>
        <v>SKLADEM</v>
      </c>
      <c r="AD160" s="748" t="str">
        <f ca="1">IF(AP160="NE",$V$10,IF(AC160=$V$3,IF(AQ160&lt;1,$V$8,$V$2&amp;" "&amp;AQ160&amp;" "&amp;$V$1),IF(AC160="SKLADEM",$V$6,IFERROR(IF(OR(AC160-TODAY()&gt;45,VLOOKUP(C160,[1]List1!$A:$E,4,FALSE)=0),AC160,DAY(AC160)&amp;"."&amp;MONTH(AC160)&amp;"."&amp;YEAR(AC160)&amp;" "&amp;$V$4&amp;VLOOKUP(C160,[1]List1!$A:$E,4,FALSE)&amp;" "&amp;$V$1),AC160))))</f>
        <v>SKLADEM</v>
      </c>
      <c r="AE160" s="716" t="str">
        <f t="shared" ca="1" si="245"/>
        <v>SKLADEM</v>
      </c>
      <c r="AF160" s="723">
        <f t="shared" si="246"/>
        <v>0</v>
      </c>
      <c r="AG160" s="723">
        <f t="shared" si="247"/>
        <v>0</v>
      </c>
      <c r="AH160" s="724">
        <f t="shared" si="248"/>
        <v>0</v>
      </c>
      <c r="AI160" s="716">
        <f t="shared" si="249"/>
        <v>0</v>
      </c>
      <c r="AJ160" s="716">
        <f t="shared" si="250"/>
        <v>0</v>
      </c>
      <c r="AK160" s="716" t="str">
        <f t="shared" si="251"/>
        <v/>
      </c>
      <c r="AL160" s="716" t="str">
        <f t="shared" si="252"/>
        <v/>
      </c>
      <c r="AM160" s="716">
        <f t="shared" si="253"/>
        <v>0</v>
      </c>
      <c r="AN160" s="716">
        <f t="shared" si="254"/>
        <v>0</v>
      </c>
      <c r="AO160" s="380"/>
      <c r="AP160" s="322" t="str">
        <f t="shared" si="233"/>
        <v/>
      </c>
      <c r="AQ160" s="323" t="str">
        <f>IF(AC160=$V$3,IF(VLOOKUP(C160,[1]List1!$A:$E,5,FALSE)=0,1,VLOOKUP(C160,[1]List1!$A:$E,5,FALSE)),"")</f>
        <v/>
      </c>
      <c r="AR160" s="304" t="str">
        <f t="shared" si="234"/>
        <v/>
      </c>
      <c r="AS160" s="423" t="str">
        <f t="shared" si="235"/>
        <v/>
      </c>
      <c r="AT160" s="304" t="str">
        <f t="shared" si="236"/>
        <v/>
      </c>
      <c r="AU160" s="342" t="e">
        <f t="shared" si="237"/>
        <v>#N/A</v>
      </c>
      <c r="AV160" s="304" t="e">
        <f t="shared" si="238"/>
        <v>#N/A</v>
      </c>
      <c r="AX160" s="304">
        <f>IF(AND('General price list'!$J160="F4",'General price list'!$AB160+0&gt;0),1,0)</f>
        <v>0</v>
      </c>
      <c r="AY160" s="304">
        <f t="shared" si="239"/>
        <v>1</v>
      </c>
      <c r="AZ160" s="304">
        <f t="shared" si="240"/>
        <v>0</v>
      </c>
    </row>
    <row r="161" spans="1:52" ht="15" customHeight="1">
      <c r="A161" s="725" t="str">
        <f>Kat.!C161</f>
        <v>×</v>
      </c>
      <c r="B161" s="749">
        <f>IF(AND('General price list'!$J161="F4",$AI$1=FALSE),0,IF(AC161="SKLADEM",1,IF(AC161=$V$3,1,0)))</f>
        <v>1</v>
      </c>
      <c r="C161" s="727" t="s">
        <v>3870</v>
      </c>
      <c r="D161" s="728" t="s">
        <v>3871</v>
      </c>
      <c r="E161" s="729" t="s">
        <v>307</v>
      </c>
      <c r="F161" s="725">
        <f>IFERROR(ROUND(IF($AL$3=2,VLOOKUP(C161,[2]List1!$A:$D,2,FALSE)*1.08,VLOOKUP(C161,[2]List1!$A:$D,2,FALSE)),0),"NEUVEDENO!")</f>
        <v>250</v>
      </c>
      <c r="G161" s="730">
        <f t="shared" si="241"/>
        <v>250</v>
      </c>
      <c r="H161" s="731">
        <f t="shared" si="242"/>
        <v>10.158926242131912</v>
      </c>
      <c r="I161" s="750">
        <v>20</v>
      </c>
      <c r="J161" s="729" t="s">
        <v>240</v>
      </c>
      <c r="K161" s="729"/>
      <c r="L161" s="729" t="s">
        <v>14363</v>
      </c>
      <c r="M161" s="729" t="s">
        <v>25</v>
      </c>
      <c r="N161" s="729">
        <f>IFERROR(VLOOKUP(C161,[3]List1!$A:$D,4,FALSE),"N/A!")</f>
        <v>2.3552E-2</v>
      </c>
      <c r="O161" s="729">
        <f>IFERROR(VLOOKUP(C161,[3]List1!$A:$D,3,FALSE),"N/A!")</f>
        <v>4000</v>
      </c>
      <c r="P161" s="729">
        <f>IFERROR(VLOOKUP(C161,[3]List1!$A:$D,2,FALSE),"N/A!")</f>
        <v>10800</v>
      </c>
      <c r="Q161" s="729" t="s">
        <v>632</v>
      </c>
      <c r="R161" s="729" t="s">
        <v>24</v>
      </c>
      <c r="S161" s="729"/>
      <c r="T161" s="729">
        <v>40</v>
      </c>
      <c r="U161" s="729"/>
      <c r="V161" s="729"/>
      <c r="W161" s="729" t="str">
        <f>IFERROR(VLOOKUP('General price list'!$C161,Popisy!A:P,MATCH($W$17,Popisy!$A$7:$P$7,0),FALSE),"---------------")</f>
        <v>pochodeň bílé světlo+ bílý dým</v>
      </c>
      <c r="X161" s="729" t="str">
        <f t="shared" si="243"/>
        <v/>
      </c>
      <c r="Y161" s="729" t="str">
        <f t="shared" si="244"/>
        <v/>
      </c>
      <c r="Z161" s="729" t="str">
        <f>HYPERLINK("https://www.klasekpyrotechnics.cz/p40b25")</f>
        <v>https://www.klasekpyrotechnics.cz/p40b25</v>
      </c>
      <c r="AA161" s="729" t="str">
        <f>IFERROR(IF(VLOOKUP(C161,[4]List1!$A:$D,4,FALSE)=0,"",VLOOKUP(C161,[4]List1!$A:$D,4,FALSE)),"")</f>
        <v>60</v>
      </c>
      <c r="AB161" s="720"/>
      <c r="AC161" s="751" t="str">
        <f>IFERROR(IF(VLOOKUP(C161,[1]List1!$A:$D,2,FALSE)="VYPRODÁNO",$V$9,IF(VLOOKUP(C161,[1]List1!$A:$D,2,FALSE)="DOCHÁZÍ",$V$3,VLOOKUP(C161,[1]List1!$A:$D,2,FALSE))),"OFFLINE!")</f>
        <v>SKLADEM</v>
      </c>
      <c r="AD161" s="752" t="str">
        <f ca="1">IF(AP161="NE",$V$10,IF(AC161=$V$3,IF(AQ161&lt;1,$V$8,$V$2&amp;" "&amp;AQ161&amp;" "&amp;$V$1),IF(AC161="SKLADEM",$V$6,IFERROR(IF(OR(AC161-TODAY()&gt;45,VLOOKUP(C161,[1]List1!$A:$E,4,FALSE)=0),AC161,DAY(AC161)&amp;"."&amp;MONTH(AC161)&amp;"."&amp;YEAR(AC161)&amp;" "&amp;$V$4&amp;VLOOKUP(C161,[1]List1!$A:$E,4,FALSE)&amp;" "&amp;$V$1),AC161))))</f>
        <v>SKLADEM</v>
      </c>
      <c r="AE161" s="729" t="str">
        <f t="shared" ca="1" si="245"/>
        <v>SKLADEM</v>
      </c>
      <c r="AF161" s="735">
        <f t="shared" si="246"/>
        <v>0</v>
      </c>
      <c r="AG161" s="735">
        <f t="shared" si="247"/>
        <v>0</v>
      </c>
      <c r="AH161" s="736">
        <f t="shared" si="248"/>
        <v>0</v>
      </c>
      <c r="AI161" s="729">
        <f t="shared" si="249"/>
        <v>0</v>
      </c>
      <c r="AJ161" s="729">
        <f t="shared" si="250"/>
        <v>0</v>
      </c>
      <c r="AK161" s="729" t="str">
        <f t="shared" si="251"/>
        <v/>
      </c>
      <c r="AL161" s="729" t="str">
        <f t="shared" si="252"/>
        <v/>
      </c>
      <c r="AM161" s="729">
        <f t="shared" si="253"/>
        <v>0</v>
      </c>
      <c r="AN161" s="729">
        <f t="shared" si="254"/>
        <v>0</v>
      </c>
      <c r="AO161" s="380"/>
      <c r="AP161" s="322" t="str">
        <f t="shared" si="233"/>
        <v/>
      </c>
      <c r="AQ161" s="323" t="str">
        <f>IF(AC161=$V$3,IF(VLOOKUP(C161,[1]List1!$A:$E,5,FALSE)=0,1,VLOOKUP(C161,[1]List1!$A:$E,5,FALSE)),"")</f>
        <v/>
      </c>
      <c r="AR161" s="304" t="str">
        <f t="shared" si="234"/>
        <v/>
      </c>
      <c r="AS161" s="423" t="str">
        <f t="shared" si="235"/>
        <v/>
      </c>
      <c r="AT161" s="304" t="str">
        <f t="shared" si="236"/>
        <v/>
      </c>
      <c r="AU161" s="342" t="e">
        <f t="shared" si="237"/>
        <v>#N/A</v>
      </c>
      <c r="AV161" s="304" t="e">
        <f t="shared" si="238"/>
        <v>#N/A</v>
      </c>
      <c r="AX161" s="304">
        <f>IF(AND('General price list'!$J161="F4",'General price list'!$AB161+0&gt;0),1,0)</f>
        <v>0</v>
      </c>
      <c r="AY161" s="304">
        <f t="shared" si="239"/>
        <v>1</v>
      </c>
      <c r="AZ161" s="304">
        <f t="shared" si="240"/>
        <v>0</v>
      </c>
    </row>
    <row r="162" spans="1:52" ht="15" customHeight="1">
      <c r="A162" s="712" t="str">
        <f>Kat.!C162</f>
        <v>×</v>
      </c>
      <c r="B162" s="745">
        <f>IF(AND('General price list'!$J162="F4",$AI$1=FALSE),0,IF(AC162="SKLADEM",1,IF(AC162=$V$3,1,0)))</f>
        <v>1</v>
      </c>
      <c r="C162" s="714" t="s">
        <v>947</v>
      </c>
      <c r="D162" s="715" t="s">
        <v>941</v>
      </c>
      <c r="E162" s="716" t="s">
        <v>307</v>
      </c>
      <c r="F162" s="712">
        <f>IFERROR(ROUND(IF($AL$3=2,VLOOKUP(C162,[2]List1!$A:$D,2,FALSE)*1.08,VLOOKUP(C162,[2]List1!$A:$D,2,FALSE)),0),"NEUVEDENO!")</f>
        <v>250</v>
      </c>
      <c r="G162" s="717">
        <f t="shared" si="241"/>
        <v>250</v>
      </c>
      <c r="H162" s="718">
        <f t="shared" si="242"/>
        <v>10.158926242131912</v>
      </c>
      <c r="I162" s="746">
        <v>20</v>
      </c>
      <c r="J162" s="716" t="s">
        <v>240</v>
      </c>
      <c r="K162" s="716"/>
      <c r="L162" s="716" t="s">
        <v>14363</v>
      </c>
      <c r="M162" s="716" t="s">
        <v>25</v>
      </c>
      <c r="N162" s="716">
        <f>IFERROR(VLOOKUP(C162,[3]List1!$A:$D,4,FALSE),"N/A!")</f>
        <v>2.3552E-2</v>
      </c>
      <c r="O162" s="716">
        <f>IFERROR(VLOOKUP(C162,[3]List1!$A:$D,3,FALSE),"N/A!")</f>
        <v>4000</v>
      </c>
      <c r="P162" s="716">
        <f>IFERROR(VLOOKUP(C162,[3]List1!$A:$D,2,FALSE),"N/A!")</f>
        <v>9700</v>
      </c>
      <c r="Q162" s="716" t="s">
        <v>632</v>
      </c>
      <c r="R162" s="716" t="s">
        <v>24</v>
      </c>
      <c r="S162" s="716"/>
      <c r="T162" s="716">
        <v>40</v>
      </c>
      <c r="U162" s="716"/>
      <c r="V162" s="716"/>
      <c r="W162" s="716" t="str">
        <f>IFERROR(VLOOKUP('General price list'!$C162,Popisy!A:P,MATCH($W$17,Popisy!$A$7:$P$7,0),FALSE),"---------------")</f>
        <v>pochodeň žluté světlo+ bílý dým</v>
      </c>
      <c r="X162" s="716" t="str">
        <f t="shared" si="243"/>
        <v/>
      </c>
      <c r="Y162" s="716" t="str">
        <f t="shared" si="244"/>
        <v/>
      </c>
      <c r="Z162" s="716" t="str">
        <f>HYPERLINK("https://www.klasekpyrotechnics.cz/p40zl25")</f>
        <v>https://www.klasekpyrotechnics.cz/p40zl25</v>
      </c>
      <c r="AA162" s="716" t="str">
        <f>IFERROR(IF(VLOOKUP(C162,[4]List1!$A:$D,4,FALSE)=0,"",VLOOKUP(C162,[4]List1!$A:$D,4,FALSE)),"")</f>
        <v>60</v>
      </c>
      <c r="AB162" s="720"/>
      <c r="AC162" s="747" t="str">
        <f>IFERROR(IF(VLOOKUP(C162,[1]List1!$A:$D,2,FALSE)="VYPRODÁNO",$V$9,IF(VLOOKUP(C162,[1]List1!$A:$D,2,FALSE)="DOCHÁZÍ",$V$3,VLOOKUP(C162,[1]List1!$A:$D,2,FALSE))),"OFFLINE!")</f>
        <v>DOCHÁZÍ</v>
      </c>
      <c r="AD162" s="748" t="str">
        <f ca="1">IF(AP162="NE",$V$10,IF(AC162=$V$3,IF(AQ162&lt;1,$V$8,$V$2&amp;" "&amp;AQ162&amp;" "&amp;$V$1),IF(AC162="SKLADEM",$V$6,IFERROR(IF(OR(AC162-TODAY()&gt;45,VLOOKUP(C162,[1]List1!$A:$E,4,FALSE)=0),AC162,DAY(AC162)&amp;"."&amp;MONTH(AC162)&amp;"."&amp;YEAR(AC162)&amp;" "&amp;$V$4&amp;VLOOKUP(C162,[1]List1!$A:$E,4,FALSE)&amp;" "&amp;$V$1),AC162))))</f>
        <v>POSLEDNÍCH 11 VK</v>
      </c>
      <c r="AE162" s="716" t="str">
        <f t="shared" ca="1" si="245"/>
        <v>POSLEDNÍCH 11 VK</v>
      </c>
      <c r="AF162" s="723">
        <f t="shared" si="246"/>
        <v>0</v>
      </c>
      <c r="AG162" s="723">
        <f t="shared" si="247"/>
        <v>0</v>
      </c>
      <c r="AH162" s="724">
        <f t="shared" si="248"/>
        <v>0</v>
      </c>
      <c r="AI162" s="716">
        <f t="shared" si="249"/>
        <v>0</v>
      </c>
      <c r="AJ162" s="716">
        <f t="shared" si="250"/>
        <v>0</v>
      </c>
      <c r="AK162" s="716" t="str">
        <f t="shared" si="251"/>
        <v/>
      </c>
      <c r="AL162" s="716" t="str">
        <f t="shared" si="252"/>
        <v/>
      </c>
      <c r="AM162" s="716">
        <f t="shared" si="253"/>
        <v>0</v>
      </c>
      <c r="AN162" s="716">
        <f t="shared" si="254"/>
        <v>0</v>
      </c>
      <c r="AO162" s="380"/>
      <c r="AP162" s="322" t="str">
        <f t="shared" si="233"/>
        <v/>
      </c>
      <c r="AQ162" s="323">
        <f>IF(AC162=$V$3,IF(VLOOKUP(C162,[1]List1!$A:$E,5,FALSE)=0,1,VLOOKUP(C162,[1]List1!$A:$E,5,FALSE)),"")</f>
        <v>11</v>
      </c>
      <c r="AR162" s="304" t="str">
        <f t="shared" si="234"/>
        <v/>
      </c>
      <c r="AS162" s="423" t="str">
        <f t="shared" si="235"/>
        <v/>
      </c>
      <c r="AT162" s="304" t="str">
        <f t="shared" si="236"/>
        <v/>
      </c>
      <c r="AU162" s="342" t="e">
        <f t="shared" si="237"/>
        <v>#N/A</v>
      </c>
      <c r="AV162" s="304" t="e">
        <f t="shared" si="238"/>
        <v>#N/A</v>
      </c>
      <c r="AX162" s="304">
        <f>IF(AND('General price list'!$J162="F4",'General price list'!$AB162+0&gt;0),1,0)</f>
        <v>0</v>
      </c>
      <c r="AY162" s="304">
        <f t="shared" si="239"/>
        <v>1</v>
      </c>
      <c r="AZ162" s="304">
        <f t="shared" si="240"/>
        <v>0</v>
      </c>
    </row>
    <row r="163" spans="1:52" ht="15" customHeight="1">
      <c r="A163" s="725" t="str">
        <f>Kat.!C163</f>
        <v/>
      </c>
      <c r="B163" s="749">
        <f>IF(AND('General price list'!$J163="F4",$AI$1=FALSE),0,IF(AC163="SKLADEM",1,IF(AC163=$V$3,1,0)))</f>
        <v>1</v>
      </c>
      <c r="C163" s="727" t="s">
        <v>2518</v>
      </c>
      <c r="D163" s="728" t="s">
        <v>2519</v>
      </c>
      <c r="E163" s="729" t="s">
        <v>307</v>
      </c>
      <c r="F163" s="725">
        <f>IFERROR(ROUND(IF($AL$3=2,VLOOKUP(C163,[2]List1!$A:$D,2,FALSE)*1.08,VLOOKUP(C163,[2]List1!$A:$D,2,FALSE)),0),"NEUVEDENO!")</f>
        <v>250</v>
      </c>
      <c r="G163" s="730">
        <f t="shared" si="241"/>
        <v>250</v>
      </c>
      <c r="H163" s="731">
        <f t="shared" si="242"/>
        <v>10.158926242131912</v>
      </c>
      <c r="I163" s="750">
        <v>20</v>
      </c>
      <c r="J163" s="729" t="s">
        <v>240</v>
      </c>
      <c r="K163" s="729"/>
      <c r="L163" s="729" t="s">
        <v>14363</v>
      </c>
      <c r="M163" s="729" t="s">
        <v>25</v>
      </c>
      <c r="N163" s="729">
        <f>IFERROR(VLOOKUP(C163,[3]List1!$A:$D,4,FALSE),"N/A!")</f>
        <v>2.3552E-2</v>
      </c>
      <c r="O163" s="729">
        <f>IFERROR(VLOOKUP(C163,[3]List1!$A:$D,3,FALSE),"N/A!")</f>
        <v>4000</v>
      </c>
      <c r="P163" s="729">
        <f>IFERROR(VLOOKUP(C163,[3]List1!$A:$D,2,FALSE),"N/A!")</f>
        <v>9700</v>
      </c>
      <c r="Q163" s="729" t="s">
        <v>632</v>
      </c>
      <c r="R163" s="729" t="s">
        <v>24</v>
      </c>
      <c r="S163" s="729"/>
      <c r="T163" s="729">
        <v>40</v>
      </c>
      <c r="U163" s="729"/>
      <c r="V163" s="729"/>
      <c r="W163" s="729" t="str">
        <f>IFERROR(VLOOKUP('General price list'!$C163,Popisy!A:P,MATCH($W$17,Popisy!$A$7:$P$7,0),FALSE),"---------------")</f>
        <v>pochodeň modré světlo+ bílý dým</v>
      </c>
      <c r="X163" s="729" t="str">
        <f t="shared" si="243"/>
        <v/>
      </c>
      <c r="Y163" s="729" t="str">
        <f t="shared" si="244"/>
        <v/>
      </c>
      <c r="Z163" s="729" t="str">
        <f>HYPERLINK("https://www.klasekpyrotechnics.cz/p40mo25")</f>
        <v>https://www.klasekpyrotechnics.cz/p40mo25</v>
      </c>
      <c r="AA163" s="729" t="str">
        <f>IFERROR(IF(VLOOKUP(C163,[4]List1!$A:$D,4,FALSE)=0,"",VLOOKUP(C163,[4]List1!$A:$D,4,FALSE)),"")</f>
        <v>60</v>
      </c>
      <c r="AB163" s="720"/>
      <c r="AC163" s="751" t="str">
        <f>IFERROR(IF(VLOOKUP(C163,[1]List1!$A:$D,2,FALSE)="VYPRODÁNO",$V$9,IF(VLOOKUP(C163,[1]List1!$A:$D,2,FALSE)="DOCHÁZÍ",$V$3,VLOOKUP(C163,[1]List1!$A:$D,2,FALSE))),"OFFLINE!")</f>
        <v>SKLADEM</v>
      </c>
      <c r="AD163" s="752" t="str">
        <f ca="1">IF(AP163="NE",$V$10,IF(AC163=$V$3,IF(AQ163&lt;1,$V$8,$V$2&amp;" "&amp;AQ163&amp;" "&amp;$V$1),IF(AC163="SKLADEM",$V$6,IFERROR(IF(OR(AC163-TODAY()&gt;45,VLOOKUP(C163,[1]List1!$A:$E,4,FALSE)=0),AC163,DAY(AC163)&amp;"."&amp;MONTH(AC163)&amp;"."&amp;YEAR(AC163)&amp;" "&amp;$V$4&amp;VLOOKUP(C163,[1]List1!$A:$E,4,FALSE)&amp;" "&amp;$V$1),AC163))))</f>
        <v>SKLADEM</v>
      </c>
      <c r="AE163" s="729" t="str">
        <f t="shared" ca="1" si="245"/>
        <v>SKLADEM</v>
      </c>
      <c r="AF163" s="735">
        <f t="shared" si="246"/>
        <v>0</v>
      </c>
      <c r="AG163" s="735">
        <f t="shared" si="247"/>
        <v>0</v>
      </c>
      <c r="AH163" s="736">
        <f t="shared" si="248"/>
        <v>0</v>
      </c>
      <c r="AI163" s="729">
        <f t="shared" si="249"/>
        <v>0</v>
      </c>
      <c r="AJ163" s="729">
        <f t="shared" si="250"/>
        <v>0</v>
      </c>
      <c r="AK163" s="729" t="str">
        <f t="shared" si="251"/>
        <v/>
      </c>
      <c r="AL163" s="729" t="str">
        <f t="shared" si="252"/>
        <v/>
      </c>
      <c r="AM163" s="729">
        <f t="shared" si="253"/>
        <v>0</v>
      </c>
      <c r="AN163" s="729">
        <f t="shared" si="254"/>
        <v>0</v>
      </c>
      <c r="AO163" s="380"/>
      <c r="AP163" s="322" t="str">
        <f t="shared" si="233"/>
        <v/>
      </c>
      <c r="AQ163" s="323" t="str">
        <f>IF(AC163=$V$3,IF(VLOOKUP(C163,[1]List1!$A:$E,5,FALSE)=0,1,VLOOKUP(C163,[1]List1!$A:$E,5,FALSE)),"")</f>
        <v/>
      </c>
      <c r="AR163" s="304" t="str">
        <f t="shared" si="234"/>
        <v/>
      </c>
      <c r="AS163" s="423" t="str">
        <f t="shared" si="235"/>
        <v/>
      </c>
      <c r="AT163" s="304" t="str">
        <f t="shared" si="236"/>
        <v/>
      </c>
      <c r="AU163" s="342" t="e">
        <f t="shared" si="237"/>
        <v>#N/A</v>
      </c>
      <c r="AV163" s="304" t="e">
        <f t="shared" si="238"/>
        <v>#N/A</v>
      </c>
      <c r="AX163" s="304">
        <f>IF(AND('General price list'!$J163="F4",'General price list'!$AB163+0&gt;0),1,0)</f>
        <v>0</v>
      </c>
      <c r="AY163" s="304">
        <f t="shared" si="239"/>
        <v>1</v>
      </c>
      <c r="AZ163" s="304">
        <f t="shared" si="240"/>
        <v>0</v>
      </c>
    </row>
    <row r="164" spans="1:52" ht="15" customHeight="1">
      <c r="A164" s="712" t="str">
        <f>Kat.!C164</f>
        <v/>
      </c>
      <c r="B164" s="745">
        <f>IF(AND('General price list'!$J164="F4",$AI$1=FALSE),0,IF(AC164="SKLADEM",1,IF(AC164=$V$3,1,0)))</f>
        <v>1</v>
      </c>
      <c r="C164" s="714" t="s">
        <v>2520</v>
      </c>
      <c r="D164" s="715" t="s">
        <v>2521</v>
      </c>
      <c r="E164" s="716" t="s">
        <v>2670</v>
      </c>
      <c r="F164" s="712">
        <f>IFERROR(ROUND(IF($AL$3=2,VLOOKUP(C164,[2]List1!$A:$D,2,FALSE)*1.08,VLOOKUP(C164,[2]List1!$A:$D,2,FALSE)),0),"NEUVEDENO!")</f>
        <v>111</v>
      </c>
      <c r="G164" s="717">
        <f t="shared" si="241"/>
        <v>111</v>
      </c>
      <c r="H164" s="718">
        <f t="shared" si="242"/>
        <v>4.5105632515065688</v>
      </c>
      <c r="I164" s="746">
        <v>30</v>
      </c>
      <c r="J164" s="716" t="s">
        <v>240</v>
      </c>
      <c r="K164" s="716"/>
      <c r="L164" s="716" t="s">
        <v>14363</v>
      </c>
      <c r="M164" s="716" t="s">
        <v>25</v>
      </c>
      <c r="N164" s="716">
        <f>IFERROR(VLOOKUP(C164,[3]List1!$A:$D,4,FALSE),"N/A!")</f>
        <v>2.3625E-2</v>
      </c>
      <c r="O164" s="716">
        <f>IFERROR(VLOOKUP(C164,[3]List1!$A:$D,3,FALSE),"N/A!")</f>
        <v>1125</v>
      </c>
      <c r="P164" s="716">
        <f>IFERROR(VLOOKUP(C164,[3]List1!$A:$D,2,FALSE),"N/A!")</f>
        <v>5500</v>
      </c>
      <c r="Q164" s="716" t="s">
        <v>45</v>
      </c>
      <c r="R164" s="716" t="s">
        <v>24</v>
      </c>
      <c r="S164" s="716"/>
      <c r="T164" s="716">
        <v>60</v>
      </c>
      <c r="U164" s="716"/>
      <c r="V164" s="716"/>
      <c r="W164" s="716" t="str">
        <f>IFERROR(VLOOKUP('General price list'!$C164,Popisy!A:P,MATCH($W$17,Popisy!$A$7:$P$7,0),FALSE),"---------------")</f>
        <v>barevná pochodeň(červená,zelená,bílá,fialová,žlutá)</v>
      </c>
      <c r="X164" s="716" t="str">
        <f t="shared" si="243"/>
        <v/>
      </c>
      <c r="Y164" s="716" t="str">
        <f t="shared" si="244"/>
        <v/>
      </c>
      <c r="Z164" s="716" t="str">
        <f>HYPERLINK("https://www.klasekpyrotechnics.cz/bp60s")</f>
        <v>https://www.klasekpyrotechnics.cz/bp60s</v>
      </c>
      <c r="AA164" s="716">
        <f>IFERROR(IF(VLOOKUP(C164,[4]List1!$A:$D,4,FALSE)=0,"",VLOOKUP(C164,[4]List1!$A:$D,4,FALSE)),"")</f>
        <v>66</v>
      </c>
      <c r="AB164" s="720"/>
      <c r="AC164" s="747" t="str">
        <f>IFERROR(IF(VLOOKUP(C164,[1]List1!$A:$D,2,FALSE)="VYPRODÁNO",$V$9,IF(VLOOKUP(C164,[1]List1!$A:$D,2,FALSE)="DOCHÁZÍ",$V$3,VLOOKUP(C164,[1]List1!$A:$D,2,FALSE))),"OFFLINE!")</f>
        <v>SKLADEM</v>
      </c>
      <c r="AD164" s="748" t="str">
        <f ca="1">IF(AP164="NE",$V$10,IF(AC164=$V$3,IF(AQ164&lt;1,$V$8,$V$2&amp;" "&amp;AQ164&amp;" "&amp;$V$1),IF(AC164="SKLADEM",$V$6,IFERROR(IF(OR(AC164-TODAY()&gt;45,VLOOKUP(C164,[1]List1!$A:$E,4,FALSE)=0),AC164,DAY(AC164)&amp;"."&amp;MONTH(AC164)&amp;"."&amp;YEAR(AC164)&amp;" "&amp;$V$4&amp;VLOOKUP(C164,[1]List1!$A:$E,4,FALSE)&amp;" "&amp;$V$1),AC164))))</f>
        <v>SKLADEM</v>
      </c>
      <c r="AE164" s="716" t="str">
        <f t="shared" ca="1" si="245"/>
        <v>SKLADEM</v>
      </c>
      <c r="AF164" s="723">
        <f t="shared" si="246"/>
        <v>0</v>
      </c>
      <c r="AG164" s="723">
        <f t="shared" si="247"/>
        <v>0</v>
      </c>
      <c r="AH164" s="724">
        <f t="shared" si="248"/>
        <v>0</v>
      </c>
      <c r="AI164" s="716">
        <f t="shared" si="249"/>
        <v>0</v>
      </c>
      <c r="AJ164" s="716">
        <f t="shared" si="250"/>
        <v>0</v>
      </c>
      <c r="AK164" s="716" t="str">
        <f t="shared" si="251"/>
        <v/>
      </c>
      <c r="AL164" s="716" t="str">
        <f t="shared" si="252"/>
        <v/>
      </c>
      <c r="AM164" s="716">
        <f t="shared" si="253"/>
        <v>0</v>
      </c>
      <c r="AN164" s="716">
        <f t="shared" si="254"/>
        <v>0</v>
      </c>
      <c r="AO164" s="380"/>
      <c r="AP164" s="322" t="str">
        <f t="shared" si="233"/>
        <v/>
      </c>
      <c r="AQ164" s="323" t="str">
        <f>IF(AC164=$V$3,IF(VLOOKUP(C164,[1]List1!$A:$E,5,FALSE)=0,1,VLOOKUP(C164,[1]List1!$A:$E,5,FALSE)),"")</f>
        <v/>
      </c>
      <c r="AR164" s="304" t="str">
        <f t="shared" si="234"/>
        <v/>
      </c>
      <c r="AS164" s="423" t="str">
        <f t="shared" si="235"/>
        <v/>
      </c>
      <c r="AT164" s="304" t="str">
        <f t="shared" si="236"/>
        <v/>
      </c>
      <c r="AU164" s="342" t="e">
        <f t="shared" si="237"/>
        <v>#N/A</v>
      </c>
      <c r="AV164" s="304" t="e">
        <f t="shared" si="238"/>
        <v>#N/A</v>
      </c>
      <c r="AX164" s="304">
        <f>IF(AND('General price list'!$J164="F4",'General price list'!$AB164+0&gt;0),1,0)</f>
        <v>0</v>
      </c>
      <c r="AY164" s="304">
        <f t="shared" si="239"/>
        <v>1</v>
      </c>
      <c r="AZ164" s="304">
        <f t="shared" si="240"/>
        <v>0</v>
      </c>
    </row>
    <row r="165" spans="1:52" ht="15" customHeight="1">
      <c r="A165" s="773" t="str">
        <f>Kat.!C165</f>
        <v xml:space="preserve">                                                               Stroboskopy</v>
      </c>
      <c r="B165" s="774"/>
      <c r="C165" s="774"/>
      <c r="D165" s="774"/>
      <c r="E165" s="774"/>
      <c r="F165" s="774"/>
      <c r="G165" s="774"/>
      <c r="H165" s="774"/>
      <c r="I165" s="774"/>
      <c r="J165" s="774"/>
      <c r="K165" s="774"/>
      <c r="L165" s="774"/>
      <c r="M165" s="774"/>
      <c r="N165" s="774"/>
      <c r="O165" s="774"/>
      <c r="P165" s="774"/>
      <c r="Q165" s="774"/>
      <c r="R165" s="774"/>
      <c r="S165" s="774"/>
      <c r="T165" s="774"/>
      <c r="U165" s="774"/>
      <c r="V165" s="774"/>
      <c r="W165" s="774"/>
      <c r="X165" s="774"/>
      <c r="Y165" s="774"/>
      <c r="Z165" s="774"/>
      <c r="AA165" s="774" t="str">
        <f>IFERROR(IF(VLOOKUP(C165,[4]List1!$A:$D,4,FALSE)=0,"",VLOOKUP(C165,[4]List1!$A:$D,4,FALSE)),"")</f>
        <v/>
      </c>
      <c r="AB165" s="774"/>
      <c r="AC165" s="775" t="str">
        <f>IFERROR(IF(VLOOKUP(C165,[1]List1!$A:$D,2,FALSE)="VYPRODÁNO",$V$9,IF(VLOOKUP(C165,[1]List1!$A:$D,2,FALSE)="DOCHÁZÍ",$V$3,VLOOKUP(C165,[1]List1!$A:$D,2,FALSE))),"OFFLINE!")</f>
        <v>OFFLINE!</v>
      </c>
      <c r="AD165" s="774"/>
      <c r="AE165" s="774"/>
      <c r="AF165" s="774"/>
      <c r="AG165" s="774"/>
      <c r="AH165" s="774"/>
      <c r="AI165" s="774"/>
      <c r="AJ165" s="774"/>
      <c r="AK165" s="774"/>
      <c r="AL165" s="774"/>
      <c r="AM165" s="774"/>
      <c r="AN165" s="774"/>
      <c r="AO165" s="380"/>
      <c r="AP165" s="322" t="str">
        <f t="shared" si="233"/>
        <v/>
      </c>
      <c r="AQ165" s="323" t="str">
        <f>IF(AC165=$V$3,IF(VLOOKUP(C165,[1]List1!$A:$E,5,FALSE)=0,1,VLOOKUP(C165,[1]List1!$A:$E,5,FALSE)),"")</f>
        <v/>
      </c>
      <c r="AR165" s="304" t="str">
        <f t="shared" si="234"/>
        <v/>
      </c>
      <c r="AS165" s="423" t="str">
        <f t="shared" si="235"/>
        <v/>
      </c>
      <c r="AT165" s="304" t="str">
        <f t="shared" si="236"/>
        <v/>
      </c>
      <c r="AU165" s="342" t="e">
        <f t="shared" si="237"/>
        <v>#N/A</v>
      </c>
      <c r="AV165" s="304" t="e">
        <f t="shared" si="238"/>
        <v>#N/A</v>
      </c>
      <c r="AX165" s="304">
        <f>IF(AND('General price list'!$J165="F4",'General price list'!$AB165+0&gt;0),1,0)</f>
        <v>0</v>
      </c>
      <c r="AY165" s="304">
        <f t="shared" si="239"/>
        <v>0</v>
      </c>
      <c r="AZ165" s="304">
        <f t="shared" si="240"/>
        <v>0</v>
      </c>
    </row>
    <row r="166" spans="1:52" ht="15" customHeight="1">
      <c r="A166" s="712" t="str">
        <f>Kat.!C166</f>
        <v/>
      </c>
      <c r="B166" s="713">
        <f>IF(AND('General price list'!$J166="F4",$AI$1=FALSE),0,IF(AC166="SKLADEM",1,IF(AC166=$V$3,1,0)))</f>
        <v>0</v>
      </c>
      <c r="C166" s="714" t="s">
        <v>922</v>
      </c>
      <c r="D166" s="715" t="s">
        <v>923</v>
      </c>
      <c r="E166" s="716" t="s">
        <v>924</v>
      </c>
      <c r="F166" s="712">
        <f>IFERROR(ROUND(IF($AL$3=2,VLOOKUP(C166,[2]List1!$A:$D,2,FALSE)*1.08,VLOOKUP(C166,[2]List1!$A:$D,2,FALSE)),0),"NEUVEDENO!")</f>
        <v>85</v>
      </c>
      <c r="G166" s="717">
        <f t="shared" ref="G166:G167" si="255">(F166)*$B$19</f>
        <v>85</v>
      </c>
      <c r="H166" s="718">
        <f t="shared" ref="H166:H167" si="256">G166/$F$19</f>
        <v>3.4540349223248503</v>
      </c>
      <c r="I166" s="719">
        <v>36</v>
      </c>
      <c r="J166" s="716" t="s">
        <v>46</v>
      </c>
      <c r="K166" s="716"/>
      <c r="L166" s="716" t="s">
        <v>14365</v>
      </c>
      <c r="M166" s="716" t="s">
        <v>25</v>
      </c>
      <c r="N166" s="716">
        <f>IFERROR(VLOOKUP(C166,[3]List1!$A:$D,4,FALSE),"N/A!")</f>
        <v>1.1664000000000001E-2</v>
      </c>
      <c r="O166" s="716">
        <f>IFERROR(VLOOKUP(C166,[3]List1!$A:$D,3,FALSE),"N/A!")</f>
        <v>5400</v>
      </c>
      <c r="P166" s="716">
        <f>IFERROR(VLOOKUP(C166,[3]List1!$A:$D,2,FALSE),"N/A!")</f>
        <v>8740</v>
      </c>
      <c r="Q166" s="716" t="s">
        <v>632</v>
      </c>
      <c r="R166" s="716" t="s">
        <v>24</v>
      </c>
      <c r="S166" s="716"/>
      <c r="T166" s="716">
        <v>90</v>
      </c>
      <c r="U166" s="716"/>
      <c r="V166" s="716"/>
      <c r="W166" s="716" t="str">
        <f>IFERROR(VLOOKUP('General price list'!$C166,Popisy!A:P,MATCH($W$17,Popisy!$A$7:$P$7,0),FALSE),"---------------")</f>
        <v>bílý stroboskop</v>
      </c>
      <c r="X166" s="716" t="str">
        <f t="shared" ref="X166:X167" si="257">IF(AB166&lt;0.0001,"",AB166)</f>
        <v/>
      </c>
      <c r="Y166" s="716" t="str">
        <f t="shared" ref="Y166:Y167" si="258">IF($AL$3=2,IF(OR(AB166&lt;&gt;"",AB166&lt;&gt;0),AU166,""),IF(C166="","",IF(AB166&lt;0.0001,"",IF(B166=0,"",IF(AQ166&lt;AB166,"",AB166)))))</f>
        <v/>
      </c>
      <c r="Z166" s="716" t="str">
        <f>HYPERLINK("https://www.klasekpyrotechnics.cz/s90s")</f>
        <v>https://www.klasekpyrotechnics.cz/s90s</v>
      </c>
      <c r="AA166" s="716" t="str">
        <f>IFERROR(IF(VLOOKUP(C166,[4]List1!$A:$D,4,FALSE)=0,"",VLOOKUP(C166,[4]List1!$A:$D,4,FALSE)),"")</f>
        <v>87</v>
      </c>
      <c r="AB166" s="720"/>
      <c r="AC166" s="721" t="str">
        <f>IFERROR(IF(VLOOKUP(C166,[1]List1!$A:$D,2,FALSE)="VYPRODÁNO",$V$9,IF(VLOOKUP(C166,[1]List1!$A:$D,2,FALSE)="DOCHÁZÍ",$V$3,VLOOKUP(C166,[1]List1!$A:$D,2,FALSE))),"OFFLINE!")</f>
        <v>20.03.2024</v>
      </c>
      <c r="AD166" s="722" t="str">
        <f ca="1">IF(AP166="NE",$V$10,IF(AC166=$V$3,IF(AQ166&lt;1,$V$8,$V$2&amp;" "&amp;AQ166&amp;" "&amp;$V$1),IF(AC166="SKLADEM",$V$6,IFERROR(IF(OR(AC166-TODAY()&gt;45,VLOOKUP(C166,[1]List1!$A:$E,4,FALSE)=0),AC166,DAY(AC166)&amp;"."&amp;MONTH(AC166)&amp;"."&amp;YEAR(AC166)&amp;" "&amp;$V$4&amp;VLOOKUP(C166,[1]List1!$A:$E,4,FALSE)&amp;" "&amp;$V$1),AC166))))</f>
        <v>20.3.2024 DORAZÍ 100+ VK</v>
      </c>
      <c r="AE166" s="716" t="str">
        <f t="shared" ref="AE166:AE167" ca="1" si="259">IFERROR(IF(AV166&lt;&gt;"",AV166,AD166),AD166)</f>
        <v>20.3.2024 DORAZÍ 100+ VK</v>
      </c>
      <c r="AF166" s="723">
        <f t="shared" ref="AF166:AF167" si="260">IFERROR(IF(AB166=Y166,G166*I166*Y166,0),0)</f>
        <v>0</v>
      </c>
      <c r="AG166" s="723">
        <f t="shared" ref="AG166:AG167" si="261">IF($W$17=$AF$8,AH166*1.23,AF166*1.21)</f>
        <v>0</v>
      </c>
      <c r="AH166" s="724">
        <f t="shared" ref="AH166:AH167" si="262">IFERROR(IF(Y166=AB166,H166*I166*Y166,0),0)</f>
        <v>0</v>
      </c>
      <c r="AI166" s="716">
        <f t="shared" ref="AI166:AI167" si="263">IFERROR(IF(Y166=AB166,(P166*Y166)/1000,1),0)</f>
        <v>0</v>
      </c>
      <c r="AJ166" s="716">
        <f t="shared" ref="AJ166:AJ167" si="264">IFERROR(IF(Y166=AB166,N166*Y166,0.1),0)</f>
        <v>0</v>
      </c>
      <c r="AK166" s="716" t="str">
        <f t="shared" ref="AK166:AK167" si="265">IFERROR(IF(Y166=AB166,IF(M166="1.1G",(O166/1000)*Y166,""),""),0)</f>
        <v/>
      </c>
      <c r="AL166" s="716" t="str">
        <f t="shared" ref="AL166:AL167" si="266">IFERROR(IF(Y166=AB166,IF(M166="1.3G",(O166/1000)*AB166,""),""),0)</f>
        <v/>
      </c>
      <c r="AM166" s="716">
        <f t="shared" ref="AM166:AM167" si="267">IFERROR(IF(Y166=AB166,IF(M166="1.4G",(O166/1000)*AB166,""),""),0)</f>
        <v>0</v>
      </c>
      <c r="AN166" s="716">
        <f t="shared" ref="AN166:AN167" si="268">SUM(AK166:AM166)</f>
        <v>0</v>
      </c>
      <c r="AO166" s="380"/>
      <c r="AP166" s="322" t="str">
        <f t="shared" si="233"/>
        <v/>
      </c>
      <c r="AQ166" s="323" t="str">
        <f>IF(AC166=$V$3,IF(VLOOKUP(C166,[1]List1!$A:$E,5,FALSE)=0,1,VLOOKUP(C166,[1]List1!$A:$E,5,FALSE)),"")</f>
        <v/>
      </c>
      <c r="AR166" s="304" t="str">
        <f t="shared" si="234"/>
        <v/>
      </c>
      <c r="AS166" s="423" t="str">
        <f t="shared" si="235"/>
        <v/>
      </c>
      <c r="AT166" s="304" t="str">
        <f t="shared" si="236"/>
        <v/>
      </c>
      <c r="AU166" s="342" t="e">
        <f t="shared" si="237"/>
        <v>#N/A</v>
      </c>
      <c r="AV166" s="304" t="e">
        <f t="shared" si="238"/>
        <v>#N/A</v>
      </c>
      <c r="AX166" s="304">
        <f>IF(AND('General price list'!$J166="F4",'General price list'!$AB166+0&gt;0),1,0)</f>
        <v>0</v>
      </c>
      <c r="AY166" s="304">
        <f t="shared" si="239"/>
        <v>1</v>
      </c>
      <c r="AZ166" s="304">
        <f t="shared" si="240"/>
        <v>0</v>
      </c>
    </row>
    <row r="167" spans="1:52" ht="15" customHeight="1">
      <c r="A167" s="725" t="str">
        <f>Kat.!C167</f>
        <v/>
      </c>
      <c r="B167" s="726">
        <f>IF(AND('General price list'!$J167="F4",$AI$1=FALSE),0,IF(AC167="SKLADEM",1,IF(AC167=$V$3,1,0)))</f>
        <v>0</v>
      </c>
      <c r="C167" s="727" t="s">
        <v>928</v>
      </c>
      <c r="D167" s="728" t="s">
        <v>929</v>
      </c>
      <c r="E167" s="729" t="s">
        <v>625</v>
      </c>
      <c r="F167" s="725">
        <f>IFERROR(ROUND(IF($AL$3=2,VLOOKUP(C167,[2]List1!$A:$D,2,FALSE)*1.08,VLOOKUP(C167,[2]List1!$A:$D,2,FALSE)),0),"NEUVEDENO!")</f>
        <v>106</v>
      </c>
      <c r="G167" s="730">
        <f t="shared" si="255"/>
        <v>106</v>
      </c>
      <c r="H167" s="731">
        <f t="shared" si="256"/>
        <v>4.3073847266639307</v>
      </c>
      <c r="I167" s="732">
        <v>30</v>
      </c>
      <c r="J167" s="729" t="s">
        <v>46</v>
      </c>
      <c r="K167" s="729"/>
      <c r="L167" s="729" t="s">
        <v>14365</v>
      </c>
      <c r="M167" s="729" t="s">
        <v>25</v>
      </c>
      <c r="N167" s="729">
        <f>IFERROR(VLOOKUP(C167,[3]List1!$A:$D,4,FALSE),"N/A!")</f>
        <v>1.1109000000000001E-2</v>
      </c>
      <c r="O167" s="729">
        <f>IFERROR(VLOOKUP(C167,[3]List1!$A:$D,3,FALSE),"N/A!")</f>
        <v>3240</v>
      </c>
      <c r="P167" s="729">
        <f>IFERROR(VLOOKUP(C167,[3]List1!$A:$D,2,FALSE),"N/A!")</f>
        <v>8000</v>
      </c>
      <c r="Q167" s="729" t="s">
        <v>632</v>
      </c>
      <c r="R167" s="729" t="s">
        <v>24</v>
      </c>
      <c r="S167" s="729"/>
      <c r="T167" s="729">
        <v>60</v>
      </c>
      <c r="U167" s="729"/>
      <c r="V167" s="729"/>
      <c r="W167" s="729" t="str">
        <f>IFERROR(VLOOKUP('General price list'!$C167,Popisy!A:P,MATCH($W$17,Popisy!$A$7:$P$7,0),FALSE),"---------------")</f>
        <v>bílý stroboskop</v>
      </c>
      <c r="X167" s="729" t="str">
        <f t="shared" si="257"/>
        <v/>
      </c>
      <c r="Y167" s="729" t="str">
        <f t="shared" si="258"/>
        <v/>
      </c>
      <c r="Z167" s="729" t="str">
        <f>HYPERLINK("https://www.klasekpyrotechnics.cz/s60s")</f>
        <v>https://www.klasekpyrotechnics.cz/s60s</v>
      </c>
      <c r="AA167" s="729" t="str">
        <f>IFERROR(IF(VLOOKUP(C167,[4]List1!$A:$D,4,FALSE)=0,"",VLOOKUP(C167,[4]List1!$A:$D,4,FALSE)),"")</f>
        <v>95</v>
      </c>
      <c r="AB167" s="720"/>
      <c r="AC167" s="733" t="str">
        <f>IFERROR(IF(VLOOKUP(C167,[1]List1!$A:$D,2,FALSE)="VYPRODÁNO",$V$9,IF(VLOOKUP(C167,[1]List1!$A:$D,2,FALSE)="DOCHÁZÍ",$V$3,VLOOKUP(C167,[1]List1!$A:$D,2,FALSE))),"OFFLINE!")</f>
        <v>20.03.2024</v>
      </c>
      <c r="AD167" s="734" t="str">
        <f ca="1">IF(AP167="NE",$V$10,IF(AC167=$V$3,IF(AQ167&lt;1,$V$8,$V$2&amp;" "&amp;AQ167&amp;" "&amp;$V$1),IF(AC167="SKLADEM",$V$6,IFERROR(IF(OR(AC167-TODAY()&gt;45,VLOOKUP(C167,[1]List1!$A:$E,4,FALSE)=0),AC167,DAY(AC167)&amp;"."&amp;MONTH(AC167)&amp;"."&amp;YEAR(AC167)&amp;" "&amp;$V$4&amp;VLOOKUP(C167,[1]List1!$A:$E,4,FALSE)&amp;" "&amp;$V$1),AC167))))</f>
        <v>20.3.2024 DORAZÍ 100+ VK</v>
      </c>
      <c r="AE167" s="729" t="str">
        <f t="shared" ca="1" si="259"/>
        <v>20.3.2024 DORAZÍ 100+ VK</v>
      </c>
      <c r="AF167" s="735">
        <f t="shared" si="260"/>
        <v>0</v>
      </c>
      <c r="AG167" s="735">
        <f t="shared" si="261"/>
        <v>0</v>
      </c>
      <c r="AH167" s="736">
        <f t="shared" si="262"/>
        <v>0</v>
      </c>
      <c r="AI167" s="729">
        <f t="shared" si="263"/>
        <v>0</v>
      </c>
      <c r="AJ167" s="729">
        <f t="shared" si="264"/>
        <v>0</v>
      </c>
      <c r="AK167" s="729" t="str">
        <f t="shared" si="265"/>
        <v/>
      </c>
      <c r="AL167" s="729" t="str">
        <f t="shared" si="266"/>
        <v/>
      </c>
      <c r="AM167" s="729">
        <f t="shared" si="267"/>
        <v>0</v>
      </c>
      <c r="AN167" s="729">
        <f t="shared" si="268"/>
        <v>0</v>
      </c>
      <c r="AO167" s="380"/>
      <c r="AP167" s="322" t="str">
        <f t="shared" si="233"/>
        <v/>
      </c>
      <c r="AQ167" s="323" t="str">
        <f>IF(AC167=$V$3,IF(VLOOKUP(C167,[1]List1!$A:$E,5,FALSE)=0,1,VLOOKUP(C167,[1]List1!$A:$E,5,FALSE)),"")</f>
        <v/>
      </c>
      <c r="AR167" s="304" t="str">
        <f t="shared" si="234"/>
        <v/>
      </c>
      <c r="AS167" s="423" t="str">
        <f t="shared" si="235"/>
        <v/>
      </c>
      <c r="AT167" s="304" t="str">
        <f t="shared" si="236"/>
        <v/>
      </c>
      <c r="AU167" s="342" t="e">
        <f t="shared" si="237"/>
        <v>#N/A</v>
      </c>
      <c r="AV167" s="304" t="e">
        <f t="shared" si="238"/>
        <v>#N/A</v>
      </c>
      <c r="AX167" s="304">
        <f>IF(AND('General price list'!$J167="F4",'General price list'!$AB167+0&gt;0),1,0)</f>
        <v>0</v>
      </c>
      <c r="AY167" s="304">
        <f t="shared" si="239"/>
        <v>1</v>
      </c>
      <c r="AZ167" s="304">
        <f t="shared" si="240"/>
        <v>0</v>
      </c>
    </row>
    <row r="168" spans="1:52" ht="15" customHeight="1">
      <c r="A168" s="773" t="str">
        <f>Kat.!C168</f>
        <v xml:space="preserve">                                                               Fontány</v>
      </c>
      <c r="B168" s="774"/>
      <c r="C168" s="774"/>
      <c r="D168" s="774"/>
      <c r="E168" s="774"/>
      <c r="F168" s="774"/>
      <c r="G168" s="774"/>
      <c r="H168" s="774"/>
      <c r="I168" s="774"/>
      <c r="J168" s="774"/>
      <c r="K168" s="774"/>
      <c r="L168" s="774"/>
      <c r="M168" s="774"/>
      <c r="N168" s="774"/>
      <c r="O168" s="774"/>
      <c r="P168" s="774"/>
      <c r="Q168" s="774"/>
      <c r="R168" s="774"/>
      <c r="S168" s="774"/>
      <c r="T168" s="774"/>
      <c r="U168" s="774"/>
      <c r="V168" s="774"/>
      <c r="W168" s="774"/>
      <c r="X168" s="774"/>
      <c r="Y168" s="774"/>
      <c r="Z168" s="774"/>
      <c r="AA168" s="774" t="str">
        <f>IFERROR(IF(VLOOKUP(C168,[4]List1!$A:$D,4,FALSE)=0,"",VLOOKUP(C168,[4]List1!$A:$D,4,FALSE)),"")</f>
        <v/>
      </c>
      <c r="AB168" s="774"/>
      <c r="AC168" s="775" t="str">
        <f>IFERROR(IF(VLOOKUP(C168,[1]List1!$A:$D,2,FALSE)="VYPRODÁNO",$V$9,IF(VLOOKUP(C168,[1]List1!$A:$D,2,FALSE)="DOCHÁZÍ",$V$3,VLOOKUP(C168,[1]List1!$A:$D,2,FALSE))),"OFFLINE!")</f>
        <v>OFFLINE!</v>
      </c>
      <c r="AD168" s="774"/>
      <c r="AE168" s="774"/>
      <c r="AF168" s="774"/>
      <c r="AG168" s="774"/>
      <c r="AH168" s="774"/>
      <c r="AI168" s="774"/>
      <c r="AJ168" s="774"/>
      <c r="AK168" s="774"/>
      <c r="AL168" s="774"/>
      <c r="AM168" s="774"/>
      <c r="AN168" s="774"/>
      <c r="AO168" s="380"/>
      <c r="AP168" s="322" t="str">
        <f t="shared" si="233"/>
        <v/>
      </c>
      <c r="AQ168" s="323" t="str">
        <f>IF(AC168=$V$3,IF(VLOOKUP(C168,[1]List1!$A:$E,5,FALSE)=0,1,VLOOKUP(C168,[1]List1!$A:$E,5,FALSE)),"")</f>
        <v/>
      </c>
      <c r="AR168" s="304" t="str">
        <f t="shared" si="234"/>
        <v/>
      </c>
      <c r="AS168" s="423" t="str">
        <f t="shared" si="235"/>
        <v/>
      </c>
      <c r="AT168" s="304" t="str">
        <f t="shared" si="236"/>
        <v/>
      </c>
      <c r="AU168" s="342" t="e">
        <f t="shared" si="237"/>
        <v>#N/A</v>
      </c>
      <c r="AV168" s="304" t="e">
        <f t="shared" si="238"/>
        <v>#N/A</v>
      </c>
      <c r="AX168" s="304">
        <f>IF(AND('General price list'!$J168="F4",'General price list'!$AB168+0&gt;0),1,0)</f>
        <v>0</v>
      </c>
      <c r="AY168" s="304">
        <f t="shared" si="239"/>
        <v>0</v>
      </c>
      <c r="AZ168" s="304">
        <f t="shared" si="240"/>
        <v>0</v>
      </c>
    </row>
    <row r="169" spans="1:52" ht="15" customHeight="1">
      <c r="A169" s="725" t="str">
        <f>Kat.!C169</f>
        <v/>
      </c>
      <c r="B169" s="741">
        <f>IF(AND('General price list'!$J169="F4",$AI$1=FALSE),0,IF(AC169="SKLADEM",1,IF(AC169=$V$3,1,0)))</f>
        <v>1</v>
      </c>
      <c r="C169" s="727" t="s">
        <v>392</v>
      </c>
      <c r="D169" s="728" t="s">
        <v>393</v>
      </c>
      <c r="E169" s="729" t="s">
        <v>54</v>
      </c>
      <c r="F169" s="725">
        <f>IFERROR(ROUND(IF($AL$3=2,VLOOKUP(C169,[2]List1!$A:$D,2,FALSE)*1.08,VLOOKUP(C169,[2]List1!$A:$D,2,FALSE)),0),"NEUVEDENO!")</f>
        <v>119</v>
      </c>
      <c r="G169" s="730">
        <f t="shared" ref="G169:G179" si="269">(F169)*$B$19</f>
        <v>119</v>
      </c>
      <c r="H169" s="731">
        <f t="shared" ref="H169:H179" si="270">G169/$F$19</f>
        <v>4.8356488912547899</v>
      </c>
      <c r="I169" s="742">
        <v>36</v>
      </c>
      <c r="J169" s="729" t="s">
        <v>46</v>
      </c>
      <c r="K169" s="729"/>
      <c r="L169" s="729" t="s">
        <v>14366</v>
      </c>
      <c r="M169" s="729" t="s">
        <v>25</v>
      </c>
      <c r="N169" s="729">
        <f>IFERROR(VLOOKUP(C169,[3]List1!$A:$D,4,FALSE),"N/A!")</f>
        <v>7.980799999999999E-2</v>
      </c>
      <c r="O169" s="729">
        <f>IFERROR(VLOOKUP(C169,[3]List1!$A:$D,3,FALSE),"N/A!")</f>
        <v>3600</v>
      </c>
      <c r="P169" s="729">
        <f>IFERROR(VLOOKUP(C169,[3]List1!$A:$D,2,FALSE),"N/A!")</f>
        <v>13000</v>
      </c>
      <c r="Q169" s="729" t="s">
        <v>14102</v>
      </c>
      <c r="R169" s="729" t="s">
        <v>18</v>
      </c>
      <c r="S169" s="729"/>
      <c r="T169" s="729">
        <v>25</v>
      </c>
      <c r="U169" s="729"/>
      <c r="V169" s="729"/>
      <c r="W169" s="729" t="str">
        <f>IFERROR(VLOOKUP('General price list'!$C169,Popisy!A:P,MATCH($W$17,Popisy!$A$7:$P$7,0),FALSE),"---------------")</f>
        <v>fontánový mix, balení obsahuje po 2ks F1U,F1K</v>
      </c>
      <c r="X169" s="729" t="str">
        <f t="shared" ref="X169:X179" si="271">IF(AB169&lt;0.0001,"",AB169)</f>
        <v/>
      </c>
      <c r="Y169" s="729" t="str">
        <f t="shared" ref="Y169:Y179" si="272">IF($AL$3=2,IF(OR(AB169&lt;&gt;"",AB169&lt;&gt;0),AU169,""),IF(C169="","",IF(AB169&lt;0.0001,"",IF(B169=0,"",IF(AQ169&lt;AB169,"",AB169)))))</f>
        <v/>
      </c>
      <c r="Z169" s="729" t="str">
        <f>HYPERLINK("https://www.klasekpyrotechnics.cz/f1m")</f>
        <v>https://www.klasekpyrotechnics.cz/f1m</v>
      </c>
      <c r="AA169" s="729">
        <f>IFERROR(IF(VLOOKUP(C169,[4]List1!$A:$D,4,FALSE)=0,"",VLOOKUP(C169,[4]List1!$A:$D,4,FALSE)),"")</f>
        <v>16</v>
      </c>
      <c r="AB169" s="720"/>
      <c r="AC169" s="743" t="str">
        <f>IFERROR(IF(VLOOKUP(C169,[1]List1!$A:$D,2,FALSE)="VYPRODÁNO",$V$9,IF(VLOOKUP(C169,[1]List1!$A:$D,2,FALSE)="DOCHÁZÍ",$V$3,VLOOKUP(C169,[1]List1!$A:$D,2,FALSE))),"OFFLINE!")</f>
        <v>SKLADEM</v>
      </c>
      <c r="AD169" s="744" t="str">
        <f ca="1">IF(AP169="NE",$V$10,IF(AC169=$V$3,IF(AQ169&lt;1,$V$8,$V$2&amp;" "&amp;AQ169&amp;" "&amp;$V$1),IF(AC169="SKLADEM",$V$6,IFERROR(IF(OR(AC169-TODAY()&gt;45,VLOOKUP(C169,[1]List1!$A:$E,4,FALSE)=0),AC169,DAY(AC169)&amp;"."&amp;MONTH(AC169)&amp;"."&amp;YEAR(AC169)&amp;" "&amp;$V$4&amp;VLOOKUP(C169,[1]List1!$A:$E,4,FALSE)&amp;" "&amp;$V$1),AC169))))</f>
        <v>SKLADEM</v>
      </c>
      <c r="AE169" s="729" t="str">
        <f t="shared" ref="AE169:AE179" ca="1" si="273">IFERROR(IF(AV169&lt;&gt;"",AV169,AD169),AD169)</f>
        <v>SKLADEM</v>
      </c>
      <c r="AF169" s="735">
        <f t="shared" ref="AF169:AF179" si="274">IFERROR(IF(AB169=Y169,G169*I169*Y169,0),0)</f>
        <v>0</v>
      </c>
      <c r="AG169" s="735">
        <f t="shared" ref="AG169:AG179" si="275">IF($W$17=$AF$8,AH169*1.23,AF169*1.21)</f>
        <v>0</v>
      </c>
      <c r="AH169" s="736">
        <f t="shared" ref="AH169:AH179" si="276">IFERROR(IF(Y169=AB169,H169*I169*Y169,0),0)</f>
        <v>0</v>
      </c>
      <c r="AI169" s="729">
        <f t="shared" ref="AI169:AI179" si="277">IFERROR(IF(Y169=AB169,(P169*Y169)/1000,1),0)</f>
        <v>0</v>
      </c>
      <c r="AJ169" s="729">
        <f t="shared" ref="AJ169:AJ179" si="278">IFERROR(IF(Y169=AB169,N169*Y169,0.1),0)</f>
        <v>0</v>
      </c>
      <c r="AK169" s="729" t="str">
        <f t="shared" ref="AK169:AK179" si="279">IFERROR(IF(Y169=AB169,IF(M169="1.1G",(O169/1000)*Y169,""),""),0)</f>
        <v/>
      </c>
      <c r="AL169" s="729" t="str">
        <f t="shared" ref="AL169:AL179" si="280">IFERROR(IF(Y169=AB169,IF(M169="1.3G",(O169/1000)*AB169,""),""),0)</f>
        <v/>
      </c>
      <c r="AM169" s="729">
        <f t="shared" ref="AM169:AM179" si="281">IFERROR(IF(Y169=AB169,IF(M169="1.4G",(O169/1000)*AB169,""),""),0)</f>
        <v>0</v>
      </c>
      <c r="AN169" s="729">
        <f t="shared" ref="AN169:AN179" si="282">SUM(AK169:AM169)</f>
        <v>0</v>
      </c>
      <c r="AO169" s="380"/>
      <c r="AP169" s="322" t="str">
        <f t="shared" si="233"/>
        <v/>
      </c>
      <c r="AQ169" s="323" t="str">
        <f>IF(AC169=$V$3,IF(VLOOKUP(C169,[1]List1!$A:$E,5,FALSE)=0,1,VLOOKUP(C169,[1]List1!$A:$E,5,FALSE)),"")</f>
        <v/>
      </c>
      <c r="AR169" s="304" t="str">
        <f t="shared" si="234"/>
        <v/>
      </c>
      <c r="AS169" s="423" t="str">
        <f t="shared" si="235"/>
        <v/>
      </c>
      <c r="AT169" s="304" t="str">
        <f t="shared" si="236"/>
        <v/>
      </c>
      <c r="AU169" s="342" t="e">
        <f t="shared" si="237"/>
        <v>#N/A</v>
      </c>
      <c r="AV169" s="304" t="e">
        <f t="shared" si="238"/>
        <v>#N/A</v>
      </c>
      <c r="AX169" s="304">
        <f>IF(AND('General price list'!$J169="F4",'General price list'!$AB169+0&gt;0),1,0)</f>
        <v>0</v>
      </c>
      <c r="AY169" s="304">
        <f t="shared" si="239"/>
        <v>1</v>
      </c>
      <c r="AZ169" s="304">
        <f t="shared" si="240"/>
        <v>1</v>
      </c>
    </row>
    <row r="170" spans="1:52" ht="15" customHeight="1">
      <c r="A170" s="712" t="str">
        <f>Kat.!C170</f>
        <v/>
      </c>
      <c r="B170" s="745">
        <f>IF(AND('General price list'!$J170="F4",$AI$1=FALSE),0,IF(AC170="SKLADEM",1,IF(AC170=$V$3,1,0)))</f>
        <v>1</v>
      </c>
      <c r="C170" s="714" t="s">
        <v>397</v>
      </c>
      <c r="D170" s="715" t="s">
        <v>14537</v>
      </c>
      <c r="E170" s="716" t="s">
        <v>398</v>
      </c>
      <c r="F170" s="712">
        <f>IFERROR(ROUND(IF($AL$3=2,VLOOKUP(C170,[2]List1!$A:$D,2,FALSE)*1.08,VLOOKUP(C170,[2]List1!$A:$D,2,FALSE)),0),"NEUVEDENO!")</f>
        <v>95</v>
      </c>
      <c r="G170" s="717">
        <f t="shared" si="269"/>
        <v>95</v>
      </c>
      <c r="H170" s="718">
        <f t="shared" si="270"/>
        <v>3.8603919720101265</v>
      </c>
      <c r="I170" s="746">
        <v>50</v>
      </c>
      <c r="J170" s="716" t="s">
        <v>46</v>
      </c>
      <c r="K170" s="716"/>
      <c r="L170" s="716" t="s">
        <v>14367</v>
      </c>
      <c r="M170" s="716" t="s">
        <v>25</v>
      </c>
      <c r="N170" s="716">
        <f>IFERROR(VLOOKUP(C170,[3]List1!$A:$D,4,FALSE),"N/A!")</f>
        <v>5.9895000000000004E-2</v>
      </c>
      <c r="O170" s="716">
        <f>IFERROR(VLOOKUP(C170,[3]List1!$A:$D,3,FALSE),"N/A!")</f>
        <v>5000</v>
      </c>
      <c r="P170" s="716">
        <f>IFERROR(VLOOKUP(C170,[3]List1!$A:$D,2,FALSE),"N/A!")</f>
        <v>11500</v>
      </c>
      <c r="Q170" s="716" t="s">
        <v>399</v>
      </c>
      <c r="R170" s="716" t="s">
        <v>24</v>
      </c>
      <c r="S170" s="716"/>
      <c r="T170" s="716">
        <v>30</v>
      </c>
      <c r="U170" s="716"/>
      <c r="V170" s="716"/>
      <c r="W170" s="716" t="str">
        <f>IFERROR(VLOOKUP('General price list'!$C170,Popisy!A:P,MATCH($W$17,Popisy!$A$7:$P$7,0),FALSE),"---------------")</f>
        <v>fontánový mix, balení obsahuje po 2ks F2DF,F2DD</v>
      </c>
      <c r="X170" s="716" t="str">
        <f t="shared" si="271"/>
        <v/>
      </c>
      <c r="Y170" s="716" t="str">
        <f t="shared" si="272"/>
        <v/>
      </c>
      <c r="Z170" s="716" t="str">
        <f>HYPERLINK("https://www.klasekpyrotechnics.cz/f2m")</f>
        <v>https://www.klasekpyrotechnics.cz/f2m</v>
      </c>
      <c r="AA170" s="716">
        <f>IFERROR(IF(VLOOKUP(C170,[4]List1!$A:$D,4,FALSE)=0,"",VLOOKUP(C170,[4]List1!$A:$D,4,FALSE)),"")</f>
        <v>20</v>
      </c>
      <c r="AB170" s="720"/>
      <c r="AC170" s="747" t="str">
        <f>IFERROR(IF(VLOOKUP(C170,[1]List1!$A:$D,2,FALSE)="VYPRODÁNO",$V$9,IF(VLOOKUP(C170,[1]List1!$A:$D,2,FALSE)="DOCHÁZÍ",$V$3,VLOOKUP(C170,[1]List1!$A:$D,2,FALSE))),"OFFLINE!")</f>
        <v>SKLADEM</v>
      </c>
      <c r="AD170" s="748" t="str">
        <f ca="1">IF(AP170="NE",$V$10,IF(AC170=$V$3,IF(AQ170&lt;1,$V$8,$V$2&amp;" "&amp;AQ170&amp;" "&amp;$V$1),IF(AC170="SKLADEM",$V$6,IFERROR(IF(OR(AC170-TODAY()&gt;45,VLOOKUP(C170,[1]List1!$A:$E,4,FALSE)=0),AC170,DAY(AC170)&amp;"."&amp;MONTH(AC170)&amp;"."&amp;YEAR(AC170)&amp;" "&amp;$V$4&amp;VLOOKUP(C170,[1]List1!$A:$E,4,FALSE)&amp;" "&amp;$V$1),AC170))))</f>
        <v>SKLADEM</v>
      </c>
      <c r="AE170" s="716" t="str">
        <f t="shared" ca="1" si="273"/>
        <v>SKLADEM</v>
      </c>
      <c r="AF170" s="723">
        <f t="shared" si="274"/>
        <v>0</v>
      </c>
      <c r="AG170" s="723">
        <f t="shared" si="275"/>
        <v>0</v>
      </c>
      <c r="AH170" s="724">
        <f t="shared" si="276"/>
        <v>0</v>
      </c>
      <c r="AI170" s="716">
        <f t="shared" si="277"/>
        <v>0</v>
      </c>
      <c r="AJ170" s="716">
        <f t="shared" si="278"/>
        <v>0</v>
      </c>
      <c r="AK170" s="716" t="str">
        <f t="shared" si="279"/>
        <v/>
      </c>
      <c r="AL170" s="716" t="str">
        <f t="shared" si="280"/>
        <v/>
      </c>
      <c r="AM170" s="716">
        <f t="shared" si="281"/>
        <v>0</v>
      </c>
      <c r="AN170" s="716">
        <f t="shared" si="282"/>
        <v>0</v>
      </c>
      <c r="AO170" s="380"/>
      <c r="AP170" s="322" t="str">
        <f t="shared" si="233"/>
        <v/>
      </c>
      <c r="AQ170" s="305" t="str">
        <f>IF(AC170=$V$3,IF(VLOOKUP(C170,[1]List1!$A:$E,5,FALSE)=0,1,VLOOKUP(C170,[1]List1!$A:$E,5,FALSE)),"")</f>
        <v/>
      </c>
      <c r="AR170" s="304" t="str">
        <f t="shared" si="234"/>
        <v/>
      </c>
      <c r="AS170" s="423" t="str">
        <f t="shared" si="235"/>
        <v/>
      </c>
      <c r="AT170" s="304" t="str">
        <f t="shared" si="236"/>
        <v/>
      </c>
      <c r="AU170" s="342" t="e">
        <f t="shared" si="237"/>
        <v>#N/A</v>
      </c>
      <c r="AV170" s="304" t="e">
        <f t="shared" si="238"/>
        <v>#N/A</v>
      </c>
      <c r="AX170" s="304">
        <f>IF(AND('General price list'!$J170="F4",'General price list'!$AB170+0&gt;0),1,0)</f>
        <v>0</v>
      </c>
      <c r="AY170" s="304">
        <f t="shared" si="239"/>
        <v>1</v>
      </c>
      <c r="AZ170" s="304">
        <f t="shared" si="240"/>
        <v>0</v>
      </c>
    </row>
    <row r="171" spans="1:52" ht="15" customHeight="1">
      <c r="A171" s="725" t="str">
        <f>Kat.!C171</f>
        <v/>
      </c>
      <c r="B171" s="749">
        <f>IF(AND('General price list'!$J171="F4",$AI$1=FALSE),0,IF(AC171="SKLADEM",1,IF(AC171=$V$3,1,0)))</f>
        <v>1</v>
      </c>
      <c r="C171" s="727" t="s">
        <v>3928</v>
      </c>
      <c r="D171" s="728" t="s">
        <v>3929</v>
      </c>
      <c r="E171" s="729" t="s">
        <v>11312</v>
      </c>
      <c r="F171" s="725">
        <f>IFERROR(ROUND(IF($AL$3=2,VLOOKUP(C171,[2]List1!$A:$D,2,FALSE)*1.08,VLOOKUP(C171,[2]List1!$A:$D,2,FALSE)),0),"NEUVEDENO!")</f>
        <v>108</v>
      </c>
      <c r="G171" s="730">
        <f t="shared" si="269"/>
        <v>108</v>
      </c>
      <c r="H171" s="731">
        <f t="shared" si="270"/>
        <v>4.3886561366009857</v>
      </c>
      <c r="I171" s="750">
        <v>48</v>
      </c>
      <c r="J171" s="729" t="s">
        <v>46</v>
      </c>
      <c r="K171" s="729"/>
      <c r="L171" s="729" t="s">
        <v>14365</v>
      </c>
      <c r="M171" s="729" t="s">
        <v>25</v>
      </c>
      <c r="N171" s="729">
        <f>IFERROR(VLOOKUP(C171,[3]List1!$A:$D,4,FALSE),"N/A!")</f>
        <v>3.9200000000000006E-2</v>
      </c>
      <c r="O171" s="729">
        <f>IFERROR(VLOOKUP(C171,[3]List1!$A:$D,3,FALSE),"N/A!")</f>
        <v>3888</v>
      </c>
      <c r="P171" s="729">
        <f>IFERROR(VLOOKUP(C171,[3]List1!$A:$D,2,FALSE),"N/A!")</f>
        <v>10000</v>
      </c>
      <c r="Q171" s="729" t="s">
        <v>45</v>
      </c>
      <c r="R171" s="729" t="s">
        <v>24</v>
      </c>
      <c r="S171" s="729"/>
      <c r="T171" s="729">
        <v>20</v>
      </c>
      <c r="U171" s="729"/>
      <c r="V171" s="729"/>
      <c r="W171" s="729" t="str">
        <f>IFERROR(VLOOKUP('General price list'!$C171,Popisy!A:P,MATCH($W$17,Popisy!$A$7:$P$7,0),FALSE),"---------------")</f>
        <v>barevné světlo(červené,modré,zelené)+práskající výmet</v>
      </c>
      <c r="X171" s="729" t="str">
        <f t="shared" si="271"/>
        <v/>
      </c>
      <c r="Y171" s="729" t="str">
        <f t="shared" si="272"/>
        <v/>
      </c>
      <c r="Z171" s="729" t="str">
        <f>HYPERLINK("https://www.klasekpyrotechnics.cz/f3cc")</f>
        <v>https://www.klasekpyrotechnics.cz/f3cc</v>
      </c>
      <c r="AA171" s="729">
        <f>IFERROR(IF(VLOOKUP(C171,[4]List1!$A:$D,4,FALSE)=0,"",VLOOKUP(C171,[4]List1!$A:$D,4,FALSE)),"")</f>
        <v>36</v>
      </c>
      <c r="AB171" s="720"/>
      <c r="AC171" s="751" t="str">
        <f>IFERROR(IF(VLOOKUP(C171,[1]List1!$A:$D,2,FALSE)="VYPRODÁNO",$V$9,IF(VLOOKUP(C171,[1]List1!$A:$D,2,FALSE)="DOCHÁZÍ",$V$3,VLOOKUP(C171,[1]List1!$A:$D,2,FALSE))),"OFFLINE!")</f>
        <v>SKLADEM</v>
      </c>
      <c r="AD171" s="752" t="str">
        <f ca="1">IF(AP171="NE",$V$10,IF(AC171=$V$3,IF(AQ171&lt;1,$V$8,$V$2&amp;" "&amp;AQ171&amp;" "&amp;$V$1),IF(AC171="SKLADEM",$V$6,IFERROR(IF(OR(AC171-TODAY()&gt;45,VLOOKUP(C171,[1]List1!$A:$E,4,FALSE)=0),AC171,DAY(AC171)&amp;"."&amp;MONTH(AC171)&amp;"."&amp;YEAR(AC171)&amp;" "&amp;$V$4&amp;VLOOKUP(C171,[1]List1!$A:$E,4,FALSE)&amp;" "&amp;$V$1),AC171))))</f>
        <v>SKLADEM</v>
      </c>
      <c r="AE171" s="729" t="str">
        <f t="shared" ca="1" si="273"/>
        <v>SKLADEM</v>
      </c>
      <c r="AF171" s="735">
        <f t="shared" si="274"/>
        <v>0</v>
      </c>
      <c r="AG171" s="735">
        <f t="shared" si="275"/>
        <v>0</v>
      </c>
      <c r="AH171" s="736">
        <f t="shared" si="276"/>
        <v>0</v>
      </c>
      <c r="AI171" s="729">
        <f t="shared" si="277"/>
        <v>0</v>
      </c>
      <c r="AJ171" s="729">
        <f t="shared" si="278"/>
        <v>0</v>
      </c>
      <c r="AK171" s="729" t="str">
        <f t="shared" si="279"/>
        <v/>
      </c>
      <c r="AL171" s="729" t="str">
        <f t="shared" si="280"/>
        <v/>
      </c>
      <c r="AM171" s="729">
        <f t="shared" si="281"/>
        <v>0</v>
      </c>
      <c r="AN171" s="729">
        <f t="shared" si="282"/>
        <v>0</v>
      </c>
      <c r="AO171" s="380"/>
      <c r="AP171" s="322" t="str">
        <f t="shared" si="233"/>
        <v/>
      </c>
      <c r="AQ171" s="323" t="str">
        <f>IF(AC171=$V$3,IF(VLOOKUP(C171,[1]List1!$A:$E,5,FALSE)=0,1,VLOOKUP(C171,[1]List1!$A:$E,5,FALSE)),"")</f>
        <v/>
      </c>
      <c r="AR171" s="304" t="str">
        <f t="shared" si="234"/>
        <v/>
      </c>
      <c r="AS171" s="423" t="str">
        <f t="shared" si="235"/>
        <v/>
      </c>
      <c r="AT171" s="304" t="str">
        <f t="shared" si="236"/>
        <v/>
      </c>
      <c r="AU171" s="342" t="e">
        <f t="shared" si="237"/>
        <v>#N/A</v>
      </c>
      <c r="AV171" s="304" t="e">
        <f t="shared" si="238"/>
        <v>#N/A</v>
      </c>
      <c r="AX171" s="304">
        <f>IF(AND('General price list'!$J171="F4",'General price list'!$AB171+0&gt;0),1,0)</f>
        <v>0</v>
      </c>
      <c r="AY171" s="304">
        <f t="shared" si="239"/>
        <v>1</v>
      </c>
      <c r="AZ171" s="304">
        <f t="shared" si="240"/>
        <v>0</v>
      </c>
    </row>
    <row r="172" spans="1:52" ht="15" customHeight="1">
      <c r="A172" s="712" t="str">
        <f>Kat.!C172</f>
        <v/>
      </c>
      <c r="B172" s="745">
        <f>IF(AND('General price list'!$J172="F4",$AI$1=FALSE),0,IF(AC172="SKLADEM",1,IF(AC172=$V$3,1,0)))</f>
        <v>1</v>
      </c>
      <c r="C172" s="714" t="s">
        <v>409</v>
      </c>
      <c r="D172" s="715" t="s">
        <v>410</v>
      </c>
      <c r="E172" s="716" t="s">
        <v>411</v>
      </c>
      <c r="F172" s="712">
        <f>IFERROR(ROUND(IF($AL$3=2,VLOOKUP(C172,[2]List1!$A:$D,2,FALSE)*1.08,VLOOKUP(C172,[2]List1!$A:$D,2,FALSE)),0),"NEUVEDENO!")</f>
        <v>159</v>
      </c>
      <c r="G172" s="717">
        <f t="shared" si="269"/>
        <v>159</v>
      </c>
      <c r="H172" s="718">
        <f t="shared" si="270"/>
        <v>6.4610770899958965</v>
      </c>
      <c r="I172" s="746">
        <v>12</v>
      </c>
      <c r="J172" s="716" t="s">
        <v>46</v>
      </c>
      <c r="K172" s="716"/>
      <c r="L172" s="716" t="s">
        <v>14365</v>
      </c>
      <c r="M172" s="716" t="s">
        <v>25</v>
      </c>
      <c r="N172" s="716">
        <f>IFERROR(VLOOKUP(C172,[3]List1!$A:$D,4,FALSE),"N/A!")</f>
        <v>1.984E-2</v>
      </c>
      <c r="O172" s="716">
        <f>IFERROR(VLOOKUP(C172,[3]List1!$A:$D,3,FALSE),"N/A!")</f>
        <v>2304</v>
      </c>
      <c r="P172" s="716">
        <f>IFERROR(VLOOKUP(C172,[3]List1!$A:$D,2,FALSE),"N/A!")</f>
        <v>7800</v>
      </c>
      <c r="Q172" s="716" t="s">
        <v>640</v>
      </c>
      <c r="R172" s="716" t="s">
        <v>24</v>
      </c>
      <c r="S172" s="716"/>
      <c r="T172" s="716">
        <v>100</v>
      </c>
      <c r="U172" s="716"/>
      <c r="V172" s="716"/>
      <c r="W172" s="716" t="str">
        <f>IFERROR(VLOOKUP('General price list'!$C172,Popisy!A:P,MATCH($W$17,Popisy!$A$7:$P$7,0),FALSE),"---------------")</f>
        <v>6 různobarevných efektů</v>
      </c>
      <c r="X172" s="716" t="str">
        <f t="shared" si="271"/>
        <v/>
      </c>
      <c r="Y172" s="716" t="str">
        <f t="shared" si="272"/>
        <v/>
      </c>
      <c r="Z172" s="716" t="str">
        <f>HYPERLINK("https://www.klasekpyrotechnics.cz/f6k")</f>
        <v>https://www.klasekpyrotechnics.cz/f6k</v>
      </c>
      <c r="AA172" s="716">
        <f>IFERROR(IF(VLOOKUP(C172,[4]List1!$A:$D,4,FALSE)=0,"",VLOOKUP(C172,[4]List1!$A:$D,4,FALSE)),"")</f>
        <v>60</v>
      </c>
      <c r="AB172" s="720"/>
      <c r="AC172" s="747" t="str">
        <f>IFERROR(IF(VLOOKUP(C172,[1]List1!$A:$D,2,FALSE)="VYPRODÁNO",$V$9,IF(VLOOKUP(C172,[1]List1!$A:$D,2,FALSE)="DOCHÁZÍ",$V$3,VLOOKUP(C172,[1]List1!$A:$D,2,FALSE))),"OFFLINE!")</f>
        <v>SKLADEM</v>
      </c>
      <c r="AD172" s="748" t="str">
        <f ca="1">IF(AP172="NE",$V$10,IF(AC172=$V$3,IF(AQ172&lt;1,$V$8,$V$2&amp;" "&amp;AQ172&amp;" "&amp;$V$1),IF(AC172="SKLADEM",$V$6,IFERROR(IF(OR(AC172-TODAY()&gt;45,VLOOKUP(C172,[1]List1!$A:$E,4,FALSE)=0),AC172,DAY(AC172)&amp;"."&amp;MONTH(AC172)&amp;"."&amp;YEAR(AC172)&amp;" "&amp;$V$4&amp;VLOOKUP(C172,[1]List1!$A:$E,4,FALSE)&amp;" "&amp;$V$1),AC172))))</f>
        <v>SKLADEM</v>
      </c>
      <c r="AE172" s="716" t="str">
        <f t="shared" ca="1" si="273"/>
        <v>SKLADEM</v>
      </c>
      <c r="AF172" s="723">
        <f t="shared" si="274"/>
        <v>0</v>
      </c>
      <c r="AG172" s="723">
        <f t="shared" si="275"/>
        <v>0</v>
      </c>
      <c r="AH172" s="724">
        <f t="shared" si="276"/>
        <v>0</v>
      </c>
      <c r="AI172" s="716">
        <f t="shared" si="277"/>
        <v>0</v>
      </c>
      <c r="AJ172" s="716">
        <f t="shared" si="278"/>
        <v>0</v>
      </c>
      <c r="AK172" s="716" t="str">
        <f t="shared" si="279"/>
        <v/>
      </c>
      <c r="AL172" s="716" t="str">
        <f t="shared" si="280"/>
        <v/>
      </c>
      <c r="AM172" s="716">
        <f t="shared" si="281"/>
        <v>0</v>
      </c>
      <c r="AN172" s="716">
        <f t="shared" si="282"/>
        <v>0</v>
      </c>
      <c r="AO172" s="380"/>
      <c r="AP172" s="322" t="str">
        <f t="shared" si="233"/>
        <v/>
      </c>
      <c r="AQ172" s="323" t="str">
        <f>IF(AC172=$V$3,IF(VLOOKUP(C172,[1]List1!$A:$E,5,FALSE)=0,1,VLOOKUP(C172,[1]List1!$A:$E,5,FALSE)),"")</f>
        <v/>
      </c>
      <c r="AR172" s="304" t="str">
        <f t="shared" si="234"/>
        <v/>
      </c>
      <c r="AS172" s="423" t="str">
        <f t="shared" si="235"/>
        <v/>
      </c>
      <c r="AT172" s="304" t="str">
        <f t="shared" si="236"/>
        <v/>
      </c>
      <c r="AU172" s="342" t="e">
        <f t="shared" si="237"/>
        <v>#N/A</v>
      </c>
      <c r="AV172" s="304" t="e">
        <f t="shared" si="238"/>
        <v>#N/A</v>
      </c>
      <c r="AX172" s="304">
        <f>IF(AND('General price list'!$J172="F4",'General price list'!$AB172+0&gt;0),1,0)</f>
        <v>0</v>
      </c>
      <c r="AY172" s="304">
        <f t="shared" si="239"/>
        <v>1</v>
      </c>
      <c r="AZ172" s="304">
        <f t="shared" si="240"/>
        <v>0</v>
      </c>
    </row>
    <row r="173" spans="1:52" ht="15" customHeight="1">
      <c r="A173" s="725" t="str">
        <f>Kat.!C173</f>
        <v/>
      </c>
      <c r="B173" s="749">
        <f>IF(AND('General price list'!$J173="F4",$AI$1=FALSE),0,IF(AC173="SKLADEM",1,IF(AC173=$V$3,1,0)))</f>
        <v>1</v>
      </c>
      <c r="C173" s="727" t="s">
        <v>3961</v>
      </c>
      <c r="D173" s="728" t="s">
        <v>3962</v>
      </c>
      <c r="E173" s="729" t="s">
        <v>11313</v>
      </c>
      <c r="F173" s="725">
        <f>IFERROR(ROUND(IF($AL$3=2,VLOOKUP(C173,[2]List1!$A:$D,2,FALSE)*1.08,VLOOKUP(C173,[2]List1!$A:$D,2,FALSE)),0),"NEUVEDENO!")</f>
        <v>215</v>
      </c>
      <c r="G173" s="730">
        <f t="shared" si="269"/>
        <v>215</v>
      </c>
      <c r="H173" s="731">
        <f t="shared" si="270"/>
        <v>8.7366765682334453</v>
      </c>
      <c r="I173" s="750">
        <v>20</v>
      </c>
      <c r="J173" s="729" t="s">
        <v>46</v>
      </c>
      <c r="K173" s="729"/>
      <c r="L173" s="729" t="s">
        <v>14365</v>
      </c>
      <c r="M173" s="729" t="s">
        <v>25</v>
      </c>
      <c r="N173" s="729">
        <f>IFERROR(VLOOKUP(C173,[3]List1!$A:$D,4,FALSE),"N/A!")</f>
        <v>4.2020999999999996E-2</v>
      </c>
      <c r="O173" s="729">
        <f>IFERROR(VLOOKUP(C173,[3]List1!$A:$D,3,FALSE),"N/A!")</f>
        <v>6000</v>
      </c>
      <c r="P173" s="729">
        <f>IFERROR(VLOOKUP(C173,[3]List1!$A:$D,2,FALSE),"N/A!")</f>
        <v>12000</v>
      </c>
      <c r="Q173" s="729" t="s">
        <v>14103</v>
      </c>
      <c r="R173" s="729" t="s">
        <v>24</v>
      </c>
      <c r="S173" s="729"/>
      <c r="T173" s="729">
        <v>20</v>
      </c>
      <c r="U173" s="729"/>
      <c r="V173" s="729"/>
      <c r="W173" s="729" t="str">
        <f>IFERROR(VLOOKUP('General price list'!$C173,Popisy!A:P,MATCH($W$17,Popisy!$A$7:$P$7,0),FALSE),"---------------")</f>
        <v>silné práskající hvězdy</v>
      </c>
      <c r="X173" s="729" t="str">
        <f t="shared" si="271"/>
        <v/>
      </c>
      <c r="Y173" s="729" t="str">
        <f t="shared" si="272"/>
        <v/>
      </c>
      <c r="Z173" s="729" t="str">
        <f>HYPERLINK("https://www.klasekpyrotechnics.cz/f16cs")</f>
        <v>https://www.klasekpyrotechnics.cz/f16cs</v>
      </c>
      <c r="AA173" s="729">
        <f>IFERROR(IF(VLOOKUP(C173,[4]List1!$A:$D,4,FALSE)=0,"",VLOOKUP(C173,[4]List1!$A:$D,4,FALSE)),"")</f>
        <v>30</v>
      </c>
      <c r="AB173" s="720"/>
      <c r="AC173" s="751" t="str">
        <f>IFERROR(IF(VLOOKUP(C173,[1]List1!$A:$D,2,FALSE)="VYPRODÁNO",$V$9,IF(VLOOKUP(C173,[1]List1!$A:$D,2,FALSE)="DOCHÁZÍ",$V$3,VLOOKUP(C173,[1]List1!$A:$D,2,FALSE))),"OFFLINE!")</f>
        <v>SKLADEM</v>
      </c>
      <c r="AD173" s="752" t="str">
        <f ca="1">IF(AP173="NE",$V$10,IF(AC173=$V$3,IF(AQ173&lt;1,$V$8,$V$2&amp;" "&amp;AQ173&amp;" "&amp;$V$1),IF(AC173="SKLADEM",$V$6,IFERROR(IF(OR(AC173-TODAY()&gt;45,VLOOKUP(C173,[1]List1!$A:$E,4,FALSE)=0),AC173,DAY(AC173)&amp;"."&amp;MONTH(AC173)&amp;"."&amp;YEAR(AC173)&amp;" "&amp;$V$4&amp;VLOOKUP(C173,[1]List1!$A:$E,4,FALSE)&amp;" "&amp;$V$1),AC173))))</f>
        <v>SKLADEM</v>
      </c>
      <c r="AE173" s="729" t="str">
        <f t="shared" ca="1" si="273"/>
        <v>SKLADEM</v>
      </c>
      <c r="AF173" s="735">
        <f t="shared" si="274"/>
        <v>0</v>
      </c>
      <c r="AG173" s="735">
        <f t="shared" si="275"/>
        <v>0</v>
      </c>
      <c r="AH173" s="736">
        <f t="shared" si="276"/>
        <v>0</v>
      </c>
      <c r="AI173" s="729">
        <f t="shared" si="277"/>
        <v>0</v>
      </c>
      <c r="AJ173" s="729">
        <f t="shared" si="278"/>
        <v>0</v>
      </c>
      <c r="AK173" s="729" t="str">
        <f t="shared" si="279"/>
        <v/>
      </c>
      <c r="AL173" s="729" t="str">
        <f t="shared" si="280"/>
        <v/>
      </c>
      <c r="AM173" s="729">
        <f t="shared" si="281"/>
        <v>0</v>
      </c>
      <c r="AN173" s="729">
        <f t="shared" si="282"/>
        <v>0</v>
      </c>
      <c r="AO173" s="380"/>
      <c r="AP173" s="322" t="str">
        <f t="shared" si="233"/>
        <v/>
      </c>
      <c r="AQ173" s="323" t="str">
        <f>IF(AC173=$V$3,IF(VLOOKUP(C173,[1]List1!$A:$E,5,FALSE)=0,1,VLOOKUP(C173,[1]List1!$A:$E,5,FALSE)),"")</f>
        <v/>
      </c>
      <c r="AR173" s="304" t="str">
        <f t="shared" si="234"/>
        <v/>
      </c>
      <c r="AS173" s="423" t="str">
        <f t="shared" si="235"/>
        <v/>
      </c>
      <c r="AT173" s="304" t="str">
        <f t="shared" si="236"/>
        <v/>
      </c>
      <c r="AU173" s="342" t="e">
        <f t="shared" si="237"/>
        <v>#N/A</v>
      </c>
      <c r="AV173" s="304" t="e">
        <f t="shared" si="238"/>
        <v>#N/A</v>
      </c>
      <c r="AX173" s="304">
        <f>IF(AND('General price list'!$J173="F4",'General price list'!$AB173+0&gt;0),1,0)</f>
        <v>0</v>
      </c>
      <c r="AY173" s="304">
        <f t="shared" si="239"/>
        <v>1</v>
      </c>
      <c r="AZ173" s="304">
        <f t="shared" si="240"/>
        <v>0</v>
      </c>
    </row>
    <row r="174" spans="1:52" ht="15" customHeight="1">
      <c r="A174" s="712" t="str">
        <f>Kat.!C174</f>
        <v/>
      </c>
      <c r="B174" s="745">
        <f>IF(AND('General price list'!$J174="F4",$AI$1=FALSE),0,IF(AC174="SKLADEM",1,IF(AC174=$V$3,1,0)))</f>
        <v>1</v>
      </c>
      <c r="C174" s="714" t="s">
        <v>419</v>
      </c>
      <c r="D174" s="715" t="s">
        <v>420</v>
      </c>
      <c r="E174" s="716" t="s">
        <v>421</v>
      </c>
      <c r="F174" s="712">
        <f>IFERROR(ROUND(IF($AL$3=2,VLOOKUP(C174,[2]List1!$A:$D,2,FALSE)*1.08,VLOOKUP(C174,[2]List1!$A:$D,2,FALSE)),0),"NEUVEDENO!")</f>
        <v>87</v>
      </c>
      <c r="G174" s="717">
        <f t="shared" si="269"/>
        <v>87</v>
      </c>
      <c r="H174" s="718">
        <f t="shared" si="270"/>
        <v>3.5353063322619054</v>
      </c>
      <c r="I174" s="746">
        <v>50</v>
      </c>
      <c r="J174" s="716" t="s">
        <v>46</v>
      </c>
      <c r="K174" s="716"/>
      <c r="L174" s="716" t="s">
        <v>14368</v>
      </c>
      <c r="M174" s="716" t="s">
        <v>25</v>
      </c>
      <c r="N174" s="716">
        <f>IFERROR(VLOOKUP(C174,[3]List1!$A:$D,4,FALSE),"N/A!")</f>
        <v>2.6714000000000002E-2</v>
      </c>
      <c r="O174" s="716">
        <f>IFERROR(VLOOKUP(C174,[3]List1!$A:$D,3,FALSE),"N/A!")</f>
        <v>3000</v>
      </c>
      <c r="P174" s="716">
        <f>IFERROR(VLOOKUP(C174,[3]List1!$A:$D,2,FALSE),"N/A!")</f>
        <v>8800</v>
      </c>
      <c r="Q174" s="716" t="s">
        <v>217</v>
      </c>
      <c r="R174" s="716" t="s">
        <v>24</v>
      </c>
      <c r="S174" s="716"/>
      <c r="T174" s="716">
        <v>20</v>
      </c>
      <c r="U174" s="716"/>
      <c r="V174" s="716"/>
      <c r="W174" s="716" t="str">
        <f>IFERROR(VLOOKUP('General price list'!$C174,Popisy!A:P,MATCH($W$17,Popisy!$A$7:$P$7,0),FALSE),"---------------")</f>
        <v>barevný efekt+práskající hvězdy</v>
      </c>
      <c r="X174" s="716" t="str">
        <f t="shared" si="271"/>
        <v/>
      </c>
      <c r="Y174" s="716" t="str">
        <f t="shared" si="272"/>
        <v/>
      </c>
      <c r="Z174" s="716" t="str">
        <f>HYPERLINK("https://www.klasekpyrotechnics.cz/f8b")</f>
        <v>https://www.klasekpyrotechnics.cz/f8b</v>
      </c>
      <c r="AA174" s="716">
        <f>IFERROR(IF(VLOOKUP(C174,[4]List1!$A:$D,4,FALSE)=0,"",VLOOKUP(C174,[4]List1!$A:$D,4,FALSE)),"")</f>
        <v>24</v>
      </c>
      <c r="AB174" s="720"/>
      <c r="AC174" s="747" t="str">
        <f>IFERROR(IF(VLOOKUP(C174,[1]List1!$A:$D,2,FALSE)="VYPRODÁNO",$V$9,IF(VLOOKUP(C174,[1]List1!$A:$D,2,FALSE)="DOCHÁZÍ",$V$3,VLOOKUP(C174,[1]List1!$A:$D,2,FALSE))),"OFFLINE!")</f>
        <v>SKLADEM</v>
      </c>
      <c r="AD174" s="748" t="str">
        <f ca="1">IF(AP174="NE",$V$10,IF(AC174=$V$3,IF(AQ174&lt;1,$V$8,$V$2&amp;" "&amp;AQ174&amp;" "&amp;$V$1),IF(AC174="SKLADEM",$V$6,IFERROR(IF(OR(AC174-TODAY()&gt;45,VLOOKUP(C174,[1]List1!$A:$E,4,FALSE)=0),AC174,DAY(AC174)&amp;"."&amp;MONTH(AC174)&amp;"."&amp;YEAR(AC174)&amp;" "&amp;$V$4&amp;VLOOKUP(C174,[1]List1!$A:$E,4,FALSE)&amp;" "&amp;$V$1),AC174))))</f>
        <v>SKLADEM</v>
      </c>
      <c r="AE174" s="716" t="str">
        <f t="shared" ca="1" si="273"/>
        <v>SKLADEM</v>
      </c>
      <c r="AF174" s="723">
        <f t="shared" si="274"/>
        <v>0</v>
      </c>
      <c r="AG174" s="723">
        <f t="shared" si="275"/>
        <v>0</v>
      </c>
      <c r="AH174" s="724">
        <f t="shared" si="276"/>
        <v>0</v>
      </c>
      <c r="AI174" s="716">
        <f t="shared" si="277"/>
        <v>0</v>
      </c>
      <c r="AJ174" s="716">
        <f t="shared" si="278"/>
        <v>0</v>
      </c>
      <c r="AK174" s="716" t="str">
        <f t="shared" si="279"/>
        <v/>
      </c>
      <c r="AL174" s="716" t="str">
        <f t="shared" si="280"/>
        <v/>
      </c>
      <c r="AM174" s="716">
        <f t="shared" si="281"/>
        <v>0</v>
      </c>
      <c r="AN174" s="716">
        <f t="shared" si="282"/>
        <v>0</v>
      </c>
      <c r="AO174" s="380"/>
      <c r="AP174" s="322" t="str">
        <f t="shared" si="233"/>
        <v/>
      </c>
      <c r="AQ174" s="323" t="str">
        <f>IF(AC174=$V$3,IF(VLOOKUP(C174,[1]List1!$A:$E,5,FALSE)=0,1,VLOOKUP(C174,[1]List1!$A:$E,5,FALSE)),"")</f>
        <v/>
      </c>
      <c r="AR174" s="304" t="str">
        <f t="shared" si="234"/>
        <v/>
      </c>
      <c r="AS174" s="423" t="str">
        <f t="shared" si="235"/>
        <v/>
      </c>
      <c r="AT174" s="304" t="str">
        <f t="shared" si="236"/>
        <v/>
      </c>
      <c r="AU174" s="342" t="e">
        <f t="shared" si="237"/>
        <v>#N/A</v>
      </c>
      <c r="AV174" s="304" t="e">
        <f t="shared" si="238"/>
        <v>#N/A</v>
      </c>
      <c r="AX174" s="304">
        <f>IF(AND('General price list'!$J174="F4",'General price list'!$AB174+0&gt;0),1,0)</f>
        <v>0</v>
      </c>
      <c r="AY174" s="304">
        <f t="shared" si="239"/>
        <v>1</v>
      </c>
      <c r="AZ174" s="304">
        <f t="shared" si="240"/>
        <v>0</v>
      </c>
    </row>
    <row r="175" spans="1:52" ht="15" customHeight="1">
      <c r="A175" s="725" t="str">
        <f>Kat.!C175</f>
        <v/>
      </c>
      <c r="B175" s="749">
        <f>IF(AND('General price list'!$J175="F4",$AI$1=FALSE),0,IF(AC175="SKLADEM",1,IF(AC175=$V$3,1,0)))</f>
        <v>1</v>
      </c>
      <c r="C175" s="727" t="s">
        <v>2486</v>
      </c>
      <c r="D175" s="728" t="s">
        <v>2487</v>
      </c>
      <c r="E175" s="729" t="s">
        <v>2662</v>
      </c>
      <c r="F175" s="725">
        <f>IFERROR(ROUND(IF($AL$3=2,VLOOKUP(C175,[2]List1!$A:$D,2,FALSE)*1.08,VLOOKUP(C175,[2]List1!$A:$D,2,FALSE)),0),"NEUVEDENO!")</f>
        <v>53</v>
      </c>
      <c r="G175" s="730">
        <f t="shared" si="269"/>
        <v>53</v>
      </c>
      <c r="H175" s="731">
        <f t="shared" si="270"/>
        <v>2.1536923633319653</v>
      </c>
      <c r="I175" s="750">
        <v>96</v>
      </c>
      <c r="J175" s="729" t="s">
        <v>46</v>
      </c>
      <c r="K175" s="729"/>
      <c r="L175" s="729" t="s">
        <v>14369</v>
      </c>
      <c r="M175" s="729" t="s">
        <v>25</v>
      </c>
      <c r="N175" s="729">
        <f>IFERROR(VLOOKUP(C175,[3]List1!$A:$D,4,FALSE),"N/A!")</f>
        <v>2.6998999999999999E-2</v>
      </c>
      <c r="O175" s="729">
        <f>IFERROR(VLOOKUP(C175,[3]List1!$A:$D,3,FALSE),"N/A!")</f>
        <v>7200</v>
      </c>
      <c r="P175" s="729">
        <f>IFERROR(VLOOKUP(C175,[3]List1!$A:$D,2,FALSE),"N/A!")</f>
        <v>13000</v>
      </c>
      <c r="Q175" s="729" t="s">
        <v>640</v>
      </c>
      <c r="R175" s="729" t="s">
        <v>24</v>
      </c>
      <c r="S175" s="729"/>
      <c r="T175" s="729">
        <v>90</v>
      </c>
      <c r="U175" s="729"/>
      <c r="V175" s="729"/>
      <c r="W175" s="729" t="str">
        <f>IFERROR(VLOOKUP('General price list'!$C175,Popisy!A:P,MATCH($W$17,Popisy!$A$7:$P$7,0),FALSE),"---------------")</f>
        <v>práskající fontána</v>
      </c>
      <c r="X175" s="729" t="str">
        <f t="shared" si="271"/>
        <v/>
      </c>
      <c r="Y175" s="729" t="str">
        <f t="shared" si="272"/>
        <v/>
      </c>
      <c r="Z175" s="729" t="str">
        <f>HYPERLINK("https://www.klasekpyrotechnics.cz/f10e")</f>
        <v>https://www.klasekpyrotechnics.cz/f10e</v>
      </c>
      <c r="AA175" s="729">
        <f>IFERROR(IF(VLOOKUP(C175,[4]List1!$A:$D,4,FALSE)=0,"",VLOOKUP(C175,[4]List1!$A:$D,4,FALSE)),"")</f>
        <v>54</v>
      </c>
      <c r="AB175" s="720"/>
      <c r="AC175" s="751" t="str">
        <f>IFERROR(IF(VLOOKUP(C175,[1]List1!$A:$D,2,FALSE)="VYPRODÁNO",$V$9,IF(VLOOKUP(C175,[1]List1!$A:$D,2,FALSE)="DOCHÁZÍ",$V$3,VLOOKUP(C175,[1]List1!$A:$D,2,FALSE))),"OFFLINE!")</f>
        <v>SKLADEM</v>
      </c>
      <c r="AD175" s="752" t="str">
        <f ca="1">IF(AP175="NE",$V$10,IF(AC175=$V$3,IF(AQ175&lt;1,$V$8,$V$2&amp;" "&amp;AQ175&amp;" "&amp;$V$1),IF(AC175="SKLADEM",$V$6,IFERROR(IF(OR(AC175-TODAY()&gt;45,VLOOKUP(C175,[1]List1!$A:$E,4,FALSE)=0),AC175,DAY(AC175)&amp;"."&amp;MONTH(AC175)&amp;"."&amp;YEAR(AC175)&amp;" "&amp;$V$4&amp;VLOOKUP(C175,[1]List1!$A:$E,4,FALSE)&amp;" "&amp;$V$1),AC175))))</f>
        <v>SKLADEM</v>
      </c>
      <c r="AE175" s="729" t="str">
        <f t="shared" ca="1" si="273"/>
        <v>SKLADEM</v>
      </c>
      <c r="AF175" s="735">
        <f t="shared" si="274"/>
        <v>0</v>
      </c>
      <c r="AG175" s="735">
        <f t="shared" si="275"/>
        <v>0</v>
      </c>
      <c r="AH175" s="736">
        <f t="shared" si="276"/>
        <v>0</v>
      </c>
      <c r="AI175" s="729">
        <f t="shared" si="277"/>
        <v>0</v>
      </c>
      <c r="AJ175" s="729">
        <f t="shared" si="278"/>
        <v>0</v>
      </c>
      <c r="AK175" s="729" t="str">
        <f t="shared" si="279"/>
        <v/>
      </c>
      <c r="AL175" s="729" t="str">
        <f t="shared" si="280"/>
        <v/>
      </c>
      <c r="AM175" s="729">
        <f t="shared" si="281"/>
        <v>0</v>
      </c>
      <c r="AN175" s="729">
        <f t="shared" si="282"/>
        <v>0</v>
      </c>
      <c r="AO175" s="380"/>
      <c r="AP175" s="322" t="str">
        <f t="shared" si="233"/>
        <v/>
      </c>
      <c r="AQ175" s="323" t="str">
        <f>IF(AC175=$V$3,IF(VLOOKUP(C175,[1]List1!$A:$E,5,FALSE)=0,1,VLOOKUP(C175,[1]List1!$A:$E,5,FALSE)),"")</f>
        <v/>
      </c>
      <c r="AR175" s="304" t="str">
        <f t="shared" si="234"/>
        <v/>
      </c>
      <c r="AS175" s="423" t="str">
        <f t="shared" si="235"/>
        <v/>
      </c>
      <c r="AT175" s="304" t="str">
        <f t="shared" si="236"/>
        <v/>
      </c>
      <c r="AU175" s="342" t="e">
        <f t="shared" si="237"/>
        <v>#N/A</v>
      </c>
      <c r="AV175" s="304" t="e">
        <f t="shared" si="238"/>
        <v>#N/A</v>
      </c>
      <c r="AX175" s="304">
        <f>IF(AND('General price list'!$J175="F4",'General price list'!$AB175+0&gt;0),1,0)</f>
        <v>0</v>
      </c>
      <c r="AY175" s="304">
        <f t="shared" si="239"/>
        <v>1</v>
      </c>
      <c r="AZ175" s="304">
        <f t="shared" si="240"/>
        <v>0</v>
      </c>
    </row>
    <row r="176" spans="1:52" ht="15" customHeight="1">
      <c r="A176" s="712" t="str">
        <f>Kat.!C176</f>
        <v/>
      </c>
      <c r="B176" s="745">
        <f>IF(AND('General price list'!$J176="F4",$AI$1=FALSE),0,IF(AC176="SKLADEM",1,IF(AC176=$V$3,1,0)))</f>
        <v>0</v>
      </c>
      <c r="C176" s="714" t="s">
        <v>430</v>
      </c>
      <c r="D176" s="715" t="s">
        <v>431</v>
      </c>
      <c r="E176" s="716" t="s">
        <v>411</v>
      </c>
      <c r="F176" s="712">
        <f>IFERROR(ROUND(IF($AL$3=2,VLOOKUP(C176,[2]List1!$A:$D,2,FALSE)*1.08,VLOOKUP(C176,[2]List1!$A:$D,2,FALSE)),0),"NEUVEDENO!")</f>
        <v>252</v>
      </c>
      <c r="G176" s="717">
        <f t="shared" si="269"/>
        <v>252</v>
      </c>
      <c r="H176" s="718">
        <f t="shared" si="270"/>
        <v>10.240197652068968</v>
      </c>
      <c r="I176" s="746">
        <v>12</v>
      </c>
      <c r="J176" s="716" t="s">
        <v>46</v>
      </c>
      <c r="K176" s="716"/>
      <c r="L176" s="716" t="s">
        <v>14369</v>
      </c>
      <c r="M176" s="716" t="s">
        <v>25</v>
      </c>
      <c r="N176" s="716">
        <f>IFERROR(VLOOKUP(C176,[3]List1!$A:$D,4,FALSE),"N/A!")</f>
        <v>6.0736000000000005E-2</v>
      </c>
      <c r="O176" s="716">
        <f>IFERROR(VLOOKUP(C176,[3]List1!$A:$D,3,FALSE),"N/A!")</f>
        <v>2016</v>
      </c>
      <c r="P176" s="716">
        <f>IFERROR(VLOOKUP(C176,[3]List1!$A:$D,2,FALSE),"N/A!")</f>
        <v>8400</v>
      </c>
      <c r="Q176" s="716" t="s">
        <v>14105</v>
      </c>
      <c r="R176" s="716" t="s">
        <v>24</v>
      </c>
      <c r="S176" s="716"/>
      <c r="T176" s="716">
        <v>110</v>
      </c>
      <c r="U176" s="716"/>
      <c r="V176" s="716"/>
      <c r="W176" s="716" t="str">
        <f>IFERROR(VLOOKUP('General price list'!$C176,Popisy!A:P,MATCH($W$17,Popisy!$A$7:$P$7,0),FALSE),"---------------")</f>
        <v>6 různobarevných efektů</v>
      </c>
      <c r="X176" s="716" t="str">
        <f t="shared" si="271"/>
        <v/>
      </c>
      <c r="Y176" s="716" t="str">
        <f t="shared" si="272"/>
        <v/>
      </c>
      <c r="Z176" s="716" t="str">
        <f>HYPERLINK("https://www.klasekpyrotechnics.cz/f11m")</f>
        <v>https://www.klasekpyrotechnics.cz/f11m</v>
      </c>
      <c r="AA176" s="716" t="str">
        <f>IFERROR(IF(VLOOKUP(C176,[4]List1!$A:$D,4,FALSE)=0,"",VLOOKUP(C176,[4]List1!$A:$D,4,FALSE)),"")</f>
        <v>16</v>
      </c>
      <c r="AB176" s="720"/>
      <c r="AC176" s="747" t="str">
        <f>IFERROR(IF(VLOOKUP(C176,[1]List1!$A:$D,2,FALSE)="VYPRODÁNO",$V$9,IF(VLOOKUP(C176,[1]List1!$A:$D,2,FALSE)="DOCHÁZÍ",$V$3,VLOOKUP(C176,[1]List1!$A:$D,2,FALSE))),"OFFLINE!")</f>
        <v>20.06.2024</v>
      </c>
      <c r="AD176" s="748" t="str">
        <f ca="1">IF(AP176="NE",$V$10,IF(AC176=$V$3,IF(AQ176&lt;1,$V$8,$V$2&amp;" "&amp;AQ176&amp;" "&amp;$V$1),IF(AC176="SKLADEM",$V$6,IFERROR(IF(OR(AC176-TODAY()&gt;45,VLOOKUP(C176,[1]List1!$A:$E,4,FALSE)=0),AC176,DAY(AC176)&amp;"."&amp;MONTH(AC176)&amp;"."&amp;YEAR(AC176)&amp;" "&amp;$V$4&amp;VLOOKUP(C176,[1]List1!$A:$E,4,FALSE)&amp;" "&amp;$V$1),AC176))))</f>
        <v>20.06.2024</v>
      </c>
      <c r="AE176" s="716" t="str">
        <f t="shared" ca="1" si="273"/>
        <v>20.06.2024</v>
      </c>
      <c r="AF176" s="723">
        <f t="shared" si="274"/>
        <v>0</v>
      </c>
      <c r="AG176" s="723">
        <f t="shared" si="275"/>
        <v>0</v>
      </c>
      <c r="AH176" s="724">
        <f t="shared" si="276"/>
        <v>0</v>
      </c>
      <c r="AI176" s="716">
        <f t="shared" si="277"/>
        <v>0</v>
      </c>
      <c r="AJ176" s="716">
        <f t="shared" si="278"/>
        <v>0</v>
      </c>
      <c r="AK176" s="716" t="str">
        <f t="shared" si="279"/>
        <v/>
      </c>
      <c r="AL176" s="716" t="str">
        <f t="shared" si="280"/>
        <v/>
      </c>
      <c r="AM176" s="716">
        <f t="shared" si="281"/>
        <v>0</v>
      </c>
      <c r="AN176" s="716">
        <f t="shared" si="282"/>
        <v>0</v>
      </c>
      <c r="AO176" s="380"/>
      <c r="AP176" s="322" t="str">
        <f t="shared" si="233"/>
        <v/>
      </c>
      <c r="AQ176" s="323" t="str">
        <f>IF(AC176=$V$3,IF(VLOOKUP(C176,[1]List1!$A:$E,5,FALSE)=0,1,VLOOKUP(C176,[1]List1!$A:$E,5,FALSE)),"")</f>
        <v/>
      </c>
      <c r="AR176" s="304" t="str">
        <f t="shared" si="234"/>
        <v/>
      </c>
      <c r="AS176" s="423" t="str">
        <f t="shared" si="235"/>
        <v/>
      </c>
      <c r="AT176" s="304" t="str">
        <f t="shared" si="236"/>
        <v/>
      </c>
      <c r="AU176" s="342" t="e">
        <f t="shared" si="237"/>
        <v>#N/A</v>
      </c>
      <c r="AV176" s="304" t="e">
        <f t="shared" si="238"/>
        <v>#N/A</v>
      </c>
      <c r="AX176" s="304">
        <f>IF(AND('General price list'!$J176="F4",'General price list'!$AB176+0&gt;0),1,0)</f>
        <v>0</v>
      </c>
      <c r="AY176" s="304">
        <f t="shared" si="239"/>
        <v>1</v>
      </c>
      <c r="AZ176" s="304">
        <f t="shared" si="240"/>
        <v>0</v>
      </c>
    </row>
    <row r="177" spans="1:52" ht="15" customHeight="1">
      <c r="A177" s="725" t="str">
        <f>Kat.!C177</f>
        <v/>
      </c>
      <c r="B177" s="749">
        <f>IF(AND('General price list'!$J177="F4",$AI$1=FALSE),0,IF(AC177="SKLADEM",1,IF(AC177=$V$3,1,0)))</f>
        <v>0</v>
      </c>
      <c r="C177" s="727" t="s">
        <v>433</v>
      </c>
      <c r="D177" s="728" t="s">
        <v>434</v>
      </c>
      <c r="E177" s="729" t="s">
        <v>435</v>
      </c>
      <c r="F177" s="725">
        <f>IFERROR(ROUND(IF($AL$3=2,VLOOKUP(C177,[2]List1!$A:$D,2,FALSE)*1.08,VLOOKUP(C177,[2]List1!$A:$D,2,FALSE)),0),"NEUVEDENO!")</f>
        <v>449</v>
      </c>
      <c r="G177" s="730">
        <f t="shared" si="269"/>
        <v>449</v>
      </c>
      <c r="H177" s="731">
        <f t="shared" si="270"/>
        <v>18.245431530868913</v>
      </c>
      <c r="I177" s="750">
        <v>8</v>
      </c>
      <c r="J177" s="729" t="s">
        <v>240</v>
      </c>
      <c r="K177" s="729"/>
      <c r="L177" s="729" t="s">
        <v>14363</v>
      </c>
      <c r="M177" s="729" t="s">
        <v>25</v>
      </c>
      <c r="N177" s="729">
        <f>IFERROR(VLOOKUP(C177,[3]List1!$A:$D,4,FALSE),"N/A!")</f>
        <v>5.2488000000000007E-2</v>
      </c>
      <c r="O177" s="729">
        <f>IFERROR(VLOOKUP(C177,[3]List1!$A:$D,3,FALSE),"N/A!")</f>
        <v>624</v>
      </c>
      <c r="P177" s="729">
        <f>IFERROR(VLOOKUP(C177,[3]List1!$A:$D,2,FALSE),"N/A!")</f>
        <v>8500</v>
      </c>
      <c r="Q177" s="729" t="s">
        <v>14105</v>
      </c>
      <c r="R177" s="729" t="s">
        <v>24</v>
      </c>
      <c r="S177" s="729"/>
      <c r="T177" s="729">
        <v>55</v>
      </c>
      <c r="U177" s="729"/>
      <c r="V177" s="729"/>
      <c r="W177" s="729" t="str">
        <f>IFERROR(VLOOKUP('General price list'!$C177,Popisy!A:P,MATCH($W$17,Popisy!$A$7:$P$7,0),FALSE),"---------------")</f>
        <v>rotáční fontána</v>
      </c>
      <c r="X177" s="729" t="str">
        <f t="shared" si="271"/>
        <v/>
      </c>
      <c r="Y177" s="729" t="str">
        <f t="shared" si="272"/>
        <v/>
      </c>
      <c r="Z177" s="729" t="str">
        <f>HYPERLINK("https://www.klasekpyrotechnics.cz/f14r")</f>
        <v>https://www.klasekpyrotechnics.cz/f14r</v>
      </c>
      <c r="AA177" s="729">
        <f>IFERROR(IF(VLOOKUP(C177,[4]List1!$A:$D,4,FALSE)=0,"",VLOOKUP(C177,[4]List1!$A:$D,4,FALSE)),"")</f>
        <v>24</v>
      </c>
      <c r="AB177" s="720"/>
      <c r="AC177" s="751" t="str">
        <f>IFERROR(IF(VLOOKUP(C177,[1]List1!$A:$D,2,FALSE)="VYPRODÁNO",$V$9,IF(VLOOKUP(C177,[1]List1!$A:$D,2,FALSE)="DOCHÁZÍ",$V$3,VLOOKUP(C177,[1]List1!$A:$D,2,FALSE))),"OFFLINE!")</f>
        <v>20.06.2024</v>
      </c>
      <c r="AD177" s="752" t="str">
        <f ca="1">IF(AP177="NE",$V$10,IF(AC177=$V$3,IF(AQ177&lt;1,$V$8,$V$2&amp;" "&amp;AQ177&amp;" "&amp;$V$1),IF(AC177="SKLADEM",$V$6,IFERROR(IF(OR(AC177-TODAY()&gt;45,VLOOKUP(C177,[1]List1!$A:$E,4,FALSE)=0),AC177,DAY(AC177)&amp;"."&amp;MONTH(AC177)&amp;"."&amp;YEAR(AC177)&amp;" "&amp;$V$4&amp;VLOOKUP(C177,[1]List1!$A:$E,4,FALSE)&amp;" "&amp;$V$1),AC177))))</f>
        <v>20.06.2024</v>
      </c>
      <c r="AE177" s="729" t="str">
        <f t="shared" ca="1" si="273"/>
        <v>20.06.2024</v>
      </c>
      <c r="AF177" s="735">
        <f t="shared" si="274"/>
        <v>0</v>
      </c>
      <c r="AG177" s="735">
        <f t="shared" si="275"/>
        <v>0</v>
      </c>
      <c r="AH177" s="736">
        <f t="shared" si="276"/>
        <v>0</v>
      </c>
      <c r="AI177" s="729">
        <f t="shared" si="277"/>
        <v>0</v>
      </c>
      <c r="AJ177" s="729">
        <f t="shared" si="278"/>
        <v>0</v>
      </c>
      <c r="AK177" s="729" t="str">
        <f t="shared" si="279"/>
        <v/>
      </c>
      <c r="AL177" s="729" t="str">
        <f t="shared" si="280"/>
        <v/>
      </c>
      <c r="AM177" s="729">
        <f t="shared" si="281"/>
        <v>0</v>
      </c>
      <c r="AN177" s="729">
        <f t="shared" si="282"/>
        <v>0</v>
      </c>
      <c r="AO177" s="380"/>
      <c r="AP177" s="322" t="str">
        <f t="shared" si="233"/>
        <v/>
      </c>
      <c r="AQ177" s="323" t="str">
        <f>IF(AC177=$V$3,IF(VLOOKUP(C177,[1]List1!$A:$E,5,FALSE)=0,1,VLOOKUP(C177,[1]List1!$A:$E,5,FALSE)),"")</f>
        <v/>
      </c>
      <c r="AR177" s="304" t="str">
        <f t="shared" si="234"/>
        <v/>
      </c>
      <c r="AS177" s="423" t="str">
        <f t="shared" si="235"/>
        <v/>
      </c>
      <c r="AT177" s="304" t="str">
        <f t="shared" si="236"/>
        <v/>
      </c>
      <c r="AU177" s="342" t="e">
        <f t="shared" si="237"/>
        <v>#N/A</v>
      </c>
      <c r="AV177" s="304" t="e">
        <f t="shared" si="238"/>
        <v>#N/A</v>
      </c>
      <c r="AX177" s="304">
        <f>IF(AND('General price list'!$J177="F4",'General price list'!$AB177+0&gt;0),1,0)</f>
        <v>0</v>
      </c>
      <c r="AY177" s="304">
        <f t="shared" si="239"/>
        <v>1</v>
      </c>
      <c r="AZ177" s="304">
        <f t="shared" si="240"/>
        <v>0</v>
      </c>
    </row>
    <row r="178" spans="1:52" ht="15" customHeight="1">
      <c r="A178" s="712" t="str">
        <f>Kat.!C178</f>
        <v/>
      </c>
      <c r="B178" s="745">
        <f>IF(AND('General price list'!$J178="F4",$AI$1=FALSE),0,IF(AC178="SKLADEM",1,IF(AC178=$V$3,1,0)))</f>
        <v>1</v>
      </c>
      <c r="C178" s="714" t="s">
        <v>12278</v>
      </c>
      <c r="D178" s="715" t="s">
        <v>13477</v>
      </c>
      <c r="E178" s="716" t="s">
        <v>1074</v>
      </c>
      <c r="F178" s="712">
        <f>IFERROR(ROUND(IF($AL$3=2,VLOOKUP(C178,[2]List1!$A:$D,2,FALSE)*1.08,VLOOKUP(C178,[2]List1!$A:$D,2,FALSE)),0),"NEUVEDENO!")</f>
        <v>529</v>
      </c>
      <c r="G178" s="717">
        <f t="shared" si="269"/>
        <v>529</v>
      </c>
      <c r="H178" s="718">
        <f t="shared" si="270"/>
        <v>21.496287928351126</v>
      </c>
      <c r="I178" s="746">
        <v>4</v>
      </c>
      <c r="J178" s="716" t="s">
        <v>240</v>
      </c>
      <c r="K178" s="716"/>
      <c r="L178" s="716" t="s">
        <v>24</v>
      </c>
      <c r="M178" s="716" t="s">
        <v>25</v>
      </c>
      <c r="N178" s="716">
        <f>IFERROR(VLOOKUP(C178,[3]List1!$A:$D,4,FALSE),"N/A!")</f>
        <v>0</v>
      </c>
      <c r="O178" s="716">
        <f>IFERROR(VLOOKUP(C178,[3]List1!$A:$D,3,FALSE),"N/A!")</f>
        <v>560</v>
      </c>
      <c r="P178" s="716">
        <f>IFERROR(VLOOKUP(C178,[3]List1!$A:$D,2,FALSE),"N/A!")</f>
        <v>8500</v>
      </c>
      <c r="Q178" s="716" t="s">
        <v>217</v>
      </c>
      <c r="R178" s="716"/>
      <c r="S178" s="716"/>
      <c r="T178" s="716">
        <v>55</v>
      </c>
      <c r="U178" s="716"/>
      <c r="V178" s="716"/>
      <c r="W178" s="716" t="str">
        <f>IFERROR(VLOOKUP('General price list'!$C178,Popisy!A:P,MATCH($W$17,Popisy!$A$7:$P$7,0),FALSE),"---------------")</f>
        <v>rotáční fontána</v>
      </c>
      <c r="X178" s="716" t="str">
        <f t="shared" si="271"/>
        <v/>
      </c>
      <c r="Y178" s="716" t="str">
        <f t="shared" si="272"/>
        <v/>
      </c>
      <c r="Z178" s="716" t="str">
        <f>HYPERLINK("https://https://www.klasekpyrotechnics.cz/f14rf")</f>
        <v>https://https://www.klasekpyrotechnics.cz/f14rf</v>
      </c>
      <c r="AA178" s="716">
        <f>IFERROR(IF(VLOOKUP(C178,[4]List1!$A:$D,4,FALSE)=0,"",VLOOKUP(C178,[4]List1!$A:$D,4,FALSE)),"")</f>
        <v>24</v>
      </c>
      <c r="AB178" s="720"/>
      <c r="AC178" s="747" t="str">
        <f>IFERROR(IF(VLOOKUP(C178,[1]List1!$A:$D,2,FALSE)="VYPRODÁNO",$V$9,IF(VLOOKUP(C178,[1]List1!$A:$D,2,FALSE)="DOCHÁZÍ",$V$3,VLOOKUP(C178,[1]List1!$A:$D,2,FALSE))),"OFFLINE!")</f>
        <v>SKLADEM</v>
      </c>
      <c r="AD178" s="748" t="str">
        <f ca="1">IF(AP178="NE",$V$10,IF(AC178=$V$3,IF(AQ178&lt;1,$V$8,$V$2&amp;" "&amp;AQ178&amp;" "&amp;$V$1),IF(AC178="SKLADEM",$V$6,IFERROR(IF(OR(AC178-TODAY()&gt;45,VLOOKUP(C178,[1]List1!$A:$E,4,FALSE)=0),AC178,DAY(AC178)&amp;"."&amp;MONTH(AC178)&amp;"."&amp;YEAR(AC178)&amp;" "&amp;$V$4&amp;VLOOKUP(C178,[1]List1!$A:$E,4,FALSE)&amp;" "&amp;$V$1),AC178))))</f>
        <v>SKLADEM</v>
      </c>
      <c r="AE178" s="716" t="str">
        <f t="shared" ca="1" si="273"/>
        <v>SKLADEM</v>
      </c>
      <c r="AF178" s="723">
        <f t="shared" si="274"/>
        <v>0</v>
      </c>
      <c r="AG178" s="723">
        <f t="shared" si="275"/>
        <v>0</v>
      </c>
      <c r="AH178" s="724">
        <f t="shared" si="276"/>
        <v>0</v>
      </c>
      <c r="AI178" s="716">
        <f t="shared" si="277"/>
        <v>0</v>
      </c>
      <c r="AJ178" s="716">
        <f t="shared" si="278"/>
        <v>0</v>
      </c>
      <c r="AK178" s="716" t="str">
        <f t="shared" si="279"/>
        <v/>
      </c>
      <c r="AL178" s="716" t="str">
        <f t="shared" si="280"/>
        <v/>
      </c>
      <c r="AM178" s="716">
        <f t="shared" si="281"/>
        <v>0</v>
      </c>
      <c r="AN178" s="716">
        <f t="shared" si="282"/>
        <v>0</v>
      </c>
      <c r="AO178" s="380"/>
      <c r="AP178" s="322" t="str">
        <f t="shared" si="233"/>
        <v/>
      </c>
      <c r="AQ178" s="323" t="str">
        <f>IF(AC178=$V$3,IF(VLOOKUP(C178,[1]List1!$A:$E,5,FALSE)=0,1,VLOOKUP(C178,[1]List1!$A:$E,5,FALSE)),"")</f>
        <v/>
      </c>
      <c r="AR178" s="304" t="str">
        <f t="shared" si="234"/>
        <v/>
      </c>
      <c r="AS178" s="423" t="str">
        <f t="shared" si="235"/>
        <v/>
      </c>
      <c r="AT178" s="304" t="str">
        <f t="shared" si="236"/>
        <v/>
      </c>
      <c r="AU178" s="342" t="e">
        <f t="shared" si="237"/>
        <v>#N/A</v>
      </c>
      <c r="AV178" s="304" t="e">
        <f t="shared" si="238"/>
        <v>#N/A</v>
      </c>
      <c r="AX178" s="304">
        <f>IF(AND('General price list'!$J178="F4",'General price list'!$AB178+0&gt;0),1,0)</f>
        <v>0</v>
      </c>
      <c r="AY178" s="304">
        <f t="shared" si="239"/>
        <v>1</v>
      </c>
      <c r="AZ178" s="304">
        <f t="shared" si="240"/>
        <v>0</v>
      </c>
    </row>
    <row r="179" spans="1:52" ht="15" customHeight="1">
      <c r="A179" s="725" t="str">
        <f>Kat.!C179</f>
        <v>×</v>
      </c>
      <c r="B179" s="749">
        <f>IF(AND('General price list'!$J179="F4",$AI$1=FALSE),0,IF(AC179="SKLADEM",1,IF(AC179=$V$3,1,0)))</f>
        <v>1</v>
      </c>
      <c r="C179" s="727" t="s">
        <v>4000</v>
      </c>
      <c r="D179" s="728" t="s">
        <v>4001</v>
      </c>
      <c r="E179" s="729" t="s">
        <v>1078</v>
      </c>
      <c r="F179" s="725">
        <f>IFERROR(ROUND(IF($AL$3=2,VLOOKUP(C179,[2]List1!$A:$D,2,FALSE)*1.08,VLOOKUP(C179,[2]List1!$A:$D,2,FALSE)),0),"NEUVEDENO!")</f>
        <v>1190</v>
      </c>
      <c r="G179" s="730">
        <f t="shared" si="269"/>
        <v>1190</v>
      </c>
      <c r="H179" s="731">
        <f t="shared" si="270"/>
        <v>48.356488912547903</v>
      </c>
      <c r="I179" s="750">
        <v>2</v>
      </c>
      <c r="J179" s="729" t="s">
        <v>240</v>
      </c>
      <c r="K179" s="729"/>
      <c r="L179" s="729" t="s">
        <v>24</v>
      </c>
      <c r="M179" s="729" t="s">
        <v>25</v>
      </c>
      <c r="N179" s="729">
        <f>IFERROR(VLOOKUP(C179,[3]List1!$A:$D,4,FALSE),"N/A!")</f>
        <v>5.7850000000000006E-2</v>
      </c>
      <c r="O179" s="729">
        <f>IFERROR(VLOOKUP(C179,[3]List1!$A:$D,3,FALSE),"N/A!")</f>
        <v>500</v>
      </c>
      <c r="P179" s="729">
        <f>IFERROR(VLOOKUP(C179,[3]List1!$A:$D,2,FALSE),"N/A!")</f>
        <v>4000</v>
      </c>
      <c r="Q179" s="729" t="s">
        <v>632</v>
      </c>
      <c r="R179" s="729" t="s">
        <v>24</v>
      </c>
      <c r="S179" s="729"/>
      <c r="T179" s="729">
        <v>80</v>
      </c>
      <c r="U179" s="729"/>
      <c r="V179" s="729"/>
      <c r="W179" s="729" t="str">
        <f>IFERROR(VLOOKUP('General price list'!$C179,Popisy!A:P,MATCH($W$17,Popisy!$A$7:$P$7,0),FALSE),"---------------")</f>
        <v>velké rotáční fontána( efekt do strany/nahoru)</v>
      </c>
      <c r="X179" s="729" t="str">
        <f t="shared" si="271"/>
        <v/>
      </c>
      <c r="Y179" s="729" t="str">
        <f t="shared" si="272"/>
        <v/>
      </c>
      <c r="Z179" s="729" t="str">
        <f>HYPERLINK("https://www.klasekpyrotechnics.cz/f15br")</f>
        <v>https://www.klasekpyrotechnics.cz/f15br</v>
      </c>
      <c r="AA179" s="729">
        <f>IFERROR(IF(VLOOKUP(C179,[4]List1!$A:$D,4,FALSE)=0,"",VLOOKUP(C179,[4]List1!$A:$D,4,FALSE)),"")</f>
        <v>24</v>
      </c>
      <c r="AB179" s="720"/>
      <c r="AC179" s="751" t="str">
        <f>IFERROR(IF(VLOOKUP(C179,[1]List1!$A:$D,2,FALSE)="VYPRODÁNO",$V$9,IF(VLOOKUP(C179,[1]List1!$A:$D,2,FALSE)="DOCHÁZÍ",$V$3,VLOOKUP(C179,[1]List1!$A:$D,2,FALSE))),"OFFLINE!")</f>
        <v>SKLADEM</v>
      </c>
      <c r="AD179" s="752" t="str">
        <f ca="1">IF(AP179="NE",$V$10,IF(AC179=$V$3,IF(AQ179&lt;1,$V$8,$V$2&amp;" "&amp;AQ179&amp;" "&amp;$V$1),IF(AC179="SKLADEM",$V$6,IFERROR(IF(OR(AC179-TODAY()&gt;45,VLOOKUP(C179,[1]List1!$A:$E,4,FALSE)=0),AC179,DAY(AC179)&amp;"."&amp;MONTH(AC179)&amp;"."&amp;YEAR(AC179)&amp;" "&amp;$V$4&amp;VLOOKUP(C179,[1]List1!$A:$E,4,FALSE)&amp;" "&amp;$V$1),AC179))))</f>
        <v>SKLADEM</v>
      </c>
      <c r="AE179" s="729" t="str">
        <f t="shared" ca="1" si="273"/>
        <v>SKLADEM</v>
      </c>
      <c r="AF179" s="735">
        <f t="shared" si="274"/>
        <v>0</v>
      </c>
      <c r="AG179" s="735">
        <f t="shared" si="275"/>
        <v>0</v>
      </c>
      <c r="AH179" s="736">
        <f t="shared" si="276"/>
        <v>0</v>
      </c>
      <c r="AI179" s="729">
        <f t="shared" si="277"/>
        <v>0</v>
      </c>
      <c r="AJ179" s="729">
        <f t="shared" si="278"/>
        <v>0</v>
      </c>
      <c r="AK179" s="729" t="str">
        <f t="shared" si="279"/>
        <v/>
      </c>
      <c r="AL179" s="729" t="str">
        <f t="shared" si="280"/>
        <v/>
      </c>
      <c r="AM179" s="729">
        <f t="shared" si="281"/>
        <v>0</v>
      </c>
      <c r="AN179" s="729">
        <f t="shared" si="282"/>
        <v>0</v>
      </c>
      <c r="AO179" s="380"/>
      <c r="AP179" s="322" t="str">
        <f t="shared" si="233"/>
        <v/>
      </c>
      <c r="AQ179" s="323" t="str">
        <f>IF(AC179=$V$3,IF(VLOOKUP(C179,[1]List1!$A:$E,5,FALSE)=0,1,VLOOKUP(C179,[1]List1!$A:$E,5,FALSE)),"")</f>
        <v/>
      </c>
      <c r="AR179" s="304" t="str">
        <f t="shared" si="234"/>
        <v/>
      </c>
      <c r="AS179" s="423" t="str">
        <f t="shared" si="235"/>
        <v/>
      </c>
      <c r="AT179" s="304" t="str">
        <f t="shared" si="236"/>
        <v/>
      </c>
      <c r="AU179" s="342" t="e">
        <f t="shared" si="237"/>
        <v>#N/A</v>
      </c>
      <c r="AV179" s="304" t="e">
        <f t="shared" si="238"/>
        <v>#N/A</v>
      </c>
      <c r="AX179" s="304">
        <f>IF(AND('General price list'!$J179="F4",'General price list'!$AB179+0&gt;0),1,0)</f>
        <v>0</v>
      </c>
      <c r="AY179" s="304">
        <f t="shared" si="239"/>
        <v>1</v>
      </c>
      <c r="AZ179" s="304">
        <f t="shared" si="240"/>
        <v>0</v>
      </c>
    </row>
    <row r="180" spans="1:52" ht="15" customHeight="1">
      <c r="A180" s="773" t="str">
        <f>Kat.!C180</f>
        <v xml:space="preserve">                                                               Vulkány</v>
      </c>
      <c r="B180" s="774"/>
      <c r="C180" s="774"/>
      <c r="D180" s="774"/>
      <c r="E180" s="774"/>
      <c r="F180" s="774"/>
      <c r="G180" s="774"/>
      <c r="H180" s="774"/>
      <c r="I180" s="774"/>
      <c r="J180" s="774"/>
      <c r="K180" s="774"/>
      <c r="L180" s="774"/>
      <c r="M180" s="774"/>
      <c r="N180" s="774"/>
      <c r="O180" s="774"/>
      <c r="P180" s="774"/>
      <c r="Q180" s="774"/>
      <c r="R180" s="774"/>
      <c r="S180" s="774"/>
      <c r="T180" s="774"/>
      <c r="U180" s="774"/>
      <c r="V180" s="774"/>
      <c r="W180" s="774"/>
      <c r="X180" s="774"/>
      <c r="Y180" s="774"/>
      <c r="Z180" s="774"/>
      <c r="AA180" s="774" t="str">
        <f>IFERROR(IF(VLOOKUP(C180,[4]List1!$A:$D,4,FALSE)=0,"",VLOOKUP(C180,[4]List1!$A:$D,4,FALSE)),"")</f>
        <v/>
      </c>
      <c r="AB180" s="774"/>
      <c r="AC180" s="775" t="str">
        <f>IFERROR(IF(VLOOKUP(C180,[1]List1!$A:$D,2,FALSE)="VYPRODÁNO",$V$9,IF(VLOOKUP(C180,[1]List1!$A:$D,2,FALSE)="DOCHÁZÍ",$V$3,VLOOKUP(C180,[1]List1!$A:$D,2,FALSE))),"OFFLINE!")</f>
        <v>OFFLINE!</v>
      </c>
      <c r="AD180" s="774"/>
      <c r="AE180" s="774"/>
      <c r="AF180" s="774"/>
      <c r="AG180" s="774"/>
      <c r="AH180" s="774"/>
      <c r="AI180" s="774"/>
      <c r="AJ180" s="774"/>
      <c r="AK180" s="774"/>
      <c r="AL180" s="774"/>
      <c r="AM180" s="774"/>
      <c r="AN180" s="774"/>
      <c r="AO180" s="380"/>
      <c r="AP180" s="322" t="str">
        <f t="shared" si="233"/>
        <v/>
      </c>
      <c r="AQ180" s="323" t="str">
        <f>IF(AC180=$V$3,IF(VLOOKUP(C180,[1]List1!$A:$E,5,FALSE)=0,1,VLOOKUP(C180,[1]List1!$A:$E,5,FALSE)),"")</f>
        <v/>
      </c>
      <c r="AR180" s="304" t="str">
        <f t="shared" si="234"/>
        <v/>
      </c>
      <c r="AS180" s="423" t="str">
        <f t="shared" si="235"/>
        <v/>
      </c>
      <c r="AT180" s="304" t="str">
        <f t="shared" si="236"/>
        <v/>
      </c>
      <c r="AU180" s="342" t="e">
        <f t="shared" si="237"/>
        <v>#N/A</v>
      </c>
      <c r="AV180" s="304" t="e">
        <f t="shared" si="238"/>
        <v>#N/A</v>
      </c>
      <c r="AX180" s="304">
        <f>IF(AND('General price list'!$J180="F4",'General price list'!$AB180+0&gt;0),1,0)</f>
        <v>0</v>
      </c>
      <c r="AY180" s="304">
        <f t="shared" si="239"/>
        <v>0</v>
      </c>
      <c r="AZ180" s="304">
        <f t="shared" si="240"/>
        <v>0</v>
      </c>
    </row>
    <row r="181" spans="1:52" ht="15" customHeight="1">
      <c r="A181" s="725" t="str">
        <f>Kat.!C181</f>
        <v/>
      </c>
      <c r="B181" s="741">
        <f>IF(AND('General price list'!$J181="F4",$AI$1=FALSE),0,IF(AC181="SKLADEM",1,IF(AC181=$V$3,1,0)))</f>
        <v>1</v>
      </c>
      <c r="C181" s="727" t="s">
        <v>438</v>
      </c>
      <c r="D181" s="728" t="s">
        <v>12007</v>
      </c>
      <c r="E181" s="729" t="s">
        <v>439</v>
      </c>
      <c r="F181" s="725">
        <f>IFERROR(ROUND(IF($AL$3=2,VLOOKUP(C181,[2]List1!$A:$D,2,FALSE)*1.08,VLOOKUP(C181,[2]List1!$A:$D,2,FALSE)),0),"NEUVEDENO!")</f>
        <v>219</v>
      </c>
      <c r="G181" s="730">
        <f t="shared" ref="G181:G192" si="283">(F181)*$B$19</f>
        <v>219</v>
      </c>
      <c r="H181" s="731">
        <f t="shared" ref="H181:H192" si="284">G181/$F$19</f>
        <v>8.8992193881075554</v>
      </c>
      <c r="I181" s="742">
        <v>20</v>
      </c>
      <c r="J181" s="729" t="s">
        <v>46</v>
      </c>
      <c r="K181" s="729" t="s">
        <v>14734</v>
      </c>
      <c r="L181" s="729" t="s">
        <v>14370</v>
      </c>
      <c r="M181" s="729" t="s">
        <v>25</v>
      </c>
      <c r="N181" s="729">
        <f>IFERROR(VLOOKUP(C181,[3]List1!$A:$D,4,FALSE),"N/A!")</f>
        <v>4.0194000000000001E-2</v>
      </c>
      <c r="O181" s="729">
        <f>IFERROR(VLOOKUP(C181,[3]List1!$A:$D,3,FALSE),"N/A!")</f>
        <v>6000</v>
      </c>
      <c r="P181" s="729">
        <f>IFERROR(VLOOKUP(C181,[3]List1!$A:$D,2,FALSE),"N/A!")</f>
        <v>14000</v>
      </c>
      <c r="Q181" s="729" t="s">
        <v>45</v>
      </c>
      <c r="R181" s="729" t="s">
        <v>24</v>
      </c>
      <c r="S181" s="729"/>
      <c r="T181" s="729">
        <v>30</v>
      </c>
      <c r="U181" s="729">
        <v>3</v>
      </c>
      <c r="V181" s="729">
        <v>1</v>
      </c>
      <c r="W181" s="729" t="str">
        <f>IFERROR(VLOOKUP('General price list'!$C181,Popisy!A:P,MATCH($W$17,Popisy!$A$7:$P$7,0),FALSE),"---------------")</f>
        <v xml:space="preserve">barevné hvězdy, 3m výška efektu, </v>
      </c>
      <c r="X181" s="729" t="str">
        <f t="shared" ref="X181:X192" si="285">IF(AB181&lt;0.0001,"",AB181)</f>
        <v/>
      </c>
      <c r="Y181" s="729" t="str">
        <f t="shared" ref="Y181:Y192" si="286">IF($AL$3=2,IF(OR(AB181&lt;&gt;"",AB181&lt;&gt;0),AU181,""),IF(C181="","",IF(AB181&lt;0.0001,"",IF(B181=0,"",IF(AQ181&lt;AB181,"",AB181)))))</f>
        <v/>
      </c>
      <c r="Z181" s="729" t="str">
        <f>HYPERLINK("https://www.klasekpyrotechnics.cz/f100c")</f>
        <v>https://www.klasekpyrotechnics.cz/f100c</v>
      </c>
      <c r="AA181" s="729">
        <f>IFERROR(IF(VLOOKUP(C181,[4]List1!$A:$D,4,FALSE)=0,"",VLOOKUP(C181,[4]List1!$A:$D,4,FALSE)),"")</f>
        <v>30</v>
      </c>
      <c r="AB181" s="720"/>
      <c r="AC181" s="743" t="str">
        <f>IFERROR(IF(VLOOKUP(C181,[1]List1!$A:$D,2,FALSE)="VYPRODÁNO",$V$9,IF(VLOOKUP(C181,[1]List1!$A:$D,2,FALSE)="DOCHÁZÍ",$V$3,VLOOKUP(C181,[1]List1!$A:$D,2,FALSE))),"OFFLINE!")</f>
        <v>SKLADEM</v>
      </c>
      <c r="AD181" s="744" t="str">
        <f ca="1">IF(AP181="NE",$V$10,IF(AC181=$V$3,IF(AQ181&lt;1,$V$8,$V$2&amp;" "&amp;AQ181&amp;" "&amp;$V$1),IF(AC181="SKLADEM",$V$6,IFERROR(IF(OR(AC181-TODAY()&gt;45,VLOOKUP(C181,[1]List1!$A:$E,4,FALSE)=0),AC181,DAY(AC181)&amp;"."&amp;MONTH(AC181)&amp;"."&amp;YEAR(AC181)&amp;" "&amp;$V$4&amp;VLOOKUP(C181,[1]List1!$A:$E,4,FALSE)&amp;" "&amp;$V$1),AC181))))</f>
        <v>SKLADEM</v>
      </c>
      <c r="AE181" s="729" t="str">
        <f t="shared" ref="AE181:AE192" ca="1" si="287">IFERROR(IF(AV181&lt;&gt;"",AV181,AD181),AD181)</f>
        <v>SKLADEM</v>
      </c>
      <c r="AF181" s="735">
        <f t="shared" ref="AF181:AF192" si="288">IFERROR(IF(AB181=Y181,G181*I181*Y181,0),0)</f>
        <v>0</v>
      </c>
      <c r="AG181" s="735">
        <f t="shared" ref="AG181:AG192" si="289">IF($W$17=$AF$8,AH181*1.23,AF181*1.21)</f>
        <v>0</v>
      </c>
      <c r="AH181" s="736">
        <f t="shared" ref="AH181:AH192" si="290">IFERROR(IF(Y181=AB181,H181*I181*Y181,0),0)</f>
        <v>0</v>
      </c>
      <c r="AI181" s="729">
        <f t="shared" ref="AI181:AI192" si="291">IFERROR(IF(Y181=AB181,(P181*Y181)/1000,1),0)</f>
        <v>0</v>
      </c>
      <c r="AJ181" s="729">
        <f t="shared" ref="AJ181:AJ192" si="292">IFERROR(IF(Y181=AB181,N181*Y181,0.1),0)</f>
        <v>0</v>
      </c>
      <c r="AK181" s="729" t="str">
        <f t="shared" ref="AK181:AK192" si="293">IFERROR(IF(Y181=AB181,IF(M181="1.1G",(O181/1000)*Y181,""),""),0)</f>
        <v/>
      </c>
      <c r="AL181" s="729" t="str">
        <f t="shared" ref="AL181:AL192" si="294">IFERROR(IF(Y181=AB181,IF(M181="1.3G",(O181/1000)*AB181,""),""),0)</f>
        <v/>
      </c>
      <c r="AM181" s="729">
        <f t="shared" ref="AM181:AM192" si="295">IFERROR(IF(Y181=AB181,IF(M181="1.4G",(O181/1000)*AB181,""),""),0)</f>
        <v>0</v>
      </c>
      <c r="AN181" s="729">
        <f t="shared" ref="AN181:AN192" si="296">SUM(AK181:AM181)</f>
        <v>0</v>
      </c>
      <c r="AO181" s="380"/>
      <c r="AP181" s="322" t="str">
        <f t="shared" si="233"/>
        <v/>
      </c>
      <c r="AQ181" s="323" t="str">
        <f>IF(AC181=$V$3,IF(VLOOKUP(C181,[1]List1!$A:$E,5,FALSE)=0,1,VLOOKUP(C181,[1]List1!$A:$E,5,FALSE)),"")</f>
        <v/>
      </c>
      <c r="AR181" s="304" t="str">
        <f t="shared" si="234"/>
        <v/>
      </c>
      <c r="AS181" s="423" t="str">
        <f t="shared" si="235"/>
        <v/>
      </c>
      <c r="AT181" s="304" t="str">
        <f t="shared" si="236"/>
        <v/>
      </c>
      <c r="AU181" s="342" t="e">
        <f t="shared" si="237"/>
        <v>#N/A</v>
      </c>
      <c r="AV181" s="304" t="e">
        <f t="shared" si="238"/>
        <v>#N/A</v>
      </c>
      <c r="AX181" s="304">
        <f>IF(AND('General price list'!$J181="F4",'General price list'!$AB181+0&gt;0),1,0)</f>
        <v>0</v>
      </c>
      <c r="AY181" s="304">
        <f t="shared" si="239"/>
        <v>1</v>
      </c>
      <c r="AZ181" s="304">
        <f t="shared" si="240"/>
        <v>0</v>
      </c>
    </row>
    <row r="182" spans="1:52" ht="15" customHeight="1">
      <c r="A182" s="712" t="str">
        <f>Kat.!C182</f>
        <v/>
      </c>
      <c r="B182" s="745">
        <f>IF(AND('General price list'!$J182="F4",$AI$1=FALSE),0,IF(AC182="SKLADEM",1,IF(AC182=$V$3,1,0)))</f>
        <v>1</v>
      </c>
      <c r="C182" s="714" t="s">
        <v>442</v>
      </c>
      <c r="D182" s="715" t="s">
        <v>12008</v>
      </c>
      <c r="E182" s="716" t="s">
        <v>404</v>
      </c>
      <c r="F182" s="712">
        <f>IFERROR(ROUND(IF($AL$3=2,VLOOKUP(C182,[2]List1!$A:$D,2,FALSE)*1.08,VLOOKUP(C182,[2]List1!$A:$D,2,FALSE)),0),"NEUVEDENO!")</f>
        <v>149</v>
      </c>
      <c r="G182" s="717">
        <f t="shared" si="283"/>
        <v>149</v>
      </c>
      <c r="H182" s="718">
        <f t="shared" si="284"/>
        <v>6.0547200403106194</v>
      </c>
      <c r="I182" s="746">
        <v>20</v>
      </c>
      <c r="J182" s="716" t="s">
        <v>46</v>
      </c>
      <c r="K182" s="716" t="s">
        <v>14734</v>
      </c>
      <c r="L182" s="716" t="s">
        <v>14370</v>
      </c>
      <c r="M182" s="716" t="s">
        <v>25</v>
      </c>
      <c r="N182" s="716">
        <f>IFERROR(VLOOKUP(C182,[3]List1!$A:$D,4,FALSE),"N/A!")</f>
        <v>3.14925E-2</v>
      </c>
      <c r="O182" s="716">
        <f>IFERROR(VLOOKUP(C182,[3]List1!$A:$D,3,FALSE),"N/A!")</f>
        <v>4000</v>
      </c>
      <c r="P182" s="716">
        <f>IFERROR(VLOOKUP(C182,[3]List1!$A:$D,2,FALSE),"N/A!")</f>
        <v>10000</v>
      </c>
      <c r="Q182" s="716" t="s">
        <v>45</v>
      </c>
      <c r="R182" s="716" t="s">
        <v>24</v>
      </c>
      <c r="S182" s="716"/>
      <c r="T182" s="716">
        <v>30</v>
      </c>
      <c r="U182" s="716">
        <v>3</v>
      </c>
      <c r="V182" s="716">
        <v>1</v>
      </c>
      <c r="W182" s="716" t="str">
        <f>IFERROR(VLOOKUP('General price list'!$C182,Popisy!A:P,MATCH($W$17,Popisy!$A$7:$P$7,0),FALSE),"---------------")</f>
        <v xml:space="preserve">dvopjité práskající hvězdy, 3m výška efektu, </v>
      </c>
      <c r="X182" s="716" t="str">
        <f t="shared" si="285"/>
        <v/>
      </c>
      <c r="Y182" s="716" t="str">
        <f t="shared" si="286"/>
        <v/>
      </c>
      <c r="Z182" s="716" t="str">
        <f>HYPERLINK("https://www.klasekpyrotechnics.cz/f100dc")</f>
        <v>https://www.klasekpyrotechnics.cz/f100dc</v>
      </c>
      <c r="AA182" s="716">
        <f>IFERROR(IF(VLOOKUP(C182,[4]List1!$A:$D,4,FALSE)=0,"",VLOOKUP(C182,[4]List1!$A:$D,4,FALSE)),"")</f>
        <v>42</v>
      </c>
      <c r="AB182" s="720"/>
      <c r="AC182" s="747" t="str">
        <f>IFERROR(IF(VLOOKUP(C182,[1]List1!$A:$D,2,FALSE)="VYPRODÁNO",$V$9,IF(VLOOKUP(C182,[1]List1!$A:$D,2,FALSE)="DOCHÁZÍ",$V$3,VLOOKUP(C182,[1]List1!$A:$D,2,FALSE))),"OFFLINE!")</f>
        <v>SKLADEM</v>
      </c>
      <c r="AD182" s="748" t="str">
        <f ca="1">IF(AP182="NE",$V$10,IF(AC182=$V$3,IF(AQ182&lt;1,$V$8,$V$2&amp;" "&amp;AQ182&amp;" "&amp;$V$1),IF(AC182="SKLADEM",$V$6,IFERROR(IF(OR(AC182-TODAY()&gt;45,VLOOKUP(C182,[1]List1!$A:$E,4,FALSE)=0),AC182,DAY(AC182)&amp;"."&amp;MONTH(AC182)&amp;"."&amp;YEAR(AC182)&amp;" "&amp;$V$4&amp;VLOOKUP(C182,[1]List1!$A:$E,4,FALSE)&amp;" "&amp;$V$1),AC182))))</f>
        <v>SKLADEM</v>
      </c>
      <c r="AE182" s="716" t="str">
        <f t="shared" ca="1" si="287"/>
        <v>SKLADEM</v>
      </c>
      <c r="AF182" s="723">
        <f t="shared" si="288"/>
        <v>0</v>
      </c>
      <c r="AG182" s="723">
        <f t="shared" si="289"/>
        <v>0</v>
      </c>
      <c r="AH182" s="724">
        <f t="shared" si="290"/>
        <v>0</v>
      </c>
      <c r="AI182" s="716">
        <f t="shared" si="291"/>
        <v>0</v>
      </c>
      <c r="AJ182" s="716">
        <f t="shared" si="292"/>
        <v>0</v>
      </c>
      <c r="AK182" s="716" t="str">
        <f t="shared" si="293"/>
        <v/>
      </c>
      <c r="AL182" s="716" t="str">
        <f t="shared" si="294"/>
        <v/>
      </c>
      <c r="AM182" s="716">
        <f t="shared" si="295"/>
        <v>0</v>
      </c>
      <c r="AN182" s="716">
        <f t="shared" si="296"/>
        <v>0</v>
      </c>
      <c r="AO182" s="380"/>
      <c r="AP182" s="322" t="str">
        <f t="shared" si="233"/>
        <v/>
      </c>
      <c r="AQ182" s="323" t="str">
        <f>IF(AC182=$V$3,IF(VLOOKUP(C182,[1]List1!$A:$E,5,FALSE)=0,1,VLOOKUP(C182,[1]List1!$A:$E,5,FALSE)),"")</f>
        <v/>
      </c>
      <c r="AR182" s="304" t="str">
        <f t="shared" si="234"/>
        <v/>
      </c>
      <c r="AS182" s="423" t="str">
        <f t="shared" si="235"/>
        <v/>
      </c>
      <c r="AT182" s="304" t="str">
        <f t="shared" si="236"/>
        <v/>
      </c>
      <c r="AU182" s="342" t="e">
        <f t="shared" si="237"/>
        <v>#N/A</v>
      </c>
      <c r="AV182" s="304" t="e">
        <f t="shared" si="238"/>
        <v>#N/A</v>
      </c>
      <c r="AX182" s="304">
        <f>IF(AND('General price list'!$J182="F4",'General price list'!$AB182+0&gt;0),1,0)</f>
        <v>0</v>
      </c>
      <c r="AY182" s="304">
        <f t="shared" si="239"/>
        <v>1</v>
      </c>
      <c r="AZ182" s="304">
        <f t="shared" si="240"/>
        <v>0</v>
      </c>
    </row>
    <row r="183" spans="1:52" ht="15" customHeight="1">
      <c r="A183" s="725" t="str">
        <f>Kat.!C183</f>
        <v>×</v>
      </c>
      <c r="B183" s="749">
        <f>IF(AND('General price list'!$J183="F4",$AI$1=FALSE),0,IF(AC183="SKLADEM",1,IF(AC183=$V$3,1,0)))</f>
        <v>1</v>
      </c>
      <c r="C183" s="727" t="s">
        <v>443</v>
      </c>
      <c r="D183" s="728" t="s">
        <v>12009</v>
      </c>
      <c r="E183" s="729" t="s">
        <v>444</v>
      </c>
      <c r="F183" s="725">
        <f>IFERROR(ROUND(IF($AL$3=2,VLOOKUP(C183,[2]List1!$A:$D,2,FALSE)*1.08,VLOOKUP(C183,[2]List1!$A:$D,2,FALSE)),0),"NEUVEDENO!")</f>
        <v>189</v>
      </c>
      <c r="G183" s="730">
        <f t="shared" si="283"/>
        <v>189</v>
      </c>
      <c r="H183" s="731">
        <f t="shared" si="284"/>
        <v>7.6801482390517259</v>
      </c>
      <c r="I183" s="750">
        <v>25</v>
      </c>
      <c r="J183" s="729" t="s">
        <v>46</v>
      </c>
      <c r="K183" s="729" t="s">
        <v>14734</v>
      </c>
      <c r="L183" s="729" t="s">
        <v>14371</v>
      </c>
      <c r="M183" s="729" t="s">
        <v>25</v>
      </c>
      <c r="N183" s="729">
        <f>IFERROR(VLOOKUP(C183,[3]List1!$A:$D,4,FALSE),"N/A!")</f>
        <v>4.4226000000000001E-2</v>
      </c>
      <c r="O183" s="729">
        <f>IFERROR(VLOOKUP(C183,[3]List1!$A:$D,3,FALSE),"N/A!")</f>
        <v>7500</v>
      </c>
      <c r="P183" s="729">
        <f>IFERROR(VLOOKUP(C183,[3]List1!$A:$D,2,FALSE),"N/A!")</f>
        <v>13500</v>
      </c>
      <c r="Q183" s="729" t="s">
        <v>14106</v>
      </c>
      <c r="R183" s="729" t="s">
        <v>24</v>
      </c>
      <c r="S183" s="729"/>
      <c r="T183" s="729">
        <v>33</v>
      </c>
      <c r="U183" s="729">
        <v>4</v>
      </c>
      <c r="V183" s="729">
        <v>1</v>
      </c>
      <c r="W183" s="729" t="str">
        <f>IFERROR(VLOOKUP('General price list'!$C183,Popisy!A:P,MATCH($W$17,Popisy!$A$7:$P$7,0),FALSE),"---------------")</f>
        <v xml:space="preserve">stříbrné hvězdy, 4m výška efektu, </v>
      </c>
      <c r="X183" s="729" t="str">
        <f t="shared" si="285"/>
        <v/>
      </c>
      <c r="Y183" s="729" t="str">
        <f t="shared" si="286"/>
        <v/>
      </c>
      <c r="Z183" s="729" t="str">
        <f>HYPERLINK("https://www.klasekpyrotechnics.cz/f250ss")</f>
        <v>https://www.klasekpyrotechnics.cz/f250ss</v>
      </c>
      <c r="AA183" s="729">
        <f>IFERROR(IF(VLOOKUP(C183,[4]List1!$A:$D,4,FALSE)=0,"",VLOOKUP(C183,[4]List1!$A:$D,4,FALSE)),"")</f>
        <v>32</v>
      </c>
      <c r="AB183" s="720"/>
      <c r="AC183" s="751" t="str">
        <f>IFERROR(IF(VLOOKUP(C183,[1]List1!$A:$D,2,FALSE)="VYPRODÁNO",$V$9,IF(VLOOKUP(C183,[1]List1!$A:$D,2,FALSE)="DOCHÁZÍ",$V$3,VLOOKUP(C183,[1]List1!$A:$D,2,FALSE))),"OFFLINE!")</f>
        <v>SKLADEM</v>
      </c>
      <c r="AD183" s="752" t="str">
        <f ca="1">IF(AP183="NE",$V$10,IF(AC183=$V$3,IF(AQ183&lt;1,$V$8,$V$2&amp;" "&amp;AQ183&amp;" "&amp;$V$1),IF(AC183="SKLADEM",$V$6,IFERROR(IF(OR(AC183-TODAY()&gt;45,VLOOKUP(C183,[1]List1!$A:$E,4,FALSE)=0),AC183,DAY(AC183)&amp;"."&amp;MONTH(AC183)&amp;"."&amp;YEAR(AC183)&amp;" "&amp;$V$4&amp;VLOOKUP(C183,[1]List1!$A:$E,4,FALSE)&amp;" "&amp;$V$1),AC183))))</f>
        <v>SKLADEM</v>
      </c>
      <c r="AE183" s="729" t="str">
        <f t="shared" ca="1" si="287"/>
        <v>SKLADEM</v>
      </c>
      <c r="AF183" s="735">
        <f t="shared" si="288"/>
        <v>0</v>
      </c>
      <c r="AG183" s="735">
        <f t="shared" si="289"/>
        <v>0</v>
      </c>
      <c r="AH183" s="736">
        <f t="shared" si="290"/>
        <v>0</v>
      </c>
      <c r="AI183" s="729">
        <f t="shared" si="291"/>
        <v>0</v>
      </c>
      <c r="AJ183" s="729">
        <f t="shared" si="292"/>
        <v>0</v>
      </c>
      <c r="AK183" s="729" t="str">
        <f t="shared" si="293"/>
        <v/>
      </c>
      <c r="AL183" s="729" t="str">
        <f t="shared" si="294"/>
        <v/>
      </c>
      <c r="AM183" s="729">
        <f t="shared" si="295"/>
        <v>0</v>
      </c>
      <c r="AN183" s="729">
        <f t="shared" si="296"/>
        <v>0</v>
      </c>
      <c r="AO183" s="380"/>
      <c r="AP183" s="322" t="str">
        <f t="shared" si="233"/>
        <v/>
      </c>
      <c r="AQ183" s="323" t="str">
        <f>IF(AC183=$V$3,IF(VLOOKUP(C183,[1]List1!$A:$E,5,FALSE)=0,1,VLOOKUP(C183,[1]List1!$A:$E,5,FALSE)),"")</f>
        <v/>
      </c>
      <c r="AR183" s="304" t="str">
        <f t="shared" si="234"/>
        <v/>
      </c>
      <c r="AS183" s="423" t="str">
        <f t="shared" si="235"/>
        <v/>
      </c>
      <c r="AT183" s="304" t="str">
        <f t="shared" si="236"/>
        <v/>
      </c>
      <c r="AU183" s="342" t="e">
        <f t="shared" si="237"/>
        <v>#N/A</v>
      </c>
      <c r="AV183" s="304" t="e">
        <f t="shared" si="238"/>
        <v>#N/A</v>
      </c>
      <c r="AX183" s="304">
        <f>IF(AND('General price list'!$J183="F4",'General price list'!$AB183+0&gt;0),1,0)</f>
        <v>0</v>
      </c>
      <c r="AY183" s="304">
        <f t="shared" si="239"/>
        <v>1</v>
      </c>
      <c r="AZ183" s="304">
        <f t="shared" si="240"/>
        <v>0</v>
      </c>
    </row>
    <row r="184" spans="1:52" ht="15" customHeight="1">
      <c r="A184" s="712" t="str">
        <f>Kat.!C184</f>
        <v/>
      </c>
      <c r="B184" s="745">
        <f>IF(AND('General price list'!$J184="F4",$AI$1=FALSE),0,IF(AC184="SKLADEM",1,IF(AC184=$V$3,1,0)))</f>
        <v>1</v>
      </c>
      <c r="C184" s="714" t="s">
        <v>448</v>
      </c>
      <c r="D184" s="715" t="s">
        <v>12010</v>
      </c>
      <c r="E184" s="716" t="s">
        <v>444</v>
      </c>
      <c r="F184" s="712">
        <f>IFERROR(ROUND(IF($AL$3=2,VLOOKUP(C184,[2]List1!$A:$D,2,FALSE)*1.08,VLOOKUP(C184,[2]List1!$A:$D,2,FALSE)),0),"NEUVEDENO!")</f>
        <v>189</v>
      </c>
      <c r="G184" s="717">
        <f t="shared" si="283"/>
        <v>189</v>
      </c>
      <c r="H184" s="718">
        <f t="shared" si="284"/>
        <v>7.6801482390517259</v>
      </c>
      <c r="I184" s="746">
        <v>25</v>
      </c>
      <c r="J184" s="716" t="s">
        <v>46</v>
      </c>
      <c r="K184" s="716" t="s">
        <v>14734</v>
      </c>
      <c r="L184" s="716" t="s">
        <v>14371</v>
      </c>
      <c r="M184" s="716" t="s">
        <v>25</v>
      </c>
      <c r="N184" s="716">
        <f>IFERROR(VLOOKUP(C184,[3]List1!$A:$D,4,FALSE),"N/A!")</f>
        <v>4.4226000000000001E-2</v>
      </c>
      <c r="O184" s="716">
        <f>IFERROR(VLOOKUP(C184,[3]List1!$A:$D,3,FALSE),"N/A!")</f>
        <v>7500</v>
      </c>
      <c r="P184" s="716">
        <f>IFERROR(VLOOKUP(C184,[3]List1!$A:$D,2,FALSE),"N/A!")</f>
        <v>13500</v>
      </c>
      <c r="Q184" s="716" t="s">
        <v>14106</v>
      </c>
      <c r="R184" s="716" t="s">
        <v>24</v>
      </c>
      <c r="S184" s="716"/>
      <c r="T184" s="716">
        <v>33</v>
      </c>
      <c r="U184" s="716">
        <v>4</v>
      </c>
      <c r="V184" s="716">
        <v>1</v>
      </c>
      <c r="W184" s="716" t="str">
        <f>IFERROR(VLOOKUP('General price list'!$C184,Popisy!A:P,MATCH($W$17,Popisy!$A$7:$P$7,0),FALSE),"---------------")</f>
        <v xml:space="preserve">stříbrné práskající hvězdy, 4m výška efektu, </v>
      </c>
      <c r="X184" s="716" t="str">
        <f t="shared" si="285"/>
        <v/>
      </c>
      <c r="Y184" s="716" t="str">
        <f t="shared" si="286"/>
        <v/>
      </c>
      <c r="Z184" s="716" t="str">
        <f>HYPERLINK("https://www.klasekpyrotechnics.cz/f250sc")</f>
        <v>https://www.klasekpyrotechnics.cz/f250sc</v>
      </c>
      <c r="AA184" s="716">
        <f>IFERROR(IF(VLOOKUP(C184,[4]List1!$A:$D,4,FALSE)=0,"",VLOOKUP(C184,[4]List1!$A:$D,4,FALSE)),"")</f>
        <v>32</v>
      </c>
      <c r="AB184" s="720"/>
      <c r="AC184" s="747" t="str">
        <f>IFERROR(IF(VLOOKUP(C184,[1]List1!$A:$D,2,FALSE)="VYPRODÁNO",$V$9,IF(VLOOKUP(C184,[1]List1!$A:$D,2,FALSE)="DOCHÁZÍ",$V$3,VLOOKUP(C184,[1]List1!$A:$D,2,FALSE))),"OFFLINE!")</f>
        <v>SKLADEM</v>
      </c>
      <c r="AD184" s="748" t="str">
        <f ca="1">IF(AP184="NE",$V$10,IF(AC184=$V$3,IF(AQ184&lt;1,$V$8,$V$2&amp;" "&amp;AQ184&amp;" "&amp;$V$1),IF(AC184="SKLADEM",$V$6,IFERROR(IF(OR(AC184-TODAY()&gt;45,VLOOKUP(C184,[1]List1!$A:$E,4,FALSE)=0),AC184,DAY(AC184)&amp;"."&amp;MONTH(AC184)&amp;"."&amp;YEAR(AC184)&amp;" "&amp;$V$4&amp;VLOOKUP(C184,[1]List1!$A:$E,4,FALSE)&amp;" "&amp;$V$1),AC184))))</f>
        <v>SKLADEM</v>
      </c>
      <c r="AE184" s="716" t="str">
        <f t="shared" ca="1" si="287"/>
        <v>SKLADEM</v>
      </c>
      <c r="AF184" s="723">
        <f t="shared" si="288"/>
        <v>0</v>
      </c>
      <c r="AG184" s="723">
        <f t="shared" si="289"/>
        <v>0</v>
      </c>
      <c r="AH184" s="724">
        <f t="shared" si="290"/>
        <v>0</v>
      </c>
      <c r="AI184" s="716">
        <f t="shared" si="291"/>
        <v>0</v>
      </c>
      <c r="AJ184" s="716">
        <f t="shared" si="292"/>
        <v>0</v>
      </c>
      <c r="AK184" s="716" t="str">
        <f t="shared" si="293"/>
        <v/>
      </c>
      <c r="AL184" s="716" t="str">
        <f t="shared" si="294"/>
        <v/>
      </c>
      <c r="AM184" s="716">
        <f t="shared" si="295"/>
        <v>0</v>
      </c>
      <c r="AN184" s="716">
        <f t="shared" si="296"/>
        <v>0</v>
      </c>
      <c r="AO184" s="380"/>
      <c r="AP184" s="322" t="str">
        <f t="shared" si="233"/>
        <v/>
      </c>
      <c r="AQ184" s="323" t="str">
        <f>IF(AC184=$V$3,IF(VLOOKUP(C184,[1]List1!$A:$E,5,FALSE)=0,1,VLOOKUP(C184,[1]List1!$A:$E,5,FALSE)),"")</f>
        <v/>
      </c>
      <c r="AR184" s="304" t="str">
        <f t="shared" si="234"/>
        <v/>
      </c>
      <c r="AS184" s="423" t="str">
        <f t="shared" si="235"/>
        <v/>
      </c>
      <c r="AT184" s="304" t="str">
        <f t="shared" si="236"/>
        <v/>
      </c>
      <c r="AU184" s="342" t="e">
        <f t="shared" si="237"/>
        <v>#N/A</v>
      </c>
      <c r="AV184" s="304" t="e">
        <f t="shared" si="238"/>
        <v>#N/A</v>
      </c>
      <c r="AX184" s="304">
        <f>IF(AND('General price list'!$J184="F4",'General price list'!$AB184+0&gt;0),1,0)</f>
        <v>0</v>
      </c>
      <c r="AY184" s="304">
        <f t="shared" si="239"/>
        <v>1</v>
      </c>
      <c r="AZ184" s="304">
        <f t="shared" si="240"/>
        <v>0</v>
      </c>
    </row>
    <row r="185" spans="1:52" ht="15" customHeight="1">
      <c r="A185" s="725" t="str">
        <f>Kat.!C185</f>
        <v/>
      </c>
      <c r="B185" s="749">
        <f>IF(AND('General price list'!$J185="F4",$AI$1=FALSE),0,IF(AC185="SKLADEM",1,IF(AC185=$V$3,1,0)))</f>
        <v>0</v>
      </c>
      <c r="C185" s="727" t="s">
        <v>452</v>
      </c>
      <c r="D185" s="728" t="s">
        <v>14049</v>
      </c>
      <c r="E185" s="729" t="s">
        <v>444</v>
      </c>
      <c r="F185" s="725">
        <f>IFERROR(ROUND(IF($AL$3=2,VLOOKUP(C185,[2]List1!$A:$D,2,FALSE)*1.08,VLOOKUP(C185,[2]List1!$A:$D,2,FALSE)),0),"NEUVEDENO!")</f>
        <v>189</v>
      </c>
      <c r="G185" s="730">
        <f t="shared" si="283"/>
        <v>189</v>
      </c>
      <c r="H185" s="731">
        <f t="shared" si="284"/>
        <v>7.6801482390517259</v>
      </c>
      <c r="I185" s="750">
        <v>25</v>
      </c>
      <c r="J185" s="729" t="s">
        <v>46</v>
      </c>
      <c r="K185" s="729" t="s">
        <v>14734</v>
      </c>
      <c r="L185" s="729" t="s">
        <v>14371</v>
      </c>
      <c r="M185" s="729" t="s">
        <v>25</v>
      </c>
      <c r="N185" s="729">
        <f>IFERROR(VLOOKUP(C185,[3]List1!$A:$D,4,FALSE),"N/A!")</f>
        <v>4.4226000000000001E-2</v>
      </c>
      <c r="O185" s="729">
        <f>IFERROR(VLOOKUP(C185,[3]List1!$A:$D,3,FALSE),"N/A!")</f>
        <v>7500</v>
      </c>
      <c r="P185" s="729">
        <f>IFERROR(VLOOKUP(C185,[3]List1!$A:$D,2,FALSE),"N/A!")</f>
        <v>13500</v>
      </c>
      <c r="Q185" s="729" t="s">
        <v>14106</v>
      </c>
      <c r="R185" s="729" t="s">
        <v>24</v>
      </c>
      <c r="S185" s="729"/>
      <c r="T185" s="729">
        <v>33</v>
      </c>
      <c r="U185" s="729">
        <v>4</v>
      </c>
      <c r="V185" s="729">
        <v>1</v>
      </c>
      <c r="W185" s="729" t="str">
        <f>IFERROR(VLOOKUP('General price list'!$C185,Popisy!A:P,MATCH($W$17,Popisy!$A$7:$P$7,0),FALSE),"---------------")</f>
        <v xml:space="preserve">barevné hvězdy, 4m výška efektu, </v>
      </c>
      <c r="X185" s="729" t="str">
        <f t="shared" si="285"/>
        <v/>
      </c>
      <c r="Y185" s="729" t="str">
        <f t="shared" si="286"/>
        <v/>
      </c>
      <c r="Z185" s="729" t="str">
        <f>HYPERLINK("https://www.klasekpyrotechnics.cz/f250c")</f>
        <v>https://www.klasekpyrotechnics.cz/f250c</v>
      </c>
      <c r="AA185" s="729">
        <f>IFERROR(IF(VLOOKUP(C185,[4]List1!$A:$D,4,FALSE)=0,"",VLOOKUP(C185,[4]List1!$A:$D,4,FALSE)),"")</f>
        <v>32</v>
      </c>
      <c r="AB185" s="720"/>
      <c r="AC185" s="751" t="str">
        <f>IFERROR(IF(VLOOKUP(C185,[1]List1!$A:$D,2,FALSE)="VYPRODÁNO",$V$9,IF(VLOOKUP(C185,[1]List1!$A:$D,2,FALSE)="DOCHÁZÍ",$V$3,VLOOKUP(C185,[1]List1!$A:$D,2,FALSE))),"OFFLINE!")</f>
        <v>30.09.2024</v>
      </c>
      <c r="AD185" s="752" t="str">
        <f ca="1">IF(AP185="NE",$V$10,IF(AC185=$V$3,IF(AQ185&lt;1,$V$8,$V$2&amp;" "&amp;AQ185&amp;" "&amp;$V$1),IF(AC185="SKLADEM",$V$6,IFERROR(IF(OR(AC185-TODAY()&gt;45,VLOOKUP(C185,[1]List1!$A:$E,4,FALSE)=0),AC185,DAY(AC185)&amp;"."&amp;MONTH(AC185)&amp;"."&amp;YEAR(AC185)&amp;" "&amp;$V$4&amp;VLOOKUP(C185,[1]List1!$A:$E,4,FALSE)&amp;" "&amp;$V$1),AC185))))</f>
        <v>30.09.2024</v>
      </c>
      <c r="AE185" s="729" t="str">
        <f t="shared" ca="1" si="287"/>
        <v>30.09.2024</v>
      </c>
      <c r="AF185" s="735">
        <f t="shared" si="288"/>
        <v>0</v>
      </c>
      <c r="AG185" s="735">
        <f t="shared" si="289"/>
        <v>0</v>
      </c>
      <c r="AH185" s="736">
        <f t="shared" si="290"/>
        <v>0</v>
      </c>
      <c r="AI185" s="729">
        <f t="shared" si="291"/>
        <v>0</v>
      </c>
      <c r="AJ185" s="729">
        <f t="shared" si="292"/>
        <v>0</v>
      </c>
      <c r="AK185" s="729" t="str">
        <f t="shared" si="293"/>
        <v/>
      </c>
      <c r="AL185" s="729" t="str">
        <f t="shared" si="294"/>
        <v/>
      </c>
      <c r="AM185" s="729">
        <f t="shared" si="295"/>
        <v>0</v>
      </c>
      <c r="AN185" s="729">
        <f t="shared" si="296"/>
        <v>0</v>
      </c>
      <c r="AO185" s="380"/>
      <c r="AP185" s="322" t="str">
        <f t="shared" si="233"/>
        <v/>
      </c>
      <c r="AQ185" s="323" t="str">
        <f>IF(AC185=$V$3,IF(VLOOKUP(C185,[1]List1!$A:$E,5,FALSE)=0,1,VLOOKUP(C185,[1]List1!$A:$E,5,FALSE)),"")</f>
        <v/>
      </c>
      <c r="AR185" s="304" t="str">
        <f t="shared" si="234"/>
        <v/>
      </c>
      <c r="AS185" s="423" t="str">
        <f t="shared" si="235"/>
        <v/>
      </c>
      <c r="AT185" s="304" t="str">
        <f t="shared" si="236"/>
        <v/>
      </c>
      <c r="AU185" s="342" t="e">
        <f t="shared" si="237"/>
        <v>#N/A</v>
      </c>
      <c r="AV185" s="304" t="e">
        <f t="shared" si="238"/>
        <v>#N/A</v>
      </c>
      <c r="AX185" s="304">
        <f>IF(AND('General price list'!$J185="F4",'General price list'!$AB185+0&gt;0),1,0)</f>
        <v>0</v>
      </c>
      <c r="AY185" s="304">
        <f t="shared" si="239"/>
        <v>1</v>
      </c>
      <c r="AZ185" s="304">
        <f t="shared" si="240"/>
        <v>0</v>
      </c>
    </row>
    <row r="186" spans="1:52" ht="15" customHeight="1">
      <c r="A186" s="712" t="str">
        <f>Kat.!C186</f>
        <v/>
      </c>
      <c r="B186" s="745">
        <f>IF(AND('General price list'!$J186="F4",$AI$1=FALSE),0,IF(AC186="SKLADEM",1,IF(AC186=$V$3,1,0)))</f>
        <v>1</v>
      </c>
      <c r="C186" s="714" t="s">
        <v>454</v>
      </c>
      <c r="D186" s="715" t="s">
        <v>455</v>
      </c>
      <c r="E186" s="716" t="s">
        <v>456</v>
      </c>
      <c r="F186" s="712">
        <f>IFERROR(ROUND(IF($AL$3=2,VLOOKUP(C186,[2]List1!$A:$D,2,FALSE)*1.08,VLOOKUP(C186,[2]List1!$A:$D,2,FALSE)),0),"NEUVEDENO!")</f>
        <v>451</v>
      </c>
      <c r="G186" s="717">
        <f t="shared" si="283"/>
        <v>451</v>
      </c>
      <c r="H186" s="718">
        <f t="shared" si="284"/>
        <v>18.326702940805969</v>
      </c>
      <c r="I186" s="746">
        <v>15</v>
      </c>
      <c r="J186" s="716" t="s">
        <v>46</v>
      </c>
      <c r="K186" s="716"/>
      <c r="L186" s="716" t="s">
        <v>14365</v>
      </c>
      <c r="M186" s="716" t="s">
        <v>25</v>
      </c>
      <c r="N186" s="716">
        <f>IFERROR(VLOOKUP(C186,[3]List1!$A:$D,4,FALSE),"N/A!")</f>
        <v>9.7143500000000008E-2</v>
      </c>
      <c r="O186" s="716">
        <f>IFERROR(VLOOKUP(C186,[3]List1!$A:$D,3,FALSE),"N/A!")</f>
        <v>7500</v>
      </c>
      <c r="P186" s="716">
        <f>IFERROR(VLOOKUP(C186,[3]List1!$A:$D,2,FALSE),"N/A!")</f>
        <v>22000</v>
      </c>
      <c r="Q186" s="716" t="s">
        <v>14107</v>
      </c>
      <c r="R186" s="716" t="s">
        <v>24</v>
      </c>
      <c r="S186" s="716"/>
      <c r="T186" s="716">
        <v>45</v>
      </c>
      <c r="U186" s="716">
        <v>5</v>
      </c>
      <c r="V186" s="716">
        <v>1.5</v>
      </c>
      <c r="W186" s="716" t="str">
        <f>IFERROR(VLOOKUP('General price list'!$C186,Popisy!A:P,MATCH($W$17,Popisy!$A$7:$P$7,0),FALSE),"---------------")</f>
        <v xml:space="preserve">práskajíci hvězdy+barevné hvězdy, 5m výška efektu, </v>
      </c>
      <c r="X186" s="716" t="str">
        <f t="shared" si="285"/>
        <v/>
      </c>
      <c r="Y186" s="716" t="str">
        <f t="shared" si="286"/>
        <v/>
      </c>
      <c r="Z186" s="716" t="str">
        <f>HYPERLINK("https://www.klasekpyrotechnics.cz/f500sig")</f>
        <v>https://www.klasekpyrotechnics.cz/f500sig</v>
      </c>
      <c r="AA186" s="716" t="str">
        <f>IFERROR(IF(VLOOKUP(C186,[4]List1!$A:$D,4,FALSE)=0,"",VLOOKUP(C186,[4]List1!$A:$D,4,FALSE)),"")</f>
        <v>16</v>
      </c>
      <c r="AB186" s="720"/>
      <c r="AC186" s="747" t="str">
        <f>IFERROR(IF(VLOOKUP(C186,[1]List1!$A:$D,2,FALSE)="VYPRODÁNO",$V$9,IF(VLOOKUP(C186,[1]List1!$A:$D,2,FALSE)="DOCHÁZÍ",$V$3,VLOOKUP(C186,[1]List1!$A:$D,2,FALSE))),"OFFLINE!")</f>
        <v>DOCHÁZÍ</v>
      </c>
      <c r="AD186" s="748" t="str">
        <f ca="1">IF(AP186="NE",$V$10,IF(AC186=$V$3,IF(AQ186&lt;1,$V$8,$V$2&amp;" "&amp;AQ186&amp;" "&amp;$V$1),IF(AC186="SKLADEM",$V$6,IFERROR(IF(OR(AC186-TODAY()&gt;45,VLOOKUP(C186,[1]List1!$A:$E,4,FALSE)=0),AC186,DAY(AC186)&amp;"."&amp;MONTH(AC186)&amp;"."&amp;YEAR(AC186)&amp;" "&amp;$V$4&amp;VLOOKUP(C186,[1]List1!$A:$E,4,FALSE)&amp;" "&amp;$V$1),AC186))))</f>
        <v>POSLEDNÍCH 4 VK</v>
      </c>
      <c r="AE186" s="716" t="str">
        <f t="shared" ca="1" si="287"/>
        <v>POSLEDNÍCH 4 VK</v>
      </c>
      <c r="AF186" s="723">
        <f t="shared" si="288"/>
        <v>0</v>
      </c>
      <c r="AG186" s="723">
        <f t="shared" si="289"/>
        <v>0</v>
      </c>
      <c r="AH186" s="724">
        <f t="shared" si="290"/>
        <v>0</v>
      </c>
      <c r="AI186" s="716">
        <f t="shared" si="291"/>
        <v>0</v>
      </c>
      <c r="AJ186" s="716">
        <f t="shared" si="292"/>
        <v>0</v>
      </c>
      <c r="AK186" s="716" t="str">
        <f t="shared" si="293"/>
        <v/>
      </c>
      <c r="AL186" s="716" t="str">
        <f t="shared" si="294"/>
        <v/>
      </c>
      <c r="AM186" s="716">
        <f t="shared" si="295"/>
        <v>0</v>
      </c>
      <c r="AN186" s="716">
        <f t="shared" si="296"/>
        <v>0</v>
      </c>
      <c r="AO186" s="380"/>
      <c r="AP186" s="322" t="str">
        <f t="shared" si="233"/>
        <v/>
      </c>
      <c r="AQ186" s="323">
        <f>IF(AC186=$V$3,IF(VLOOKUP(C186,[1]List1!$A:$E,5,FALSE)=0,1,VLOOKUP(C186,[1]List1!$A:$E,5,FALSE)),"")</f>
        <v>4</v>
      </c>
      <c r="AR186" s="304" t="str">
        <f t="shared" si="234"/>
        <v/>
      </c>
      <c r="AS186" s="423" t="str">
        <f t="shared" si="235"/>
        <v/>
      </c>
      <c r="AT186" s="304" t="str">
        <f t="shared" si="236"/>
        <v/>
      </c>
      <c r="AU186" s="342" t="e">
        <f t="shared" si="237"/>
        <v>#N/A</v>
      </c>
      <c r="AV186" s="304" t="e">
        <f t="shared" si="238"/>
        <v>#N/A</v>
      </c>
      <c r="AX186" s="304">
        <f>IF(AND('General price list'!$J186="F4",'General price list'!$AB186+0&gt;0),1,0)</f>
        <v>0</v>
      </c>
      <c r="AY186" s="304">
        <f t="shared" si="239"/>
        <v>1</v>
      </c>
      <c r="AZ186" s="304">
        <f t="shared" si="240"/>
        <v>0</v>
      </c>
    </row>
    <row r="187" spans="1:52" ht="15" customHeight="1">
      <c r="A187" s="725" t="str">
        <f>Kat.!C187</f>
        <v/>
      </c>
      <c r="B187" s="749">
        <f>IF(AND('General price list'!$J187="F4",$AI$1=FALSE),0,IF(AC187="SKLADEM",1,IF(AC187=$V$3,1,0)))</f>
        <v>1</v>
      </c>
      <c r="C187" s="727" t="s">
        <v>464</v>
      </c>
      <c r="D187" s="728" t="s">
        <v>12011</v>
      </c>
      <c r="E187" s="729" t="s">
        <v>456</v>
      </c>
      <c r="F187" s="725">
        <f>IFERROR(ROUND(IF($AL$3=2,VLOOKUP(C187,[2]List1!$A:$D,2,FALSE)*1.08,VLOOKUP(C187,[2]List1!$A:$D,2,FALSE)),0),"NEUVEDENO!")</f>
        <v>329</v>
      </c>
      <c r="G187" s="730">
        <f t="shared" si="283"/>
        <v>329</v>
      </c>
      <c r="H187" s="731">
        <f t="shared" si="284"/>
        <v>13.369146934645597</v>
      </c>
      <c r="I187" s="750">
        <v>15</v>
      </c>
      <c r="J187" s="729" t="s">
        <v>137</v>
      </c>
      <c r="K187" s="729" t="s">
        <v>14734</v>
      </c>
      <c r="L187" s="729" t="s">
        <v>24</v>
      </c>
      <c r="M187" s="729" t="s">
        <v>25</v>
      </c>
      <c r="N187" s="729">
        <f>IFERROR(VLOOKUP(C187,[3]List1!$A:$D,4,FALSE),"N/A!")</f>
        <v>6.3425999999999996E-2</v>
      </c>
      <c r="O187" s="729">
        <f>IFERROR(VLOOKUP(C187,[3]List1!$A:$D,3,FALSE),"N/A!")</f>
        <v>10500</v>
      </c>
      <c r="P187" s="729">
        <f>IFERROR(VLOOKUP(C187,[3]List1!$A:$D,2,FALSE),"N/A!")</f>
        <v>18000</v>
      </c>
      <c r="Q187" s="729" t="s">
        <v>14108</v>
      </c>
      <c r="R187" s="729" t="s">
        <v>24</v>
      </c>
      <c r="S187" s="729"/>
      <c r="T187" s="729">
        <v>60</v>
      </c>
      <c r="U187" s="729">
        <v>5</v>
      </c>
      <c r="V187" s="729">
        <v>1.5</v>
      </c>
      <c r="W187" s="729" t="str">
        <f>IFERROR(VLOOKUP('General price list'!$C187,Popisy!A:P,MATCH($W$17,Popisy!$A$7:$P$7,0),FALSE),"---------------")</f>
        <v xml:space="preserve">stříbrné hvězdy, 5m výška efektu, </v>
      </c>
      <c r="X187" s="729" t="str">
        <f t="shared" si="285"/>
        <v/>
      </c>
      <c r="Y187" s="729" t="str">
        <f t="shared" si="286"/>
        <v/>
      </c>
      <c r="Z187" s="729" t="str">
        <f>HYPERLINK("https://www.klasekpyrotechnics.cz/f500ss")</f>
        <v>https://www.klasekpyrotechnics.cz/f500ss</v>
      </c>
      <c r="AA187" s="729">
        <f>IFERROR(IF(VLOOKUP(C187,[4]List1!$A:$D,4,FALSE)=0,"",VLOOKUP(C187,[4]List1!$A:$D,4,FALSE)),"")</f>
        <v>15</v>
      </c>
      <c r="AB187" s="720"/>
      <c r="AC187" s="751" t="str">
        <f>IFERROR(IF(VLOOKUP(C187,[1]List1!$A:$D,2,FALSE)="VYPRODÁNO",$V$9,IF(VLOOKUP(C187,[1]List1!$A:$D,2,FALSE)="DOCHÁZÍ",$V$3,VLOOKUP(C187,[1]List1!$A:$D,2,FALSE))),"OFFLINE!")</f>
        <v>SKLADEM</v>
      </c>
      <c r="AD187" s="752" t="str">
        <f ca="1">IF(AP187="NE",$V$10,IF(AC187=$V$3,IF(AQ187&lt;1,$V$8,$V$2&amp;" "&amp;AQ187&amp;" "&amp;$V$1),IF(AC187="SKLADEM",$V$6,IFERROR(IF(OR(AC187-TODAY()&gt;45,VLOOKUP(C187,[1]List1!$A:$E,4,FALSE)=0),AC187,DAY(AC187)&amp;"."&amp;MONTH(AC187)&amp;"."&amp;YEAR(AC187)&amp;" "&amp;$V$4&amp;VLOOKUP(C187,[1]List1!$A:$E,4,FALSE)&amp;" "&amp;$V$1),AC187))))</f>
        <v>SKLADEM</v>
      </c>
      <c r="AE187" s="729" t="str">
        <f t="shared" ca="1" si="287"/>
        <v>SKLADEM</v>
      </c>
      <c r="AF187" s="735">
        <f t="shared" si="288"/>
        <v>0</v>
      </c>
      <c r="AG187" s="735">
        <f t="shared" si="289"/>
        <v>0</v>
      </c>
      <c r="AH187" s="736">
        <f t="shared" si="290"/>
        <v>0</v>
      </c>
      <c r="AI187" s="729">
        <f t="shared" si="291"/>
        <v>0</v>
      </c>
      <c r="AJ187" s="729">
        <f t="shared" si="292"/>
        <v>0</v>
      </c>
      <c r="AK187" s="729" t="str">
        <f t="shared" si="293"/>
        <v/>
      </c>
      <c r="AL187" s="729" t="str">
        <f t="shared" si="294"/>
        <v/>
      </c>
      <c r="AM187" s="729">
        <f t="shared" si="295"/>
        <v>0</v>
      </c>
      <c r="AN187" s="729">
        <f t="shared" si="296"/>
        <v>0</v>
      </c>
      <c r="AO187" s="380"/>
      <c r="AP187" s="322" t="str">
        <f t="shared" si="233"/>
        <v/>
      </c>
      <c r="AQ187" s="323" t="str">
        <f>IF(AC187=$V$3,IF(VLOOKUP(C187,[1]List1!$A:$E,5,FALSE)=0,1,VLOOKUP(C187,[1]List1!$A:$E,5,FALSE)),"")</f>
        <v/>
      </c>
      <c r="AR187" s="304" t="str">
        <f t="shared" si="234"/>
        <v/>
      </c>
      <c r="AS187" s="423" t="str">
        <f t="shared" si="235"/>
        <v/>
      </c>
      <c r="AT187" s="304" t="str">
        <f t="shared" si="236"/>
        <v/>
      </c>
      <c r="AU187" s="342" t="e">
        <f t="shared" si="237"/>
        <v>#N/A</v>
      </c>
      <c r="AV187" s="304" t="e">
        <f t="shared" si="238"/>
        <v>#N/A</v>
      </c>
      <c r="AX187" s="304">
        <f>IF(AND('General price list'!$J187="F4",'General price list'!$AB187+0&gt;0),1,0)</f>
        <v>0</v>
      </c>
      <c r="AY187" s="304">
        <f t="shared" si="239"/>
        <v>1</v>
      </c>
      <c r="AZ187" s="304">
        <f t="shared" si="240"/>
        <v>0</v>
      </c>
    </row>
    <row r="188" spans="1:52" ht="15" customHeight="1">
      <c r="A188" s="712" t="str">
        <f>Kat.!C188</f>
        <v/>
      </c>
      <c r="B188" s="745">
        <f>IF(AND('General price list'!$J188="F4",$AI$1=FALSE),0,IF(AC188="SKLADEM",1,IF(AC188=$V$3,1,0)))</f>
        <v>1</v>
      </c>
      <c r="C188" s="714" t="s">
        <v>468</v>
      </c>
      <c r="D188" s="715" t="s">
        <v>12012</v>
      </c>
      <c r="E188" s="716" t="s">
        <v>456</v>
      </c>
      <c r="F188" s="712">
        <f>IFERROR(ROUND(IF($AL$3=2,VLOOKUP(C188,[2]List1!$A:$D,2,FALSE)*1.08,VLOOKUP(C188,[2]List1!$A:$D,2,FALSE)),0),"NEUVEDENO!")</f>
        <v>329</v>
      </c>
      <c r="G188" s="717">
        <f t="shared" si="283"/>
        <v>329</v>
      </c>
      <c r="H188" s="718">
        <f t="shared" si="284"/>
        <v>13.369146934645597</v>
      </c>
      <c r="I188" s="746">
        <v>15</v>
      </c>
      <c r="J188" s="716" t="s">
        <v>137</v>
      </c>
      <c r="K188" s="716" t="s">
        <v>14734</v>
      </c>
      <c r="L188" s="716" t="s">
        <v>24</v>
      </c>
      <c r="M188" s="716" t="s">
        <v>25</v>
      </c>
      <c r="N188" s="716">
        <f>IFERROR(VLOOKUP(C188,[3]List1!$A:$D,4,FALSE),"N/A!")</f>
        <v>6.3425999999999996E-2</v>
      </c>
      <c r="O188" s="716">
        <f>IFERROR(VLOOKUP(C188,[3]List1!$A:$D,3,FALSE),"N/A!")</f>
        <v>10500</v>
      </c>
      <c r="P188" s="716">
        <f>IFERROR(VLOOKUP(C188,[3]List1!$A:$D,2,FALSE),"N/A!")</f>
        <v>17000</v>
      </c>
      <c r="Q188" s="716" t="s">
        <v>14109</v>
      </c>
      <c r="R188" s="716" t="s">
        <v>24</v>
      </c>
      <c r="S188" s="716"/>
      <c r="T188" s="716">
        <v>60</v>
      </c>
      <c r="U188" s="716">
        <v>5</v>
      </c>
      <c r="V188" s="716">
        <v>1.5</v>
      </c>
      <c r="W188" s="716" t="str">
        <f>IFERROR(VLOOKUP('General price list'!$C188,Popisy!A:P,MATCH($W$17,Popisy!$A$7:$P$7,0),FALSE),"---------------")</f>
        <v xml:space="preserve">barevné hvězdy, 5m výška efektu, </v>
      </c>
      <c r="X188" s="716" t="str">
        <f t="shared" si="285"/>
        <v/>
      </c>
      <c r="Y188" s="716" t="str">
        <f t="shared" si="286"/>
        <v/>
      </c>
      <c r="Z188" s="716" t="str">
        <f>HYPERLINK("https://www.klasekpyrotechnics.cz/f500c")</f>
        <v>https://www.klasekpyrotechnics.cz/f500c</v>
      </c>
      <c r="AA188" s="716">
        <f>IFERROR(IF(VLOOKUP(C188,[4]List1!$A:$D,4,FALSE)=0,"",VLOOKUP(C188,[4]List1!$A:$D,4,FALSE)),"")</f>
        <v>15</v>
      </c>
      <c r="AB188" s="720"/>
      <c r="AC188" s="747" t="str">
        <f>IFERROR(IF(VLOOKUP(C188,[1]List1!$A:$D,2,FALSE)="VYPRODÁNO",$V$9,IF(VLOOKUP(C188,[1]List1!$A:$D,2,FALSE)="DOCHÁZÍ",$V$3,VLOOKUP(C188,[1]List1!$A:$D,2,FALSE))),"OFFLINE!")</f>
        <v>SKLADEM</v>
      </c>
      <c r="AD188" s="748" t="str">
        <f ca="1">IF(AP188="NE",$V$10,IF(AC188=$V$3,IF(AQ188&lt;1,$V$8,$V$2&amp;" "&amp;AQ188&amp;" "&amp;$V$1),IF(AC188="SKLADEM",$V$6,IFERROR(IF(OR(AC188-TODAY()&gt;45,VLOOKUP(C188,[1]List1!$A:$E,4,FALSE)=0),AC188,DAY(AC188)&amp;"."&amp;MONTH(AC188)&amp;"."&amp;YEAR(AC188)&amp;" "&amp;$V$4&amp;VLOOKUP(C188,[1]List1!$A:$E,4,FALSE)&amp;" "&amp;$V$1),AC188))))</f>
        <v>SKLADEM</v>
      </c>
      <c r="AE188" s="716" t="str">
        <f t="shared" ca="1" si="287"/>
        <v>SKLADEM</v>
      </c>
      <c r="AF188" s="723">
        <f t="shared" si="288"/>
        <v>0</v>
      </c>
      <c r="AG188" s="723">
        <f t="shared" si="289"/>
        <v>0</v>
      </c>
      <c r="AH188" s="724">
        <f t="shared" si="290"/>
        <v>0</v>
      </c>
      <c r="AI188" s="716">
        <f t="shared" si="291"/>
        <v>0</v>
      </c>
      <c r="AJ188" s="716">
        <f t="shared" si="292"/>
        <v>0</v>
      </c>
      <c r="AK188" s="716" t="str">
        <f t="shared" si="293"/>
        <v/>
      </c>
      <c r="AL188" s="716" t="str">
        <f t="shared" si="294"/>
        <v/>
      </c>
      <c r="AM188" s="716">
        <f t="shared" si="295"/>
        <v>0</v>
      </c>
      <c r="AN188" s="716">
        <f t="shared" si="296"/>
        <v>0</v>
      </c>
      <c r="AO188" s="380"/>
      <c r="AP188" s="322" t="str">
        <f t="shared" si="233"/>
        <v/>
      </c>
      <c r="AQ188" s="323" t="str">
        <f>IF(AC188=$V$3,IF(VLOOKUP(C188,[1]List1!$A:$E,5,FALSE)=0,1,VLOOKUP(C188,[1]List1!$A:$E,5,FALSE)),"")</f>
        <v/>
      </c>
      <c r="AR188" s="304" t="str">
        <f t="shared" si="234"/>
        <v/>
      </c>
      <c r="AS188" s="423" t="str">
        <f t="shared" si="235"/>
        <v/>
      </c>
      <c r="AT188" s="304" t="str">
        <f t="shared" si="236"/>
        <v/>
      </c>
      <c r="AU188" s="342" t="e">
        <f t="shared" si="237"/>
        <v>#N/A</v>
      </c>
      <c r="AV188" s="304" t="e">
        <f t="shared" si="238"/>
        <v>#N/A</v>
      </c>
      <c r="AX188" s="304">
        <f>IF(AND('General price list'!$J188="F4",'General price list'!$AB188+0&gt;0),1,0)</f>
        <v>0</v>
      </c>
      <c r="AY188" s="304">
        <f t="shared" si="239"/>
        <v>1</v>
      </c>
      <c r="AZ188" s="304">
        <f t="shared" si="240"/>
        <v>0</v>
      </c>
    </row>
    <row r="189" spans="1:52" ht="15" customHeight="1">
      <c r="A189" s="725" t="str">
        <f>Kat.!C189</f>
        <v/>
      </c>
      <c r="B189" s="749">
        <f>IF(AND('General price list'!$J189="F4",$AI$1=FALSE),0,IF(AC189="SKLADEM",1,IF(AC189=$V$3,1,0)))</f>
        <v>1</v>
      </c>
      <c r="C189" s="727" t="s">
        <v>472</v>
      </c>
      <c r="D189" s="728" t="s">
        <v>12013</v>
      </c>
      <c r="E189" s="729" t="s">
        <v>411</v>
      </c>
      <c r="F189" s="725">
        <f>IFERROR(ROUND(IF($AL$3=2,VLOOKUP(C189,[2]List1!$A:$D,2,FALSE)*1.08,VLOOKUP(C189,[2]List1!$A:$D,2,FALSE)),0),"NEUVEDENO!")</f>
        <v>309</v>
      </c>
      <c r="G189" s="730">
        <f t="shared" si="283"/>
        <v>309</v>
      </c>
      <c r="H189" s="731">
        <f t="shared" si="284"/>
        <v>12.556432835275043</v>
      </c>
      <c r="I189" s="750">
        <v>12</v>
      </c>
      <c r="J189" s="729" t="s">
        <v>137</v>
      </c>
      <c r="K189" s="729" t="s">
        <v>14734</v>
      </c>
      <c r="L189" s="729" t="s">
        <v>24</v>
      </c>
      <c r="M189" s="729" t="s">
        <v>25</v>
      </c>
      <c r="N189" s="729">
        <f>IFERROR(VLOOKUP(C189,[3]List1!$A:$D,4,FALSE),"N/A!")</f>
        <v>4.5239999999999995E-2</v>
      </c>
      <c r="O189" s="729">
        <f>IFERROR(VLOOKUP(C189,[3]List1!$A:$D,3,FALSE),"N/A!")</f>
        <v>7200</v>
      </c>
      <c r="P189" s="729">
        <f>IFERROR(VLOOKUP(C189,[3]List1!$A:$D,2,FALSE),"N/A!")</f>
        <v>15200</v>
      </c>
      <c r="Q189" s="729" t="s">
        <v>1110</v>
      </c>
      <c r="R189" s="729" t="s">
        <v>24</v>
      </c>
      <c r="S189" s="729"/>
      <c r="T189" s="729">
        <v>70</v>
      </c>
      <c r="U189" s="729">
        <v>6</v>
      </c>
      <c r="V189" s="729">
        <v>1.5</v>
      </c>
      <c r="W189" s="729" t="str">
        <f>IFERROR(VLOOKUP('General price list'!$C189,Popisy!A:P,MATCH($W$17,Popisy!$A$7:$P$7,0),FALSE),"---------------")</f>
        <v>stříbrné práskající hvězdy, 6m výška efektu</v>
      </c>
      <c r="X189" s="729" t="str">
        <f t="shared" si="285"/>
        <v/>
      </c>
      <c r="Y189" s="729" t="str">
        <f t="shared" si="286"/>
        <v/>
      </c>
      <c r="Z189" s="729" t="str">
        <f>HYPERLINK("https://www.klasekpyrotechnics.cz/f1000sc")</f>
        <v>https://www.klasekpyrotechnics.cz/f1000sc</v>
      </c>
      <c r="AA189" s="729">
        <f>IFERROR(IF(VLOOKUP(C189,[4]List1!$A:$D,4,FALSE)=0,"",VLOOKUP(C189,[4]List1!$A:$D,4,FALSE)),"")</f>
        <v>32</v>
      </c>
      <c r="AB189" s="720"/>
      <c r="AC189" s="751" t="str">
        <f>IFERROR(IF(VLOOKUP(C189,[1]List1!$A:$D,2,FALSE)="VYPRODÁNO",$V$9,IF(VLOOKUP(C189,[1]List1!$A:$D,2,FALSE)="DOCHÁZÍ",$V$3,VLOOKUP(C189,[1]List1!$A:$D,2,FALSE))),"OFFLINE!")</f>
        <v>SKLADEM</v>
      </c>
      <c r="AD189" s="752" t="str">
        <f ca="1">IF(AP189="NE",$V$10,IF(AC189=$V$3,IF(AQ189&lt;1,$V$8,$V$2&amp;" "&amp;AQ189&amp;" "&amp;$V$1),IF(AC189="SKLADEM",$V$6,IFERROR(IF(OR(AC189-TODAY()&gt;45,VLOOKUP(C189,[1]List1!$A:$E,4,FALSE)=0),AC189,DAY(AC189)&amp;"."&amp;MONTH(AC189)&amp;"."&amp;YEAR(AC189)&amp;" "&amp;$V$4&amp;VLOOKUP(C189,[1]List1!$A:$E,4,FALSE)&amp;" "&amp;$V$1),AC189))))</f>
        <v>SKLADEM</v>
      </c>
      <c r="AE189" s="729" t="str">
        <f t="shared" ca="1" si="287"/>
        <v>SKLADEM</v>
      </c>
      <c r="AF189" s="735">
        <f t="shared" si="288"/>
        <v>0</v>
      </c>
      <c r="AG189" s="735">
        <f t="shared" si="289"/>
        <v>0</v>
      </c>
      <c r="AH189" s="736">
        <f t="shared" si="290"/>
        <v>0</v>
      </c>
      <c r="AI189" s="729">
        <f t="shared" si="291"/>
        <v>0</v>
      </c>
      <c r="AJ189" s="729">
        <f t="shared" si="292"/>
        <v>0</v>
      </c>
      <c r="AK189" s="729" t="str">
        <f t="shared" si="293"/>
        <v/>
      </c>
      <c r="AL189" s="729" t="str">
        <f t="shared" si="294"/>
        <v/>
      </c>
      <c r="AM189" s="729">
        <f t="shared" si="295"/>
        <v>0</v>
      </c>
      <c r="AN189" s="729">
        <f t="shared" si="296"/>
        <v>0</v>
      </c>
      <c r="AO189" s="380"/>
      <c r="AP189" s="322" t="str">
        <f t="shared" si="233"/>
        <v/>
      </c>
      <c r="AQ189" s="323" t="str">
        <f>IF(AC189=$V$3,IF(VLOOKUP(C189,[1]List1!$A:$E,5,FALSE)=0,1,VLOOKUP(C189,[1]List1!$A:$E,5,FALSE)),"")</f>
        <v/>
      </c>
      <c r="AR189" s="304" t="str">
        <f t="shared" si="234"/>
        <v/>
      </c>
      <c r="AS189" s="423" t="str">
        <f t="shared" si="235"/>
        <v/>
      </c>
      <c r="AT189" s="304" t="str">
        <f t="shared" si="236"/>
        <v/>
      </c>
      <c r="AU189" s="342" t="e">
        <f t="shared" si="237"/>
        <v>#N/A</v>
      </c>
      <c r="AV189" s="304" t="e">
        <f t="shared" si="238"/>
        <v>#N/A</v>
      </c>
      <c r="AX189" s="304">
        <f>IF(AND('General price list'!$J189="F4",'General price list'!$AB189+0&gt;0),1,0)</f>
        <v>0</v>
      </c>
      <c r="AY189" s="304">
        <f t="shared" si="239"/>
        <v>1</v>
      </c>
      <c r="AZ189" s="304">
        <f t="shared" si="240"/>
        <v>0</v>
      </c>
    </row>
    <row r="190" spans="1:52" ht="15" customHeight="1">
      <c r="A190" s="712" t="str">
        <f>Kat.!C190</f>
        <v/>
      </c>
      <c r="B190" s="745">
        <f>IF(AND('General price list'!$J190="F4",$AI$1=FALSE),0,IF(AC190="SKLADEM",1,IF(AC190=$V$3,1,0)))</f>
        <v>1</v>
      </c>
      <c r="C190" s="714" t="s">
        <v>476</v>
      </c>
      <c r="D190" s="715" t="s">
        <v>12014</v>
      </c>
      <c r="E190" s="716" t="s">
        <v>411</v>
      </c>
      <c r="F190" s="712">
        <f>IFERROR(ROUND(IF($AL$3=2,VLOOKUP(C190,[2]List1!$A:$D,2,FALSE)*1.08,VLOOKUP(C190,[2]List1!$A:$D,2,FALSE)),0),"NEUVEDENO!")</f>
        <v>309</v>
      </c>
      <c r="G190" s="717">
        <f t="shared" si="283"/>
        <v>309</v>
      </c>
      <c r="H190" s="718">
        <f t="shared" si="284"/>
        <v>12.556432835275043</v>
      </c>
      <c r="I190" s="746">
        <v>12</v>
      </c>
      <c r="J190" s="716" t="s">
        <v>137</v>
      </c>
      <c r="K190" s="716" t="s">
        <v>14734</v>
      </c>
      <c r="L190" s="716" t="s">
        <v>24</v>
      </c>
      <c r="M190" s="716" t="s">
        <v>25</v>
      </c>
      <c r="N190" s="716">
        <f>IFERROR(VLOOKUP(C190,[3]List1!$A:$D,4,FALSE),"N/A!")</f>
        <v>4.5239999999999995E-2</v>
      </c>
      <c r="O190" s="716">
        <f>IFERROR(VLOOKUP(C190,[3]List1!$A:$D,3,FALSE),"N/A!")</f>
        <v>7200</v>
      </c>
      <c r="P190" s="716">
        <f>IFERROR(VLOOKUP(C190,[3]List1!$A:$D,2,FALSE),"N/A!")</f>
        <v>16800</v>
      </c>
      <c r="Q190" s="716" t="s">
        <v>1110</v>
      </c>
      <c r="R190" s="716" t="s">
        <v>24</v>
      </c>
      <c r="S190" s="716"/>
      <c r="T190" s="716">
        <v>70</v>
      </c>
      <c r="U190" s="716">
        <v>6</v>
      </c>
      <c r="V190" s="716">
        <v>1.5</v>
      </c>
      <c r="W190" s="716" t="str">
        <f>IFERROR(VLOOKUP('General price list'!$C190,Popisy!A:P,MATCH($W$17,Popisy!$A$7:$P$7,0),FALSE),"---------------")</f>
        <v xml:space="preserve">stříbrné hvězdy, 6m výška efektu, </v>
      </c>
      <c r="X190" s="716" t="str">
        <f t="shared" si="285"/>
        <v/>
      </c>
      <c r="Y190" s="716" t="str">
        <f t="shared" si="286"/>
        <v/>
      </c>
      <c r="Z190" s="716" t="str">
        <f>HYPERLINK("https://www.klasekpyrotechnics.cz/f1000ss")</f>
        <v>https://www.klasekpyrotechnics.cz/f1000ss</v>
      </c>
      <c r="AA190" s="716">
        <f>IFERROR(IF(VLOOKUP(C190,[4]List1!$A:$D,4,FALSE)=0,"",VLOOKUP(C190,[4]List1!$A:$D,4,FALSE)),"")</f>
        <v>32</v>
      </c>
      <c r="AB190" s="720"/>
      <c r="AC190" s="747" t="str">
        <f>IFERROR(IF(VLOOKUP(C190,[1]List1!$A:$D,2,FALSE)="VYPRODÁNO",$V$9,IF(VLOOKUP(C190,[1]List1!$A:$D,2,FALSE)="DOCHÁZÍ",$V$3,VLOOKUP(C190,[1]List1!$A:$D,2,FALSE))),"OFFLINE!")</f>
        <v>SKLADEM</v>
      </c>
      <c r="AD190" s="748" t="str">
        <f ca="1">IF(AP190="NE",$V$10,IF(AC190=$V$3,IF(AQ190&lt;1,$V$8,$V$2&amp;" "&amp;AQ190&amp;" "&amp;$V$1),IF(AC190="SKLADEM",$V$6,IFERROR(IF(OR(AC190-TODAY()&gt;45,VLOOKUP(C190,[1]List1!$A:$E,4,FALSE)=0),AC190,DAY(AC190)&amp;"."&amp;MONTH(AC190)&amp;"."&amp;YEAR(AC190)&amp;" "&amp;$V$4&amp;VLOOKUP(C190,[1]List1!$A:$E,4,FALSE)&amp;" "&amp;$V$1),AC190))))</f>
        <v>SKLADEM</v>
      </c>
      <c r="AE190" s="716" t="str">
        <f t="shared" ca="1" si="287"/>
        <v>SKLADEM</v>
      </c>
      <c r="AF190" s="723">
        <f t="shared" si="288"/>
        <v>0</v>
      </c>
      <c r="AG190" s="723">
        <f t="shared" si="289"/>
        <v>0</v>
      </c>
      <c r="AH190" s="724">
        <f t="shared" si="290"/>
        <v>0</v>
      </c>
      <c r="AI190" s="716">
        <f t="shared" si="291"/>
        <v>0</v>
      </c>
      <c r="AJ190" s="716">
        <f t="shared" si="292"/>
        <v>0</v>
      </c>
      <c r="AK190" s="716" t="str">
        <f t="shared" si="293"/>
        <v/>
      </c>
      <c r="AL190" s="716" t="str">
        <f t="shared" si="294"/>
        <v/>
      </c>
      <c r="AM190" s="716">
        <f t="shared" si="295"/>
        <v>0</v>
      </c>
      <c r="AN190" s="716">
        <f t="shared" si="296"/>
        <v>0</v>
      </c>
      <c r="AO190" s="380"/>
      <c r="AP190" s="322" t="str">
        <f t="shared" si="233"/>
        <v/>
      </c>
      <c r="AQ190" s="323" t="str">
        <f>IF(AC190=$V$3,IF(VLOOKUP(C190,[1]List1!$A:$E,5,FALSE)=0,1,VLOOKUP(C190,[1]List1!$A:$E,5,FALSE)),"")</f>
        <v/>
      </c>
      <c r="AR190" s="304" t="str">
        <f t="shared" si="234"/>
        <v/>
      </c>
      <c r="AS190" s="423" t="str">
        <f t="shared" si="235"/>
        <v/>
      </c>
      <c r="AT190" s="304" t="str">
        <f t="shared" si="236"/>
        <v/>
      </c>
      <c r="AU190" s="342" t="e">
        <f t="shared" si="237"/>
        <v>#N/A</v>
      </c>
      <c r="AV190" s="304" t="e">
        <f t="shared" si="238"/>
        <v>#N/A</v>
      </c>
      <c r="AX190" s="304">
        <f>IF(AND('General price list'!$J190="F4",'General price list'!$AB190+0&gt;0),1,0)</f>
        <v>0</v>
      </c>
      <c r="AY190" s="304">
        <f t="shared" si="239"/>
        <v>1</v>
      </c>
      <c r="AZ190" s="304">
        <f t="shared" si="240"/>
        <v>0</v>
      </c>
    </row>
    <row r="191" spans="1:52" ht="15" customHeight="1">
      <c r="A191" s="725" t="str">
        <f>Kat.!C191</f>
        <v/>
      </c>
      <c r="B191" s="749">
        <f>IF(AND('General price list'!$J191="F4",$AI$1=FALSE),0,IF(AC191="SKLADEM",1,IF(AC191=$V$3,1,0)))</f>
        <v>1</v>
      </c>
      <c r="C191" s="727" t="s">
        <v>484</v>
      </c>
      <c r="D191" s="728" t="s">
        <v>12015</v>
      </c>
      <c r="E191" s="729" t="s">
        <v>411</v>
      </c>
      <c r="F191" s="725">
        <f>IFERROR(ROUND(IF($AL$3=2,VLOOKUP(C191,[2]List1!$A:$D,2,FALSE)*1.08,VLOOKUP(C191,[2]List1!$A:$D,2,FALSE)),0),"NEUVEDENO!")</f>
        <v>349</v>
      </c>
      <c r="G191" s="730">
        <f t="shared" si="283"/>
        <v>349</v>
      </c>
      <c r="H191" s="731">
        <f t="shared" si="284"/>
        <v>14.18186103401615</v>
      </c>
      <c r="I191" s="750">
        <v>12</v>
      </c>
      <c r="J191" s="729" t="s">
        <v>137</v>
      </c>
      <c r="K191" s="729" t="s">
        <v>14734</v>
      </c>
      <c r="L191" s="729" t="s">
        <v>24</v>
      </c>
      <c r="M191" s="729" t="s">
        <v>25</v>
      </c>
      <c r="N191" s="729">
        <f>IFERROR(VLOOKUP(C191,[3]List1!$A:$D,4,FALSE),"N/A!")</f>
        <v>7.5851999999999989E-2</v>
      </c>
      <c r="O191" s="729">
        <f>IFERROR(VLOOKUP(C191,[3]List1!$A:$D,3,FALSE),"N/A!")</f>
        <v>9600</v>
      </c>
      <c r="P191" s="729">
        <f>IFERROR(VLOOKUP(C191,[3]List1!$A:$D,2,FALSE),"N/A!")</f>
        <v>18000</v>
      </c>
      <c r="Q191" s="729" t="s">
        <v>14110</v>
      </c>
      <c r="R191" s="729" t="s">
        <v>24</v>
      </c>
      <c r="S191" s="729"/>
      <c r="T191" s="729">
        <v>80</v>
      </c>
      <c r="U191" s="729">
        <v>7</v>
      </c>
      <c r="V191" s="729">
        <v>1.5</v>
      </c>
      <c r="W191" s="729" t="str">
        <f>IFERROR(VLOOKUP('General price list'!$C191,Popisy!A:P,MATCH($W$17,Popisy!$A$7:$P$7,0),FALSE),"---------------")</f>
        <v xml:space="preserve">stříbrné hvězdy, 7m výška efektu, </v>
      </c>
      <c r="X191" s="729" t="str">
        <f t="shared" si="285"/>
        <v/>
      </c>
      <c r="Y191" s="729" t="str">
        <f t="shared" si="286"/>
        <v/>
      </c>
      <c r="Z191" s="729" t="str">
        <f>HYPERLINK("https://www.klasekpyrotechnics.cz/f1500ss")</f>
        <v>https://www.klasekpyrotechnics.cz/f1500ss</v>
      </c>
      <c r="AA191" s="729">
        <f>IFERROR(IF(VLOOKUP(C191,[4]List1!$A:$D,4,FALSE)=0,"",VLOOKUP(C191,[4]List1!$A:$D,4,FALSE)),"")</f>
        <v>20</v>
      </c>
      <c r="AB191" s="720"/>
      <c r="AC191" s="751" t="str">
        <f>IFERROR(IF(VLOOKUP(C191,[1]List1!$A:$D,2,FALSE)="VYPRODÁNO",$V$9,IF(VLOOKUP(C191,[1]List1!$A:$D,2,FALSE)="DOCHÁZÍ",$V$3,VLOOKUP(C191,[1]List1!$A:$D,2,FALSE))),"OFFLINE!")</f>
        <v>SKLADEM</v>
      </c>
      <c r="AD191" s="752" t="str">
        <f ca="1">IF(AP191="NE",$V$10,IF(AC191=$V$3,IF(AQ191&lt;1,$V$8,$V$2&amp;" "&amp;AQ191&amp;" "&amp;$V$1),IF(AC191="SKLADEM",$V$6,IFERROR(IF(OR(AC191-TODAY()&gt;45,VLOOKUP(C191,[1]List1!$A:$E,4,FALSE)=0),AC191,DAY(AC191)&amp;"."&amp;MONTH(AC191)&amp;"."&amp;YEAR(AC191)&amp;" "&amp;$V$4&amp;VLOOKUP(C191,[1]List1!$A:$E,4,FALSE)&amp;" "&amp;$V$1),AC191))))</f>
        <v>SKLADEM</v>
      </c>
      <c r="AE191" s="729" t="str">
        <f t="shared" ca="1" si="287"/>
        <v>SKLADEM</v>
      </c>
      <c r="AF191" s="735">
        <f t="shared" si="288"/>
        <v>0</v>
      </c>
      <c r="AG191" s="735">
        <f t="shared" si="289"/>
        <v>0</v>
      </c>
      <c r="AH191" s="736">
        <f t="shared" si="290"/>
        <v>0</v>
      </c>
      <c r="AI191" s="729">
        <f t="shared" si="291"/>
        <v>0</v>
      </c>
      <c r="AJ191" s="729">
        <f t="shared" si="292"/>
        <v>0</v>
      </c>
      <c r="AK191" s="729" t="str">
        <f t="shared" si="293"/>
        <v/>
      </c>
      <c r="AL191" s="729" t="str">
        <f t="shared" si="294"/>
        <v/>
      </c>
      <c r="AM191" s="729">
        <f t="shared" si="295"/>
        <v>0</v>
      </c>
      <c r="AN191" s="729">
        <f t="shared" si="296"/>
        <v>0</v>
      </c>
      <c r="AO191" s="380"/>
      <c r="AP191" s="322" t="str">
        <f t="shared" si="233"/>
        <v/>
      </c>
      <c r="AQ191" s="323" t="str">
        <f>IF(AC191=$V$3,IF(VLOOKUP(C191,[1]List1!$A:$E,5,FALSE)=0,1,VLOOKUP(C191,[1]List1!$A:$E,5,FALSE)),"")</f>
        <v/>
      </c>
      <c r="AR191" s="304" t="str">
        <f t="shared" si="234"/>
        <v/>
      </c>
      <c r="AS191" s="423" t="str">
        <f t="shared" si="235"/>
        <v/>
      </c>
      <c r="AT191" s="304" t="str">
        <f t="shared" si="236"/>
        <v/>
      </c>
      <c r="AU191" s="342" t="e">
        <f t="shared" si="237"/>
        <v>#N/A</v>
      </c>
      <c r="AV191" s="304" t="e">
        <f t="shared" si="238"/>
        <v>#N/A</v>
      </c>
      <c r="AX191" s="304">
        <f>IF(AND('General price list'!$J191="F4",'General price list'!$AB191+0&gt;0),1,0)</f>
        <v>0</v>
      </c>
      <c r="AY191" s="304">
        <f t="shared" si="239"/>
        <v>1</v>
      </c>
      <c r="AZ191" s="304">
        <f t="shared" si="240"/>
        <v>0</v>
      </c>
    </row>
    <row r="192" spans="1:52" ht="15" customHeight="1">
      <c r="A192" s="712" t="str">
        <f>Kat.!C192</f>
        <v/>
      </c>
      <c r="B192" s="745">
        <f>IF(AND('General price list'!$J192="F4",$AI$1=FALSE),0,IF(AC192="SKLADEM",1,IF(AC192=$V$3,1,0)))</f>
        <v>1</v>
      </c>
      <c r="C192" s="714" t="s">
        <v>487</v>
      </c>
      <c r="D192" s="715" t="s">
        <v>12016</v>
      </c>
      <c r="E192" s="716" t="s">
        <v>411</v>
      </c>
      <c r="F192" s="712">
        <f>IFERROR(ROUND(IF($AL$3=2,VLOOKUP(C192,[2]List1!$A:$D,2,FALSE)*1.08,VLOOKUP(C192,[2]List1!$A:$D,2,FALSE)),0),"NEUVEDENO!")</f>
        <v>349</v>
      </c>
      <c r="G192" s="717">
        <f t="shared" si="283"/>
        <v>349</v>
      </c>
      <c r="H192" s="718">
        <f t="shared" si="284"/>
        <v>14.18186103401615</v>
      </c>
      <c r="I192" s="746">
        <v>12</v>
      </c>
      <c r="J192" s="716" t="s">
        <v>137</v>
      </c>
      <c r="K192" s="716" t="s">
        <v>14734</v>
      </c>
      <c r="L192" s="716" t="s">
        <v>24</v>
      </c>
      <c r="M192" s="716" t="s">
        <v>25</v>
      </c>
      <c r="N192" s="716">
        <f>IFERROR(VLOOKUP(C192,[3]List1!$A:$D,4,FALSE),"N/A!")</f>
        <v>7.5851999999999989E-2</v>
      </c>
      <c r="O192" s="716">
        <f>IFERROR(VLOOKUP(C192,[3]List1!$A:$D,3,FALSE),"N/A!")</f>
        <v>9600</v>
      </c>
      <c r="P192" s="716">
        <f>IFERROR(VLOOKUP(C192,[3]List1!$A:$D,2,FALSE),"N/A!")</f>
        <v>19500</v>
      </c>
      <c r="Q192" s="716" t="s">
        <v>14110</v>
      </c>
      <c r="R192" s="716" t="s">
        <v>24</v>
      </c>
      <c r="S192" s="716"/>
      <c r="T192" s="716">
        <v>80</v>
      </c>
      <c r="U192" s="716">
        <v>7</v>
      </c>
      <c r="V192" s="716">
        <v>1.5</v>
      </c>
      <c r="W192" s="716" t="str">
        <f>IFERROR(VLOOKUP('General price list'!$C192,Popisy!A:P,MATCH($W$17,Popisy!$A$7:$P$7,0),FALSE),"---------------")</f>
        <v xml:space="preserve">barevné hvězdy, 7m výška efektu, </v>
      </c>
      <c r="X192" s="716" t="str">
        <f t="shared" si="285"/>
        <v/>
      </c>
      <c r="Y192" s="716" t="str">
        <f t="shared" si="286"/>
        <v/>
      </c>
      <c r="Z192" s="716" t="str">
        <f>HYPERLINK("https://www.klasekpyrotechnics.cz/f1500c")</f>
        <v>https://www.klasekpyrotechnics.cz/f1500c</v>
      </c>
      <c r="AA192" s="716">
        <f>IFERROR(IF(VLOOKUP(C192,[4]List1!$A:$D,4,FALSE)=0,"",VLOOKUP(C192,[4]List1!$A:$D,4,FALSE)),"")</f>
        <v>20</v>
      </c>
      <c r="AB192" s="720"/>
      <c r="AC192" s="747" t="str">
        <f>IFERROR(IF(VLOOKUP(C192,[1]List1!$A:$D,2,FALSE)="VYPRODÁNO",$V$9,IF(VLOOKUP(C192,[1]List1!$A:$D,2,FALSE)="DOCHÁZÍ",$V$3,VLOOKUP(C192,[1]List1!$A:$D,2,FALSE))),"OFFLINE!")</f>
        <v>SKLADEM</v>
      </c>
      <c r="AD192" s="748" t="str">
        <f ca="1">IF(AP192="NE",$V$10,IF(AC192=$V$3,IF(AQ192&lt;1,$V$8,$V$2&amp;" "&amp;AQ192&amp;" "&amp;$V$1),IF(AC192="SKLADEM",$V$6,IFERROR(IF(OR(AC192-TODAY()&gt;45,VLOOKUP(C192,[1]List1!$A:$E,4,FALSE)=0),AC192,DAY(AC192)&amp;"."&amp;MONTH(AC192)&amp;"."&amp;YEAR(AC192)&amp;" "&amp;$V$4&amp;VLOOKUP(C192,[1]List1!$A:$E,4,FALSE)&amp;" "&amp;$V$1),AC192))))</f>
        <v>SKLADEM</v>
      </c>
      <c r="AE192" s="716" t="str">
        <f t="shared" ca="1" si="287"/>
        <v>SKLADEM</v>
      </c>
      <c r="AF192" s="723">
        <f t="shared" si="288"/>
        <v>0</v>
      </c>
      <c r="AG192" s="723">
        <f t="shared" si="289"/>
        <v>0</v>
      </c>
      <c r="AH192" s="724">
        <f t="shared" si="290"/>
        <v>0</v>
      </c>
      <c r="AI192" s="716">
        <f t="shared" si="291"/>
        <v>0</v>
      </c>
      <c r="AJ192" s="716">
        <f t="shared" si="292"/>
        <v>0</v>
      </c>
      <c r="AK192" s="716" t="str">
        <f t="shared" si="293"/>
        <v/>
      </c>
      <c r="AL192" s="716" t="str">
        <f t="shared" si="294"/>
        <v/>
      </c>
      <c r="AM192" s="716">
        <f t="shared" si="295"/>
        <v>0</v>
      </c>
      <c r="AN192" s="716">
        <f t="shared" si="296"/>
        <v>0</v>
      </c>
      <c r="AO192" s="380"/>
      <c r="AP192" s="322" t="str">
        <f t="shared" si="233"/>
        <v/>
      </c>
      <c r="AQ192" s="323" t="str">
        <f>IF(AC192=$V$3,IF(VLOOKUP(C192,[1]List1!$A:$E,5,FALSE)=0,1,VLOOKUP(C192,[1]List1!$A:$E,5,FALSE)),"")</f>
        <v/>
      </c>
      <c r="AR192" s="304" t="str">
        <f t="shared" si="234"/>
        <v/>
      </c>
      <c r="AS192" s="423" t="str">
        <f t="shared" si="235"/>
        <v/>
      </c>
      <c r="AT192" s="304" t="str">
        <f t="shared" si="236"/>
        <v/>
      </c>
      <c r="AU192" s="342" t="e">
        <f t="shared" si="237"/>
        <v>#N/A</v>
      </c>
      <c r="AV192" s="304" t="e">
        <f t="shared" si="238"/>
        <v>#N/A</v>
      </c>
      <c r="AX192" s="304">
        <f>IF(AND('General price list'!$J192="F4",'General price list'!$AB192+0&gt;0),1,0)</f>
        <v>0</v>
      </c>
      <c r="AY192" s="304">
        <f t="shared" si="239"/>
        <v>1</v>
      </c>
      <c r="AZ192" s="304">
        <f t="shared" si="240"/>
        <v>0</v>
      </c>
    </row>
    <row r="193" spans="1:52" ht="15" customHeight="1">
      <c r="A193" s="773" t="str">
        <f>Kat.!C193</f>
        <v xml:space="preserve">                                                               Interiérové fontány</v>
      </c>
      <c r="B193" s="774"/>
      <c r="C193" s="774"/>
      <c r="D193" s="774"/>
      <c r="E193" s="774"/>
      <c r="F193" s="774"/>
      <c r="G193" s="774"/>
      <c r="H193" s="774"/>
      <c r="I193" s="774"/>
      <c r="J193" s="774"/>
      <c r="K193" s="774"/>
      <c r="L193" s="774"/>
      <c r="M193" s="774"/>
      <c r="N193" s="774"/>
      <c r="O193" s="774"/>
      <c r="P193" s="774"/>
      <c r="Q193" s="774"/>
      <c r="R193" s="774"/>
      <c r="S193" s="774"/>
      <c r="T193" s="774"/>
      <c r="U193" s="774"/>
      <c r="V193" s="774"/>
      <c r="W193" s="774"/>
      <c r="X193" s="774"/>
      <c r="Y193" s="774"/>
      <c r="Z193" s="774"/>
      <c r="AA193" s="774" t="str">
        <f>IFERROR(IF(VLOOKUP(C193,[4]List1!$A:$D,4,FALSE)=0,"",VLOOKUP(C193,[4]List1!$A:$D,4,FALSE)),"")</f>
        <v/>
      </c>
      <c r="AB193" s="774"/>
      <c r="AC193" s="775" t="str">
        <f>IFERROR(IF(VLOOKUP(C193,[1]List1!$A:$D,2,FALSE)="VYPRODÁNO",$V$9,IF(VLOOKUP(C193,[1]List1!$A:$D,2,FALSE)="DOCHÁZÍ",$V$3,VLOOKUP(C193,[1]List1!$A:$D,2,FALSE))),"OFFLINE!")</f>
        <v>OFFLINE!</v>
      </c>
      <c r="AD193" s="774"/>
      <c r="AE193" s="774"/>
      <c r="AF193" s="774"/>
      <c r="AG193" s="774"/>
      <c r="AH193" s="774"/>
      <c r="AI193" s="774"/>
      <c r="AJ193" s="774"/>
      <c r="AK193" s="774"/>
      <c r="AL193" s="774"/>
      <c r="AM193" s="774"/>
      <c r="AN193" s="774"/>
      <c r="AO193" s="380"/>
      <c r="AP193" s="322" t="str">
        <f t="shared" si="233"/>
        <v/>
      </c>
      <c r="AQ193" s="323" t="str">
        <f>IF(AC193=$V$3,IF(VLOOKUP(C193,[1]List1!$A:$E,5,FALSE)=0,1,VLOOKUP(C193,[1]List1!$A:$E,5,FALSE)),"")</f>
        <v/>
      </c>
      <c r="AR193" s="304" t="str">
        <f t="shared" si="234"/>
        <v/>
      </c>
      <c r="AS193" s="423" t="str">
        <f t="shared" si="235"/>
        <v/>
      </c>
      <c r="AT193" s="304" t="str">
        <f t="shared" si="236"/>
        <v/>
      </c>
      <c r="AU193" s="342" t="e">
        <f t="shared" si="237"/>
        <v>#N/A</v>
      </c>
      <c r="AV193" s="304" t="e">
        <f t="shared" si="238"/>
        <v>#N/A</v>
      </c>
      <c r="AX193" s="304">
        <f>IF(AND('General price list'!$J193="F4",'General price list'!$AB193+0&gt;0),1,0)</f>
        <v>0</v>
      </c>
      <c r="AY193" s="304">
        <f t="shared" si="239"/>
        <v>0</v>
      </c>
      <c r="AZ193" s="304">
        <f t="shared" si="240"/>
        <v>0</v>
      </c>
    </row>
    <row r="194" spans="1:52" ht="15" customHeight="1">
      <c r="A194" s="712" t="str">
        <f>Kat.!C194</f>
        <v>×</v>
      </c>
      <c r="B194" s="713">
        <f>IF(AND('General price list'!$J194="F4",$AI$1=FALSE),0,IF(AC194="SKLADEM",1,IF(AC194=$V$3,1,0)))</f>
        <v>1</v>
      </c>
      <c r="C194" s="714" t="s">
        <v>491</v>
      </c>
      <c r="D194" s="715" t="s">
        <v>492</v>
      </c>
      <c r="E194" s="716" t="s">
        <v>493</v>
      </c>
      <c r="F194" s="712">
        <f>IFERROR(ROUND(IF($AL$3=2,VLOOKUP(C194,[2]List1!$A:$D,2,FALSE)*1.08,VLOOKUP(C194,[2]List1!$A:$D,2,FALSE)),0),"NEUVEDENO!")</f>
        <v>60</v>
      </c>
      <c r="G194" s="717">
        <f t="shared" ref="G194:G198" si="297">(F194)*$B$19</f>
        <v>60</v>
      </c>
      <c r="H194" s="718">
        <f t="shared" ref="H194:H198" si="298">G194/$F$19</f>
        <v>2.4381422981116589</v>
      </c>
      <c r="I194" s="719">
        <v>48</v>
      </c>
      <c r="J194" s="716" t="s">
        <v>23</v>
      </c>
      <c r="K194" s="716" t="s">
        <v>12771</v>
      </c>
      <c r="L194" s="716" t="s">
        <v>24</v>
      </c>
      <c r="M194" s="716" t="s">
        <v>25</v>
      </c>
      <c r="N194" s="716">
        <f>IFERROR(VLOOKUP(C194,[3]List1!$A:$D,4,FALSE),"N/A!")</f>
        <v>5.6160000000000009E-2</v>
      </c>
      <c r="O194" s="716">
        <f>IFERROR(VLOOKUP(C194,[3]List1!$A:$D,3,FALSE),"N/A!")</f>
        <v>48</v>
      </c>
      <c r="P194" s="716">
        <f>IFERROR(VLOOKUP(C194,[3]List1!$A:$D,2,FALSE),"N/A!")</f>
        <v>4700</v>
      </c>
      <c r="Q194" s="716" t="s">
        <v>14111</v>
      </c>
      <c r="R194" s="716" t="s">
        <v>24</v>
      </c>
      <c r="S194" s="716"/>
      <c r="T194" s="716">
        <v>210</v>
      </c>
      <c r="U194" s="716"/>
      <c r="V194" s="716"/>
      <c r="W194" s="716" t="str">
        <f>IFERROR(VLOOKUP('General price list'!$C194,Popisy!A:P,MATCH($W$17,Popisy!$A$7:$P$7,0),FALSE),"---------------")</f>
        <v>interierová fontána, hořící a točící se svíčky+současně hraje písničku Happy birthay</v>
      </c>
      <c r="X194" s="716" t="str">
        <f t="shared" ref="X194:X198" si="299">IF(AB194&lt;0.0001,"",AB194)</f>
        <v/>
      </c>
      <c r="Y194" s="716" t="str">
        <f t="shared" ref="Y194:Y198" si="300">IF($AL$3=2,IF(OR(AB194&lt;&gt;"",AB194&lt;&gt;0),AU194,""),IF(C194="","",IF(AB194&lt;0.0001,"",IF(B194=0,"",IF(AQ194&lt;AB194,"",AB194)))))</f>
        <v/>
      </c>
      <c r="Z194" s="716" t="str">
        <f>HYPERLINK("https://www.klasekpyrotechnics.cz/f3n")</f>
        <v>https://www.klasekpyrotechnics.cz/f3n</v>
      </c>
      <c r="AA194" s="716" t="str">
        <f>IFERROR(IF(VLOOKUP(C194,[4]List1!$A:$D,4,FALSE)=0,"",VLOOKUP(C194,[4]List1!$A:$D,4,FALSE)),"")</f>
        <v>24</v>
      </c>
      <c r="AB194" s="720"/>
      <c r="AC194" s="721" t="str">
        <f>IFERROR(IF(VLOOKUP(C194,[1]List1!$A:$D,2,FALSE)="VYPRODÁNO",$V$9,IF(VLOOKUP(C194,[1]List1!$A:$D,2,FALSE)="DOCHÁZÍ",$V$3,VLOOKUP(C194,[1]List1!$A:$D,2,FALSE))),"OFFLINE!")</f>
        <v>SKLADEM</v>
      </c>
      <c r="AD194" s="722" t="str">
        <f ca="1">IF(AP194="NE",$V$10,IF(AC194=$V$3,IF(AQ194&lt;1,$V$8,$V$2&amp;" "&amp;AQ194&amp;" "&amp;$V$1),IF(AC194="SKLADEM",$V$6,IFERROR(IF(OR(AC194-TODAY()&gt;45,VLOOKUP(C194,[1]List1!$A:$E,4,FALSE)=0),AC194,DAY(AC194)&amp;"."&amp;MONTH(AC194)&amp;"."&amp;YEAR(AC194)&amp;" "&amp;$V$4&amp;VLOOKUP(C194,[1]List1!$A:$E,4,FALSE)&amp;" "&amp;$V$1),AC194))))</f>
        <v>SKLADEM</v>
      </c>
      <c r="AE194" s="716" t="str">
        <f t="shared" ref="AE194:AE198" ca="1" si="301">IFERROR(IF(AV194&lt;&gt;"",AV194,AD194),AD194)</f>
        <v>SKLADEM</v>
      </c>
      <c r="AF194" s="723">
        <f t="shared" ref="AF194:AF198" si="302">IFERROR(IF(AB194=Y194,G194*I194*Y194,0),0)</f>
        <v>0</v>
      </c>
      <c r="AG194" s="723">
        <f t="shared" ref="AG194:AG198" si="303">IF($W$17=$AF$8,AH194*1.23,AF194*1.21)</f>
        <v>0</v>
      </c>
      <c r="AH194" s="724">
        <f t="shared" ref="AH194:AH198" si="304">IFERROR(IF(Y194=AB194,H194*I194*Y194,0),0)</f>
        <v>0</v>
      </c>
      <c r="AI194" s="716">
        <f t="shared" ref="AI194:AI198" si="305">IFERROR(IF(Y194=AB194,(P194*Y194)/1000,1),0)</f>
        <v>0</v>
      </c>
      <c r="AJ194" s="716">
        <f t="shared" ref="AJ194:AJ198" si="306">IFERROR(IF(Y194=AB194,N194*Y194,0.1),0)</f>
        <v>0</v>
      </c>
      <c r="AK194" s="716" t="str">
        <f t="shared" ref="AK194:AK198" si="307">IFERROR(IF(Y194=AB194,IF(M194="1.1G",(O194/1000)*Y194,""),""),0)</f>
        <v/>
      </c>
      <c r="AL194" s="716" t="str">
        <f t="shared" ref="AL194:AL198" si="308">IFERROR(IF(Y194=AB194,IF(M194="1.3G",(O194/1000)*AB194,""),""),0)</f>
        <v/>
      </c>
      <c r="AM194" s="716">
        <f t="shared" ref="AM194:AM198" si="309">IFERROR(IF(Y194=AB194,IF(M194="1.4G",(O194/1000)*AB194,""),""),0)</f>
        <v>0</v>
      </c>
      <c r="AN194" s="716">
        <f t="shared" ref="AN194:AN198" si="310">SUM(AK194:AM194)</f>
        <v>0</v>
      </c>
      <c r="AO194" s="380"/>
      <c r="AP194" s="322" t="str">
        <f t="shared" si="233"/>
        <v/>
      </c>
      <c r="AQ194" s="323" t="str">
        <f>IF(AC194=$V$3,IF(VLOOKUP(C194,[1]List1!$A:$E,5,FALSE)=0,1,VLOOKUP(C194,[1]List1!$A:$E,5,FALSE)),"")</f>
        <v/>
      </c>
      <c r="AR194" s="304" t="str">
        <f t="shared" si="234"/>
        <v/>
      </c>
      <c r="AS194" s="423" t="str">
        <f t="shared" si="235"/>
        <v/>
      </c>
      <c r="AT194" s="304" t="str">
        <f t="shared" si="236"/>
        <v/>
      </c>
      <c r="AU194" s="342" t="e">
        <f t="shared" si="237"/>
        <v>#N/A</v>
      </c>
      <c r="AV194" s="304" t="e">
        <f t="shared" si="238"/>
        <v>#N/A</v>
      </c>
      <c r="AX194" s="304">
        <f>IF(AND('General price list'!$J194="F4",'General price list'!$AB194+0&gt;0),1,0)</f>
        <v>0</v>
      </c>
      <c r="AY194" s="304">
        <f t="shared" si="239"/>
        <v>1</v>
      </c>
      <c r="AZ194" s="304">
        <f t="shared" si="240"/>
        <v>0</v>
      </c>
    </row>
    <row r="195" spans="1:52" ht="15" customHeight="1">
      <c r="A195" s="725" t="str">
        <f>Kat.!C195</f>
        <v/>
      </c>
      <c r="B195" s="726">
        <f>IF(AND('General price list'!$J195="F4",$AI$1=FALSE),0,IF(AC195="SKLADEM",1,IF(AC195=$V$3,1,0)))</f>
        <v>0</v>
      </c>
      <c r="C195" s="727" t="s">
        <v>497</v>
      </c>
      <c r="D195" s="728" t="s">
        <v>498</v>
      </c>
      <c r="E195" s="729" t="s">
        <v>499</v>
      </c>
      <c r="F195" s="725">
        <f>IFERROR(ROUND(IF($AL$3=2,VLOOKUP(C195,[2]List1!$A:$D,2,FALSE)*1.08,VLOOKUP(C195,[2]List1!$A:$D,2,FALSE)),0),"NEUVEDENO!")</f>
        <v>34</v>
      </c>
      <c r="G195" s="730">
        <f t="shared" si="297"/>
        <v>34</v>
      </c>
      <c r="H195" s="731">
        <f t="shared" si="298"/>
        <v>1.38161396892994</v>
      </c>
      <c r="I195" s="732">
        <v>100</v>
      </c>
      <c r="J195" s="729" t="s">
        <v>23</v>
      </c>
      <c r="K195" s="729"/>
      <c r="L195" s="729" t="s">
        <v>14372</v>
      </c>
      <c r="M195" s="729" t="s">
        <v>25</v>
      </c>
      <c r="N195" s="729">
        <f>IFERROR(VLOOKUP(C195,[3]List1!$A:$D,4,FALSE),"N/A!")</f>
        <v>2.3715E-2</v>
      </c>
      <c r="O195" s="729">
        <f>IFERROR(VLOOKUP(C195,[3]List1!$A:$D,3,FALSE),"N/A!")</f>
        <v>1800</v>
      </c>
      <c r="P195" s="729">
        <f>IFERROR(VLOOKUP(C195,[3]List1!$A:$D,2,FALSE),"N/A!")</f>
        <v>8000</v>
      </c>
      <c r="Q195" s="729" t="s">
        <v>632</v>
      </c>
      <c r="R195" s="729" t="s">
        <v>24</v>
      </c>
      <c r="S195" s="729"/>
      <c r="T195" s="729">
        <v>30</v>
      </c>
      <c r="U195" s="729"/>
      <c r="V195" s="729"/>
      <c r="W195" s="729" t="str">
        <f>IFERROR(VLOOKUP('General price list'!$C195,Popisy!A:P,MATCH($W$17,Popisy!$A$7:$P$7,0),FALSE),"---------------")</f>
        <v>stříbrné hvězdy(studený oheň), délka 10cm, potravinářský atest!</v>
      </c>
      <c r="X195" s="729" t="str">
        <f t="shared" si="299"/>
        <v/>
      </c>
      <c r="Y195" s="729" t="str">
        <f t="shared" si="300"/>
        <v/>
      </c>
      <c r="Z195" s="729" t="str">
        <f>HYPERLINK("https://www.klasekpyrotechnics.cz/df10cm")</f>
        <v>https://www.klasekpyrotechnics.cz/df10cm</v>
      </c>
      <c r="AA195" s="729">
        <f>IFERROR(IF(VLOOKUP(C195,[4]List1!$A:$D,4,FALSE)=0,"",VLOOKUP(C195,[4]List1!$A:$D,4,FALSE)),"")</f>
        <v>48</v>
      </c>
      <c r="AB195" s="720"/>
      <c r="AC195" s="733" t="str">
        <f>IFERROR(IF(VLOOKUP(C195,[1]List1!$A:$D,2,FALSE)="VYPRODÁNO",$V$9,IF(VLOOKUP(C195,[1]List1!$A:$D,2,FALSE)="DOCHÁZÍ",$V$3,VLOOKUP(C195,[1]List1!$A:$D,2,FALSE))),"OFFLINE!")</f>
        <v>15.08.2024</v>
      </c>
      <c r="AD195" s="734" t="str">
        <f ca="1">IF(AP195="NE",$V$10,IF(AC195=$V$3,IF(AQ195&lt;1,$V$8,$V$2&amp;" "&amp;AQ195&amp;" "&amp;$V$1),IF(AC195="SKLADEM",$V$6,IFERROR(IF(OR(AC195-TODAY()&gt;45,VLOOKUP(C195,[1]List1!$A:$E,4,FALSE)=0),AC195,DAY(AC195)&amp;"."&amp;MONTH(AC195)&amp;"."&amp;YEAR(AC195)&amp;" "&amp;$V$4&amp;VLOOKUP(C195,[1]List1!$A:$E,4,FALSE)&amp;" "&amp;$V$1),AC195))))</f>
        <v>15.08.2024</v>
      </c>
      <c r="AE195" s="729" t="str">
        <f t="shared" ca="1" si="301"/>
        <v>15.08.2024</v>
      </c>
      <c r="AF195" s="735">
        <f t="shared" si="302"/>
        <v>0</v>
      </c>
      <c r="AG195" s="735">
        <f t="shared" si="303"/>
        <v>0</v>
      </c>
      <c r="AH195" s="736">
        <f t="shared" si="304"/>
        <v>0</v>
      </c>
      <c r="AI195" s="729">
        <f t="shared" si="305"/>
        <v>0</v>
      </c>
      <c r="AJ195" s="729">
        <f t="shared" si="306"/>
        <v>0</v>
      </c>
      <c r="AK195" s="729" t="str">
        <f t="shared" si="307"/>
        <v/>
      </c>
      <c r="AL195" s="729" t="str">
        <f t="shared" si="308"/>
        <v/>
      </c>
      <c r="AM195" s="729">
        <f t="shared" si="309"/>
        <v>0</v>
      </c>
      <c r="AN195" s="729">
        <f t="shared" si="310"/>
        <v>0</v>
      </c>
      <c r="AO195" s="380"/>
      <c r="AP195" s="322" t="str">
        <f t="shared" si="233"/>
        <v/>
      </c>
      <c r="AQ195" s="323" t="str">
        <f>IF(AC195=$V$3,IF(VLOOKUP(C195,[1]List1!$A:$E,5,FALSE)=0,1,VLOOKUP(C195,[1]List1!$A:$E,5,FALSE)),"")</f>
        <v/>
      </c>
      <c r="AR195" s="304" t="str">
        <f t="shared" si="234"/>
        <v/>
      </c>
      <c r="AS195" s="423" t="str">
        <f t="shared" si="235"/>
        <v/>
      </c>
      <c r="AT195" s="304" t="str">
        <f t="shared" si="236"/>
        <v/>
      </c>
      <c r="AU195" s="342" t="e">
        <f t="shared" si="237"/>
        <v>#N/A</v>
      </c>
      <c r="AV195" s="304" t="e">
        <f t="shared" si="238"/>
        <v>#N/A</v>
      </c>
      <c r="AX195" s="304">
        <f>IF(AND('General price list'!$J195="F4",'General price list'!$AB195+0&gt;0),1,0)</f>
        <v>0</v>
      </c>
      <c r="AY195" s="304">
        <f t="shared" si="239"/>
        <v>1</v>
      </c>
      <c r="AZ195" s="304">
        <f t="shared" si="240"/>
        <v>0</v>
      </c>
    </row>
    <row r="196" spans="1:52" ht="15" customHeight="1">
      <c r="A196" s="712" t="str">
        <f>Kat.!C196</f>
        <v/>
      </c>
      <c r="B196" s="737">
        <f>IF(AND('General price list'!$J196="F4",$AI$1=FALSE),0,IF(AC196="SKLADEM",1,IF(AC196=$V$3,1,0)))</f>
        <v>1</v>
      </c>
      <c r="C196" s="714" t="s">
        <v>503</v>
      </c>
      <c r="D196" s="715" t="s">
        <v>504</v>
      </c>
      <c r="E196" s="716" t="s">
        <v>505</v>
      </c>
      <c r="F196" s="712">
        <f>IFERROR(ROUND(IF($AL$3=2,VLOOKUP(C196,[2]List1!$A:$D,2,FALSE)*1.08,VLOOKUP(C196,[2]List1!$A:$D,2,FALSE)),0),"NEUVEDENO!")</f>
        <v>53</v>
      </c>
      <c r="G196" s="717">
        <f t="shared" si="297"/>
        <v>53</v>
      </c>
      <c r="H196" s="718">
        <f t="shared" si="298"/>
        <v>2.1536923633319653</v>
      </c>
      <c r="I196" s="738">
        <v>50</v>
      </c>
      <c r="J196" s="716" t="s">
        <v>23</v>
      </c>
      <c r="K196" s="716" t="s">
        <v>14734</v>
      </c>
      <c r="L196" s="716" t="s">
        <v>14372</v>
      </c>
      <c r="M196" s="716" t="s">
        <v>25</v>
      </c>
      <c r="N196" s="716">
        <f>IFERROR(VLOOKUP(C196,[3]List1!$A:$D,4,FALSE),"N/A!")</f>
        <v>2.2100000000000002E-2</v>
      </c>
      <c r="O196" s="716">
        <f>IFERROR(VLOOKUP(C196,[3]List1!$A:$D,3,FALSE),"N/A!")</f>
        <v>1800</v>
      </c>
      <c r="P196" s="716">
        <f>IFERROR(VLOOKUP(C196,[3]List1!$A:$D,2,FALSE),"N/A!")</f>
        <v>6400</v>
      </c>
      <c r="Q196" s="716" t="s">
        <v>632</v>
      </c>
      <c r="R196" s="716" t="s">
        <v>24</v>
      </c>
      <c r="S196" s="716"/>
      <c r="T196" s="716">
        <v>60</v>
      </c>
      <c r="U196" s="716"/>
      <c r="V196" s="716"/>
      <c r="W196" s="716" t="str">
        <f>IFERROR(VLOOKUP('General price list'!$C196,Popisy!A:P,MATCH($W$17,Popisy!$A$7:$P$7,0),FALSE),"---------------")</f>
        <v>stříbrné hvězdy(studený oheň), délka 20cm, potravinářský atest!stříbrný papír pro 1ks</v>
      </c>
      <c r="X196" s="716" t="str">
        <f t="shared" si="299"/>
        <v/>
      </c>
      <c r="Y196" s="716" t="str">
        <f t="shared" si="300"/>
        <v/>
      </c>
      <c r="Z196" s="716" t="str">
        <f>HYPERLINK("https://www.klasekpyrotechnics.cz/df20cm")</f>
        <v>https://www.klasekpyrotechnics.cz/df20cm</v>
      </c>
      <c r="AA196" s="716">
        <f>IFERROR(IF(VLOOKUP(C196,[4]List1!$A:$D,4,FALSE)=0,"",VLOOKUP(C196,[4]List1!$A:$D,4,FALSE)),"")</f>
        <v>54</v>
      </c>
      <c r="AB196" s="720"/>
      <c r="AC196" s="739" t="str">
        <f>IFERROR(IF(VLOOKUP(C196,[1]List1!$A:$D,2,FALSE)="VYPRODÁNO",$V$9,IF(VLOOKUP(C196,[1]List1!$A:$D,2,FALSE)="DOCHÁZÍ",$V$3,VLOOKUP(C196,[1]List1!$A:$D,2,FALSE))),"OFFLINE!")</f>
        <v>SKLADEM</v>
      </c>
      <c r="AD196" s="740" t="str">
        <f ca="1">IF(AP196="NE",$V$10,IF(AC196=$V$3,IF(AQ196&lt;1,$V$8,$V$2&amp;" "&amp;AQ196&amp;" "&amp;$V$1),IF(AC196="SKLADEM",$V$6,IFERROR(IF(OR(AC196-TODAY()&gt;45,VLOOKUP(C196,[1]List1!$A:$E,4,FALSE)=0),AC196,DAY(AC196)&amp;"."&amp;MONTH(AC196)&amp;"."&amp;YEAR(AC196)&amp;" "&amp;$V$4&amp;VLOOKUP(C196,[1]List1!$A:$E,4,FALSE)&amp;" "&amp;$V$1),AC196))))</f>
        <v>SKLADEM</v>
      </c>
      <c r="AE196" s="716" t="str">
        <f t="shared" ca="1" si="301"/>
        <v>SKLADEM</v>
      </c>
      <c r="AF196" s="723">
        <f t="shared" si="302"/>
        <v>0</v>
      </c>
      <c r="AG196" s="723">
        <f t="shared" si="303"/>
        <v>0</v>
      </c>
      <c r="AH196" s="724">
        <f t="shared" si="304"/>
        <v>0</v>
      </c>
      <c r="AI196" s="716">
        <f t="shared" si="305"/>
        <v>0</v>
      </c>
      <c r="AJ196" s="716">
        <f t="shared" si="306"/>
        <v>0</v>
      </c>
      <c r="AK196" s="716" t="str">
        <f t="shared" si="307"/>
        <v/>
      </c>
      <c r="AL196" s="716" t="str">
        <f t="shared" si="308"/>
        <v/>
      </c>
      <c r="AM196" s="716">
        <f t="shared" si="309"/>
        <v>0</v>
      </c>
      <c r="AN196" s="716">
        <f t="shared" si="310"/>
        <v>0</v>
      </c>
      <c r="AO196" s="380"/>
      <c r="AP196" s="322" t="str">
        <f t="shared" si="233"/>
        <v/>
      </c>
      <c r="AQ196" s="305" t="str">
        <f>IF(AC196=$V$3,IF(VLOOKUP(C196,[1]List1!$A:$E,5,FALSE)=0,1,VLOOKUP(C196,[1]List1!$A:$E,5,FALSE)),"")</f>
        <v/>
      </c>
      <c r="AR196" s="304" t="str">
        <f t="shared" si="234"/>
        <v/>
      </c>
      <c r="AS196" s="423" t="str">
        <f t="shared" si="235"/>
        <v/>
      </c>
      <c r="AT196" s="304" t="str">
        <f t="shared" si="236"/>
        <v/>
      </c>
      <c r="AU196" s="342" t="e">
        <f t="shared" si="237"/>
        <v>#N/A</v>
      </c>
      <c r="AV196" s="304" t="e">
        <f t="shared" si="238"/>
        <v>#N/A</v>
      </c>
      <c r="AX196" s="304">
        <f>IF(AND('General price list'!$J196="F4",'General price list'!$AB196+0&gt;0),1,0)</f>
        <v>0</v>
      </c>
      <c r="AY196" s="304">
        <f t="shared" si="239"/>
        <v>1</v>
      </c>
      <c r="AZ196" s="304">
        <f t="shared" si="240"/>
        <v>0</v>
      </c>
    </row>
    <row r="197" spans="1:52" ht="15" customHeight="1">
      <c r="A197" s="725" t="str">
        <f>Kat.!C197</f>
        <v/>
      </c>
      <c r="B197" s="726">
        <f>IF(AND('General price list'!$J197="F4",$AI$1=FALSE),0,IF(AC197="SKLADEM",1,IF(AC197=$V$3,1,0)))</f>
        <v>0</v>
      </c>
      <c r="C197" s="727" t="s">
        <v>511</v>
      </c>
      <c r="D197" s="728" t="s">
        <v>512</v>
      </c>
      <c r="E197" s="729" t="s">
        <v>505</v>
      </c>
      <c r="F197" s="725">
        <f>IFERROR(ROUND(IF($AL$3=2,VLOOKUP(C197,[2]List1!$A:$D,2,FALSE)*1.08,VLOOKUP(C197,[2]List1!$A:$D,2,FALSE)),0),"NEUVEDENO!")</f>
        <v>79</v>
      </c>
      <c r="G197" s="730">
        <f t="shared" si="297"/>
        <v>79</v>
      </c>
      <c r="H197" s="731">
        <f t="shared" si="298"/>
        <v>3.2102206925136842</v>
      </c>
      <c r="I197" s="732">
        <v>50</v>
      </c>
      <c r="J197" s="729" t="s">
        <v>23</v>
      </c>
      <c r="K197" s="729"/>
      <c r="L197" s="729" t="s">
        <v>14372</v>
      </c>
      <c r="M197" s="729" t="s">
        <v>25</v>
      </c>
      <c r="N197" s="729">
        <f>IFERROR(VLOOKUP(C197,[3]List1!$A:$D,4,FALSE),"N/A!")</f>
        <v>3.8079999999999996E-2</v>
      </c>
      <c r="O197" s="729">
        <f>IFERROR(VLOOKUP(C197,[3]List1!$A:$D,3,FALSE),"N/A!")</f>
        <v>2100</v>
      </c>
      <c r="P197" s="729">
        <f>IFERROR(VLOOKUP(C197,[3]List1!$A:$D,2,FALSE),"N/A!")</f>
        <v>10500</v>
      </c>
      <c r="Q197" s="729" t="s">
        <v>14112</v>
      </c>
      <c r="R197" s="729" t="s">
        <v>24</v>
      </c>
      <c r="S197" s="729"/>
      <c r="T197" s="729">
        <v>90</v>
      </c>
      <c r="U197" s="729"/>
      <c r="V197" s="729"/>
      <c r="W197" s="729" t="str">
        <f>IFERROR(VLOOKUP('General price list'!$C197,Popisy!A:P,MATCH($W$17,Popisy!$A$7:$P$7,0),FALSE),"---------------")</f>
        <v>stříbrné hvězdy(studený oheň), délka 30cm, potravinářský atest!zlatý papír pro 1ks</v>
      </c>
      <c r="X197" s="729" t="str">
        <f t="shared" si="299"/>
        <v/>
      </c>
      <c r="Y197" s="729" t="str">
        <f t="shared" si="300"/>
        <v/>
      </c>
      <c r="Z197" s="729" t="str">
        <f>HYPERLINK("https://www.klasekpyrotechnics.cz/df30cm")</f>
        <v>https://www.klasekpyrotechnics.cz/df30cm</v>
      </c>
      <c r="AA197" s="729">
        <f>IFERROR(IF(VLOOKUP(C197,[4]List1!$A:$D,4,FALSE)=0,"",VLOOKUP(C197,[4]List1!$A:$D,4,FALSE)),"")</f>
        <v>40</v>
      </c>
      <c r="AB197" s="720"/>
      <c r="AC197" s="733" t="str">
        <f>IFERROR(IF(VLOOKUP(C197,[1]List1!$A:$D,2,FALSE)="VYPRODÁNO",$V$9,IF(VLOOKUP(C197,[1]List1!$A:$D,2,FALSE)="DOCHÁZÍ",$V$3,VLOOKUP(C197,[1]List1!$A:$D,2,FALSE))),"OFFLINE!")</f>
        <v>20.03.2024</v>
      </c>
      <c r="AD197" s="734" t="str">
        <f ca="1">IF(AP197="NE",$V$10,IF(AC197=$V$3,IF(AQ197&lt;1,$V$8,$V$2&amp;" "&amp;AQ197&amp;" "&amp;$V$1),IF(AC197="SKLADEM",$V$6,IFERROR(IF(OR(AC197-TODAY()&gt;45,VLOOKUP(C197,[1]List1!$A:$E,4,FALSE)=0),AC197,DAY(AC197)&amp;"."&amp;MONTH(AC197)&amp;"."&amp;YEAR(AC197)&amp;" "&amp;$V$4&amp;VLOOKUP(C197,[1]List1!$A:$E,4,FALSE)&amp;" "&amp;$V$1),AC197))))</f>
        <v>20.3.2024 DORAZÍ 100+ VK</v>
      </c>
      <c r="AE197" s="729" t="str">
        <f t="shared" ca="1" si="301"/>
        <v>20.3.2024 DORAZÍ 100+ VK</v>
      </c>
      <c r="AF197" s="735">
        <f t="shared" si="302"/>
        <v>0</v>
      </c>
      <c r="AG197" s="735">
        <f t="shared" si="303"/>
        <v>0</v>
      </c>
      <c r="AH197" s="736">
        <f t="shared" si="304"/>
        <v>0</v>
      </c>
      <c r="AI197" s="729">
        <f t="shared" si="305"/>
        <v>0</v>
      </c>
      <c r="AJ197" s="729">
        <f t="shared" si="306"/>
        <v>0</v>
      </c>
      <c r="AK197" s="729" t="str">
        <f t="shared" si="307"/>
        <v/>
      </c>
      <c r="AL197" s="729" t="str">
        <f t="shared" si="308"/>
        <v/>
      </c>
      <c r="AM197" s="729">
        <f t="shared" si="309"/>
        <v>0</v>
      </c>
      <c r="AN197" s="729">
        <f t="shared" si="310"/>
        <v>0</v>
      </c>
      <c r="AO197" s="380"/>
      <c r="AP197" s="322" t="str">
        <f t="shared" si="233"/>
        <v/>
      </c>
      <c r="AQ197" s="323" t="str">
        <f>IF(AC197=$V$3,IF(VLOOKUP(C197,[1]List1!$A:$E,5,FALSE)=0,1,VLOOKUP(C197,[1]List1!$A:$E,5,FALSE)),"")</f>
        <v/>
      </c>
      <c r="AR197" s="304" t="str">
        <f t="shared" si="234"/>
        <v/>
      </c>
      <c r="AS197" s="423" t="str">
        <f t="shared" si="235"/>
        <v/>
      </c>
      <c r="AT197" s="304" t="str">
        <f t="shared" si="236"/>
        <v/>
      </c>
      <c r="AU197" s="342" t="e">
        <f t="shared" si="237"/>
        <v>#N/A</v>
      </c>
      <c r="AV197" s="304" t="e">
        <f t="shared" si="238"/>
        <v>#N/A</v>
      </c>
      <c r="AX197" s="304">
        <f>IF(AND('General price list'!$J197="F4",'General price list'!$AB197+0&gt;0),1,0)</f>
        <v>0</v>
      </c>
      <c r="AY197" s="304">
        <f t="shared" si="239"/>
        <v>1</v>
      </c>
      <c r="AZ197" s="304">
        <f t="shared" si="240"/>
        <v>0</v>
      </c>
    </row>
    <row r="198" spans="1:52" ht="15" customHeight="1">
      <c r="A198" s="712" t="str">
        <f>Kat.!C198</f>
        <v>×</v>
      </c>
      <c r="B198" s="737">
        <f>IF(AND('General price list'!$J198="F4",$AI$1=FALSE),0,IF(AC198="SKLADEM",1,IF(AC198=$V$3,1,0)))</f>
        <v>1</v>
      </c>
      <c r="C198" s="714" t="s">
        <v>516</v>
      </c>
      <c r="D198" s="715" t="s">
        <v>517</v>
      </c>
      <c r="E198" s="716" t="s">
        <v>518</v>
      </c>
      <c r="F198" s="712">
        <f>IFERROR(ROUND(IF($AL$3=2,VLOOKUP(C198,[2]List1!$A:$D,2,FALSE)*1.08,VLOOKUP(C198,[2]List1!$A:$D,2,FALSE)),0),"NEUVEDENO!")</f>
        <v>26</v>
      </c>
      <c r="G198" s="717">
        <f t="shared" si="297"/>
        <v>26</v>
      </c>
      <c r="H198" s="718">
        <f t="shared" si="298"/>
        <v>1.0565283291817189</v>
      </c>
      <c r="I198" s="738">
        <v>100</v>
      </c>
      <c r="J198" s="716" t="s">
        <v>23</v>
      </c>
      <c r="K198" s="716"/>
      <c r="L198" s="716" t="s">
        <v>24</v>
      </c>
      <c r="M198" s="716" t="s">
        <v>25</v>
      </c>
      <c r="N198" s="716">
        <f>IFERROR(VLOOKUP(C198,[3]List1!$A:$D,4,FALSE),"N/A!")</f>
        <v>3.3696000000000004E-2</v>
      </c>
      <c r="O198" s="716">
        <f>IFERROR(VLOOKUP(C198,[3]List1!$A:$D,3,FALSE),"N/A!")</f>
        <v>600</v>
      </c>
      <c r="P198" s="716">
        <f>IFERROR(VLOOKUP(C198,[3]List1!$A:$D,2,FALSE),"N/A!")</f>
        <v>4700</v>
      </c>
      <c r="Q198" s="716" t="s">
        <v>217</v>
      </c>
      <c r="R198" s="716" t="s">
        <v>24</v>
      </c>
      <c r="S198" s="716"/>
      <c r="T198" s="716">
        <v>45</v>
      </c>
      <c r="U198" s="716"/>
      <c r="V198" s="716"/>
      <c r="W198" s="716" t="str">
        <f>IFERROR(VLOOKUP('General price list'!$C198,Popisy!A:P,MATCH($W$17,Popisy!$A$7:$P$7,0),FALSE),"---------------")</f>
        <v>stříbrné hvězdy(studený oheň), délka 12cm, potravinářský atest!zlatý papír pro 1ks</v>
      </c>
      <c r="X198" s="716" t="str">
        <f t="shared" si="299"/>
        <v/>
      </c>
      <c r="Y198" s="716" t="str">
        <f t="shared" si="300"/>
        <v/>
      </c>
      <c r="Z198" s="716" t="str">
        <f>HYPERLINK("https://www.klasekpyrotechnics.cz/df12cm")</f>
        <v>https://www.klasekpyrotechnics.cz/df12cm</v>
      </c>
      <c r="AA198" s="716" t="str">
        <f>IFERROR(IF(VLOOKUP(C198,[4]List1!$A:$D,4,FALSE)=0,"",VLOOKUP(C198,[4]List1!$A:$D,4,FALSE)),"")</f>
        <v>36</v>
      </c>
      <c r="AB198" s="720"/>
      <c r="AC198" s="739" t="str">
        <f>IFERROR(IF(VLOOKUP(C198,[1]List1!$A:$D,2,FALSE)="VYPRODÁNO",$V$9,IF(VLOOKUP(C198,[1]List1!$A:$D,2,FALSE)="DOCHÁZÍ",$V$3,VLOOKUP(C198,[1]List1!$A:$D,2,FALSE))),"OFFLINE!")</f>
        <v>SKLADEM</v>
      </c>
      <c r="AD198" s="740" t="str">
        <f ca="1">IF(AP198="NE",$V$10,IF(AC198=$V$3,IF(AQ198&lt;1,$V$8,$V$2&amp;" "&amp;AQ198&amp;" "&amp;$V$1),IF(AC198="SKLADEM",$V$6,IFERROR(IF(OR(AC198-TODAY()&gt;45,VLOOKUP(C198,[1]List1!$A:$E,4,FALSE)=0),AC198,DAY(AC198)&amp;"."&amp;MONTH(AC198)&amp;"."&amp;YEAR(AC198)&amp;" "&amp;$V$4&amp;VLOOKUP(C198,[1]List1!$A:$E,4,FALSE)&amp;" "&amp;$V$1),AC198))))</f>
        <v>SKLADEM</v>
      </c>
      <c r="AE198" s="716" t="str">
        <f t="shared" ca="1" si="301"/>
        <v>SKLADEM</v>
      </c>
      <c r="AF198" s="723">
        <f t="shared" si="302"/>
        <v>0</v>
      </c>
      <c r="AG198" s="723">
        <f t="shared" si="303"/>
        <v>0</v>
      </c>
      <c r="AH198" s="724">
        <f t="shared" si="304"/>
        <v>0</v>
      </c>
      <c r="AI198" s="716">
        <f t="shared" si="305"/>
        <v>0</v>
      </c>
      <c r="AJ198" s="716">
        <f t="shared" si="306"/>
        <v>0</v>
      </c>
      <c r="AK198" s="716" t="str">
        <f t="shared" si="307"/>
        <v/>
      </c>
      <c r="AL198" s="716" t="str">
        <f t="shared" si="308"/>
        <v/>
      </c>
      <c r="AM198" s="716">
        <f t="shared" si="309"/>
        <v>0</v>
      </c>
      <c r="AN198" s="716">
        <f t="shared" si="310"/>
        <v>0</v>
      </c>
      <c r="AO198" s="380"/>
      <c r="AP198" s="322" t="str">
        <f t="shared" si="233"/>
        <v/>
      </c>
      <c r="AQ198" s="323" t="str">
        <f>IF(AC198=$V$3,IF(VLOOKUP(C198,[1]List1!$A:$E,5,FALSE)=0,1,VLOOKUP(C198,[1]List1!$A:$E,5,FALSE)),"")</f>
        <v/>
      </c>
      <c r="AR198" s="304" t="str">
        <f t="shared" si="234"/>
        <v/>
      </c>
      <c r="AS198" s="423" t="str">
        <f t="shared" si="235"/>
        <v/>
      </c>
      <c r="AT198" s="304" t="str">
        <f t="shared" si="236"/>
        <v/>
      </c>
      <c r="AU198" s="342" t="e">
        <f t="shared" si="237"/>
        <v>#N/A</v>
      </c>
      <c r="AV198" s="304" t="e">
        <f t="shared" si="238"/>
        <v>#N/A</v>
      </c>
      <c r="AX198" s="304">
        <f>IF(AND('General price list'!$J198="F4",'General price list'!$AB198+0&gt;0),1,0)</f>
        <v>0</v>
      </c>
      <c r="AY198" s="304">
        <f t="shared" si="239"/>
        <v>1</v>
      </c>
      <c r="AZ198" s="304">
        <f t="shared" si="240"/>
        <v>0</v>
      </c>
    </row>
    <row r="199" spans="1:52" ht="15" customHeight="1">
      <c r="A199" s="773" t="str">
        <f>Kat.!C199</f>
        <v xml:space="preserve">                                                               Konfety 50mm</v>
      </c>
      <c r="B199" s="774"/>
      <c r="C199" s="774"/>
      <c r="D199" s="774"/>
      <c r="E199" s="774"/>
      <c r="F199" s="774"/>
      <c r="G199" s="774"/>
      <c r="H199" s="774"/>
      <c r="I199" s="774"/>
      <c r="J199" s="774"/>
      <c r="K199" s="774"/>
      <c r="L199" s="774"/>
      <c r="M199" s="774"/>
      <c r="N199" s="774"/>
      <c r="O199" s="774"/>
      <c r="P199" s="774"/>
      <c r="Q199" s="774"/>
      <c r="R199" s="774"/>
      <c r="S199" s="774"/>
      <c r="T199" s="774"/>
      <c r="U199" s="774"/>
      <c r="V199" s="774"/>
      <c r="W199" s="774"/>
      <c r="X199" s="774"/>
      <c r="Y199" s="774"/>
      <c r="Z199" s="774"/>
      <c r="AA199" s="774" t="str">
        <f>IFERROR(IF(VLOOKUP(C199,[4]List1!$A:$D,4,FALSE)=0,"",VLOOKUP(C199,[4]List1!$A:$D,4,FALSE)),"")</f>
        <v/>
      </c>
      <c r="AB199" s="774"/>
      <c r="AC199" s="775" t="str">
        <f>IFERROR(IF(VLOOKUP(C199,[1]List1!$A:$D,2,FALSE)="VYPRODÁNO",$V$9,IF(VLOOKUP(C199,[1]List1!$A:$D,2,FALSE)="DOCHÁZÍ",$V$3,VLOOKUP(C199,[1]List1!$A:$D,2,FALSE))),"OFFLINE!")</f>
        <v>OFFLINE!</v>
      </c>
      <c r="AD199" s="774"/>
      <c r="AE199" s="774"/>
      <c r="AF199" s="774"/>
      <c r="AG199" s="774"/>
      <c r="AH199" s="774"/>
      <c r="AI199" s="774"/>
      <c r="AJ199" s="774"/>
      <c r="AK199" s="774"/>
      <c r="AL199" s="774"/>
      <c r="AM199" s="774"/>
      <c r="AN199" s="774"/>
      <c r="AO199" s="380"/>
      <c r="AP199" s="322" t="str">
        <f t="shared" si="233"/>
        <v/>
      </c>
      <c r="AQ199" s="323" t="str">
        <f>IF(AC199=$V$3,IF(VLOOKUP(C199,[1]List1!$A:$E,5,FALSE)=0,1,VLOOKUP(C199,[1]List1!$A:$E,5,FALSE)),"")</f>
        <v/>
      </c>
      <c r="AR199" s="304" t="str">
        <f t="shared" si="234"/>
        <v/>
      </c>
      <c r="AS199" s="423" t="str">
        <f t="shared" si="235"/>
        <v/>
      </c>
      <c r="AT199" s="304" t="str">
        <f t="shared" si="236"/>
        <v/>
      </c>
      <c r="AU199" s="342" t="e">
        <f t="shared" si="237"/>
        <v>#N/A</v>
      </c>
      <c r="AV199" s="304" t="e">
        <f t="shared" si="238"/>
        <v>#N/A</v>
      </c>
      <c r="AX199" s="304">
        <f>IF(AND('General price list'!$J199="F4",'General price list'!$AB199+0&gt;0),1,0)</f>
        <v>0</v>
      </c>
      <c r="AY199" s="304">
        <f t="shared" si="239"/>
        <v>0</v>
      </c>
      <c r="AZ199" s="304">
        <f t="shared" si="240"/>
        <v>0</v>
      </c>
    </row>
    <row r="200" spans="1:52" ht="15" customHeight="1">
      <c r="A200" s="712" t="str">
        <f>Kat.!C200</f>
        <v/>
      </c>
      <c r="B200" s="713">
        <f>IF(AND('General price list'!$J200="F4",$AI$1=FALSE),0,IF(AC200="SKLADEM",1,IF(AC200=$V$3,1,0)))</f>
        <v>0</v>
      </c>
      <c r="C200" s="714" t="s">
        <v>557</v>
      </c>
      <c r="D200" s="715" t="s">
        <v>558</v>
      </c>
      <c r="E200" s="716" t="s">
        <v>559</v>
      </c>
      <c r="F200" s="712">
        <f>IFERROR(ROUND(IF($AL$3=2,VLOOKUP(C200,[2]List1!$A:$D,2,FALSE)*1.08,VLOOKUP(C200,[2]List1!$A:$D,2,FALSE)),0),"NEUVEDENO!")</f>
        <v>56</v>
      </c>
      <c r="G200" s="717">
        <f t="shared" ref="G200:G203" si="311">(F200)*$B$19</f>
        <v>56</v>
      </c>
      <c r="H200" s="718">
        <f t="shared" ref="H200:H203" si="312">G200/$F$19</f>
        <v>2.2755994782375484</v>
      </c>
      <c r="I200" s="719">
        <v>72</v>
      </c>
      <c r="J200" s="716" t="s">
        <v>240</v>
      </c>
      <c r="K200" s="716"/>
      <c r="L200" s="716" t="s">
        <v>24</v>
      </c>
      <c r="M200" s="716" t="s">
        <v>25</v>
      </c>
      <c r="N200" s="716">
        <f>IFERROR(VLOOKUP(C200,[3]List1!$A:$D,4,FALSE),"N/A!")</f>
        <v>7.3574499999999987E-2</v>
      </c>
      <c r="O200" s="716">
        <f>IFERROR(VLOOKUP(C200,[3]List1!$A:$D,3,FALSE),"N/A!")</f>
        <v>0</v>
      </c>
      <c r="P200" s="716">
        <f>IFERROR(VLOOKUP(C200,[3]List1!$A:$D,2,FALSE),"N/A!")</f>
        <v>14000</v>
      </c>
      <c r="Q200" s="716" t="s">
        <v>632</v>
      </c>
      <c r="R200" s="716" t="s">
        <v>24</v>
      </c>
      <c r="S200" s="716"/>
      <c r="T200" s="716"/>
      <c r="U200" s="716"/>
      <c r="V200" s="716"/>
      <c r="W200" s="716" t="str">
        <f>IFERROR(VLOOKUP('General price list'!$C200,Popisy!A:P,MATCH($W$17,Popisy!$A$7:$P$7,0),FALSE),"---------------")</f>
        <v>40cm délka,lesklé barevné papírky</v>
      </c>
      <c r="X200" s="716" t="str">
        <f t="shared" ref="X200:X203" si="313">IF(AB200&lt;0.0001,"",AB200)</f>
        <v/>
      </c>
      <c r="Y200" s="716" t="str">
        <f t="shared" ref="Y200:Y203" si="314">IF($AL$3=2,IF(OR(AB200&lt;&gt;"",AB200&lt;&gt;0),AU200,""),IF(C200="","",IF(AB200&lt;0.0001,"",IF(B200=0,"",IF(AQ200&lt;AB200,"",AB200)))))</f>
        <v/>
      </c>
      <c r="Z200" s="716" t="str">
        <f>HYPERLINK("https://www.klasekpyrotechnics.cz/con40p")</f>
        <v>https://www.klasekpyrotechnics.cz/con40p</v>
      </c>
      <c r="AA200" s="716" t="str">
        <f>IFERROR(IF(VLOOKUP(C200,[4]List1!$A:$D,4,FALSE)=0,"",VLOOKUP(C200,[4]List1!$A:$D,4,FALSE)),"")</f>
        <v>16</v>
      </c>
      <c r="AB200" s="720"/>
      <c r="AC200" s="721" t="str">
        <f>IFERROR(IF(VLOOKUP(C200,[1]List1!$A:$D,2,FALSE)="VYPRODÁNO",$V$9,IF(VLOOKUP(C200,[1]List1!$A:$D,2,FALSE)="DOCHÁZÍ",$V$3,VLOOKUP(C200,[1]List1!$A:$D,2,FALSE))),"OFFLINE!")</f>
        <v>VYPRODÁNO</v>
      </c>
      <c r="AD200" s="722" t="str">
        <f ca="1">IF(AP200="NE",$V$10,IF(AC200=$V$3,IF(AQ200&lt;1,$V$8,$V$2&amp;" "&amp;AQ200&amp;" "&amp;$V$1),IF(AC200="SKLADEM",$V$6,IFERROR(IF(OR(AC200-TODAY()&gt;45,VLOOKUP(C200,[1]List1!$A:$E,4,FALSE)=0),AC200,DAY(AC200)&amp;"."&amp;MONTH(AC200)&amp;"."&amp;YEAR(AC200)&amp;" "&amp;$V$4&amp;VLOOKUP(C200,[1]List1!$A:$E,4,FALSE)&amp;" "&amp;$V$1),AC200))))</f>
        <v>VYPRODÁNO</v>
      </c>
      <c r="AE200" s="716" t="str">
        <f t="shared" ref="AE200:AE203" ca="1" si="315">IFERROR(IF(AV200&lt;&gt;"",AV200,AD200),AD200)</f>
        <v>VYPRODÁNO</v>
      </c>
      <c r="AF200" s="723">
        <f t="shared" ref="AF200:AF203" si="316">IFERROR(IF(AB200=Y200,G200*I200*Y200,0),0)</f>
        <v>0</v>
      </c>
      <c r="AG200" s="723">
        <f t="shared" ref="AG200:AG203" si="317">IF($W$17=$AF$8,AH200*1.23,AF200*1.21)</f>
        <v>0</v>
      </c>
      <c r="AH200" s="724">
        <f t="shared" ref="AH200:AH203" si="318">IFERROR(IF(Y200=AB200,H200*I200*Y200,0),0)</f>
        <v>0</v>
      </c>
      <c r="AI200" s="716">
        <f t="shared" ref="AI200:AI203" si="319">IFERROR(IF(Y200=AB200,(P200*Y200)/1000,1),0)</f>
        <v>0</v>
      </c>
      <c r="AJ200" s="716">
        <f t="shared" ref="AJ200:AJ203" si="320">IFERROR(IF(Y200=AB200,N200*Y200,0.1),0)</f>
        <v>0</v>
      </c>
      <c r="AK200" s="716" t="str">
        <f t="shared" ref="AK200:AK203" si="321">IFERROR(IF(Y200=AB200,IF(M200="1.1G",(O200/1000)*Y200,""),""),0)</f>
        <v/>
      </c>
      <c r="AL200" s="716" t="str">
        <f t="shared" ref="AL200:AL203" si="322">IFERROR(IF(Y200=AB200,IF(M200="1.3G",(O200/1000)*AB200,""),""),0)</f>
        <v/>
      </c>
      <c r="AM200" s="716">
        <f t="shared" ref="AM200:AM203" si="323">IFERROR(IF(Y200=AB200,IF(M200="1.4G",(O200/1000)*AB200,""),""),0)</f>
        <v>0</v>
      </c>
      <c r="AN200" s="716">
        <f t="shared" ref="AN200:AN203" si="324">SUM(AK200:AM200)</f>
        <v>0</v>
      </c>
      <c r="AO200" s="380"/>
      <c r="AP200" s="322" t="str">
        <f t="shared" si="233"/>
        <v/>
      </c>
      <c r="AQ200" s="323" t="str">
        <f>IF(AC200=$V$3,IF(VLOOKUP(C200,[1]List1!$A:$E,5,FALSE)=0,1,VLOOKUP(C200,[1]List1!$A:$E,5,FALSE)),"")</f>
        <v/>
      </c>
      <c r="AR200" s="304" t="str">
        <f t="shared" si="234"/>
        <v/>
      </c>
      <c r="AS200" s="423" t="str">
        <f t="shared" si="235"/>
        <v/>
      </c>
      <c r="AT200" s="304" t="str">
        <f t="shared" si="236"/>
        <v/>
      </c>
      <c r="AU200" s="342" t="e">
        <f t="shared" si="237"/>
        <v>#N/A</v>
      </c>
      <c r="AV200" s="304" t="e">
        <f t="shared" si="238"/>
        <v>#N/A</v>
      </c>
      <c r="AX200" s="304">
        <f>IF(AND('General price list'!$J200="F4",'General price list'!$AB200+0&gt;0),1,0)</f>
        <v>0</v>
      </c>
      <c r="AY200" s="304">
        <f t="shared" si="239"/>
        <v>1</v>
      </c>
      <c r="AZ200" s="304">
        <f t="shared" si="240"/>
        <v>0</v>
      </c>
    </row>
    <row r="201" spans="1:52" ht="15" customHeight="1">
      <c r="A201" s="725" t="str">
        <f>Kat.!C201</f>
        <v>×</v>
      </c>
      <c r="B201" s="726">
        <f>IF(AND('General price list'!$J201="F4",$AI$1=FALSE),0,IF(AC201="SKLADEM",1,IF(AC201=$V$3,1,0)))</f>
        <v>1</v>
      </c>
      <c r="C201" s="727" t="s">
        <v>563</v>
      </c>
      <c r="D201" s="728" t="s">
        <v>564</v>
      </c>
      <c r="E201" s="729" t="s">
        <v>559</v>
      </c>
      <c r="F201" s="725">
        <f>IFERROR(ROUND(IF($AL$3=2,VLOOKUP(C201,[2]List1!$A:$D,2,FALSE)*1.08,VLOOKUP(C201,[2]List1!$A:$D,2,FALSE)),0),"NEUVEDENO!")</f>
        <v>56</v>
      </c>
      <c r="G201" s="730">
        <f t="shared" si="311"/>
        <v>56</v>
      </c>
      <c r="H201" s="731">
        <f t="shared" si="312"/>
        <v>2.2755994782375484</v>
      </c>
      <c r="I201" s="732">
        <v>72</v>
      </c>
      <c r="J201" s="729" t="s">
        <v>240</v>
      </c>
      <c r="K201" s="729"/>
      <c r="L201" s="729" t="s">
        <v>24</v>
      </c>
      <c r="M201" s="729" t="s">
        <v>25</v>
      </c>
      <c r="N201" s="729">
        <f>IFERROR(VLOOKUP(C201,[3]List1!$A:$D,4,FALSE),"N/A!")</f>
        <v>7.3574499999999987E-2</v>
      </c>
      <c r="O201" s="729">
        <f>IFERROR(VLOOKUP(C201,[3]List1!$A:$D,3,FALSE),"N/A!")</f>
        <v>0</v>
      </c>
      <c r="P201" s="729">
        <f>IFERROR(VLOOKUP(C201,[3]List1!$A:$D,2,FALSE),"N/A!")</f>
        <v>14500</v>
      </c>
      <c r="Q201" s="729" t="s">
        <v>632</v>
      </c>
      <c r="R201" s="729" t="s">
        <v>24</v>
      </c>
      <c r="S201" s="729"/>
      <c r="T201" s="729"/>
      <c r="U201" s="729"/>
      <c r="V201" s="729"/>
      <c r="W201" s="729" t="str">
        <f>IFERROR(VLOOKUP('General price list'!$C201,Popisy!A:P,MATCH($W$17,Popisy!$A$7:$P$7,0),FALSE),"---------------")</f>
        <v>40cm délka,stříbrné srdíčka+lístky růže</v>
      </c>
      <c r="X201" s="729" t="str">
        <f t="shared" si="313"/>
        <v/>
      </c>
      <c r="Y201" s="729" t="str">
        <f t="shared" si="314"/>
        <v/>
      </c>
      <c r="Z201" s="729" t="str">
        <f>HYPERLINK("https://www.klasekpyrotechnics.cz/con40s")</f>
        <v>https://www.klasekpyrotechnics.cz/con40s</v>
      </c>
      <c r="AA201" s="729" t="str">
        <f>IFERROR(IF(VLOOKUP(C201,[4]List1!$A:$D,4,FALSE)=0,"",VLOOKUP(C201,[4]List1!$A:$D,4,FALSE)),"")</f>
        <v>16</v>
      </c>
      <c r="AB201" s="720"/>
      <c r="AC201" s="733" t="str">
        <f>IFERROR(IF(VLOOKUP(C201,[1]List1!$A:$D,2,FALSE)="VYPRODÁNO",$V$9,IF(VLOOKUP(C201,[1]List1!$A:$D,2,FALSE)="DOCHÁZÍ",$V$3,VLOOKUP(C201,[1]List1!$A:$D,2,FALSE))),"OFFLINE!")</f>
        <v>SKLADEM</v>
      </c>
      <c r="AD201" s="734" t="str">
        <f ca="1">IF(AP201="NE",$V$10,IF(AC201=$V$3,IF(AQ201&lt;1,$V$8,$V$2&amp;" "&amp;AQ201&amp;" "&amp;$V$1),IF(AC201="SKLADEM",$V$6,IFERROR(IF(OR(AC201-TODAY()&gt;45,VLOOKUP(C201,[1]List1!$A:$E,4,FALSE)=0),AC201,DAY(AC201)&amp;"."&amp;MONTH(AC201)&amp;"."&amp;YEAR(AC201)&amp;" "&amp;$V$4&amp;VLOOKUP(C201,[1]List1!$A:$E,4,FALSE)&amp;" "&amp;$V$1),AC201))))</f>
        <v>SKLADEM</v>
      </c>
      <c r="AE201" s="729" t="str">
        <f t="shared" ca="1" si="315"/>
        <v>SKLADEM</v>
      </c>
      <c r="AF201" s="735">
        <f t="shared" si="316"/>
        <v>0</v>
      </c>
      <c r="AG201" s="735">
        <f t="shared" si="317"/>
        <v>0</v>
      </c>
      <c r="AH201" s="736">
        <f t="shared" si="318"/>
        <v>0</v>
      </c>
      <c r="AI201" s="729">
        <f t="shared" si="319"/>
        <v>0</v>
      </c>
      <c r="AJ201" s="729">
        <f t="shared" si="320"/>
        <v>0</v>
      </c>
      <c r="AK201" s="729" t="str">
        <f t="shared" si="321"/>
        <v/>
      </c>
      <c r="AL201" s="729" t="str">
        <f t="shared" si="322"/>
        <v/>
      </c>
      <c r="AM201" s="729">
        <f t="shared" si="323"/>
        <v>0</v>
      </c>
      <c r="AN201" s="729">
        <f t="shared" si="324"/>
        <v>0</v>
      </c>
      <c r="AO201" s="380"/>
      <c r="AP201" s="322" t="str">
        <f t="shared" si="233"/>
        <v/>
      </c>
      <c r="AQ201" s="323" t="str">
        <f>IF(AC201=$V$3,IF(VLOOKUP(C201,[1]List1!$A:$E,5,FALSE)=0,1,VLOOKUP(C201,[1]List1!$A:$E,5,FALSE)),"")</f>
        <v/>
      </c>
      <c r="AR201" s="304" t="str">
        <f t="shared" si="234"/>
        <v/>
      </c>
      <c r="AS201" s="423" t="str">
        <f t="shared" si="235"/>
        <v/>
      </c>
      <c r="AT201" s="304" t="str">
        <f t="shared" si="236"/>
        <v/>
      </c>
      <c r="AU201" s="342" t="e">
        <f t="shared" si="237"/>
        <v>#N/A</v>
      </c>
      <c r="AV201" s="304" t="e">
        <f t="shared" si="238"/>
        <v>#N/A</v>
      </c>
      <c r="AX201" s="304">
        <f>IF(AND('General price list'!$J201="F4",'General price list'!$AB201+0&gt;0),1,0)</f>
        <v>0</v>
      </c>
      <c r="AY201" s="304">
        <f t="shared" si="239"/>
        <v>1</v>
      </c>
      <c r="AZ201" s="304">
        <f t="shared" si="240"/>
        <v>0</v>
      </c>
    </row>
    <row r="202" spans="1:52" ht="15" customHeight="1">
      <c r="A202" s="712" t="str">
        <f>Kat.!C202</f>
        <v>×</v>
      </c>
      <c r="B202" s="737">
        <f>IF(AND('General price list'!$J202="F4",$AI$1=FALSE),0,IF(AC202="SKLADEM",1,IF(AC202=$V$3,1,0)))</f>
        <v>1</v>
      </c>
      <c r="C202" s="714" t="s">
        <v>568</v>
      </c>
      <c r="D202" s="715" t="s">
        <v>569</v>
      </c>
      <c r="E202" s="716" t="s">
        <v>559</v>
      </c>
      <c r="F202" s="712">
        <f>IFERROR(ROUND(IF($AL$3=2,VLOOKUP(C202,[2]List1!$A:$D,2,FALSE)*1.08,VLOOKUP(C202,[2]List1!$A:$D,2,FALSE)),0),"NEUVEDENO!")</f>
        <v>56</v>
      </c>
      <c r="G202" s="717">
        <f t="shared" si="311"/>
        <v>56</v>
      </c>
      <c r="H202" s="718">
        <f t="shared" si="312"/>
        <v>2.2755994782375484</v>
      </c>
      <c r="I202" s="738">
        <v>72</v>
      </c>
      <c r="J202" s="716" t="s">
        <v>240</v>
      </c>
      <c r="K202" s="716"/>
      <c r="L202" s="716" t="s">
        <v>24</v>
      </c>
      <c r="M202" s="716" t="s">
        <v>25</v>
      </c>
      <c r="N202" s="716">
        <f>IFERROR(VLOOKUP(C202,[3]List1!$A:$D,4,FALSE),"N/A!")</f>
        <v>7.3574499999999987E-2</v>
      </c>
      <c r="O202" s="716">
        <f>IFERROR(VLOOKUP(C202,[3]List1!$A:$D,3,FALSE),"N/A!")</f>
        <v>0</v>
      </c>
      <c r="P202" s="716">
        <f>IFERROR(VLOOKUP(C202,[3]List1!$A:$D,2,FALSE),"N/A!")</f>
        <v>14500</v>
      </c>
      <c r="Q202" s="716" t="s">
        <v>632</v>
      </c>
      <c r="R202" s="716" t="s">
        <v>24</v>
      </c>
      <c r="S202" s="716"/>
      <c r="T202" s="716"/>
      <c r="U202" s="716"/>
      <c r="V202" s="716"/>
      <c r="W202" s="716" t="str">
        <f>IFERROR(VLOOKUP('General price list'!$C202,Popisy!A:P,MATCH($W$17,Popisy!$A$7:$P$7,0),FALSE),"---------------")</f>
        <v>40cm délka,eurové bankovky</v>
      </c>
      <c r="X202" s="716" t="str">
        <f t="shared" si="313"/>
        <v/>
      </c>
      <c r="Y202" s="716" t="str">
        <f t="shared" si="314"/>
        <v/>
      </c>
      <c r="Z202" s="716" t="str">
        <f>HYPERLINK("https://www.klasekpyrotechnics.cz/con40f")</f>
        <v>https://www.klasekpyrotechnics.cz/con40f</v>
      </c>
      <c r="AA202" s="716" t="str">
        <f>IFERROR(IF(VLOOKUP(C202,[4]List1!$A:$D,4,FALSE)=0,"",VLOOKUP(C202,[4]List1!$A:$D,4,FALSE)),"")</f>
        <v>16</v>
      </c>
      <c r="AB202" s="720"/>
      <c r="AC202" s="739" t="str">
        <f>IFERROR(IF(VLOOKUP(C202,[1]List1!$A:$D,2,FALSE)="VYPRODÁNO",$V$9,IF(VLOOKUP(C202,[1]List1!$A:$D,2,FALSE)="DOCHÁZÍ",$V$3,VLOOKUP(C202,[1]List1!$A:$D,2,FALSE))),"OFFLINE!")</f>
        <v>SKLADEM</v>
      </c>
      <c r="AD202" s="740" t="str">
        <f ca="1">IF(AP202="NE",$V$10,IF(AC202=$V$3,IF(AQ202&lt;1,$V$8,$V$2&amp;" "&amp;AQ202&amp;" "&amp;$V$1),IF(AC202="SKLADEM",$V$6,IFERROR(IF(OR(AC202-TODAY()&gt;45,VLOOKUP(C202,[1]List1!$A:$E,4,FALSE)=0),AC202,DAY(AC202)&amp;"."&amp;MONTH(AC202)&amp;"."&amp;YEAR(AC202)&amp;" "&amp;$V$4&amp;VLOOKUP(C202,[1]List1!$A:$E,4,FALSE)&amp;" "&amp;$V$1),AC202))))</f>
        <v>SKLADEM</v>
      </c>
      <c r="AE202" s="716" t="str">
        <f t="shared" ca="1" si="315"/>
        <v>SKLADEM</v>
      </c>
      <c r="AF202" s="723">
        <f t="shared" si="316"/>
        <v>0</v>
      </c>
      <c r="AG202" s="723">
        <f t="shared" si="317"/>
        <v>0</v>
      </c>
      <c r="AH202" s="724">
        <f t="shared" si="318"/>
        <v>0</v>
      </c>
      <c r="AI202" s="716">
        <f t="shared" si="319"/>
        <v>0</v>
      </c>
      <c r="AJ202" s="716">
        <f t="shared" si="320"/>
        <v>0</v>
      </c>
      <c r="AK202" s="716" t="str">
        <f t="shared" si="321"/>
        <v/>
      </c>
      <c r="AL202" s="716" t="str">
        <f t="shared" si="322"/>
        <v/>
      </c>
      <c r="AM202" s="716">
        <f t="shared" si="323"/>
        <v>0</v>
      </c>
      <c r="AN202" s="716">
        <f t="shared" si="324"/>
        <v>0</v>
      </c>
      <c r="AO202" s="380"/>
      <c r="AP202" s="322" t="str">
        <f t="shared" si="233"/>
        <v/>
      </c>
      <c r="AQ202" s="323" t="str">
        <f>IF(AC202=$V$3,IF(VLOOKUP(C202,[1]List1!$A:$E,5,FALSE)=0,1,VLOOKUP(C202,[1]List1!$A:$E,5,FALSE)),"")</f>
        <v/>
      </c>
      <c r="AR202" s="304" t="str">
        <f t="shared" si="234"/>
        <v/>
      </c>
      <c r="AS202" s="423" t="str">
        <f t="shared" si="235"/>
        <v/>
      </c>
      <c r="AT202" s="304" t="str">
        <f t="shared" si="236"/>
        <v/>
      </c>
      <c r="AU202" s="342" t="e">
        <f t="shared" si="237"/>
        <v>#N/A</v>
      </c>
      <c r="AV202" s="304" t="e">
        <f t="shared" si="238"/>
        <v>#N/A</v>
      </c>
      <c r="AX202" s="304">
        <f>IF(AND('General price list'!$J202="F4",'General price list'!$AB202+0&gt;0),1,0)</f>
        <v>0</v>
      </c>
      <c r="AY202" s="304">
        <f t="shared" si="239"/>
        <v>1</v>
      </c>
      <c r="AZ202" s="304">
        <f t="shared" si="240"/>
        <v>0</v>
      </c>
    </row>
    <row r="203" spans="1:52" ht="15" customHeight="1">
      <c r="A203" s="725" t="str">
        <f>Kat.!C203</f>
        <v/>
      </c>
      <c r="B203" s="726">
        <f>IF(AND('General price list'!$J203="F4",$AI$1=FALSE),0,IF(AC203="SKLADEM",1,IF(AC203=$V$3,1,0)))</f>
        <v>1</v>
      </c>
      <c r="C203" s="727" t="s">
        <v>573</v>
      </c>
      <c r="D203" s="728" t="s">
        <v>574</v>
      </c>
      <c r="E203" s="729" t="s">
        <v>575</v>
      </c>
      <c r="F203" s="725">
        <f>IFERROR(ROUND(IF($AL$3=2,VLOOKUP(C203,[2]List1!$A:$D,2,FALSE)*1.08,VLOOKUP(C203,[2]List1!$A:$D,2,FALSE)),0),"NEUVEDENO!")</f>
        <v>88</v>
      </c>
      <c r="G203" s="730">
        <f t="shared" si="311"/>
        <v>88</v>
      </c>
      <c r="H203" s="731">
        <f t="shared" si="312"/>
        <v>3.5759420372304329</v>
      </c>
      <c r="I203" s="732">
        <v>36</v>
      </c>
      <c r="J203" s="729" t="s">
        <v>240</v>
      </c>
      <c r="K203" s="729"/>
      <c r="L203" s="729" t="s">
        <v>24</v>
      </c>
      <c r="M203" s="729" t="s">
        <v>25</v>
      </c>
      <c r="N203" s="729">
        <f>IFERROR(VLOOKUP(C203,[3]List1!$A:$D,4,FALSE),"N/A!")</f>
        <v>7.2171000000000013E-2</v>
      </c>
      <c r="O203" s="729">
        <f>IFERROR(VLOOKUP(C203,[3]List1!$A:$D,3,FALSE),"N/A!")</f>
        <v>0</v>
      </c>
      <c r="P203" s="729">
        <f>IFERROR(VLOOKUP(C203,[3]List1!$A:$D,2,FALSE),"N/A!")</f>
        <v>10500</v>
      </c>
      <c r="Q203" s="729" t="s">
        <v>632</v>
      </c>
      <c r="R203" s="729" t="s">
        <v>24</v>
      </c>
      <c r="S203" s="729"/>
      <c r="T203" s="729"/>
      <c r="U203" s="729"/>
      <c r="V203" s="729"/>
      <c r="W203" s="729" t="str">
        <f>IFERROR(VLOOKUP('General price list'!$C203,Popisy!A:P,MATCH($W$17,Popisy!$A$7:$P$7,0),FALSE),"---------------")</f>
        <v>80cm délka,lesklé barevné papírky</v>
      </c>
      <c r="X203" s="729" t="str">
        <f t="shared" si="313"/>
        <v/>
      </c>
      <c r="Y203" s="729" t="str">
        <f t="shared" si="314"/>
        <v/>
      </c>
      <c r="Z203" s="729" t="str">
        <f>HYPERLINK("https://www.klasekpyrotechnics.cz/con80p")</f>
        <v>https://www.klasekpyrotechnics.cz/con80p</v>
      </c>
      <c r="AA203" s="729" t="str">
        <f>IFERROR(IF(VLOOKUP(C203,[4]List1!$A:$D,4,FALSE)=0,"",VLOOKUP(C203,[4]List1!$A:$D,4,FALSE)),"")</f>
        <v>21</v>
      </c>
      <c r="AB203" s="720"/>
      <c r="AC203" s="733" t="str">
        <f>IFERROR(IF(VLOOKUP(C203,[1]List1!$A:$D,2,FALSE)="VYPRODÁNO",$V$9,IF(VLOOKUP(C203,[1]List1!$A:$D,2,FALSE)="DOCHÁZÍ",$V$3,VLOOKUP(C203,[1]List1!$A:$D,2,FALSE))),"OFFLINE!")</f>
        <v>SKLADEM</v>
      </c>
      <c r="AD203" s="734" t="str">
        <f ca="1">IF(AP203="NE",$V$10,IF(AC203=$V$3,IF(AQ203&lt;1,$V$8,$V$2&amp;" "&amp;AQ203&amp;" "&amp;$V$1),IF(AC203="SKLADEM",$V$6,IFERROR(IF(OR(AC203-TODAY()&gt;45,VLOOKUP(C203,[1]List1!$A:$E,4,FALSE)=0),AC203,DAY(AC203)&amp;"."&amp;MONTH(AC203)&amp;"."&amp;YEAR(AC203)&amp;" "&amp;$V$4&amp;VLOOKUP(C203,[1]List1!$A:$E,4,FALSE)&amp;" "&amp;$V$1),AC203))))</f>
        <v>SKLADEM</v>
      </c>
      <c r="AE203" s="729" t="str">
        <f t="shared" ca="1" si="315"/>
        <v>SKLADEM</v>
      </c>
      <c r="AF203" s="735">
        <f t="shared" si="316"/>
        <v>0</v>
      </c>
      <c r="AG203" s="735">
        <f t="shared" si="317"/>
        <v>0</v>
      </c>
      <c r="AH203" s="736">
        <f t="shared" si="318"/>
        <v>0</v>
      </c>
      <c r="AI203" s="729">
        <f t="shared" si="319"/>
        <v>0</v>
      </c>
      <c r="AJ203" s="729">
        <f t="shared" si="320"/>
        <v>0</v>
      </c>
      <c r="AK203" s="729" t="str">
        <f t="shared" si="321"/>
        <v/>
      </c>
      <c r="AL203" s="729" t="str">
        <f t="shared" si="322"/>
        <v/>
      </c>
      <c r="AM203" s="729">
        <f t="shared" si="323"/>
        <v>0</v>
      </c>
      <c r="AN203" s="729">
        <f t="shared" si="324"/>
        <v>0</v>
      </c>
      <c r="AO203" s="380"/>
      <c r="AP203" s="322" t="str">
        <f t="shared" si="233"/>
        <v/>
      </c>
      <c r="AQ203" s="323" t="str">
        <f>IF(AC203=$V$3,IF(VLOOKUP(C203,[1]List1!$A:$E,5,FALSE)=0,1,VLOOKUP(C203,[1]List1!$A:$E,5,FALSE)),"")</f>
        <v/>
      </c>
      <c r="AR203" s="304" t="str">
        <f t="shared" si="234"/>
        <v/>
      </c>
      <c r="AS203" s="423" t="str">
        <f t="shared" si="235"/>
        <v/>
      </c>
      <c r="AT203" s="304" t="str">
        <f t="shared" si="236"/>
        <v/>
      </c>
      <c r="AU203" s="342" t="e">
        <f t="shared" si="237"/>
        <v>#N/A</v>
      </c>
      <c r="AV203" s="304" t="e">
        <f t="shared" si="238"/>
        <v>#N/A</v>
      </c>
      <c r="AX203" s="304">
        <f>IF(AND('General price list'!$J203="F4",'General price list'!$AB203+0&gt;0),1,0)</f>
        <v>0</v>
      </c>
      <c r="AY203" s="304">
        <f t="shared" si="239"/>
        <v>1</v>
      </c>
      <c r="AZ203" s="304">
        <f t="shared" si="240"/>
        <v>0</v>
      </c>
    </row>
    <row r="204" spans="1:52" ht="15" customHeight="1">
      <c r="A204" s="773" t="str">
        <f>Kat.!C204</f>
        <v xml:space="preserve">                                                               Římské svíce 7mm</v>
      </c>
      <c r="B204" s="774"/>
      <c r="C204" s="774"/>
      <c r="D204" s="774"/>
      <c r="E204" s="774"/>
      <c r="F204" s="774"/>
      <c r="G204" s="774"/>
      <c r="H204" s="774"/>
      <c r="I204" s="774"/>
      <c r="J204" s="774"/>
      <c r="K204" s="774"/>
      <c r="L204" s="774"/>
      <c r="M204" s="774"/>
      <c r="N204" s="774"/>
      <c r="O204" s="774"/>
      <c r="P204" s="774"/>
      <c r="Q204" s="774"/>
      <c r="R204" s="774"/>
      <c r="S204" s="774"/>
      <c r="T204" s="774"/>
      <c r="U204" s="774"/>
      <c r="V204" s="774"/>
      <c r="W204" s="774"/>
      <c r="X204" s="774"/>
      <c r="Y204" s="774"/>
      <c r="Z204" s="774"/>
      <c r="AA204" s="774" t="str">
        <f>IFERROR(IF(VLOOKUP(C204,[4]List1!$A:$D,4,FALSE)=0,"",VLOOKUP(C204,[4]List1!$A:$D,4,FALSE)),"")</f>
        <v/>
      </c>
      <c r="AB204" s="774"/>
      <c r="AC204" s="775" t="str">
        <f>IFERROR(IF(VLOOKUP(C204,[1]List1!$A:$D,2,FALSE)="VYPRODÁNO",$V$9,IF(VLOOKUP(C204,[1]List1!$A:$D,2,FALSE)="DOCHÁZÍ",$V$3,VLOOKUP(C204,[1]List1!$A:$D,2,FALSE))),"OFFLINE!")</f>
        <v>OFFLINE!</v>
      </c>
      <c r="AD204" s="774"/>
      <c r="AE204" s="774"/>
      <c r="AF204" s="774"/>
      <c r="AG204" s="774"/>
      <c r="AH204" s="774"/>
      <c r="AI204" s="774"/>
      <c r="AJ204" s="774"/>
      <c r="AK204" s="774"/>
      <c r="AL204" s="774"/>
      <c r="AM204" s="774"/>
      <c r="AN204" s="774"/>
      <c r="AO204" s="380"/>
      <c r="AP204" s="322" t="str">
        <f t="shared" si="233"/>
        <v/>
      </c>
      <c r="AQ204" s="323" t="str">
        <f>IF(AC204=$V$3,IF(VLOOKUP(C204,[1]List1!$A:$E,5,FALSE)=0,1,VLOOKUP(C204,[1]List1!$A:$E,5,FALSE)),"")</f>
        <v/>
      </c>
      <c r="AR204" s="304" t="str">
        <f t="shared" si="234"/>
        <v/>
      </c>
      <c r="AS204" s="423" t="str">
        <f t="shared" si="235"/>
        <v/>
      </c>
      <c r="AT204" s="304" t="str">
        <f t="shared" si="236"/>
        <v/>
      </c>
      <c r="AU204" s="342" t="e">
        <f t="shared" si="237"/>
        <v>#N/A</v>
      </c>
      <c r="AV204" s="304" t="e">
        <f t="shared" si="238"/>
        <v>#N/A</v>
      </c>
      <c r="AX204" s="304">
        <f>IF(AND('General price list'!$J204="F4",'General price list'!$AB204+0&gt;0),1,0)</f>
        <v>0</v>
      </c>
      <c r="AY204" s="304">
        <f t="shared" si="239"/>
        <v>0</v>
      </c>
      <c r="AZ204" s="304">
        <f t="shared" si="240"/>
        <v>0</v>
      </c>
    </row>
    <row r="205" spans="1:52" ht="15" customHeight="1">
      <c r="A205" s="725" t="str">
        <f>Kat.!C205</f>
        <v/>
      </c>
      <c r="B205" s="741">
        <f>IF(AND('General price list'!$J205="F4",$AI$1=FALSE),0,IF(AC205="SKLADEM",1,IF(AC205=$V$3,1,0)))</f>
        <v>1</v>
      </c>
      <c r="C205" s="727" t="s">
        <v>587</v>
      </c>
      <c r="D205" s="728" t="s">
        <v>588</v>
      </c>
      <c r="E205" s="729" t="s">
        <v>589</v>
      </c>
      <c r="F205" s="725">
        <f>IFERROR(ROUND(IF($AL$3=2,VLOOKUP(C205,[2]List1!$A:$D,2,FALSE)*1.08,VLOOKUP(C205,[2]List1!$A:$D,2,FALSE)),0),"NEUVEDENO!")</f>
        <v>99</v>
      </c>
      <c r="G205" s="730">
        <f t="shared" ref="G205:G206" si="325">(F205)*$B$19</f>
        <v>99</v>
      </c>
      <c r="H205" s="731">
        <f t="shared" ref="H205:H206" si="326">G205/$F$19</f>
        <v>4.0229347918842375</v>
      </c>
      <c r="I205" s="742">
        <v>24</v>
      </c>
      <c r="J205" s="729" t="s">
        <v>46</v>
      </c>
      <c r="K205" s="729" t="s">
        <v>14734</v>
      </c>
      <c r="L205" s="729" t="s">
        <v>14373</v>
      </c>
      <c r="M205" s="729" t="s">
        <v>25</v>
      </c>
      <c r="N205" s="729">
        <f>IFERROR(VLOOKUP(C205,[3]List1!$A:$D,4,FALSE),"N/A!")</f>
        <v>2.1160000000000005E-2</v>
      </c>
      <c r="O205" s="729">
        <f>IFERROR(VLOOKUP(C205,[3]List1!$A:$D,3,FALSE),"N/A!")</f>
        <v>1728</v>
      </c>
      <c r="P205" s="729">
        <f>IFERROR(VLOOKUP(C205,[3]List1!$A:$D,2,FALSE),"N/A!")</f>
        <v>9664</v>
      </c>
      <c r="Q205" s="729" t="s">
        <v>632</v>
      </c>
      <c r="R205" s="729"/>
      <c r="S205" s="729"/>
      <c r="T205" s="729"/>
      <c r="U205" s="729"/>
      <c r="V205" s="729"/>
      <c r="W205" s="729" t="str">
        <f>IFERROR(VLOOKUP('General price list'!$C205,Popisy!A:P,MATCH($W$17,Popisy!$A$7:$P$7,0),FALSE),"---------------")</f>
        <v>20ran barevné světlice, 44cm délka</v>
      </c>
      <c r="X205" s="729" t="str">
        <f t="shared" ref="X205:X206" si="327">IF(AB205&lt;0.0001,"",AB205)</f>
        <v/>
      </c>
      <c r="Y205" s="729" t="str">
        <f t="shared" ref="Y205:Y206" si="328">IF($AL$3=2,IF(OR(AB205&lt;&gt;"",AB205&lt;&gt;0),AU205,""),IF(C205="","",IF(AB205&lt;0.0001,"",IF(B205=0,"",IF(AQ205&lt;AB205,"",AB205)))))</f>
        <v/>
      </c>
      <c r="Z205" s="729" t="str">
        <f>HYPERLINK("https://www.klasekpyrotechnics.cz/r4420b")</f>
        <v>https://www.klasekpyrotechnics.cz/r4420b</v>
      </c>
      <c r="AA205" s="729">
        <f>IFERROR(IF(VLOOKUP(C205,[4]List1!$A:$D,4,FALSE)=0,"",VLOOKUP(C205,[4]List1!$A:$D,4,FALSE)),"")</f>
        <v>56</v>
      </c>
      <c r="AB205" s="720"/>
      <c r="AC205" s="743" t="str">
        <f>IFERROR(IF(VLOOKUP(C205,[1]List1!$A:$D,2,FALSE)="VYPRODÁNO",$V$9,IF(VLOOKUP(C205,[1]List1!$A:$D,2,FALSE)="DOCHÁZÍ",$V$3,VLOOKUP(C205,[1]List1!$A:$D,2,FALSE))),"OFFLINE!")</f>
        <v>SKLADEM</v>
      </c>
      <c r="AD205" s="744" t="str">
        <f ca="1">IF(AP205="NE",$V$10,IF(AC205=$V$3,IF(AQ205&lt;1,$V$8,$V$2&amp;" "&amp;AQ205&amp;" "&amp;$V$1),IF(AC205="SKLADEM",$V$6,IFERROR(IF(OR(AC205-TODAY()&gt;45,VLOOKUP(C205,[1]List1!$A:$E,4,FALSE)=0),AC205,DAY(AC205)&amp;"."&amp;MONTH(AC205)&amp;"."&amp;YEAR(AC205)&amp;" "&amp;$V$4&amp;VLOOKUP(C205,[1]List1!$A:$E,4,FALSE)&amp;" "&amp;$V$1),AC205))))</f>
        <v>SKLADEM</v>
      </c>
      <c r="AE205" s="729" t="str">
        <f t="shared" ref="AE205:AE206" ca="1" si="329">IFERROR(IF(AV205&lt;&gt;"",AV205,AD205),AD205)</f>
        <v>SKLADEM</v>
      </c>
      <c r="AF205" s="735">
        <f t="shared" ref="AF205:AF206" si="330">IFERROR(IF(AB205=Y205,G205*I205*Y205,0),0)</f>
        <v>0</v>
      </c>
      <c r="AG205" s="735">
        <f t="shared" ref="AG205:AG206" si="331">IF($W$17=$AF$8,AH205*1.23,AF205*1.21)</f>
        <v>0</v>
      </c>
      <c r="AH205" s="736">
        <f t="shared" ref="AH205:AH206" si="332">IFERROR(IF(Y205=AB205,H205*I205*Y205,0),0)</f>
        <v>0</v>
      </c>
      <c r="AI205" s="729">
        <f t="shared" ref="AI205:AI206" si="333">IFERROR(IF(Y205=AB205,(P205*Y205)/1000,1),0)</f>
        <v>0</v>
      </c>
      <c r="AJ205" s="729">
        <f t="shared" ref="AJ205:AJ206" si="334">IFERROR(IF(Y205=AB205,N205*Y205,0.1),0)</f>
        <v>0</v>
      </c>
      <c r="AK205" s="729" t="str">
        <f t="shared" ref="AK205:AK206" si="335">IFERROR(IF(Y205=AB205,IF(M205="1.1G",(O205/1000)*Y205,""),""),0)</f>
        <v/>
      </c>
      <c r="AL205" s="729" t="str">
        <f t="shared" ref="AL205:AL206" si="336">IFERROR(IF(Y205=AB205,IF(M205="1.3G",(O205/1000)*AB205,""),""),0)</f>
        <v/>
      </c>
      <c r="AM205" s="729">
        <f t="shared" ref="AM205:AM206" si="337">IFERROR(IF(Y205=AB205,IF(M205="1.4G",(O205/1000)*AB205,""),""),0)</f>
        <v>0</v>
      </c>
      <c r="AN205" s="729">
        <f t="shared" ref="AN205:AN206" si="338">SUM(AK205:AM205)</f>
        <v>0</v>
      </c>
      <c r="AO205" s="380"/>
      <c r="AP205" s="322" t="str">
        <f t="shared" si="233"/>
        <v/>
      </c>
      <c r="AQ205" s="323" t="str">
        <f>IF(AC205=$V$3,IF(VLOOKUP(C205,[1]List1!$A:$E,5,FALSE)=0,1,VLOOKUP(C205,[1]List1!$A:$E,5,FALSE)),"")</f>
        <v/>
      </c>
      <c r="AR205" s="304" t="str">
        <f t="shared" si="234"/>
        <v/>
      </c>
      <c r="AS205" s="423" t="str">
        <f t="shared" si="235"/>
        <v/>
      </c>
      <c r="AT205" s="304" t="str">
        <f t="shared" si="236"/>
        <v/>
      </c>
      <c r="AU205" s="342" t="e">
        <f t="shared" si="237"/>
        <v>#N/A</v>
      </c>
      <c r="AV205" s="304" t="e">
        <f t="shared" si="238"/>
        <v>#N/A</v>
      </c>
      <c r="AX205" s="304">
        <f>IF(AND('General price list'!$J205="F4",'General price list'!$AB205+0&gt;0),1,0)</f>
        <v>0</v>
      </c>
      <c r="AY205" s="304">
        <f t="shared" si="239"/>
        <v>1</v>
      </c>
      <c r="AZ205" s="304">
        <f t="shared" si="240"/>
        <v>0</v>
      </c>
    </row>
    <row r="206" spans="1:52" ht="15" customHeight="1">
      <c r="A206" s="712" t="str">
        <f>Kat.!C206</f>
        <v/>
      </c>
      <c r="B206" s="745">
        <f>IF(AND('General price list'!$J206="F4",$AI$1=FALSE),0,IF(AC206="SKLADEM",1,IF(AC206=$V$3,1,0)))</f>
        <v>1</v>
      </c>
      <c r="C206" s="714" t="s">
        <v>2489</v>
      </c>
      <c r="D206" s="715" t="s">
        <v>594</v>
      </c>
      <c r="E206" s="716" t="s">
        <v>429</v>
      </c>
      <c r="F206" s="712">
        <f>IFERROR(ROUND(IF($AL$3=2,VLOOKUP(C206,[2]List1!$A:$D,2,FALSE)*1.08,VLOOKUP(C206,[2]List1!$A:$D,2,FALSE)),0),"NEUVEDENO!")</f>
        <v>86</v>
      </c>
      <c r="G206" s="717">
        <f t="shared" si="325"/>
        <v>86</v>
      </c>
      <c r="H206" s="718">
        <f t="shared" si="326"/>
        <v>3.4946706272933779</v>
      </c>
      <c r="I206" s="746">
        <v>36</v>
      </c>
      <c r="J206" s="716" t="s">
        <v>46</v>
      </c>
      <c r="K206" s="716"/>
      <c r="L206" s="716" t="s">
        <v>14365</v>
      </c>
      <c r="M206" s="716" t="s">
        <v>25</v>
      </c>
      <c r="N206" s="716">
        <f>IFERROR(VLOOKUP(C206,[3]List1!$A:$D,4,FALSE),"N/A!")</f>
        <v>2.1628750000000002E-2</v>
      </c>
      <c r="O206" s="716">
        <f>IFERROR(VLOOKUP(C206,[3]List1!$A:$D,3,FALSE),"N/A!")</f>
        <v>2592</v>
      </c>
      <c r="P206" s="716">
        <f>IFERROR(VLOOKUP(C206,[3]List1!$A:$D,2,FALSE),"N/A!")</f>
        <v>12500</v>
      </c>
      <c r="Q206" s="716" t="s">
        <v>14113</v>
      </c>
      <c r="R206" s="716" t="s">
        <v>18</v>
      </c>
      <c r="S206" s="716"/>
      <c r="T206" s="716"/>
      <c r="U206" s="716"/>
      <c r="V206" s="716"/>
      <c r="W206" s="716" t="str">
        <f>IFERROR(VLOOKUP('General price list'!$C206,Popisy!A:P,MATCH($W$17,Popisy!$A$7:$P$7,0),FALSE),"---------------")</f>
        <v>40ran barevné světlice, 70cm délka</v>
      </c>
      <c r="X206" s="716" t="str">
        <f t="shared" si="327"/>
        <v/>
      </c>
      <c r="Y206" s="716" t="str">
        <f t="shared" si="328"/>
        <v/>
      </c>
      <c r="Z206" s="716" t="str">
        <f>HYPERLINK("https://www.klasekpyrotechnics.cz/r7040c")</f>
        <v>https://www.klasekpyrotechnics.cz/r7040c</v>
      </c>
      <c r="AA206" s="716" t="str">
        <f>IFERROR(IF(VLOOKUP(C206,[4]List1!$A:$D,4,FALSE)=0,"",VLOOKUP(C206,[4]List1!$A:$D,4,FALSE)),"")</f>
        <v>56</v>
      </c>
      <c r="AB206" s="720"/>
      <c r="AC206" s="747" t="str">
        <f>IFERROR(IF(VLOOKUP(C206,[1]List1!$A:$D,2,FALSE)="VYPRODÁNO",$V$9,IF(VLOOKUP(C206,[1]List1!$A:$D,2,FALSE)="DOCHÁZÍ",$V$3,VLOOKUP(C206,[1]List1!$A:$D,2,FALSE))),"OFFLINE!")</f>
        <v>SKLADEM</v>
      </c>
      <c r="AD206" s="748" t="str">
        <f ca="1">IF(AP206="NE",$V$10,IF(AC206=$V$3,IF(AQ206&lt;1,$V$8,$V$2&amp;" "&amp;AQ206&amp;" "&amp;$V$1),IF(AC206="SKLADEM",$V$6,IFERROR(IF(OR(AC206-TODAY()&gt;45,VLOOKUP(C206,[1]List1!$A:$E,4,FALSE)=0),AC206,DAY(AC206)&amp;"."&amp;MONTH(AC206)&amp;"."&amp;YEAR(AC206)&amp;" "&amp;$V$4&amp;VLOOKUP(C206,[1]List1!$A:$E,4,FALSE)&amp;" "&amp;$V$1),AC206))))</f>
        <v>SKLADEM</v>
      </c>
      <c r="AE206" s="716" t="str">
        <f t="shared" ca="1" si="329"/>
        <v>SKLADEM</v>
      </c>
      <c r="AF206" s="723">
        <f t="shared" si="330"/>
        <v>0</v>
      </c>
      <c r="AG206" s="723">
        <f t="shared" si="331"/>
        <v>0</v>
      </c>
      <c r="AH206" s="724">
        <f t="shared" si="332"/>
        <v>0</v>
      </c>
      <c r="AI206" s="716">
        <f t="shared" si="333"/>
        <v>0</v>
      </c>
      <c r="AJ206" s="716">
        <f t="shared" si="334"/>
        <v>0</v>
      </c>
      <c r="AK206" s="716" t="str">
        <f t="shared" si="335"/>
        <v/>
      </c>
      <c r="AL206" s="716" t="str">
        <f t="shared" si="336"/>
        <v/>
      </c>
      <c r="AM206" s="716">
        <f t="shared" si="337"/>
        <v>0</v>
      </c>
      <c r="AN206" s="716">
        <f t="shared" si="338"/>
        <v>0</v>
      </c>
      <c r="AO206" s="380"/>
      <c r="AP206" s="322" t="str">
        <f t="shared" si="233"/>
        <v/>
      </c>
      <c r="AQ206" s="323" t="str">
        <f>IF(AC206=$V$3,IF(VLOOKUP(C206,[1]List1!$A:$E,5,FALSE)=0,1,VLOOKUP(C206,[1]List1!$A:$E,5,FALSE)),"")</f>
        <v/>
      </c>
      <c r="AR206" s="304" t="str">
        <f t="shared" si="234"/>
        <v/>
      </c>
      <c r="AS206" s="423" t="str">
        <f t="shared" si="235"/>
        <v/>
      </c>
      <c r="AT206" s="304" t="str">
        <f t="shared" si="236"/>
        <v/>
      </c>
      <c r="AU206" s="342" t="e">
        <f t="shared" si="237"/>
        <v>#N/A</v>
      </c>
      <c r="AV206" s="304" t="e">
        <f t="shared" si="238"/>
        <v>#N/A</v>
      </c>
      <c r="AX206" s="304">
        <f>IF(AND('General price list'!$J206="F4",'General price list'!$AB206+0&gt;0),1,0)</f>
        <v>0</v>
      </c>
      <c r="AY206" s="304">
        <f t="shared" si="239"/>
        <v>1</v>
      </c>
      <c r="AZ206" s="304">
        <f t="shared" si="240"/>
        <v>1</v>
      </c>
    </row>
    <row r="207" spans="1:52" ht="15" customHeight="1">
      <c r="A207" s="773" t="str">
        <f>Kat.!C207</f>
        <v xml:space="preserve">                                                               Římské svíce 10mm</v>
      </c>
      <c r="B207" s="774"/>
      <c r="C207" s="774"/>
      <c r="D207" s="774"/>
      <c r="E207" s="774"/>
      <c r="F207" s="774"/>
      <c r="G207" s="774"/>
      <c r="H207" s="774"/>
      <c r="I207" s="774"/>
      <c r="J207" s="774"/>
      <c r="K207" s="774"/>
      <c r="L207" s="774"/>
      <c r="M207" s="774"/>
      <c r="N207" s="774"/>
      <c r="O207" s="774"/>
      <c r="P207" s="774"/>
      <c r="Q207" s="774"/>
      <c r="R207" s="774"/>
      <c r="S207" s="774"/>
      <c r="T207" s="774"/>
      <c r="U207" s="774"/>
      <c r="V207" s="774"/>
      <c r="W207" s="774"/>
      <c r="X207" s="774"/>
      <c r="Y207" s="774"/>
      <c r="Z207" s="774"/>
      <c r="AA207" s="774" t="str">
        <f>IFERROR(IF(VLOOKUP(C207,[4]List1!$A:$D,4,FALSE)=0,"",VLOOKUP(C207,[4]List1!$A:$D,4,FALSE)),"")</f>
        <v/>
      </c>
      <c r="AB207" s="774"/>
      <c r="AC207" s="775" t="str">
        <f>IFERROR(IF(VLOOKUP(C207,[1]List1!$A:$D,2,FALSE)="VYPRODÁNO",$V$9,IF(VLOOKUP(C207,[1]List1!$A:$D,2,FALSE)="DOCHÁZÍ",$V$3,VLOOKUP(C207,[1]List1!$A:$D,2,FALSE))),"OFFLINE!")</f>
        <v>OFFLINE!</v>
      </c>
      <c r="AD207" s="774"/>
      <c r="AE207" s="774"/>
      <c r="AF207" s="774"/>
      <c r="AG207" s="774"/>
      <c r="AH207" s="774"/>
      <c r="AI207" s="774"/>
      <c r="AJ207" s="774"/>
      <c r="AK207" s="774"/>
      <c r="AL207" s="774"/>
      <c r="AM207" s="774"/>
      <c r="AN207" s="774"/>
      <c r="AO207" s="380"/>
      <c r="AP207" s="322" t="str">
        <f t="shared" si="233"/>
        <v/>
      </c>
      <c r="AQ207" s="323" t="str">
        <f>IF(AC207=$V$3,IF(VLOOKUP(C207,[1]List1!$A:$E,5,FALSE)=0,1,VLOOKUP(C207,[1]List1!$A:$E,5,FALSE)),"")</f>
        <v/>
      </c>
      <c r="AR207" s="304" t="str">
        <f t="shared" si="234"/>
        <v/>
      </c>
      <c r="AS207" s="423" t="str">
        <f t="shared" si="235"/>
        <v/>
      </c>
      <c r="AT207" s="304" t="str">
        <f t="shared" si="236"/>
        <v/>
      </c>
      <c r="AU207" s="342" t="e">
        <f t="shared" si="237"/>
        <v>#N/A</v>
      </c>
      <c r="AV207" s="304" t="e">
        <f t="shared" si="238"/>
        <v>#N/A</v>
      </c>
      <c r="AX207" s="304">
        <f>IF(AND('General price list'!$J207="F4",'General price list'!$AB207+0&gt;0),1,0)</f>
        <v>0</v>
      </c>
      <c r="AY207" s="304">
        <f t="shared" si="239"/>
        <v>0</v>
      </c>
      <c r="AZ207" s="304">
        <f t="shared" si="240"/>
        <v>0</v>
      </c>
    </row>
    <row r="208" spans="1:52" ht="15" customHeight="1">
      <c r="A208" s="712" t="str">
        <f>Kat.!C208</f>
        <v/>
      </c>
      <c r="B208" s="713">
        <f>IF(AND('General price list'!$J208="F4",$AI$1=FALSE),0,IF(AC208="SKLADEM",1,IF(AC208=$V$3,1,0)))</f>
        <v>1</v>
      </c>
      <c r="C208" s="714" t="s">
        <v>597</v>
      </c>
      <c r="D208" s="715" t="s">
        <v>598</v>
      </c>
      <c r="E208" s="716" t="s">
        <v>599</v>
      </c>
      <c r="F208" s="712">
        <f>IFERROR(ROUND(IF($AL$3=2,VLOOKUP(C208,[2]List1!$A:$D,2,FALSE)*1.08,VLOOKUP(C208,[2]List1!$A:$D,2,FALSE)),0),"NEUVEDENO!")</f>
        <v>61</v>
      </c>
      <c r="G208" s="717">
        <f t="shared" ref="G208:G214" si="339">(F208)*$B$19</f>
        <v>61</v>
      </c>
      <c r="H208" s="718">
        <f t="shared" ref="H208:H214" si="340">G208/$F$19</f>
        <v>2.4787780030801865</v>
      </c>
      <c r="I208" s="719">
        <v>40</v>
      </c>
      <c r="J208" s="716" t="s">
        <v>46</v>
      </c>
      <c r="K208" s="716"/>
      <c r="L208" s="716" t="s">
        <v>14365</v>
      </c>
      <c r="M208" s="716" t="s">
        <v>25</v>
      </c>
      <c r="N208" s="716">
        <f>IFERROR(VLOOKUP(C208,[3]List1!$A:$D,4,FALSE),"N/A!")</f>
        <v>3.4720000000000001E-2</v>
      </c>
      <c r="O208" s="716">
        <f>IFERROR(VLOOKUP(C208,[3]List1!$A:$D,3,FALSE),"N/A!")</f>
        <v>1280</v>
      </c>
      <c r="P208" s="716">
        <f>IFERROR(VLOOKUP(C208,[3]List1!$A:$D,2,FALSE),"N/A!")</f>
        <v>13600</v>
      </c>
      <c r="Q208" s="716" t="s">
        <v>632</v>
      </c>
      <c r="R208" s="716" t="s">
        <v>640</v>
      </c>
      <c r="S208" s="716"/>
      <c r="T208" s="716">
        <v>20</v>
      </c>
      <c r="U208" s="716"/>
      <c r="V208" s="716"/>
      <c r="W208" s="716" t="str">
        <f>IFERROR(VLOOKUP('General price list'!$C208,Popisy!A:P,MATCH($W$17,Popisy!$A$7:$P$7,0),FALSE),"---------------")</f>
        <v>10ran barevné světlice, 54cm délka</v>
      </c>
      <c r="X208" s="716" t="str">
        <f t="shared" ref="X208:X214" si="341">IF(AB208&lt;0.0001,"",AB208)</f>
        <v/>
      </c>
      <c r="Y208" s="716" t="str">
        <f t="shared" ref="Y208:Y214" si="342">IF($AL$3=2,IF(OR(AB208&lt;&gt;"",AB208&lt;&gt;0),AU208,""),IF(C208="","",IF(AB208&lt;0.0001,"",IF(B208=0,"",IF(AQ208&lt;AB208,"",AB208)))))</f>
        <v/>
      </c>
      <c r="Z208" s="716" t="str">
        <f>HYPERLINK("https://www.klasekpyrotechnics.cz/r5410b")</f>
        <v>https://www.klasekpyrotechnics.cz/r5410b</v>
      </c>
      <c r="AA208" s="716">
        <f>IFERROR(IF(VLOOKUP(C208,[4]List1!$A:$D,4,FALSE)=0,"",VLOOKUP(C208,[4]List1!$A:$D,4,FALSE)),"")</f>
        <v>40</v>
      </c>
      <c r="AB208" s="720"/>
      <c r="AC208" s="721" t="str">
        <f>IFERROR(IF(VLOOKUP(C208,[1]List1!$A:$D,2,FALSE)="VYPRODÁNO",$V$9,IF(VLOOKUP(C208,[1]List1!$A:$D,2,FALSE)="DOCHÁZÍ",$V$3,VLOOKUP(C208,[1]List1!$A:$D,2,FALSE))),"OFFLINE!")</f>
        <v>SKLADEM</v>
      </c>
      <c r="AD208" s="722" t="str">
        <f ca="1">IF(AP208="NE",$V$10,IF(AC208=$V$3,IF(AQ208&lt;1,$V$8,$V$2&amp;" "&amp;AQ208&amp;" "&amp;$V$1),IF(AC208="SKLADEM",$V$6,IFERROR(IF(OR(AC208-TODAY()&gt;45,VLOOKUP(C208,[1]List1!$A:$E,4,FALSE)=0),AC208,DAY(AC208)&amp;"."&amp;MONTH(AC208)&amp;"."&amp;YEAR(AC208)&amp;" "&amp;$V$4&amp;VLOOKUP(C208,[1]List1!$A:$E,4,FALSE)&amp;" "&amp;$V$1),AC208))))</f>
        <v>SKLADEM</v>
      </c>
      <c r="AE208" s="716" t="str">
        <f t="shared" ref="AE208:AE214" ca="1" si="343">IFERROR(IF(AV208&lt;&gt;"",AV208,AD208),AD208)</f>
        <v>SKLADEM</v>
      </c>
      <c r="AF208" s="723">
        <f t="shared" ref="AF208:AF214" si="344">IFERROR(IF(AB208=Y208,G208*I208*Y208,0),0)</f>
        <v>0</v>
      </c>
      <c r="AG208" s="723">
        <f t="shared" ref="AG208:AG214" si="345">IF($W$17=$AF$8,AH208*1.23,AF208*1.21)</f>
        <v>0</v>
      </c>
      <c r="AH208" s="724">
        <f t="shared" ref="AH208:AH214" si="346">IFERROR(IF(Y208=AB208,H208*I208*Y208,0),0)</f>
        <v>0</v>
      </c>
      <c r="AI208" s="716">
        <f t="shared" ref="AI208:AI214" si="347">IFERROR(IF(Y208=AB208,(P208*Y208)/1000,1),0)</f>
        <v>0</v>
      </c>
      <c r="AJ208" s="716">
        <f t="shared" ref="AJ208:AJ214" si="348">IFERROR(IF(Y208=AB208,N208*Y208,0.1),0)</f>
        <v>0</v>
      </c>
      <c r="AK208" s="716" t="str">
        <f t="shared" ref="AK208:AK214" si="349">IFERROR(IF(Y208=AB208,IF(M208="1.1G",(O208/1000)*Y208,""),""),0)</f>
        <v/>
      </c>
      <c r="AL208" s="716" t="str">
        <f t="shared" ref="AL208:AL214" si="350">IFERROR(IF(Y208=AB208,IF(M208="1.3G",(O208/1000)*AB208,""),""),0)</f>
        <v/>
      </c>
      <c r="AM208" s="716">
        <f t="shared" ref="AM208:AM214" si="351">IFERROR(IF(Y208=AB208,IF(M208="1.4G",(O208/1000)*AB208,""),""),0)</f>
        <v>0</v>
      </c>
      <c r="AN208" s="716">
        <f t="shared" ref="AN208:AN214" si="352">SUM(AK208:AM208)</f>
        <v>0</v>
      </c>
      <c r="AO208" s="380"/>
      <c r="AP208" s="322" t="str">
        <f t="shared" si="233"/>
        <v/>
      </c>
      <c r="AQ208" s="323" t="str">
        <f>IF(AC208=$V$3,IF(VLOOKUP(C208,[1]List1!$A:$E,5,FALSE)=0,1,VLOOKUP(C208,[1]List1!$A:$E,5,FALSE)),"")</f>
        <v/>
      </c>
      <c r="AR208" s="304" t="str">
        <f t="shared" si="234"/>
        <v/>
      </c>
      <c r="AS208" s="423" t="str">
        <f t="shared" si="235"/>
        <v/>
      </c>
      <c r="AT208" s="304" t="str">
        <f t="shared" si="236"/>
        <v/>
      </c>
      <c r="AU208" s="342" t="e">
        <f t="shared" si="237"/>
        <v>#N/A</v>
      </c>
      <c r="AV208" s="304" t="e">
        <f t="shared" si="238"/>
        <v>#N/A</v>
      </c>
      <c r="AX208" s="304">
        <f>IF(AND('General price list'!$J208="F4",'General price list'!$AB208+0&gt;0),1,0)</f>
        <v>0</v>
      </c>
      <c r="AY208" s="304">
        <f t="shared" si="239"/>
        <v>1</v>
      </c>
      <c r="AZ208" s="304">
        <f t="shared" si="240"/>
        <v>1</v>
      </c>
    </row>
    <row r="209" spans="1:52" ht="15" customHeight="1">
      <c r="A209" s="725" t="str">
        <f>Kat.!C209</f>
        <v/>
      </c>
      <c r="B209" s="726">
        <f>IF(AND('General price list'!$J209="F4",$AI$1=FALSE),0,IF(AC209="SKLADEM",1,IF(AC209=$V$3,1,0)))</f>
        <v>1</v>
      </c>
      <c r="C209" s="727" t="s">
        <v>603</v>
      </c>
      <c r="D209" s="728" t="s">
        <v>604</v>
      </c>
      <c r="E209" s="729" t="s">
        <v>605</v>
      </c>
      <c r="F209" s="725">
        <f>IFERROR(ROUND(IF($AL$3=2,VLOOKUP(C209,[2]List1!$A:$D,2,FALSE)*1.08,VLOOKUP(C209,[2]List1!$A:$D,2,FALSE)),0),"NEUVEDENO!")</f>
        <v>249</v>
      </c>
      <c r="G209" s="730">
        <f t="shared" si="339"/>
        <v>249</v>
      </c>
      <c r="H209" s="731">
        <f t="shared" si="340"/>
        <v>10.118290537163384</v>
      </c>
      <c r="I209" s="732">
        <v>15</v>
      </c>
      <c r="J209" s="729" t="s">
        <v>46</v>
      </c>
      <c r="K209" s="729" t="s">
        <v>14734</v>
      </c>
      <c r="L209" s="729" t="s">
        <v>14374</v>
      </c>
      <c r="M209" s="729" t="s">
        <v>25</v>
      </c>
      <c r="N209" s="729">
        <f>IFERROR(VLOOKUP(C209,[3]List1!$A:$D,4,FALSE),"N/A!")</f>
        <v>3.9200000000000006E-2</v>
      </c>
      <c r="O209" s="729">
        <f>IFERROR(VLOOKUP(C209,[3]List1!$A:$D,3,FALSE),"N/A!")</f>
        <v>2880</v>
      </c>
      <c r="P209" s="729">
        <f>IFERROR(VLOOKUP(C209,[3]List1!$A:$D,2,FALSE),"N/A!")</f>
        <v>17000</v>
      </c>
      <c r="Q209" s="729" t="s">
        <v>45</v>
      </c>
      <c r="R209" s="729" t="s">
        <v>640</v>
      </c>
      <c r="S209" s="729"/>
      <c r="T209" s="729">
        <v>40</v>
      </c>
      <c r="U209" s="729"/>
      <c r="V209" s="729"/>
      <c r="W209" s="729" t="str">
        <f>IFERROR(VLOOKUP('General price list'!$C209,Popisy!A:P,MATCH($W$17,Popisy!$A$7:$P$7,0),FALSE),"---------------")</f>
        <v>20ran práskající komety, 54cm délka</v>
      </c>
      <c r="X209" s="729" t="str">
        <f t="shared" si="341"/>
        <v/>
      </c>
      <c r="Y209" s="729" t="str">
        <f t="shared" si="342"/>
        <v/>
      </c>
      <c r="Z209" s="729" t="str">
        <f>HYPERLINK("https://www.klasekpyrotechnics.cz/r5420k")</f>
        <v>https://www.klasekpyrotechnics.cz/r5420k</v>
      </c>
      <c r="AA209" s="729">
        <f>IFERROR(IF(VLOOKUP(C209,[4]List1!$A:$D,4,FALSE)=0,"",VLOOKUP(C209,[4]List1!$A:$D,4,FALSE)),"")</f>
        <v>36</v>
      </c>
      <c r="AB209" s="720"/>
      <c r="AC209" s="733" t="str">
        <f>IFERROR(IF(VLOOKUP(C209,[1]List1!$A:$D,2,FALSE)="VYPRODÁNO",$V$9,IF(VLOOKUP(C209,[1]List1!$A:$D,2,FALSE)="DOCHÁZÍ",$V$3,VLOOKUP(C209,[1]List1!$A:$D,2,FALSE))),"OFFLINE!")</f>
        <v>SKLADEM</v>
      </c>
      <c r="AD209" s="734" t="str">
        <f ca="1">IF(AP209="NE",$V$10,IF(AC209=$V$3,IF(AQ209&lt;1,$V$8,$V$2&amp;" "&amp;AQ209&amp;" "&amp;$V$1),IF(AC209="SKLADEM",$V$6,IFERROR(IF(OR(AC209-TODAY()&gt;45,VLOOKUP(C209,[1]List1!$A:$E,4,FALSE)=0),AC209,DAY(AC209)&amp;"."&amp;MONTH(AC209)&amp;"."&amp;YEAR(AC209)&amp;" "&amp;$V$4&amp;VLOOKUP(C209,[1]List1!$A:$E,4,FALSE)&amp;" "&amp;$V$1),AC209))))</f>
        <v>SKLADEM</v>
      </c>
      <c r="AE209" s="729" t="str">
        <f t="shared" ca="1" si="343"/>
        <v>SKLADEM</v>
      </c>
      <c r="AF209" s="735">
        <f t="shared" si="344"/>
        <v>0</v>
      </c>
      <c r="AG209" s="735">
        <f t="shared" si="345"/>
        <v>0</v>
      </c>
      <c r="AH209" s="736">
        <f t="shared" si="346"/>
        <v>0</v>
      </c>
      <c r="AI209" s="729">
        <f t="shared" si="347"/>
        <v>0</v>
      </c>
      <c r="AJ209" s="729">
        <f t="shared" si="348"/>
        <v>0</v>
      </c>
      <c r="AK209" s="729" t="str">
        <f t="shared" si="349"/>
        <v/>
      </c>
      <c r="AL209" s="729" t="str">
        <f t="shared" si="350"/>
        <v/>
      </c>
      <c r="AM209" s="729">
        <f t="shared" si="351"/>
        <v>0</v>
      </c>
      <c r="AN209" s="729">
        <f t="shared" si="352"/>
        <v>0</v>
      </c>
      <c r="AO209" s="380"/>
      <c r="AP209" s="322" t="str">
        <f t="shared" si="233"/>
        <v/>
      </c>
      <c r="AQ209" s="323" t="str">
        <f>IF(AC209=$V$3,IF(VLOOKUP(C209,[1]List1!$A:$E,5,FALSE)=0,1,VLOOKUP(C209,[1]List1!$A:$E,5,FALSE)),"")</f>
        <v/>
      </c>
      <c r="AR209" s="304" t="str">
        <f t="shared" si="234"/>
        <v/>
      </c>
      <c r="AS209" s="423" t="str">
        <f t="shared" si="235"/>
        <v/>
      </c>
      <c r="AT209" s="304" t="str">
        <f t="shared" si="236"/>
        <v/>
      </c>
      <c r="AU209" s="342" t="e">
        <f t="shared" si="237"/>
        <v>#N/A</v>
      </c>
      <c r="AV209" s="304" t="e">
        <f t="shared" si="238"/>
        <v>#N/A</v>
      </c>
      <c r="AX209" s="304">
        <f>IF(AND('General price list'!$J209="F4",'General price list'!$AB209+0&gt;0),1,0)</f>
        <v>0</v>
      </c>
      <c r="AY209" s="304">
        <f t="shared" si="239"/>
        <v>1</v>
      </c>
      <c r="AZ209" s="304">
        <f t="shared" si="240"/>
        <v>1</v>
      </c>
    </row>
    <row r="210" spans="1:52" ht="15" customHeight="1">
      <c r="A210" s="712" t="str">
        <f>Kat.!C210</f>
        <v/>
      </c>
      <c r="B210" s="737">
        <f>IF(AND('General price list'!$J210="F4",$AI$1=FALSE),0,IF(AC210="SKLADEM",1,IF(AC210=$V$3,1,0)))</f>
        <v>1</v>
      </c>
      <c r="C210" s="714" t="s">
        <v>609</v>
      </c>
      <c r="D210" s="715" t="s">
        <v>604</v>
      </c>
      <c r="E210" s="716" t="s">
        <v>605</v>
      </c>
      <c r="F210" s="712">
        <f>IFERROR(ROUND(IF($AL$3=2,VLOOKUP(C210,[2]List1!$A:$D,2,FALSE)*1.08,VLOOKUP(C210,[2]List1!$A:$D,2,FALSE)),0),"NEUVEDENO!")</f>
        <v>289</v>
      </c>
      <c r="G210" s="717">
        <f t="shared" si="339"/>
        <v>289</v>
      </c>
      <c r="H210" s="718">
        <f t="shared" si="340"/>
        <v>11.743718735904491</v>
      </c>
      <c r="I210" s="738">
        <v>15</v>
      </c>
      <c r="J210" s="716" t="s">
        <v>46</v>
      </c>
      <c r="K210" s="716" t="s">
        <v>14734</v>
      </c>
      <c r="L210" s="716" t="s">
        <v>14374</v>
      </c>
      <c r="M210" s="716" t="s">
        <v>25</v>
      </c>
      <c r="N210" s="716">
        <f>IFERROR(VLOOKUP(C210,[3]List1!$A:$D,4,FALSE),"N/A!")</f>
        <v>4.6512000000000005E-2</v>
      </c>
      <c r="O210" s="716">
        <f>IFERROR(VLOOKUP(C210,[3]List1!$A:$D,3,FALSE),"N/A!")</f>
        <v>2880</v>
      </c>
      <c r="P210" s="716">
        <f>IFERROR(VLOOKUP(C210,[3]List1!$A:$D,2,FALSE),"N/A!")</f>
        <v>21930</v>
      </c>
      <c r="Q210" s="716" t="s">
        <v>14312</v>
      </c>
      <c r="R210" s="716" t="s">
        <v>632</v>
      </c>
      <c r="S210" s="716"/>
      <c r="T210" s="716">
        <v>40</v>
      </c>
      <c r="U210" s="716"/>
      <c r="V210" s="716"/>
      <c r="W210" s="716" t="str">
        <f>IFERROR(VLOOKUP('General price list'!$C210,Popisy!A:P,MATCH($W$17,Popisy!$A$7:$P$7,0),FALSE),"---------------")</f>
        <v>20ran práskající komety, 70cm délka</v>
      </c>
      <c r="X210" s="716" t="str">
        <f t="shared" si="341"/>
        <v/>
      </c>
      <c r="Y210" s="716" t="str">
        <f t="shared" si="342"/>
        <v/>
      </c>
      <c r="Z210" s="716" t="str">
        <f>HYPERLINK("https://www.klasekpyrotechnics.cz/r7020k")</f>
        <v>https://www.klasekpyrotechnics.cz/r7020k</v>
      </c>
      <c r="AA210" s="716">
        <f>IFERROR(IF(VLOOKUP(C210,[4]List1!$A:$D,4,FALSE)=0,"",VLOOKUP(C210,[4]List1!$A:$D,4,FALSE)),"")</f>
        <v>24</v>
      </c>
      <c r="AB210" s="720"/>
      <c r="AC210" s="739" t="str">
        <f>IFERROR(IF(VLOOKUP(C210,[1]List1!$A:$D,2,FALSE)="VYPRODÁNO",$V$9,IF(VLOOKUP(C210,[1]List1!$A:$D,2,FALSE)="DOCHÁZÍ",$V$3,VLOOKUP(C210,[1]List1!$A:$D,2,FALSE))),"OFFLINE!")</f>
        <v>SKLADEM</v>
      </c>
      <c r="AD210" s="740" t="str">
        <f ca="1">IF(AP210="NE",$V$10,IF(AC210=$V$3,IF(AQ210&lt;1,$V$8,$V$2&amp;" "&amp;AQ210&amp;" "&amp;$V$1),IF(AC210="SKLADEM",$V$6,IFERROR(IF(OR(AC210-TODAY()&gt;45,VLOOKUP(C210,[1]List1!$A:$E,4,FALSE)=0),AC210,DAY(AC210)&amp;"."&amp;MONTH(AC210)&amp;"."&amp;YEAR(AC210)&amp;" "&amp;$V$4&amp;VLOOKUP(C210,[1]List1!$A:$E,4,FALSE)&amp;" "&amp;$V$1),AC210))))</f>
        <v>SKLADEM</v>
      </c>
      <c r="AE210" s="716" t="str">
        <f t="shared" ca="1" si="343"/>
        <v>SKLADEM</v>
      </c>
      <c r="AF210" s="723">
        <f t="shared" si="344"/>
        <v>0</v>
      </c>
      <c r="AG210" s="723">
        <f t="shared" si="345"/>
        <v>0</v>
      </c>
      <c r="AH210" s="724">
        <f t="shared" si="346"/>
        <v>0</v>
      </c>
      <c r="AI210" s="716">
        <f t="shared" si="347"/>
        <v>0</v>
      </c>
      <c r="AJ210" s="716">
        <f t="shared" si="348"/>
        <v>0</v>
      </c>
      <c r="AK210" s="716" t="str">
        <f t="shared" si="349"/>
        <v/>
      </c>
      <c r="AL210" s="716" t="str">
        <f t="shared" si="350"/>
        <v/>
      </c>
      <c r="AM210" s="716">
        <f t="shared" si="351"/>
        <v>0</v>
      </c>
      <c r="AN210" s="716">
        <f t="shared" si="352"/>
        <v>0</v>
      </c>
      <c r="AO210" s="380"/>
      <c r="AP210" s="322" t="str">
        <f t="shared" si="233"/>
        <v/>
      </c>
      <c r="AQ210" s="323" t="str">
        <f>IF(AC210=$V$3,IF(VLOOKUP(C210,[1]List1!$A:$E,5,FALSE)=0,1,VLOOKUP(C210,[1]List1!$A:$E,5,FALSE)),"")</f>
        <v/>
      </c>
      <c r="AR210" s="304" t="str">
        <f t="shared" si="234"/>
        <v/>
      </c>
      <c r="AS210" s="423" t="str">
        <f t="shared" si="235"/>
        <v/>
      </c>
      <c r="AT210" s="304" t="str">
        <f t="shared" si="236"/>
        <v/>
      </c>
      <c r="AU210" s="342" t="e">
        <f t="shared" si="237"/>
        <v>#N/A</v>
      </c>
      <c r="AV210" s="304" t="e">
        <f t="shared" si="238"/>
        <v>#N/A</v>
      </c>
      <c r="AX210" s="304">
        <f>IF(AND('General price list'!$J210="F4",'General price list'!$AB210+0&gt;0),1,0)</f>
        <v>0</v>
      </c>
      <c r="AY210" s="304">
        <f t="shared" si="239"/>
        <v>1</v>
      </c>
      <c r="AZ210" s="304">
        <f t="shared" si="240"/>
        <v>1</v>
      </c>
    </row>
    <row r="211" spans="1:52" ht="15" customHeight="1">
      <c r="A211" s="725" t="str">
        <f>Kat.!C211</f>
        <v/>
      </c>
      <c r="B211" s="726">
        <f>IF(AND('General price list'!$J211="F4",$AI$1=FALSE),0,IF(AC211="SKLADEM",1,IF(AC211=$V$3,1,0)))</f>
        <v>1</v>
      </c>
      <c r="C211" s="727" t="s">
        <v>613</v>
      </c>
      <c r="D211" s="728" t="s">
        <v>614</v>
      </c>
      <c r="E211" s="729" t="s">
        <v>615</v>
      </c>
      <c r="F211" s="725">
        <f>IFERROR(ROUND(IF($AL$3=2,VLOOKUP(C211,[2]List1!$A:$D,2,FALSE)*1.08,VLOOKUP(C211,[2]List1!$A:$D,2,FALSE)),0),"NEUVEDENO!")</f>
        <v>229</v>
      </c>
      <c r="G211" s="730">
        <f t="shared" si="339"/>
        <v>229</v>
      </c>
      <c r="H211" s="731">
        <f t="shared" si="340"/>
        <v>9.3055764377928316</v>
      </c>
      <c r="I211" s="732">
        <v>15</v>
      </c>
      <c r="J211" s="729" t="s">
        <v>46</v>
      </c>
      <c r="K211" s="729" t="s">
        <v>14734</v>
      </c>
      <c r="L211" s="729" t="s">
        <v>14374</v>
      </c>
      <c r="M211" s="729" t="s">
        <v>25</v>
      </c>
      <c r="N211" s="729">
        <f>IFERROR(VLOOKUP(C211,[3]List1!$A:$D,4,FALSE),"N/A!")</f>
        <v>3.5959999999999999E-2</v>
      </c>
      <c r="O211" s="729">
        <f>IFERROR(VLOOKUP(C211,[3]List1!$A:$D,3,FALSE),"N/A!")</f>
        <v>2400</v>
      </c>
      <c r="P211" s="729">
        <f>IFERROR(VLOOKUP(C211,[3]List1!$A:$D,2,FALSE),"N/A!")</f>
        <v>16335</v>
      </c>
      <c r="Q211" s="729" t="s">
        <v>14093</v>
      </c>
      <c r="R211" s="729" t="s">
        <v>217</v>
      </c>
      <c r="S211" s="729"/>
      <c r="T211" s="729">
        <v>40</v>
      </c>
      <c r="U211" s="729"/>
      <c r="V211" s="729"/>
      <c r="W211" s="729" t="str">
        <f>IFERROR(VLOOKUP('General price list'!$C211,Popisy!A:P,MATCH($W$17,Popisy!$A$7:$P$7,0),FALSE),"---------------")</f>
        <v>20ran barevné světlice, 60cm délka</v>
      </c>
      <c r="X211" s="729" t="str">
        <f t="shared" si="341"/>
        <v/>
      </c>
      <c r="Y211" s="729" t="str">
        <f t="shared" si="342"/>
        <v/>
      </c>
      <c r="Z211" s="729" t="str">
        <f>HYPERLINK("https://www.klasekpyrotechnics.cz/r6020b")</f>
        <v>https://www.klasekpyrotechnics.cz/r6020b</v>
      </c>
      <c r="AA211" s="729">
        <f>IFERROR(IF(VLOOKUP(C211,[4]List1!$A:$D,4,FALSE)=0,"",VLOOKUP(C211,[4]List1!$A:$D,4,FALSE)),"")</f>
        <v>36</v>
      </c>
      <c r="AB211" s="720"/>
      <c r="AC211" s="733" t="str">
        <f>IFERROR(IF(VLOOKUP(C211,[1]List1!$A:$D,2,FALSE)="VYPRODÁNO",$V$9,IF(VLOOKUP(C211,[1]List1!$A:$D,2,FALSE)="DOCHÁZÍ",$V$3,VLOOKUP(C211,[1]List1!$A:$D,2,FALSE))),"OFFLINE!")</f>
        <v>SKLADEM</v>
      </c>
      <c r="AD211" s="734" t="str">
        <f ca="1">IF(AP211="NE",$V$10,IF(AC211=$V$3,IF(AQ211&lt;1,$V$8,$V$2&amp;" "&amp;AQ211&amp;" "&amp;$V$1),IF(AC211="SKLADEM",$V$6,IFERROR(IF(OR(AC211-TODAY()&gt;45,VLOOKUP(C211,[1]List1!$A:$E,4,FALSE)=0),AC211,DAY(AC211)&amp;"."&amp;MONTH(AC211)&amp;"."&amp;YEAR(AC211)&amp;" "&amp;$V$4&amp;VLOOKUP(C211,[1]List1!$A:$E,4,FALSE)&amp;" "&amp;$V$1),AC211))))</f>
        <v>SKLADEM</v>
      </c>
      <c r="AE211" s="729" t="str">
        <f t="shared" ca="1" si="343"/>
        <v>SKLADEM</v>
      </c>
      <c r="AF211" s="735">
        <f t="shared" si="344"/>
        <v>0</v>
      </c>
      <c r="AG211" s="735">
        <f t="shared" si="345"/>
        <v>0</v>
      </c>
      <c r="AH211" s="736">
        <f t="shared" si="346"/>
        <v>0</v>
      </c>
      <c r="AI211" s="729">
        <f t="shared" si="347"/>
        <v>0</v>
      </c>
      <c r="AJ211" s="729">
        <f t="shared" si="348"/>
        <v>0</v>
      </c>
      <c r="AK211" s="729" t="str">
        <f t="shared" si="349"/>
        <v/>
      </c>
      <c r="AL211" s="729" t="str">
        <f t="shared" si="350"/>
        <v/>
      </c>
      <c r="AM211" s="729">
        <f t="shared" si="351"/>
        <v>0</v>
      </c>
      <c r="AN211" s="729">
        <f t="shared" si="352"/>
        <v>0</v>
      </c>
      <c r="AO211" s="380"/>
      <c r="AP211" s="322" t="str">
        <f t="shared" si="233"/>
        <v/>
      </c>
      <c r="AQ211" s="323" t="str">
        <f>IF(AC211=$V$3,IF(VLOOKUP(C211,[1]List1!$A:$E,5,FALSE)=0,1,VLOOKUP(C211,[1]List1!$A:$E,5,FALSE)),"")</f>
        <v/>
      </c>
      <c r="AR211" s="304" t="str">
        <f t="shared" si="234"/>
        <v/>
      </c>
      <c r="AS211" s="423" t="str">
        <f t="shared" si="235"/>
        <v/>
      </c>
      <c r="AT211" s="304" t="str">
        <f t="shared" si="236"/>
        <v/>
      </c>
      <c r="AU211" s="342" t="e">
        <f t="shared" si="237"/>
        <v>#N/A</v>
      </c>
      <c r="AV211" s="304" t="e">
        <f t="shared" si="238"/>
        <v>#N/A</v>
      </c>
      <c r="AX211" s="304">
        <f>IF(AND('General price list'!$J211="F4",'General price list'!$AB211+0&gt;0),1,0)</f>
        <v>0</v>
      </c>
      <c r="AY211" s="304">
        <f t="shared" si="239"/>
        <v>1</v>
      </c>
      <c r="AZ211" s="304">
        <f t="shared" si="240"/>
        <v>1</v>
      </c>
    </row>
    <row r="212" spans="1:52" ht="15" customHeight="1">
      <c r="A212" s="712" t="str">
        <f>Kat.!C212</f>
        <v/>
      </c>
      <c r="B212" s="737">
        <f>IF(AND('General price list'!$J212="F4",$AI$1=FALSE),0,IF(AC212="SKLADEM",1,IF(AC212=$V$3,1,0)))</f>
        <v>1</v>
      </c>
      <c r="C212" s="714" t="s">
        <v>623</v>
      </c>
      <c r="D212" s="715" t="s">
        <v>624</v>
      </c>
      <c r="E212" s="716" t="s">
        <v>619</v>
      </c>
      <c r="F212" s="712">
        <f>IFERROR(ROUND(IF($AL$3=2,VLOOKUP(C212,[2]List1!$A:$D,2,FALSE)*1.08,VLOOKUP(C212,[2]List1!$A:$D,2,FALSE)),0),"NEUVEDENO!")</f>
        <v>139</v>
      </c>
      <c r="G212" s="717">
        <f t="shared" si="339"/>
        <v>139</v>
      </c>
      <c r="H212" s="718">
        <f t="shared" si="340"/>
        <v>5.6483629906253432</v>
      </c>
      <c r="I212" s="738">
        <v>25</v>
      </c>
      <c r="J212" s="716" t="s">
        <v>46</v>
      </c>
      <c r="K212" s="716" t="s">
        <v>14734</v>
      </c>
      <c r="L212" s="716" t="s">
        <v>14373</v>
      </c>
      <c r="M212" s="716" t="s">
        <v>25</v>
      </c>
      <c r="N212" s="716">
        <f>IFERROR(VLOOKUP(C212,[3]List1!$A:$D,4,FALSE),"N/A!")</f>
        <v>3.6432000000000006E-2</v>
      </c>
      <c r="O212" s="716">
        <f>IFERROR(VLOOKUP(C212,[3]List1!$A:$D,3,FALSE),"N/A!")</f>
        <v>2400</v>
      </c>
      <c r="P212" s="716">
        <f>IFERROR(VLOOKUP(C212,[3]List1!$A:$D,2,FALSE),"N/A!")</f>
        <v>15800</v>
      </c>
      <c r="Q212" s="716" t="s">
        <v>1110</v>
      </c>
      <c r="R212" s="716" t="s">
        <v>640</v>
      </c>
      <c r="S212" s="716"/>
      <c r="T212" s="716">
        <v>40</v>
      </c>
      <c r="U212" s="716"/>
      <c r="V212" s="716"/>
      <c r="W212" s="716" t="str">
        <f>IFERROR(VLOOKUP('General price list'!$C212,Popisy!A:P,MATCH($W$17,Popisy!$A$7:$P$7,0),FALSE),"---------------")</f>
        <v>10ran barevné světlice+10 ran práskající komety, 65cm délka</v>
      </c>
      <c r="X212" s="716" t="str">
        <f t="shared" si="341"/>
        <v/>
      </c>
      <c r="Y212" s="716" t="str">
        <f t="shared" si="342"/>
        <v/>
      </c>
      <c r="Z212" s="716" t="str">
        <f>HYPERLINK("https://www.klasekpyrotechnics.cz/r6520bk-2")</f>
        <v>https://www.klasekpyrotechnics.cz/r6520bk-2</v>
      </c>
      <c r="AA212" s="716">
        <f>IFERROR(IF(VLOOKUP(C212,[4]List1!$A:$D,4,FALSE)=0,"",VLOOKUP(C212,[4]List1!$A:$D,4,FALSE)),"")</f>
        <v>28</v>
      </c>
      <c r="AB212" s="720"/>
      <c r="AC212" s="739" t="str">
        <f>IFERROR(IF(VLOOKUP(C212,[1]List1!$A:$D,2,FALSE)="VYPRODÁNO",$V$9,IF(VLOOKUP(C212,[1]List1!$A:$D,2,FALSE)="DOCHÁZÍ",$V$3,VLOOKUP(C212,[1]List1!$A:$D,2,FALSE))),"OFFLINE!")</f>
        <v>SKLADEM</v>
      </c>
      <c r="AD212" s="740" t="str">
        <f ca="1">IF(AP212="NE",$V$10,IF(AC212=$V$3,IF(AQ212&lt;1,$V$8,$V$2&amp;" "&amp;AQ212&amp;" "&amp;$V$1),IF(AC212="SKLADEM",$V$6,IFERROR(IF(OR(AC212-TODAY()&gt;45,VLOOKUP(C212,[1]List1!$A:$E,4,FALSE)=0),AC212,DAY(AC212)&amp;"."&amp;MONTH(AC212)&amp;"."&amp;YEAR(AC212)&amp;" "&amp;$V$4&amp;VLOOKUP(C212,[1]List1!$A:$E,4,FALSE)&amp;" "&amp;$V$1),AC212))))</f>
        <v>SKLADEM</v>
      </c>
      <c r="AE212" s="716" t="str">
        <f t="shared" ca="1" si="343"/>
        <v>SKLADEM</v>
      </c>
      <c r="AF212" s="723">
        <f t="shared" si="344"/>
        <v>0</v>
      </c>
      <c r="AG212" s="723">
        <f t="shared" si="345"/>
        <v>0</v>
      </c>
      <c r="AH212" s="724">
        <f t="shared" si="346"/>
        <v>0</v>
      </c>
      <c r="AI212" s="716">
        <f t="shared" si="347"/>
        <v>0</v>
      </c>
      <c r="AJ212" s="716">
        <f t="shared" si="348"/>
        <v>0</v>
      </c>
      <c r="AK212" s="716" t="str">
        <f t="shared" si="349"/>
        <v/>
      </c>
      <c r="AL212" s="716" t="str">
        <f t="shared" si="350"/>
        <v/>
      </c>
      <c r="AM212" s="716">
        <f t="shared" si="351"/>
        <v>0</v>
      </c>
      <c r="AN212" s="716">
        <f t="shared" si="352"/>
        <v>0</v>
      </c>
      <c r="AO212" s="380"/>
      <c r="AP212" s="322" t="str">
        <f t="shared" si="233"/>
        <v/>
      </c>
      <c r="AQ212" s="323" t="str">
        <f>IF(AC212=$V$3,IF(VLOOKUP(C212,[1]List1!$A:$E,5,FALSE)=0,1,VLOOKUP(C212,[1]List1!$A:$E,5,FALSE)),"")</f>
        <v/>
      </c>
      <c r="AR212" s="304" t="str">
        <f t="shared" si="234"/>
        <v/>
      </c>
      <c r="AS212" s="423" t="str">
        <f t="shared" si="235"/>
        <v/>
      </c>
      <c r="AT212" s="304" t="str">
        <f t="shared" si="236"/>
        <v/>
      </c>
      <c r="AU212" s="342" t="e">
        <f t="shared" si="237"/>
        <v>#N/A</v>
      </c>
      <c r="AV212" s="304" t="e">
        <f t="shared" si="238"/>
        <v>#N/A</v>
      </c>
      <c r="AX212" s="304">
        <f>IF(AND('General price list'!$J212="F4",'General price list'!$AB212+0&gt;0),1,0)</f>
        <v>0</v>
      </c>
      <c r="AY212" s="304">
        <f t="shared" si="239"/>
        <v>1</v>
      </c>
      <c r="AZ212" s="304">
        <f t="shared" si="240"/>
        <v>1</v>
      </c>
    </row>
    <row r="213" spans="1:52" ht="15" customHeight="1">
      <c r="A213" s="725" t="str">
        <f>Kat.!C213</f>
        <v/>
      </c>
      <c r="B213" s="726">
        <f>IF(AND('General price list'!$J213="F4",$AI$1=FALSE),0,IF(AC213="SKLADEM",1,IF(AC213=$V$3,1,0)))</f>
        <v>1</v>
      </c>
      <c r="C213" s="727" t="s">
        <v>626</v>
      </c>
      <c r="D213" s="728" t="s">
        <v>627</v>
      </c>
      <c r="E213" s="729" t="s">
        <v>625</v>
      </c>
      <c r="F213" s="725">
        <f>IFERROR(ROUND(IF($AL$3=2,VLOOKUP(C213,[2]List1!$A:$D,2,FALSE)*1.08,VLOOKUP(C213,[2]List1!$A:$D,2,FALSE)),0),"NEUVEDENO!")</f>
        <v>136</v>
      </c>
      <c r="G213" s="730">
        <f t="shared" si="339"/>
        <v>136</v>
      </c>
      <c r="H213" s="731">
        <f t="shared" si="340"/>
        <v>5.5264558757197602</v>
      </c>
      <c r="I213" s="732">
        <v>30</v>
      </c>
      <c r="J213" s="729" t="s">
        <v>46</v>
      </c>
      <c r="K213" s="729"/>
      <c r="L213" s="729" t="s">
        <v>14375</v>
      </c>
      <c r="M213" s="729" t="s">
        <v>25</v>
      </c>
      <c r="N213" s="729">
        <f>IFERROR(VLOOKUP(C213,[3]List1!$A:$D,4,FALSE),"N/A!")</f>
        <v>3.9215000000000007E-2</v>
      </c>
      <c r="O213" s="729">
        <f>IFERROR(VLOOKUP(C213,[3]List1!$A:$D,3,FALSE),"N/A!")</f>
        <v>2880</v>
      </c>
      <c r="P213" s="729">
        <f>IFERROR(VLOOKUP(C213,[3]List1!$A:$D,2,FALSE),"N/A!")</f>
        <v>19920</v>
      </c>
      <c r="Q213" s="729" t="s">
        <v>1110</v>
      </c>
      <c r="R213" s="729" t="s">
        <v>640</v>
      </c>
      <c r="S213" s="729"/>
      <c r="T213" s="729">
        <v>40</v>
      </c>
      <c r="U213" s="729"/>
      <c r="V213" s="729"/>
      <c r="W213" s="729" t="str">
        <f>IFERROR(VLOOKUP('General price list'!$C213,Popisy!A:P,MATCH($W$17,Popisy!$A$7:$P$7,0),FALSE),"---------------")</f>
        <v>mix 20ran řím. svící (R5420K-2ks,R6020B,R6520BK,R7020BK-2ks), délka 60cm</v>
      </c>
      <c r="X213" s="729" t="str">
        <f t="shared" si="341"/>
        <v/>
      </c>
      <c r="Y213" s="729" t="str">
        <f t="shared" si="342"/>
        <v/>
      </c>
      <c r="Z213" s="729" t="str">
        <f>HYPERLINK("https://www.klasekpyrotechnics.cz/r6020m")</f>
        <v>https://www.klasekpyrotechnics.cz/r6020m</v>
      </c>
      <c r="AA213" s="729">
        <f>IFERROR(IF(VLOOKUP(C213,[4]List1!$A:$D,4,FALSE)=0,"",VLOOKUP(C213,[4]List1!$A:$D,4,FALSE)),"")</f>
        <v>30</v>
      </c>
      <c r="AB213" s="720"/>
      <c r="AC213" s="733" t="str">
        <f>IFERROR(IF(VLOOKUP(C213,[1]List1!$A:$D,2,FALSE)="VYPRODÁNO",$V$9,IF(VLOOKUP(C213,[1]List1!$A:$D,2,FALSE)="DOCHÁZÍ",$V$3,VLOOKUP(C213,[1]List1!$A:$D,2,FALSE))),"OFFLINE!")</f>
        <v>SKLADEM</v>
      </c>
      <c r="AD213" s="734" t="str">
        <f ca="1">IF(AP213="NE",$V$10,IF(AC213=$V$3,IF(AQ213&lt;1,$V$8,$V$2&amp;" "&amp;AQ213&amp;" "&amp;$V$1),IF(AC213="SKLADEM",$V$6,IFERROR(IF(OR(AC213-TODAY()&gt;45,VLOOKUP(C213,[1]List1!$A:$E,4,FALSE)=0),AC213,DAY(AC213)&amp;"."&amp;MONTH(AC213)&amp;"."&amp;YEAR(AC213)&amp;" "&amp;$V$4&amp;VLOOKUP(C213,[1]List1!$A:$E,4,FALSE)&amp;" "&amp;$V$1),AC213))))</f>
        <v>SKLADEM</v>
      </c>
      <c r="AE213" s="729" t="str">
        <f t="shared" ca="1" si="343"/>
        <v>SKLADEM</v>
      </c>
      <c r="AF213" s="735">
        <f t="shared" si="344"/>
        <v>0</v>
      </c>
      <c r="AG213" s="735">
        <f t="shared" si="345"/>
        <v>0</v>
      </c>
      <c r="AH213" s="736">
        <f t="shared" si="346"/>
        <v>0</v>
      </c>
      <c r="AI213" s="729">
        <f t="shared" si="347"/>
        <v>0</v>
      </c>
      <c r="AJ213" s="729">
        <f t="shared" si="348"/>
        <v>0</v>
      </c>
      <c r="AK213" s="729" t="str">
        <f t="shared" si="349"/>
        <v/>
      </c>
      <c r="AL213" s="729" t="str">
        <f t="shared" si="350"/>
        <v/>
      </c>
      <c r="AM213" s="729">
        <f t="shared" si="351"/>
        <v>0</v>
      </c>
      <c r="AN213" s="729">
        <f t="shared" si="352"/>
        <v>0</v>
      </c>
      <c r="AO213" s="380"/>
      <c r="AP213" s="322" t="str">
        <f t="shared" si="233"/>
        <v/>
      </c>
      <c r="AQ213" s="323" t="str">
        <f>IF(AC213=$V$3,IF(VLOOKUP(C213,[1]List1!$A:$E,5,FALSE)=0,1,VLOOKUP(C213,[1]List1!$A:$E,5,FALSE)),"")</f>
        <v/>
      </c>
      <c r="AR213" s="304" t="str">
        <f t="shared" si="234"/>
        <v/>
      </c>
      <c r="AS213" s="423" t="str">
        <f t="shared" si="235"/>
        <v/>
      </c>
      <c r="AT213" s="304" t="str">
        <f t="shared" si="236"/>
        <v/>
      </c>
      <c r="AU213" s="342" t="e">
        <f t="shared" si="237"/>
        <v>#N/A</v>
      </c>
      <c r="AV213" s="304" t="e">
        <f t="shared" si="238"/>
        <v>#N/A</v>
      </c>
      <c r="AX213" s="304">
        <f>IF(AND('General price list'!$J213="F4",'General price list'!$AB213+0&gt;0),1,0)</f>
        <v>0</v>
      </c>
      <c r="AY213" s="304">
        <f t="shared" si="239"/>
        <v>1</v>
      </c>
      <c r="AZ213" s="304">
        <f t="shared" si="240"/>
        <v>1</v>
      </c>
    </row>
    <row r="214" spans="1:52" ht="15" customHeight="1">
      <c r="A214" s="712" t="str">
        <f>Kat.!C214</f>
        <v/>
      </c>
      <c r="B214" s="737">
        <f>IF(AND('General price list'!$J214="F4",$AI$1=FALSE),0,IF(AC214="SKLADEM",1,IF(AC214=$V$3,1,0)))</f>
        <v>1</v>
      </c>
      <c r="C214" s="714" t="s">
        <v>631</v>
      </c>
      <c r="D214" s="715" t="s">
        <v>627</v>
      </c>
      <c r="E214" s="716" t="s">
        <v>605</v>
      </c>
      <c r="F214" s="712">
        <f>IFERROR(ROUND(IF($AL$3=2,VLOOKUP(C214,[2]List1!$A:$D,2,FALSE)*1.08,VLOOKUP(C214,[2]List1!$A:$D,2,FALSE)),0),"NEUVEDENO!")</f>
        <v>282</v>
      </c>
      <c r="G214" s="717">
        <f t="shared" si="339"/>
        <v>282</v>
      </c>
      <c r="H214" s="718">
        <f t="shared" si="340"/>
        <v>11.459268801124797</v>
      </c>
      <c r="I214" s="738">
        <v>15</v>
      </c>
      <c r="J214" s="716" t="s">
        <v>46</v>
      </c>
      <c r="K214" s="716" t="s">
        <v>12734</v>
      </c>
      <c r="L214" s="716" t="s">
        <v>14375</v>
      </c>
      <c r="M214" s="716" t="s">
        <v>25</v>
      </c>
      <c r="N214" s="716">
        <f>IFERROR(VLOOKUP(C214,[3]List1!$A:$D,4,FALSE),"N/A!")</f>
        <v>4.7879999999999999E-2</v>
      </c>
      <c r="O214" s="716">
        <f>IFERROR(VLOOKUP(C214,[3]List1!$A:$D,3,FALSE),"N/A!")</f>
        <v>2880</v>
      </c>
      <c r="P214" s="716">
        <f>IFERROR(VLOOKUP(C214,[3]List1!$A:$D,2,FALSE),"N/A!")</f>
        <v>21450</v>
      </c>
      <c r="Q214" s="716" t="s">
        <v>1110</v>
      </c>
      <c r="R214" s="716" t="s">
        <v>217</v>
      </c>
      <c r="S214" s="716"/>
      <c r="T214" s="716">
        <v>40</v>
      </c>
      <c r="U214" s="716"/>
      <c r="V214" s="716"/>
      <c r="W214" s="716" t="str">
        <f>IFERROR(VLOOKUP('General price list'!$C214,Popisy!A:P,MATCH($W$17,Popisy!$A$7:$P$7,0),FALSE),"---------------")</f>
        <v>mix 20ran řím. svící (po 3ks-R7020K,R6020B,R6520BK,R7020BK), délka 70cm</v>
      </c>
      <c r="X214" s="716" t="str">
        <f t="shared" si="341"/>
        <v/>
      </c>
      <c r="Y214" s="716" t="str">
        <f t="shared" si="342"/>
        <v/>
      </c>
      <c r="Z214" s="716" t="str">
        <f>HYPERLINK("https://www.klasekpyrotechnics.cz/r7020m")</f>
        <v>https://www.klasekpyrotechnics.cz/r7020m</v>
      </c>
      <c r="AA214" s="716">
        <f>IFERROR(IF(VLOOKUP(C214,[4]List1!$A:$D,4,FALSE)=0,"",VLOOKUP(C214,[4]List1!$A:$D,4,FALSE)),"")</f>
        <v>27</v>
      </c>
      <c r="AB214" s="720"/>
      <c r="AC214" s="739" t="str">
        <f>IFERROR(IF(VLOOKUP(C214,[1]List1!$A:$D,2,FALSE)="VYPRODÁNO",$V$9,IF(VLOOKUP(C214,[1]List1!$A:$D,2,FALSE)="DOCHÁZÍ",$V$3,VLOOKUP(C214,[1]List1!$A:$D,2,FALSE))),"OFFLINE!")</f>
        <v>SKLADEM</v>
      </c>
      <c r="AD214" s="740" t="str">
        <f ca="1">IF(AP214="NE",$V$10,IF(AC214=$V$3,IF(AQ214&lt;1,$V$8,$V$2&amp;" "&amp;AQ214&amp;" "&amp;$V$1),IF(AC214="SKLADEM",$V$6,IFERROR(IF(OR(AC214-TODAY()&gt;45,VLOOKUP(C214,[1]List1!$A:$E,4,FALSE)=0),AC214,DAY(AC214)&amp;"."&amp;MONTH(AC214)&amp;"."&amp;YEAR(AC214)&amp;" "&amp;$V$4&amp;VLOOKUP(C214,[1]List1!$A:$E,4,FALSE)&amp;" "&amp;$V$1),AC214))))</f>
        <v>SKLADEM</v>
      </c>
      <c r="AE214" s="716" t="str">
        <f t="shared" ca="1" si="343"/>
        <v>SKLADEM</v>
      </c>
      <c r="AF214" s="723">
        <f t="shared" si="344"/>
        <v>0</v>
      </c>
      <c r="AG214" s="723">
        <f t="shared" si="345"/>
        <v>0</v>
      </c>
      <c r="AH214" s="724">
        <f t="shared" si="346"/>
        <v>0</v>
      </c>
      <c r="AI214" s="716">
        <f t="shared" si="347"/>
        <v>0</v>
      </c>
      <c r="AJ214" s="716">
        <f t="shared" si="348"/>
        <v>0</v>
      </c>
      <c r="AK214" s="716" t="str">
        <f t="shared" si="349"/>
        <v/>
      </c>
      <c r="AL214" s="716" t="str">
        <f t="shared" si="350"/>
        <v/>
      </c>
      <c r="AM214" s="716">
        <f t="shared" si="351"/>
        <v>0</v>
      </c>
      <c r="AN214" s="716">
        <f t="shared" si="352"/>
        <v>0</v>
      </c>
      <c r="AO214" s="380"/>
      <c r="AP214" s="322" t="str">
        <f t="shared" si="233"/>
        <v/>
      </c>
      <c r="AQ214" s="323" t="str">
        <f>IF(AC214=$V$3,IF(VLOOKUP(C214,[1]List1!$A:$E,5,FALSE)=0,1,VLOOKUP(C214,[1]List1!$A:$E,5,FALSE)),"")</f>
        <v/>
      </c>
      <c r="AR214" s="304" t="str">
        <f t="shared" si="234"/>
        <v/>
      </c>
      <c r="AS214" s="423" t="str">
        <f t="shared" si="235"/>
        <v/>
      </c>
      <c r="AT214" s="304" t="str">
        <f t="shared" si="236"/>
        <v/>
      </c>
      <c r="AU214" s="342" t="e">
        <f t="shared" si="237"/>
        <v>#N/A</v>
      </c>
      <c r="AV214" s="304" t="e">
        <f t="shared" si="238"/>
        <v>#N/A</v>
      </c>
      <c r="AX214" s="304">
        <f>IF(AND('General price list'!$J214="F4",'General price list'!$AB214+0&gt;0),1,0)</f>
        <v>0</v>
      </c>
      <c r="AY214" s="304">
        <f t="shared" si="239"/>
        <v>1</v>
      </c>
      <c r="AZ214" s="304">
        <f t="shared" si="240"/>
        <v>1</v>
      </c>
    </row>
    <row r="215" spans="1:52" ht="15" customHeight="1">
      <c r="A215" s="773" t="str">
        <f>Kat.!C215</f>
        <v xml:space="preserve">                                                               Římské svíce 20mm</v>
      </c>
      <c r="B215" s="774"/>
      <c r="C215" s="774"/>
      <c r="D215" s="774"/>
      <c r="E215" s="774"/>
      <c r="F215" s="774"/>
      <c r="G215" s="774"/>
      <c r="H215" s="774"/>
      <c r="I215" s="774"/>
      <c r="J215" s="774"/>
      <c r="K215" s="774"/>
      <c r="L215" s="774"/>
      <c r="M215" s="774"/>
      <c r="N215" s="774"/>
      <c r="O215" s="774"/>
      <c r="P215" s="774"/>
      <c r="Q215" s="774"/>
      <c r="R215" s="774"/>
      <c r="S215" s="774"/>
      <c r="T215" s="774"/>
      <c r="U215" s="774"/>
      <c r="V215" s="774"/>
      <c r="W215" s="774"/>
      <c r="X215" s="774"/>
      <c r="Y215" s="774"/>
      <c r="Z215" s="774"/>
      <c r="AA215" s="774" t="str">
        <f>IFERROR(IF(VLOOKUP(C215,[4]List1!$A:$D,4,FALSE)=0,"",VLOOKUP(C215,[4]List1!$A:$D,4,FALSE)),"")</f>
        <v/>
      </c>
      <c r="AB215" s="774"/>
      <c r="AC215" s="775" t="str">
        <f>IFERROR(IF(VLOOKUP(C215,[1]List1!$A:$D,2,FALSE)="VYPRODÁNO",$V$9,IF(VLOOKUP(C215,[1]List1!$A:$D,2,FALSE)="DOCHÁZÍ",$V$3,VLOOKUP(C215,[1]List1!$A:$D,2,FALSE))),"OFFLINE!")</f>
        <v>OFFLINE!</v>
      </c>
      <c r="AD215" s="774"/>
      <c r="AE215" s="774"/>
      <c r="AF215" s="774"/>
      <c r="AG215" s="774"/>
      <c r="AH215" s="774"/>
      <c r="AI215" s="774"/>
      <c r="AJ215" s="774"/>
      <c r="AK215" s="774"/>
      <c r="AL215" s="774"/>
      <c r="AM215" s="774"/>
      <c r="AN215" s="774"/>
      <c r="AO215" s="380"/>
      <c r="AP215" s="322" t="str">
        <f t="shared" ref="AP215:AP278" si="353">IF($AL$3=1,IF(Y215=AB215,"","NE"),IF(AR215=$V$10,"NE",""))</f>
        <v/>
      </c>
      <c r="AQ215" s="323" t="str">
        <f>IF(AC215=$V$3,IF(VLOOKUP(C215,[1]List1!$A:$E,5,FALSE)=0,1,VLOOKUP(C215,[1]List1!$A:$E,5,FALSE)),"")</f>
        <v/>
      </c>
      <c r="AR215" s="304" t="str">
        <f t="shared" ref="AR215:AR278" si="354">IF($AL$3=1,"",IF(OR(AB215&lt;&gt;"",AB215&lt;&gt;0),IF(OR(AC215=$V$6,AC215=$V$3,AC215=$V$9),$V$10,""),""))</f>
        <v/>
      </c>
      <c r="AS215" s="423" t="str">
        <f t="shared" ref="AS215:AS278" si="355">IF(AT215&lt;&gt;"","X","")</f>
        <v/>
      </c>
      <c r="AT215" s="304" t="str">
        <f t="shared" ref="AT215:AT278" si="356">IF(AND($AL$3=2,AR215="",AB215&lt;&gt;""),AD215,"")</f>
        <v/>
      </c>
      <c r="AU215" s="342" t="e">
        <f t="shared" ref="AU215:AU278" si="357">IF(AT215=$AS$21,AB215,"")</f>
        <v>#N/A</v>
      </c>
      <c r="AV215" s="304" t="e">
        <f t="shared" ref="AV215:AV278" si="358">IF(OR(AB215="",AND(AT215&lt;&gt;"",AU215&lt;&gt;"")),"",$V$10)</f>
        <v>#N/A</v>
      </c>
      <c r="AX215" s="304">
        <f>IF(AND('General price list'!$J215="F4",'General price list'!$AB215+0&gt;0),1,0)</f>
        <v>0</v>
      </c>
      <c r="AY215" s="304">
        <f t="shared" ref="AY215:AY278" si="359">IFERROR(FIND(VLOOKUP($AC$7,$AD$1:$AE$12,2,FALSE),Q215,1),0)</f>
        <v>0</v>
      </c>
      <c r="AZ215" s="304">
        <f t="shared" ref="AZ215:AZ278" si="360">IFERROR(FIND(VLOOKUP($AC$7,$AD$1:$AE$12,2,FALSE),R215,1),0)</f>
        <v>0</v>
      </c>
    </row>
    <row r="216" spans="1:52" ht="15" customHeight="1">
      <c r="A216" s="712" t="str">
        <f>Kat.!C216</f>
        <v/>
      </c>
      <c r="B216" s="713">
        <f>IF(AND('General price list'!$J216="F4",$AI$1=FALSE),0,IF(AC216="SKLADEM",1,IF(AC216=$V$3,1,0)))</f>
        <v>1</v>
      </c>
      <c r="C216" s="714" t="s">
        <v>641</v>
      </c>
      <c r="D216" s="715" t="s">
        <v>642</v>
      </c>
      <c r="E216" s="716" t="s">
        <v>643</v>
      </c>
      <c r="F216" s="712">
        <f>IFERROR(ROUND(IF($AL$3=2,VLOOKUP(C216,[2]List1!$A:$D,2,FALSE)*1.08,VLOOKUP(C216,[2]List1!$A:$D,2,FALSE)),0),"NEUVEDENO!")</f>
        <v>113</v>
      </c>
      <c r="G216" s="717">
        <f t="shared" ref="G216:G221" si="361">(F216)*$B$19</f>
        <v>113</v>
      </c>
      <c r="H216" s="718">
        <f t="shared" ref="H216:H221" si="362">G216/$F$19</f>
        <v>4.5918346614436247</v>
      </c>
      <c r="I216" s="719">
        <v>48</v>
      </c>
      <c r="J216" s="716" t="s">
        <v>137</v>
      </c>
      <c r="K216" s="716"/>
      <c r="L216" s="716" t="s">
        <v>24</v>
      </c>
      <c r="M216" s="716" t="s">
        <v>138</v>
      </c>
      <c r="N216" s="716">
        <f>IFERROR(VLOOKUP(C216,[3]List1!$A:$D,4,FALSE),"N/A!")</f>
        <v>4.8960000000000004E-2</v>
      </c>
      <c r="O216" s="716">
        <f>IFERROR(VLOOKUP(C216,[3]List1!$A:$D,3,FALSE),"N/A!")</f>
        <v>3302.3999999999996</v>
      </c>
      <c r="P216" s="716">
        <f>IFERROR(VLOOKUP(C216,[3]List1!$A:$D,2,FALSE),"N/A!")</f>
        <v>23532</v>
      </c>
      <c r="Q216" s="716" t="s">
        <v>14114</v>
      </c>
      <c r="R216" s="716" t="s">
        <v>640</v>
      </c>
      <c r="S216" s="716"/>
      <c r="T216" s="716">
        <v>30</v>
      </c>
      <c r="U216" s="716"/>
      <c r="V216" s="716"/>
      <c r="W216" s="716" t="str">
        <f>IFERROR(VLOOKUP('General price list'!$C216,Popisy!A:P,MATCH($W$17,Popisy!$A$7:$P$7,0),FALSE),"---------------")</f>
        <v>8ran stříbrná stop+titanová detonace s práskajícími hvězdami, 58cm délka</v>
      </c>
      <c r="X216" s="716" t="str">
        <f t="shared" ref="X216:X221" si="363">IF(AB216&lt;0.0001,"",AB216)</f>
        <v/>
      </c>
      <c r="Y216" s="716" t="str">
        <f t="shared" ref="Y216:Y221" si="364">IF($AL$3=2,IF(OR(AB216&lt;&gt;"",AB216&lt;&gt;0),AU216,""),IF(C216="","",IF(AB216&lt;0.0001,"",IF(B216=0,"",IF(AQ216&lt;AB216,"",AB216)))))</f>
        <v/>
      </c>
      <c r="Z216" s="716" t="str">
        <f>HYPERLINK("https://www.klasekpyrotechnics.cz/r5808d")</f>
        <v>https://www.klasekpyrotechnics.cz/r5808d</v>
      </c>
      <c r="AA216" s="716">
        <f>IFERROR(IF(VLOOKUP(C216,[4]List1!$A:$D,4,FALSE)=0,"",VLOOKUP(C216,[4]List1!$A:$D,4,FALSE)),"")</f>
        <v>30</v>
      </c>
      <c r="AB216" s="720"/>
      <c r="AC216" s="721" t="str">
        <f>IFERROR(IF(VLOOKUP(C216,[1]List1!$A:$D,2,FALSE)="VYPRODÁNO",$V$9,IF(VLOOKUP(C216,[1]List1!$A:$D,2,FALSE)="DOCHÁZÍ",$V$3,VLOOKUP(C216,[1]List1!$A:$D,2,FALSE))),"OFFLINE!")</f>
        <v>SKLADEM</v>
      </c>
      <c r="AD216" s="722" t="str">
        <f ca="1">IF(AP216="NE",$V$10,IF(AC216=$V$3,IF(AQ216&lt;1,$V$8,$V$2&amp;" "&amp;AQ216&amp;" "&amp;$V$1),IF(AC216="SKLADEM",$V$6,IFERROR(IF(OR(AC216-TODAY()&gt;45,VLOOKUP(C216,[1]List1!$A:$E,4,FALSE)=0),AC216,DAY(AC216)&amp;"."&amp;MONTH(AC216)&amp;"."&amp;YEAR(AC216)&amp;" "&amp;$V$4&amp;VLOOKUP(C216,[1]List1!$A:$E,4,FALSE)&amp;" "&amp;$V$1),AC216))))</f>
        <v>SKLADEM</v>
      </c>
      <c r="AE216" s="716" t="str">
        <f t="shared" ref="AE216:AE221" ca="1" si="365">IFERROR(IF(AV216&lt;&gt;"",AV216,AD216),AD216)</f>
        <v>SKLADEM</v>
      </c>
      <c r="AF216" s="723">
        <f t="shared" ref="AF216:AF221" si="366">IFERROR(IF(AB216=Y216,G216*I216*Y216,0),0)</f>
        <v>0</v>
      </c>
      <c r="AG216" s="723">
        <f t="shared" ref="AG216:AG221" si="367">IF($W$17=$AF$8,AH216*1.23,AF216*1.21)</f>
        <v>0</v>
      </c>
      <c r="AH216" s="724">
        <f t="shared" ref="AH216:AH221" si="368">IFERROR(IF(Y216=AB216,H216*I216*Y216,0),0)</f>
        <v>0</v>
      </c>
      <c r="AI216" s="716">
        <f t="shared" ref="AI216:AI221" si="369">IFERROR(IF(Y216=AB216,(P216*Y216)/1000,1),0)</f>
        <v>0</v>
      </c>
      <c r="AJ216" s="716">
        <f t="shared" ref="AJ216:AJ221" si="370">IFERROR(IF(Y216=AB216,N216*Y216,0.1),0)</f>
        <v>0</v>
      </c>
      <c r="AK216" s="716" t="str">
        <f t="shared" ref="AK216:AK221" si="371">IFERROR(IF(Y216=AB216,IF(M216="1.1G",(O216/1000)*Y216,""),""),0)</f>
        <v/>
      </c>
      <c r="AL216" s="716">
        <f t="shared" ref="AL216:AL221" si="372">IFERROR(IF(Y216=AB216,IF(M216="1.3G",(O216/1000)*AB216,""),""),0)</f>
        <v>0</v>
      </c>
      <c r="AM216" s="716" t="str">
        <f t="shared" ref="AM216:AM221" si="373">IFERROR(IF(Y216=AB216,IF(M216="1.4G",(O216/1000)*AB216,""),""),0)</f>
        <v/>
      </c>
      <c r="AN216" s="716">
        <f t="shared" ref="AN216:AN221" si="374">SUM(AK216:AM216)</f>
        <v>0</v>
      </c>
      <c r="AO216" s="380"/>
      <c r="AP216" s="322" t="str">
        <f t="shared" si="353"/>
        <v/>
      </c>
      <c r="AQ216" s="323" t="str">
        <f>IF(AC216=$V$3,IF(VLOOKUP(C216,[1]List1!$A:$E,5,FALSE)=0,1,VLOOKUP(C216,[1]List1!$A:$E,5,FALSE)),"")</f>
        <v/>
      </c>
      <c r="AR216" s="304" t="str">
        <f t="shared" si="354"/>
        <v/>
      </c>
      <c r="AS216" s="423" t="str">
        <f t="shared" si="355"/>
        <v/>
      </c>
      <c r="AT216" s="304" t="str">
        <f t="shared" si="356"/>
        <v/>
      </c>
      <c r="AU216" s="342" t="e">
        <f t="shared" si="357"/>
        <v>#N/A</v>
      </c>
      <c r="AV216" s="304" t="e">
        <f t="shared" si="358"/>
        <v>#N/A</v>
      </c>
      <c r="AX216" s="304">
        <f>IF(AND('General price list'!$J216="F4",'General price list'!$AB216+0&gt;0),1,0)</f>
        <v>0</v>
      </c>
      <c r="AY216" s="304">
        <f t="shared" si="359"/>
        <v>0</v>
      </c>
      <c r="AZ216" s="304">
        <f t="shared" si="360"/>
        <v>1</v>
      </c>
    </row>
    <row r="217" spans="1:52" ht="15" customHeight="1">
      <c r="A217" s="725" t="str">
        <f>Kat.!C217</f>
        <v/>
      </c>
      <c r="B217" s="726">
        <f>IF(AND('General price list'!$J217="F4",$AI$1=FALSE),0,IF(AC217="SKLADEM",1,IF(AC217=$V$3,1,0)))</f>
        <v>1</v>
      </c>
      <c r="C217" s="727" t="s">
        <v>648</v>
      </c>
      <c r="D217" s="728" t="s">
        <v>649</v>
      </c>
      <c r="E217" s="729" t="s">
        <v>408</v>
      </c>
      <c r="F217" s="725">
        <f>IFERROR(ROUND(IF($AL$3=2,VLOOKUP(C217,[2]List1!$A:$D,2,FALSE)*1.08,VLOOKUP(C217,[2]List1!$A:$D,2,FALSE)),0),"NEUVEDENO!")</f>
        <v>112</v>
      </c>
      <c r="G217" s="730">
        <f t="shared" si="361"/>
        <v>112</v>
      </c>
      <c r="H217" s="731">
        <f t="shared" si="362"/>
        <v>4.5511989564750968</v>
      </c>
      <c r="I217" s="732">
        <v>24</v>
      </c>
      <c r="J217" s="729" t="s">
        <v>137</v>
      </c>
      <c r="K217" s="729"/>
      <c r="L217" s="729" t="s">
        <v>24</v>
      </c>
      <c r="M217" s="729" t="s">
        <v>138</v>
      </c>
      <c r="N217" s="729">
        <f>IFERROR(VLOOKUP(C217,[3]List1!$A:$D,4,FALSE),"N/A!")</f>
        <v>2.5325300000000002E-2</v>
      </c>
      <c r="O217" s="729">
        <f>IFERROR(VLOOKUP(C217,[3]List1!$A:$D,3,FALSE),"N/A!")</f>
        <v>1152</v>
      </c>
      <c r="P217" s="729">
        <f>IFERROR(VLOOKUP(C217,[3]List1!$A:$D,2,FALSE),"N/A!")</f>
        <v>12016</v>
      </c>
      <c r="Q217" s="729" t="s">
        <v>14115</v>
      </c>
      <c r="R217" s="729" t="s">
        <v>640</v>
      </c>
      <c r="S217" s="729"/>
      <c r="T217" s="729">
        <v>35</v>
      </c>
      <c r="U217" s="729"/>
      <c r="V217" s="729"/>
      <c r="W217" s="729" t="str">
        <f>IFERROR(VLOOKUP('General price list'!$C217,Popisy!A:P,MATCH($W$17,Popisy!$A$7:$P$7,0),FALSE),"---------------")</f>
        <v>8ran, 3 různé efekty střídající se po každé ráně, 60cm délka</v>
      </c>
      <c r="X217" s="729" t="str">
        <f t="shared" si="363"/>
        <v/>
      </c>
      <c r="Y217" s="729" t="str">
        <f t="shared" si="364"/>
        <v/>
      </c>
      <c r="Z217" s="729" t="str">
        <f>HYPERLINK("https://www.klasekpyrotechnics.cz/r6008e")</f>
        <v>https://www.klasekpyrotechnics.cz/r6008e</v>
      </c>
      <c r="AA217" s="729">
        <f>IFERROR(IF(VLOOKUP(C217,[4]List1!$A:$D,4,FALSE)=0,"",VLOOKUP(C217,[4]List1!$A:$D,4,FALSE)),"")</f>
        <v>63</v>
      </c>
      <c r="AB217" s="720"/>
      <c r="AC217" s="733" t="str">
        <f>IFERROR(IF(VLOOKUP(C217,[1]List1!$A:$D,2,FALSE)="VYPRODÁNO",$V$9,IF(VLOOKUP(C217,[1]List1!$A:$D,2,FALSE)="DOCHÁZÍ",$V$3,VLOOKUP(C217,[1]List1!$A:$D,2,FALSE))),"OFFLINE!")</f>
        <v>SKLADEM</v>
      </c>
      <c r="AD217" s="734" t="str">
        <f ca="1">IF(AP217="NE",$V$10,IF(AC217=$V$3,IF(AQ217&lt;1,$V$8,$V$2&amp;" "&amp;AQ217&amp;" "&amp;$V$1),IF(AC217="SKLADEM",$V$6,IFERROR(IF(OR(AC217-TODAY()&gt;45,VLOOKUP(C217,[1]List1!$A:$E,4,FALSE)=0),AC217,DAY(AC217)&amp;"."&amp;MONTH(AC217)&amp;"."&amp;YEAR(AC217)&amp;" "&amp;$V$4&amp;VLOOKUP(C217,[1]List1!$A:$E,4,FALSE)&amp;" "&amp;$V$1),AC217))))</f>
        <v>SKLADEM</v>
      </c>
      <c r="AE217" s="729" t="str">
        <f t="shared" ca="1" si="365"/>
        <v>SKLADEM</v>
      </c>
      <c r="AF217" s="735">
        <f t="shared" si="366"/>
        <v>0</v>
      </c>
      <c r="AG217" s="735">
        <f t="shared" si="367"/>
        <v>0</v>
      </c>
      <c r="AH217" s="736">
        <f t="shared" si="368"/>
        <v>0</v>
      </c>
      <c r="AI217" s="729">
        <f t="shared" si="369"/>
        <v>0</v>
      </c>
      <c r="AJ217" s="729">
        <f t="shared" si="370"/>
        <v>0</v>
      </c>
      <c r="AK217" s="729" t="str">
        <f t="shared" si="371"/>
        <v/>
      </c>
      <c r="AL217" s="729">
        <f t="shared" si="372"/>
        <v>0</v>
      </c>
      <c r="AM217" s="729" t="str">
        <f t="shared" si="373"/>
        <v/>
      </c>
      <c r="AN217" s="729">
        <f t="shared" si="374"/>
        <v>0</v>
      </c>
      <c r="AO217" s="380"/>
      <c r="AP217" s="322" t="str">
        <f t="shared" si="353"/>
        <v/>
      </c>
      <c r="AQ217" s="323" t="str">
        <f>IF(AC217=$V$3,IF(VLOOKUP(C217,[1]List1!$A:$E,5,FALSE)=0,1,VLOOKUP(C217,[1]List1!$A:$E,5,FALSE)),"")</f>
        <v/>
      </c>
      <c r="AR217" s="304" t="str">
        <f t="shared" si="354"/>
        <v/>
      </c>
      <c r="AS217" s="423" t="str">
        <f t="shared" si="355"/>
        <v/>
      </c>
      <c r="AT217" s="304" t="str">
        <f t="shared" si="356"/>
        <v/>
      </c>
      <c r="AU217" s="342" t="e">
        <f t="shared" si="357"/>
        <v>#N/A</v>
      </c>
      <c r="AV217" s="304" t="e">
        <f t="shared" si="358"/>
        <v>#N/A</v>
      </c>
      <c r="AX217" s="304">
        <f>IF(AND('General price list'!$J217="F4",'General price list'!$AB217+0&gt;0),1,0)</f>
        <v>0</v>
      </c>
      <c r="AY217" s="304">
        <f t="shared" si="359"/>
        <v>0</v>
      </c>
      <c r="AZ217" s="304">
        <f t="shared" si="360"/>
        <v>1</v>
      </c>
    </row>
    <row r="218" spans="1:52" ht="15" customHeight="1">
      <c r="A218" s="712" t="str">
        <f>Kat.!C218</f>
        <v/>
      </c>
      <c r="B218" s="737">
        <f>IF(AND('General price list'!$J218="F4",$AI$1=FALSE),0,IF(AC218="SKLADEM",1,IF(AC218=$V$3,1,0)))</f>
        <v>1</v>
      </c>
      <c r="C218" s="714" t="s">
        <v>653</v>
      </c>
      <c r="D218" s="715" t="s">
        <v>654</v>
      </c>
      <c r="E218" s="716" t="s">
        <v>639</v>
      </c>
      <c r="F218" s="712">
        <f>IFERROR(ROUND(IF($AL$3=2,VLOOKUP(C218,[2]List1!$A:$D,2,FALSE)*1.08,VLOOKUP(C218,[2]List1!$A:$D,2,FALSE)),0),"NEUVEDENO!")</f>
        <v>207</v>
      </c>
      <c r="G218" s="717">
        <f t="shared" si="361"/>
        <v>207</v>
      </c>
      <c r="H218" s="718">
        <f t="shared" si="362"/>
        <v>8.4115909284852233</v>
      </c>
      <c r="I218" s="738">
        <v>24</v>
      </c>
      <c r="J218" s="716" t="s">
        <v>137</v>
      </c>
      <c r="K218" s="716"/>
      <c r="L218" s="716" t="s">
        <v>24</v>
      </c>
      <c r="M218" s="716" t="s">
        <v>138</v>
      </c>
      <c r="N218" s="716">
        <f>IFERROR(VLOOKUP(C218,[3]List1!$A:$D,4,FALSE),"N/A!")</f>
        <v>4.836E-2</v>
      </c>
      <c r="O218" s="716">
        <f>IFERROR(VLOOKUP(C218,[3]List1!$A:$D,3,FALSE),"N/A!")</f>
        <v>2544</v>
      </c>
      <c r="P218" s="716">
        <f>IFERROR(VLOOKUP(C218,[3]List1!$A:$D,2,FALSE),"N/A!")</f>
        <v>21000</v>
      </c>
      <c r="Q218" s="716" t="s">
        <v>14114</v>
      </c>
      <c r="R218" s="716" t="s">
        <v>640</v>
      </c>
      <c r="S218" s="716"/>
      <c r="T218" s="716">
        <v>35</v>
      </c>
      <c r="U218" s="716"/>
      <c r="V218" s="716"/>
      <c r="W218" s="716" t="str">
        <f>IFERROR(VLOOKUP('General price list'!$C218,Popisy!A:P,MATCH($W$17,Popisy!$A$7:$P$7,0),FALSE),"---------------")</f>
        <v>mix římských svící 8ran(po 1ks R5808D, R6008E, R6008K,R7508E), 60cm délka</v>
      </c>
      <c r="X218" s="716" t="str">
        <f t="shared" si="363"/>
        <v/>
      </c>
      <c r="Y218" s="716" t="str">
        <f t="shared" si="364"/>
        <v/>
      </c>
      <c r="Z218" s="716" t="str">
        <f>HYPERLINK("https://www.klasekpyrotechnics.cz/r6008m")</f>
        <v>https://www.klasekpyrotechnics.cz/r6008m</v>
      </c>
      <c r="AA218" s="716">
        <f>IFERROR(IF(VLOOKUP(C218,[4]List1!$A:$D,4,FALSE)=0,"",VLOOKUP(C218,[4]List1!$A:$D,4,FALSE)),"")</f>
        <v>30</v>
      </c>
      <c r="AB218" s="720"/>
      <c r="AC218" s="739" t="str">
        <f>IFERROR(IF(VLOOKUP(C218,[1]List1!$A:$D,2,FALSE)="VYPRODÁNO",$V$9,IF(VLOOKUP(C218,[1]List1!$A:$D,2,FALSE)="DOCHÁZÍ",$V$3,VLOOKUP(C218,[1]List1!$A:$D,2,FALSE))),"OFFLINE!")</f>
        <v>SKLADEM</v>
      </c>
      <c r="AD218" s="740" t="str">
        <f ca="1">IF(AP218="NE",$V$10,IF(AC218=$V$3,IF(AQ218&lt;1,$V$8,$V$2&amp;" "&amp;AQ218&amp;" "&amp;$V$1),IF(AC218="SKLADEM",$V$6,IFERROR(IF(OR(AC218-TODAY()&gt;45,VLOOKUP(C218,[1]List1!$A:$E,4,FALSE)=0),AC218,DAY(AC218)&amp;"."&amp;MONTH(AC218)&amp;"."&amp;YEAR(AC218)&amp;" "&amp;$V$4&amp;VLOOKUP(C218,[1]List1!$A:$E,4,FALSE)&amp;" "&amp;$V$1),AC218))))</f>
        <v>SKLADEM</v>
      </c>
      <c r="AE218" s="716" t="str">
        <f t="shared" ca="1" si="365"/>
        <v>SKLADEM</v>
      </c>
      <c r="AF218" s="723">
        <f t="shared" si="366"/>
        <v>0</v>
      </c>
      <c r="AG218" s="723">
        <f t="shared" si="367"/>
        <v>0</v>
      </c>
      <c r="AH218" s="724">
        <f t="shared" si="368"/>
        <v>0</v>
      </c>
      <c r="AI218" s="716">
        <f t="shared" si="369"/>
        <v>0</v>
      </c>
      <c r="AJ218" s="716">
        <f t="shared" si="370"/>
        <v>0</v>
      </c>
      <c r="AK218" s="716" t="str">
        <f t="shared" si="371"/>
        <v/>
      </c>
      <c r="AL218" s="716">
        <f t="shared" si="372"/>
        <v>0</v>
      </c>
      <c r="AM218" s="716" t="str">
        <f t="shared" si="373"/>
        <v/>
      </c>
      <c r="AN218" s="716">
        <f t="shared" si="374"/>
        <v>0</v>
      </c>
      <c r="AO218" s="380"/>
      <c r="AP218" s="322" t="str">
        <f t="shared" si="353"/>
        <v/>
      </c>
      <c r="AQ218" s="323" t="str">
        <f>IF(AC218=$V$3,IF(VLOOKUP(C218,[1]List1!$A:$E,5,FALSE)=0,1,VLOOKUP(C218,[1]List1!$A:$E,5,FALSE)),"")</f>
        <v/>
      </c>
      <c r="AR218" s="304" t="str">
        <f t="shared" si="354"/>
        <v/>
      </c>
      <c r="AS218" s="423" t="str">
        <f t="shared" si="355"/>
        <v/>
      </c>
      <c r="AT218" s="304" t="str">
        <f t="shared" si="356"/>
        <v/>
      </c>
      <c r="AU218" s="342" t="e">
        <f t="shared" si="357"/>
        <v>#N/A</v>
      </c>
      <c r="AV218" s="304" t="e">
        <f t="shared" si="358"/>
        <v>#N/A</v>
      </c>
      <c r="AX218" s="304">
        <f>IF(AND('General price list'!$J218="F4",'General price list'!$AB218+0&gt;0),1,0)</f>
        <v>0</v>
      </c>
      <c r="AY218" s="304">
        <f t="shared" si="359"/>
        <v>0</v>
      </c>
      <c r="AZ218" s="304">
        <f t="shared" si="360"/>
        <v>1</v>
      </c>
    </row>
    <row r="219" spans="1:52" ht="15" customHeight="1">
      <c r="A219" s="725" t="str">
        <f>Kat.!C219</f>
        <v/>
      </c>
      <c r="B219" s="726">
        <f>IF(AND('General price list'!$J219="F4",$AI$1=FALSE),0,IF(AC219="SKLADEM",1,IF(AC219=$V$3,1,0)))</f>
        <v>1</v>
      </c>
      <c r="C219" s="727" t="s">
        <v>2490</v>
      </c>
      <c r="D219" s="728" t="s">
        <v>2491</v>
      </c>
      <c r="E219" s="729" t="s">
        <v>639</v>
      </c>
      <c r="F219" s="725">
        <f>IFERROR(ROUND(IF($AL$3=2,VLOOKUP(C219,[2]List1!$A:$D,2,FALSE)*1.08,VLOOKUP(C219,[2]List1!$A:$D,2,FALSE)),0),"NEUVEDENO!")</f>
        <v>235</v>
      </c>
      <c r="G219" s="730">
        <f t="shared" si="361"/>
        <v>235</v>
      </c>
      <c r="H219" s="731">
        <f t="shared" si="362"/>
        <v>9.5493906676039977</v>
      </c>
      <c r="I219" s="732">
        <v>24</v>
      </c>
      <c r="J219" s="729" t="s">
        <v>46</v>
      </c>
      <c r="K219" s="729"/>
      <c r="L219" s="729" t="s">
        <v>14365</v>
      </c>
      <c r="M219" s="729" t="s">
        <v>25</v>
      </c>
      <c r="N219" s="729">
        <f>IFERROR(VLOOKUP(C219,[3]List1!$A:$D,4,FALSE),"N/A!")</f>
        <v>5.2359999999999997E-2</v>
      </c>
      <c r="O219" s="729">
        <f>IFERROR(VLOOKUP(C219,[3]List1!$A:$D,3,FALSE),"N/A!")</f>
        <v>4608</v>
      </c>
      <c r="P219" s="729">
        <f>IFERROR(VLOOKUP(C219,[3]List1!$A:$D,2,FALSE),"N/A!")</f>
        <v>21000</v>
      </c>
      <c r="Q219" s="729" t="s">
        <v>14116</v>
      </c>
      <c r="R219" s="729" t="s">
        <v>217</v>
      </c>
      <c r="S219" s="729"/>
      <c r="T219" s="729">
        <v>35</v>
      </c>
      <c r="U219" s="729"/>
      <c r="V219" s="729"/>
      <c r="W219" s="729" t="str">
        <f>IFERROR(VLOOKUP('General price list'!$C219,Popisy!A:P,MATCH($W$17,Popisy!$A$7:$P$7,0),FALSE),"---------------")</f>
        <v>8ran stříbrná pískající stopa, 65cm délka</v>
      </c>
      <c r="X219" s="729" t="str">
        <f t="shared" si="363"/>
        <v/>
      </c>
      <c r="Y219" s="729" t="str">
        <f t="shared" si="364"/>
        <v/>
      </c>
      <c r="Z219" s="729" t="str">
        <f>HYPERLINK("https://www.klasekpyrotechnics.cz/r6508s")</f>
        <v>https://www.klasekpyrotechnics.cz/r6508s</v>
      </c>
      <c r="AA219" s="729">
        <f>IFERROR(IF(VLOOKUP(C219,[4]List1!$A:$D,4,FALSE)=0,"",VLOOKUP(C219,[4]List1!$A:$D,4,FALSE)),"")</f>
        <v>30</v>
      </c>
      <c r="AB219" s="720"/>
      <c r="AC219" s="733" t="str">
        <f>IFERROR(IF(VLOOKUP(C219,[1]List1!$A:$D,2,FALSE)="VYPRODÁNO",$V$9,IF(VLOOKUP(C219,[1]List1!$A:$D,2,FALSE)="DOCHÁZÍ",$V$3,VLOOKUP(C219,[1]List1!$A:$D,2,FALSE))),"OFFLINE!")</f>
        <v>SKLADEM</v>
      </c>
      <c r="AD219" s="734" t="str">
        <f ca="1">IF(AP219="NE",$V$10,IF(AC219=$V$3,IF(AQ219&lt;1,$V$8,$V$2&amp;" "&amp;AQ219&amp;" "&amp;$V$1),IF(AC219="SKLADEM",$V$6,IFERROR(IF(OR(AC219-TODAY()&gt;45,VLOOKUP(C219,[1]List1!$A:$E,4,FALSE)=0),AC219,DAY(AC219)&amp;"."&amp;MONTH(AC219)&amp;"."&amp;YEAR(AC219)&amp;" "&amp;$V$4&amp;VLOOKUP(C219,[1]List1!$A:$E,4,FALSE)&amp;" "&amp;$V$1),AC219))))</f>
        <v>SKLADEM</v>
      </c>
      <c r="AE219" s="729" t="str">
        <f t="shared" ca="1" si="365"/>
        <v>SKLADEM</v>
      </c>
      <c r="AF219" s="735">
        <f t="shared" si="366"/>
        <v>0</v>
      </c>
      <c r="AG219" s="735">
        <f t="shared" si="367"/>
        <v>0</v>
      </c>
      <c r="AH219" s="736">
        <f t="shared" si="368"/>
        <v>0</v>
      </c>
      <c r="AI219" s="729">
        <f t="shared" si="369"/>
        <v>0</v>
      </c>
      <c r="AJ219" s="729">
        <f t="shared" si="370"/>
        <v>0</v>
      </c>
      <c r="AK219" s="729" t="str">
        <f t="shared" si="371"/>
        <v/>
      </c>
      <c r="AL219" s="729" t="str">
        <f t="shared" si="372"/>
        <v/>
      </c>
      <c r="AM219" s="729">
        <f t="shared" si="373"/>
        <v>0</v>
      </c>
      <c r="AN219" s="729">
        <f t="shared" si="374"/>
        <v>0</v>
      </c>
      <c r="AO219" s="380"/>
      <c r="AP219" s="322" t="str">
        <f t="shared" si="353"/>
        <v/>
      </c>
      <c r="AQ219" s="323" t="str">
        <f>IF(AC219=$V$3,IF(VLOOKUP(C219,[1]List1!$A:$E,5,FALSE)=0,1,VLOOKUP(C219,[1]List1!$A:$E,5,FALSE)),"")</f>
        <v/>
      </c>
      <c r="AR219" s="304" t="str">
        <f t="shared" si="354"/>
        <v/>
      </c>
      <c r="AS219" s="423" t="str">
        <f t="shared" si="355"/>
        <v/>
      </c>
      <c r="AT219" s="304" t="str">
        <f t="shared" si="356"/>
        <v/>
      </c>
      <c r="AU219" s="342" t="e">
        <f t="shared" si="357"/>
        <v>#N/A</v>
      </c>
      <c r="AV219" s="304" t="e">
        <f t="shared" si="358"/>
        <v>#N/A</v>
      </c>
      <c r="AX219" s="304">
        <f>IF(AND('General price list'!$J219="F4",'General price list'!$AB219+0&gt;0),1,0)</f>
        <v>0</v>
      </c>
      <c r="AY219" s="304">
        <f t="shared" si="359"/>
        <v>1</v>
      </c>
      <c r="AZ219" s="304">
        <f t="shared" si="360"/>
        <v>1</v>
      </c>
    </row>
    <row r="220" spans="1:52" ht="15" customHeight="1">
      <c r="A220" s="712" t="str">
        <f>Kat.!C220</f>
        <v/>
      </c>
      <c r="B220" s="737">
        <f>IF(AND('General price list'!$J220="F4",$AI$1=FALSE),0,IF(AC220="SKLADEM",1,IF(AC220=$V$3,1,0)))</f>
        <v>1</v>
      </c>
      <c r="C220" s="714" t="s">
        <v>657</v>
      </c>
      <c r="D220" s="715" t="s">
        <v>649</v>
      </c>
      <c r="E220" s="716" t="s">
        <v>639</v>
      </c>
      <c r="F220" s="712">
        <f>IFERROR(ROUND(IF($AL$3=2,VLOOKUP(C220,[2]List1!$A:$D,2,FALSE)*1.08,VLOOKUP(C220,[2]List1!$A:$D,2,FALSE)),0),"NEUVEDENO!")</f>
        <v>229</v>
      </c>
      <c r="G220" s="717">
        <f t="shared" si="361"/>
        <v>229</v>
      </c>
      <c r="H220" s="718">
        <f t="shared" si="362"/>
        <v>9.3055764377928316</v>
      </c>
      <c r="I220" s="738">
        <v>24</v>
      </c>
      <c r="J220" s="716" t="s">
        <v>137</v>
      </c>
      <c r="K220" s="716" t="s">
        <v>12734</v>
      </c>
      <c r="L220" s="716" t="s">
        <v>24</v>
      </c>
      <c r="M220" s="716" t="s">
        <v>138</v>
      </c>
      <c r="N220" s="716">
        <f>IFERROR(VLOOKUP(C220,[3]List1!$A:$D,4,FALSE),"N/A!")</f>
        <v>6.0214000000000004E-2</v>
      </c>
      <c r="O220" s="716">
        <f>IFERROR(VLOOKUP(C220,[3]List1!$A:$D,3,FALSE),"N/A!")</f>
        <v>2304</v>
      </c>
      <c r="P220" s="716">
        <f>IFERROR(VLOOKUP(C220,[3]List1!$A:$D,2,FALSE),"N/A!")</f>
        <v>25200</v>
      </c>
      <c r="Q220" s="716" t="s">
        <v>14110</v>
      </c>
      <c r="R220" s="716" t="s">
        <v>640</v>
      </c>
      <c r="S220" s="716"/>
      <c r="T220" s="716">
        <v>35</v>
      </c>
      <c r="U220" s="716"/>
      <c r="V220" s="716"/>
      <c r="W220" s="716" t="str">
        <f>IFERROR(VLOOKUP('General price list'!$C220,Popisy!A:P,MATCH($W$17,Popisy!$A$7:$P$7,0),FALSE),"---------------")</f>
        <v>8ran, 3 různé efekty střídající se po každé ráně, 75cm délka</v>
      </c>
      <c r="X220" s="716" t="str">
        <f t="shared" si="363"/>
        <v/>
      </c>
      <c r="Y220" s="716" t="str">
        <f t="shared" si="364"/>
        <v/>
      </c>
      <c r="Z220" s="716" t="str">
        <f>HYPERLINK("https://www.klasekpyrotechnics.cz/r7508e")</f>
        <v>https://www.klasekpyrotechnics.cz/r7508e</v>
      </c>
      <c r="AA220" s="716">
        <f>IFERROR(IF(VLOOKUP(C220,[4]List1!$A:$D,4,FALSE)=0,"",VLOOKUP(C220,[4]List1!$A:$D,4,FALSE)),"")</f>
        <v>25</v>
      </c>
      <c r="AB220" s="720"/>
      <c r="AC220" s="739" t="str">
        <f>IFERROR(IF(VLOOKUP(C220,[1]List1!$A:$D,2,FALSE)="VYPRODÁNO",$V$9,IF(VLOOKUP(C220,[1]List1!$A:$D,2,FALSE)="DOCHÁZÍ",$V$3,VLOOKUP(C220,[1]List1!$A:$D,2,FALSE))),"OFFLINE!")</f>
        <v>SKLADEM</v>
      </c>
      <c r="AD220" s="740" t="str">
        <f ca="1">IF(AP220="NE",$V$10,IF(AC220=$V$3,IF(AQ220&lt;1,$V$8,$V$2&amp;" "&amp;AQ220&amp;" "&amp;$V$1),IF(AC220="SKLADEM",$V$6,IFERROR(IF(OR(AC220-TODAY()&gt;45,VLOOKUP(C220,[1]List1!$A:$E,4,FALSE)=0),AC220,DAY(AC220)&amp;"."&amp;MONTH(AC220)&amp;"."&amp;YEAR(AC220)&amp;" "&amp;$V$4&amp;VLOOKUP(C220,[1]List1!$A:$E,4,FALSE)&amp;" "&amp;$V$1),AC220))))</f>
        <v>SKLADEM</v>
      </c>
      <c r="AE220" s="716" t="str">
        <f t="shared" ca="1" si="365"/>
        <v>SKLADEM</v>
      </c>
      <c r="AF220" s="723">
        <f t="shared" si="366"/>
        <v>0</v>
      </c>
      <c r="AG220" s="723">
        <f t="shared" si="367"/>
        <v>0</v>
      </c>
      <c r="AH220" s="724">
        <f t="shared" si="368"/>
        <v>0</v>
      </c>
      <c r="AI220" s="716">
        <f t="shared" si="369"/>
        <v>0</v>
      </c>
      <c r="AJ220" s="716">
        <f t="shared" si="370"/>
        <v>0</v>
      </c>
      <c r="AK220" s="716" t="str">
        <f t="shared" si="371"/>
        <v/>
      </c>
      <c r="AL220" s="716">
        <f t="shared" si="372"/>
        <v>0</v>
      </c>
      <c r="AM220" s="716" t="str">
        <f t="shared" si="373"/>
        <v/>
      </c>
      <c r="AN220" s="716">
        <f t="shared" si="374"/>
        <v>0</v>
      </c>
      <c r="AO220" s="380"/>
      <c r="AP220" s="322" t="str">
        <f t="shared" si="353"/>
        <v/>
      </c>
      <c r="AQ220" s="323" t="str">
        <f>IF(AC220=$V$3,IF(VLOOKUP(C220,[1]List1!$A:$E,5,FALSE)=0,1,VLOOKUP(C220,[1]List1!$A:$E,5,FALSE)),"")</f>
        <v/>
      </c>
      <c r="AR220" s="304" t="str">
        <f t="shared" si="354"/>
        <v/>
      </c>
      <c r="AS220" s="423" t="str">
        <f t="shared" si="355"/>
        <v/>
      </c>
      <c r="AT220" s="304" t="str">
        <f t="shared" si="356"/>
        <v/>
      </c>
      <c r="AU220" s="342" t="e">
        <f t="shared" si="357"/>
        <v>#N/A</v>
      </c>
      <c r="AV220" s="304" t="e">
        <f t="shared" si="358"/>
        <v>#N/A</v>
      </c>
      <c r="AX220" s="304">
        <f>IF(AND('General price list'!$J220="F4",'General price list'!$AB220+0&gt;0),1,0)</f>
        <v>0</v>
      </c>
      <c r="AY220" s="304">
        <f t="shared" si="359"/>
        <v>1</v>
      </c>
      <c r="AZ220" s="304">
        <f t="shared" si="360"/>
        <v>1</v>
      </c>
    </row>
    <row r="221" spans="1:52" ht="15" customHeight="1">
      <c r="A221" s="725" t="str">
        <f>Kat.!C221</f>
        <v/>
      </c>
      <c r="B221" s="726">
        <f>IF(AND('General price list'!$J221="F4",$AI$1=FALSE),0,IF(AC221="SKLADEM",1,IF(AC221=$V$3,1,0)))</f>
        <v>1</v>
      </c>
      <c r="C221" s="727" t="s">
        <v>4318</v>
      </c>
      <c r="D221" s="728" t="s">
        <v>4319</v>
      </c>
      <c r="E221" s="729" t="s">
        <v>639</v>
      </c>
      <c r="F221" s="725">
        <f>IFERROR(ROUND(IF($AL$3=2,VLOOKUP(C221,[2]List1!$A:$D,2,FALSE)*1.08,VLOOKUP(C221,[2]List1!$A:$D,2,FALSE)),0),"NEUVEDENO!")</f>
        <v>244</v>
      </c>
      <c r="G221" s="730">
        <f t="shared" si="361"/>
        <v>244</v>
      </c>
      <c r="H221" s="731">
        <f t="shared" si="362"/>
        <v>9.9151120123207459</v>
      </c>
      <c r="I221" s="732">
        <v>24</v>
      </c>
      <c r="J221" s="729" t="s">
        <v>137</v>
      </c>
      <c r="K221" s="729" t="s">
        <v>12734</v>
      </c>
      <c r="L221" s="729" t="s">
        <v>24</v>
      </c>
      <c r="M221" s="729" t="s">
        <v>138</v>
      </c>
      <c r="N221" s="729">
        <f>IFERROR(VLOOKUP(C221,[3]List1!$A:$D,4,FALSE),"N/A!")</f>
        <v>6.0214000000000004E-2</v>
      </c>
      <c r="O221" s="729">
        <f>IFERROR(VLOOKUP(C221,[3]List1!$A:$D,3,FALSE),"N/A!")</f>
        <v>4800</v>
      </c>
      <c r="P221" s="729">
        <f>IFERROR(VLOOKUP(C221,[3]List1!$A:$D,2,FALSE),"N/A!")</f>
        <v>26500</v>
      </c>
      <c r="Q221" s="729" t="s">
        <v>14116</v>
      </c>
      <c r="R221" s="729" t="s">
        <v>217</v>
      </c>
      <c r="S221" s="729"/>
      <c r="T221" s="729">
        <v>35</v>
      </c>
      <c r="U221" s="729"/>
      <c r="V221" s="729"/>
      <c r="W221" s="729" t="str">
        <f>IFERROR(VLOOKUP('General price list'!$C221,Popisy!A:P,MATCH($W$17,Popisy!$A$7:$P$7,0),FALSE),"---------------")</f>
        <v>8ran, 3 různé efekty střídající se po každé ráně, 75cm délka</v>
      </c>
      <c r="X221" s="729" t="str">
        <f t="shared" si="363"/>
        <v/>
      </c>
      <c r="Y221" s="729" t="str">
        <f t="shared" si="364"/>
        <v/>
      </c>
      <c r="Z221" s="729" t="str">
        <f>HYPERLINK("https://www.klasekpyrotechnics.cz/r7508sig")</f>
        <v>https://www.klasekpyrotechnics.cz/r7508sig</v>
      </c>
      <c r="AA221" s="729">
        <f>IFERROR(IF(VLOOKUP(C221,[4]List1!$A:$D,4,FALSE)=0,"",VLOOKUP(C221,[4]List1!$A:$D,4,FALSE)),"")</f>
        <v>21</v>
      </c>
      <c r="AB221" s="720"/>
      <c r="AC221" s="733" t="str">
        <f>IFERROR(IF(VLOOKUP(C221,[1]List1!$A:$D,2,FALSE)="VYPRODÁNO",$V$9,IF(VLOOKUP(C221,[1]List1!$A:$D,2,FALSE)="DOCHÁZÍ",$V$3,VLOOKUP(C221,[1]List1!$A:$D,2,FALSE))),"OFFLINE!")</f>
        <v>SKLADEM</v>
      </c>
      <c r="AD221" s="734" t="str">
        <f ca="1">IF(AP221="NE",$V$10,IF(AC221=$V$3,IF(AQ221&lt;1,$V$8,$V$2&amp;" "&amp;AQ221&amp;" "&amp;$V$1),IF(AC221="SKLADEM",$V$6,IFERROR(IF(OR(AC221-TODAY()&gt;45,VLOOKUP(C221,[1]List1!$A:$E,4,FALSE)=0),AC221,DAY(AC221)&amp;"."&amp;MONTH(AC221)&amp;"."&amp;YEAR(AC221)&amp;" "&amp;$V$4&amp;VLOOKUP(C221,[1]List1!$A:$E,4,FALSE)&amp;" "&amp;$V$1),AC221))))</f>
        <v>SKLADEM</v>
      </c>
      <c r="AE221" s="729" t="str">
        <f t="shared" ca="1" si="365"/>
        <v>SKLADEM</v>
      </c>
      <c r="AF221" s="735">
        <f t="shared" si="366"/>
        <v>0</v>
      </c>
      <c r="AG221" s="735">
        <f t="shared" si="367"/>
        <v>0</v>
      </c>
      <c r="AH221" s="736">
        <f t="shared" si="368"/>
        <v>0</v>
      </c>
      <c r="AI221" s="729">
        <f t="shared" si="369"/>
        <v>0</v>
      </c>
      <c r="AJ221" s="729">
        <f t="shared" si="370"/>
        <v>0</v>
      </c>
      <c r="AK221" s="729" t="str">
        <f t="shared" si="371"/>
        <v/>
      </c>
      <c r="AL221" s="729">
        <f t="shared" si="372"/>
        <v>0</v>
      </c>
      <c r="AM221" s="729" t="str">
        <f t="shared" si="373"/>
        <v/>
      </c>
      <c r="AN221" s="729">
        <f t="shared" si="374"/>
        <v>0</v>
      </c>
      <c r="AO221" s="380"/>
      <c r="AP221" s="322" t="str">
        <f t="shared" si="353"/>
        <v/>
      </c>
      <c r="AQ221" s="323" t="str">
        <f>IF(AC221=$V$3,IF(VLOOKUP(C221,[1]List1!$A:$E,5,FALSE)=0,1,VLOOKUP(C221,[1]List1!$A:$E,5,FALSE)),"")</f>
        <v/>
      </c>
      <c r="AR221" s="304" t="str">
        <f t="shared" si="354"/>
        <v/>
      </c>
      <c r="AS221" s="423" t="str">
        <f t="shared" si="355"/>
        <v/>
      </c>
      <c r="AT221" s="304" t="str">
        <f t="shared" si="356"/>
        <v/>
      </c>
      <c r="AU221" s="342" t="e">
        <f t="shared" si="357"/>
        <v>#N/A</v>
      </c>
      <c r="AV221" s="304" t="e">
        <f t="shared" si="358"/>
        <v>#N/A</v>
      </c>
      <c r="AX221" s="304">
        <f>IF(AND('General price list'!$J221="F4",'General price list'!$AB221+0&gt;0),1,0)</f>
        <v>0</v>
      </c>
      <c r="AY221" s="304">
        <f t="shared" si="359"/>
        <v>1</v>
      </c>
      <c r="AZ221" s="304">
        <f t="shared" si="360"/>
        <v>1</v>
      </c>
    </row>
    <row r="222" spans="1:52" ht="15" customHeight="1">
      <c r="A222" s="773" t="str">
        <f>Kat.!C222</f>
        <v xml:space="preserve">                                                               Římské svíce 30mm</v>
      </c>
      <c r="B222" s="774"/>
      <c r="C222" s="774"/>
      <c r="D222" s="774"/>
      <c r="E222" s="774"/>
      <c r="F222" s="774"/>
      <c r="G222" s="774"/>
      <c r="H222" s="774"/>
      <c r="I222" s="774"/>
      <c r="J222" s="774"/>
      <c r="K222" s="774"/>
      <c r="L222" s="774"/>
      <c r="M222" s="774"/>
      <c r="N222" s="774"/>
      <c r="O222" s="774"/>
      <c r="P222" s="774"/>
      <c r="Q222" s="774"/>
      <c r="R222" s="774"/>
      <c r="S222" s="774"/>
      <c r="T222" s="774"/>
      <c r="U222" s="774"/>
      <c r="V222" s="774"/>
      <c r="W222" s="774"/>
      <c r="X222" s="774"/>
      <c r="Y222" s="774"/>
      <c r="Z222" s="774"/>
      <c r="AA222" s="774" t="str">
        <f>IFERROR(IF(VLOOKUP(C222,[4]List1!$A:$D,4,FALSE)=0,"",VLOOKUP(C222,[4]List1!$A:$D,4,FALSE)),"")</f>
        <v/>
      </c>
      <c r="AB222" s="774"/>
      <c r="AC222" s="775" t="str">
        <f>IFERROR(IF(VLOOKUP(C222,[1]List1!$A:$D,2,FALSE)="VYPRODÁNO",$V$9,IF(VLOOKUP(C222,[1]List1!$A:$D,2,FALSE)="DOCHÁZÍ",$V$3,VLOOKUP(C222,[1]List1!$A:$D,2,FALSE))),"OFFLINE!")</f>
        <v>OFFLINE!</v>
      </c>
      <c r="AD222" s="774"/>
      <c r="AE222" s="774"/>
      <c r="AF222" s="774"/>
      <c r="AG222" s="774"/>
      <c r="AH222" s="774"/>
      <c r="AI222" s="774"/>
      <c r="AJ222" s="774"/>
      <c r="AK222" s="774"/>
      <c r="AL222" s="774"/>
      <c r="AM222" s="774"/>
      <c r="AN222" s="774"/>
      <c r="AO222" s="380"/>
      <c r="AP222" s="322" t="str">
        <f t="shared" si="353"/>
        <v/>
      </c>
      <c r="AQ222" s="323" t="str">
        <f>IF(AC222=$V$3,IF(VLOOKUP(C222,[1]List1!$A:$E,5,FALSE)=0,1,VLOOKUP(C222,[1]List1!$A:$E,5,FALSE)),"")</f>
        <v/>
      </c>
      <c r="AR222" s="304" t="str">
        <f t="shared" si="354"/>
        <v/>
      </c>
      <c r="AS222" s="423" t="str">
        <f t="shared" si="355"/>
        <v/>
      </c>
      <c r="AT222" s="304" t="str">
        <f t="shared" si="356"/>
        <v/>
      </c>
      <c r="AU222" s="342" t="e">
        <f t="shared" si="357"/>
        <v>#N/A</v>
      </c>
      <c r="AV222" s="304" t="e">
        <f t="shared" si="358"/>
        <v>#N/A</v>
      </c>
      <c r="AX222" s="304">
        <f>IF(AND('General price list'!$J222="F4",'General price list'!$AB222+0&gt;0),1,0)</f>
        <v>0</v>
      </c>
      <c r="AY222" s="304">
        <f t="shared" si="359"/>
        <v>0</v>
      </c>
      <c r="AZ222" s="304">
        <f t="shared" si="360"/>
        <v>0</v>
      </c>
    </row>
    <row r="223" spans="1:52" ht="15" customHeight="1">
      <c r="A223" s="725" t="str">
        <f>Kat.!C223</f>
        <v/>
      </c>
      <c r="B223" s="741">
        <f>IF(AND('General price list'!$J223="F4",$AI$1=FALSE),0,IF(AC223="SKLADEM",1,IF(AC223=$V$3,1,0)))</f>
        <v>1</v>
      </c>
      <c r="C223" s="727" t="s">
        <v>661</v>
      </c>
      <c r="D223" s="728" t="s">
        <v>662</v>
      </c>
      <c r="E223" s="729" t="s">
        <v>362</v>
      </c>
      <c r="F223" s="725">
        <f>IFERROR(ROUND(IF($AL$3=2,VLOOKUP(C223,[2]List1!$A:$D,2,FALSE)*1.08,VLOOKUP(C223,[2]List1!$A:$D,2,FALSE)),0),"NEUVEDENO!")</f>
        <v>157</v>
      </c>
      <c r="G223" s="730">
        <f t="shared" ref="G223:G225" si="375">(F223)*$B$19</f>
        <v>157</v>
      </c>
      <c r="H223" s="731">
        <f t="shared" ref="H223:H225" si="376">G223/$F$19</f>
        <v>6.3798056800588405</v>
      </c>
      <c r="I223" s="742">
        <v>25</v>
      </c>
      <c r="J223" s="729" t="s">
        <v>137</v>
      </c>
      <c r="K223" s="729" t="s">
        <v>12734</v>
      </c>
      <c r="L223" s="729" t="s">
        <v>24</v>
      </c>
      <c r="M223" s="729" t="s">
        <v>138</v>
      </c>
      <c r="N223" s="729">
        <f>IFERROR(VLOOKUP(C223,[3]List1!$A:$D,4,FALSE),"N/A!")</f>
        <v>3.3956999999999994E-2</v>
      </c>
      <c r="O223" s="729">
        <f>IFERROR(VLOOKUP(C223,[3]List1!$A:$D,3,FALSE),"N/A!")</f>
        <v>3750</v>
      </c>
      <c r="P223" s="729">
        <f>IFERROR(VLOOKUP(C223,[3]List1!$A:$D,2,FALSE),"N/A!")</f>
        <v>15800</v>
      </c>
      <c r="Q223" s="729" t="s">
        <v>14213</v>
      </c>
      <c r="R223" s="729" t="s">
        <v>24</v>
      </c>
      <c r="S223" s="729"/>
      <c r="T223" s="729">
        <v>30</v>
      </c>
      <c r="U223" s="729"/>
      <c r="V223" s="729"/>
      <c r="W223" s="729" t="str">
        <f>IFERROR(VLOOKUP('General price list'!$C223,Popisy!A:P,MATCH($W$17,Popisy!$A$7:$P$7,0),FALSE),"---------------")</f>
        <v>8 ran,4 různobarevné efekty,75cm délka</v>
      </c>
      <c r="X223" s="729" t="str">
        <f t="shared" ref="X223:X225" si="377">IF(AB223&lt;0.0001,"",AB223)</f>
        <v/>
      </c>
      <c r="Y223" s="729" t="str">
        <f t="shared" ref="Y223:Y225" si="378">IF($AL$3=2,IF(OR(AB223&lt;&gt;"",AB223&lt;&gt;0),AU223,""),IF(C223="","",IF(AB223&lt;0.0001,"",IF(B223=0,"",IF(AQ223&lt;AB223,"",AB223)))))</f>
        <v/>
      </c>
      <c r="Z223" s="729" t="str">
        <f>HYPERLINK("https://www.klasekpyrotechnics.cz/r7538s")</f>
        <v>https://www.klasekpyrotechnics.cz/r7538s</v>
      </c>
      <c r="AA223" s="729">
        <f>IFERROR(IF(VLOOKUP(C223,[4]List1!$A:$D,4,FALSE)=0,"",VLOOKUP(C223,[4]List1!$A:$D,4,FALSE)),"")</f>
        <v>36</v>
      </c>
      <c r="AB223" s="720"/>
      <c r="AC223" s="743" t="str">
        <f>IFERROR(IF(VLOOKUP(C223,[1]List1!$A:$D,2,FALSE)="VYPRODÁNO",$V$9,IF(VLOOKUP(C223,[1]List1!$A:$D,2,FALSE)="DOCHÁZÍ",$V$3,VLOOKUP(C223,[1]List1!$A:$D,2,FALSE))),"OFFLINE!")</f>
        <v>SKLADEM</v>
      </c>
      <c r="AD223" s="744" t="str">
        <f ca="1">IF(AP223="NE",$V$10,IF(AC223=$V$3,IF(AQ223&lt;1,$V$8,$V$2&amp;" "&amp;AQ223&amp;" "&amp;$V$1),IF(AC223="SKLADEM",$V$6,IFERROR(IF(OR(AC223-TODAY()&gt;45,VLOOKUP(C223,[1]List1!$A:$E,4,FALSE)=0),AC223,DAY(AC223)&amp;"."&amp;MONTH(AC223)&amp;"."&amp;YEAR(AC223)&amp;" "&amp;$V$4&amp;VLOOKUP(C223,[1]List1!$A:$E,4,FALSE)&amp;" "&amp;$V$1),AC223))))</f>
        <v>SKLADEM</v>
      </c>
      <c r="AE223" s="729" t="str">
        <f t="shared" ref="AE223:AE225" ca="1" si="379">IFERROR(IF(AV223&lt;&gt;"",AV223,AD223),AD223)</f>
        <v>SKLADEM</v>
      </c>
      <c r="AF223" s="735">
        <f t="shared" ref="AF223:AF225" si="380">IFERROR(IF(AB223=Y223,G223*I223*Y223,0),0)</f>
        <v>0</v>
      </c>
      <c r="AG223" s="735">
        <f t="shared" ref="AG223:AG225" si="381">IF($W$17=$AF$8,AH223*1.23,AF223*1.21)</f>
        <v>0</v>
      </c>
      <c r="AH223" s="736">
        <f t="shared" ref="AH223:AH225" si="382">IFERROR(IF(Y223=AB223,H223*I223*Y223,0),0)</f>
        <v>0</v>
      </c>
      <c r="AI223" s="729">
        <f t="shared" ref="AI223:AI225" si="383">IFERROR(IF(Y223=AB223,(P223*Y223)/1000,1),0)</f>
        <v>0</v>
      </c>
      <c r="AJ223" s="729">
        <f t="shared" ref="AJ223:AJ225" si="384">IFERROR(IF(Y223=AB223,N223*Y223,0.1),0)</f>
        <v>0</v>
      </c>
      <c r="AK223" s="729" t="str">
        <f t="shared" ref="AK223:AK225" si="385">IFERROR(IF(Y223=AB223,IF(M223="1.1G",(O223/1000)*Y223,""),""),0)</f>
        <v/>
      </c>
      <c r="AL223" s="729">
        <f t="shared" ref="AL223:AL225" si="386">IFERROR(IF(Y223=AB223,IF(M223="1.3G",(O223/1000)*AB223,""),""),0)</f>
        <v>0</v>
      </c>
      <c r="AM223" s="729" t="str">
        <f t="shared" ref="AM223:AM225" si="387">IFERROR(IF(Y223=AB223,IF(M223="1.4G",(O223/1000)*AB223,""),""),0)</f>
        <v/>
      </c>
      <c r="AN223" s="729">
        <f t="shared" ref="AN223:AN225" si="388">SUM(AK223:AM223)</f>
        <v>0</v>
      </c>
      <c r="AO223" s="380"/>
      <c r="AP223" s="322" t="str">
        <f t="shared" si="353"/>
        <v/>
      </c>
      <c r="AQ223" s="305" t="str">
        <f>IF(AC223=$V$3,IF(VLOOKUP(C223,[1]List1!$A:$E,5,FALSE)=0,1,VLOOKUP(C223,[1]List1!$A:$E,5,FALSE)),"")</f>
        <v/>
      </c>
      <c r="AR223" s="304" t="str">
        <f t="shared" si="354"/>
        <v/>
      </c>
      <c r="AS223" s="423" t="str">
        <f t="shared" si="355"/>
        <v/>
      </c>
      <c r="AT223" s="304" t="str">
        <f t="shared" si="356"/>
        <v/>
      </c>
      <c r="AU223" s="342" t="e">
        <f t="shared" si="357"/>
        <v>#N/A</v>
      </c>
      <c r="AV223" s="304" t="e">
        <f t="shared" si="358"/>
        <v>#N/A</v>
      </c>
      <c r="AX223" s="304">
        <f>IF(AND('General price list'!$J223="F4",'General price list'!$AB223+0&gt;0),1,0)</f>
        <v>0</v>
      </c>
      <c r="AY223" s="304">
        <f t="shared" si="359"/>
        <v>1</v>
      </c>
      <c r="AZ223" s="304">
        <f t="shared" si="360"/>
        <v>0</v>
      </c>
    </row>
    <row r="224" spans="1:52" ht="15" customHeight="1">
      <c r="A224" s="712" t="str">
        <f>Kat.!C224</f>
        <v/>
      </c>
      <c r="B224" s="745">
        <f>IF(AND('General price list'!$J224="F4",$AI$1=FALSE),0,IF(AC224="SKLADEM",1,IF(AC224=$V$3,1,0)))</f>
        <v>1</v>
      </c>
      <c r="C224" s="714" t="s">
        <v>666</v>
      </c>
      <c r="D224" s="715" t="s">
        <v>649</v>
      </c>
      <c r="E224" s="716" t="s">
        <v>362</v>
      </c>
      <c r="F224" s="712">
        <f>IFERROR(ROUND(IF($AL$3=2,VLOOKUP(C224,[2]List1!$A:$D,2,FALSE)*1.08,VLOOKUP(C224,[2]List1!$A:$D,2,FALSE)),0),"NEUVEDENO!")</f>
        <v>140</v>
      </c>
      <c r="G224" s="717">
        <f t="shared" si="375"/>
        <v>140</v>
      </c>
      <c r="H224" s="718">
        <f t="shared" si="376"/>
        <v>5.6889986955938712</v>
      </c>
      <c r="I224" s="746">
        <v>25</v>
      </c>
      <c r="J224" s="716" t="s">
        <v>137</v>
      </c>
      <c r="K224" s="716"/>
      <c r="L224" s="716" t="s">
        <v>24</v>
      </c>
      <c r="M224" s="716" t="s">
        <v>138</v>
      </c>
      <c r="N224" s="716">
        <f>IFERROR(VLOOKUP(C224,[3]List1!$A:$D,4,FALSE),"N/A!")</f>
        <v>3.3956999999999994E-2</v>
      </c>
      <c r="O224" s="716">
        <f>IFERROR(VLOOKUP(C224,[3]List1!$A:$D,3,FALSE),"N/A!")</f>
        <v>3000</v>
      </c>
      <c r="P224" s="716">
        <f>IFERROR(VLOOKUP(C224,[3]List1!$A:$D,2,FALSE),"N/A!")</f>
        <v>16650</v>
      </c>
      <c r="Q224" s="716" t="s">
        <v>14104</v>
      </c>
      <c r="R224" s="716" t="s">
        <v>24</v>
      </c>
      <c r="S224" s="716"/>
      <c r="T224" s="716">
        <v>35</v>
      </c>
      <c r="U224" s="716"/>
      <c r="V224" s="716"/>
      <c r="W224" s="716" t="str">
        <f>IFERROR(VLOOKUP('General price list'!$C224,Popisy!A:P,MATCH($W$17,Popisy!$A$7:$P$7,0),FALSE),"---------------")</f>
        <v>8 ran,4 různobarevné efekty,75cm délka</v>
      </c>
      <c r="X224" s="716" t="str">
        <f t="shared" si="377"/>
        <v/>
      </c>
      <c r="Y224" s="716" t="str">
        <f t="shared" si="378"/>
        <v/>
      </c>
      <c r="Z224" s="716" t="str">
        <f>HYPERLINK("https://www.klasekpyrotechnics.cz/r7538e")</f>
        <v>https://www.klasekpyrotechnics.cz/r7538e</v>
      </c>
      <c r="AA224" s="716">
        <f>IFERROR(IF(VLOOKUP(C224,[4]List1!$A:$D,4,FALSE)=0,"",VLOOKUP(C224,[4]List1!$A:$D,4,FALSE)),"")</f>
        <v>40</v>
      </c>
      <c r="AB224" s="720"/>
      <c r="AC224" s="747" t="str">
        <f>IFERROR(IF(VLOOKUP(C224,[1]List1!$A:$D,2,FALSE)="VYPRODÁNO",$V$9,IF(VLOOKUP(C224,[1]List1!$A:$D,2,FALSE)="DOCHÁZÍ",$V$3,VLOOKUP(C224,[1]List1!$A:$D,2,FALSE))),"OFFLINE!")</f>
        <v>SKLADEM</v>
      </c>
      <c r="AD224" s="748" t="str">
        <f ca="1">IF(AP224="NE",$V$10,IF(AC224=$V$3,IF(AQ224&lt;1,$V$8,$V$2&amp;" "&amp;AQ224&amp;" "&amp;$V$1),IF(AC224="SKLADEM",$V$6,IFERROR(IF(OR(AC224-TODAY()&gt;45,VLOOKUP(C224,[1]List1!$A:$E,4,FALSE)=0),AC224,DAY(AC224)&amp;"."&amp;MONTH(AC224)&amp;"."&amp;YEAR(AC224)&amp;" "&amp;$V$4&amp;VLOOKUP(C224,[1]List1!$A:$E,4,FALSE)&amp;" "&amp;$V$1),AC224))))</f>
        <v>SKLADEM</v>
      </c>
      <c r="AE224" s="716" t="str">
        <f t="shared" ca="1" si="379"/>
        <v>SKLADEM</v>
      </c>
      <c r="AF224" s="723">
        <f t="shared" si="380"/>
        <v>0</v>
      </c>
      <c r="AG224" s="723">
        <f t="shared" si="381"/>
        <v>0</v>
      </c>
      <c r="AH224" s="724">
        <f t="shared" si="382"/>
        <v>0</v>
      </c>
      <c r="AI224" s="716">
        <f t="shared" si="383"/>
        <v>0</v>
      </c>
      <c r="AJ224" s="716">
        <f t="shared" si="384"/>
        <v>0</v>
      </c>
      <c r="AK224" s="716" t="str">
        <f t="shared" si="385"/>
        <v/>
      </c>
      <c r="AL224" s="716">
        <f t="shared" si="386"/>
        <v>0</v>
      </c>
      <c r="AM224" s="716" t="str">
        <f t="shared" si="387"/>
        <v/>
      </c>
      <c r="AN224" s="716">
        <f t="shared" si="388"/>
        <v>0</v>
      </c>
      <c r="AO224" s="380"/>
      <c r="AP224" s="322" t="str">
        <f t="shared" si="353"/>
        <v/>
      </c>
      <c r="AQ224" s="323" t="str">
        <f>IF(AC224=$V$3,IF(VLOOKUP(C224,[1]List1!$A:$E,5,FALSE)=0,1,VLOOKUP(C224,[1]List1!$A:$E,5,FALSE)),"")</f>
        <v/>
      </c>
      <c r="AR224" s="304" t="str">
        <f t="shared" si="354"/>
        <v/>
      </c>
      <c r="AS224" s="423" t="str">
        <f t="shared" si="355"/>
        <v/>
      </c>
      <c r="AT224" s="304" t="str">
        <f t="shared" si="356"/>
        <v/>
      </c>
      <c r="AU224" s="342" t="e">
        <f t="shared" si="357"/>
        <v>#N/A</v>
      </c>
      <c r="AV224" s="304" t="e">
        <f t="shared" si="358"/>
        <v>#N/A</v>
      </c>
      <c r="AX224" s="304">
        <f>IF(AND('General price list'!$J224="F4",'General price list'!$AB224+0&gt;0),1,0)</f>
        <v>0</v>
      </c>
      <c r="AY224" s="304">
        <f t="shared" si="359"/>
        <v>1</v>
      </c>
      <c r="AZ224" s="304">
        <f t="shared" si="360"/>
        <v>0</v>
      </c>
    </row>
    <row r="225" spans="1:52" ht="15" customHeight="1">
      <c r="A225" s="725" t="str">
        <f>Kat.!C225</f>
        <v/>
      </c>
      <c r="B225" s="749">
        <f>IF(AND('General price list'!$J225="F4",$AI$1=FALSE),0,IF(AC225="SKLADEM",1,IF(AC225=$V$3,1,0)))</f>
        <v>1</v>
      </c>
      <c r="C225" s="727" t="s">
        <v>667</v>
      </c>
      <c r="D225" s="728" t="s">
        <v>649</v>
      </c>
      <c r="E225" s="729" t="s">
        <v>362</v>
      </c>
      <c r="F225" s="725">
        <f>IFERROR(ROUND(IF($AL$3=2,VLOOKUP(C225,[2]List1!$A:$D,2,FALSE)*1.08,VLOOKUP(C225,[2]List1!$A:$D,2,FALSE)),0),"NEUVEDENO!")</f>
        <v>140</v>
      </c>
      <c r="G225" s="730">
        <f t="shared" si="375"/>
        <v>140</v>
      </c>
      <c r="H225" s="731">
        <f t="shared" si="376"/>
        <v>5.6889986955938712</v>
      </c>
      <c r="I225" s="750">
        <v>25</v>
      </c>
      <c r="J225" s="729" t="s">
        <v>137</v>
      </c>
      <c r="K225" s="729"/>
      <c r="L225" s="729" t="s">
        <v>24</v>
      </c>
      <c r="M225" s="729" t="s">
        <v>138</v>
      </c>
      <c r="N225" s="729">
        <f>IFERROR(VLOOKUP(C225,[3]List1!$A:$D,4,FALSE),"N/A!")</f>
        <v>3.3956999999999994E-2</v>
      </c>
      <c r="O225" s="729">
        <f>IFERROR(VLOOKUP(C225,[3]List1!$A:$D,3,FALSE),"N/A!")</f>
        <v>3000</v>
      </c>
      <c r="P225" s="729">
        <f>IFERROR(VLOOKUP(C225,[3]List1!$A:$D,2,FALSE),"N/A!")</f>
        <v>16000</v>
      </c>
      <c r="Q225" s="729" t="s">
        <v>14104</v>
      </c>
      <c r="R225" s="729" t="s">
        <v>24</v>
      </c>
      <c r="S225" s="729"/>
      <c r="T225" s="729">
        <v>35</v>
      </c>
      <c r="U225" s="729"/>
      <c r="V225" s="729"/>
      <c r="W225" s="729" t="str">
        <f>IFERROR(VLOOKUP('General price list'!$C225,Popisy!A:P,MATCH($W$17,Popisy!$A$7:$P$7,0),FALSE),"---------------")</f>
        <v>8ran brokátová stopa+brokátová koruna,75cm délka</v>
      </c>
      <c r="X225" s="729" t="str">
        <f t="shared" si="377"/>
        <v/>
      </c>
      <c r="Y225" s="729" t="str">
        <f t="shared" si="378"/>
        <v/>
      </c>
      <c r="Z225" s="729" t="str">
        <f>HYPERLINK("https://www.klasekpyrotechnics.cz/r7538i")</f>
        <v>https://www.klasekpyrotechnics.cz/r7538i</v>
      </c>
      <c r="AA225" s="729">
        <f>IFERROR(IF(VLOOKUP(C225,[4]List1!$A:$D,4,FALSE)=0,"",VLOOKUP(C225,[4]List1!$A:$D,4,FALSE)),"")</f>
        <v>40</v>
      </c>
      <c r="AB225" s="720"/>
      <c r="AC225" s="751" t="str">
        <f>IFERROR(IF(VLOOKUP(C225,[1]List1!$A:$D,2,FALSE)="VYPRODÁNO",$V$9,IF(VLOOKUP(C225,[1]List1!$A:$D,2,FALSE)="DOCHÁZÍ",$V$3,VLOOKUP(C225,[1]List1!$A:$D,2,FALSE))),"OFFLINE!")</f>
        <v>SKLADEM</v>
      </c>
      <c r="AD225" s="752" t="str">
        <f ca="1">IF(AP225="NE",$V$10,IF(AC225=$V$3,IF(AQ225&lt;1,$V$8,$V$2&amp;" "&amp;AQ225&amp;" "&amp;$V$1),IF(AC225="SKLADEM",$V$6,IFERROR(IF(OR(AC225-TODAY()&gt;45,VLOOKUP(C225,[1]List1!$A:$E,4,FALSE)=0),AC225,DAY(AC225)&amp;"."&amp;MONTH(AC225)&amp;"."&amp;YEAR(AC225)&amp;" "&amp;$V$4&amp;VLOOKUP(C225,[1]List1!$A:$E,4,FALSE)&amp;" "&amp;$V$1),AC225))))</f>
        <v>SKLADEM</v>
      </c>
      <c r="AE225" s="729" t="str">
        <f t="shared" ca="1" si="379"/>
        <v>SKLADEM</v>
      </c>
      <c r="AF225" s="735">
        <f t="shared" si="380"/>
        <v>0</v>
      </c>
      <c r="AG225" s="735">
        <f t="shared" si="381"/>
        <v>0</v>
      </c>
      <c r="AH225" s="736">
        <f t="shared" si="382"/>
        <v>0</v>
      </c>
      <c r="AI225" s="729">
        <f t="shared" si="383"/>
        <v>0</v>
      </c>
      <c r="AJ225" s="729">
        <f t="shared" si="384"/>
        <v>0</v>
      </c>
      <c r="AK225" s="729" t="str">
        <f t="shared" si="385"/>
        <v/>
      </c>
      <c r="AL225" s="729">
        <f t="shared" si="386"/>
        <v>0</v>
      </c>
      <c r="AM225" s="729" t="str">
        <f t="shared" si="387"/>
        <v/>
      </c>
      <c r="AN225" s="729">
        <f t="shared" si="388"/>
        <v>0</v>
      </c>
      <c r="AO225" s="380"/>
      <c r="AP225" s="322" t="str">
        <f t="shared" si="353"/>
        <v/>
      </c>
      <c r="AQ225" s="323" t="str">
        <f>IF(AC225=$V$3,IF(VLOOKUP(C225,[1]List1!$A:$E,5,FALSE)=0,1,VLOOKUP(C225,[1]List1!$A:$E,5,FALSE)),"")</f>
        <v/>
      </c>
      <c r="AR225" s="304" t="str">
        <f t="shared" si="354"/>
        <v/>
      </c>
      <c r="AS225" s="423" t="str">
        <f t="shared" si="355"/>
        <v/>
      </c>
      <c r="AT225" s="304" t="str">
        <f t="shared" si="356"/>
        <v/>
      </c>
      <c r="AU225" s="342" t="e">
        <f t="shared" si="357"/>
        <v>#N/A</v>
      </c>
      <c r="AV225" s="304" t="e">
        <f t="shared" si="358"/>
        <v>#N/A</v>
      </c>
      <c r="AX225" s="304">
        <f>IF(AND('General price list'!$J225="F4",'General price list'!$AB225+0&gt;0),1,0)</f>
        <v>0</v>
      </c>
      <c r="AY225" s="304">
        <f t="shared" si="359"/>
        <v>1</v>
      </c>
      <c r="AZ225" s="304">
        <f t="shared" si="360"/>
        <v>0</v>
      </c>
    </row>
    <row r="226" spans="1:52" ht="15" customHeight="1">
      <c r="A226" s="773" t="str">
        <f>Kat.!C226</f>
        <v xml:space="preserve">                                                               Baterie římských svící</v>
      </c>
      <c r="B226" s="774"/>
      <c r="C226" s="774"/>
      <c r="D226" s="774"/>
      <c r="E226" s="774"/>
      <c r="F226" s="774"/>
      <c r="G226" s="774"/>
      <c r="H226" s="774"/>
      <c r="I226" s="774"/>
      <c r="J226" s="774"/>
      <c r="K226" s="774"/>
      <c r="L226" s="774"/>
      <c r="M226" s="774"/>
      <c r="N226" s="774"/>
      <c r="O226" s="774"/>
      <c r="P226" s="774"/>
      <c r="Q226" s="774"/>
      <c r="R226" s="774"/>
      <c r="S226" s="774"/>
      <c r="T226" s="774"/>
      <c r="U226" s="774"/>
      <c r="V226" s="774"/>
      <c r="W226" s="774"/>
      <c r="X226" s="774"/>
      <c r="Y226" s="774"/>
      <c r="Z226" s="774"/>
      <c r="AA226" s="774" t="str">
        <f>IFERROR(IF(VLOOKUP(C226,[4]List1!$A:$D,4,FALSE)=0,"",VLOOKUP(C226,[4]List1!$A:$D,4,FALSE)),"")</f>
        <v/>
      </c>
      <c r="AB226" s="774"/>
      <c r="AC226" s="775" t="str">
        <f>IFERROR(IF(VLOOKUP(C226,[1]List1!$A:$D,2,FALSE)="VYPRODÁNO",$V$9,IF(VLOOKUP(C226,[1]List1!$A:$D,2,FALSE)="DOCHÁZÍ",$V$3,VLOOKUP(C226,[1]List1!$A:$D,2,FALSE))),"OFFLINE!")</f>
        <v>OFFLINE!</v>
      </c>
      <c r="AD226" s="774"/>
      <c r="AE226" s="774"/>
      <c r="AF226" s="774"/>
      <c r="AG226" s="774"/>
      <c r="AH226" s="774"/>
      <c r="AI226" s="774"/>
      <c r="AJ226" s="774"/>
      <c r="AK226" s="774"/>
      <c r="AL226" s="774"/>
      <c r="AM226" s="774"/>
      <c r="AN226" s="774"/>
      <c r="AO226" s="380"/>
      <c r="AP226" s="322" t="str">
        <f t="shared" si="353"/>
        <v/>
      </c>
      <c r="AQ226" s="323" t="str">
        <f>IF(AC226=$V$3,IF(VLOOKUP(C226,[1]List1!$A:$E,5,FALSE)=0,1,VLOOKUP(C226,[1]List1!$A:$E,5,FALSE)),"")</f>
        <v/>
      </c>
      <c r="AR226" s="304" t="str">
        <f t="shared" si="354"/>
        <v/>
      </c>
      <c r="AS226" s="423" t="str">
        <f t="shared" si="355"/>
        <v/>
      </c>
      <c r="AT226" s="304" t="str">
        <f t="shared" si="356"/>
        <v/>
      </c>
      <c r="AU226" s="342" t="e">
        <f t="shared" si="357"/>
        <v>#N/A</v>
      </c>
      <c r="AV226" s="304" t="e">
        <f t="shared" si="358"/>
        <v>#N/A</v>
      </c>
      <c r="AX226" s="304">
        <f>IF(AND('General price list'!$J226="F4",'General price list'!$AB226+0&gt;0),1,0)</f>
        <v>0</v>
      </c>
      <c r="AY226" s="304">
        <f t="shared" si="359"/>
        <v>0</v>
      </c>
      <c r="AZ226" s="304">
        <f t="shared" si="360"/>
        <v>0</v>
      </c>
    </row>
    <row r="227" spans="1:52" ht="15" customHeight="1">
      <c r="A227" s="725" t="str">
        <f>Kat.!C227</f>
        <v/>
      </c>
      <c r="B227" s="741">
        <f>IF(AND('General price list'!$J227="F4",$AI$1=FALSE),0,IF(AC227="SKLADEM",1,IF(AC227=$V$3,1,0)))</f>
        <v>0</v>
      </c>
      <c r="C227" s="727" t="s">
        <v>671</v>
      </c>
      <c r="D227" s="728" t="s">
        <v>672</v>
      </c>
      <c r="E227" s="729" t="s">
        <v>141</v>
      </c>
      <c r="F227" s="725">
        <f>IFERROR(ROUND(IF($AL$3=2,VLOOKUP(C227,[2]List1!$A:$D,2,FALSE)*1.08,VLOOKUP(C227,[2]List1!$A:$D,2,FALSE)),0),"NEUVEDENO!")</f>
        <v>71</v>
      </c>
      <c r="G227" s="730">
        <f>(F227)*$B$19</f>
        <v>71</v>
      </c>
      <c r="H227" s="731">
        <f>G227/$F$19</f>
        <v>2.8851350527654631</v>
      </c>
      <c r="I227" s="742">
        <v>40</v>
      </c>
      <c r="J227" s="729" t="s">
        <v>46</v>
      </c>
      <c r="K227" s="729"/>
      <c r="L227" s="729" t="s">
        <v>14376</v>
      </c>
      <c r="M227" s="729" t="s">
        <v>25</v>
      </c>
      <c r="N227" s="729">
        <f>IFERROR(VLOOKUP(C227,[3]List1!$A:$D,4,FALSE),"N/A!")</f>
        <v>4.9104000000000002E-2</v>
      </c>
      <c r="O227" s="729">
        <f>IFERROR(VLOOKUP(C227,[3]List1!$A:$D,3,FALSE),"N/A!")</f>
        <v>1680</v>
      </c>
      <c r="P227" s="729">
        <f>IFERROR(VLOOKUP(C227,[3]List1!$A:$D,2,FALSE),"N/A!")</f>
        <v>10000</v>
      </c>
      <c r="Q227" s="729" t="s">
        <v>217</v>
      </c>
      <c r="R227" s="729" t="s">
        <v>24</v>
      </c>
      <c r="S227" s="729"/>
      <c r="T227" s="729">
        <v>20</v>
      </c>
      <c r="U227" s="729"/>
      <c r="V227" s="729"/>
      <c r="W227" s="729" t="str">
        <f>IFERROR(VLOOKUP('General price list'!$C227,Popisy!A:P,MATCH($W$17,Popisy!$A$7:$P$7,0),FALSE),"---------------")</f>
        <v>římská svíce 91ran, 4 různobarevné efekty</v>
      </c>
      <c r="X227" s="729" t="str">
        <f>IF(AB227&lt;0.0001,"",AB227)</f>
        <v/>
      </c>
      <c r="Y227" s="729" t="str">
        <f>IF($AL$3=2,IF(OR(AB227&lt;&gt;"",AB227&lt;&gt;0),AU227,""),IF(C227="","",IF(AB227&lt;0.0001,"",IF(B227=0,"",IF(AQ227&lt;AB227,"",AB227)))))</f>
        <v/>
      </c>
      <c r="Z227" s="729" t="str">
        <f>HYPERLINK("https://www.klasekpyrotechnics.cz/r100m")</f>
        <v>https://www.klasekpyrotechnics.cz/r100m</v>
      </c>
      <c r="AA227" s="729">
        <f>IFERROR(IF(VLOOKUP(C227,[4]List1!$A:$D,4,FALSE)=0,"",VLOOKUP(C227,[4]List1!$A:$D,4,FALSE)),"")</f>
        <v>30</v>
      </c>
      <c r="AB227" s="720"/>
      <c r="AC227" s="743" t="str">
        <f>IFERROR(IF(VLOOKUP(C227,[1]List1!$A:$D,2,FALSE)="VYPRODÁNO",$V$9,IF(VLOOKUP(C227,[1]List1!$A:$D,2,FALSE)="DOCHÁZÍ",$V$3,VLOOKUP(C227,[1]List1!$A:$D,2,FALSE))),"OFFLINE!")</f>
        <v>20.03.2024</v>
      </c>
      <c r="AD227" s="744" t="str">
        <f ca="1">IF(AP227="NE",$V$10,IF(AC227=$V$3,IF(AQ227&lt;1,$V$8,$V$2&amp;" "&amp;AQ227&amp;" "&amp;$V$1),IF(AC227="SKLADEM",$V$6,IFERROR(IF(OR(AC227-TODAY()&gt;45,VLOOKUP(C227,[1]List1!$A:$E,4,FALSE)=0),AC227,DAY(AC227)&amp;"."&amp;MONTH(AC227)&amp;"."&amp;YEAR(AC227)&amp;" "&amp;$V$4&amp;VLOOKUP(C227,[1]List1!$A:$E,4,FALSE)&amp;" "&amp;$V$1),AC227))))</f>
        <v>20.3.2024 DORAZÍ 100+ VK</v>
      </c>
      <c r="AE227" s="729" t="str">
        <f t="shared" ref="AE227" ca="1" si="389">IFERROR(IF(AV227&lt;&gt;"",AV227,AD227),AD227)</f>
        <v>20.3.2024 DORAZÍ 100+ VK</v>
      </c>
      <c r="AF227" s="735">
        <f t="shared" ref="AF227" si="390">IFERROR(IF(AB227=Y227,G227*I227*Y227,0),0)</f>
        <v>0</v>
      </c>
      <c r="AG227" s="735">
        <f t="shared" ref="AG227" si="391">IF($W$17=$AF$8,AH227*1.23,AF227*1.21)</f>
        <v>0</v>
      </c>
      <c r="AH227" s="736">
        <f t="shared" ref="AH227" si="392">IFERROR(IF(Y227=AB227,H227*I227*Y227,0),0)</f>
        <v>0</v>
      </c>
      <c r="AI227" s="729">
        <f t="shared" ref="AI227" si="393">IFERROR(IF(Y227=AB227,(P227*Y227)/1000,1),0)</f>
        <v>0</v>
      </c>
      <c r="AJ227" s="729">
        <f t="shared" ref="AJ227" si="394">IFERROR(IF(Y227=AB227,N227*Y227,0.1),0)</f>
        <v>0</v>
      </c>
      <c r="AK227" s="729" t="str">
        <f t="shared" ref="AK227" si="395">IFERROR(IF(Y227=AB227,IF(M227="1.1G",(O227/1000)*Y227,""),""),0)</f>
        <v/>
      </c>
      <c r="AL227" s="729" t="str">
        <f t="shared" ref="AL227" si="396">IFERROR(IF(Y227=AB227,IF(M227="1.3G",(O227/1000)*AB227,""),""),0)</f>
        <v/>
      </c>
      <c r="AM227" s="729">
        <f t="shared" ref="AM227" si="397">IFERROR(IF(Y227=AB227,IF(M227="1.4G",(O227/1000)*AB227,""),""),0)</f>
        <v>0</v>
      </c>
      <c r="AN227" s="729">
        <f t="shared" ref="AN227" si="398">SUM(AK227:AM227)</f>
        <v>0</v>
      </c>
      <c r="AO227" s="380"/>
      <c r="AP227" s="322" t="str">
        <f t="shared" si="353"/>
        <v/>
      </c>
      <c r="AQ227" s="323" t="str">
        <f>IF(AC227=$V$3,IF(VLOOKUP(C227,[1]List1!$A:$E,5,FALSE)=0,1,VLOOKUP(C227,[1]List1!$A:$E,5,FALSE)),"")</f>
        <v/>
      </c>
      <c r="AR227" s="304" t="str">
        <f t="shared" si="354"/>
        <v/>
      </c>
      <c r="AS227" s="423" t="str">
        <f t="shared" si="355"/>
        <v/>
      </c>
      <c r="AT227" s="304" t="str">
        <f t="shared" si="356"/>
        <v/>
      </c>
      <c r="AU227" s="342" t="e">
        <f t="shared" si="357"/>
        <v>#N/A</v>
      </c>
      <c r="AV227" s="304" t="e">
        <f t="shared" si="358"/>
        <v>#N/A</v>
      </c>
      <c r="AX227" s="304">
        <f>IF(AND('General price list'!$J227="F4",'General price list'!$AB227+0&gt;0),1,0)</f>
        <v>0</v>
      </c>
      <c r="AY227" s="304">
        <f t="shared" si="359"/>
        <v>1</v>
      </c>
      <c r="AZ227" s="304">
        <f t="shared" si="360"/>
        <v>0</v>
      </c>
    </row>
    <row r="228" spans="1:52" ht="15" customHeight="1">
      <c r="A228" s="773" t="str">
        <f>Kat.!C228</f>
        <v xml:space="preserve">                                                               Vystřelovací trubice F2</v>
      </c>
      <c r="B228" s="774"/>
      <c r="C228" s="774"/>
      <c r="D228" s="774"/>
      <c r="E228" s="774"/>
      <c r="F228" s="774"/>
      <c r="G228" s="774"/>
      <c r="H228" s="774"/>
      <c r="I228" s="774"/>
      <c r="J228" s="774"/>
      <c r="K228" s="774"/>
      <c r="L228" s="774"/>
      <c r="M228" s="774"/>
      <c r="N228" s="774"/>
      <c r="O228" s="774"/>
      <c r="P228" s="774"/>
      <c r="Q228" s="774"/>
      <c r="R228" s="774"/>
      <c r="S228" s="774"/>
      <c r="T228" s="774"/>
      <c r="U228" s="774"/>
      <c r="V228" s="774"/>
      <c r="W228" s="774"/>
      <c r="X228" s="774"/>
      <c r="Y228" s="774"/>
      <c r="Z228" s="774"/>
      <c r="AA228" s="774" t="str">
        <f>IFERROR(IF(VLOOKUP(C228,[4]List1!$A:$D,4,FALSE)=0,"",VLOOKUP(C228,[4]List1!$A:$D,4,FALSE)),"")</f>
        <v/>
      </c>
      <c r="AB228" s="774"/>
      <c r="AC228" s="775" t="str">
        <f>IFERROR(IF(VLOOKUP(C228,[1]List1!$A:$D,2,FALSE)="VYPRODÁNO",$V$9,IF(VLOOKUP(C228,[1]List1!$A:$D,2,FALSE)="DOCHÁZÍ",$V$3,VLOOKUP(C228,[1]List1!$A:$D,2,FALSE))),"OFFLINE!")</f>
        <v>OFFLINE!</v>
      </c>
      <c r="AD228" s="774"/>
      <c r="AE228" s="774"/>
      <c r="AF228" s="774"/>
      <c r="AG228" s="774"/>
      <c r="AH228" s="774"/>
      <c r="AI228" s="774"/>
      <c r="AJ228" s="774"/>
      <c r="AK228" s="774"/>
      <c r="AL228" s="774"/>
      <c r="AM228" s="774"/>
      <c r="AN228" s="774"/>
      <c r="AO228" s="380"/>
      <c r="AP228" s="322" t="str">
        <f t="shared" si="353"/>
        <v/>
      </c>
      <c r="AQ228" s="323" t="str">
        <f>IF(AC228=$V$3,IF(VLOOKUP(C228,[1]List1!$A:$E,5,FALSE)=0,1,VLOOKUP(C228,[1]List1!$A:$E,5,FALSE)),"")</f>
        <v/>
      </c>
      <c r="AR228" s="304" t="str">
        <f t="shared" si="354"/>
        <v/>
      </c>
      <c r="AS228" s="423" t="str">
        <f t="shared" si="355"/>
        <v/>
      </c>
      <c r="AT228" s="304" t="str">
        <f t="shared" si="356"/>
        <v/>
      </c>
      <c r="AU228" s="342" t="e">
        <f t="shared" si="357"/>
        <v>#N/A</v>
      </c>
      <c r="AV228" s="304" t="e">
        <f t="shared" si="358"/>
        <v>#N/A</v>
      </c>
      <c r="AX228" s="304">
        <f>IF(AND('General price list'!$J228="F4",'General price list'!$AB228+0&gt;0),1,0)</f>
        <v>0</v>
      </c>
      <c r="AY228" s="304">
        <f t="shared" si="359"/>
        <v>0</v>
      </c>
      <c r="AZ228" s="304">
        <f t="shared" si="360"/>
        <v>0</v>
      </c>
    </row>
    <row r="229" spans="1:52" ht="15" customHeight="1">
      <c r="A229" s="725" t="str">
        <f>Kat.!C229</f>
        <v/>
      </c>
      <c r="B229" s="741">
        <f>IF(AND('General price list'!$J229="F4",$AI$1=FALSE),0,IF(AC229="SKLADEM",1,IF(AC229=$V$3,1,0)))</f>
        <v>0</v>
      </c>
      <c r="C229" s="727" t="s">
        <v>676</v>
      </c>
      <c r="D229" s="728" t="s">
        <v>677</v>
      </c>
      <c r="E229" s="729" t="s">
        <v>678</v>
      </c>
      <c r="F229" s="725">
        <f>IFERROR(ROUND(IF($AL$3=2,VLOOKUP(C229,[2]List1!$A:$D,2,FALSE)*1.08,VLOOKUP(C229,[2]List1!$A:$D,2,FALSE)),0),"NEUVEDENO!")</f>
        <v>128</v>
      </c>
      <c r="G229" s="730">
        <f t="shared" ref="G229:G231" si="399">(F229)*$B$19</f>
        <v>128</v>
      </c>
      <c r="H229" s="731">
        <f t="shared" ref="H229:H231" si="400">G229/$F$19</f>
        <v>5.201370235971539</v>
      </c>
      <c r="I229" s="742">
        <v>30</v>
      </c>
      <c r="J229" s="729" t="s">
        <v>46</v>
      </c>
      <c r="K229" s="729" t="s">
        <v>12734</v>
      </c>
      <c r="L229" s="729" t="s">
        <v>14377</v>
      </c>
      <c r="M229" s="729" t="s">
        <v>138</v>
      </c>
      <c r="N229" s="729">
        <f>IFERROR(VLOOKUP(C229,[3]List1!$A:$D,4,FALSE),"N/A!")</f>
        <v>5.9518750000000002E-2</v>
      </c>
      <c r="O229" s="729">
        <f>IFERROR(VLOOKUP(C229,[3]List1!$A:$D,3,FALSE),"N/A!")</f>
        <v>2400</v>
      </c>
      <c r="P229" s="729">
        <f>IFERROR(VLOOKUP(C229,[3]List1!$A:$D,2,FALSE),"N/A!")</f>
        <v>15000</v>
      </c>
      <c r="Q229" s="729" t="s">
        <v>1283</v>
      </c>
      <c r="R229" s="729" t="s">
        <v>24</v>
      </c>
      <c r="S229" s="729"/>
      <c r="T229" s="729"/>
      <c r="U229" s="729"/>
      <c r="V229" s="729"/>
      <c r="W229" s="729" t="str">
        <f>IFERROR(VLOOKUP('General price list'!$C229,Popisy!A:P,MATCH($W$17,Popisy!$A$7:$P$7,0),FALSE),"---------------")</f>
        <v>stříbrný výmet+červená stopa a titanová detonace</v>
      </c>
      <c r="X229" s="729" t="str">
        <f t="shared" ref="X229:X231" si="401">IF(AB229&lt;0.0001,"",AB229)</f>
        <v/>
      </c>
      <c r="Y229" s="729" t="str">
        <f t="shared" ref="Y229:Y231" si="402">IF($AL$3=2,IF(OR(AB229&lt;&gt;"",AB229&lt;&gt;0),AU229,""),IF(C229="","",IF(AB229&lt;0.0001,"",IF(B229=0,"",IF(AQ229&lt;AB229,"",AB229)))))</f>
        <v/>
      </c>
      <c r="Z229" s="729" t="str">
        <f>HYPERLINK("https://www.klasekpyrotechnics.cz/ss20d")</f>
        <v>https://www.klasekpyrotechnics.cz/ss20d</v>
      </c>
      <c r="AA229" s="729">
        <f>IFERROR(IF(VLOOKUP(C229,[4]List1!$A:$D,4,FALSE)=0,"",VLOOKUP(C229,[4]List1!$A:$D,4,FALSE)),"")</f>
        <v>28</v>
      </c>
      <c r="AB229" s="720"/>
      <c r="AC229" s="743" t="str">
        <f>IFERROR(IF(VLOOKUP(C229,[1]List1!$A:$D,2,FALSE)="VYPRODÁNO",$V$9,IF(VLOOKUP(C229,[1]List1!$A:$D,2,FALSE)="DOCHÁZÍ",$V$3,VLOOKUP(C229,[1]List1!$A:$D,2,FALSE))),"OFFLINE!")</f>
        <v>20.06.2024</v>
      </c>
      <c r="AD229" s="744" t="str">
        <f ca="1">IF(AP229="NE",$V$10,IF(AC229=$V$3,IF(AQ229&lt;1,$V$8,$V$2&amp;" "&amp;AQ229&amp;" "&amp;$V$1),IF(AC229="SKLADEM",$V$6,IFERROR(IF(OR(AC229-TODAY()&gt;45,VLOOKUP(C229,[1]List1!$A:$E,4,FALSE)=0),AC229,DAY(AC229)&amp;"."&amp;MONTH(AC229)&amp;"."&amp;YEAR(AC229)&amp;" "&amp;$V$4&amp;VLOOKUP(C229,[1]List1!$A:$E,4,FALSE)&amp;" "&amp;$V$1),AC229))))</f>
        <v>20.06.2024</v>
      </c>
      <c r="AE229" s="729" t="str">
        <f t="shared" ref="AE229:AE231" ca="1" si="403">IFERROR(IF(AV229&lt;&gt;"",AV229,AD229),AD229)</f>
        <v>20.06.2024</v>
      </c>
      <c r="AF229" s="735">
        <f t="shared" ref="AF229:AF231" si="404">IFERROR(IF(AB229=Y229,G229*I229*Y229,0),0)</f>
        <v>0</v>
      </c>
      <c r="AG229" s="735">
        <f t="shared" ref="AG229:AG231" si="405">IF($W$17=$AF$8,AH229*1.23,AF229*1.21)</f>
        <v>0</v>
      </c>
      <c r="AH229" s="736">
        <f t="shared" ref="AH229:AH231" si="406">IFERROR(IF(Y229=AB229,H229*I229*Y229,0),0)</f>
        <v>0</v>
      </c>
      <c r="AI229" s="729">
        <f t="shared" ref="AI229:AI231" si="407">IFERROR(IF(Y229=AB229,(P229*Y229)/1000,1),0)</f>
        <v>0</v>
      </c>
      <c r="AJ229" s="729">
        <f t="shared" ref="AJ229:AJ231" si="408">IFERROR(IF(Y229=AB229,N229*Y229,0.1),0)</f>
        <v>0</v>
      </c>
      <c r="AK229" s="729" t="str">
        <f t="shared" ref="AK229:AK231" si="409">IFERROR(IF(Y229=AB229,IF(M229="1.1G",(O229/1000)*Y229,""),""),0)</f>
        <v/>
      </c>
      <c r="AL229" s="729">
        <f t="shared" ref="AL229:AL231" si="410">IFERROR(IF(Y229=AB229,IF(M229="1.3G",(O229/1000)*AB229,""),""),0)</f>
        <v>0</v>
      </c>
      <c r="AM229" s="729" t="str">
        <f t="shared" ref="AM229:AM231" si="411">IFERROR(IF(Y229=AB229,IF(M229="1.4G",(O229/1000)*AB229,""),""),0)</f>
        <v/>
      </c>
      <c r="AN229" s="729">
        <f t="shared" ref="AN229:AN231" si="412">SUM(AK229:AM229)</f>
        <v>0</v>
      </c>
      <c r="AO229" s="380"/>
      <c r="AP229" s="322" t="str">
        <f t="shared" si="353"/>
        <v/>
      </c>
      <c r="AQ229" s="323" t="str">
        <f>IF(AC229=$V$3,IF(VLOOKUP(C229,[1]List1!$A:$E,5,FALSE)=0,1,VLOOKUP(C229,[1]List1!$A:$E,5,FALSE)),"")</f>
        <v/>
      </c>
      <c r="AR229" s="304" t="str">
        <f t="shared" si="354"/>
        <v/>
      </c>
      <c r="AS229" s="423" t="str">
        <f t="shared" si="355"/>
        <v/>
      </c>
      <c r="AT229" s="304" t="str">
        <f t="shared" si="356"/>
        <v/>
      </c>
      <c r="AU229" s="342" t="e">
        <f t="shared" si="357"/>
        <v>#N/A</v>
      </c>
      <c r="AV229" s="304" t="e">
        <f t="shared" si="358"/>
        <v>#N/A</v>
      </c>
      <c r="AX229" s="304">
        <f>IF(AND('General price list'!$J229="F4",'General price list'!$AB229+0&gt;0),1,0)</f>
        <v>0</v>
      </c>
      <c r="AY229" s="304">
        <f t="shared" si="359"/>
        <v>1</v>
      </c>
      <c r="AZ229" s="304">
        <f t="shared" si="360"/>
        <v>0</v>
      </c>
    </row>
    <row r="230" spans="1:52" ht="15" customHeight="1">
      <c r="A230" s="712" t="str">
        <f>Kat.!C230</f>
        <v/>
      </c>
      <c r="B230" s="745">
        <f>IF(AND('General price list'!$J230="F4",$AI$1=FALSE),0,IF(AC230="SKLADEM",1,IF(AC230=$V$3,1,0)))</f>
        <v>1</v>
      </c>
      <c r="C230" s="714" t="s">
        <v>2492</v>
      </c>
      <c r="D230" s="715" t="s">
        <v>2493</v>
      </c>
      <c r="E230" s="716" t="s">
        <v>391</v>
      </c>
      <c r="F230" s="712">
        <f>IFERROR(ROUND(IF($AL$3=2,VLOOKUP(C230,[2]List1!$A:$D,2,FALSE)*1.08,VLOOKUP(C230,[2]List1!$A:$D,2,FALSE)),0),"NEUVEDENO!")</f>
        <v>187</v>
      </c>
      <c r="G230" s="717">
        <f t="shared" si="399"/>
        <v>187</v>
      </c>
      <c r="H230" s="718">
        <f t="shared" si="400"/>
        <v>7.59887682911467</v>
      </c>
      <c r="I230" s="746">
        <v>24</v>
      </c>
      <c r="J230" s="716" t="s">
        <v>46</v>
      </c>
      <c r="K230" s="716"/>
      <c r="L230" s="716" t="s">
        <v>14378</v>
      </c>
      <c r="M230" s="716" t="s">
        <v>25</v>
      </c>
      <c r="N230" s="716">
        <f>IFERROR(VLOOKUP(C230,[3]List1!$A:$D,4,FALSE),"N/A!")</f>
        <v>4.3512000000000002E-2</v>
      </c>
      <c r="O230" s="716">
        <f>IFERROR(VLOOKUP(C230,[3]List1!$A:$D,3,FALSE),"N/A!")</f>
        <v>1584</v>
      </c>
      <c r="P230" s="716">
        <f>IFERROR(VLOOKUP(C230,[3]List1!$A:$D,2,FALSE),"N/A!")</f>
        <v>11500</v>
      </c>
      <c r="Q230" s="716" t="s">
        <v>1283</v>
      </c>
      <c r="R230" s="716" t="s">
        <v>24</v>
      </c>
      <c r="S230" s="716"/>
      <c r="T230" s="716"/>
      <c r="U230" s="716"/>
      <c r="V230" s="716"/>
      <c r="W230" s="716" t="str">
        <f>IFERROR(VLOOKUP('General price list'!$C230,Popisy!A:P,MATCH($W$17,Popisy!$A$7:$P$7,0),FALSE),"---------------")</f>
        <v>pískající stopa</v>
      </c>
      <c r="X230" s="716" t="str">
        <f t="shared" si="401"/>
        <v/>
      </c>
      <c r="Y230" s="716" t="str">
        <f t="shared" si="402"/>
        <v/>
      </c>
      <c r="Z230" s="716" t="str">
        <f>HYPERLINK("https://www.klasekpyrotechnics.cz/ss25sc")</f>
        <v>https://www.klasekpyrotechnics.cz/ss25sc</v>
      </c>
      <c r="AA230" s="716">
        <f>IFERROR(IF(VLOOKUP(C230,[4]List1!$A:$D,4,FALSE)=0,"",VLOOKUP(C230,[4]List1!$A:$D,4,FALSE)),"")</f>
        <v>36</v>
      </c>
      <c r="AB230" s="720"/>
      <c r="AC230" s="747" t="str">
        <f>IFERROR(IF(VLOOKUP(C230,[1]List1!$A:$D,2,FALSE)="VYPRODÁNO",$V$9,IF(VLOOKUP(C230,[1]List1!$A:$D,2,FALSE)="DOCHÁZÍ",$V$3,VLOOKUP(C230,[1]List1!$A:$D,2,FALSE))),"OFFLINE!")</f>
        <v>SKLADEM</v>
      </c>
      <c r="AD230" s="748" t="str">
        <f ca="1">IF(AP230="NE",$V$10,IF(AC230=$V$3,IF(AQ230&lt;1,$V$8,$V$2&amp;" "&amp;AQ230&amp;" "&amp;$V$1),IF(AC230="SKLADEM",$V$6,IFERROR(IF(OR(AC230-TODAY()&gt;45,VLOOKUP(C230,[1]List1!$A:$E,4,FALSE)=0),AC230,DAY(AC230)&amp;"."&amp;MONTH(AC230)&amp;"."&amp;YEAR(AC230)&amp;" "&amp;$V$4&amp;VLOOKUP(C230,[1]List1!$A:$E,4,FALSE)&amp;" "&amp;$V$1),AC230))))</f>
        <v>SKLADEM</v>
      </c>
      <c r="AE230" s="716" t="str">
        <f t="shared" ca="1" si="403"/>
        <v>SKLADEM</v>
      </c>
      <c r="AF230" s="723">
        <f t="shared" si="404"/>
        <v>0</v>
      </c>
      <c r="AG230" s="723">
        <f t="shared" si="405"/>
        <v>0</v>
      </c>
      <c r="AH230" s="724">
        <f t="shared" si="406"/>
        <v>0</v>
      </c>
      <c r="AI230" s="716">
        <f t="shared" si="407"/>
        <v>0</v>
      </c>
      <c r="AJ230" s="716">
        <f t="shared" si="408"/>
        <v>0</v>
      </c>
      <c r="AK230" s="716" t="str">
        <f t="shared" si="409"/>
        <v/>
      </c>
      <c r="AL230" s="716" t="str">
        <f t="shared" si="410"/>
        <v/>
      </c>
      <c r="AM230" s="716">
        <f t="shared" si="411"/>
        <v>0</v>
      </c>
      <c r="AN230" s="716">
        <f t="shared" si="412"/>
        <v>0</v>
      </c>
      <c r="AO230" s="380"/>
      <c r="AP230" s="322" t="str">
        <f t="shared" si="353"/>
        <v/>
      </c>
      <c r="AQ230" s="323" t="str">
        <f>IF(AC230=$V$3,IF(VLOOKUP(C230,[1]List1!$A:$E,5,FALSE)=0,1,VLOOKUP(C230,[1]List1!$A:$E,5,FALSE)),"")</f>
        <v/>
      </c>
      <c r="AR230" s="304" t="str">
        <f t="shared" si="354"/>
        <v/>
      </c>
      <c r="AS230" s="423" t="str">
        <f t="shared" si="355"/>
        <v/>
      </c>
      <c r="AT230" s="304" t="str">
        <f t="shared" si="356"/>
        <v/>
      </c>
      <c r="AU230" s="342" t="e">
        <f t="shared" si="357"/>
        <v>#N/A</v>
      </c>
      <c r="AV230" s="304" t="e">
        <f t="shared" si="358"/>
        <v>#N/A</v>
      </c>
      <c r="AX230" s="304">
        <f>IF(AND('General price list'!$J230="F4",'General price list'!$AB230+0&gt;0),1,0)</f>
        <v>0</v>
      </c>
      <c r="AY230" s="304">
        <f t="shared" si="359"/>
        <v>1</v>
      </c>
      <c r="AZ230" s="304">
        <f t="shared" si="360"/>
        <v>0</v>
      </c>
    </row>
    <row r="231" spans="1:52" ht="15" customHeight="1">
      <c r="A231" s="725" t="str">
        <f>Kat.!C231</f>
        <v/>
      </c>
      <c r="B231" s="749">
        <f>IF(AND('General price list'!$J231="F4",$AI$1=FALSE),0,IF(AC231="SKLADEM",1,IF(AC231=$V$3,1,0)))</f>
        <v>1</v>
      </c>
      <c r="C231" s="727" t="s">
        <v>687</v>
      </c>
      <c r="D231" s="728" t="s">
        <v>688</v>
      </c>
      <c r="E231" s="729" t="s">
        <v>689</v>
      </c>
      <c r="F231" s="725">
        <f>IFERROR(ROUND(IF($AL$3=2,VLOOKUP(C231,[2]List1!$A:$D,2,FALSE)*1.08,VLOOKUP(C231,[2]List1!$A:$D,2,FALSE)),0),"NEUVEDENO!")</f>
        <v>148</v>
      </c>
      <c r="G231" s="730">
        <f t="shared" si="399"/>
        <v>148</v>
      </c>
      <c r="H231" s="731">
        <f t="shared" si="400"/>
        <v>6.0140843353420923</v>
      </c>
      <c r="I231" s="750">
        <v>30</v>
      </c>
      <c r="J231" s="729" t="s">
        <v>46</v>
      </c>
      <c r="K231" s="729"/>
      <c r="L231" s="729" t="s">
        <v>14379</v>
      </c>
      <c r="M231" s="729" t="s">
        <v>25</v>
      </c>
      <c r="N231" s="729">
        <f>IFERROR(VLOOKUP(C231,[3]List1!$A:$D,4,FALSE),"N/A!")</f>
        <v>8.5680000000000006E-2</v>
      </c>
      <c r="O231" s="729">
        <f>IFERROR(VLOOKUP(C231,[3]List1!$A:$D,3,FALSE),"N/A!")</f>
        <v>2880</v>
      </c>
      <c r="P231" s="729">
        <f>IFERROR(VLOOKUP(C231,[3]List1!$A:$D,2,FALSE),"N/A!")</f>
        <v>19000</v>
      </c>
      <c r="Q231" s="729" t="s">
        <v>14208</v>
      </c>
      <c r="R231" s="729" t="s">
        <v>24</v>
      </c>
      <c r="S231" s="729"/>
      <c r="T231" s="729"/>
      <c r="U231" s="729">
        <v>44</v>
      </c>
      <c r="V231" s="729">
        <v>30</v>
      </c>
      <c r="W231" s="729" t="str">
        <f>IFERROR(VLOOKUP('General price list'!$C231,Popisy!A:P,MATCH($W$17,Popisy!$A$7:$P$7,0),FALSE),"---------------")</f>
        <v>4 různobarevné efekty</v>
      </c>
      <c r="X231" s="729" t="str">
        <f t="shared" si="401"/>
        <v/>
      </c>
      <c r="Y231" s="729" t="str">
        <f t="shared" si="402"/>
        <v/>
      </c>
      <c r="Z231" s="729" t="str">
        <f>HYPERLINK("https://www.klasekpyrotechnics.cz/ss30sigf2")</f>
        <v>https://www.klasekpyrotechnics.cz/ss30sigf2</v>
      </c>
      <c r="AA231" s="729">
        <f>IFERROR(IF(VLOOKUP(C231,[4]List1!$A:$D,4,FALSE)=0,"",VLOOKUP(C231,[4]List1!$A:$D,4,FALSE)),"")</f>
        <v>18</v>
      </c>
      <c r="AB231" s="720"/>
      <c r="AC231" s="751" t="str">
        <f>IFERROR(IF(VLOOKUP(C231,[1]List1!$A:$D,2,FALSE)="VYPRODÁNO",$V$9,IF(VLOOKUP(C231,[1]List1!$A:$D,2,FALSE)="DOCHÁZÍ",$V$3,VLOOKUP(C231,[1]List1!$A:$D,2,FALSE))),"OFFLINE!")</f>
        <v>SKLADEM</v>
      </c>
      <c r="AD231" s="752" t="str">
        <f ca="1">IF(AP231="NE",$V$10,IF(AC231=$V$3,IF(AQ231&lt;1,$V$8,$V$2&amp;" "&amp;AQ231&amp;" "&amp;$V$1),IF(AC231="SKLADEM",$V$6,IFERROR(IF(OR(AC231-TODAY()&gt;45,VLOOKUP(C231,[1]List1!$A:$E,4,FALSE)=0),AC231,DAY(AC231)&amp;"."&amp;MONTH(AC231)&amp;"."&amp;YEAR(AC231)&amp;" "&amp;$V$4&amp;VLOOKUP(C231,[1]List1!$A:$E,4,FALSE)&amp;" "&amp;$V$1),AC231))))</f>
        <v>SKLADEM</v>
      </c>
      <c r="AE231" s="729" t="str">
        <f t="shared" ca="1" si="403"/>
        <v>SKLADEM</v>
      </c>
      <c r="AF231" s="735">
        <f t="shared" si="404"/>
        <v>0</v>
      </c>
      <c r="AG231" s="735">
        <f t="shared" si="405"/>
        <v>0</v>
      </c>
      <c r="AH231" s="736">
        <f t="shared" si="406"/>
        <v>0</v>
      </c>
      <c r="AI231" s="729">
        <f t="shared" si="407"/>
        <v>0</v>
      </c>
      <c r="AJ231" s="729">
        <f t="shared" si="408"/>
        <v>0</v>
      </c>
      <c r="AK231" s="729" t="str">
        <f t="shared" si="409"/>
        <v/>
      </c>
      <c r="AL231" s="729" t="str">
        <f t="shared" si="410"/>
        <v/>
      </c>
      <c r="AM231" s="729">
        <f t="shared" si="411"/>
        <v>0</v>
      </c>
      <c r="AN231" s="729">
        <f t="shared" si="412"/>
        <v>0</v>
      </c>
      <c r="AO231" s="380"/>
      <c r="AP231" s="322" t="str">
        <f t="shared" si="353"/>
        <v/>
      </c>
      <c r="AQ231" s="323" t="str">
        <f>IF(AC231=$V$3,IF(VLOOKUP(C231,[1]List1!$A:$E,5,FALSE)=0,1,VLOOKUP(C231,[1]List1!$A:$E,5,FALSE)),"")</f>
        <v/>
      </c>
      <c r="AR231" s="304" t="str">
        <f t="shared" si="354"/>
        <v/>
      </c>
      <c r="AS231" s="423" t="str">
        <f t="shared" si="355"/>
        <v/>
      </c>
      <c r="AT231" s="304" t="str">
        <f t="shared" si="356"/>
        <v/>
      </c>
      <c r="AU231" s="342" t="e">
        <f t="shared" si="357"/>
        <v>#N/A</v>
      </c>
      <c r="AV231" s="304" t="e">
        <f t="shared" si="358"/>
        <v>#N/A</v>
      </c>
      <c r="AX231" s="304">
        <f>IF(AND('General price list'!$J231="F4",'General price list'!$AB231+0&gt;0),1,0)</f>
        <v>0</v>
      </c>
      <c r="AY231" s="304">
        <f t="shared" si="359"/>
        <v>1</v>
      </c>
      <c r="AZ231" s="304">
        <f t="shared" si="360"/>
        <v>0</v>
      </c>
    </row>
    <row r="232" spans="1:52" ht="15" customHeight="1">
      <c r="A232" s="773" t="str">
        <f>Kat.!C232</f>
        <v xml:space="preserve">                                                               Vystřelovací trubice F3</v>
      </c>
      <c r="B232" s="774"/>
      <c r="C232" s="774"/>
      <c r="D232" s="774"/>
      <c r="E232" s="774"/>
      <c r="F232" s="774"/>
      <c r="G232" s="774"/>
      <c r="H232" s="774"/>
      <c r="I232" s="774"/>
      <c r="J232" s="774"/>
      <c r="K232" s="774"/>
      <c r="L232" s="774"/>
      <c r="M232" s="774"/>
      <c r="N232" s="774"/>
      <c r="O232" s="774"/>
      <c r="P232" s="774"/>
      <c r="Q232" s="774"/>
      <c r="R232" s="774"/>
      <c r="S232" s="774"/>
      <c r="T232" s="774"/>
      <c r="U232" s="774"/>
      <c r="V232" s="774"/>
      <c r="W232" s="774"/>
      <c r="X232" s="774"/>
      <c r="Y232" s="774"/>
      <c r="Z232" s="774"/>
      <c r="AA232" s="774" t="str">
        <f>IFERROR(IF(VLOOKUP(C232,[4]List1!$A:$D,4,FALSE)=0,"",VLOOKUP(C232,[4]List1!$A:$D,4,FALSE)),"")</f>
        <v/>
      </c>
      <c r="AB232" s="774"/>
      <c r="AC232" s="775" t="str">
        <f>IFERROR(IF(VLOOKUP(C232,[1]List1!$A:$D,2,FALSE)="VYPRODÁNO",$V$9,IF(VLOOKUP(C232,[1]List1!$A:$D,2,FALSE)="DOCHÁZÍ",$V$3,VLOOKUP(C232,[1]List1!$A:$D,2,FALSE))),"OFFLINE!")</f>
        <v>OFFLINE!</v>
      </c>
      <c r="AD232" s="774"/>
      <c r="AE232" s="774"/>
      <c r="AF232" s="774"/>
      <c r="AG232" s="774"/>
      <c r="AH232" s="774"/>
      <c r="AI232" s="774"/>
      <c r="AJ232" s="774"/>
      <c r="AK232" s="774"/>
      <c r="AL232" s="774"/>
      <c r="AM232" s="774"/>
      <c r="AN232" s="774"/>
      <c r="AO232" s="380"/>
      <c r="AP232" s="322" t="str">
        <f t="shared" si="353"/>
        <v/>
      </c>
      <c r="AQ232" s="323" t="str">
        <f>IF(AC232=$V$3,IF(VLOOKUP(C232,[1]List1!$A:$E,5,FALSE)=0,1,VLOOKUP(C232,[1]List1!$A:$E,5,FALSE)),"")</f>
        <v/>
      </c>
      <c r="AR232" s="304" t="str">
        <f t="shared" si="354"/>
        <v/>
      </c>
      <c r="AS232" s="423" t="str">
        <f t="shared" si="355"/>
        <v/>
      </c>
      <c r="AT232" s="304" t="str">
        <f t="shared" si="356"/>
        <v/>
      </c>
      <c r="AU232" s="342" t="e">
        <f t="shared" si="357"/>
        <v>#N/A</v>
      </c>
      <c r="AV232" s="304" t="e">
        <f t="shared" si="358"/>
        <v>#N/A</v>
      </c>
      <c r="AX232" s="304">
        <f>IF(AND('General price list'!$J232="F4",'General price list'!$AB232+0&gt;0),1,0)</f>
        <v>0</v>
      </c>
      <c r="AY232" s="304">
        <f t="shared" si="359"/>
        <v>0</v>
      </c>
      <c r="AZ232" s="304">
        <f t="shared" si="360"/>
        <v>0</v>
      </c>
    </row>
    <row r="233" spans="1:52" ht="15" customHeight="1">
      <c r="A233" s="725" t="str">
        <f>Kat.!C233</f>
        <v/>
      </c>
      <c r="B233" s="741">
        <f>IF(AND('General price list'!$J233="F4",$AI$1=FALSE),0,IF(AC233="SKLADEM",1,IF(AC233=$V$3,1,0)))</f>
        <v>1</v>
      </c>
      <c r="C233" s="727" t="s">
        <v>694</v>
      </c>
      <c r="D233" s="728" t="s">
        <v>695</v>
      </c>
      <c r="E233" s="729" t="s">
        <v>689</v>
      </c>
      <c r="F233" s="725">
        <f>IFERROR(ROUND(IF($AL$3=2,VLOOKUP(C233,[2]List1!$A:$D,2,FALSE)*1.08,VLOOKUP(C233,[2]List1!$A:$D,2,FALSE)),0),"NEUVEDENO!")</f>
        <v>134</v>
      </c>
      <c r="G233" s="730">
        <f t="shared" ref="G233:G236" si="413">(F233)*$B$19</f>
        <v>134</v>
      </c>
      <c r="H233" s="731">
        <f t="shared" ref="H233:H236" si="414">G233/$F$19</f>
        <v>5.4451844657827051</v>
      </c>
      <c r="I233" s="742">
        <v>30</v>
      </c>
      <c r="J233" s="729" t="s">
        <v>137</v>
      </c>
      <c r="K233" s="729" t="s">
        <v>12734</v>
      </c>
      <c r="L233" s="729" t="s">
        <v>24</v>
      </c>
      <c r="M233" s="729" t="s">
        <v>138</v>
      </c>
      <c r="N233" s="729">
        <f>IFERROR(VLOOKUP(C233,[3]List1!$A:$D,4,FALSE),"N/A!")</f>
        <v>5.994E-2</v>
      </c>
      <c r="O233" s="729">
        <f>IFERROR(VLOOKUP(C233,[3]List1!$A:$D,3,FALSE),"N/A!")</f>
        <v>1920</v>
      </c>
      <c r="P233" s="729">
        <f>IFERROR(VLOOKUP(C233,[3]List1!$A:$D,2,FALSE),"N/A!")</f>
        <v>17000</v>
      </c>
      <c r="Q233" s="729" t="s">
        <v>14208</v>
      </c>
      <c r="R233" s="729" t="s">
        <v>24</v>
      </c>
      <c r="S233" s="729"/>
      <c r="T233" s="729"/>
      <c r="U233" s="729"/>
      <c r="V233" s="729"/>
      <c r="W233" s="729" t="str">
        <f>IFERROR(VLOOKUP('General price list'!$C233,Popisy!A:P,MATCH($W$17,Popisy!$A$7:$P$7,0),FALSE),"---------------")</f>
        <v>stříbrný výmet+červená stopa a titanová detonace</v>
      </c>
      <c r="X233" s="729" t="str">
        <f t="shared" ref="X233:X236" si="415">IF(AB233&lt;0.0001,"",AB233)</f>
        <v/>
      </c>
      <c r="Y233" s="729" t="str">
        <f t="shared" ref="Y233:Y236" si="416">IF($AL$3=2,IF(OR(AB233&lt;&gt;"",AB233&lt;&gt;0),AU233,""),IF(C233="","",IF(AB233&lt;0.0001,"",IF(B233=0,"",IF(AQ233&lt;AB233,"",AB233)))))</f>
        <v/>
      </c>
      <c r="Z233" s="729" t="str">
        <f>HYPERLINK("https://www.klasekpyrotechnics.cz/ss30d")</f>
        <v>https://www.klasekpyrotechnics.cz/ss30d</v>
      </c>
      <c r="AA233" s="729">
        <f>IFERROR(IF(VLOOKUP(C233,[4]List1!$A:$D,4,FALSE)=0,"",VLOOKUP(C233,[4]List1!$A:$D,4,FALSE)),"")</f>
        <v>24</v>
      </c>
      <c r="AB233" s="720"/>
      <c r="AC233" s="743" t="str">
        <f>IFERROR(IF(VLOOKUP(C233,[1]List1!$A:$D,2,FALSE)="VYPRODÁNO",$V$9,IF(VLOOKUP(C233,[1]List1!$A:$D,2,FALSE)="DOCHÁZÍ",$V$3,VLOOKUP(C233,[1]List1!$A:$D,2,FALSE))),"OFFLINE!")</f>
        <v>SKLADEM</v>
      </c>
      <c r="AD233" s="744" t="str">
        <f ca="1">IF(AP233="NE",$V$10,IF(AC233=$V$3,IF(AQ233&lt;1,$V$8,$V$2&amp;" "&amp;AQ233&amp;" "&amp;$V$1),IF(AC233="SKLADEM",$V$6,IFERROR(IF(OR(AC233-TODAY()&gt;45,VLOOKUP(C233,[1]List1!$A:$E,4,FALSE)=0),AC233,DAY(AC233)&amp;"."&amp;MONTH(AC233)&amp;"."&amp;YEAR(AC233)&amp;" "&amp;$V$4&amp;VLOOKUP(C233,[1]List1!$A:$E,4,FALSE)&amp;" "&amp;$V$1),AC233))))</f>
        <v>SKLADEM</v>
      </c>
      <c r="AE233" s="729" t="str">
        <f t="shared" ref="AE233:AE236" ca="1" si="417">IFERROR(IF(AV233&lt;&gt;"",AV233,AD233),AD233)</f>
        <v>SKLADEM</v>
      </c>
      <c r="AF233" s="735">
        <f t="shared" ref="AF233:AF236" si="418">IFERROR(IF(AB233=Y233,G233*I233*Y233,0),0)</f>
        <v>0</v>
      </c>
      <c r="AG233" s="735">
        <f t="shared" ref="AG233:AG236" si="419">IF($W$17=$AF$8,AH233*1.23,AF233*1.21)</f>
        <v>0</v>
      </c>
      <c r="AH233" s="736">
        <f t="shared" ref="AH233:AH236" si="420">IFERROR(IF(Y233=AB233,H233*I233*Y233,0),0)</f>
        <v>0</v>
      </c>
      <c r="AI233" s="729">
        <f t="shared" ref="AI233:AI236" si="421">IFERROR(IF(Y233=AB233,(P233*Y233)/1000,1),0)</f>
        <v>0</v>
      </c>
      <c r="AJ233" s="729">
        <f t="shared" ref="AJ233:AJ236" si="422">IFERROR(IF(Y233=AB233,N233*Y233,0.1),0)</f>
        <v>0</v>
      </c>
      <c r="AK233" s="729" t="str">
        <f t="shared" ref="AK233:AK236" si="423">IFERROR(IF(Y233=AB233,IF(M233="1.1G",(O233/1000)*Y233,""),""),0)</f>
        <v/>
      </c>
      <c r="AL233" s="729">
        <f t="shared" ref="AL233:AL236" si="424">IFERROR(IF(Y233=AB233,IF(M233="1.3G",(O233/1000)*AB233,""),""),0)</f>
        <v>0</v>
      </c>
      <c r="AM233" s="729" t="str">
        <f t="shared" ref="AM233:AM236" si="425">IFERROR(IF(Y233=AB233,IF(M233="1.4G",(O233/1000)*AB233,""),""),0)</f>
        <v/>
      </c>
      <c r="AN233" s="729">
        <f t="shared" ref="AN233:AN236" si="426">SUM(AK233:AM233)</f>
        <v>0</v>
      </c>
      <c r="AO233" s="380"/>
      <c r="AP233" s="322" t="str">
        <f t="shared" si="353"/>
        <v/>
      </c>
      <c r="AQ233" s="323" t="str">
        <f>IF(AC233=$V$3,IF(VLOOKUP(C233,[1]List1!$A:$E,5,FALSE)=0,1,VLOOKUP(C233,[1]List1!$A:$E,5,FALSE)),"")</f>
        <v/>
      </c>
      <c r="AR233" s="304" t="str">
        <f t="shared" si="354"/>
        <v/>
      </c>
      <c r="AS233" s="423" t="str">
        <f t="shared" si="355"/>
        <v/>
      </c>
      <c r="AT233" s="304" t="str">
        <f t="shared" si="356"/>
        <v/>
      </c>
      <c r="AU233" s="342" t="e">
        <f t="shared" si="357"/>
        <v>#N/A</v>
      </c>
      <c r="AV233" s="304" t="e">
        <f t="shared" si="358"/>
        <v>#N/A</v>
      </c>
      <c r="AX233" s="304">
        <f>IF(AND('General price list'!$J233="F4",'General price list'!$AB233+0&gt;0),1,0)</f>
        <v>0</v>
      </c>
      <c r="AY233" s="304">
        <f t="shared" si="359"/>
        <v>1</v>
      </c>
      <c r="AZ233" s="304">
        <f t="shared" si="360"/>
        <v>0</v>
      </c>
    </row>
    <row r="234" spans="1:52" ht="15" customHeight="1">
      <c r="A234" s="712" t="str">
        <f>Kat.!C234</f>
        <v/>
      </c>
      <c r="B234" s="745">
        <f>IF(AND('General price list'!$J234="F4",$AI$1=FALSE),0,IF(AC234="SKLADEM",1,IF(AC234=$V$3,1,0)))</f>
        <v>0</v>
      </c>
      <c r="C234" s="714" t="s">
        <v>696</v>
      </c>
      <c r="D234" s="715" t="s">
        <v>697</v>
      </c>
      <c r="E234" s="716" t="s">
        <v>689</v>
      </c>
      <c r="F234" s="712">
        <f>IFERROR(ROUND(IF($AL$3=2,VLOOKUP(C234,[2]List1!$A:$D,2,FALSE)*1.08,VLOOKUP(C234,[2]List1!$A:$D,2,FALSE)),0),"NEUVEDENO!")</f>
        <v>122</v>
      </c>
      <c r="G234" s="717">
        <f t="shared" si="413"/>
        <v>122</v>
      </c>
      <c r="H234" s="718">
        <f t="shared" si="414"/>
        <v>4.957556006160373</v>
      </c>
      <c r="I234" s="746">
        <v>30</v>
      </c>
      <c r="J234" s="716" t="s">
        <v>137</v>
      </c>
      <c r="K234" s="716"/>
      <c r="L234" s="716" t="s">
        <v>24</v>
      </c>
      <c r="M234" s="716" t="s">
        <v>138</v>
      </c>
      <c r="N234" s="716">
        <f>IFERROR(VLOOKUP(C234,[3]List1!$A:$D,4,FALSE),"N/A!")</f>
        <v>6.029099999999999E-2</v>
      </c>
      <c r="O234" s="716">
        <f>IFERROR(VLOOKUP(C234,[3]List1!$A:$D,3,FALSE),"N/A!")</f>
        <v>2400</v>
      </c>
      <c r="P234" s="716">
        <f>IFERROR(VLOOKUP(C234,[3]List1!$A:$D,2,FALSE),"N/A!")</f>
        <v>17550</v>
      </c>
      <c r="Q234" s="716" t="s">
        <v>14313</v>
      </c>
      <c r="R234" s="716" t="s">
        <v>18</v>
      </c>
      <c r="S234" s="716"/>
      <c r="T234" s="716"/>
      <c r="U234" s="716">
        <v>40</v>
      </c>
      <c r="V234" s="716">
        <v>30</v>
      </c>
      <c r="W234" s="716" t="str">
        <f>IFERROR(VLOOKUP('General price list'!$C234,Popisy!A:P,MATCH($W$17,Popisy!$A$7:$P$7,0),FALSE),"---------------")</f>
        <v>4 různobarevné efekty</v>
      </c>
      <c r="X234" s="716" t="str">
        <f t="shared" si="415"/>
        <v/>
      </c>
      <c r="Y234" s="716" t="str">
        <f t="shared" si="416"/>
        <v/>
      </c>
      <c r="Z234" s="716" t="str">
        <f>HYPERLINK("https://www.klasekpyrotechnics.cz/ss30a")</f>
        <v>https://www.klasekpyrotechnics.cz/ss30a</v>
      </c>
      <c r="AA234" s="716" t="str">
        <f>IFERROR(IF(VLOOKUP(C234,[4]List1!$A:$D,4,FALSE)=0,"",VLOOKUP(C234,[4]List1!$A:$D,4,FALSE)),"")</f>
        <v>22</v>
      </c>
      <c r="AB234" s="720"/>
      <c r="AC234" s="747" t="str">
        <f>IFERROR(IF(VLOOKUP(C234,[1]List1!$A:$D,2,FALSE)="VYPRODÁNO",$V$9,IF(VLOOKUP(C234,[1]List1!$A:$D,2,FALSE)="DOCHÁZÍ",$V$3,VLOOKUP(C234,[1]List1!$A:$D,2,FALSE))),"OFFLINE!")</f>
        <v>20.06.2024</v>
      </c>
      <c r="AD234" s="748" t="str">
        <f ca="1">IF(AP234="NE",$V$10,IF(AC234=$V$3,IF(AQ234&lt;1,$V$8,$V$2&amp;" "&amp;AQ234&amp;" "&amp;$V$1),IF(AC234="SKLADEM",$V$6,IFERROR(IF(OR(AC234-TODAY()&gt;45,VLOOKUP(C234,[1]List1!$A:$E,4,FALSE)=0),AC234,DAY(AC234)&amp;"."&amp;MONTH(AC234)&amp;"."&amp;YEAR(AC234)&amp;" "&amp;$V$4&amp;VLOOKUP(C234,[1]List1!$A:$E,4,FALSE)&amp;" "&amp;$V$1),AC234))))</f>
        <v>20.06.2024</v>
      </c>
      <c r="AE234" s="716" t="str">
        <f t="shared" ca="1" si="417"/>
        <v>20.06.2024</v>
      </c>
      <c r="AF234" s="723">
        <f t="shared" si="418"/>
        <v>0</v>
      </c>
      <c r="AG234" s="723">
        <f t="shared" si="419"/>
        <v>0</v>
      </c>
      <c r="AH234" s="724">
        <f t="shared" si="420"/>
        <v>0</v>
      </c>
      <c r="AI234" s="716">
        <f t="shared" si="421"/>
        <v>0</v>
      </c>
      <c r="AJ234" s="716">
        <f t="shared" si="422"/>
        <v>0</v>
      </c>
      <c r="AK234" s="716" t="str">
        <f t="shared" si="423"/>
        <v/>
      </c>
      <c r="AL234" s="716">
        <f t="shared" si="424"/>
        <v>0</v>
      </c>
      <c r="AM234" s="716" t="str">
        <f t="shared" si="425"/>
        <v/>
      </c>
      <c r="AN234" s="716">
        <f t="shared" si="426"/>
        <v>0</v>
      </c>
      <c r="AO234" s="380"/>
      <c r="AP234" s="322" t="str">
        <f t="shared" si="353"/>
        <v/>
      </c>
      <c r="AQ234" s="323" t="str">
        <f>IF(AC234=$V$3,IF(VLOOKUP(C234,[1]List1!$A:$E,5,FALSE)=0,1,VLOOKUP(C234,[1]List1!$A:$E,5,FALSE)),"")</f>
        <v/>
      </c>
      <c r="AR234" s="304" t="str">
        <f t="shared" si="354"/>
        <v/>
      </c>
      <c r="AS234" s="423" t="str">
        <f t="shared" si="355"/>
        <v/>
      </c>
      <c r="AT234" s="304" t="str">
        <f t="shared" si="356"/>
        <v/>
      </c>
      <c r="AU234" s="342" t="e">
        <f t="shared" si="357"/>
        <v>#N/A</v>
      </c>
      <c r="AV234" s="304" t="e">
        <f t="shared" si="358"/>
        <v>#N/A</v>
      </c>
      <c r="AX234" s="304">
        <f>IF(AND('General price list'!$J234="F4",'General price list'!$AB234+0&gt;0),1,0)</f>
        <v>0</v>
      </c>
      <c r="AY234" s="304">
        <f t="shared" si="359"/>
        <v>1</v>
      </c>
      <c r="AZ234" s="304">
        <f t="shared" si="360"/>
        <v>1</v>
      </c>
    </row>
    <row r="235" spans="1:52" ht="15" customHeight="1">
      <c r="A235" s="725" t="str">
        <f>Kat.!C235</f>
        <v/>
      </c>
      <c r="B235" s="749">
        <f>IF(AND('General price list'!$J235="F4",$AI$1=FALSE),0,IF(AC235="SKLADEM",1,IF(AC235=$V$3,1,0)))</f>
        <v>0</v>
      </c>
      <c r="C235" s="727" t="s">
        <v>699</v>
      </c>
      <c r="D235" s="728" t="s">
        <v>700</v>
      </c>
      <c r="E235" s="729" t="s">
        <v>701</v>
      </c>
      <c r="F235" s="725">
        <f>IFERROR(ROUND(IF($AL$3=2,VLOOKUP(C235,[2]List1!$A:$D,2,FALSE)*1.08,VLOOKUP(C235,[2]List1!$A:$D,2,FALSE)),0),"NEUVEDENO!")</f>
        <v>216</v>
      </c>
      <c r="G235" s="730">
        <f t="shared" si="413"/>
        <v>216</v>
      </c>
      <c r="H235" s="731">
        <f t="shared" si="414"/>
        <v>8.7773122732019715</v>
      </c>
      <c r="I235" s="750">
        <v>18</v>
      </c>
      <c r="J235" s="729" t="s">
        <v>137</v>
      </c>
      <c r="K235" s="729"/>
      <c r="L235" s="729" t="s">
        <v>24</v>
      </c>
      <c r="M235" s="729" t="s">
        <v>138</v>
      </c>
      <c r="N235" s="729">
        <f>IFERROR(VLOOKUP(C235,[3]List1!$A:$D,4,FALSE),"N/A!")</f>
        <v>7.8351000000000004E-2</v>
      </c>
      <c r="O235" s="729">
        <f>IFERROR(VLOOKUP(C235,[3]List1!$A:$D,3,FALSE),"N/A!")</f>
        <v>2520</v>
      </c>
      <c r="P235" s="729">
        <f>IFERROR(VLOOKUP(C235,[3]List1!$A:$D,2,FALSE),"N/A!")</f>
        <v>19000</v>
      </c>
      <c r="Q235" s="729" t="s">
        <v>14314</v>
      </c>
      <c r="R235" s="729" t="s">
        <v>640</v>
      </c>
      <c r="S235" s="729"/>
      <c r="T235" s="729"/>
      <c r="U235" s="729">
        <v>45</v>
      </c>
      <c r="V235" s="729">
        <v>33</v>
      </c>
      <c r="W235" s="729" t="str">
        <f>IFERROR(VLOOKUP('General price list'!$C235,Popisy!A:P,MATCH($W$17,Popisy!$A$7:$P$7,0),FALSE),"---------------")</f>
        <v>4 různobarevné efekty</v>
      </c>
      <c r="X235" s="729" t="str">
        <f t="shared" si="415"/>
        <v/>
      </c>
      <c r="Y235" s="729" t="str">
        <f t="shared" si="416"/>
        <v/>
      </c>
      <c r="Z235" s="729" t="str">
        <f>HYPERLINK("https://www.klasekpyrotechnics.cz/ss37k")</f>
        <v>https://www.klasekpyrotechnics.cz/ss37k</v>
      </c>
      <c r="AA235" s="729">
        <f>IFERROR(IF(VLOOKUP(C235,[4]List1!$A:$D,4,FALSE)=0,"",VLOOKUP(C235,[4]List1!$A:$D,4,FALSE)),"")</f>
        <v>14</v>
      </c>
      <c r="AB235" s="720"/>
      <c r="AC235" s="751" t="str">
        <f>IFERROR(IF(VLOOKUP(C235,[1]List1!$A:$D,2,FALSE)="VYPRODÁNO",$V$9,IF(VLOOKUP(C235,[1]List1!$A:$D,2,FALSE)="DOCHÁZÍ",$V$3,VLOOKUP(C235,[1]List1!$A:$D,2,FALSE))),"OFFLINE!")</f>
        <v>15.06.2024</v>
      </c>
      <c r="AD235" s="752" t="str">
        <f ca="1">IF(AP235="NE",$V$10,IF(AC235=$V$3,IF(AQ235&lt;1,$V$8,$V$2&amp;" "&amp;AQ235&amp;" "&amp;$V$1),IF(AC235="SKLADEM",$V$6,IFERROR(IF(OR(AC235-TODAY()&gt;45,VLOOKUP(C235,[1]List1!$A:$E,4,FALSE)=0),AC235,DAY(AC235)&amp;"."&amp;MONTH(AC235)&amp;"."&amp;YEAR(AC235)&amp;" "&amp;$V$4&amp;VLOOKUP(C235,[1]List1!$A:$E,4,FALSE)&amp;" "&amp;$V$1),AC235))))</f>
        <v>15.06.2024</v>
      </c>
      <c r="AE235" s="729" t="str">
        <f t="shared" ca="1" si="417"/>
        <v>15.06.2024</v>
      </c>
      <c r="AF235" s="735">
        <f t="shared" si="418"/>
        <v>0</v>
      </c>
      <c r="AG235" s="735">
        <f t="shared" si="419"/>
        <v>0</v>
      </c>
      <c r="AH235" s="736">
        <f t="shared" si="420"/>
        <v>0</v>
      </c>
      <c r="AI235" s="729">
        <f t="shared" si="421"/>
        <v>0</v>
      </c>
      <c r="AJ235" s="729">
        <f t="shared" si="422"/>
        <v>0</v>
      </c>
      <c r="AK235" s="729" t="str">
        <f t="shared" si="423"/>
        <v/>
      </c>
      <c r="AL235" s="729">
        <f t="shared" si="424"/>
        <v>0</v>
      </c>
      <c r="AM235" s="729" t="str">
        <f t="shared" si="425"/>
        <v/>
      </c>
      <c r="AN235" s="729">
        <f t="shared" si="426"/>
        <v>0</v>
      </c>
      <c r="AO235" s="380"/>
      <c r="AP235" s="322" t="str">
        <f t="shared" si="353"/>
        <v/>
      </c>
      <c r="AQ235" s="323" t="str">
        <f>IF(AC235=$V$3,IF(VLOOKUP(C235,[1]List1!$A:$E,5,FALSE)=0,1,VLOOKUP(C235,[1]List1!$A:$E,5,FALSE)),"")</f>
        <v/>
      </c>
      <c r="AR235" s="304" t="str">
        <f t="shared" si="354"/>
        <v/>
      </c>
      <c r="AS235" s="423" t="str">
        <f t="shared" si="355"/>
        <v/>
      </c>
      <c r="AT235" s="304" t="str">
        <f t="shared" si="356"/>
        <v/>
      </c>
      <c r="AU235" s="342" t="e">
        <f t="shared" si="357"/>
        <v>#N/A</v>
      </c>
      <c r="AV235" s="304" t="e">
        <f t="shared" si="358"/>
        <v>#N/A</v>
      </c>
      <c r="AX235" s="304">
        <f>IF(AND('General price list'!$J235="F4",'General price list'!$AB235+0&gt;0),1,0)</f>
        <v>0</v>
      </c>
      <c r="AY235" s="304">
        <f t="shared" si="359"/>
        <v>1</v>
      </c>
      <c r="AZ235" s="304">
        <f t="shared" si="360"/>
        <v>1</v>
      </c>
    </row>
    <row r="236" spans="1:52" ht="15" customHeight="1">
      <c r="A236" s="712" t="str">
        <f>Kat.!C236</f>
        <v/>
      </c>
      <c r="B236" s="745">
        <f>IF(AND('General price list'!$J236="F4",$AI$1=FALSE),0,IF(AC236="SKLADEM",1,IF(AC236=$V$3,1,0)))</f>
        <v>0</v>
      </c>
      <c r="C236" s="714" t="s">
        <v>702</v>
      </c>
      <c r="D236" s="715" t="s">
        <v>4365</v>
      </c>
      <c r="E236" s="716" t="s">
        <v>415</v>
      </c>
      <c r="F236" s="712">
        <f>IFERROR(ROUND(IF($AL$3=2,VLOOKUP(C236,[2]List1!$A:$D,2,FALSE)*1.08,VLOOKUP(C236,[2]List1!$A:$D,2,FALSE)),0),"NEUVEDENO!")</f>
        <v>465</v>
      </c>
      <c r="G236" s="717">
        <f t="shared" si="413"/>
        <v>465</v>
      </c>
      <c r="H236" s="718">
        <f t="shared" si="414"/>
        <v>18.895602810365357</v>
      </c>
      <c r="I236" s="746">
        <v>9</v>
      </c>
      <c r="J236" s="716" t="s">
        <v>137</v>
      </c>
      <c r="K236" s="716"/>
      <c r="L236" s="716" t="s">
        <v>24</v>
      </c>
      <c r="M236" s="716" t="s">
        <v>138</v>
      </c>
      <c r="N236" s="716">
        <f>IFERROR(VLOOKUP(C236,[3]List1!$A:$D,4,FALSE),"N/A!")</f>
        <v>9.1656000000000015E-2</v>
      </c>
      <c r="O236" s="716">
        <f>IFERROR(VLOOKUP(C236,[3]List1!$A:$D,3,FALSE),"N/A!")</f>
        <v>1440</v>
      </c>
      <c r="P236" s="716">
        <f>IFERROR(VLOOKUP(C236,[3]List1!$A:$D,2,FALSE),"N/A!")</f>
        <v>15000</v>
      </c>
      <c r="Q236" s="716" t="s">
        <v>14117</v>
      </c>
      <c r="R236" s="716" t="s">
        <v>217</v>
      </c>
      <c r="S236" s="716"/>
      <c r="T236" s="716"/>
      <c r="U236" s="716">
        <v>60</v>
      </c>
      <c r="V236" s="716">
        <v>40</v>
      </c>
      <c r="W236" s="716" t="str">
        <f>IFERROR(VLOOKUP('General price list'!$C236,Popisy!A:P,MATCH($W$17,Popisy!$A$7:$P$7,0),FALSE),"---------------")</f>
        <v>4 různobarevné efekty</v>
      </c>
      <c r="X236" s="716" t="str">
        <f t="shared" si="415"/>
        <v/>
      </c>
      <c r="Y236" s="716" t="str">
        <f t="shared" si="416"/>
        <v/>
      </c>
      <c r="Z236" s="716" t="str">
        <f>HYPERLINK("https://www.klasekpyrotechnics.cz/ss50k")</f>
        <v>https://www.klasekpyrotechnics.cz/ss50k</v>
      </c>
      <c r="AA236" s="716">
        <f>IFERROR(IF(VLOOKUP(C236,[4]List1!$A:$D,4,FALSE)=0,"",VLOOKUP(C236,[4]List1!$A:$D,4,FALSE)),"")</f>
        <v>15</v>
      </c>
      <c r="AB236" s="720"/>
      <c r="AC236" s="747" t="str">
        <f>IFERROR(IF(VLOOKUP(C236,[1]List1!$A:$D,2,FALSE)="VYPRODÁNO",$V$9,IF(VLOOKUP(C236,[1]List1!$A:$D,2,FALSE)="DOCHÁZÍ",$V$3,VLOOKUP(C236,[1]List1!$A:$D,2,FALSE))),"OFFLINE!")</f>
        <v>30.04.2024</v>
      </c>
      <c r="AD236" s="748" t="str">
        <f ca="1">IF(AP236="NE",$V$10,IF(AC236=$V$3,IF(AQ236&lt;1,$V$8,$V$2&amp;" "&amp;AQ236&amp;" "&amp;$V$1),IF(AC236="SKLADEM",$V$6,IFERROR(IF(OR(AC236-TODAY()&gt;45,VLOOKUP(C236,[1]List1!$A:$E,4,FALSE)=0),AC236,DAY(AC236)&amp;"."&amp;MONTH(AC236)&amp;"."&amp;YEAR(AC236)&amp;" "&amp;$V$4&amp;VLOOKUP(C236,[1]List1!$A:$E,4,FALSE)&amp;" "&amp;$V$1),AC236))))</f>
        <v>30.04.2024</v>
      </c>
      <c r="AE236" s="716" t="str">
        <f t="shared" ca="1" si="417"/>
        <v>30.04.2024</v>
      </c>
      <c r="AF236" s="723">
        <f t="shared" si="418"/>
        <v>0</v>
      </c>
      <c r="AG236" s="723">
        <f t="shared" si="419"/>
        <v>0</v>
      </c>
      <c r="AH236" s="724">
        <f t="shared" si="420"/>
        <v>0</v>
      </c>
      <c r="AI236" s="716">
        <f t="shared" si="421"/>
        <v>0</v>
      </c>
      <c r="AJ236" s="716">
        <f t="shared" si="422"/>
        <v>0</v>
      </c>
      <c r="AK236" s="716" t="str">
        <f t="shared" si="423"/>
        <v/>
      </c>
      <c r="AL236" s="716">
        <f t="shared" si="424"/>
        <v>0</v>
      </c>
      <c r="AM236" s="716" t="str">
        <f t="shared" si="425"/>
        <v/>
      </c>
      <c r="AN236" s="716">
        <f t="shared" si="426"/>
        <v>0</v>
      </c>
      <c r="AO236" s="380"/>
      <c r="AP236" s="322" t="str">
        <f t="shared" si="353"/>
        <v/>
      </c>
      <c r="AQ236" s="323" t="str">
        <f>IF(AC236=$V$3,IF(VLOOKUP(C236,[1]List1!$A:$E,5,FALSE)=0,1,VLOOKUP(C236,[1]List1!$A:$E,5,FALSE)),"")</f>
        <v/>
      </c>
      <c r="AR236" s="304" t="str">
        <f t="shared" si="354"/>
        <v/>
      </c>
      <c r="AS236" s="423" t="str">
        <f t="shared" si="355"/>
        <v/>
      </c>
      <c r="AT236" s="304" t="str">
        <f t="shared" si="356"/>
        <v/>
      </c>
      <c r="AU236" s="342" t="e">
        <f t="shared" si="357"/>
        <v>#N/A</v>
      </c>
      <c r="AV236" s="304" t="e">
        <f t="shared" si="358"/>
        <v>#N/A</v>
      </c>
      <c r="AX236" s="304">
        <f>IF(AND('General price list'!$J236="F4",'General price list'!$AB236+0&gt;0),1,0)</f>
        <v>0</v>
      </c>
      <c r="AY236" s="304">
        <f t="shared" si="359"/>
        <v>1</v>
      </c>
      <c r="AZ236" s="304">
        <f t="shared" si="360"/>
        <v>1</v>
      </c>
    </row>
    <row r="237" spans="1:52" ht="15" customHeight="1">
      <c r="A237" s="773" t="str">
        <f>Kat.!C237</f>
        <v xml:space="preserve">                                                               Vystřelovací trubice(3 rány), 20mm moždíř</v>
      </c>
      <c r="B237" s="774"/>
      <c r="C237" s="774"/>
      <c r="D237" s="774"/>
      <c r="E237" s="774"/>
      <c r="F237" s="774"/>
      <c r="G237" s="774"/>
      <c r="H237" s="774"/>
      <c r="I237" s="774"/>
      <c r="J237" s="774"/>
      <c r="K237" s="774"/>
      <c r="L237" s="774"/>
      <c r="M237" s="774"/>
      <c r="N237" s="774"/>
      <c r="O237" s="774"/>
      <c r="P237" s="774"/>
      <c r="Q237" s="774"/>
      <c r="R237" s="774"/>
      <c r="S237" s="774"/>
      <c r="T237" s="774"/>
      <c r="U237" s="774"/>
      <c r="V237" s="774"/>
      <c r="W237" s="774"/>
      <c r="X237" s="774"/>
      <c r="Y237" s="774"/>
      <c r="Z237" s="774"/>
      <c r="AA237" s="774" t="str">
        <f>IFERROR(IF(VLOOKUP(C237,[4]List1!$A:$D,4,FALSE)=0,"",VLOOKUP(C237,[4]List1!$A:$D,4,FALSE)),"")</f>
        <v/>
      </c>
      <c r="AB237" s="774"/>
      <c r="AC237" s="775" t="str">
        <f>IFERROR(IF(VLOOKUP(C237,[1]List1!$A:$D,2,FALSE)="VYPRODÁNO",$V$9,IF(VLOOKUP(C237,[1]List1!$A:$D,2,FALSE)="DOCHÁZÍ",$V$3,VLOOKUP(C237,[1]List1!$A:$D,2,FALSE))),"OFFLINE!")</f>
        <v>OFFLINE!</v>
      </c>
      <c r="AD237" s="774"/>
      <c r="AE237" s="774"/>
      <c r="AF237" s="774"/>
      <c r="AG237" s="774"/>
      <c r="AH237" s="774"/>
      <c r="AI237" s="774"/>
      <c r="AJ237" s="774"/>
      <c r="AK237" s="774"/>
      <c r="AL237" s="774"/>
      <c r="AM237" s="774"/>
      <c r="AN237" s="774"/>
      <c r="AO237" s="380"/>
      <c r="AP237" s="322" t="str">
        <f t="shared" si="353"/>
        <v/>
      </c>
      <c r="AQ237" s="323" t="str">
        <f>IF(AC237=$V$3,IF(VLOOKUP(C237,[1]List1!$A:$E,5,FALSE)=0,1,VLOOKUP(C237,[1]List1!$A:$E,5,FALSE)),"")</f>
        <v/>
      </c>
      <c r="AR237" s="304" t="str">
        <f t="shared" si="354"/>
        <v/>
      </c>
      <c r="AS237" s="423" t="str">
        <f t="shared" si="355"/>
        <v/>
      </c>
      <c r="AT237" s="304" t="str">
        <f t="shared" si="356"/>
        <v/>
      </c>
      <c r="AU237" s="342" t="e">
        <f t="shared" si="357"/>
        <v>#N/A</v>
      </c>
      <c r="AV237" s="304" t="e">
        <f t="shared" si="358"/>
        <v>#N/A</v>
      </c>
      <c r="AX237" s="304">
        <f>IF(AND('General price list'!$J237="F4",'General price list'!$AB237+0&gt;0),1,0)</f>
        <v>0</v>
      </c>
      <c r="AY237" s="304">
        <f t="shared" si="359"/>
        <v>0</v>
      </c>
      <c r="AZ237" s="304">
        <f t="shared" si="360"/>
        <v>0</v>
      </c>
    </row>
    <row r="238" spans="1:52" ht="15" customHeight="1">
      <c r="A238" s="712" t="str">
        <f>Kat.!C238</f>
        <v/>
      </c>
      <c r="B238" s="713">
        <f>IF(AND('General price list'!$J238="F4",$AI$1=FALSE),0,IF(AC238="SKLADEM",1,IF(AC238=$V$3,1,0)))</f>
        <v>0</v>
      </c>
      <c r="C238" s="714" t="s">
        <v>2876</v>
      </c>
      <c r="D238" s="715" t="s">
        <v>2524</v>
      </c>
      <c r="E238" s="716" t="s">
        <v>307</v>
      </c>
      <c r="F238" s="712">
        <f>IFERROR(ROUND(IF($AL$3=2,VLOOKUP(C238,[2]List1!$A:$D,2,FALSE)*1.08,VLOOKUP(C238,[2]List1!$A:$D,2,FALSE)),0),"NEUVEDENO!")</f>
        <v>197</v>
      </c>
      <c r="G238" s="717">
        <f>(F238)*$B$19</f>
        <v>197</v>
      </c>
      <c r="H238" s="718">
        <f>G238/$F$19</f>
        <v>8.0052338787999471</v>
      </c>
      <c r="I238" s="719">
        <v>20</v>
      </c>
      <c r="J238" s="716" t="s">
        <v>46</v>
      </c>
      <c r="K238" s="716"/>
      <c r="L238" s="716" t="s">
        <v>14380</v>
      </c>
      <c r="M238" s="716" t="s">
        <v>138</v>
      </c>
      <c r="N238" s="716">
        <f>IFERROR(VLOOKUP(C238,[3]List1!$A:$D,4,FALSE),"N/A!")</f>
        <v>5.4022499999999994E-2</v>
      </c>
      <c r="O238" s="716">
        <f>IFERROR(VLOOKUP(C238,[3]List1!$A:$D,3,FALSE),"N/A!")</f>
        <v>2400</v>
      </c>
      <c r="P238" s="716">
        <f>IFERROR(VLOOKUP(C238,[3]List1!$A:$D,2,FALSE),"N/A!")</f>
        <v>15000</v>
      </c>
      <c r="Q238" s="716" t="s">
        <v>14118</v>
      </c>
      <c r="R238" s="716" t="s">
        <v>24</v>
      </c>
      <c r="S238" s="716" t="str">
        <f>IF($W$17=$AF$1,"červená fólie",IFERROR(VLOOKUP("červená fólie",Jazyky_ceník!$A:$Q,MATCH($W$17,Jazyky_ceník!$A$1:$Q$1,0),FALSE),"!!!"))</f>
        <v>červená fólie</v>
      </c>
      <c r="T238" s="716">
        <v>1</v>
      </c>
      <c r="U238" s="716"/>
      <c r="V238" s="716"/>
      <c r="W238" s="716" t="str">
        <f>IFERROR(VLOOKUP('General price list'!$C238,Popisy!A:P,MATCH($W$17,Popisy!$A$7:$P$7,0),FALSE),"---------------")</f>
        <v>stříbrná mina s červenou stopou a titanovou detonací</v>
      </c>
      <c r="X238" s="716" t="str">
        <f>IF(AB238&lt;0.0001,"",AB238)</f>
        <v/>
      </c>
      <c r="Y238" s="716" t="str">
        <f>IF($AL$3=2,IF(OR(AB238&lt;&gt;"",AB238&lt;&gt;0),AU238,""),IF(C238="","",IF(AB238&lt;0.0001,"",IF(B238=0,"",IF(AQ238&lt;AB238,"",AB238)))))</f>
        <v/>
      </c>
      <c r="Z238" s="716" t="str">
        <f>HYPERLINK("https://www.klasekpyrotechnics.cz/c320d")</f>
        <v>https://www.klasekpyrotechnics.cz/c320d</v>
      </c>
      <c r="AA238" s="716">
        <f>IFERROR(IF(VLOOKUP(C238,[4]List1!$A:$D,4,FALSE)=0,"",VLOOKUP(C238,[4]List1!$A:$D,4,FALSE)),"")</f>
        <v>25</v>
      </c>
      <c r="AB238" s="720"/>
      <c r="AC238" s="721" t="str">
        <f>IFERROR(IF(VLOOKUP(C238,[1]List1!$A:$D,2,FALSE)="VYPRODÁNO",$V$9,IF(VLOOKUP(C238,[1]List1!$A:$D,2,FALSE)="DOCHÁZÍ",$V$3,VLOOKUP(C238,[1]List1!$A:$D,2,FALSE))),"OFFLINE!")</f>
        <v>15.06.2024</v>
      </c>
      <c r="AD238" s="722" t="str">
        <f ca="1">IF(AP238="NE",$V$10,IF(AC238=$V$3,IF(AQ238&lt;1,$V$8,$V$2&amp;" "&amp;AQ238&amp;" "&amp;$V$1),IF(AC238="SKLADEM",$V$6,IFERROR(IF(OR(AC238-TODAY()&gt;45,VLOOKUP(C238,[1]List1!$A:$E,4,FALSE)=0),AC238,DAY(AC238)&amp;"."&amp;MONTH(AC238)&amp;"."&amp;YEAR(AC238)&amp;" "&amp;$V$4&amp;VLOOKUP(C238,[1]List1!$A:$E,4,FALSE)&amp;" "&amp;$V$1),AC238))))</f>
        <v>15.06.2024</v>
      </c>
      <c r="AE238" s="716" t="str">
        <f t="shared" ref="AE238" ca="1" si="427">IFERROR(IF(AV238&lt;&gt;"",AV238,AD238),AD238)</f>
        <v>15.06.2024</v>
      </c>
      <c r="AF238" s="723">
        <f t="shared" ref="AF238" si="428">IFERROR(IF(AB238=Y238,G238*I238*Y238,0),0)</f>
        <v>0</v>
      </c>
      <c r="AG238" s="723">
        <f t="shared" ref="AG238" si="429">IF($W$17=$AF$8,AH238*1.23,AF238*1.21)</f>
        <v>0</v>
      </c>
      <c r="AH238" s="724">
        <f t="shared" ref="AH238" si="430">IFERROR(IF(Y238=AB238,H238*I238*Y238,0),0)</f>
        <v>0</v>
      </c>
      <c r="AI238" s="716">
        <f t="shared" ref="AI238" si="431">IFERROR(IF(Y238=AB238,(P238*Y238)/1000,1),0)</f>
        <v>0</v>
      </c>
      <c r="AJ238" s="716">
        <f t="shared" ref="AJ238" si="432">IFERROR(IF(Y238=AB238,N238*Y238,0.1),0)</f>
        <v>0</v>
      </c>
      <c r="AK238" s="716" t="str">
        <f t="shared" ref="AK238" si="433">IFERROR(IF(Y238=AB238,IF(M238="1.1G",(O238/1000)*Y238,""),""),0)</f>
        <v/>
      </c>
      <c r="AL238" s="716">
        <f t="shared" ref="AL238" si="434">IFERROR(IF(Y238=AB238,IF(M238="1.3G",(O238/1000)*AB238,""),""),0)</f>
        <v>0</v>
      </c>
      <c r="AM238" s="716" t="str">
        <f t="shared" ref="AM238" si="435">IFERROR(IF(Y238=AB238,IF(M238="1.4G",(O238/1000)*AB238,""),""),0)</f>
        <v/>
      </c>
      <c r="AN238" s="716">
        <f t="shared" ref="AN238" si="436">SUM(AK238:AM238)</f>
        <v>0</v>
      </c>
      <c r="AO238" s="380"/>
      <c r="AP238" s="322" t="str">
        <f t="shared" si="353"/>
        <v/>
      </c>
      <c r="AQ238" s="323" t="str">
        <f>IF(AC238=$V$3,IF(VLOOKUP(C238,[1]List1!$A:$E,5,FALSE)=0,1,VLOOKUP(C238,[1]List1!$A:$E,5,FALSE)),"")</f>
        <v/>
      </c>
      <c r="AR238" s="304" t="str">
        <f t="shared" si="354"/>
        <v/>
      </c>
      <c r="AS238" s="423" t="str">
        <f t="shared" si="355"/>
        <v/>
      </c>
      <c r="AT238" s="304" t="str">
        <f t="shared" si="356"/>
        <v/>
      </c>
      <c r="AU238" s="342" t="e">
        <f t="shared" si="357"/>
        <v>#N/A</v>
      </c>
      <c r="AV238" s="304" t="e">
        <f t="shared" si="358"/>
        <v>#N/A</v>
      </c>
      <c r="AX238" s="304">
        <f>IF(AND('General price list'!$J238="F4",'General price list'!$AB238+0&gt;0),1,0)</f>
        <v>0</v>
      </c>
      <c r="AY238" s="304">
        <f t="shared" si="359"/>
        <v>1</v>
      </c>
      <c r="AZ238" s="304">
        <f t="shared" si="360"/>
        <v>0</v>
      </c>
    </row>
    <row r="239" spans="1:52" ht="15" customHeight="1">
      <c r="A239" s="773" t="str">
        <f>Kat.!C239</f>
        <v xml:space="preserve">                                                               Vystřelovací trubice(3 rány), 30mm moždíř</v>
      </c>
      <c r="B239" s="774"/>
      <c r="C239" s="774"/>
      <c r="D239" s="774"/>
      <c r="E239" s="774"/>
      <c r="F239" s="774"/>
      <c r="G239" s="774"/>
      <c r="H239" s="774"/>
      <c r="I239" s="774"/>
      <c r="J239" s="774"/>
      <c r="K239" s="774"/>
      <c r="L239" s="774"/>
      <c r="M239" s="774"/>
      <c r="N239" s="774"/>
      <c r="O239" s="774"/>
      <c r="P239" s="774"/>
      <c r="Q239" s="774"/>
      <c r="R239" s="774"/>
      <c r="S239" s="774"/>
      <c r="T239" s="774"/>
      <c r="U239" s="774"/>
      <c r="V239" s="774"/>
      <c r="W239" s="774"/>
      <c r="X239" s="774"/>
      <c r="Y239" s="774"/>
      <c r="Z239" s="774"/>
      <c r="AA239" s="774" t="str">
        <f>IFERROR(IF(VLOOKUP(C239,[4]List1!$A:$D,4,FALSE)=0,"",VLOOKUP(C239,[4]List1!$A:$D,4,FALSE)),"")</f>
        <v/>
      </c>
      <c r="AB239" s="774"/>
      <c r="AC239" s="775" t="str">
        <f>IFERROR(IF(VLOOKUP(C239,[1]List1!$A:$D,2,FALSE)="VYPRODÁNO",$V$9,IF(VLOOKUP(C239,[1]List1!$A:$D,2,FALSE)="DOCHÁZÍ",$V$3,VLOOKUP(C239,[1]List1!$A:$D,2,FALSE))),"OFFLINE!")</f>
        <v>OFFLINE!</v>
      </c>
      <c r="AD239" s="774"/>
      <c r="AE239" s="774"/>
      <c r="AF239" s="774"/>
      <c r="AG239" s="774"/>
      <c r="AH239" s="774"/>
      <c r="AI239" s="774"/>
      <c r="AJ239" s="774"/>
      <c r="AK239" s="774"/>
      <c r="AL239" s="774"/>
      <c r="AM239" s="774"/>
      <c r="AN239" s="774"/>
      <c r="AO239" s="380"/>
      <c r="AP239" s="322" t="str">
        <f t="shared" si="353"/>
        <v/>
      </c>
      <c r="AQ239" s="323" t="str">
        <f>IF(AC239=$V$3,IF(VLOOKUP(C239,[1]List1!$A:$E,5,FALSE)=0,1,VLOOKUP(C239,[1]List1!$A:$E,5,FALSE)),"")</f>
        <v/>
      </c>
      <c r="AR239" s="304" t="str">
        <f t="shared" si="354"/>
        <v/>
      </c>
      <c r="AS239" s="423" t="str">
        <f t="shared" si="355"/>
        <v/>
      </c>
      <c r="AT239" s="304" t="str">
        <f t="shared" si="356"/>
        <v/>
      </c>
      <c r="AU239" s="342" t="e">
        <f t="shared" si="357"/>
        <v>#N/A</v>
      </c>
      <c r="AV239" s="304" t="e">
        <f t="shared" si="358"/>
        <v>#N/A</v>
      </c>
      <c r="AX239" s="304">
        <f>IF(AND('General price list'!$J239="F4",'General price list'!$AB239+0&gt;0),1,0)</f>
        <v>0</v>
      </c>
      <c r="AY239" s="304">
        <f t="shared" si="359"/>
        <v>0</v>
      </c>
      <c r="AZ239" s="304">
        <f t="shared" si="360"/>
        <v>0</v>
      </c>
    </row>
    <row r="240" spans="1:52" ht="15" customHeight="1">
      <c r="A240" s="712" t="str">
        <f>Kat.!C240</f>
        <v/>
      </c>
      <c r="B240" s="713">
        <f>IF(AND('General price list'!$J240="F4",$AI$1=FALSE),0,IF(AC240="SKLADEM",1,IF(AC240=$V$3,1,0)))</f>
        <v>0</v>
      </c>
      <c r="C240" s="714" t="s">
        <v>2559</v>
      </c>
      <c r="D240" s="715" t="s">
        <v>2524</v>
      </c>
      <c r="E240" s="716" t="s">
        <v>2663</v>
      </c>
      <c r="F240" s="712">
        <f>IFERROR(ROUND(IF($AL$3=2,VLOOKUP(C240,[2]List1!$A:$D,2,FALSE)*1.08,VLOOKUP(C240,[2]List1!$A:$D,2,FALSE)),0),"NEUVEDENO!")</f>
        <v>127</v>
      </c>
      <c r="G240" s="717">
        <f>(F240)*$B$19</f>
        <v>127</v>
      </c>
      <c r="H240" s="718">
        <f>G240/$F$19</f>
        <v>5.160734531003011</v>
      </c>
      <c r="I240" s="719">
        <v>18</v>
      </c>
      <c r="J240" s="716" t="s">
        <v>46</v>
      </c>
      <c r="K240" s="716"/>
      <c r="L240" s="716" t="s">
        <v>14380</v>
      </c>
      <c r="M240" s="716" t="s">
        <v>138</v>
      </c>
      <c r="N240" s="716">
        <f>IFERROR(VLOOKUP(C240,[3]List1!$A:$D,4,FALSE),"N/A!")</f>
        <v>2.4624E-2</v>
      </c>
      <c r="O240" s="716">
        <f>IFERROR(VLOOKUP(C240,[3]List1!$A:$D,3,FALSE),"N/A!")</f>
        <v>864</v>
      </c>
      <c r="P240" s="716">
        <f>IFERROR(VLOOKUP(C240,[3]List1!$A:$D,2,FALSE),"N/A!")</f>
        <v>8000</v>
      </c>
      <c r="Q240" s="716" t="s">
        <v>14119</v>
      </c>
      <c r="R240" s="716" t="s">
        <v>24</v>
      </c>
      <c r="S240" s="716" t="str">
        <f>IF($W$17=$AF$1,"červená fólie",IFERROR(VLOOKUP("červená fólie",Jazyky_ceník!$A:$Q,MATCH($W$17,Jazyky_ceník!$A$1:$Q$1,0),FALSE),"!!!"))</f>
        <v>červená fólie</v>
      </c>
      <c r="T240" s="716">
        <v>1</v>
      </c>
      <c r="U240" s="716"/>
      <c r="V240" s="716"/>
      <c r="W240" s="716" t="str">
        <f>IFERROR(VLOOKUP('General price list'!$C240,Popisy!A:P,MATCH($W$17,Popisy!$A$7:$P$7,0),FALSE),"---------------")</f>
        <v>stříbrné miny s červenou stopou a titanovou detonací</v>
      </c>
      <c r="X240" s="716" t="str">
        <f>IF(AB240&lt;0.0001,"",AB240)</f>
        <v/>
      </c>
      <c r="Y240" s="716" t="str">
        <f>IF($AL$3=2,IF(OR(AB240&lt;&gt;"",AB240&lt;&gt;0),AU240,""),IF(C240="","",IF(AB240&lt;0.0001,"",IF(B240=0,"",IF(AQ240&lt;AB240,"",AB240)))))</f>
        <v/>
      </c>
      <c r="Z240" s="716" t="str">
        <f>HYPERLINK("https://www.klasekpyrotechnics.cz/c330d")</f>
        <v>https://www.klasekpyrotechnics.cz/c330d</v>
      </c>
      <c r="AA240" s="716">
        <f>IFERROR(IF(VLOOKUP(C240,[4]List1!$A:$D,4,FALSE)=0,"",VLOOKUP(C240,[4]List1!$A:$D,4,FALSE)),"")</f>
        <v>56</v>
      </c>
      <c r="AB240" s="720"/>
      <c r="AC240" s="721" t="str">
        <f>IFERROR(IF(VLOOKUP(C240,[1]List1!$A:$D,2,FALSE)="VYPRODÁNO",$V$9,IF(VLOOKUP(C240,[1]List1!$A:$D,2,FALSE)="DOCHÁZÍ",$V$3,VLOOKUP(C240,[1]List1!$A:$D,2,FALSE))),"OFFLINE!")</f>
        <v>20.03.2024</v>
      </c>
      <c r="AD240" s="722" t="str">
        <f ca="1">IF(AP240="NE",$V$10,IF(AC240=$V$3,IF(AQ240&lt;1,$V$8,$V$2&amp;" "&amp;AQ240&amp;" "&amp;$V$1),IF(AC240="SKLADEM",$V$6,IFERROR(IF(OR(AC240-TODAY()&gt;45,VLOOKUP(C240,[1]List1!$A:$E,4,FALSE)=0),AC240,DAY(AC240)&amp;"."&amp;MONTH(AC240)&amp;"."&amp;YEAR(AC240)&amp;" "&amp;$V$4&amp;VLOOKUP(C240,[1]List1!$A:$E,4,FALSE)&amp;" "&amp;$V$1),AC240))))</f>
        <v>20.3.2024 DORAZÍ 100+ VK</v>
      </c>
      <c r="AE240" s="716" t="str">
        <f t="shared" ref="AE240" ca="1" si="437">IFERROR(IF(AV240&lt;&gt;"",AV240,AD240),AD240)</f>
        <v>20.3.2024 DORAZÍ 100+ VK</v>
      </c>
      <c r="AF240" s="723">
        <f t="shared" ref="AF240" si="438">IFERROR(IF(AB240=Y240,G240*I240*Y240,0),0)</f>
        <v>0</v>
      </c>
      <c r="AG240" s="723">
        <f t="shared" ref="AG240" si="439">IF($W$17=$AF$8,AH240*1.23,AF240*1.21)</f>
        <v>0</v>
      </c>
      <c r="AH240" s="724">
        <f t="shared" ref="AH240" si="440">IFERROR(IF(Y240=AB240,H240*I240*Y240,0),0)</f>
        <v>0</v>
      </c>
      <c r="AI240" s="716">
        <f t="shared" ref="AI240" si="441">IFERROR(IF(Y240=AB240,(P240*Y240)/1000,1),0)</f>
        <v>0</v>
      </c>
      <c r="AJ240" s="716">
        <f t="shared" ref="AJ240" si="442">IFERROR(IF(Y240=AB240,N240*Y240,0.1),0)</f>
        <v>0</v>
      </c>
      <c r="AK240" s="716" t="str">
        <f t="shared" ref="AK240" si="443">IFERROR(IF(Y240=AB240,IF(M240="1.1G",(O240/1000)*Y240,""),""),0)</f>
        <v/>
      </c>
      <c r="AL240" s="716">
        <f t="shared" ref="AL240" si="444">IFERROR(IF(Y240=AB240,IF(M240="1.3G",(O240/1000)*AB240,""),""),0)</f>
        <v>0</v>
      </c>
      <c r="AM240" s="716" t="str">
        <f t="shared" ref="AM240" si="445">IFERROR(IF(Y240=AB240,IF(M240="1.4G",(O240/1000)*AB240,""),""),0)</f>
        <v/>
      </c>
      <c r="AN240" s="716">
        <f t="shared" ref="AN240" si="446">SUM(AK240:AM240)</f>
        <v>0</v>
      </c>
      <c r="AO240" s="380"/>
      <c r="AP240" s="322" t="str">
        <f t="shared" si="353"/>
        <v/>
      </c>
      <c r="AQ240" s="323" t="str">
        <f>IF(AC240=$V$3,IF(VLOOKUP(C240,[1]List1!$A:$E,5,FALSE)=0,1,VLOOKUP(C240,[1]List1!$A:$E,5,FALSE)),"")</f>
        <v/>
      </c>
      <c r="AR240" s="304" t="str">
        <f t="shared" si="354"/>
        <v/>
      </c>
      <c r="AS240" s="423" t="str">
        <f t="shared" si="355"/>
        <v/>
      </c>
      <c r="AT240" s="304" t="str">
        <f t="shared" si="356"/>
        <v/>
      </c>
      <c r="AU240" s="342" t="e">
        <f t="shared" si="357"/>
        <v>#N/A</v>
      </c>
      <c r="AV240" s="304" t="e">
        <f t="shared" si="358"/>
        <v>#N/A</v>
      </c>
      <c r="AX240" s="304">
        <f>IF(AND('General price list'!$J240="F4",'General price list'!$AB240+0&gt;0),1,0)</f>
        <v>0</v>
      </c>
      <c r="AY240" s="304">
        <f t="shared" si="359"/>
        <v>1</v>
      </c>
      <c r="AZ240" s="304">
        <f t="shared" si="360"/>
        <v>0</v>
      </c>
    </row>
    <row r="241" spans="1:52" ht="15" customHeight="1">
      <c r="A241" s="773" t="str">
        <f>Kat.!C241</f>
        <v xml:space="preserve">                                                               Sada kulových pum s moždířem</v>
      </c>
      <c r="B241" s="774"/>
      <c r="C241" s="774"/>
      <c r="D241" s="774"/>
      <c r="E241" s="774"/>
      <c r="F241" s="774"/>
      <c r="G241" s="774"/>
      <c r="H241" s="774"/>
      <c r="I241" s="774"/>
      <c r="J241" s="774"/>
      <c r="K241" s="774"/>
      <c r="L241" s="774"/>
      <c r="M241" s="774"/>
      <c r="N241" s="774"/>
      <c r="O241" s="774"/>
      <c r="P241" s="774"/>
      <c r="Q241" s="774"/>
      <c r="R241" s="774"/>
      <c r="S241" s="774"/>
      <c r="T241" s="774"/>
      <c r="U241" s="774"/>
      <c r="V241" s="774"/>
      <c r="W241" s="774"/>
      <c r="X241" s="774"/>
      <c r="Y241" s="774"/>
      <c r="Z241" s="774"/>
      <c r="AA241" s="774" t="str">
        <f>IFERROR(IF(VLOOKUP(C241,[4]List1!$A:$D,4,FALSE)=0,"",VLOOKUP(C241,[4]List1!$A:$D,4,FALSE)),"")</f>
        <v/>
      </c>
      <c r="AB241" s="774"/>
      <c r="AC241" s="775" t="str">
        <f>IFERROR(IF(VLOOKUP(C241,[1]List1!$A:$D,2,FALSE)="VYPRODÁNO",$V$9,IF(VLOOKUP(C241,[1]List1!$A:$D,2,FALSE)="DOCHÁZÍ",$V$3,VLOOKUP(C241,[1]List1!$A:$D,2,FALSE))),"OFFLINE!")</f>
        <v>OFFLINE!</v>
      </c>
      <c r="AD241" s="774"/>
      <c r="AE241" s="774"/>
      <c r="AF241" s="774"/>
      <c r="AG241" s="774"/>
      <c r="AH241" s="774"/>
      <c r="AI241" s="774"/>
      <c r="AJ241" s="774"/>
      <c r="AK241" s="774"/>
      <c r="AL241" s="774"/>
      <c r="AM241" s="774"/>
      <c r="AN241" s="774"/>
      <c r="AO241" s="380"/>
      <c r="AP241" s="322" t="str">
        <f t="shared" si="353"/>
        <v/>
      </c>
      <c r="AQ241" s="323" t="str">
        <f>IF(AC241=$V$3,IF(VLOOKUP(C241,[1]List1!$A:$E,5,FALSE)=0,1,VLOOKUP(C241,[1]List1!$A:$E,5,FALSE)),"")</f>
        <v/>
      </c>
      <c r="AR241" s="304" t="str">
        <f t="shared" si="354"/>
        <v/>
      </c>
      <c r="AS241" s="423" t="str">
        <f t="shared" si="355"/>
        <v/>
      </c>
      <c r="AT241" s="304" t="str">
        <f t="shared" si="356"/>
        <v/>
      </c>
      <c r="AU241" s="342" t="e">
        <f t="shared" si="357"/>
        <v>#N/A</v>
      </c>
      <c r="AV241" s="304" t="e">
        <f t="shared" si="358"/>
        <v>#N/A</v>
      </c>
      <c r="AX241" s="304">
        <f>IF(AND('General price list'!$J241="F4",'General price list'!$AB241+0&gt;0),1,0)</f>
        <v>0</v>
      </c>
      <c r="AY241" s="304">
        <f t="shared" si="359"/>
        <v>0</v>
      </c>
      <c r="AZ241" s="304">
        <f t="shared" si="360"/>
        <v>0</v>
      </c>
    </row>
    <row r="242" spans="1:52" ht="15" customHeight="1">
      <c r="A242" s="712" t="str">
        <f>Kat.!C242</f>
        <v/>
      </c>
      <c r="B242" s="713">
        <f>IF(AND('General price list'!$J242="F4",$AI$1=FALSE),0,IF(AC242="SKLADEM",1,IF(AC242=$V$3,1,0)))</f>
        <v>0</v>
      </c>
      <c r="C242" s="714" t="s">
        <v>2494</v>
      </c>
      <c r="D242" s="715" t="s">
        <v>1660</v>
      </c>
      <c r="E242" s="716" t="s">
        <v>2664</v>
      </c>
      <c r="F242" s="712">
        <f>IFERROR(ROUND(IF($AL$3=2,VLOOKUP(C242,[2]List1!$A:$D,2,FALSE)*1.08,VLOOKUP(C242,[2]List1!$A:$D,2,FALSE)),0),"NEUVEDENO!")</f>
        <v>1773</v>
      </c>
      <c r="G242" s="717">
        <f>(F242)*$B$19</f>
        <v>1773</v>
      </c>
      <c r="H242" s="718">
        <f>G242/$F$19</f>
        <v>72.047104909199518</v>
      </c>
      <c r="I242" s="719">
        <v>4</v>
      </c>
      <c r="J242" s="716" t="s">
        <v>709</v>
      </c>
      <c r="K242" s="716"/>
      <c r="L242" s="716" t="s">
        <v>24</v>
      </c>
      <c r="M242" s="716" t="s">
        <v>138</v>
      </c>
      <c r="N242" s="716">
        <f>IFERROR(VLOOKUP(C242,[3]List1!$A:$D,4,FALSE),"N/A!")</f>
        <v>8.6317000000000005E-2</v>
      </c>
      <c r="O242" s="716">
        <f>IFERROR(VLOOKUP(C242,[3]List1!$A:$D,3,FALSE),"N/A!")</f>
        <v>4320</v>
      </c>
      <c r="P242" s="716">
        <f>IFERROR(VLOOKUP(C242,[3]List1!$A:$D,2,FALSE),"N/A!")</f>
        <v>27000</v>
      </c>
      <c r="Q242" s="716" t="s">
        <v>1110</v>
      </c>
      <c r="R242" s="716" t="s">
        <v>24</v>
      </c>
      <c r="S242" s="716"/>
      <c r="T242" s="716"/>
      <c r="U242" s="716">
        <v>65</v>
      </c>
      <c r="V242" s="716">
        <v>45</v>
      </c>
      <c r="W242" s="716" t="str">
        <f>IFERROR(VLOOKUP('General price list'!$C242,Popisy!A:P,MATCH($W$17,Popisy!$A$7:$P$7,0),FALSE),"---------------")</f>
        <v>18 různobarevných 50mm efektů(válcová puma)-profesionální kvalita</v>
      </c>
      <c r="X242" s="716" t="str">
        <f>IF(AB242&lt;0.0001,"",AB242)</f>
        <v/>
      </c>
      <c r="Y242" s="716" t="str">
        <f>IF($AL$3=2,IF(OR(AB242&lt;&gt;"",AB242&lt;&gt;0),AU242,""),IF(C242="","",IF(AB242&lt;0.0001,"",IF(B242=0,"",IF(AQ242&lt;AB242,"",AB242)))))</f>
        <v/>
      </c>
      <c r="Z242" s="716" t="str">
        <f>HYPERLINK("https://www.klasekpyrotechnics.cz/cs2bb")</f>
        <v>https://www.klasekpyrotechnics.cz/cs2bb</v>
      </c>
      <c r="AA242" s="716">
        <f>IFERROR(IF(VLOOKUP(C242,[4]List1!$A:$D,4,FALSE)=0,"",VLOOKUP(C242,[4]List1!$A:$D,4,FALSE)),"")</f>
        <v>12</v>
      </c>
      <c r="AB242" s="720"/>
      <c r="AC242" s="721" t="str">
        <f>IFERROR(IF(VLOOKUP(C242,[1]List1!$A:$D,2,FALSE)="VYPRODÁNO",$V$9,IF(VLOOKUP(C242,[1]List1!$A:$D,2,FALSE)="DOCHÁZÍ",$V$3,VLOOKUP(C242,[1]List1!$A:$D,2,FALSE))),"OFFLINE!")</f>
        <v>30.04.2024</v>
      </c>
      <c r="AD242" s="722" t="str">
        <f ca="1">IF(AP242="NE",$V$10,IF(AC242=$V$3,IF(AQ242&lt;1,$V$8,$V$2&amp;" "&amp;AQ242&amp;" "&amp;$V$1),IF(AC242="SKLADEM",$V$6,IFERROR(IF(OR(AC242-TODAY()&gt;45,VLOOKUP(C242,[1]List1!$A:$E,4,FALSE)=0),AC242,DAY(AC242)&amp;"."&amp;MONTH(AC242)&amp;"."&amp;YEAR(AC242)&amp;" "&amp;$V$4&amp;VLOOKUP(C242,[1]List1!$A:$E,4,FALSE)&amp;" "&amp;$V$1),AC242))))</f>
        <v>30.04.2024</v>
      </c>
      <c r="AE242" s="716" t="str">
        <f t="shared" ref="AE242" ca="1" si="447">IFERROR(IF(AV242&lt;&gt;"",AV242,AD242),AD242)</f>
        <v>30.04.2024</v>
      </c>
      <c r="AF242" s="723">
        <f t="shared" ref="AF242" si="448">IFERROR(IF(AB242=Y242,G242*I242*Y242,0),0)</f>
        <v>0</v>
      </c>
      <c r="AG242" s="723">
        <f t="shared" ref="AG242" si="449">IF($W$17=$AF$8,AH242*1.23,AF242*1.21)</f>
        <v>0</v>
      </c>
      <c r="AH242" s="724">
        <f t="shared" ref="AH242" si="450">IFERROR(IF(Y242=AB242,H242*I242*Y242,0),0)</f>
        <v>0</v>
      </c>
      <c r="AI242" s="716">
        <f t="shared" ref="AI242" si="451">IFERROR(IF(Y242=AB242,(P242*Y242)/1000,1),0)</f>
        <v>0</v>
      </c>
      <c r="AJ242" s="716">
        <f t="shared" ref="AJ242" si="452">IFERROR(IF(Y242=AB242,N242*Y242,0.1),0)</f>
        <v>0</v>
      </c>
      <c r="AK242" s="716" t="str">
        <f t="shared" ref="AK242" si="453">IFERROR(IF(Y242=AB242,IF(M242="1.1G",(O242/1000)*Y242,""),""),0)</f>
        <v/>
      </c>
      <c r="AL242" s="716">
        <f t="shared" ref="AL242" si="454">IFERROR(IF(Y242=AB242,IF(M242="1.3G",(O242/1000)*AB242,""),""),0)</f>
        <v>0</v>
      </c>
      <c r="AM242" s="716" t="str">
        <f t="shared" ref="AM242" si="455">IFERROR(IF(Y242=AB242,IF(M242="1.4G",(O242/1000)*AB242,""),""),0)</f>
        <v/>
      </c>
      <c r="AN242" s="716">
        <f t="shared" ref="AN242" si="456">SUM(AK242:AM242)</f>
        <v>0</v>
      </c>
      <c r="AO242" s="380"/>
      <c r="AP242" s="322" t="str">
        <f t="shared" si="353"/>
        <v/>
      </c>
      <c r="AQ242" s="323" t="str">
        <f>IF(AC242=$V$3,IF(VLOOKUP(C242,[1]List1!$A:$E,5,FALSE)=0,1,VLOOKUP(C242,[1]List1!$A:$E,5,FALSE)),"")</f>
        <v/>
      </c>
      <c r="AR242" s="304" t="str">
        <f t="shared" si="354"/>
        <v/>
      </c>
      <c r="AS242" s="423" t="str">
        <f t="shared" si="355"/>
        <v/>
      </c>
      <c r="AT242" s="304" t="str">
        <f t="shared" si="356"/>
        <v/>
      </c>
      <c r="AU242" s="342" t="e">
        <f t="shared" si="357"/>
        <v>#N/A</v>
      </c>
      <c r="AV242" s="304" t="e">
        <f t="shared" si="358"/>
        <v>#N/A</v>
      </c>
      <c r="AX242" s="304">
        <f>IF(AND('General price list'!$J242="F4",'General price list'!$AB242+0&gt;0),1,0)</f>
        <v>0</v>
      </c>
      <c r="AY242" s="304">
        <f t="shared" si="359"/>
        <v>1</v>
      </c>
      <c r="AZ242" s="304">
        <f t="shared" si="360"/>
        <v>0</v>
      </c>
    </row>
    <row r="243" spans="1:52" ht="15" customHeight="1">
      <c r="A243" s="773" t="str">
        <f>Kat.!C243</f>
        <v xml:space="preserve">                                                               Fontána s explozí</v>
      </c>
      <c r="B243" s="774"/>
      <c r="C243" s="774"/>
      <c r="D243" s="774"/>
      <c r="E243" s="774"/>
      <c r="F243" s="774"/>
      <c r="G243" s="774"/>
      <c r="H243" s="774"/>
      <c r="I243" s="774"/>
      <c r="J243" s="774"/>
      <c r="K243" s="774"/>
      <c r="L243" s="774"/>
      <c r="M243" s="774"/>
      <c r="N243" s="774"/>
      <c r="O243" s="774"/>
      <c r="P243" s="774"/>
      <c r="Q243" s="774"/>
      <c r="R243" s="774"/>
      <c r="S243" s="774"/>
      <c r="T243" s="774"/>
      <c r="U243" s="774"/>
      <c r="V243" s="774"/>
      <c r="W243" s="774"/>
      <c r="X243" s="774"/>
      <c r="Y243" s="774"/>
      <c r="Z243" s="774"/>
      <c r="AA243" s="774" t="str">
        <f>IFERROR(IF(VLOOKUP(C243,[4]List1!$A:$D,4,FALSE)=0,"",VLOOKUP(C243,[4]List1!$A:$D,4,FALSE)),"")</f>
        <v/>
      </c>
      <c r="AB243" s="774"/>
      <c r="AC243" s="775" t="str">
        <f>IFERROR(IF(VLOOKUP(C243,[1]List1!$A:$D,2,FALSE)="VYPRODÁNO",$V$9,IF(VLOOKUP(C243,[1]List1!$A:$D,2,FALSE)="DOCHÁZÍ",$V$3,VLOOKUP(C243,[1]List1!$A:$D,2,FALSE))),"OFFLINE!")</f>
        <v>OFFLINE!</v>
      </c>
      <c r="AD243" s="774"/>
      <c r="AE243" s="774"/>
      <c r="AF243" s="774"/>
      <c r="AG243" s="774"/>
      <c r="AH243" s="774"/>
      <c r="AI243" s="774"/>
      <c r="AJ243" s="774"/>
      <c r="AK243" s="774"/>
      <c r="AL243" s="774"/>
      <c r="AM243" s="774"/>
      <c r="AN243" s="774"/>
      <c r="AO243" s="380"/>
      <c r="AP243" s="322" t="str">
        <f t="shared" si="353"/>
        <v/>
      </c>
      <c r="AQ243" s="323" t="str">
        <f>IF(AC243=$V$3,IF(VLOOKUP(C243,[1]List1!$A:$E,5,FALSE)=0,1,VLOOKUP(C243,[1]List1!$A:$E,5,FALSE)),"")</f>
        <v/>
      </c>
      <c r="AR243" s="304" t="str">
        <f t="shared" si="354"/>
        <v/>
      </c>
      <c r="AS243" s="423" t="str">
        <f t="shared" si="355"/>
        <v/>
      </c>
      <c r="AT243" s="304" t="str">
        <f t="shared" si="356"/>
        <v/>
      </c>
      <c r="AU243" s="342" t="e">
        <f t="shared" si="357"/>
        <v>#N/A</v>
      </c>
      <c r="AV243" s="304" t="e">
        <f t="shared" si="358"/>
        <v>#N/A</v>
      </c>
      <c r="AX243" s="304">
        <f>IF(AND('General price list'!$J243="F4",'General price list'!$AB243+0&gt;0),1,0)</f>
        <v>0</v>
      </c>
      <c r="AY243" s="304">
        <f t="shared" si="359"/>
        <v>0</v>
      </c>
      <c r="AZ243" s="304">
        <f t="shared" si="360"/>
        <v>0</v>
      </c>
    </row>
    <row r="244" spans="1:52" ht="15" customHeight="1">
      <c r="A244" s="712" t="str">
        <f>Kat.!C244</f>
        <v/>
      </c>
      <c r="B244" s="713">
        <f>IF(AND('General price list'!$J244="F4",$AI$1=FALSE),0,IF(AC244="SKLADEM",1,IF(AC244=$V$3,1,0)))</f>
        <v>1</v>
      </c>
      <c r="C244" s="714" t="s">
        <v>2495</v>
      </c>
      <c r="D244" s="715" t="s">
        <v>2496</v>
      </c>
      <c r="E244" s="716" t="s">
        <v>744</v>
      </c>
      <c r="F244" s="712">
        <f>IFERROR(ROUND(IF($AL$3=2,VLOOKUP(C244,[2]List1!$A:$D,2,FALSE)*1.08,VLOOKUP(C244,[2]List1!$A:$D,2,FALSE)),0),"NEUVEDENO!")</f>
        <v>61</v>
      </c>
      <c r="G244" s="717">
        <f t="shared" ref="G244:G249" si="457">(F244)*$B$19</f>
        <v>61</v>
      </c>
      <c r="H244" s="718">
        <f t="shared" ref="H244:H249" si="458">G244/$F$19</f>
        <v>2.4787780030801865</v>
      </c>
      <c r="I244" s="719">
        <v>50</v>
      </c>
      <c r="J244" s="716" t="s">
        <v>240</v>
      </c>
      <c r="K244" s="716"/>
      <c r="L244" s="716"/>
      <c r="M244" s="716" t="s">
        <v>25</v>
      </c>
      <c r="N244" s="716">
        <f>IFERROR(VLOOKUP(C244,[3]List1!$A:$D,4,FALSE),"N/A!")</f>
        <v>1.3596E-2</v>
      </c>
      <c r="O244" s="716">
        <f>IFERROR(VLOOKUP(C244,[3]List1!$A:$D,3,FALSE),"N/A!")</f>
        <v>2000</v>
      </c>
      <c r="P244" s="716">
        <f>IFERROR(VLOOKUP(C244,[3]List1!$A:$D,2,FALSE),"N/A!")</f>
        <v>9000</v>
      </c>
      <c r="Q244" s="716" t="s">
        <v>632</v>
      </c>
      <c r="R244" s="716" t="s">
        <v>24</v>
      </c>
      <c r="S244" s="716"/>
      <c r="T244" s="716"/>
      <c r="U244" s="716"/>
      <c r="V244" s="716"/>
      <c r="W244" s="716" t="str">
        <f>IFERROR(VLOOKUP('General price list'!$C244,Popisy!A:P,MATCH($W$17,Popisy!$A$7:$P$7,0),FALSE),"---------------")</f>
        <v>zelená rotující fontána s práskajícími hvězdami</v>
      </c>
      <c r="X244" s="716" t="str">
        <f t="shared" ref="X244:X249" si="459">IF(AB244&lt;0.0001,"",AB244)</f>
        <v/>
      </c>
      <c r="Y244" s="716" t="str">
        <f t="shared" ref="Y244:Y249" si="460">IF($AL$3=2,IF(OR(AB244&lt;&gt;"",AB244&lt;&gt;0),AU244,""),IF(C244="","",IF(AB244&lt;0.0001,"",IF(B244=0,"",IF(AQ244&lt;AB244,"",AB244)))))</f>
        <v/>
      </c>
      <c r="Z244" s="716" t="str">
        <f>HYPERLINK("https://www.klasekpyrotechnics.cz/rp5du14")</f>
        <v>https://www.klasekpyrotechnics.cz/rp5du14</v>
      </c>
      <c r="AA244" s="716">
        <f>IFERROR(IF(VLOOKUP(C244,[4]List1!$A:$D,4,FALSE)=0,"",VLOOKUP(C244,[4]List1!$A:$D,4,FALSE)),"")</f>
        <v>72</v>
      </c>
      <c r="AB244" s="720"/>
      <c r="AC244" s="721" t="str">
        <f>IFERROR(IF(VLOOKUP(C244,[1]List1!$A:$D,2,FALSE)="VYPRODÁNO",$V$9,IF(VLOOKUP(C244,[1]List1!$A:$D,2,FALSE)="DOCHÁZÍ",$V$3,VLOOKUP(C244,[1]List1!$A:$D,2,FALSE))),"OFFLINE!")</f>
        <v>SKLADEM</v>
      </c>
      <c r="AD244" s="722" t="str">
        <f ca="1">IF(AP244="NE",$V$10,IF(AC244=$V$3,IF(AQ244&lt;1,$V$8,$V$2&amp;" "&amp;AQ244&amp;" "&amp;$V$1),IF(AC244="SKLADEM",$V$6,IFERROR(IF(OR(AC244-TODAY()&gt;45,VLOOKUP(C244,[1]List1!$A:$E,4,FALSE)=0),AC244,DAY(AC244)&amp;"."&amp;MONTH(AC244)&amp;"."&amp;YEAR(AC244)&amp;" "&amp;$V$4&amp;VLOOKUP(C244,[1]List1!$A:$E,4,FALSE)&amp;" "&amp;$V$1),AC244))))</f>
        <v>SKLADEM</v>
      </c>
      <c r="AE244" s="716" t="str">
        <f t="shared" ref="AE244:AE249" ca="1" si="461">IFERROR(IF(AV244&lt;&gt;"",AV244,AD244),AD244)</f>
        <v>SKLADEM</v>
      </c>
      <c r="AF244" s="723">
        <f t="shared" ref="AF244:AF249" si="462">IFERROR(IF(AB244=Y244,G244*I244*Y244,0),0)</f>
        <v>0</v>
      </c>
      <c r="AG244" s="723">
        <f t="shared" ref="AG244:AG249" si="463">IF($W$17=$AF$8,AH244*1.23,AF244*1.21)</f>
        <v>0</v>
      </c>
      <c r="AH244" s="724">
        <f t="shared" ref="AH244:AH249" si="464">IFERROR(IF(Y244=AB244,H244*I244*Y244,0),0)</f>
        <v>0</v>
      </c>
      <c r="AI244" s="716">
        <f t="shared" ref="AI244:AI249" si="465">IFERROR(IF(Y244=AB244,(P244*Y244)/1000,1),0)</f>
        <v>0</v>
      </c>
      <c r="AJ244" s="716">
        <f t="shared" ref="AJ244:AJ249" si="466">IFERROR(IF(Y244=AB244,N244*Y244,0.1),0)</f>
        <v>0</v>
      </c>
      <c r="AK244" s="716" t="str">
        <f t="shared" ref="AK244:AK249" si="467">IFERROR(IF(Y244=AB244,IF(M244="1.1G",(O244/1000)*Y244,""),""),0)</f>
        <v/>
      </c>
      <c r="AL244" s="716" t="str">
        <f t="shared" ref="AL244:AL249" si="468">IFERROR(IF(Y244=AB244,IF(M244="1.3G",(O244/1000)*AB244,""),""),0)</f>
        <v/>
      </c>
      <c r="AM244" s="716">
        <f t="shared" ref="AM244:AM249" si="469">IFERROR(IF(Y244=AB244,IF(M244="1.4G",(O244/1000)*AB244,""),""),0)</f>
        <v>0</v>
      </c>
      <c r="AN244" s="716">
        <f t="shared" ref="AN244:AN249" si="470">SUM(AK244:AM244)</f>
        <v>0</v>
      </c>
      <c r="AO244" s="380"/>
      <c r="AP244" s="322" t="str">
        <f t="shared" si="353"/>
        <v/>
      </c>
      <c r="AQ244" s="323" t="str">
        <f>IF(AC244=$V$3,IF(VLOOKUP(C244,[1]List1!$A:$E,5,FALSE)=0,1,VLOOKUP(C244,[1]List1!$A:$E,5,FALSE)),"")</f>
        <v/>
      </c>
      <c r="AR244" s="304" t="str">
        <f t="shared" si="354"/>
        <v/>
      </c>
      <c r="AS244" s="423" t="str">
        <f t="shared" si="355"/>
        <v/>
      </c>
      <c r="AT244" s="304" t="str">
        <f t="shared" si="356"/>
        <v/>
      </c>
      <c r="AU244" s="342" t="e">
        <f t="shared" si="357"/>
        <v>#N/A</v>
      </c>
      <c r="AV244" s="304" t="e">
        <f t="shared" si="358"/>
        <v>#N/A</v>
      </c>
      <c r="AX244" s="304">
        <f>IF(AND('General price list'!$J244="F4",'General price list'!$AB244+0&gt;0),1,0)</f>
        <v>0</v>
      </c>
      <c r="AY244" s="304">
        <f t="shared" si="359"/>
        <v>1</v>
      </c>
      <c r="AZ244" s="304">
        <f t="shared" si="360"/>
        <v>0</v>
      </c>
    </row>
    <row r="245" spans="1:52" ht="15" customHeight="1">
      <c r="A245" s="725" t="str">
        <f>Kat.!C245</f>
        <v>×</v>
      </c>
      <c r="B245" s="726">
        <f>IF(AND('General price list'!$J245="F4",$AI$1=FALSE),0,IF(AC245="SKLADEM",1,IF(AC245=$V$3,1,0)))</f>
        <v>0</v>
      </c>
      <c r="C245" s="727" t="s">
        <v>4390</v>
      </c>
      <c r="D245" s="728" t="s">
        <v>2496</v>
      </c>
      <c r="E245" s="729" t="s">
        <v>744</v>
      </c>
      <c r="F245" s="725">
        <f>IFERROR(ROUND(IF($AL$3=2,VLOOKUP(C245,[2]List1!$A:$D,2,FALSE)*1.08,VLOOKUP(C245,[2]List1!$A:$D,2,FALSE)),0),"NEUVEDENO!")</f>
        <v>61</v>
      </c>
      <c r="G245" s="730">
        <f t="shared" si="457"/>
        <v>61</v>
      </c>
      <c r="H245" s="731">
        <f t="shared" si="458"/>
        <v>2.4787780030801865</v>
      </c>
      <c r="I245" s="732">
        <v>50</v>
      </c>
      <c r="J245" s="729" t="s">
        <v>240</v>
      </c>
      <c r="K245" s="729"/>
      <c r="L245" s="729"/>
      <c r="M245" s="729" t="s">
        <v>25</v>
      </c>
      <c r="N245" s="729">
        <f>IFERROR(VLOOKUP(C245,[3]List1!$A:$D,4,FALSE),"N/A!")</f>
        <v>1.3596E-2</v>
      </c>
      <c r="O245" s="729">
        <f>IFERROR(VLOOKUP(C245,[3]List1!$A:$D,3,FALSE),"N/A!")</f>
        <v>2000</v>
      </c>
      <c r="P245" s="729">
        <f>IFERROR(VLOOKUP(C245,[3]List1!$A:$D,2,FALSE),"N/A!")</f>
        <v>9000</v>
      </c>
      <c r="Q245" s="729" t="s">
        <v>14315</v>
      </c>
      <c r="R245" s="729" t="s">
        <v>24</v>
      </c>
      <c r="S245" s="729"/>
      <c r="T245" s="729"/>
      <c r="U245" s="729"/>
      <c r="V245" s="729"/>
      <c r="W245" s="729" t="str">
        <f>IFERROR(VLOOKUP('General price list'!$C245,Popisy!A:P,MATCH($W$17,Popisy!$A$7:$P$7,0),FALSE),"---------------")</f>
        <v>zelená rotující fontána s práskajícími hvězdami</v>
      </c>
      <c r="X245" s="729" t="str">
        <f t="shared" si="459"/>
        <v/>
      </c>
      <c r="Y245" s="729" t="str">
        <f t="shared" si="460"/>
        <v/>
      </c>
      <c r="Z245" s="729" t="str">
        <f>HYPERLINK("https://www.klasekpyrotechnics.cz/rp5du14_1")</f>
        <v>https://www.klasekpyrotechnics.cz/rp5du14_1</v>
      </c>
      <c r="AA245" s="729">
        <f>IFERROR(IF(VLOOKUP(C245,[4]List1!$A:$D,4,FALSE)=0,"",VLOOKUP(C245,[4]List1!$A:$D,4,FALSE)),"")</f>
        <v>72</v>
      </c>
      <c r="AB245" s="720"/>
      <c r="AC245" s="733" t="str">
        <f>IFERROR(IF(VLOOKUP(C245,[1]List1!$A:$D,2,FALSE)="VYPRODÁNO",$V$9,IF(VLOOKUP(C245,[1]List1!$A:$D,2,FALSE)="DOCHÁZÍ",$V$3,VLOOKUP(C245,[1]List1!$A:$D,2,FALSE))),"OFFLINE!")</f>
        <v>VYPRODÁNO</v>
      </c>
      <c r="AD245" s="734" t="str">
        <f ca="1">IF(AP245="NE",$V$10,IF(AC245=$V$3,IF(AQ245&lt;1,$V$8,$V$2&amp;" "&amp;AQ245&amp;" "&amp;$V$1),IF(AC245="SKLADEM",$V$6,IFERROR(IF(OR(AC245-TODAY()&gt;45,VLOOKUP(C245,[1]List1!$A:$E,4,FALSE)=0),AC245,DAY(AC245)&amp;"."&amp;MONTH(AC245)&amp;"."&amp;YEAR(AC245)&amp;" "&amp;$V$4&amp;VLOOKUP(C245,[1]List1!$A:$E,4,FALSE)&amp;" "&amp;$V$1),AC245))))</f>
        <v>VYPRODÁNO</v>
      </c>
      <c r="AE245" s="729" t="str">
        <f t="shared" ca="1" si="461"/>
        <v>VYPRODÁNO</v>
      </c>
      <c r="AF245" s="735">
        <f t="shared" si="462"/>
        <v>0</v>
      </c>
      <c r="AG245" s="735">
        <f t="shared" si="463"/>
        <v>0</v>
      </c>
      <c r="AH245" s="736">
        <f t="shared" si="464"/>
        <v>0</v>
      </c>
      <c r="AI245" s="729">
        <f t="shared" si="465"/>
        <v>0</v>
      </c>
      <c r="AJ245" s="729">
        <f t="shared" si="466"/>
        <v>0</v>
      </c>
      <c r="AK245" s="729" t="str">
        <f t="shared" si="467"/>
        <v/>
      </c>
      <c r="AL245" s="729" t="str">
        <f t="shared" si="468"/>
        <v/>
      </c>
      <c r="AM245" s="729">
        <f t="shared" si="469"/>
        <v>0</v>
      </c>
      <c r="AN245" s="729">
        <f t="shared" si="470"/>
        <v>0</v>
      </c>
      <c r="AO245" s="380"/>
      <c r="AP245" s="322" t="str">
        <f t="shared" si="353"/>
        <v/>
      </c>
      <c r="AQ245" s="323" t="str">
        <f>IF(AC245=$V$3,IF(VLOOKUP(C245,[1]List1!$A:$E,5,FALSE)=0,1,VLOOKUP(C245,[1]List1!$A:$E,5,FALSE)),"")</f>
        <v/>
      </c>
      <c r="AR245" s="304" t="str">
        <f t="shared" si="354"/>
        <v/>
      </c>
      <c r="AS245" s="423" t="str">
        <f t="shared" si="355"/>
        <v/>
      </c>
      <c r="AT245" s="304" t="str">
        <f t="shared" si="356"/>
        <v/>
      </c>
      <c r="AU245" s="342" t="e">
        <f t="shared" si="357"/>
        <v>#N/A</v>
      </c>
      <c r="AV245" s="304" t="e">
        <f t="shared" si="358"/>
        <v>#N/A</v>
      </c>
      <c r="AX245" s="304">
        <f>IF(AND('General price list'!$J245="F4",'General price list'!$AB245+0&gt;0),1,0)</f>
        <v>0</v>
      </c>
      <c r="AY245" s="304">
        <f t="shared" si="359"/>
        <v>1</v>
      </c>
      <c r="AZ245" s="304">
        <f t="shared" si="360"/>
        <v>0</v>
      </c>
    </row>
    <row r="246" spans="1:52" ht="15" customHeight="1">
      <c r="A246" s="712" t="str">
        <f>Kat.!C246</f>
        <v/>
      </c>
      <c r="B246" s="737">
        <f>IF(AND('General price list'!$J246="F4",$AI$1=FALSE),0,IF(AC246="SKLADEM",1,IF(AC246=$V$3,1,0)))</f>
        <v>1</v>
      </c>
      <c r="C246" s="714" t="s">
        <v>4391</v>
      </c>
      <c r="D246" s="715" t="s">
        <v>4392</v>
      </c>
      <c r="E246" s="716" t="s">
        <v>744</v>
      </c>
      <c r="F246" s="712">
        <f>IFERROR(ROUND(IF($AL$3=2,VLOOKUP(C246,[2]List1!$A:$D,2,FALSE)*1.08,VLOOKUP(C246,[2]List1!$A:$D,2,FALSE)),0),"NEUVEDENO!")</f>
        <v>75</v>
      </c>
      <c r="G246" s="717">
        <f t="shared" si="457"/>
        <v>75</v>
      </c>
      <c r="H246" s="718">
        <f t="shared" si="458"/>
        <v>3.0476778726395737</v>
      </c>
      <c r="I246" s="738">
        <v>50</v>
      </c>
      <c r="J246" s="716" t="s">
        <v>240</v>
      </c>
      <c r="K246" s="716"/>
      <c r="L246" s="716"/>
      <c r="M246" s="716" t="s">
        <v>25</v>
      </c>
      <c r="N246" s="716">
        <f>IFERROR(VLOOKUP(C246,[3]List1!$A:$D,4,FALSE),"N/A!")</f>
        <v>2.7060000000000001E-2</v>
      </c>
      <c r="O246" s="716">
        <f>IFERROR(VLOOKUP(C246,[3]List1!$A:$D,3,FALSE),"N/A!")</f>
        <v>2700</v>
      </c>
      <c r="P246" s="716">
        <f>IFERROR(VLOOKUP(C246,[3]List1!$A:$D,2,FALSE),"N/A!")</f>
        <v>13000</v>
      </c>
      <c r="Q246" s="716" t="s">
        <v>632</v>
      </c>
      <c r="R246" s="716" t="s">
        <v>24</v>
      </c>
      <c r="S246" s="716"/>
      <c r="T246" s="716"/>
      <c r="U246" s="716"/>
      <c r="V246" s="716"/>
      <c r="W246" s="716" t="str">
        <f>IFERROR(VLOOKUP('General price list'!$C246,Popisy!A:P,MATCH($W$17,Popisy!$A$7:$P$7,0),FALSE),"---------------")</f>
        <v>červené světlo + silné práskající hěvzdy</v>
      </c>
      <c r="X246" s="716" t="str">
        <f t="shared" si="459"/>
        <v/>
      </c>
      <c r="Y246" s="716" t="str">
        <f t="shared" si="460"/>
        <v/>
      </c>
      <c r="Z246" s="716" t="str">
        <f>HYPERLINK("https://www.klasekpyrotechnics.cz/cp5du14_r")</f>
        <v>https://www.klasekpyrotechnics.cz/cp5du14_r</v>
      </c>
      <c r="AA246" s="716">
        <f>IFERROR(IF(VLOOKUP(C246,[4]List1!$A:$D,4,FALSE)=0,"",VLOOKUP(C246,[4]List1!$A:$D,4,FALSE)),"")</f>
        <v>72</v>
      </c>
      <c r="AB246" s="720"/>
      <c r="AC246" s="739" t="str">
        <f>IFERROR(IF(VLOOKUP(C246,[1]List1!$A:$D,2,FALSE)="VYPRODÁNO",$V$9,IF(VLOOKUP(C246,[1]List1!$A:$D,2,FALSE)="DOCHÁZÍ",$V$3,VLOOKUP(C246,[1]List1!$A:$D,2,FALSE))),"OFFLINE!")</f>
        <v>SKLADEM</v>
      </c>
      <c r="AD246" s="740" t="str">
        <f ca="1">IF(AP246="NE",$V$10,IF(AC246=$V$3,IF(AQ246&lt;1,$V$8,$V$2&amp;" "&amp;AQ246&amp;" "&amp;$V$1),IF(AC246="SKLADEM",$V$6,IFERROR(IF(OR(AC246-TODAY()&gt;45,VLOOKUP(C246,[1]List1!$A:$E,4,FALSE)=0),AC246,DAY(AC246)&amp;"."&amp;MONTH(AC246)&amp;"."&amp;YEAR(AC246)&amp;" "&amp;$V$4&amp;VLOOKUP(C246,[1]List1!$A:$E,4,FALSE)&amp;" "&amp;$V$1),AC246))))</f>
        <v>SKLADEM</v>
      </c>
      <c r="AE246" s="716" t="str">
        <f t="shared" ca="1" si="461"/>
        <v>SKLADEM</v>
      </c>
      <c r="AF246" s="723">
        <f t="shared" si="462"/>
        <v>0</v>
      </c>
      <c r="AG246" s="723">
        <f t="shared" si="463"/>
        <v>0</v>
      </c>
      <c r="AH246" s="724">
        <f t="shared" si="464"/>
        <v>0</v>
      </c>
      <c r="AI246" s="716">
        <f t="shared" si="465"/>
        <v>0</v>
      </c>
      <c r="AJ246" s="716">
        <f t="shared" si="466"/>
        <v>0</v>
      </c>
      <c r="AK246" s="716" t="str">
        <f t="shared" si="467"/>
        <v/>
      </c>
      <c r="AL246" s="716" t="str">
        <f t="shared" si="468"/>
        <v/>
      </c>
      <c r="AM246" s="716">
        <f t="shared" si="469"/>
        <v>0</v>
      </c>
      <c r="AN246" s="716">
        <f t="shared" si="470"/>
        <v>0</v>
      </c>
      <c r="AO246" s="380"/>
      <c r="AP246" s="322" t="str">
        <f t="shared" si="353"/>
        <v/>
      </c>
      <c r="AQ246" s="323" t="str">
        <f>IF(AC246=$V$3,IF(VLOOKUP(C246,[1]List1!$A:$E,5,FALSE)=0,1,VLOOKUP(C246,[1]List1!$A:$E,5,FALSE)),"")</f>
        <v/>
      </c>
      <c r="AR246" s="304" t="str">
        <f t="shared" si="354"/>
        <v/>
      </c>
      <c r="AS246" s="423" t="str">
        <f t="shared" si="355"/>
        <v/>
      </c>
      <c r="AT246" s="304" t="str">
        <f t="shared" si="356"/>
        <v/>
      </c>
      <c r="AU246" s="342" t="e">
        <f t="shared" si="357"/>
        <v>#N/A</v>
      </c>
      <c r="AV246" s="304" t="e">
        <f t="shared" si="358"/>
        <v>#N/A</v>
      </c>
      <c r="AX246" s="304">
        <f>IF(AND('General price list'!$J246="F4",'General price list'!$AB246+0&gt;0),1,0)</f>
        <v>0</v>
      </c>
      <c r="AY246" s="304">
        <f t="shared" si="359"/>
        <v>1</v>
      </c>
      <c r="AZ246" s="304">
        <f t="shared" si="360"/>
        <v>0</v>
      </c>
    </row>
    <row r="247" spans="1:52" ht="15" customHeight="1">
      <c r="A247" s="725" t="str">
        <f>Kat.!C247</f>
        <v>×</v>
      </c>
      <c r="B247" s="726">
        <f>IF(AND('General price list'!$J247="F4",$AI$1=FALSE),0,IF(AC247="SKLADEM",1,IF(AC247=$V$3,1,0)))</f>
        <v>1</v>
      </c>
      <c r="C247" s="727" t="s">
        <v>4402</v>
      </c>
      <c r="D247" s="728" t="s">
        <v>4392</v>
      </c>
      <c r="E247" s="729" t="s">
        <v>744</v>
      </c>
      <c r="F247" s="725">
        <f>IFERROR(ROUND(IF($AL$3=2,VLOOKUP(C247,[2]List1!$A:$D,2,FALSE)*1.08,VLOOKUP(C247,[2]List1!$A:$D,2,FALSE)),0),"NEUVEDENO!")</f>
        <v>75</v>
      </c>
      <c r="G247" s="730">
        <f t="shared" si="457"/>
        <v>75</v>
      </c>
      <c r="H247" s="731">
        <f t="shared" si="458"/>
        <v>3.0476778726395737</v>
      </c>
      <c r="I247" s="732">
        <v>50</v>
      </c>
      <c r="J247" s="729" t="s">
        <v>240</v>
      </c>
      <c r="K247" s="729"/>
      <c r="L247" s="729"/>
      <c r="M247" s="729" t="s">
        <v>25</v>
      </c>
      <c r="N247" s="729">
        <f>IFERROR(VLOOKUP(C247,[3]List1!$A:$D,4,FALSE),"N/A!")</f>
        <v>2.7060000000000001E-2</v>
      </c>
      <c r="O247" s="729">
        <f>IFERROR(VLOOKUP(C247,[3]List1!$A:$D,3,FALSE),"N/A!")</f>
        <v>2700</v>
      </c>
      <c r="P247" s="729">
        <f>IFERROR(VLOOKUP(C247,[3]List1!$A:$D,2,FALSE),"N/A!")</f>
        <v>13000</v>
      </c>
      <c r="Q247" s="729" t="s">
        <v>14120</v>
      </c>
      <c r="R247" s="729" t="s">
        <v>24</v>
      </c>
      <c r="S247" s="729" t="s">
        <v>14401</v>
      </c>
      <c r="T247" s="729"/>
      <c r="U247" s="729"/>
      <c r="V247" s="729"/>
      <c r="W247" s="729" t="str">
        <f>IFERROR(VLOOKUP('General price list'!$C247,Popisy!A:P,MATCH($W$17,Popisy!$A$7:$P$7,0),FALSE),"---------------")</f>
        <v>červené světlo + silné práskající hěvzdy</v>
      </c>
      <c r="X247" s="729" t="str">
        <f t="shared" si="459"/>
        <v/>
      </c>
      <c r="Y247" s="729" t="str">
        <f t="shared" si="460"/>
        <v/>
      </c>
      <c r="Z247" s="729" t="str">
        <f>HYPERLINK("https://www.klasekpyrotechnics.cz/cp5du14_r1")</f>
        <v>https://www.klasekpyrotechnics.cz/cp5du14_r1</v>
      </c>
      <c r="AA247" s="729">
        <f>IFERROR(IF(VLOOKUP(C247,[4]List1!$A:$D,4,FALSE)=0,"",VLOOKUP(C247,[4]List1!$A:$D,4,FALSE)),"")</f>
        <v>72</v>
      </c>
      <c r="AB247" s="720"/>
      <c r="AC247" s="733" t="str">
        <f>IFERROR(IF(VLOOKUP(C247,[1]List1!$A:$D,2,FALSE)="VYPRODÁNO",$V$9,IF(VLOOKUP(C247,[1]List1!$A:$D,2,FALSE)="DOCHÁZÍ",$V$3,VLOOKUP(C247,[1]List1!$A:$D,2,FALSE))),"OFFLINE!")</f>
        <v>SKLADEM</v>
      </c>
      <c r="AD247" s="734" t="str">
        <f ca="1">IF(AP247="NE",$V$10,IF(AC247=$V$3,IF(AQ247&lt;1,$V$8,$V$2&amp;" "&amp;AQ247&amp;" "&amp;$V$1),IF(AC247="SKLADEM",$V$6,IFERROR(IF(OR(AC247-TODAY()&gt;45,VLOOKUP(C247,[1]List1!$A:$E,4,FALSE)=0),AC247,DAY(AC247)&amp;"."&amp;MONTH(AC247)&amp;"."&amp;YEAR(AC247)&amp;" "&amp;$V$4&amp;VLOOKUP(C247,[1]List1!$A:$E,4,FALSE)&amp;" "&amp;$V$1),AC247))))</f>
        <v>SKLADEM</v>
      </c>
      <c r="AE247" s="729" t="str">
        <f t="shared" ca="1" si="461"/>
        <v>SKLADEM</v>
      </c>
      <c r="AF247" s="735">
        <f t="shared" si="462"/>
        <v>0</v>
      </c>
      <c r="AG247" s="735">
        <f t="shared" si="463"/>
        <v>0</v>
      </c>
      <c r="AH247" s="736">
        <f t="shared" si="464"/>
        <v>0</v>
      </c>
      <c r="AI247" s="729">
        <f t="shared" si="465"/>
        <v>0</v>
      </c>
      <c r="AJ247" s="729">
        <f t="shared" si="466"/>
        <v>0</v>
      </c>
      <c r="AK247" s="729" t="str">
        <f t="shared" si="467"/>
        <v/>
      </c>
      <c r="AL247" s="729" t="str">
        <f t="shared" si="468"/>
        <v/>
      </c>
      <c r="AM247" s="729">
        <f t="shared" si="469"/>
        <v>0</v>
      </c>
      <c r="AN247" s="729">
        <f t="shared" si="470"/>
        <v>0</v>
      </c>
      <c r="AO247" s="380"/>
      <c r="AP247" s="322" t="str">
        <f t="shared" si="353"/>
        <v/>
      </c>
      <c r="AQ247" s="323" t="str">
        <f>IF(AC247=$V$3,IF(VLOOKUP(C247,[1]List1!$A:$E,5,FALSE)=0,1,VLOOKUP(C247,[1]List1!$A:$E,5,FALSE)),"")</f>
        <v/>
      </c>
      <c r="AR247" s="304" t="str">
        <f t="shared" si="354"/>
        <v/>
      </c>
      <c r="AS247" s="423" t="str">
        <f t="shared" si="355"/>
        <v/>
      </c>
      <c r="AT247" s="304" t="str">
        <f t="shared" si="356"/>
        <v/>
      </c>
      <c r="AU247" s="342" t="e">
        <f t="shared" si="357"/>
        <v>#N/A</v>
      </c>
      <c r="AV247" s="304" t="e">
        <f t="shared" si="358"/>
        <v>#N/A</v>
      </c>
      <c r="AX247" s="304">
        <f>IF(AND('General price list'!$J247="F4",'General price list'!$AB247+0&gt;0),1,0)</f>
        <v>0</v>
      </c>
      <c r="AY247" s="304">
        <f t="shared" si="359"/>
        <v>1</v>
      </c>
      <c r="AZ247" s="304">
        <f t="shared" si="360"/>
        <v>0</v>
      </c>
    </row>
    <row r="248" spans="1:52" ht="15" customHeight="1">
      <c r="A248" s="712" t="str">
        <f>Kat.!C248</f>
        <v>×</v>
      </c>
      <c r="B248" s="737">
        <f>IF(AND('General price list'!$J248="F4",$AI$1=FALSE),0,IF(AC248="SKLADEM",1,IF(AC248=$V$3,1,0)))</f>
        <v>1</v>
      </c>
      <c r="C248" s="714" t="s">
        <v>4403</v>
      </c>
      <c r="D248" s="715" t="s">
        <v>4392</v>
      </c>
      <c r="E248" s="716" t="s">
        <v>744</v>
      </c>
      <c r="F248" s="712">
        <f>IFERROR(ROUND(IF($AL$3=2,VLOOKUP(C248,[2]List1!$A:$D,2,FALSE)*1.08,VLOOKUP(C248,[2]List1!$A:$D,2,FALSE)),0),"NEUVEDENO!")</f>
        <v>75</v>
      </c>
      <c r="G248" s="717">
        <f t="shared" si="457"/>
        <v>75</v>
      </c>
      <c r="H248" s="718">
        <f t="shared" si="458"/>
        <v>3.0476778726395737</v>
      </c>
      <c r="I248" s="738">
        <v>50</v>
      </c>
      <c r="J248" s="716" t="s">
        <v>240</v>
      </c>
      <c r="K248" s="716"/>
      <c r="L248" s="716"/>
      <c r="M248" s="716" t="s">
        <v>25</v>
      </c>
      <c r="N248" s="716">
        <f>IFERROR(VLOOKUP(C248,[3]List1!$A:$D,4,FALSE),"N/A!")</f>
        <v>2.7060000000000001E-2</v>
      </c>
      <c r="O248" s="716">
        <f>IFERROR(VLOOKUP(C248,[3]List1!$A:$D,3,FALSE),"N/A!")</f>
        <v>2700</v>
      </c>
      <c r="P248" s="716">
        <f>IFERROR(VLOOKUP(C248,[3]List1!$A:$D,2,FALSE),"N/A!")</f>
        <v>13000</v>
      </c>
      <c r="Q248" s="716" t="s">
        <v>632</v>
      </c>
      <c r="R248" s="716" t="s">
        <v>24</v>
      </c>
      <c r="S248" s="716" t="s">
        <v>14401</v>
      </c>
      <c r="T248" s="716"/>
      <c r="U248" s="716"/>
      <c r="V248" s="716"/>
      <c r="W248" s="716" t="str">
        <f>IFERROR(VLOOKUP('General price list'!$C248,Popisy!A:P,MATCH($W$17,Popisy!$A$7:$P$7,0),FALSE),"---------------")</f>
        <v>zelené světlo + silné práskající hěvzdy</v>
      </c>
      <c r="X248" s="716" t="str">
        <f t="shared" si="459"/>
        <v/>
      </c>
      <c r="Y248" s="716" t="str">
        <f t="shared" si="460"/>
        <v/>
      </c>
      <c r="Z248" s="716" t="str">
        <f>HYPERLINK("https://www.klasekpyrotechnics.cz/cp5du14_g")</f>
        <v>https://www.klasekpyrotechnics.cz/cp5du14_g</v>
      </c>
      <c r="AA248" s="716">
        <f>IFERROR(IF(VLOOKUP(C248,[4]List1!$A:$D,4,FALSE)=0,"",VLOOKUP(C248,[4]List1!$A:$D,4,FALSE)),"")</f>
        <v>72</v>
      </c>
      <c r="AB248" s="720"/>
      <c r="AC248" s="739" t="str">
        <f>IFERROR(IF(VLOOKUP(C248,[1]List1!$A:$D,2,FALSE)="VYPRODÁNO",$V$9,IF(VLOOKUP(C248,[1]List1!$A:$D,2,FALSE)="DOCHÁZÍ",$V$3,VLOOKUP(C248,[1]List1!$A:$D,2,FALSE))),"OFFLINE!")</f>
        <v>SKLADEM</v>
      </c>
      <c r="AD248" s="740" t="str">
        <f ca="1">IF(AP248="NE",$V$10,IF(AC248=$V$3,IF(AQ248&lt;1,$V$8,$V$2&amp;" "&amp;AQ248&amp;" "&amp;$V$1),IF(AC248="SKLADEM",$V$6,IFERROR(IF(OR(AC248-TODAY()&gt;45,VLOOKUP(C248,[1]List1!$A:$E,4,FALSE)=0),AC248,DAY(AC248)&amp;"."&amp;MONTH(AC248)&amp;"."&amp;YEAR(AC248)&amp;" "&amp;$V$4&amp;VLOOKUP(C248,[1]List1!$A:$E,4,FALSE)&amp;" "&amp;$V$1),AC248))))</f>
        <v>SKLADEM</v>
      </c>
      <c r="AE248" s="716" t="str">
        <f t="shared" ca="1" si="461"/>
        <v>SKLADEM</v>
      </c>
      <c r="AF248" s="723">
        <f t="shared" si="462"/>
        <v>0</v>
      </c>
      <c r="AG248" s="723">
        <f t="shared" si="463"/>
        <v>0</v>
      </c>
      <c r="AH248" s="724">
        <f t="shared" si="464"/>
        <v>0</v>
      </c>
      <c r="AI248" s="716">
        <f t="shared" si="465"/>
        <v>0</v>
      </c>
      <c r="AJ248" s="716">
        <f t="shared" si="466"/>
        <v>0</v>
      </c>
      <c r="AK248" s="716" t="str">
        <f t="shared" si="467"/>
        <v/>
      </c>
      <c r="AL248" s="716" t="str">
        <f t="shared" si="468"/>
        <v/>
      </c>
      <c r="AM248" s="716">
        <f t="shared" si="469"/>
        <v>0</v>
      </c>
      <c r="AN248" s="716">
        <f t="shared" si="470"/>
        <v>0</v>
      </c>
      <c r="AO248" s="380"/>
      <c r="AP248" s="322" t="str">
        <f t="shared" si="353"/>
        <v/>
      </c>
      <c r="AQ248" s="323" t="str">
        <f>IF(AC248=$V$3,IF(VLOOKUP(C248,[1]List1!$A:$E,5,FALSE)=0,1,VLOOKUP(C248,[1]List1!$A:$E,5,FALSE)),"")</f>
        <v/>
      </c>
      <c r="AR248" s="304" t="str">
        <f t="shared" si="354"/>
        <v/>
      </c>
      <c r="AS248" s="423" t="str">
        <f t="shared" si="355"/>
        <v/>
      </c>
      <c r="AT248" s="304" t="str">
        <f t="shared" si="356"/>
        <v/>
      </c>
      <c r="AU248" s="342" t="e">
        <f t="shared" si="357"/>
        <v>#N/A</v>
      </c>
      <c r="AV248" s="304" t="e">
        <f t="shared" si="358"/>
        <v>#N/A</v>
      </c>
      <c r="AX248" s="304">
        <f>IF(AND('General price list'!$J248="F4",'General price list'!$AB248+0&gt;0),1,0)</f>
        <v>0</v>
      </c>
      <c r="AY248" s="304">
        <f t="shared" si="359"/>
        <v>1</v>
      </c>
      <c r="AZ248" s="304">
        <f t="shared" si="360"/>
        <v>0</v>
      </c>
    </row>
    <row r="249" spans="1:52" ht="15" customHeight="1">
      <c r="A249" s="725" t="str">
        <f>Kat.!C249</f>
        <v>×</v>
      </c>
      <c r="B249" s="726">
        <f>IF(AND('General price list'!$J249="F4",$AI$1=FALSE),0,IF(AC249="SKLADEM",1,IF(AC249=$V$3,1,0)))</f>
        <v>1</v>
      </c>
      <c r="C249" s="727" t="s">
        <v>4413</v>
      </c>
      <c r="D249" s="728" t="s">
        <v>4392</v>
      </c>
      <c r="E249" s="729" t="s">
        <v>744</v>
      </c>
      <c r="F249" s="725">
        <f>IFERROR(ROUND(IF($AL$3=2,VLOOKUP(C249,[2]List1!$A:$D,2,FALSE)*1.08,VLOOKUP(C249,[2]List1!$A:$D,2,FALSE)),0),"NEUVEDENO!")</f>
        <v>75</v>
      </c>
      <c r="G249" s="730">
        <f t="shared" si="457"/>
        <v>75</v>
      </c>
      <c r="H249" s="731">
        <f t="shared" si="458"/>
        <v>3.0476778726395737</v>
      </c>
      <c r="I249" s="732">
        <v>50</v>
      </c>
      <c r="J249" s="729" t="s">
        <v>240</v>
      </c>
      <c r="K249" s="729"/>
      <c r="L249" s="729"/>
      <c r="M249" s="729" t="s">
        <v>25</v>
      </c>
      <c r="N249" s="729">
        <f>IFERROR(VLOOKUP(C249,[3]List1!$A:$D,4,FALSE),"N/A!")</f>
        <v>2.7060000000000001E-2</v>
      </c>
      <c r="O249" s="729">
        <f>IFERROR(VLOOKUP(C249,[3]List1!$A:$D,3,FALSE),"N/A!")</f>
        <v>2700</v>
      </c>
      <c r="P249" s="729">
        <f>IFERROR(VLOOKUP(C249,[3]List1!$A:$D,2,FALSE),"N/A!")</f>
        <v>13000</v>
      </c>
      <c r="Q249" s="729" t="s">
        <v>14120</v>
      </c>
      <c r="R249" s="729" t="s">
        <v>24</v>
      </c>
      <c r="S249" s="729"/>
      <c r="T249" s="729"/>
      <c r="U249" s="729"/>
      <c r="V249" s="729"/>
      <c r="W249" s="729" t="str">
        <f>IFERROR(VLOOKUP('General price list'!$C249,Popisy!A:P,MATCH($W$17,Popisy!$A$7:$P$7,0),FALSE),"---------------")</f>
        <v>zelené světlo + silné práskající hěvzdy</v>
      </c>
      <c r="X249" s="729" t="str">
        <f t="shared" si="459"/>
        <v/>
      </c>
      <c r="Y249" s="729" t="str">
        <f t="shared" si="460"/>
        <v/>
      </c>
      <c r="Z249" s="729" t="str">
        <f>HYPERLINK("https://www.klasekpyrotechnics.cz/cp5du14_g1")</f>
        <v>https://www.klasekpyrotechnics.cz/cp5du14_g1</v>
      </c>
      <c r="AA249" s="729">
        <f>IFERROR(IF(VLOOKUP(C249,[4]List1!$A:$D,4,FALSE)=0,"",VLOOKUP(C249,[4]List1!$A:$D,4,FALSE)),"")</f>
        <v>72</v>
      </c>
      <c r="AB249" s="720"/>
      <c r="AC249" s="733" t="str">
        <f>IFERROR(IF(VLOOKUP(C249,[1]List1!$A:$D,2,FALSE)="VYPRODÁNO",$V$9,IF(VLOOKUP(C249,[1]List1!$A:$D,2,FALSE)="DOCHÁZÍ",$V$3,VLOOKUP(C249,[1]List1!$A:$D,2,FALSE))),"OFFLINE!")</f>
        <v>SKLADEM</v>
      </c>
      <c r="AD249" s="734" t="str">
        <f ca="1">IF(AP249="NE",$V$10,IF(AC249=$V$3,IF(AQ249&lt;1,$V$8,$V$2&amp;" "&amp;AQ249&amp;" "&amp;$V$1),IF(AC249="SKLADEM",$V$6,IFERROR(IF(OR(AC249-TODAY()&gt;45,VLOOKUP(C249,[1]List1!$A:$E,4,FALSE)=0),AC249,DAY(AC249)&amp;"."&amp;MONTH(AC249)&amp;"."&amp;YEAR(AC249)&amp;" "&amp;$V$4&amp;VLOOKUP(C249,[1]List1!$A:$E,4,FALSE)&amp;" "&amp;$V$1),AC249))))</f>
        <v>SKLADEM</v>
      </c>
      <c r="AE249" s="729" t="str">
        <f t="shared" ca="1" si="461"/>
        <v>SKLADEM</v>
      </c>
      <c r="AF249" s="735">
        <f t="shared" si="462"/>
        <v>0</v>
      </c>
      <c r="AG249" s="735">
        <f t="shared" si="463"/>
        <v>0</v>
      </c>
      <c r="AH249" s="736">
        <f t="shared" si="464"/>
        <v>0</v>
      </c>
      <c r="AI249" s="729">
        <f t="shared" si="465"/>
        <v>0</v>
      </c>
      <c r="AJ249" s="729">
        <f t="shared" si="466"/>
        <v>0</v>
      </c>
      <c r="AK249" s="729" t="str">
        <f t="shared" si="467"/>
        <v/>
      </c>
      <c r="AL249" s="729" t="str">
        <f t="shared" si="468"/>
        <v/>
      </c>
      <c r="AM249" s="729">
        <f t="shared" si="469"/>
        <v>0</v>
      </c>
      <c r="AN249" s="729">
        <f t="shared" si="470"/>
        <v>0</v>
      </c>
      <c r="AO249" s="380"/>
      <c r="AP249" s="322" t="str">
        <f t="shared" si="353"/>
        <v/>
      </c>
      <c r="AQ249" s="323" t="str">
        <f>IF(AC249=$V$3,IF(VLOOKUP(C249,[1]List1!$A:$E,5,FALSE)=0,1,VLOOKUP(C249,[1]List1!$A:$E,5,FALSE)),"")</f>
        <v/>
      </c>
      <c r="AR249" s="304" t="str">
        <f t="shared" si="354"/>
        <v/>
      </c>
      <c r="AS249" s="423" t="str">
        <f t="shared" si="355"/>
        <v/>
      </c>
      <c r="AT249" s="304" t="str">
        <f t="shared" si="356"/>
        <v/>
      </c>
      <c r="AU249" s="342" t="e">
        <f t="shared" si="357"/>
        <v>#N/A</v>
      </c>
      <c r="AV249" s="304" t="e">
        <f t="shared" si="358"/>
        <v>#N/A</v>
      </c>
      <c r="AX249" s="304">
        <f>IF(AND('General price list'!$J249="F4",'General price list'!$AB249+0&gt;0),1,0)</f>
        <v>0</v>
      </c>
      <c r="AY249" s="304">
        <f t="shared" si="359"/>
        <v>1</v>
      </c>
      <c r="AZ249" s="304">
        <f t="shared" si="360"/>
        <v>0</v>
      </c>
    </row>
    <row r="250" spans="1:52" ht="15" customHeight="1">
      <c r="A250" s="773" t="str">
        <f>Kat.!C250</f>
        <v xml:space="preserve">                                                               Škrtací petardy</v>
      </c>
      <c r="B250" s="774"/>
      <c r="C250" s="774"/>
      <c r="D250" s="774"/>
      <c r="E250" s="774"/>
      <c r="F250" s="774"/>
      <c r="G250" s="774"/>
      <c r="H250" s="774"/>
      <c r="I250" s="774"/>
      <c r="J250" s="774"/>
      <c r="K250" s="774"/>
      <c r="L250" s="774"/>
      <c r="M250" s="774"/>
      <c r="N250" s="774"/>
      <c r="O250" s="774"/>
      <c r="P250" s="774"/>
      <c r="Q250" s="774"/>
      <c r="R250" s="774"/>
      <c r="S250" s="774"/>
      <c r="T250" s="774"/>
      <c r="U250" s="774"/>
      <c r="V250" s="774"/>
      <c r="W250" s="774"/>
      <c r="X250" s="774"/>
      <c r="Y250" s="774"/>
      <c r="Z250" s="774"/>
      <c r="AA250" s="774" t="str">
        <f>IFERROR(IF(VLOOKUP(C250,[4]List1!$A:$D,4,FALSE)=0,"",VLOOKUP(C250,[4]List1!$A:$D,4,FALSE)),"")</f>
        <v/>
      </c>
      <c r="AB250" s="774"/>
      <c r="AC250" s="775" t="str">
        <f>IFERROR(IF(VLOOKUP(C250,[1]List1!$A:$D,2,FALSE)="VYPRODÁNO",$V$9,IF(VLOOKUP(C250,[1]List1!$A:$D,2,FALSE)="DOCHÁZÍ",$V$3,VLOOKUP(C250,[1]List1!$A:$D,2,FALSE))),"OFFLINE!")</f>
        <v>OFFLINE!</v>
      </c>
      <c r="AD250" s="774"/>
      <c r="AE250" s="774"/>
      <c r="AF250" s="774"/>
      <c r="AG250" s="774"/>
      <c r="AH250" s="774"/>
      <c r="AI250" s="774"/>
      <c r="AJ250" s="774"/>
      <c r="AK250" s="774"/>
      <c r="AL250" s="774"/>
      <c r="AM250" s="774"/>
      <c r="AN250" s="774"/>
      <c r="AO250" s="380"/>
      <c r="AP250" s="322" t="str">
        <f t="shared" si="353"/>
        <v/>
      </c>
      <c r="AQ250" s="323" t="str">
        <f>IF(AC250=$V$3,IF(VLOOKUP(C250,[1]List1!$A:$E,5,FALSE)=0,1,VLOOKUP(C250,[1]List1!$A:$E,5,FALSE)),"")</f>
        <v/>
      </c>
      <c r="AR250" s="304" t="str">
        <f t="shared" si="354"/>
        <v/>
      </c>
      <c r="AS250" s="423" t="str">
        <f t="shared" si="355"/>
        <v/>
      </c>
      <c r="AT250" s="304" t="str">
        <f t="shared" si="356"/>
        <v/>
      </c>
      <c r="AU250" s="342" t="e">
        <f t="shared" si="357"/>
        <v>#N/A</v>
      </c>
      <c r="AV250" s="304" t="e">
        <f t="shared" si="358"/>
        <v>#N/A</v>
      </c>
      <c r="AX250" s="304">
        <f>IF(AND('General price list'!$J250="F4",'General price list'!$AB250+0&gt;0),1,0)</f>
        <v>0</v>
      </c>
      <c r="AY250" s="304">
        <f t="shared" si="359"/>
        <v>0</v>
      </c>
      <c r="AZ250" s="304">
        <f t="shared" si="360"/>
        <v>0</v>
      </c>
    </row>
    <row r="251" spans="1:52" ht="15" customHeight="1">
      <c r="A251" s="725" t="str">
        <f>Kat.!C251</f>
        <v/>
      </c>
      <c r="B251" s="741">
        <f>IF(AND('General price list'!$J251="F4",$AI$1=FALSE),0,IF(AC251="SKLADEM",1,IF(AC251=$V$3,1,0)))</f>
        <v>1</v>
      </c>
      <c r="C251" s="727" t="s">
        <v>4468</v>
      </c>
      <c r="D251" s="728" t="s">
        <v>4469</v>
      </c>
      <c r="E251" s="729" t="s">
        <v>715</v>
      </c>
      <c r="F251" s="725">
        <f>IFERROR(ROUND(IF($AL$3=2,VLOOKUP(C251,[2]List1!$A:$D,2,FALSE)*1.08,VLOOKUP(C251,[2]List1!$A:$D,2,FALSE)),0),"NEUVEDENO!")</f>
        <v>71</v>
      </c>
      <c r="G251" s="730">
        <f t="shared" ref="G251:G254" si="471">(F251)*$B$19</f>
        <v>71</v>
      </c>
      <c r="H251" s="731">
        <f t="shared" ref="H251:H254" si="472">G251/$F$19</f>
        <v>2.8851350527654631</v>
      </c>
      <c r="I251" s="742">
        <v>50</v>
      </c>
      <c r="J251" s="729" t="s">
        <v>46</v>
      </c>
      <c r="K251" s="729"/>
      <c r="L251" s="729" t="s">
        <v>14365</v>
      </c>
      <c r="M251" s="729" t="s">
        <v>25</v>
      </c>
      <c r="N251" s="729">
        <f>IFERROR(VLOOKUP(C251,[3]List1!$A:$D,4,FALSE),"N/A!")</f>
        <v>2.935625E-2</v>
      </c>
      <c r="O251" s="729">
        <f>IFERROR(VLOOKUP(C251,[3]List1!$A:$D,3,FALSE),"N/A!")</f>
        <v>4250</v>
      </c>
      <c r="P251" s="729">
        <f>IFERROR(VLOOKUP(C251,[3]List1!$A:$D,2,FALSE),"N/A!")</f>
        <v>20000</v>
      </c>
      <c r="Q251" s="729" t="s">
        <v>166</v>
      </c>
      <c r="R251" s="729" t="s">
        <v>24</v>
      </c>
      <c r="S251" s="729"/>
      <c r="T251" s="729"/>
      <c r="U251" s="729" t="s">
        <v>24</v>
      </c>
      <c r="V251" s="729" t="s">
        <v>24</v>
      </c>
      <c r="W251" s="729" t="str">
        <f>IFERROR(VLOOKUP('General price list'!$C251,Popisy!A:P,MATCH($W$17,Popisy!$A$7:$P$7,0),FALSE),"---------------")</f>
        <v>škrtací petarda velká, síla výbuchu 110dB z 8m(černoprachová petarda)</v>
      </c>
      <c r="X251" s="729" t="str">
        <f t="shared" ref="X251:X254" si="473">IF(AB251&lt;0.0001,"",AB251)</f>
        <v/>
      </c>
      <c r="Y251" s="729" t="str">
        <f t="shared" ref="Y251:Y254" si="474">IF($AL$3=2,IF(OR(AB251&lt;&gt;"",AB251&lt;&gt;0),AU251,""),IF(C251="","",IF(AB251&lt;0.0001,"",IF(B251=0,"",IF(AQ251&lt;AB251,"",AB251)))))</f>
        <v/>
      </c>
      <c r="Z251" s="729" t="str">
        <f>HYPERLINK("https://www.klasekpyrotechnics.cz/k0203bp")</f>
        <v>https://www.klasekpyrotechnics.cz/k0203bp</v>
      </c>
      <c r="AA251" s="729">
        <f>IFERROR(IF(VLOOKUP(C251,[4]List1!$A:$D,4,FALSE)=0,"",VLOOKUP(C251,[4]List1!$A:$D,4,FALSE)),"")</f>
        <v>36</v>
      </c>
      <c r="AB251" s="720"/>
      <c r="AC251" s="743" t="str">
        <f>IFERROR(IF(VLOOKUP(C251,[1]List1!$A:$D,2,FALSE)="VYPRODÁNO",$V$9,IF(VLOOKUP(C251,[1]List1!$A:$D,2,FALSE)="DOCHÁZÍ",$V$3,VLOOKUP(C251,[1]List1!$A:$D,2,FALSE))),"OFFLINE!")</f>
        <v>DOCHÁZÍ</v>
      </c>
      <c r="AD251" s="744" t="str">
        <f ca="1">IF(AP251="NE",$V$10,IF(AC251=$V$3,IF(AQ251&lt;1,$V$8,$V$2&amp;" "&amp;AQ251&amp;" "&amp;$V$1),IF(AC251="SKLADEM",$V$6,IFERROR(IF(OR(AC251-TODAY()&gt;45,VLOOKUP(C251,[1]List1!$A:$E,4,FALSE)=0),AC251,DAY(AC251)&amp;"."&amp;MONTH(AC251)&amp;"."&amp;YEAR(AC251)&amp;" "&amp;$V$4&amp;VLOOKUP(C251,[1]List1!$A:$E,4,FALSE)&amp;" "&amp;$V$1),AC251))))</f>
        <v>POSLEDNÍCH 43 VK</v>
      </c>
      <c r="AE251" s="729" t="str">
        <f t="shared" ref="AE251:AE254" ca="1" si="475">IFERROR(IF(AV251&lt;&gt;"",AV251,AD251),AD251)</f>
        <v>POSLEDNÍCH 43 VK</v>
      </c>
      <c r="AF251" s="735">
        <f t="shared" ref="AF251:AF254" si="476">IFERROR(IF(AB251=Y251,G251*I251*Y251,0),0)</f>
        <v>0</v>
      </c>
      <c r="AG251" s="735">
        <f t="shared" ref="AG251:AG254" si="477">IF($W$17=$AF$8,AH251*1.23,AF251*1.21)</f>
        <v>0</v>
      </c>
      <c r="AH251" s="736">
        <f t="shared" ref="AH251:AH254" si="478">IFERROR(IF(Y251=AB251,H251*I251*Y251,0),0)</f>
        <v>0</v>
      </c>
      <c r="AI251" s="729">
        <f t="shared" ref="AI251:AI254" si="479">IFERROR(IF(Y251=AB251,(P251*Y251)/1000,1),0)</f>
        <v>0</v>
      </c>
      <c r="AJ251" s="729">
        <f t="shared" ref="AJ251:AJ254" si="480">IFERROR(IF(Y251=AB251,N251*Y251,0.1),0)</f>
        <v>0</v>
      </c>
      <c r="AK251" s="729" t="str">
        <f t="shared" ref="AK251:AK254" si="481">IFERROR(IF(Y251=AB251,IF(M251="1.1G",(O251/1000)*Y251,""),""),0)</f>
        <v/>
      </c>
      <c r="AL251" s="729" t="str">
        <f t="shared" ref="AL251:AL254" si="482">IFERROR(IF(Y251=AB251,IF(M251="1.3G",(O251/1000)*AB251,""),""),0)</f>
        <v/>
      </c>
      <c r="AM251" s="729">
        <f t="shared" ref="AM251:AM254" si="483">IFERROR(IF(Y251=AB251,IF(M251="1.4G",(O251/1000)*AB251,""),""),0)</f>
        <v>0</v>
      </c>
      <c r="AN251" s="729">
        <f t="shared" ref="AN251:AN254" si="484">SUM(AK251:AM251)</f>
        <v>0</v>
      </c>
      <c r="AO251" s="380"/>
      <c r="AP251" s="322" t="str">
        <f t="shared" si="353"/>
        <v/>
      </c>
      <c r="AQ251" s="323">
        <f>IF(AC251=$V$3,IF(VLOOKUP(C251,[1]List1!$A:$E,5,FALSE)=0,1,VLOOKUP(C251,[1]List1!$A:$E,5,FALSE)),"")</f>
        <v>43</v>
      </c>
      <c r="AR251" s="304" t="str">
        <f t="shared" si="354"/>
        <v/>
      </c>
      <c r="AS251" s="423" t="str">
        <f t="shared" si="355"/>
        <v/>
      </c>
      <c r="AT251" s="304" t="str">
        <f t="shared" si="356"/>
        <v/>
      </c>
      <c r="AU251" s="342" t="e">
        <f t="shared" si="357"/>
        <v>#N/A</v>
      </c>
      <c r="AV251" s="304" t="e">
        <f t="shared" si="358"/>
        <v>#N/A</v>
      </c>
      <c r="AX251" s="304">
        <f>IF(AND('General price list'!$J251="F4",'General price list'!$AB251+0&gt;0),1,0)</f>
        <v>0</v>
      </c>
      <c r="AY251" s="304">
        <f t="shared" si="359"/>
        <v>1</v>
      </c>
      <c r="AZ251" s="304">
        <f t="shared" si="360"/>
        <v>0</v>
      </c>
    </row>
    <row r="252" spans="1:52" ht="15" customHeight="1">
      <c r="A252" s="712" t="str">
        <f>Kat.!C252</f>
        <v/>
      </c>
      <c r="B252" s="745">
        <f>IF(AND('General price list'!$J252="F4",$AI$1=FALSE),0,IF(AC252="SKLADEM",1,IF(AC252=$V$3,1,0)))</f>
        <v>0</v>
      </c>
      <c r="C252" s="714" t="s">
        <v>14054</v>
      </c>
      <c r="D252" s="715" t="s">
        <v>14538</v>
      </c>
      <c r="E252" s="716" t="s">
        <v>738</v>
      </c>
      <c r="F252" s="712">
        <f>IFERROR(ROUND(IF($AL$3=2,VLOOKUP(C252,[2]List1!$A:$D,2,FALSE)*1.08,VLOOKUP(C252,[2]List1!$A:$D,2,FALSE)),0),"NEUVEDENO!")</f>
        <v>49</v>
      </c>
      <c r="G252" s="717">
        <f t="shared" si="471"/>
        <v>49</v>
      </c>
      <c r="H252" s="718">
        <f t="shared" si="472"/>
        <v>1.9911495434578548</v>
      </c>
      <c r="I252" s="746">
        <v>200</v>
      </c>
      <c r="J252" s="716" t="s">
        <v>257</v>
      </c>
      <c r="K252" s="716">
        <v>4</v>
      </c>
      <c r="L252" s="716"/>
      <c r="M252" s="716" t="s">
        <v>25</v>
      </c>
      <c r="N252" s="716">
        <f>IFERROR(VLOOKUP(C252,[3]List1!$A:$D,4,FALSE),"N/A!")</f>
        <v>2.3369999999999998E-2</v>
      </c>
      <c r="O252" s="716">
        <f>IFERROR(VLOOKUP(C252,[3]List1!$A:$D,3,FALSE),"N/A!")</f>
        <v>960</v>
      </c>
      <c r="P252" s="716">
        <f>IFERROR(VLOOKUP(C252,[3]List1!$A:$D,2,FALSE),"N/A!")</f>
        <v>10000</v>
      </c>
      <c r="Q252" s="716" t="s">
        <v>18</v>
      </c>
      <c r="R252" s="716"/>
      <c r="S252" s="716"/>
      <c r="T252" s="716"/>
      <c r="U252" s="716"/>
      <c r="V252" s="716"/>
      <c r="W252" s="716" t="str">
        <f>IFERROR(VLOOKUP('General price list'!$C252,Popisy!A:P,MATCH($W$17,Popisy!$A$7:$P$7,0),FALSE),"---------------")</f>
        <v>škrtací petarda ,síla výbuchu 120dB z 15m, vyrobeno v Evropě, plastová ucpávka</v>
      </c>
      <c r="X252" s="716" t="str">
        <f t="shared" si="473"/>
        <v/>
      </c>
      <c r="Y252" s="716" t="str">
        <f t="shared" si="474"/>
        <v/>
      </c>
      <c r="Z252" s="753" t="str">
        <f>HYPERLINK("https://www.klasekpyrotechnics.cz/p05dsp1")</f>
        <v>https://www.klasekpyrotechnics.cz/p05dsp1</v>
      </c>
      <c r="AA252" s="716" t="str">
        <f>IFERROR(IF(VLOOKUP(C252,[4]List1!$A:$D,4,FALSE)=0,"",VLOOKUP(C252,[4]List1!$A:$D,4,FALSE)),"")</f>
        <v/>
      </c>
      <c r="AB252" s="720"/>
      <c r="AC252" s="747" t="str">
        <f>IFERROR(IF(VLOOKUP(C252,[1]List1!$A:$D,2,FALSE)="VYPRODÁNO",$V$9,IF(VLOOKUP(C252,[1]List1!$A:$D,2,FALSE)="DOCHÁZÍ",$V$3,VLOOKUP(C252,[1]List1!$A:$D,2,FALSE))),"OFFLINE!")</f>
        <v>30.06.2024</v>
      </c>
      <c r="AD252" s="748" t="str">
        <f ca="1">IF(AP252="NE",$V$10,IF(AC252=$V$3,IF(AQ252&lt;1,$V$8,$V$2&amp;" "&amp;AQ252&amp;" "&amp;$V$1),IF(AC252="SKLADEM",$V$6,IFERROR(IF(OR(AC252-TODAY()&gt;45,VLOOKUP(C252,[1]List1!$A:$E,4,FALSE)=0),AC252,DAY(AC252)&amp;"."&amp;MONTH(AC252)&amp;"."&amp;YEAR(AC252)&amp;" "&amp;$V$4&amp;VLOOKUP(C252,[1]List1!$A:$E,4,FALSE)&amp;" "&amp;$V$1),AC252))))</f>
        <v>30.06.2024</v>
      </c>
      <c r="AE252" s="716" t="str">
        <f t="shared" ca="1" si="475"/>
        <v>30.06.2024</v>
      </c>
      <c r="AF252" s="723">
        <f t="shared" si="476"/>
        <v>0</v>
      </c>
      <c r="AG252" s="723">
        <f t="shared" si="477"/>
        <v>0</v>
      </c>
      <c r="AH252" s="724">
        <f t="shared" si="478"/>
        <v>0</v>
      </c>
      <c r="AI252" s="716">
        <f t="shared" si="479"/>
        <v>0</v>
      </c>
      <c r="AJ252" s="716">
        <f t="shared" si="480"/>
        <v>0</v>
      </c>
      <c r="AK252" s="716" t="str">
        <f t="shared" si="481"/>
        <v/>
      </c>
      <c r="AL252" s="716" t="str">
        <f t="shared" si="482"/>
        <v/>
      </c>
      <c r="AM252" s="716">
        <f t="shared" si="483"/>
        <v>0</v>
      </c>
      <c r="AN252" s="716">
        <f t="shared" si="484"/>
        <v>0</v>
      </c>
      <c r="AO252" s="380"/>
      <c r="AP252" s="322" t="str">
        <f t="shared" si="353"/>
        <v/>
      </c>
      <c r="AQ252" s="323" t="str">
        <f>IF(AC252=$V$3,IF(VLOOKUP(C252,[1]List1!$A:$E,5,FALSE)=0,1,VLOOKUP(C252,[1]List1!$A:$E,5,FALSE)),"")</f>
        <v/>
      </c>
      <c r="AR252" s="304" t="str">
        <f t="shared" si="354"/>
        <v/>
      </c>
      <c r="AS252" s="423" t="str">
        <f t="shared" si="355"/>
        <v/>
      </c>
      <c r="AT252" s="304" t="str">
        <f t="shared" si="356"/>
        <v/>
      </c>
      <c r="AU252" s="342" t="e">
        <f t="shared" si="357"/>
        <v>#N/A</v>
      </c>
      <c r="AV252" s="304" t="e">
        <f t="shared" si="358"/>
        <v>#N/A</v>
      </c>
      <c r="AX252" s="304">
        <f>IF(AND('General price list'!$J252="F4",'General price list'!$AB252+0&gt;0),1,0)</f>
        <v>0</v>
      </c>
      <c r="AY252" s="304">
        <f t="shared" si="359"/>
        <v>1</v>
      </c>
      <c r="AZ252" s="304">
        <f t="shared" si="360"/>
        <v>0</v>
      </c>
    </row>
    <row r="253" spans="1:52" ht="15" customHeight="1">
      <c r="A253" s="725" t="str">
        <f>Kat.!C253</f>
        <v/>
      </c>
      <c r="B253" s="749">
        <f>IF(AND('General price list'!$J253="F4",$AI$1=FALSE),0,IF(AC253="SKLADEM",1,IF(AC253=$V$3,1,0)))</f>
        <v>0</v>
      </c>
      <c r="C253" s="727" t="s">
        <v>14055</v>
      </c>
      <c r="D253" s="728" t="s">
        <v>14539</v>
      </c>
      <c r="E253" s="729" t="s">
        <v>203</v>
      </c>
      <c r="F253" s="725">
        <f>IFERROR(ROUND(IF($AL$3=2,VLOOKUP(C253,[2]List1!$A:$D,2,FALSE)*1.08,VLOOKUP(C253,[2]List1!$A:$D,2,FALSE)),0),"NEUVEDENO!")</f>
        <v>86</v>
      </c>
      <c r="G253" s="730">
        <f t="shared" si="471"/>
        <v>86</v>
      </c>
      <c r="H253" s="731">
        <f t="shared" si="472"/>
        <v>3.4946706272933779</v>
      </c>
      <c r="I253" s="750">
        <v>100</v>
      </c>
      <c r="J253" s="729" t="s">
        <v>257</v>
      </c>
      <c r="K253" s="729">
        <v>4</v>
      </c>
      <c r="L253" s="729"/>
      <c r="M253" s="729" t="s">
        <v>138</v>
      </c>
      <c r="N253" s="729">
        <f>IFERROR(VLOOKUP(C253,[3]List1!$A:$D,4,FALSE),"N/A!")</f>
        <v>2.1599999999999998E-2</v>
      </c>
      <c r="O253" s="729">
        <f>IFERROR(VLOOKUP(C253,[3]List1!$A:$D,3,FALSE),"N/A!")</f>
        <v>1320</v>
      </c>
      <c r="P253" s="729">
        <f>IFERROR(VLOOKUP(C253,[3]List1!$A:$D,2,FALSE),"N/A!")</f>
        <v>10300</v>
      </c>
      <c r="Q253" s="729" t="s">
        <v>18</v>
      </c>
      <c r="R253" s="729"/>
      <c r="S253" s="729"/>
      <c r="T253" s="729"/>
      <c r="U253" s="729"/>
      <c r="V253" s="729"/>
      <c r="W253" s="729" t="str">
        <f>IFERROR(VLOOKUP('General price list'!$C253,Popisy!A:P,MATCH($W$17,Popisy!$A$7:$P$7,0),FALSE),"---------------")</f>
        <v>síla výbuchu 120dB z 15m, vyrobeno v Evropě, plastová ucpávka</v>
      </c>
      <c r="X253" s="729" t="str">
        <f t="shared" si="473"/>
        <v/>
      </c>
      <c r="Y253" s="729" t="str">
        <f t="shared" si="474"/>
        <v/>
      </c>
      <c r="Z253" s="754" t="str">
        <f>HYPERLINK("https://www.klasekpyrotechnics.cz/p066d20p1")</f>
        <v>https://www.klasekpyrotechnics.cz/p066d20p1</v>
      </c>
      <c r="AA253" s="729" t="str">
        <f>IFERROR(IF(VLOOKUP(C253,[4]List1!$A:$D,4,FALSE)=0,"",VLOOKUP(C253,[4]List1!$A:$D,4,FALSE)),"")</f>
        <v/>
      </c>
      <c r="AB253" s="720"/>
      <c r="AC253" s="751" t="str">
        <f>IFERROR(IF(VLOOKUP(C253,[1]List1!$A:$D,2,FALSE)="VYPRODÁNO",$V$9,IF(VLOOKUP(C253,[1]List1!$A:$D,2,FALSE)="DOCHÁZÍ",$V$3,VLOOKUP(C253,[1]List1!$A:$D,2,FALSE))),"OFFLINE!")</f>
        <v>30.06.2024</v>
      </c>
      <c r="AD253" s="752" t="str">
        <f ca="1">IF(AP253="NE",$V$10,IF(AC253=$V$3,IF(AQ253&lt;1,$V$8,$V$2&amp;" "&amp;AQ253&amp;" "&amp;$V$1),IF(AC253="SKLADEM",$V$6,IFERROR(IF(OR(AC253-TODAY()&gt;45,VLOOKUP(C253,[1]List1!$A:$E,4,FALSE)=0),AC253,DAY(AC253)&amp;"."&amp;MONTH(AC253)&amp;"."&amp;YEAR(AC253)&amp;" "&amp;$V$4&amp;VLOOKUP(C253,[1]List1!$A:$E,4,FALSE)&amp;" "&amp;$V$1),AC253))))</f>
        <v>30.06.2024</v>
      </c>
      <c r="AE253" s="729" t="str">
        <f t="shared" ca="1" si="475"/>
        <v>30.06.2024</v>
      </c>
      <c r="AF253" s="735">
        <f t="shared" si="476"/>
        <v>0</v>
      </c>
      <c r="AG253" s="735">
        <f t="shared" si="477"/>
        <v>0</v>
      </c>
      <c r="AH253" s="736">
        <f t="shared" si="478"/>
        <v>0</v>
      </c>
      <c r="AI253" s="729">
        <f t="shared" si="479"/>
        <v>0</v>
      </c>
      <c r="AJ253" s="729">
        <f t="shared" si="480"/>
        <v>0</v>
      </c>
      <c r="AK253" s="729" t="str">
        <f t="shared" si="481"/>
        <v/>
      </c>
      <c r="AL253" s="729">
        <f t="shared" si="482"/>
        <v>0</v>
      </c>
      <c r="AM253" s="729" t="str">
        <f t="shared" si="483"/>
        <v/>
      </c>
      <c r="AN253" s="729">
        <f t="shared" si="484"/>
        <v>0</v>
      </c>
      <c r="AO253" s="380"/>
      <c r="AP253" s="322" t="str">
        <f t="shared" si="353"/>
        <v/>
      </c>
      <c r="AQ253" s="323" t="str">
        <f>IF(AC253=$V$3,IF(VLOOKUP(C253,[1]List1!$A:$E,5,FALSE)=0,1,VLOOKUP(C253,[1]List1!$A:$E,5,FALSE)),"")</f>
        <v/>
      </c>
      <c r="AR253" s="304" t="str">
        <f t="shared" si="354"/>
        <v/>
      </c>
      <c r="AS253" s="423" t="str">
        <f t="shared" si="355"/>
        <v/>
      </c>
      <c r="AT253" s="304" t="str">
        <f t="shared" si="356"/>
        <v/>
      </c>
      <c r="AU253" s="342" t="e">
        <f t="shared" si="357"/>
        <v>#N/A</v>
      </c>
      <c r="AV253" s="304" t="e">
        <f t="shared" si="358"/>
        <v>#N/A</v>
      </c>
      <c r="AX253" s="304">
        <f>IF(AND('General price list'!$J253="F4",'General price list'!$AB253+0&gt;0),1,0)</f>
        <v>0</v>
      </c>
      <c r="AY253" s="304">
        <f t="shared" si="359"/>
        <v>1</v>
      </c>
      <c r="AZ253" s="304">
        <f t="shared" si="360"/>
        <v>0</v>
      </c>
    </row>
    <row r="254" spans="1:52" ht="15" customHeight="1">
      <c r="A254" s="712" t="str">
        <f>Kat.!C254</f>
        <v/>
      </c>
      <c r="B254" s="745">
        <f>IF(AND('General price list'!$J254="F4",$AI$1=FALSE),0,IF(AC254="SKLADEM",1,IF(AC254=$V$3,1,0)))</f>
        <v>0</v>
      </c>
      <c r="C254" s="714" t="s">
        <v>14056</v>
      </c>
      <c r="D254" s="715" t="s">
        <v>14540</v>
      </c>
      <c r="E254" s="716" t="s">
        <v>203</v>
      </c>
      <c r="F254" s="712">
        <f>IFERROR(ROUND(IF($AL$3=2,VLOOKUP(C254,[2]List1!$A:$D,2,FALSE)*1.08,VLOOKUP(C254,[2]List1!$A:$D,2,FALSE)),0),"NEUVEDENO!")</f>
        <v>99</v>
      </c>
      <c r="G254" s="717">
        <f t="shared" si="471"/>
        <v>99</v>
      </c>
      <c r="H254" s="718">
        <f t="shared" si="472"/>
        <v>4.0229347918842375</v>
      </c>
      <c r="I254" s="746">
        <v>100</v>
      </c>
      <c r="J254" s="716" t="s">
        <v>257</v>
      </c>
      <c r="K254" s="716">
        <v>4</v>
      </c>
      <c r="L254" s="716"/>
      <c r="M254" s="716" t="s">
        <v>25</v>
      </c>
      <c r="N254" s="716">
        <f>IFERROR(VLOOKUP(C254,[3]List1!$A:$D,4,FALSE),"N/A!")</f>
        <v>3.550325E-2</v>
      </c>
      <c r="O254" s="716">
        <f>IFERROR(VLOOKUP(C254,[3]List1!$A:$D,3,FALSE),"N/A!")</f>
        <v>2000</v>
      </c>
      <c r="P254" s="716">
        <f>IFERROR(VLOOKUP(C254,[3]List1!$A:$D,2,FALSE),"N/A!")</f>
        <v>13500</v>
      </c>
      <c r="Q254" s="716" t="s">
        <v>640</v>
      </c>
      <c r="R254" s="716"/>
      <c r="S254" s="716"/>
      <c r="T254" s="716"/>
      <c r="U254" s="716"/>
      <c r="V254" s="716"/>
      <c r="W254" s="716" t="str">
        <f>IFERROR(VLOOKUP('General price list'!$C254,Popisy!A:P,MATCH($W$17,Popisy!$A$7:$P$7,0),FALSE),"---------------")</f>
        <v>škrtací petarda ,síla výbuchu 120dB z 15m, vyrobeno v Evropě, plastová ucpávka</v>
      </c>
      <c r="X254" s="716" t="str">
        <f t="shared" si="473"/>
        <v/>
      </c>
      <c r="Y254" s="716" t="str">
        <f t="shared" si="474"/>
        <v/>
      </c>
      <c r="Z254" s="753" t="str">
        <f>HYPERLINK("https://www.klasekpyrotechnics.cz/p10d20sp1")</f>
        <v>https://www.klasekpyrotechnics.cz/p10d20sp1</v>
      </c>
      <c r="AA254" s="716" t="str">
        <f>IFERROR(IF(VLOOKUP(C254,[4]List1!$A:$D,4,FALSE)=0,"",VLOOKUP(C254,[4]List1!$A:$D,4,FALSE)),"")</f>
        <v/>
      </c>
      <c r="AB254" s="720"/>
      <c r="AC254" s="747" t="str">
        <f>IFERROR(IF(VLOOKUP(C254,[1]List1!$A:$D,2,FALSE)="VYPRODÁNO",$V$9,IF(VLOOKUP(C254,[1]List1!$A:$D,2,FALSE)="DOCHÁZÍ",$V$3,VLOOKUP(C254,[1]List1!$A:$D,2,FALSE))),"OFFLINE!")</f>
        <v>30.06.2024</v>
      </c>
      <c r="AD254" s="748" t="str">
        <f ca="1">IF(AP254="NE",$V$10,IF(AC254=$V$3,IF(AQ254&lt;1,$V$8,$V$2&amp;" "&amp;AQ254&amp;" "&amp;$V$1),IF(AC254="SKLADEM",$V$6,IFERROR(IF(OR(AC254-TODAY()&gt;45,VLOOKUP(C254,[1]List1!$A:$E,4,FALSE)=0),AC254,DAY(AC254)&amp;"."&amp;MONTH(AC254)&amp;"."&amp;YEAR(AC254)&amp;" "&amp;$V$4&amp;VLOOKUP(C254,[1]List1!$A:$E,4,FALSE)&amp;" "&amp;$V$1),AC254))))</f>
        <v>30.06.2024</v>
      </c>
      <c r="AE254" s="716" t="str">
        <f t="shared" ca="1" si="475"/>
        <v>30.06.2024</v>
      </c>
      <c r="AF254" s="723">
        <f t="shared" si="476"/>
        <v>0</v>
      </c>
      <c r="AG254" s="723">
        <f t="shared" si="477"/>
        <v>0</v>
      </c>
      <c r="AH254" s="724">
        <f t="shared" si="478"/>
        <v>0</v>
      </c>
      <c r="AI254" s="716">
        <f t="shared" si="479"/>
        <v>0</v>
      </c>
      <c r="AJ254" s="716">
        <f t="shared" si="480"/>
        <v>0</v>
      </c>
      <c r="AK254" s="716" t="str">
        <f t="shared" si="481"/>
        <v/>
      </c>
      <c r="AL254" s="716" t="str">
        <f t="shared" si="482"/>
        <v/>
      </c>
      <c r="AM254" s="716">
        <f t="shared" si="483"/>
        <v>0</v>
      </c>
      <c r="AN254" s="716">
        <f t="shared" si="484"/>
        <v>0</v>
      </c>
      <c r="AO254" s="380"/>
      <c r="AP254" s="322" t="str">
        <f t="shared" si="353"/>
        <v/>
      </c>
      <c r="AQ254" s="323" t="str">
        <f>IF(AC254=$V$3,IF(VLOOKUP(C254,[1]List1!$A:$E,5,FALSE)=0,1,VLOOKUP(C254,[1]List1!$A:$E,5,FALSE)),"")</f>
        <v/>
      </c>
      <c r="AR254" s="304" t="str">
        <f t="shared" si="354"/>
        <v/>
      </c>
      <c r="AS254" s="423" t="str">
        <f t="shared" si="355"/>
        <v/>
      </c>
      <c r="AT254" s="304" t="str">
        <f t="shared" si="356"/>
        <v/>
      </c>
      <c r="AU254" s="342" t="e">
        <f t="shared" si="357"/>
        <v>#N/A</v>
      </c>
      <c r="AV254" s="304" t="e">
        <f t="shared" si="358"/>
        <v>#N/A</v>
      </c>
      <c r="AX254" s="304">
        <f>IF(AND('General price list'!$J254="F4",'General price list'!$AB254+0&gt;0),1,0)</f>
        <v>0</v>
      </c>
      <c r="AY254" s="304">
        <f t="shared" si="359"/>
        <v>1</v>
      </c>
      <c r="AZ254" s="304">
        <f t="shared" si="360"/>
        <v>0</v>
      </c>
    </row>
    <row r="255" spans="1:52" ht="15" customHeight="1">
      <c r="A255" s="773" t="str">
        <f>Kat.!C255</f>
        <v xml:space="preserve">                                                               Petardy se zápalnou šňůrou F2</v>
      </c>
      <c r="B255" s="774"/>
      <c r="C255" s="774"/>
      <c r="D255" s="774"/>
      <c r="E255" s="774"/>
      <c r="F255" s="774"/>
      <c r="G255" s="774"/>
      <c r="H255" s="774"/>
      <c r="I255" s="774"/>
      <c r="J255" s="774"/>
      <c r="K255" s="774"/>
      <c r="L255" s="774"/>
      <c r="M255" s="774"/>
      <c r="N255" s="774"/>
      <c r="O255" s="774"/>
      <c r="P255" s="774"/>
      <c r="Q255" s="774"/>
      <c r="R255" s="774"/>
      <c r="S255" s="774"/>
      <c r="T255" s="774"/>
      <c r="U255" s="774"/>
      <c r="V255" s="774"/>
      <c r="W255" s="774"/>
      <c r="X255" s="774"/>
      <c r="Y255" s="774"/>
      <c r="Z255" s="774"/>
      <c r="AA255" s="774" t="str">
        <f>IFERROR(IF(VLOOKUP(C255,[4]List1!$A:$D,4,FALSE)=0,"",VLOOKUP(C255,[4]List1!$A:$D,4,FALSE)),"")</f>
        <v/>
      </c>
      <c r="AB255" s="774"/>
      <c r="AC255" s="775"/>
      <c r="AD255" s="774"/>
      <c r="AE255" s="774"/>
      <c r="AF255" s="774"/>
      <c r="AG255" s="774"/>
      <c r="AH255" s="774"/>
      <c r="AI255" s="774"/>
      <c r="AJ255" s="774"/>
      <c r="AK255" s="774"/>
      <c r="AL255" s="774"/>
      <c r="AM255" s="774"/>
      <c r="AN255" s="774"/>
      <c r="AO255" s="380"/>
      <c r="AP255" s="322" t="str">
        <f t="shared" ref="AP255" si="485">IF($AL$3=1,IF(Y255=AB255,"","NE"),IF(AR255=$V$10,"NE",""))</f>
        <v/>
      </c>
      <c r="AQ255" s="323" t="str">
        <f>IF(AC255=$V$3,IF(VLOOKUP(C255,[1]List1!$A:$E,5,FALSE)=0,1,VLOOKUP(C255,[1]List1!$A:$E,5,FALSE)),"")</f>
        <v/>
      </c>
      <c r="AR255" s="304" t="str">
        <f t="shared" ref="AR255" si="486">IF($AL$3=1,"",IF(OR(AB255&lt;&gt;"",AB255&lt;&gt;0),IF(OR(AC255=$V$6,AC255=$V$3,AC255=$V$9),$V$10,""),""))</f>
        <v/>
      </c>
      <c r="AS255" s="423" t="str">
        <f t="shared" ref="AS255" si="487">IF(AT255&lt;&gt;"","X","")</f>
        <v/>
      </c>
      <c r="AT255" s="304" t="str">
        <f t="shared" ref="AT255" si="488">IF(AND($AL$3=2,AR255="",AB255&lt;&gt;""),AD255,"")</f>
        <v/>
      </c>
      <c r="AU255" s="342" t="e">
        <f t="shared" ref="AU255" si="489">IF(AT255=$AS$21,AB255,"")</f>
        <v>#N/A</v>
      </c>
      <c r="AV255" s="304" t="e">
        <f t="shared" ref="AV255" si="490">IF(OR(AB255="",AND(AT255&lt;&gt;"",AU255&lt;&gt;"")),"",$V$10)</f>
        <v>#N/A</v>
      </c>
      <c r="AX255" s="304">
        <f>IF(AND('General price list'!$J255="F4",'General price list'!$AB255+0&gt;0),1,0)</f>
        <v>0</v>
      </c>
      <c r="AY255" s="304">
        <f t="shared" ref="AY255" si="491">IFERROR(FIND(VLOOKUP($AC$7,$AD$1:$AE$12,2,FALSE),Q255,1),0)</f>
        <v>0</v>
      </c>
      <c r="AZ255" s="304">
        <f t="shared" ref="AZ255" si="492">IFERROR(FIND(VLOOKUP($AC$7,$AD$1:$AE$12,2,FALSE),R255,1),0)</f>
        <v>0</v>
      </c>
    </row>
    <row r="256" spans="1:52" ht="15" customHeight="1">
      <c r="A256" s="712" t="str">
        <f>Kat.!C256</f>
        <v/>
      </c>
      <c r="B256" s="713">
        <f>IF(AND('General price list'!$J256="F4",$AI$1=FALSE),0,IF(AC256="SKLADEM",1,IF(AC256=$V$3,1,0)))</f>
        <v>1</v>
      </c>
      <c r="C256" s="714" t="s">
        <v>723</v>
      </c>
      <c r="D256" s="715" t="s">
        <v>724</v>
      </c>
      <c r="E256" s="716" t="s">
        <v>719</v>
      </c>
      <c r="F256" s="712">
        <f>IFERROR(ROUND(IF($AL$3=2,VLOOKUP(C256,[2]List1!$A:$D,2,FALSE)*1.08,VLOOKUP(C256,[2]List1!$A:$D,2,FALSE)),0),"NEUVEDENO!")</f>
        <v>468</v>
      </c>
      <c r="G256" s="717">
        <f t="shared" ref="G256:G263" si="493">(F256)*$B$19</f>
        <v>468</v>
      </c>
      <c r="H256" s="718">
        <f t="shared" ref="H256:H263" si="494">G256/$F$19</f>
        <v>19.017509925270939</v>
      </c>
      <c r="I256" s="719">
        <v>6</v>
      </c>
      <c r="J256" s="716" t="s">
        <v>46</v>
      </c>
      <c r="K256" s="716" t="s">
        <v>12734</v>
      </c>
      <c r="L256" s="716" t="s">
        <v>24</v>
      </c>
      <c r="M256" s="716" t="s">
        <v>25</v>
      </c>
      <c r="N256" s="716">
        <f>IFERROR(VLOOKUP(C256,[3]List1!$A:$D,4,FALSE),"N/A!")</f>
        <v>3.7562400000000003E-2</v>
      </c>
      <c r="O256" s="716">
        <f>IFERROR(VLOOKUP(C256,[3]List1!$A:$D,3,FALSE),"N/A!")</f>
        <v>3110.3999999999996</v>
      </c>
      <c r="P256" s="716">
        <f>IFERROR(VLOOKUP(C256,[3]List1!$A:$D,2,FALSE),"N/A!")</f>
        <v>12200</v>
      </c>
      <c r="Q256" s="716" t="s">
        <v>14121</v>
      </c>
      <c r="R256" s="716" t="s">
        <v>2787</v>
      </c>
      <c r="S256" s="716"/>
      <c r="T256" s="716"/>
      <c r="U256" s="716"/>
      <c r="V256" s="716"/>
      <c r="W256" s="716" t="str">
        <f>IFERROR(VLOOKUP('General price list'!$C256,Popisy!A:P,MATCH($W$17,Popisy!$A$7:$P$7,0),FALSE),"---------------")</f>
        <v>síla výbuchu 114dB z 8m</v>
      </c>
      <c r="X256" s="716" t="str">
        <f t="shared" ref="X256:X263" si="495">IF(AB256&lt;0.0001,"",AB256)</f>
        <v/>
      </c>
      <c r="Y256" s="716" t="str">
        <f t="shared" ref="Y256:Y263" si="496">IF($AL$3=2,IF(OR(AB256&lt;&gt;"",AB256&lt;&gt;0),AU256,""),IF(C256="","",IF(AB256&lt;0.0001,"",IF(B256=0,"",IF(AQ256&lt;AB256,"",AB256)))))</f>
        <v/>
      </c>
      <c r="Z256" s="716" t="str">
        <f>HYPERLINK("https://www.klasekpyrotechnics.cz/p1d")</f>
        <v>https://www.klasekpyrotechnics.cz/p1d</v>
      </c>
      <c r="AA256" s="716">
        <f>IFERROR(IF(VLOOKUP(C256,[4]List1!$A:$D,4,FALSE)=0,"",VLOOKUP(C256,[4]List1!$A:$D,4,FALSE)),"")</f>
        <v>42</v>
      </c>
      <c r="AB256" s="720"/>
      <c r="AC256" s="721" t="str">
        <f>IFERROR(IF(VLOOKUP(C256,[1]List1!$A:$D,2,FALSE)="VYPRODÁNO",$V$9,IF(VLOOKUP(C256,[1]List1!$A:$D,2,FALSE)="DOCHÁZÍ",$V$3,VLOOKUP(C256,[1]List1!$A:$D,2,FALSE))),"OFFLINE!")</f>
        <v>SKLADEM</v>
      </c>
      <c r="AD256" s="722" t="str">
        <f ca="1">IF(AP256="NE",$V$10,IF(AC256=$V$3,IF(AQ256&lt;1,$V$8,$V$2&amp;" "&amp;AQ256&amp;" "&amp;$V$1),IF(AC256="SKLADEM",$V$6,IFERROR(IF(OR(AC256-TODAY()&gt;45,VLOOKUP(C256,[1]List1!$A:$E,4,FALSE)=0),AC256,DAY(AC256)&amp;"."&amp;MONTH(AC256)&amp;"."&amp;YEAR(AC256)&amp;" "&amp;$V$4&amp;VLOOKUP(C256,[1]List1!$A:$E,4,FALSE)&amp;" "&amp;$V$1),AC256))))</f>
        <v>SKLADEM</v>
      </c>
      <c r="AE256" s="716" t="str">
        <f t="shared" ref="AE256:AE263" ca="1" si="497">IFERROR(IF(AV256&lt;&gt;"",AV256,AD256),AD256)</f>
        <v>SKLADEM</v>
      </c>
      <c r="AF256" s="723">
        <f t="shared" ref="AF256:AF263" si="498">IFERROR(IF(AB256=Y256,G256*I256*Y256,0),0)</f>
        <v>0</v>
      </c>
      <c r="AG256" s="723">
        <f t="shared" ref="AG256:AG263" si="499">IF($W$17=$AF$8,AH256*1.23,AF256*1.21)</f>
        <v>0</v>
      </c>
      <c r="AH256" s="724">
        <f t="shared" ref="AH256:AH263" si="500">IFERROR(IF(Y256=AB256,H256*I256*Y256,0),0)</f>
        <v>0</v>
      </c>
      <c r="AI256" s="716">
        <f t="shared" ref="AI256:AI263" si="501">IFERROR(IF(Y256=AB256,(P256*Y256)/1000,1),0)</f>
        <v>0</v>
      </c>
      <c r="AJ256" s="716">
        <f t="shared" ref="AJ256:AJ263" si="502">IFERROR(IF(Y256=AB256,N256*Y256,0.1),0)</f>
        <v>0</v>
      </c>
      <c r="AK256" s="716" t="str">
        <f t="shared" ref="AK256:AK263" si="503">IFERROR(IF(Y256=AB256,IF(M256="1.1G",(O256/1000)*Y256,""),""),0)</f>
        <v/>
      </c>
      <c r="AL256" s="716" t="str">
        <f t="shared" ref="AL256:AL263" si="504">IFERROR(IF(Y256=AB256,IF(M256="1.3G",(O256/1000)*AB256,""),""),0)</f>
        <v/>
      </c>
      <c r="AM256" s="716">
        <f t="shared" ref="AM256:AM263" si="505">IFERROR(IF(Y256=AB256,IF(M256="1.4G",(O256/1000)*AB256,""),""),0)</f>
        <v>0</v>
      </c>
      <c r="AN256" s="716">
        <f t="shared" ref="AN256:AN263" si="506">SUM(AK256:AM256)</f>
        <v>0</v>
      </c>
      <c r="AO256" s="380"/>
      <c r="AP256" s="322" t="str">
        <f t="shared" si="353"/>
        <v/>
      </c>
      <c r="AQ256" s="323" t="str">
        <f>IF(AC256=$V$3,IF(VLOOKUP(C256,[1]List1!$A:$E,5,FALSE)=0,1,VLOOKUP(C256,[1]List1!$A:$E,5,FALSE)),"")</f>
        <v/>
      </c>
      <c r="AR256" s="304" t="str">
        <f t="shared" si="354"/>
        <v/>
      </c>
      <c r="AS256" s="423" t="str">
        <f t="shared" si="355"/>
        <v/>
      </c>
      <c r="AT256" s="304" t="str">
        <f t="shared" si="356"/>
        <v/>
      </c>
      <c r="AU256" s="342" t="e">
        <f t="shared" si="357"/>
        <v>#N/A</v>
      </c>
      <c r="AV256" s="304" t="e">
        <f t="shared" si="358"/>
        <v>#N/A</v>
      </c>
      <c r="AX256" s="304">
        <f>IF(AND('General price list'!$J256="F4",'General price list'!$AB256+0&gt;0),1,0)</f>
        <v>0</v>
      </c>
      <c r="AY256" s="304">
        <f t="shared" si="359"/>
        <v>1</v>
      </c>
      <c r="AZ256" s="304">
        <f t="shared" si="360"/>
        <v>1</v>
      </c>
    </row>
    <row r="257" spans="1:52" ht="15" customHeight="1">
      <c r="A257" s="725" t="str">
        <f>Kat.!C257</f>
        <v/>
      </c>
      <c r="B257" s="726">
        <f>IF(AND('General price list'!$J257="F4",$AI$1=FALSE),0,IF(AC257="SKLADEM",1,IF(AC257=$V$3,1,0)))</f>
        <v>1</v>
      </c>
      <c r="C257" s="727" t="s">
        <v>725</v>
      </c>
      <c r="D257" s="728" t="s">
        <v>726</v>
      </c>
      <c r="E257" s="729" t="s">
        <v>727</v>
      </c>
      <c r="F257" s="725">
        <f>IFERROR(ROUND(IF($AL$3=2,VLOOKUP(C257,[2]List1!$A:$D,2,FALSE)*1.08,VLOOKUP(C257,[2]List1!$A:$D,2,FALSE)),0),"NEUVEDENO!")</f>
        <v>645</v>
      </c>
      <c r="G257" s="730">
        <f t="shared" si="493"/>
        <v>645</v>
      </c>
      <c r="H257" s="731">
        <f t="shared" si="494"/>
        <v>26.210029704700332</v>
      </c>
      <c r="I257" s="732">
        <v>6</v>
      </c>
      <c r="J257" s="729" t="s">
        <v>46</v>
      </c>
      <c r="K257" s="729"/>
      <c r="L257" s="729" t="s">
        <v>24</v>
      </c>
      <c r="M257" s="729" t="s">
        <v>25</v>
      </c>
      <c r="N257" s="729">
        <f>IFERROR(VLOOKUP(C257,[3]List1!$A:$D,4,FALSE),"N/A!")</f>
        <v>5.2339199999999989E-2</v>
      </c>
      <c r="O257" s="729">
        <f>IFERROR(VLOOKUP(C257,[3]List1!$A:$D,3,FALSE),"N/A!")</f>
        <v>2835</v>
      </c>
      <c r="P257" s="729">
        <f>IFERROR(VLOOKUP(C257,[3]List1!$A:$D,2,FALSE),"N/A!")</f>
        <v>20800</v>
      </c>
      <c r="Q257" s="729" t="s">
        <v>14122</v>
      </c>
      <c r="R257" s="729" t="s">
        <v>217</v>
      </c>
      <c r="S257" s="729"/>
      <c r="T257" s="729"/>
      <c r="U257" s="729"/>
      <c r="V257" s="729"/>
      <c r="W257" s="729" t="str">
        <f>IFERROR(VLOOKUP('General price list'!$C257,Popisy!A:P,MATCH($W$17,Popisy!$A$7:$P$7,0),FALSE),"---------------")</f>
        <v>síla výbuchu 117dB z 8m</v>
      </c>
      <c r="X257" s="729" t="str">
        <f t="shared" si="495"/>
        <v/>
      </c>
      <c r="Y257" s="729" t="str">
        <f t="shared" si="496"/>
        <v/>
      </c>
      <c r="Z257" s="729" t="str">
        <f>HYPERLINK("https://www.klasekpyrotechnics.cz/p2d")</f>
        <v>https://www.klasekpyrotechnics.cz/p2d</v>
      </c>
      <c r="AA257" s="729">
        <f>IFERROR(IF(VLOOKUP(C257,[4]List1!$A:$D,4,FALSE)=0,"",VLOOKUP(C257,[4]List1!$A:$D,4,FALSE)),"")</f>
        <v>24</v>
      </c>
      <c r="AB257" s="720"/>
      <c r="AC257" s="733" t="str">
        <f>IFERROR(IF(VLOOKUP(C257,[1]List1!$A:$D,2,FALSE)="VYPRODÁNO",$V$9,IF(VLOOKUP(C257,[1]List1!$A:$D,2,FALSE)="DOCHÁZÍ",$V$3,VLOOKUP(C257,[1]List1!$A:$D,2,FALSE))),"OFFLINE!")</f>
        <v>SKLADEM</v>
      </c>
      <c r="AD257" s="734" t="str">
        <f ca="1">IF(AP257="NE",$V$10,IF(AC257=$V$3,IF(AQ257&lt;1,$V$8,$V$2&amp;" "&amp;AQ257&amp;" "&amp;$V$1),IF(AC257="SKLADEM",$V$6,IFERROR(IF(OR(AC257-TODAY()&gt;45,VLOOKUP(C257,[1]List1!$A:$E,4,FALSE)=0),AC257,DAY(AC257)&amp;"."&amp;MONTH(AC257)&amp;"."&amp;YEAR(AC257)&amp;" "&amp;$V$4&amp;VLOOKUP(C257,[1]List1!$A:$E,4,FALSE)&amp;" "&amp;$V$1),AC257))))</f>
        <v>SKLADEM</v>
      </c>
      <c r="AE257" s="729" t="str">
        <f t="shared" ca="1" si="497"/>
        <v>SKLADEM</v>
      </c>
      <c r="AF257" s="735">
        <f t="shared" si="498"/>
        <v>0</v>
      </c>
      <c r="AG257" s="735">
        <f t="shared" si="499"/>
        <v>0</v>
      </c>
      <c r="AH257" s="736">
        <f t="shared" si="500"/>
        <v>0</v>
      </c>
      <c r="AI257" s="729">
        <f t="shared" si="501"/>
        <v>0</v>
      </c>
      <c r="AJ257" s="729">
        <f t="shared" si="502"/>
        <v>0</v>
      </c>
      <c r="AK257" s="729" t="str">
        <f t="shared" si="503"/>
        <v/>
      </c>
      <c r="AL257" s="729" t="str">
        <f t="shared" si="504"/>
        <v/>
      </c>
      <c r="AM257" s="729">
        <f t="shared" si="505"/>
        <v>0</v>
      </c>
      <c r="AN257" s="729">
        <f t="shared" si="506"/>
        <v>0</v>
      </c>
      <c r="AO257" s="380"/>
      <c r="AP257" s="322" t="str">
        <f t="shared" si="353"/>
        <v/>
      </c>
      <c r="AQ257" s="323" t="str">
        <f>IF(AC257=$V$3,IF(VLOOKUP(C257,[1]List1!$A:$E,5,FALSE)=0,1,VLOOKUP(C257,[1]List1!$A:$E,5,FALSE)),"")</f>
        <v/>
      </c>
      <c r="AR257" s="304" t="str">
        <f t="shared" si="354"/>
        <v/>
      </c>
      <c r="AS257" s="423" t="str">
        <f t="shared" si="355"/>
        <v/>
      </c>
      <c r="AT257" s="304" t="str">
        <f t="shared" si="356"/>
        <v/>
      </c>
      <c r="AU257" s="342" t="e">
        <f t="shared" si="357"/>
        <v>#N/A</v>
      </c>
      <c r="AV257" s="304" t="e">
        <f t="shared" si="358"/>
        <v>#N/A</v>
      </c>
      <c r="AX257" s="304">
        <f>IF(AND('General price list'!$J257="F4",'General price list'!$AB257+0&gt;0),1,0)</f>
        <v>0</v>
      </c>
      <c r="AY257" s="304">
        <f t="shared" si="359"/>
        <v>1</v>
      </c>
      <c r="AZ257" s="304">
        <f t="shared" si="360"/>
        <v>1</v>
      </c>
    </row>
    <row r="258" spans="1:52" ht="15" customHeight="1">
      <c r="A258" s="712" t="str">
        <f>Kat.!C258</f>
        <v/>
      </c>
      <c r="B258" s="737">
        <f>IF(AND('General price list'!$J258="F4",$AI$1=FALSE),0,IF(AC258="SKLADEM",1,IF(AC258=$V$3,1,0)))</f>
        <v>1</v>
      </c>
      <c r="C258" s="714" t="s">
        <v>732</v>
      </c>
      <c r="D258" s="715" t="s">
        <v>733</v>
      </c>
      <c r="E258" s="716" t="s">
        <v>715</v>
      </c>
      <c r="F258" s="712">
        <f>IFERROR(ROUND(IF($AL$3=2,VLOOKUP(C258,[2]List1!$A:$D,2,FALSE)*1.08,VLOOKUP(C258,[2]List1!$A:$D,2,FALSE)),0),"NEUVEDENO!")</f>
        <v>52</v>
      </c>
      <c r="G258" s="717">
        <f t="shared" si="493"/>
        <v>52</v>
      </c>
      <c r="H258" s="718">
        <f t="shared" si="494"/>
        <v>2.1130566583634378</v>
      </c>
      <c r="I258" s="738">
        <v>50</v>
      </c>
      <c r="J258" s="716" t="s">
        <v>46</v>
      </c>
      <c r="K258" s="716" t="s">
        <v>12734</v>
      </c>
      <c r="L258" s="716" t="s">
        <v>24</v>
      </c>
      <c r="M258" s="716" t="s">
        <v>25</v>
      </c>
      <c r="N258" s="716">
        <f>IFERROR(VLOOKUP(C258,[3]List1!$A:$D,4,FALSE),"N/A!")</f>
        <v>3.3800000000000004E-2</v>
      </c>
      <c r="O258" s="716">
        <f>IFERROR(VLOOKUP(C258,[3]List1!$A:$D,3,FALSE),"N/A!")</f>
        <v>950</v>
      </c>
      <c r="P258" s="716">
        <f>IFERROR(VLOOKUP(C258,[3]List1!$A:$D,2,FALSE),"N/A!")</f>
        <v>20000</v>
      </c>
      <c r="Q258" s="716" t="s">
        <v>14126</v>
      </c>
      <c r="R258" s="716" t="s">
        <v>24</v>
      </c>
      <c r="S258" s="716"/>
      <c r="T258" s="716"/>
      <c r="U258" s="716"/>
      <c r="V258" s="716"/>
      <c r="W258" s="716" t="str">
        <f>IFERROR(VLOOKUP('General price list'!$C258,Popisy!A:P,MATCH($W$17,Popisy!$A$7:$P$7,0),FALSE),"---------------")</f>
        <v>síla výbuchu 119dB z 8m</v>
      </c>
      <c r="X258" s="716" t="str">
        <f t="shared" si="495"/>
        <v/>
      </c>
      <c r="Y258" s="716" t="str">
        <f t="shared" si="496"/>
        <v/>
      </c>
      <c r="Z258" s="716" t="str">
        <f>HYPERLINK("https://www.klasekpyrotechnics.cz/k0203k")</f>
        <v>https://www.klasekpyrotechnics.cz/k0203k</v>
      </c>
      <c r="AA258" s="716">
        <f>IFERROR(IF(VLOOKUP(C258,[4]List1!$A:$D,4,FALSE)=0,"",VLOOKUP(C258,[4]List1!$A:$D,4,FALSE)),"")</f>
        <v>36</v>
      </c>
      <c r="AB258" s="720"/>
      <c r="AC258" s="739" t="str">
        <f>IFERROR(IF(VLOOKUP(C258,[1]List1!$A:$D,2,FALSE)="VYPRODÁNO",$V$9,IF(VLOOKUP(C258,[1]List1!$A:$D,2,FALSE)="DOCHÁZÍ",$V$3,VLOOKUP(C258,[1]List1!$A:$D,2,FALSE))),"OFFLINE!")</f>
        <v>SKLADEM</v>
      </c>
      <c r="AD258" s="740" t="str">
        <f ca="1">IF(AP258="NE",$V$10,IF(AC258=$V$3,IF(AQ258&lt;1,$V$8,$V$2&amp;" "&amp;AQ258&amp;" "&amp;$V$1),IF(AC258="SKLADEM",$V$6,IFERROR(IF(OR(AC258-TODAY()&gt;45,VLOOKUP(C258,[1]List1!$A:$E,4,FALSE)=0),AC258,DAY(AC258)&amp;"."&amp;MONTH(AC258)&amp;"."&amp;YEAR(AC258)&amp;" "&amp;$V$4&amp;VLOOKUP(C258,[1]List1!$A:$E,4,FALSE)&amp;" "&amp;$V$1),AC258))))</f>
        <v>SKLADEM</v>
      </c>
      <c r="AE258" s="716" t="str">
        <f t="shared" ca="1" si="497"/>
        <v>SKLADEM</v>
      </c>
      <c r="AF258" s="723">
        <f t="shared" si="498"/>
        <v>0</v>
      </c>
      <c r="AG258" s="723">
        <f t="shared" si="499"/>
        <v>0</v>
      </c>
      <c r="AH258" s="724">
        <f t="shared" si="500"/>
        <v>0</v>
      </c>
      <c r="AI258" s="716">
        <f t="shared" si="501"/>
        <v>0</v>
      </c>
      <c r="AJ258" s="716">
        <f t="shared" si="502"/>
        <v>0</v>
      </c>
      <c r="AK258" s="716" t="str">
        <f t="shared" si="503"/>
        <v/>
      </c>
      <c r="AL258" s="716" t="str">
        <f t="shared" si="504"/>
        <v/>
      </c>
      <c r="AM258" s="716">
        <f t="shared" si="505"/>
        <v>0</v>
      </c>
      <c r="AN258" s="716">
        <f t="shared" si="506"/>
        <v>0</v>
      </c>
      <c r="AO258" s="380"/>
      <c r="AP258" s="322" t="str">
        <f t="shared" si="353"/>
        <v/>
      </c>
      <c r="AQ258" s="323" t="str">
        <f>IF(AC258=$V$3,IF(VLOOKUP(C258,[1]List1!$A:$E,5,FALSE)=0,1,VLOOKUP(C258,[1]List1!$A:$E,5,FALSE)),"")</f>
        <v/>
      </c>
      <c r="AR258" s="304" t="str">
        <f t="shared" si="354"/>
        <v/>
      </c>
      <c r="AS258" s="423" t="str">
        <f t="shared" si="355"/>
        <v/>
      </c>
      <c r="AT258" s="304" t="str">
        <f t="shared" si="356"/>
        <v/>
      </c>
      <c r="AU258" s="342" t="e">
        <f t="shared" si="357"/>
        <v>#N/A</v>
      </c>
      <c r="AV258" s="304" t="e">
        <f t="shared" si="358"/>
        <v>#N/A</v>
      </c>
      <c r="AX258" s="304">
        <f>IF(AND('General price list'!$J258="F4",'General price list'!$AB258+0&gt;0),1,0)</f>
        <v>0</v>
      </c>
      <c r="AY258" s="304">
        <f t="shared" si="359"/>
        <v>1</v>
      </c>
      <c r="AZ258" s="304">
        <f t="shared" si="360"/>
        <v>0</v>
      </c>
    </row>
    <row r="259" spans="1:52" ht="15" customHeight="1">
      <c r="A259" s="725" t="str">
        <f>Kat.!C259</f>
        <v/>
      </c>
      <c r="B259" s="726">
        <f>IF(AND('General price list'!$J259="F4",$AI$1=FALSE),0,IF(AC259="SKLADEM",1,IF(AC259=$V$3,1,0)))</f>
        <v>0</v>
      </c>
      <c r="C259" s="727" t="s">
        <v>4466</v>
      </c>
      <c r="D259" s="728" t="s">
        <v>4467</v>
      </c>
      <c r="E259" s="729" t="s">
        <v>2666</v>
      </c>
      <c r="F259" s="725">
        <f>IFERROR(ROUND(IF($AL$3=2,VLOOKUP(C259,[2]List1!$A:$D,2,FALSE)*1.08,VLOOKUP(C259,[2]List1!$A:$D,2,FALSE)),0),"NEUVEDENO!")</f>
        <v>29</v>
      </c>
      <c r="G259" s="730">
        <f t="shared" si="493"/>
        <v>29</v>
      </c>
      <c r="H259" s="731">
        <f t="shared" si="494"/>
        <v>1.1784354440873017</v>
      </c>
      <c r="I259" s="732">
        <v>100</v>
      </c>
      <c r="J259" s="729" t="s">
        <v>46</v>
      </c>
      <c r="K259" s="729"/>
      <c r="L259" s="729" t="s">
        <v>24</v>
      </c>
      <c r="M259" s="729" t="s">
        <v>25</v>
      </c>
      <c r="N259" s="729">
        <f>IFERROR(VLOOKUP(C259,[3]List1!$A:$D,4,FALSE),"N/A!")</f>
        <v>3.8318000000000005E-2</v>
      </c>
      <c r="O259" s="729">
        <f>IFERROR(VLOOKUP(C259,[3]List1!$A:$D,3,FALSE),"N/A!")</f>
        <v>1000</v>
      </c>
      <c r="P259" s="729">
        <f>IFERROR(VLOOKUP(C259,[3]List1!$A:$D,2,FALSE),"N/A!")</f>
        <v>17000</v>
      </c>
      <c r="Q259" s="729" t="s">
        <v>217</v>
      </c>
      <c r="R259" s="729" t="s">
        <v>24</v>
      </c>
      <c r="S259" s="729"/>
      <c r="T259" s="729"/>
      <c r="U259" s="729"/>
      <c r="V259" s="729"/>
      <c r="W259" s="729" t="str">
        <f>IFERROR(VLOOKUP('General price list'!$C259,Popisy!A:P,MATCH($W$17,Popisy!$A$7:$P$7,0),FALSE),"---------------")</f>
        <v>síla výbuchu 119dB z 8m</v>
      </c>
      <c r="X259" s="729" t="str">
        <f t="shared" si="495"/>
        <v/>
      </c>
      <c r="Y259" s="729" t="str">
        <f t="shared" si="496"/>
        <v/>
      </c>
      <c r="Z259" s="729" t="str">
        <f>HYPERLINK("https://www.klasekpyrotechnics.cz/k0203kb")</f>
        <v>https://www.klasekpyrotechnics.cz/k0203kb</v>
      </c>
      <c r="AA259" s="729">
        <f>IFERROR(IF(VLOOKUP(C259,[4]List1!$A:$D,4,FALSE)=0,"",VLOOKUP(C259,[4]List1!$A:$D,4,FALSE)),"")</f>
        <v>35</v>
      </c>
      <c r="AB259" s="720"/>
      <c r="AC259" s="733" t="str">
        <f>IFERROR(IF(VLOOKUP(C259,[1]List1!$A:$D,2,FALSE)="VYPRODÁNO",$V$9,IF(VLOOKUP(C259,[1]List1!$A:$D,2,FALSE)="DOCHÁZÍ",$V$3,VLOOKUP(C259,[1]List1!$A:$D,2,FALSE))),"OFFLINE!")</f>
        <v>15.06.2024</v>
      </c>
      <c r="AD259" s="734" t="str">
        <f ca="1">IF(AP259="NE",$V$10,IF(AC259=$V$3,IF(AQ259&lt;1,$V$8,$V$2&amp;" "&amp;AQ259&amp;" "&amp;$V$1),IF(AC259="SKLADEM",$V$6,IFERROR(IF(OR(AC259-TODAY()&gt;45,VLOOKUP(C259,[1]List1!$A:$E,4,FALSE)=0),AC259,DAY(AC259)&amp;"."&amp;MONTH(AC259)&amp;"."&amp;YEAR(AC259)&amp;" "&amp;$V$4&amp;VLOOKUP(C259,[1]List1!$A:$E,4,FALSE)&amp;" "&amp;$V$1),AC259))))</f>
        <v>15.06.2024</v>
      </c>
      <c r="AE259" s="729" t="str">
        <f t="shared" ca="1" si="497"/>
        <v>15.06.2024</v>
      </c>
      <c r="AF259" s="735">
        <f t="shared" si="498"/>
        <v>0</v>
      </c>
      <c r="AG259" s="735">
        <f t="shared" si="499"/>
        <v>0</v>
      </c>
      <c r="AH259" s="736">
        <f t="shared" si="500"/>
        <v>0</v>
      </c>
      <c r="AI259" s="729">
        <f t="shared" si="501"/>
        <v>0</v>
      </c>
      <c r="AJ259" s="729">
        <f t="shared" si="502"/>
        <v>0</v>
      </c>
      <c r="AK259" s="729" t="str">
        <f t="shared" si="503"/>
        <v/>
      </c>
      <c r="AL259" s="729" t="str">
        <f t="shared" si="504"/>
        <v/>
      </c>
      <c r="AM259" s="729">
        <f t="shared" si="505"/>
        <v>0</v>
      </c>
      <c r="AN259" s="729">
        <f t="shared" si="506"/>
        <v>0</v>
      </c>
      <c r="AO259" s="380"/>
      <c r="AP259" s="322" t="str">
        <f t="shared" si="353"/>
        <v/>
      </c>
      <c r="AQ259" s="323" t="str">
        <f>IF(AC259=$V$3,IF(VLOOKUP(C259,[1]List1!$A:$E,5,FALSE)=0,1,VLOOKUP(C259,[1]List1!$A:$E,5,FALSE)),"")</f>
        <v/>
      </c>
      <c r="AR259" s="304" t="str">
        <f t="shared" si="354"/>
        <v/>
      </c>
      <c r="AS259" s="423" t="str">
        <f t="shared" si="355"/>
        <v/>
      </c>
      <c r="AT259" s="304" t="str">
        <f t="shared" si="356"/>
        <v/>
      </c>
      <c r="AU259" s="342" t="e">
        <f t="shared" si="357"/>
        <v>#N/A</v>
      </c>
      <c r="AV259" s="304" t="e">
        <f t="shared" si="358"/>
        <v>#N/A</v>
      </c>
      <c r="AX259" s="304">
        <f>IF(AND('General price list'!$J259="F4",'General price list'!$AB259+0&gt;0),1,0)</f>
        <v>0</v>
      </c>
      <c r="AY259" s="304">
        <f t="shared" si="359"/>
        <v>1</v>
      </c>
      <c r="AZ259" s="304">
        <f t="shared" si="360"/>
        <v>0</v>
      </c>
    </row>
    <row r="260" spans="1:52" ht="15" customHeight="1">
      <c r="A260" s="712" t="str">
        <f>Kat.!C260</f>
        <v/>
      </c>
      <c r="B260" s="737">
        <f>IF(AND('General price list'!$J260="F4",$AI$1=FALSE),0,IF(AC260="SKLADEM",1,IF(AC260=$V$3,1,0)))</f>
        <v>0</v>
      </c>
      <c r="C260" s="714" t="s">
        <v>737</v>
      </c>
      <c r="D260" s="715" t="s">
        <v>14541</v>
      </c>
      <c r="E260" s="716" t="s">
        <v>738</v>
      </c>
      <c r="F260" s="712">
        <f>IFERROR(ROUND(IF($AL$3=2,VLOOKUP(C260,[2]List1!$A:$D,2,FALSE)*1.08,VLOOKUP(C260,[2]List1!$A:$D,2,FALSE)),0),"NEUVEDENO!")</f>
        <v>49</v>
      </c>
      <c r="G260" s="717">
        <f t="shared" si="493"/>
        <v>49</v>
      </c>
      <c r="H260" s="718">
        <f t="shared" si="494"/>
        <v>1.9911495434578548</v>
      </c>
      <c r="I260" s="738">
        <v>200</v>
      </c>
      <c r="J260" s="716" t="s">
        <v>46</v>
      </c>
      <c r="K260" s="716"/>
      <c r="L260" s="716" t="s">
        <v>24</v>
      </c>
      <c r="M260" s="716" t="s">
        <v>25</v>
      </c>
      <c r="N260" s="716">
        <f>IFERROR(VLOOKUP(C260,[3]List1!$A:$D,4,FALSE),"N/A!")</f>
        <v>2.7703500000000002E-2</v>
      </c>
      <c r="O260" s="716">
        <f>IFERROR(VLOOKUP(C260,[3]List1!$A:$D,3,FALSE),"N/A!")</f>
        <v>600</v>
      </c>
      <c r="P260" s="716">
        <f>IFERROR(VLOOKUP(C260,[3]List1!$A:$D,2,FALSE),"N/A!")</f>
        <v>8600</v>
      </c>
      <c r="Q260" s="716" t="s">
        <v>217</v>
      </c>
      <c r="R260" s="716"/>
      <c r="S260" s="716"/>
      <c r="T260" s="716"/>
      <c r="U260" s="716"/>
      <c r="V260" s="716"/>
      <c r="W260" s="716" t="str">
        <f>IFERROR(VLOOKUP('General price list'!$C260,Popisy!A:P,MATCH($W$17,Popisy!$A$7:$P$7,0),FALSE),"---------------")</f>
        <v>síla výbuchu 120dB z 8m, vyrobeno v Evropě, plastová ucpávka</v>
      </c>
      <c r="X260" s="716" t="str">
        <f t="shared" si="495"/>
        <v/>
      </c>
      <c r="Y260" s="716" t="str">
        <f t="shared" si="496"/>
        <v/>
      </c>
      <c r="Z260" s="716" t="str">
        <f>HYPERLINK("https://www.klasekpyrotechnics.cz/p05d")</f>
        <v>https://www.klasekpyrotechnics.cz/p05d</v>
      </c>
      <c r="AA260" s="716" t="str">
        <f>IFERROR(IF(VLOOKUP(C260,[4]List1!$A:$D,4,FALSE)=0,"",VLOOKUP(C260,[4]List1!$A:$D,4,FALSE)),"")</f>
        <v>36</v>
      </c>
      <c r="AB260" s="720"/>
      <c r="AC260" s="739" t="str">
        <f>IFERROR(IF(VLOOKUP(C260,[1]List1!$A:$D,2,FALSE)="VYPRODÁNO",$V$9,IF(VLOOKUP(C260,[1]List1!$A:$D,2,FALSE)="DOCHÁZÍ",$V$3,VLOOKUP(C260,[1]List1!$A:$D,2,FALSE))),"OFFLINE!")</f>
        <v>30.06.2024</v>
      </c>
      <c r="AD260" s="740" t="str">
        <f ca="1">IF(AP260="NE",$V$10,IF(AC260=$V$3,IF(AQ260&lt;1,$V$8,$V$2&amp;" "&amp;AQ260&amp;" "&amp;$V$1),IF(AC260="SKLADEM",$V$6,IFERROR(IF(OR(AC260-TODAY()&gt;45,VLOOKUP(C260,[1]List1!$A:$E,4,FALSE)=0),AC260,DAY(AC260)&amp;"."&amp;MONTH(AC260)&amp;"."&amp;YEAR(AC260)&amp;" "&amp;$V$4&amp;VLOOKUP(C260,[1]List1!$A:$E,4,FALSE)&amp;" "&amp;$V$1),AC260))))</f>
        <v>30.06.2024</v>
      </c>
      <c r="AE260" s="716" t="str">
        <f t="shared" ca="1" si="497"/>
        <v>30.06.2024</v>
      </c>
      <c r="AF260" s="723">
        <f t="shared" si="498"/>
        <v>0</v>
      </c>
      <c r="AG260" s="723">
        <f t="shared" si="499"/>
        <v>0</v>
      </c>
      <c r="AH260" s="724">
        <f t="shared" si="500"/>
        <v>0</v>
      </c>
      <c r="AI260" s="716">
        <f t="shared" si="501"/>
        <v>0</v>
      </c>
      <c r="AJ260" s="716">
        <f t="shared" si="502"/>
        <v>0</v>
      </c>
      <c r="AK260" s="716" t="str">
        <f t="shared" si="503"/>
        <v/>
      </c>
      <c r="AL260" s="716" t="str">
        <f t="shared" si="504"/>
        <v/>
      </c>
      <c r="AM260" s="716">
        <f t="shared" si="505"/>
        <v>0</v>
      </c>
      <c r="AN260" s="716">
        <f t="shared" si="506"/>
        <v>0</v>
      </c>
      <c r="AO260" s="380"/>
      <c r="AP260" s="322" t="str">
        <f t="shared" si="353"/>
        <v/>
      </c>
      <c r="AQ260" s="323" t="str">
        <f>IF(AC260=$V$3,IF(VLOOKUP(C260,[1]List1!$A:$E,5,FALSE)=0,1,VLOOKUP(C260,[1]List1!$A:$E,5,FALSE)),"")</f>
        <v/>
      </c>
      <c r="AR260" s="304" t="str">
        <f t="shared" si="354"/>
        <v/>
      </c>
      <c r="AS260" s="423" t="str">
        <f t="shared" si="355"/>
        <v/>
      </c>
      <c r="AT260" s="304" t="str">
        <f t="shared" si="356"/>
        <v/>
      </c>
      <c r="AU260" s="342" t="e">
        <f t="shared" si="357"/>
        <v>#N/A</v>
      </c>
      <c r="AV260" s="304" t="e">
        <f t="shared" si="358"/>
        <v>#N/A</v>
      </c>
      <c r="AX260" s="304">
        <f>IF(AND('General price list'!$J260="F4",'General price list'!$AB260+0&gt;0),1,0)</f>
        <v>0</v>
      </c>
      <c r="AY260" s="304">
        <f t="shared" si="359"/>
        <v>1</v>
      </c>
      <c r="AZ260" s="304">
        <f t="shared" si="360"/>
        <v>0</v>
      </c>
    </row>
    <row r="261" spans="1:52" ht="15" customHeight="1">
      <c r="A261" s="725" t="str">
        <f>Kat.!C261</f>
        <v/>
      </c>
      <c r="B261" s="726">
        <f>IF(AND('General price list'!$J261="F4",$AI$1=FALSE),0,IF(AC261="SKLADEM",1,IF(AC261=$V$3,1,0)))</f>
        <v>0</v>
      </c>
      <c r="C261" s="727" t="s">
        <v>742</v>
      </c>
      <c r="D261" s="728" t="s">
        <v>743</v>
      </c>
      <c r="E261" s="729" t="s">
        <v>744</v>
      </c>
      <c r="F261" s="725">
        <f>IFERROR(ROUND(IF($AL$3=2,VLOOKUP(C261,[2]List1!$A:$D,2,FALSE)*1.08,VLOOKUP(C261,[2]List1!$A:$D,2,FALSE)),0),"NEUVEDENO!")</f>
        <v>93</v>
      </c>
      <c r="G261" s="730">
        <f t="shared" si="493"/>
        <v>93</v>
      </c>
      <c r="H261" s="731">
        <f t="shared" si="494"/>
        <v>3.7791205620730715</v>
      </c>
      <c r="I261" s="732">
        <v>50</v>
      </c>
      <c r="J261" s="729" t="s">
        <v>46</v>
      </c>
      <c r="K261" s="729"/>
      <c r="L261" s="729" t="s">
        <v>14381</v>
      </c>
      <c r="M261" s="729" t="s">
        <v>25</v>
      </c>
      <c r="N261" s="729">
        <f>IFERROR(VLOOKUP(C261,[3]List1!$A:$D,4,FALSE),"N/A!")</f>
        <v>4.4562500000000005E-2</v>
      </c>
      <c r="O261" s="729">
        <f>IFERROR(VLOOKUP(C261,[3]List1!$A:$D,3,FALSE),"N/A!")</f>
        <v>2000</v>
      </c>
      <c r="P261" s="729">
        <f>IFERROR(VLOOKUP(C261,[3]List1!$A:$D,2,FALSE),"N/A!")</f>
        <v>30000</v>
      </c>
      <c r="Q261" s="729" t="s">
        <v>14123</v>
      </c>
      <c r="R261" s="729" t="s">
        <v>24</v>
      </c>
      <c r="S261" s="729"/>
      <c r="T261" s="729"/>
      <c r="U261" s="729"/>
      <c r="V261" s="729"/>
      <c r="W261" s="729" t="str">
        <f>IFERROR(VLOOKUP('General price list'!$C261,Popisy!A:P,MATCH($W$17,Popisy!$A$7:$P$7,0),FALSE),"---------------")</f>
        <v xml:space="preserve">síla výbuchu 120dB z 8m(černoprachová petarda) </v>
      </c>
      <c r="X261" s="729" t="str">
        <f t="shared" si="495"/>
        <v/>
      </c>
      <c r="Y261" s="729" t="str">
        <f t="shared" si="496"/>
        <v/>
      </c>
      <c r="Z261" s="729" t="str">
        <f>HYPERLINK("https://www.klasekpyrotechnics.cz/pb120d")</f>
        <v>https://www.klasekpyrotechnics.cz/pb120d</v>
      </c>
      <c r="AA261" s="729">
        <f>IFERROR(IF(VLOOKUP(C261,[4]List1!$A:$D,4,FALSE)=0,"",VLOOKUP(C261,[4]List1!$A:$D,4,FALSE)),"")</f>
        <v>28</v>
      </c>
      <c r="AB261" s="720"/>
      <c r="AC261" s="733" t="str">
        <f>IFERROR(IF(VLOOKUP(C261,[1]List1!$A:$D,2,FALSE)="VYPRODÁNO",$V$9,IF(VLOOKUP(C261,[1]List1!$A:$D,2,FALSE)="DOCHÁZÍ",$V$3,VLOOKUP(C261,[1]List1!$A:$D,2,FALSE))),"OFFLINE!")</f>
        <v>30.04.2024</v>
      </c>
      <c r="AD261" s="734" t="str">
        <f ca="1">IF(AP261="NE",$V$10,IF(AC261=$V$3,IF(AQ261&lt;1,$V$8,$V$2&amp;" "&amp;AQ261&amp;" "&amp;$V$1),IF(AC261="SKLADEM",$V$6,IFERROR(IF(OR(AC261-TODAY()&gt;45,VLOOKUP(C261,[1]List1!$A:$E,4,FALSE)=0),AC261,DAY(AC261)&amp;"."&amp;MONTH(AC261)&amp;"."&amp;YEAR(AC261)&amp;" "&amp;$V$4&amp;VLOOKUP(C261,[1]List1!$A:$E,4,FALSE)&amp;" "&amp;$V$1),AC261))))</f>
        <v>30.04.2024</v>
      </c>
      <c r="AE261" s="729" t="str">
        <f t="shared" ca="1" si="497"/>
        <v>30.04.2024</v>
      </c>
      <c r="AF261" s="735">
        <f t="shared" si="498"/>
        <v>0</v>
      </c>
      <c r="AG261" s="735">
        <f t="shared" si="499"/>
        <v>0</v>
      </c>
      <c r="AH261" s="736">
        <f t="shared" si="500"/>
        <v>0</v>
      </c>
      <c r="AI261" s="729">
        <f t="shared" si="501"/>
        <v>0</v>
      </c>
      <c r="AJ261" s="729">
        <f t="shared" si="502"/>
        <v>0</v>
      </c>
      <c r="AK261" s="729" t="str">
        <f t="shared" si="503"/>
        <v/>
      </c>
      <c r="AL261" s="729" t="str">
        <f t="shared" si="504"/>
        <v/>
      </c>
      <c r="AM261" s="729">
        <f t="shared" si="505"/>
        <v>0</v>
      </c>
      <c r="AN261" s="729">
        <f t="shared" si="506"/>
        <v>0</v>
      </c>
      <c r="AO261" s="380"/>
      <c r="AP261" s="322" t="str">
        <f t="shared" si="353"/>
        <v/>
      </c>
      <c r="AQ261" s="323" t="str">
        <f>IF(AC261=$V$3,IF(VLOOKUP(C261,[1]List1!$A:$E,5,FALSE)=0,1,VLOOKUP(C261,[1]List1!$A:$E,5,FALSE)),"")</f>
        <v/>
      </c>
      <c r="AR261" s="304" t="str">
        <f t="shared" si="354"/>
        <v/>
      </c>
      <c r="AS261" s="423" t="str">
        <f t="shared" si="355"/>
        <v/>
      </c>
      <c r="AT261" s="304" t="str">
        <f t="shared" si="356"/>
        <v/>
      </c>
      <c r="AU261" s="342" t="e">
        <f t="shared" si="357"/>
        <v>#N/A</v>
      </c>
      <c r="AV261" s="304" t="e">
        <f t="shared" si="358"/>
        <v>#N/A</v>
      </c>
      <c r="AX261" s="304">
        <f>IF(AND('General price list'!$J261="F4",'General price list'!$AB261+0&gt;0),1,0)</f>
        <v>0</v>
      </c>
      <c r="AY261" s="304">
        <f t="shared" si="359"/>
        <v>1</v>
      </c>
      <c r="AZ261" s="304">
        <f t="shared" si="360"/>
        <v>0</v>
      </c>
    </row>
    <row r="262" spans="1:52" ht="15" customHeight="1">
      <c r="A262" s="712" t="str">
        <f>Kat.!C262</f>
        <v/>
      </c>
      <c r="B262" s="737">
        <f>IF(AND('General price list'!$J262="F4",$AI$1=FALSE),0,IF(AC262="SKLADEM",1,IF(AC262=$V$3,1,0)))</f>
        <v>1</v>
      </c>
      <c r="C262" s="714" t="s">
        <v>13775</v>
      </c>
      <c r="D262" s="715" t="s">
        <v>13781</v>
      </c>
      <c r="E262" s="716" t="s">
        <v>13783</v>
      </c>
      <c r="F262" s="712">
        <f>IFERROR(ROUND(IF($AL$3=2,VLOOKUP(C262,[2]List1!$A:$D,2,FALSE)*1.08,VLOOKUP(C262,[2]List1!$A:$D,2,FALSE)),0),"NEUVEDENO!")</f>
        <v>39</v>
      </c>
      <c r="G262" s="717">
        <f t="shared" si="493"/>
        <v>39</v>
      </c>
      <c r="H262" s="718">
        <f t="shared" si="494"/>
        <v>1.5847924937725784</v>
      </c>
      <c r="I262" s="738">
        <v>60</v>
      </c>
      <c r="J262" s="716" t="s">
        <v>46</v>
      </c>
      <c r="K262" s="716"/>
      <c r="L262" s="716"/>
      <c r="M262" s="716" t="s">
        <v>25</v>
      </c>
      <c r="N262" s="716">
        <f>IFERROR(VLOOKUP(C262,[3]List1!$A:$D,4,FALSE),"N/A!")</f>
        <v>3.0268E-2</v>
      </c>
      <c r="O262" s="716">
        <f>IFERROR(VLOOKUP(C262,[3]List1!$A:$D,3,FALSE),"N/A!")</f>
        <v>210</v>
      </c>
      <c r="P262" s="716">
        <f>IFERROR(VLOOKUP(C262,[3]List1!$A:$D,2,FALSE),"N/A!")</f>
        <v>10000</v>
      </c>
      <c r="Q262" s="716" t="s">
        <v>217</v>
      </c>
      <c r="R262" s="716"/>
      <c r="S262" s="716"/>
      <c r="T262" s="716"/>
      <c r="U262" s="716"/>
      <c r="V262" s="716"/>
      <c r="W262" s="716" t="str">
        <f>IFERROR(VLOOKUP('General price list'!$C262,Popisy!A:P,MATCH($W$17,Popisy!$A$7:$P$7,0),FALSE),"---------------")</f>
        <v>síla výbuchu 120dB z 8m</v>
      </c>
      <c r="X262" s="716" t="str">
        <f t="shared" si="495"/>
        <v/>
      </c>
      <c r="Y262" s="716" t="str">
        <f t="shared" si="496"/>
        <v/>
      </c>
      <c r="Z262" s="716" t="str">
        <f>HYPERLINK("https://www.klasekpyrotechnics.cz/psf2d")</f>
        <v>https://www.klasekpyrotechnics.cz/psf2d</v>
      </c>
      <c r="AA262" s="716">
        <f>IFERROR(IF(VLOOKUP(C262,[4]List1!$A:$D,4,FALSE)=0,"",VLOOKUP(C262,[4]List1!$A:$D,4,FALSE)),"")</f>
        <v>36</v>
      </c>
      <c r="AB262" s="720"/>
      <c r="AC262" s="739" t="str">
        <f>IFERROR(IF(VLOOKUP(C262,[1]List1!$A:$D,2,FALSE)="VYPRODÁNO",$V$9,IF(VLOOKUP(C262,[1]List1!$A:$D,2,FALSE)="DOCHÁZÍ",$V$3,VLOOKUP(C262,[1]List1!$A:$D,2,FALSE))),"OFFLINE!")</f>
        <v>SKLADEM</v>
      </c>
      <c r="AD262" s="740" t="str">
        <f ca="1">IF(AP262="NE",$V$10,IF(AC262=$V$3,IF(AQ262&lt;1,$V$8,$V$2&amp;" "&amp;AQ262&amp;" "&amp;$V$1),IF(AC262="SKLADEM",$V$6,IFERROR(IF(OR(AC262-TODAY()&gt;45,VLOOKUP(C262,[1]List1!$A:$E,4,FALSE)=0),AC262,DAY(AC262)&amp;"."&amp;MONTH(AC262)&amp;"."&amp;YEAR(AC262)&amp;" "&amp;$V$4&amp;VLOOKUP(C262,[1]List1!$A:$E,4,FALSE)&amp;" "&amp;$V$1),AC262))))</f>
        <v>SKLADEM</v>
      </c>
      <c r="AE262" s="716" t="str">
        <f t="shared" ca="1" si="497"/>
        <v>SKLADEM</v>
      </c>
      <c r="AF262" s="723">
        <f t="shared" si="498"/>
        <v>0</v>
      </c>
      <c r="AG262" s="723">
        <f t="shared" si="499"/>
        <v>0</v>
      </c>
      <c r="AH262" s="724">
        <f t="shared" si="500"/>
        <v>0</v>
      </c>
      <c r="AI262" s="716">
        <f t="shared" si="501"/>
        <v>0</v>
      </c>
      <c r="AJ262" s="716">
        <f t="shared" si="502"/>
        <v>0</v>
      </c>
      <c r="AK262" s="716" t="str">
        <f t="shared" si="503"/>
        <v/>
      </c>
      <c r="AL262" s="716" t="str">
        <f t="shared" si="504"/>
        <v/>
      </c>
      <c r="AM262" s="716">
        <f t="shared" si="505"/>
        <v>0</v>
      </c>
      <c r="AN262" s="716">
        <f t="shared" si="506"/>
        <v>0</v>
      </c>
      <c r="AO262" s="380"/>
      <c r="AP262" s="322" t="str">
        <f t="shared" si="353"/>
        <v/>
      </c>
      <c r="AQ262" s="323" t="str">
        <f>IF(AC262=$V$3,IF(VLOOKUP(C262,[1]List1!$A:$E,5,FALSE)=0,1,VLOOKUP(C262,[1]List1!$A:$E,5,FALSE)),"")</f>
        <v/>
      </c>
      <c r="AR262" s="304" t="str">
        <f t="shared" si="354"/>
        <v/>
      </c>
      <c r="AS262" s="423" t="str">
        <f t="shared" si="355"/>
        <v/>
      </c>
      <c r="AT262" s="304" t="str">
        <f t="shared" si="356"/>
        <v/>
      </c>
      <c r="AU262" s="342" t="e">
        <f t="shared" si="357"/>
        <v>#N/A</v>
      </c>
      <c r="AV262" s="304" t="e">
        <f t="shared" si="358"/>
        <v>#N/A</v>
      </c>
      <c r="AX262" s="304">
        <f>IF(AND('General price list'!$J262="F4",'General price list'!$AB262+0&gt;0),1,0)</f>
        <v>0</v>
      </c>
      <c r="AY262" s="304">
        <f t="shared" si="359"/>
        <v>1</v>
      </c>
      <c r="AZ262" s="304">
        <f t="shared" si="360"/>
        <v>0</v>
      </c>
    </row>
    <row r="263" spans="1:52" ht="15" customHeight="1">
      <c r="A263" s="725" t="str">
        <f>Kat.!C263</f>
        <v/>
      </c>
      <c r="B263" s="726">
        <f>IF(AND('General price list'!$J263="F4",$AI$1=FALSE),0,IF(AC263="SKLADEM",1,IF(AC263=$V$3,1,0)))</f>
        <v>1</v>
      </c>
      <c r="C263" s="727" t="s">
        <v>13776</v>
      </c>
      <c r="D263" s="728" t="s">
        <v>13782</v>
      </c>
      <c r="E263" s="729" t="s">
        <v>13783</v>
      </c>
      <c r="F263" s="725">
        <f>IFERROR(ROUND(IF($AL$3=2,VLOOKUP(C263,[2]List1!$A:$D,2,FALSE)*1.08,VLOOKUP(C263,[2]List1!$A:$D,2,FALSE)),0),"NEUVEDENO!")</f>
        <v>42</v>
      </c>
      <c r="G263" s="730">
        <f t="shared" si="493"/>
        <v>42</v>
      </c>
      <c r="H263" s="731">
        <f t="shared" si="494"/>
        <v>1.7066996086781612</v>
      </c>
      <c r="I263" s="732">
        <v>60</v>
      </c>
      <c r="J263" s="729" t="s">
        <v>46</v>
      </c>
      <c r="K263" s="729"/>
      <c r="L263" s="729"/>
      <c r="M263" s="729" t="s">
        <v>25</v>
      </c>
      <c r="N263" s="729">
        <f>IFERROR(VLOOKUP(C263,[3]List1!$A:$D,4,FALSE),"N/A!")</f>
        <v>3.0268E-2</v>
      </c>
      <c r="O263" s="729">
        <f>IFERROR(VLOOKUP(C263,[3]List1!$A:$D,3,FALSE),"N/A!")</f>
        <v>600</v>
      </c>
      <c r="P263" s="729">
        <f>IFERROR(VLOOKUP(C263,[3]List1!$A:$D,2,FALSE),"N/A!")</f>
        <v>10000</v>
      </c>
      <c r="Q263" s="729" t="s">
        <v>166</v>
      </c>
      <c r="R263" s="729"/>
      <c r="S263" s="729"/>
      <c r="T263" s="729"/>
      <c r="U263" s="729"/>
      <c r="V263" s="729"/>
      <c r="W263" s="729" t="str">
        <f>IFERROR(VLOOKUP('General price list'!$C263,Popisy!A:P,MATCH($W$17,Popisy!$A$7:$P$7,0),FALSE),"---------------")</f>
        <v xml:space="preserve">síla výbuchu 118dB z 8m(černoprachová petarda) </v>
      </c>
      <c r="X263" s="729" t="str">
        <f t="shared" si="495"/>
        <v/>
      </c>
      <c r="Y263" s="729" t="str">
        <f t="shared" si="496"/>
        <v/>
      </c>
      <c r="Z263" s="729" t="str">
        <f>HYPERLINK("https://www.klasekpyrotechnics.cz/pbf2d")</f>
        <v>https://www.klasekpyrotechnics.cz/pbf2d</v>
      </c>
      <c r="AA263" s="729">
        <f>IFERROR(IF(VLOOKUP(C263,[4]List1!$A:$D,4,FALSE)=0,"",VLOOKUP(C263,[4]List1!$A:$D,4,FALSE)),"")</f>
        <v>36</v>
      </c>
      <c r="AB263" s="720"/>
      <c r="AC263" s="733" t="str">
        <f>IFERROR(IF(VLOOKUP(C263,[1]List1!$A:$D,2,FALSE)="VYPRODÁNO",$V$9,IF(VLOOKUP(C263,[1]List1!$A:$D,2,FALSE)="DOCHÁZÍ",$V$3,VLOOKUP(C263,[1]List1!$A:$D,2,FALSE))),"OFFLINE!")</f>
        <v>SKLADEM</v>
      </c>
      <c r="AD263" s="734" t="str">
        <f ca="1">IF(AP263="NE",$V$10,IF(AC263=$V$3,IF(AQ263&lt;1,$V$8,$V$2&amp;" "&amp;AQ263&amp;" "&amp;$V$1),IF(AC263="SKLADEM",$V$6,IFERROR(IF(OR(AC263-TODAY()&gt;45,VLOOKUP(C263,[1]List1!$A:$E,4,FALSE)=0),AC263,DAY(AC263)&amp;"."&amp;MONTH(AC263)&amp;"."&amp;YEAR(AC263)&amp;" "&amp;$V$4&amp;VLOOKUP(C263,[1]List1!$A:$E,4,FALSE)&amp;" "&amp;$V$1),AC263))))</f>
        <v>SKLADEM</v>
      </c>
      <c r="AE263" s="729" t="str">
        <f t="shared" ca="1" si="497"/>
        <v>SKLADEM</v>
      </c>
      <c r="AF263" s="735">
        <f t="shared" si="498"/>
        <v>0</v>
      </c>
      <c r="AG263" s="735">
        <f t="shared" si="499"/>
        <v>0</v>
      </c>
      <c r="AH263" s="736">
        <f t="shared" si="500"/>
        <v>0</v>
      </c>
      <c r="AI263" s="729">
        <f t="shared" si="501"/>
        <v>0</v>
      </c>
      <c r="AJ263" s="729">
        <f t="shared" si="502"/>
        <v>0</v>
      </c>
      <c r="AK263" s="729" t="str">
        <f t="shared" si="503"/>
        <v/>
      </c>
      <c r="AL263" s="729" t="str">
        <f t="shared" si="504"/>
        <v/>
      </c>
      <c r="AM263" s="729">
        <f t="shared" si="505"/>
        <v>0</v>
      </c>
      <c r="AN263" s="729">
        <f t="shared" si="506"/>
        <v>0</v>
      </c>
      <c r="AO263" s="380"/>
      <c r="AP263" s="322" t="str">
        <f t="shared" si="353"/>
        <v/>
      </c>
      <c r="AQ263" s="323" t="str">
        <f>IF(AC263=$V$3,IF(VLOOKUP(C263,[1]List1!$A:$E,5,FALSE)=0,1,VLOOKUP(C263,[1]List1!$A:$E,5,FALSE)),"")</f>
        <v/>
      </c>
      <c r="AR263" s="304" t="str">
        <f t="shared" si="354"/>
        <v/>
      </c>
      <c r="AS263" s="423" t="str">
        <f t="shared" si="355"/>
        <v/>
      </c>
      <c r="AT263" s="304" t="str">
        <f t="shared" si="356"/>
        <v/>
      </c>
      <c r="AU263" s="342" t="e">
        <f t="shared" si="357"/>
        <v>#N/A</v>
      </c>
      <c r="AV263" s="304" t="e">
        <f t="shared" si="358"/>
        <v>#N/A</v>
      </c>
      <c r="AX263" s="304">
        <f>IF(AND('General price list'!$J263="F4",'General price list'!$AB263+0&gt;0),1,0)</f>
        <v>0</v>
      </c>
      <c r="AY263" s="304">
        <f t="shared" si="359"/>
        <v>1</v>
      </c>
      <c r="AZ263" s="304">
        <f t="shared" si="360"/>
        <v>0</v>
      </c>
    </row>
    <row r="264" spans="1:52" ht="15" customHeight="1">
      <c r="A264" s="773" t="str">
        <f>Kat.!C264</f>
        <v xml:space="preserve">                                                               Petardy se zápalnou šňůrou F3</v>
      </c>
      <c r="B264" s="774"/>
      <c r="C264" s="774"/>
      <c r="D264" s="774"/>
      <c r="E264" s="774"/>
      <c r="F264" s="774"/>
      <c r="G264" s="774"/>
      <c r="H264" s="774"/>
      <c r="I264" s="774"/>
      <c r="J264" s="774"/>
      <c r="K264" s="774"/>
      <c r="L264" s="774"/>
      <c r="M264" s="774"/>
      <c r="N264" s="774"/>
      <c r="O264" s="774"/>
      <c r="P264" s="774"/>
      <c r="Q264" s="774"/>
      <c r="R264" s="774"/>
      <c r="S264" s="774"/>
      <c r="T264" s="774"/>
      <c r="U264" s="774"/>
      <c r="V264" s="774"/>
      <c r="W264" s="774"/>
      <c r="X264" s="774"/>
      <c r="Y264" s="774"/>
      <c r="Z264" s="774"/>
      <c r="AA264" s="774" t="str">
        <f>IFERROR(IF(VLOOKUP(C264,[4]List1!$A:$D,4,FALSE)=0,"",VLOOKUP(C264,[4]List1!$A:$D,4,FALSE)),"")</f>
        <v/>
      </c>
      <c r="AB264" s="774"/>
      <c r="AC264" s="775"/>
      <c r="AD264" s="774"/>
      <c r="AE264" s="774"/>
      <c r="AF264" s="774"/>
      <c r="AG264" s="774"/>
      <c r="AH264" s="774"/>
      <c r="AI264" s="774"/>
      <c r="AJ264" s="774"/>
      <c r="AK264" s="774"/>
      <c r="AL264" s="774"/>
      <c r="AM264" s="774"/>
      <c r="AN264" s="774"/>
      <c r="AO264" s="380"/>
      <c r="AP264" s="322" t="str">
        <f t="shared" si="353"/>
        <v/>
      </c>
      <c r="AQ264" s="323" t="str">
        <f>IF(AC264=$V$3,IF(VLOOKUP(C264,[1]List1!$A:$E,5,FALSE)=0,1,VLOOKUP(C264,[1]List1!$A:$E,5,FALSE)),"")</f>
        <v/>
      </c>
      <c r="AR264" s="304" t="str">
        <f t="shared" si="354"/>
        <v/>
      </c>
      <c r="AS264" s="423" t="str">
        <f t="shared" si="355"/>
        <v/>
      </c>
      <c r="AT264" s="304" t="str">
        <f t="shared" si="356"/>
        <v/>
      </c>
      <c r="AU264" s="342" t="e">
        <f t="shared" si="357"/>
        <v>#N/A</v>
      </c>
      <c r="AV264" s="304" t="e">
        <f t="shared" si="358"/>
        <v>#N/A</v>
      </c>
      <c r="AX264" s="304">
        <f>IF(AND('General price list'!$J264="F4",'General price list'!$AB264+0&gt;0),1,0)</f>
        <v>0</v>
      </c>
      <c r="AY264" s="304">
        <f t="shared" si="359"/>
        <v>0</v>
      </c>
      <c r="AZ264" s="304">
        <f t="shared" si="360"/>
        <v>0</v>
      </c>
    </row>
    <row r="265" spans="1:52" ht="15" customHeight="1">
      <c r="A265" s="725" t="str">
        <f>Kat.!C265</f>
        <v/>
      </c>
      <c r="B265" s="741">
        <f>IF(AND('General price list'!$J265="F4",$AI$1=FALSE),0,IF(AC265="SKLADEM",1,IF(AC265=$V$3,1,0)))</f>
        <v>0</v>
      </c>
      <c r="C265" s="727" t="s">
        <v>747</v>
      </c>
      <c r="D265" s="728" t="s">
        <v>14542</v>
      </c>
      <c r="E265" s="729" t="s">
        <v>203</v>
      </c>
      <c r="F265" s="725">
        <f>IFERROR(ROUND(IF($AL$3=2,VLOOKUP(C265,[2]List1!$A:$D,2,FALSE)*1.08,VLOOKUP(C265,[2]List1!$A:$D,2,FALSE)),0),"NEUVEDENO!")</f>
        <v>86</v>
      </c>
      <c r="G265" s="730">
        <f t="shared" ref="G265:G280" si="507">(F265)*$B$19</f>
        <v>86</v>
      </c>
      <c r="H265" s="731">
        <f t="shared" ref="H265:H280" si="508">G265/$F$19</f>
        <v>3.4946706272933779</v>
      </c>
      <c r="I265" s="742">
        <v>100</v>
      </c>
      <c r="J265" s="729" t="s">
        <v>137</v>
      </c>
      <c r="K265" s="729" t="s">
        <v>12734</v>
      </c>
      <c r="L265" s="729" t="s">
        <v>24</v>
      </c>
      <c r="M265" s="729" t="s">
        <v>138</v>
      </c>
      <c r="N265" s="729">
        <f>IFERROR(VLOOKUP(C265,[3]List1!$A:$D,4,FALSE),"N/A!")</f>
        <v>2.7132000000000003E-2</v>
      </c>
      <c r="O265" s="729">
        <f>IFERROR(VLOOKUP(C265,[3]List1!$A:$D,3,FALSE),"N/A!")</f>
        <v>1320</v>
      </c>
      <c r="P265" s="729">
        <f>IFERROR(VLOOKUP(C265,[3]List1!$A:$D,2,FALSE),"N/A!")</f>
        <v>10600</v>
      </c>
      <c r="Q265" s="729" t="s">
        <v>217</v>
      </c>
      <c r="R265" s="729" t="s">
        <v>24</v>
      </c>
      <c r="S265" s="729"/>
      <c r="T265" s="729"/>
      <c r="U265" s="729"/>
      <c r="V265" s="729"/>
      <c r="W265" s="729" t="str">
        <f>IFERROR(VLOOKUP('General price list'!$C265,Popisy!A:P,MATCH($W$17,Popisy!$A$7:$P$7,0),FALSE),"---------------")</f>
        <v>síla výbuchu 120dB z 15m, vyrobeno v Evropě, plastová ucpávka</v>
      </c>
      <c r="X265" s="729" t="str">
        <f t="shared" ref="X265:X280" si="509">IF(AB265&lt;0.0001,"",AB265)</f>
        <v/>
      </c>
      <c r="Y265" s="729" t="str">
        <f t="shared" ref="Y265:Y280" si="510">IF($AL$3=2,IF(OR(AB265&lt;&gt;"",AB265&lt;&gt;0),AU265,""),IF(C265="","",IF(AB265&lt;0.0001,"",IF(B265=0,"",IF(AQ265&lt;AB265,"",AB265)))))</f>
        <v/>
      </c>
      <c r="Z265" s="729" t="str">
        <f>HYPERLINK("https://www.klasekpyrotechnics.cz/p066d20")</f>
        <v>https://www.klasekpyrotechnics.cz/p066d20</v>
      </c>
      <c r="AA265" s="729">
        <f>IFERROR(IF(VLOOKUP(C265,[4]List1!$A:$D,4,FALSE)=0,"",VLOOKUP(C265,[4]List1!$A:$D,4,FALSE)),"")</f>
        <v>54</v>
      </c>
      <c r="AB265" s="720"/>
      <c r="AC265" s="743" t="str">
        <f>IFERROR(IF(VLOOKUP(C265,[1]List1!$A:$D,2,FALSE)="VYPRODÁNO",$V$9,IF(VLOOKUP(C265,[1]List1!$A:$D,2,FALSE)="DOCHÁZÍ",$V$3,VLOOKUP(C265,[1]List1!$A:$D,2,FALSE))),"OFFLINE!")</f>
        <v>25.03.2024</v>
      </c>
      <c r="AD265" s="744" t="str">
        <f ca="1">IF(AP265="NE",$V$10,IF(AC265=$V$3,IF(AQ265&lt;1,$V$8,$V$2&amp;" "&amp;AQ265&amp;" "&amp;$V$1),IF(AC265="SKLADEM",$V$6,IFERROR(IF(OR(AC265-TODAY()&gt;45,VLOOKUP(C265,[1]List1!$A:$E,4,FALSE)=0),AC265,DAY(AC265)&amp;"."&amp;MONTH(AC265)&amp;"."&amp;YEAR(AC265)&amp;" "&amp;$V$4&amp;VLOOKUP(C265,[1]List1!$A:$E,4,FALSE)&amp;" "&amp;$V$1),AC265))))</f>
        <v>25.3.2024 DORAZÍ 100+ VK</v>
      </c>
      <c r="AE265" s="729" t="str">
        <f t="shared" ref="AE265:AE280" ca="1" si="511">IFERROR(IF(AV265&lt;&gt;"",AV265,AD265),AD265)</f>
        <v>25.3.2024 DORAZÍ 100+ VK</v>
      </c>
      <c r="AF265" s="735">
        <f t="shared" ref="AF265:AF280" si="512">IFERROR(IF(AB265=Y265,G265*I265*Y265,0),0)</f>
        <v>0</v>
      </c>
      <c r="AG265" s="735">
        <f t="shared" ref="AG265:AG280" si="513">IF($W$17=$AF$8,AH265*1.23,AF265*1.21)</f>
        <v>0</v>
      </c>
      <c r="AH265" s="736">
        <f t="shared" ref="AH265:AH280" si="514">IFERROR(IF(Y265=AB265,H265*I265*Y265,0),0)</f>
        <v>0</v>
      </c>
      <c r="AI265" s="729">
        <f t="shared" ref="AI265:AI280" si="515">IFERROR(IF(Y265=AB265,(P265*Y265)/1000,1),0)</f>
        <v>0</v>
      </c>
      <c r="AJ265" s="729">
        <f t="shared" ref="AJ265:AJ280" si="516">IFERROR(IF(Y265=AB265,N265*Y265,0.1),0)</f>
        <v>0</v>
      </c>
      <c r="AK265" s="729" t="str">
        <f t="shared" ref="AK265:AK280" si="517">IFERROR(IF(Y265=AB265,IF(M265="1.1G",(O265/1000)*Y265,""),""),0)</f>
        <v/>
      </c>
      <c r="AL265" s="729">
        <f t="shared" ref="AL265:AL280" si="518">IFERROR(IF(Y265=AB265,IF(M265="1.3G",(O265/1000)*AB265,""),""),0)</f>
        <v>0</v>
      </c>
      <c r="AM265" s="729" t="str">
        <f t="shared" ref="AM265:AM280" si="519">IFERROR(IF(Y265=AB265,IF(M265="1.4G",(O265/1000)*AB265,""),""),0)</f>
        <v/>
      </c>
      <c r="AN265" s="729">
        <f t="shared" ref="AN265:AN280" si="520">SUM(AK265:AM265)</f>
        <v>0</v>
      </c>
      <c r="AO265" s="380"/>
      <c r="AP265" s="322" t="str">
        <f t="shared" si="353"/>
        <v/>
      </c>
      <c r="AQ265" s="323" t="str">
        <f>IF(AC265=$V$3,IF(VLOOKUP(C265,[1]List1!$A:$E,5,FALSE)=0,1,VLOOKUP(C265,[1]List1!$A:$E,5,FALSE)),"")</f>
        <v/>
      </c>
      <c r="AR265" s="304" t="str">
        <f t="shared" si="354"/>
        <v/>
      </c>
      <c r="AS265" s="423" t="str">
        <f t="shared" si="355"/>
        <v/>
      </c>
      <c r="AT265" s="304" t="str">
        <f t="shared" si="356"/>
        <v/>
      </c>
      <c r="AU265" s="342" t="e">
        <f t="shared" si="357"/>
        <v>#N/A</v>
      </c>
      <c r="AV265" s="304" t="e">
        <f t="shared" si="358"/>
        <v>#N/A</v>
      </c>
      <c r="AX265" s="304">
        <f>IF(AND('General price list'!$J265="F4",'General price list'!$AB265+0&gt;0),1,0)</f>
        <v>0</v>
      </c>
      <c r="AY265" s="304">
        <f t="shared" si="359"/>
        <v>1</v>
      </c>
      <c r="AZ265" s="304">
        <f t="shared" si="360"/>
        <v>0</v>
      </c>
    </row>
    <row r="266" spans="1:52" ht="15" customHeight="1">
      <c r="A266" s="712" t="str">
        <f>Kat.!C266</f>
        <v/>
      </c>
      <c r="B266" s="745">
        <f>IF(AND('General price list'!$J266="F4",$AI$1=FALSE),0,IF(AC266="SKLADEM",1,IF(AC266=$V$3,1,0)))</f>
        <v>1</v>
      </c>
      <c r="C266" s="714" t="s">
        <v>751</v>
      </c>
      <c r="D266" s="715" t="s">
        <v>14543</v>
      </c>
      <c r="E266" s="716" t="s">
        <v>752</v>
      </c>
      <c r="F266" s="712">
        <f>IFERROR(ROUND(IF($AL$3=2,VLOOKUP(C266,[2]List1!$A:$D,2,FALSE)*1.08,VLOOKUP(C266,[2]List1!$A:$D,2,FALSE)),0),"NEUVEDENO!")</f>
        <v>99</v>
      </c>
      <c r="G266" s="717">
        <f t="shared" si="507"/>
        <v>99</v>
      </c>
      <c r="H266" s="718">
        <f t="shared" si="508"/>
        <v>4.0229347918842375</v>
      </c>
      <c r="I266" s="746">
        <v>90</v>
      </c>
      <c r="J266" s="716" t="s">
        <v>137</v>
      </c>
      <c r="K266" s="716"/>
      <c r="L266" s="716" t="s">
        <v>24</v>
      </c>
      <c r="M266" s="716" t="s">
        <v>138</v>
      </c>
      <c r="N266" s="716">
        <f>IFERROR(VLOOKUP(C266,[3]List1!$A:$D,4,FALSE),"N/A!")</f>
        <v>3.6431999999999999E-2</v>
      </c>
      <c r="O266" s="716">
        <f>IFERROR(VLOOKUP(C266,[3]List1!$A:$D,3,FALSE),"N/A!")</f>
        <v>1800</v>
      </c>
      <c r="P266" s="716">
        <f>IFERROR(VLOOKUP(C266,[3]List1!$A:$D,2,FALSE),"N/A!")</f>
        <v>11800</v>
      </c>
      <c r="Q266" s="716" t="s">
        <v>14124</v>
      </c>
      <c r="R266" s="716" t="s">
        <v>24</v>
      </c>
      <c r="S266" s="716"/>
      <c r="T266" s="716"/>
      <c r="U266" s="716"/>
      <c r="V266" s="716"/>
      <c r="W266" s="716" t="str">
        <f>IFERROR(VLOOKUP('General price list'!$C266,Popisy!A:P,MATCH($W$17,Popisy!$A$7:$P$7,0),FALSE),"---------------")</f>
        <v>síla výbuchu 120dB z 15m, vyrobeno v Evropě, plastová ucpávka</v>
      </c>
      <c r="X266" s="716" t="str">
        <f t="shared" si="509"/>
        <v/>
      </c>
      <c r="Y266" s="716" t="str">
        <f t="shared" si="510"/>
        <v/>
      </c>
      <c r="Z266" s="716" t="str">
        <f>HYPERLINK("https://www.klasekpyrotechnics.cz/p10d20")</f>
        <v>https://www.klasekpyrotechnics.cz/p10d20</v>
      </c>
      <c r="AA266" s="716">
        <f>IFERROR(IF(VLOOKUP(C266,[4]List1!$A:$D,4,FALSE)=0,"",VLOOKUP(C266,[4]List1!$A:$D,4,FALSE)),"")</f>
        <v>36</v>
      </c>
      <c r="AB266" s="720"/>
      <c r="AC266" s="747" t="str">
        <f>IFERROR(IF(VLOOKUP(C266,[1]List1!$A:$D,2,FALSE)="VYPRODÁNO",$V$9,IF(VLOOKUP(C266,[1]List1!$A:$D,2,FALSE)="DOCHÁZÍ",$V$3,VLOOKUP(C266,[1]List1!$A:$D,2,FALSE))),"OFFLINE!")</f>
        <v>SKLADEM</v>
      </c>
      <c r="AD266" s="748" t="str">
        <f ca="1">IF(AP266="NE",$V$10,IF(AC266=$V$3,IF(AQ266&lt;1,$V$8,$V$2&amp;" "&amp;AQ266&amp;" "&amp;$V$1),IF(AC266="SKLADEM",$V$6,IFERROR(IF(OR(AC266-TODAY()&gt;45,VLOOKUP(C266,[1]List1!$A:$E,4,FALSE)=0),AC266,DAY(AC266)&amp;"."&amp;MONTH(AC266)&amp;"."&amp;YEAR(AC266)&amp;" "&amp;$V$4&amp;VLOOKUP(C266,[1]List1!$A:$E,4,FALSE)&amp;" "&amp;$V$1),AC266))))</f>
        <v>SKLADEM</v>
      </c>
      <c r="AE266" s="716" t="str">
        <f t="shared" ca="1" si="511"/>
        <v>SKLADEM</v>
      </c>
      <c r="AF266" s="723">
        <f t="shared" si="512"/>
        <v>0</v>
      </c>
      <c r="AG266" s="723">
        <f t="shared" si="513"/>
        <v>0</v>
      </c>
      <c r="AH266" s="724">
        <f t="shared" si="514"/>
        <v>0</v>
      </c>
      <c r="AI266" s="716">
        <f t="shared" si="515"/>
        <v>0</v>
      </c>
      <c r="AJ266" s="716">
        <f t="shared" si="516"/>
        <v>0</v>
      </c>
      <c r="AK266" s="716" t="str">
        <f t="shared" si="517"/>
        <v/>
      </c>
      <c r="AL266" s="716">
        <f t="shared" si="518"/>
        <v>0</v>
      </c>
      <c r="AM266" s="716" t="str">
        <f t="shared" si="519"/>
        <v/>
      </c>
      <c r="AN266" s="716">
        <f t="shared" si="520"/>
        <v>0</v>
      </c>
      <c r="AO266" s="380"/>
      <c r="AP266" s="322" t="str">
        <f t="shared" si="353"/>
        <v/>
      </c>
      <c r="AQ266" s="323" t="str">
        <f>IF(AC266=$V$3,IF(VLOOKUP(C266,[1]List1!$A:$E,5,FALSE)=0,1,VLOOKUP(C266,[1]List1!$A:$E,5,FALSE)),"")</f>
        <v/>
      </c>
      <c r="AR266" s="304" t="str">
        <f t="shared" si="354"/>
        <v/>
      </c>
      <c r="AS266" s="423" t="str">
        <f t="shared" si="355"/>
        <v/>
      </c>
      <c r="AT266" s="304" t="str">
        <f t="shared" si="356"/>
        <v/>
      </c>
      <c r="AU266" s="342" t="e">
        <f t="shared" si="357"/>
        <v>#N/A</v>
      </c>
      <c r="AV266" s="304" t="e">
        <f t="shared" si="358"/>
        <v>#N/A</v>
      </c>
      <c r="AX266" s="304">
        <f>IF(AND('General price list'!$J266="F4",'General price list'!$AB266+0&gt;0),1,0)</f>
        <v>0</v>
      </c>
      <c r="AY266" s="304">
        <f t="shared" si="359"/>
        <v>1</v>
      </c>
      <c r="AZ266" s="304">
        <f t="shared" si="360"/>
        <v>0</v>
      </c>
    </row>
    <row r="267" spans="1:52" ht="15" customHeight="1">
      <c r="A267" s="725" t="str">
        <f>Kat.!C267</f>
        <v/>
      </c>
      <c r="B267" s="749">
        <f>IF(AND('General price list'!$J267="F4",$AI$1=FALSE),0,IF(AC267="SKLADEM",1,IF(AC267=$V$3,1,0)))</f>
        <v>0</v>
      </c>
      <c r="C267" s="727" t="s">
        <v>4488</v>
      </c>
      <c r="D267" s="728" t="s">
        <v>774</v>
      </c>
      <c r="E267" s="729" t="s">
        <v>2667</v>
      </c>
      <c r="F267" s="725">
        <f>IFERROR(ROUND(IF($AL$3=2,VLOOKUP(C267,[2]List1!$A:$D,2,FALSE)*1.08,VLOOKUP(C267,[2]List1!$A:$D,2,FALSE)),0),"NEUVEDENO!")</f>
        <v>57</v>
      </c>
      <c r="G267" s="730">
        <f t="shared" si="507"/>
        <v>57</v>
      </c>
      <c r="H267" s="731">
        <f t="shared" si="508"/>
        <v>2.3162351832060759</v>
      </c>
      <c r="I267" s="750">
        <v>50</v>
      </c>
      <c r="J267" s="729" t="s">
        <v>137</v>
      </c>
      <c r="K267" s="729" t="s">
        <v>12734</v>
      </c>
      <c r="L267" s="729" t="s">
        <v>24</v>
      </c>
      <c r="M267" s="729" t="s">
        <v>25</v>
      </c>
      <c r="N267" s="729">
        <f>IFERROR(VLOOKUP(C267,[3]List1!$A:$D,4,FALSE),"N/A!")</f>
        <v>2.4947999999999998E-2</v>
      </c>
      <c r="O267" s="729">
        <f>IFERROR(VLOOKUP(C267,[3]List1!$A:$D,3,FALSE),"N/A!")</f>
        <v>300</v>
      </c>
      <c r="P267" s="729">
        <f>IFERROR(VLOOKUP(C267,[3]List1!$A:$D,2,FALSE),"N/A!")</f>
        <v>16500</v>
      </c>
      <c r="Q267" s="729" t="s">
        <v>14125</v>
      </c>
      <c r="R267" s="729" t="s">
        <v>24</v>
      </c>
      <c r="S267" s="729"/>
      <c r="T267" s="729"/>
      <c r="U267" s="729"/>
      <c r="V267" s="729"/>
      <c r="W267" s="729" t="str">
        <f>IFERROR(VLOOKUP('General price list'!$C267,Popisy!A:P,MATCH($W$17,Popisy!$A$7:$P$7,0),FALSE),"---------------")</f>
        <v>síla výbuchu 117dB z 15m se zeleným světlem na začátku</v>
      </c>
      <c r="X267" s="729" t="str">
        <f t="shared" si="509"/>
        <v/>
      </c>
      <c r="Y267" s="729" t="str">
        <f t="shared" si="510"/>
        <v/>
      </c>
      <c r="Z267" s="729" t="str">
        <f>HYPERLINK("https://www.klasekpyrotechnics.cz/p6a14f3")</f>
        <v>https://www.klasekpyrotechnics.cz/p6a14f3</v>
      </c>
      <c r="AA267" s="729">
        <f>IFERROR(IF(VLOOKUP(C267,[4]List1!$A:$D,4,FALSE)=0,"",VLOOKUP(C267,[4]List1!$A:$D,4,FALSE)),"")</f>
        <v>42</v>
      </c>
      <c r="AB267" s="720"/>
      <c r="AC267" s="751" t="str">
        <f>IFERROR(IF(VLOOKUP(C267,[1]List1!$A:$D,2,FALSE)="VYPRODÁNO",$V$9,IF(VLOOKUP(C267,[1]List1!$A:$D,2,FALSE)="DOCHÁZÍ",$V$3,VLOOKUP(C267,[1]List1!$A:$D,2,FALSE))),"OFFLINE!")</f>
        <v>15.08.2024</v>
      </c>
      <c r="AD267" s="752" t="str">
        <f ca="1">IF(AP267="NE",$V$10,IF(AC267=$V$3,IF(AQ267&lt;1,$V$8,$V$2&amp;" "&amp;AQ267&amp;" "&amp;$V$1),IF(AC267="SKLADEM",$V$6,IFERROR(IF(OR(AC267-TODAY()&gt;45,VLOOKUP(C267,[1]List1!$A:$E,4,FALSE)=0),AC267,DAY(AC267)&amp;"."&amp;MONTH(AC267)&amp;"."&amp;YEAR(AC267)&amp;" "&amp;$V$4&amp;VLOOKUP(C267,[1]List1!$A:$E,4,FALSE)&amp;" "&amp;$V$1),AC267))))</f>
        <v>15.08.2024</v>
      </c>
      <c r="AE267" s="729" t="str">
        <f t="shared" ca="1" si="511"/>
        <v>15.08.2024</v>
      </c>
      <c r="AF267" s="735">
        <f t="shared" si="512"/>
        <v>0</v>
      </c>
      <c r="AG267" s="735">
        <f t="shared" si="513"/>
        <v>0</v>
      </c>
      <c r="AH267" s="736">
        <f t="shared" si="514"/>
        <v>0</v>
      </c>
      <c r="AI267" s="729">
        <f t="shared" si="515"/>
        <v>0</v>
      </c>
      <c r="AJ267" s="729">
        <f t="shared" si="516"/>
        <v>0</v>
      </c>
      <c r="AK267" s="729" t="str">
        <f t="shared" si="517"/>
        <v/>
      </c>
      <c r="AL267" s="729" t="str">
        <f t="shared" si="518"/>
        <v/>
      </c>
      <c r="AM267" s="729">
        <f t="shared" si="519"/>
        <v>0</v>
      </c>
      <c r="AN267" s="729">
        <f t="shared" si="520"/>
        <v>0</v>
      </c>
      <c r="AO267" s="380"/>
      <c r="AP267" s="322" t="str">
        <f t="shared" si="353"/>
        <v/>
      </c>
      <c r="AQ267" s="323" t="str">
        <f>IF(AC267=$V$3,IF(VLOOKUP(C267,[1]List1!$A:$E,5,FALSE)=0,1,VLOOKUP(C267,[1]List1!$A:$E,5,FALSE)),"")</f>
        <v/>
      </c>
      <c r="AR267" s="304" t="str">
        <f t="shared" si="354"/>
        <v/>
      </c>
      <c r="AS267" s="423" t="str">
        <f t="shared" si="355"/>
        <v/>
      </c>
      <c r="AT267" s="304" t="str">
        <f t="shared" si="356"/>
        <v/>
      </c>
      <c r="AU267" s="342" t="e">
        <f t="shared" si="357"/>
        <v>#N/A</v>
      </c>
      <c r="AV267" s="304" t="e">
        <f t="shared" si="358"/>
        <v>#N/A</v>
      </c>
      <c r="AX267" s="304">
        <f>IF(AND('General price list'!$J267="F4",'General price list'!$AB267+0&gt;0),1,0)</f>
        <v>0</v>
      </c>
      <c r="AY267" s="304">
        <f t="shared" si="359"/>
        <v>1</v>
      </c>
      <c r="AZ267" s="304">
        <f t="shared" si="360"/>
        <v>0</v>
      </c>
    </row>
    <row r="268" spans="1:52" ht="15" customHeight="1">
      <c r="A268" s="712" t="str">
        <f>Kat.!C268</f>
        <v>×</v>
      </c>
      <c r="B268" s="745">
        <f>IF(AND('General price list'!$J268="F4",$AI$1=FALSE),0,IF(AC268="SKLADEM",1,IF(AC268=$V$3,1,0)))</f>
        <v>1</v>
      </c>
      <c r="C268" s="714" t="s">
        <v>12130</v>
      </c>
      <c r="D268" s="715" t="s">
        <v>12017</v>
      </c>
      <c r="E268" s="716" t="s">
        <v>2667</v>
      </c>
      <c r="F268" s="712">
        <f>IFERROR(ROUND(IF($AL$3=2,VLOOKUP(C268,[2]List1!$A:$D,2,FALSE)*1.08,VLOOKUP(C268,[2]List1!$A:$D,2,FALSE)),0),"NEUVEDENO!")</f>
        <v>57</v>
      </c>
      <c r="G268" s="717">
        <f t="shared" si="507"/>
        <v>57</v>
      </c>
      <c r="H268" s="718">
        <f t="shared" si="508"/>
        <v>2.3162351832060759</v>
      </c>
      <c r="I268" s="746">
        <v>50</v>
      </c>
      <c r="J268" s="716" t="s">
        <v>137</v>
      </c>
      <c r="K268" s="716" t="s">
        <v>12734</v>
      </c>
      <c r="L268" s="716" t="s">
        <v>24</v>
      </c>
      <c r="M268" s="716" t="s">
        <v>25</v>
      </c>
      <c r="N268" s="716">
        <f>IFERROR(VLOOKUP(C268,[3]List1!$A:$D,4,FALSE),"N/A!")</f>
        <v>2.4947999999999998E-2</v>
      </c>
      <c r="O268" s="716">
        <f>IFERROR(VLOOKUP(C268,[3]List1!$A:$D,3,FALSE),"N/A!")</f>
        <v>300</v>
      </c>
      <c r="P268" s="716">
        <f>IFERROR(VLOOKUP(C268,[3]List1!$A:$D,2,FALSE),"N/A!")</f>
        <v>15500</v>
      </c>
      <c r="Q268" s="716" t="s">
        <v>14125</v>
      </c>
      <c r="R268" s="716"/>
      <c r="S268" s="716"/>
      <c r="T268" s="716"/>
      <c r="U268" s="716"/>
      <c r="V268" s="716"/>
      <c r="W268" s="716" t="str">
        <f>IFERROR(VLOOKUP('General price list'!$C268,Popisy!A:P,MATCH($W$17,Popisy!$A$7:$P$7,0),FALSE),"---------------")</f>
        <v>síla výbuchu 117dB z 15m s červenýnm světlem na začátku</v>
      </c>
      <c r="X268" s="716" t="str">
        <f t="shared" si="509"/>
        <v/>
      </c>
      <c r="Y268" s="716" t="str">
        <f t="shared" si="510"/>
        <v/>
      </c>
      <c r="Z268" s="716" t="str">
        <f>HYPERLINK("https://www.klasekpyrotechnics.cz/p6a14f3_r")</f>
        <v>https://www.klasekpyrotechnics.cz/p6a14f3_r</v>
      </c>
      <c r="AA268" s="716">
        <f>IFERROR(IF(VLOOKUP(C268,[4]List1!$A:$D,4,FALSE)=0,"",VLOOKUP(C268,[4]List1!$A:$D,4,FALSE)),"")</f>
        <v>42</v>
      </c>
      <c r="AB268" s="720"/>
      <c r="AC268" s="747" t="str">
        <f>IFERROR(IF(VLOOKUP(C268,[1]List1!$A:$D,2,FALSE)="VYPRODÁNO",$V$9,IF(VLOOKUP(C268,[1]List1!$A:$D,2,FALSE)="DOCHÁZÍ",$V$3,VLOOKUP(C268,[1]List1!$A:$D,2,FALSE))),"OFFLINE!")</f>
        <v>SKLADEM</v>
      </c>
      <c r="AD268" s="748" t="str">
        <f ca="1">IF(AP268="NE",$V$10,IF(AC268=$V$3,IF(AQ268&lt;1,$V$8,$V$2&amp;" "&amp;AQ268&amp;" "&amp;$V$1),IF(AC268="SKLADEM",$V$6,IFERROR(IF(OR(AC268-TODAY()&gt;45,VLOOKUP(C268,[1]List1!$A:$E,4,FALSE)=0),AC268,DAY(AC268)&amp;"."&amp;MONTH(AC268)&amp;"."&amp;YEAR(AC268)&amp;" "&amp;$V$4&amp;VLOOKUP(C268,[1]List1!$A:$E,4,FALSE)&amp;" "&amp;$V$1),AC268))))</f>
        <v>SKLADEM</v>
      </c>
      <c r="AE268" s="716" t="str">
        <f t="shared" ca="1" si="511"/>
        <v>SKLADEM</v>
      </c>
      <c r="AF268" s="723">
        <f t="shared" si="512"/>
        <v>0</v>
      </c>
      <c r="AG268" s="723">
        <f t="shared" si="513"/>
        <v>0</v>
      </c>
      <c r="AH268" s="724">
        <f t="shared" si="514"/>
        <v>0</v>
      </c>
      <c r="AI268" s="716">
        <f t="shared" si="515"/>
        <v>0</v>
      </c>
      <c r="AJ268" s="716">
        <f t="shared" si="516"/>
        <v>0</v>
      </c>
      <c r="AK268" s="716" t="str">
        <f t="shared" si="517"/>
        <v/>
      </c>
      <c r="AL268" s="716" t="str">
        <f t="shared" si="518"/>
        <v/>
      </c>
      <c r="AM268" s="716">
        <f t="shared" si="519"/>
        <v>0</v>
      </c>
      <c r="AN268" s="716">
        <f t="shared" si="520"/>
        <v>0</v>
      </c>
      <c r="AO268" s="380"/>
      <c r="AP268" s="322" t="str">
        <f t="shared" si="353"/>
        <v/>
      </c>
      <c r="AQ268" s="323" t="str">
        <f>IF(AC268=$V$3,IF(VLOOKUP(C268,[1]List1!$A:$E,5,FALSE)=0,1,VLOOKUP(C268,[1]List1!$A:$E,5,FALSE)),"")</f>
        <v/>
      </c>
      <c r="AR268" s="304" t="str">
        <f t="shared" si="354"/>
        <v/>
      </c>
      <c r="AS268" s="423" t="str">
        <f t="shared" si="355"/>
        <v/>
      </c>
      <c r="AT268" s="304" t="str">
        <f t="shared" si="356"/>
        <v/>
      </c>
      <c r="AU268" s="342" t="e">
        <f t="shared" si="357"/>
        <v>#N/A</v>
      </c>
      <c r="AV268" s="304" t="e">
        <f t="shared" si="358"/>
        <v>#N/A</v>
      </c>
      <c r="AX268" s="304">
        <f>IF(AND('General price list'!$J268="F4",'General price list'!$AB268+0&gt;0),1,0)</f>
        <v>0</v>
      </c>
      <c r="AY268" s="304">
        <f t="shared" si="359"/>
        <v>1</v>
      </c>
      <c r="AZ268" s="304">
        <f t="shared" si="360"/>
        <v>0</v>
      </c>
    </row>
    <row r="269" spans="1:52" ht="15" customHeight="1">
      <c r="A269" s="725" t="str">
        <f>Kat.!C269</f>
        <v/>
      </c>
      <c r="B269" s="749">
        <f>IF(AND('General price list'!$J269="F4",$AI$1=FALSE),0,IF(AC269="SKLADEM",1,IF(AC269=$V$3,1,0)))</f>
        <v>1</v>
      </c>
      <c r="C269" s="727" t="s">
        <v>4497</v>
      </c>
      <c r="D269" s="728" t="s">
        <v>4498</v>
      </c>
      <c r="E269" s="729" t="s">
        <v>11314</v>
      </c>
      <c r="F269" s="725">
        <f>IFERROR(ROUND(IF($AL$3=2,VLOOKUP(C269,[2]List1!$A:$D,2,FALSE)*1.08,VLOOKUP(C269,[2]List1!$A:$D,2,FALSE)),0),"NEUVEDENO!")</f>
        <v>73</v>
      </c>
      <c r="G269" s="730">
        <f t="shared" si="507"/>
        <v>73</v>
      </c>
      <c r="H269" s="731">
        <f t="shared" si="508"/>
        <v>2.9664064627025182</v>
      </c>
      <c r="I269" s="750">
        <v>40</v>
      </c>
      <c r="J269" s="729" t="s">
        <v>137</v>
      </c>
      <c r="K269" s="729"/>
      <c r="L269" s="729" t="s">
        <v>24</v>
      </c>
      <c r="M269" s="729" t="s">
        <v>25</v>
      </c>
      <c r="N269" s="729">
        <f>IFERROR(VLOOKUP(C269,[3]List1!$A:$D,4,FALSE),"N/A!")</f>
        <v>3.47347E-2</v>
      </c>
      <c r="O269" s="729">
        <f>IFERROR(VLOOKUP(C269,[3]List1!$A:$D,3,FALSE),"N/A!")</f>
        <v>388.8</v>
      </c>
      <c r="P269" s="729">
        <f>IFERROR(VLOOKUP(C269,[3]List1!$A:$D,2,FALSE),"N/A!")</f>
        <v>12000</v>
      </c>
      <c r="Q269" s="729" t="s">
        <v>14126</v>
      </c>
      <c r="R269" s="729" t="s">
        <v>24</v>
      </c>
      <c r="S269" s="729"/>
      <c r="T269" s="729"/>
      <c r="U269" s="729"/>
      <c r="V269" s="729"/>
      <c r="W269" s="729" t="str">
        <f>IFERROR(VLOOKUP('General price list'!$C269,Popisy!A:P,MATCH($W$17,Popisy!$A$7:$P$7,0),FALSE),"---------------")</f>
        <v>síla výbuchu 118dB z 15m, plastové ucpávky</v>
      </c>
      <c r="X269" s="729" t="str">
        <f t="shared" si="509"/>
        <v/>
      </c>
      <c r="Y269" s="729" t="str">
        <f t="shared" si="510"/>
        <v/>
      </c>
      <c r="Z269" s="729" t="str">
        <f>HYPERLINK("https://www.klasekpyrotechnics.cz/p7a14")</f>
        <v>https://www.klasekpyrotechnics.cz/p7a14</v>
      </c>
      <c r="AA269" s="729">
        <f>IFERROR(IF(VLOOKUP(C269,[4]List1!$A:$D,4,FALSE)=0,"",VLOOKUP(C269,[4]List1!$A:$D,4,FALSE)),"")</f>
        <v>30</v>
      </c>
      <c r="AB269" s="720"/>
      <c r="AC269" s="751" t="str">
        <f>IFERROR(IF(VLOOKUP(C269,[1]List1!$A:$D,2,FALSE)="VYPRODÁNO",$V$9,IF(VLOOKUP(C269,[1]List1!$A:$D,2,FALSE)="DOCHÁZÍ",$V$3,VLOOKUP(C269,[1]List1!$A:$D,2,FALSE))),"OFFLINE!")</f>
        <v>SKLADEM</v>
      </c>
      <c r="AD269" s="752" t="str">
        <f ca="1">IF(AP269="NE",$V$10,IF(AC269=$V$3,IF(AQ269&lt;1,$V$8,$V$2&amp;" "&amp;AQ269&amp;" "&amp;$V$1),IF(AC269="SKLADEM",$V$6,IFERROR(IF(OR(AC269-TODAY()&gt;45,VLOOKUP(C269,[1]List1!$A:$E,4,FALSE)=0),AC269,DAY(AC269)&amp;"."&amp;MONTH(AC269)&amp;"."&amp;YEAR(AC269)&amp;" "&amp;$V$4&amp;VLOOKUP(C269,[1]List1!$A:$E,4,FALSE)&amp;" "&amp;$V$1),AC269))))</f>
        <v>SKLADEM</v>
      </c>
      <c r="AE269" s="729" t="str">
        <f t="shared" ca="1" si="511"/>
        <v>SKLADEM</v>
      </c>
      <c r="AF269" s="735">
        <f t="shared" si="512"/>
        <v>0</v>
      </c>
      <c r="AG269" s="735">
        <f t="shared" si="513"/>
        <v>0</v>
      </c>
      <c r="AH269" s="736">
        <f t="shared" si="514"/>
        <v>0</v>
      </c>
      <c r="AI269" s="729">
        <f t="shared" si="515"/>
        <v>0</v>
      </c>
      <c r="AJ269" s="729">
        <f t="shared" si="516"/>
        <v>0</v>
      </c>
      <c r="AK269" s="729" t="str">
        <f t="shared" si="517"/>
        <v/>
      </c>
      <c r="AL269" s="729" t="str">
        <f t="shared" si="518"/>
        <v/>
      </c>
      <c r="AM269" s="729">
        <f t="shared" si="519"/>
        <v>0</v>
      </c>
      <c r="AN269" s="729">
        <f t="shared" si="520"/>
        <v>0</v>
      </c>
      <c r="AO269" s="380"/>
      <c r="AP269" s="322" t="str">
        <f t="shared" si="353"/>
        <v/>
      </c>
      <c r="AQ269" s="323" t="str">
        <f>IF(AC269=$V$3,IF(VLOOKUP(C269,[1]List1!$A:$E,5,FALSE)=0,1,VLOOKUP(C269,[1]List1!$A:$E,5,FALSE)),"")</f>
        <v/>
      </c>
      <c r="AR269" s="304" t="str">
        <f t="shared" si="354"/>
        <v/>
      </c>
      <c r="AS269" s="423" t="str">
        <f t="shared" si="355"/>
        <v/>
      </c>
      <c r="AT269" s="304" t="str">
        <f t="shared" si="356"/>
        <v/>
      </c>
      <c r="AU269" s="342" t="e">
        <f t="shared" si="357"/>
        <v>#N/A</v>
      </c>
      <c r="AV269" s="304" t="e">
        <f t="shared" si="358"/>
        <v>#N/A</v>
      </c>
      <c r="AX269" s="304">
        <f>IF(AND('General price list'!$J269="F4",'General price list'!$AB269+0&gt;0),1,0)</f>
        <v>0</v>
      </c>
      <c r="AY269" s="304">
        <f t="shared" si="359"/>
        <v>1</v>
      </c>
      <c r="AZ269" s="304">
        <f t="shared" si="360"/>
        <v>0</v>
      </c>
    </row>
    <row r="270" spans="1:52" ht="15" customHeight="1">
      <c r="A270" s="712" t="str">
        <f>Kat.!C270</f>
        <v/>
      </c>
      <c r="B270" s="745">
        <f>IF(AND('General price list'!$J270="F4",$AI$1=FALSE),0,IF(AC270="SKLADEM",1,IF(AC270=$V$3,1,0)))</f>
        <v>1</v>
      </c>
      <c r="C270" s="714" t="s">
        <v>757</v>
      </c>
      <c r="D270" s="715" t="s">
        <v>753</v>
      </c>
      <c r="E270" s="716" t="s">
        <v>758</v>
      </c>
      <c r="F270" s="712">
        <f>IFERROR(ROUND(IF($AL$3=2,VLOOKUP(C270,[2]List1!$A:$D,2,FALSE)*1.08,VLOOKUP(C270,[2]List1!$A:$D,2,FALSE)),0),"NEUVEDENO!")</f>
        <v>47</v>
      </c>
      <c r="G270" s="717">
        <f t="shared" si="507"/>
        <v>47</v>
      </c>
      <c r="H270" s="718">
        <f t="shared" si="508"/>
        <v>1.9098781335207995</v>
      </c>
      <c r="I270" s="746">
        <v>90</v>
      </c>
      <c r="J270" s="716" t="s">
        <v>137</v>
      </c>
      <c r="K270" s="716"/>
      <c r="L270" s="716" t="s">
        <v>24</v>
      </c>
      <c r="M270" s="716" t="s">
        <v>25</v>
      </c>
      <c r="N270" s="716">
        <f>IFERROR(VLOOKUP(C270,[3]List1!$A:$D,4,FALSE),"N/A!")</f>
        <v>3.3639999999999996E-2</v>
      </c>
      <c r="O270" s="716">
        <f>IFERROR(VLOOKUP(C270,[3]List1!$A:$D,3,FALSE),"N/A!")</f>
        <v>864</v>
      </c>
      <c r="P270" s="716">
        <f>IFERROR(VLOOKUP(C270,[3]List1!$A:$D,2,FALSE),"N/A!")</f>
        <v>22500</v>
      </c>
      <c r="Q270" s="716" t="s">
        <v>14127</v>
      </c>
      <c r="R270" s="716" t="s">
        <v>24</v>
      </c>
      <c r="S270" s="716"/>
      <c r="T270" s="716"/>
      <c r="U270" s="716"/>
      <c r="V270" s="716"/>
      <c r="W270" s="716" t="str">
        <f>IFERROR(VLOOKUP('General price list'!$C270,Popisy!A:P,MATCH($W$17,Popisy!$A$7:$P$7,0),FALSE),"---------------")</f>
        <v>síla výbuchu 120dB z 15m</v>
      </c>
      <c r="X270" s="716" t="str">
        <f t="shared" si="509"/>
        <v/>
      </c>
      <c r="Y270" s="716" t="str">
        <f t="shared" si="510"/>
        <v/>
      </c>
      <c r="Z270" s="716" t="str">
        <f>HYPERLINK("https://www.klasekpyrotechnics.cz/p4a_1")</f>
        <v>https://www.klasekpyrotechnics.cz/p4a_1</v>
      </c>
      <c r="AA270" s="716">
        <f>IFERROR(IF(VLOOKUP(C270,[4]List1!$A:$D,4,FALSE)=0,"",VLOOKUP(C270,[4]List1!$A:$D,4,FALSE)),"")</f>
        <v>34</v>
      </c>
      <c r="AB270" s="720"/>
      <c r="AC270" s="747" t="str">
        <f>IFERROR(IF(VLOOKUP(C270,[1]List1!$A:$D,2,FALSE)="VYPRODÁNO",$V$9,IF(VLOOKUP(C270,[1]List1!$A:$D,2,FALSE)="DOCHÁZÍ",$V$3,VLOOKUP(C270,[1]List1!$A:$D,2,FALSE))),"OFFLINE!")</f>
        <v>SKLADEM</v>
      </c>
      <c r="AD270" s="748" t="str">
        <f ca="1">IF(AP270="NE",$V$10,IF(AC270=$V$3,IF(AQ270&lt;1,$V$8,$V$2&amp;" "&amp;AQ270&amp;" "&amp;$V$1),IF(AC270="SKLADEM",$V$6,IFERROR(IF(OR(AC270-TODAY()&gt;45,VLOOKUP(C270,[1]List1!$A:$E,4,FALSE)=0),AC270,DAY(AC270)&amp;"."&amp;MONTH(AC270)&amp;"."&amp;YEAR(AC270)&amp;" "&amp;$V$4&amp;VLOOKUP(C270,[1]List1!$A:$E,4,FALSE)&amp;" "&amp;$V$1),AC270))))</f>
        <v>SKLADEM</v>
      </c>
      <c r="AE270" s="716" t="str">
        <f t="shared" ca="1" si="511"/>
        <v>SKLADEM</v>
      </c>
      <c r="AF270" s="723">
        <f t="shared" si="512"/>
        <v>0</v>
      </c>
      <c r="AG270" s="723">
        <f t="shared" si="513"/>
        <v>0</v>
      </c>
      <c r="AH270" s="724">
        <f t="shared" si="514"/>
        <v>0</v>
      </c>
      <c r="AI270" s="716">
        <f t="shared" si="515"/>
        <v>0</v>
      </c>
      <c r="AJ270" s="716">
        <f t="shared" si="516"/>
        <v>0</v>
      </c>
      <c r="AK270" s="716" t="str">
        <f t="shared" si="517"/>
        <v/>
      </c>
      <c r="AL270" s="716" t="str">
        <f t="shared" si="518"/>
        <v/>
      </c>
      <c r="AM270" s="716">
        <f t="shared" si="519"/>
        <v>0</v>
      </c>
      <c r="AN270" s="716">
        <f t="shared" si="520"/>
        <v>0</v>
      </c>
      <c r="AO270" s="380"/>
      <c r="AP270" s="322" t="str">
        <f t="shared" si="353"/>
        <v/>
      </c>
      <c r="AQ270" s="323" t="str">
        <f>IF(AC270=$V$3,IF(VLOOKUP(C270,[1]List1!$A:$E,5,FALSE)=0,1,VLOOKUP(C270,[1]List1!$A:$E,5,FALSE)),"")</f>
        <v/>
      </c>
      <c r="AR270" s="304" t="str">
        <f t="shared" si="354"/>
        <v/>
      </c>
      <c r="AS270" s="423" t="str">
        <f t="shared" si="355"/>
        <v/>
      </c>
      <c r="AT270" s="304" t="str">
        <f t="shared" si="356"/>
        <v/>
      </c>
      <c r="AU270" s="342" t="e">
        <f t="shared" si="357"/>
        <v>#N/A</v>
      </c>
      <c r="AV270" s="304" t="e">
        <f t="shared" si="358"/>
        <v>#N/A</v>
      </c>
      <c r="AX270" s="304">
        <f>IF(AND('General price list'!$J270="F4",'General price list'!$AB270+0&gt;0),1,0)</f>
        <v>0</v>
      </c>
      <c r="AY270" s="304">
        <f t="shared" si="359"/>
        <v>1</v>
      </c>
      <c r="AZ270" s="304">
        <f t="shared" si="360"/>
        <v>0</v>
      </c>
    </row>
    <row r="271" spans="1:52" ht="15" customHeight="1">
      <c r="A271" s="725" t="str">
        <f>Kat.!C271</f>
        <v/>
      </c>
      <c r="B271" s="749">
        <f>IF(AND('General price list'!$J271="F4",$AI$1=FALSE),0,IF(AC271="SKLADEM",1,IF(AC271=$V$3,1,0)))</f>
        <v>1</v>
      </c>
      <c r="C271" s="727" t="s">
        <v>759</v>
      </c>
      <c r="D271" s="728" t="s">
        <v>760</v>
      </c>
      <c r="E271" s="729" t="s">
        <v>761</v>
      </c>
      <c r="F271" s="725">
        <f>IFERROR(ROUND(IF($AL$3=2,VLOOKUP(C271,[2]List1!$A:$D,2,FALSE)*1.08,VLOOKUP(C271,[2]List1!$A:$D,2,FALSE)),0),"NEUVEDENO!")</f>
        <v>56</v>
      </c>
      <c r="G271" s="730">
        <f t="shared" si="507"/>
        <v>56</v>
      </c>
      <c r="H271" s="731">
        <f t="shared" si="508"/>
        <v>2.2755994782375484</v>
      </c>
      <c r="I271" s="750">
        <v>70</v>
      </c>
      <c r="J271" s="729" t="s">
        <v>137</v>
      </c>
      <c r="K271" s="729"/>
      <c r="L271" s="729" t="s">
        <v>24</v>
      </c>
      <c r="M271" s="729" t="s">
        <v>25</v>
      </c>
      <c r="N271" s="729">
        <f>IFERROR(VLOOKUP(C271,[3]List1!$A:$D,4,FALSE),"N/A!")</f>
        <v>2.97913E-2</v>
      </c>
      <c r="O271" s="729">
        <f>IFERROR(VLOOKUP(C271,[3]List1!$A:$D,3,FALSE),"N/A!")</f>
        <v>688.8</v>
      </c>
      <c r="P271" s="729">
        <f>IFERROR(VLOOKUP(C271,[3]List1!$A:$D,2,FALSE),"N/A!")</f>
        <v>19000</v>
      </c>
      <c r="Q271" s="729" t="s">
        <v>14126</v>
      </c>
      <c r="R271" s="729" t="s">
        <v>24</v>
      </c>
      <c r="S271" s="729"/>
      <c r="T271" s="729"/>
      <c r="U271" s="729"/>
      <c r="V271" s="729"/>
      <c r="W271" s="729" t="str">
        <f>IFERROR(VLOOKUP('General price list'!$C271,Popisy!A:P,MATCH($W$17,Popisy!$A$7:$P$7,0),FALSE),"---------------")</f>
        <v>síla výbuchu 120dB z 15m</v>
      </c>
      <c r="X271" s="729" t="str">
        <f t="shared" si="509"/>
        <v/>
      </c>
      <c r="Y271" s="729" t="str">
        <f t="shared" si="510"/>
        <v/>
      </c>
      <c r="Z271" s="729" t="str">
        <f>HYPERLINK("https://www.klasekpyrotechnics.cz/p4b")</f>
        <v>https://www.klasekpyrotechnics.cz/p4b</v>
      </c>
      <c r="AA271" s="729">
        <f>IFERROR(IF(VLOOKUP(C271,[4]List1!$A:$D,4,FALSE)=0,"",VLOOKUP(C271,[4]List1!$A:$D,4,FALSE)),"")</f>
        <v>36</v>
      </c>
      <c r="AB271" s="720"/>
      <c r="AC271" s="751" t="str">
        <f>IFERROR(IF(VLOOKUP(C271,[1]List1!$A:$D,2,FALSE)="VYPRODÁNO",$V$9,IF(VLOOKUP(C271,[1]List1!$A:$D,2,FALSE)="DOCHÁZÍ",$V$3,VLOOKUP(C271,[1]List1!$A:$D,2,FALSE))),"OFFLINE!")</f>
        <v>SKLADEM</v>
      </c>
      <c r="AD271" s="752" t="str">
        <f ca="1">IF(AP271="NE",$V$10,IF(AC271=$V$3,IF(AQ271&lt;1,$V$8,$V$2&amp;" "&amp;AQ271&amp;" "&amp;$V$1),IF(AC271="SKLADEM",$V$6,IFERROR(IF(OR(AC271-TODAY()&gt;45,VLOOKUP(C271,[1]List1!$A:$E,4,FALSE)=0),AC271,DAY(AC271)&amp;"."&amp;MONTH(AC271)&amp;"."&amp;YEAR(AC271)&amp;" "&amp;$V$4&amp;VLOOKUP(C271,[1]List1!$A:$E,4,FALSE)&amp;" "&amp;$V$1),AC271))))</f>
        <v>SKLADEM</v>
      </c>
      <c r="AE271" s="729" t="str">
        <f t="shared" ca="1" si="511"/>
        <v>SKLADEM</v>
      </c>
      <c r="AF271" s="735">
        <f t="shared" si="512"/>
        <v>0</v>
      </c>
      <c r="AG271" s="735">
        <f t="shared" si="513"/>
        <v>0</v>
      </c>
      <c r="AH271" s="736">
        <f t="shared" si="514"/>
        <v>0</v>
      </c>
      <c r="AI271" s="729">
        <f t="shared" si="515"/>
        <v>0</v>
      </c>
      <c r="AJ271" s="729">
        <f t="shared" si="516"/>
        <v>0</v>
      </c>
      <c r="AK271" s="729" t="str">
        <f t="shared" si="517"/>
        <v/>
      </c>
      <c r="AL271" s="729" t="str">
        <f t="shared" si="518"/>
        <v/>
      </c>
      <c r="AM271" s="729">
        <f t="shared" si="519"/>
        <v>0</v>
      </c>
      <c r="AN271" s="729">
        <f t="shared" si="520"/>
        <v>0</v>
      </c>
      <c r="AO271" s="380"/>
      <c r="AP271" s="322" t="str">
        <f t="shared" si="353"/>
        <v/>
      </c>
      <c r="AQ271" s="323" t="str">
        <f>IF(AC271=$V$3,IF(VLOOKUP(C271,[1]List1!$A:$E,5,FALSE)=0,1,VLOOKUP(C271,[1]List1!$A:$E,5,FALSE)),"")</f>
        <v/>
      </c>
      <c r="AR271" s="304" t="str">
        <f t="shared" si="354"/>
        <v/>
      </c>
      <c r="AS271" s="423" t="str">
        <f t="shared" si="355"/>
        <v/>
      </c>
      <c r="AT271" s="304" t="str">
        <f t="shared" si="356"/>
        <v/>
      </c>
      <c r="AU271" s="342" t="e">
        <f t="shared" si="357"/>
        <v>#N/A</v>
      </c>
      <c r="AV271" s="304" t="e">
        <f t="shared" si="358"/>
        <v>#N/A</v>
      </c>
      <c r="AX271" s="304">
        <f>IF(AND('General price list'!$J271="F4",'General price list'!$AB271+0&gt;0),1,0)</f>
        <v>0</v>
      </c>
      <c r="AY271" s="304">
        <f t="shared" si="359"/>
        <v>1</v>
      </c>
      <c r="AZ271" s="304">
        <f t="shared" si="360"/>
        <v>0</v>
      </c>
    </row>
    <row r="272" spans="1:52" ht="15" customHeight="1">
      <c r="A272" s="712" t="str">
        <f>Kat.!C272</f>
        <v/>
      </c>
      <c r="B272" s="745">
        <f>IF(AND('General price list'!$J272="F4",$AI$1=FALSE),0,IF(AC272="SKLADEM",1,IF(AC272=$V$3,1,0)))</f>
        <v>0</v>
      </c>
      <c r="C272" s="714" t="s">
        <v>763</v>
      </c>
      <c r="D272" s="715" t="s">
        <v>764</v>
      </c>
      <c r="E272" s="716" t="s">
        <v>744</v>
      </c>
      <c r="F272" s="712">
        <f>IFERROR(ROUND(IF($AL$3=2,VLOOKUP(C272,[2]List1!$A:$D,2,FALSE)*1.08,VLOOKUP(C272,[2]List1!$A:$D,2,FALSE)),0),"NEUVEDENO!")</f>
        <v>63</v>
      </c>
      <c r="G272" s="717">
        <f t="shared" si="507"/>
        <v>63</v>
      </c>
      <c r="H272" s="718">
        <f t="shared" si="508"/>
        <v>2.560049413017242</v>
      </c>
      <c r="I272" s="746">
        <v>50</v>
      </c>
      <c r="J272" s="716" t="s">
        <v>137</v>
      </c>
      <c r="K272" s="716"/>
      <c r="L272" s="716" t="s">
        <v>24</v>
      </c>
      <c r="M272" s="716" t="s">
        <v>25</v>
      </c>
      <c r="N272" s="716">
        <f>IFERROR(VLOOKUP(C272,[3]List1!$A:$D,4,FALSE),"N/A!")</f>
        <v>2.6400000000000003E-2</v>
      </c>
      <c r="O272" s="716">
        <f>IFERROR(VLOOKUP(C272,[3]List1!$A:$D,3,FALSE),"N/A!")</f>
        <v>490.00000000000006</v>
      </c>
      <c r="P272" s="716">
        <f>IFERROR(VLOOKUP(C272,[3]List1!$A:$D,2,FALSE),"N/A!")</f>
        <v>15500</v>
      </c>
      <c r="Q272" s="716" t="s">
        <v>14124</v>
      </c>
      <c r="R272" s="716" t="s">
        <v>24</v>
      </c>
      <c r="S272" s="716"/>
      <c r="T272" s="716"/>
      <c r="U272" s="716"/>
      <c r="V272" s="716"/>
      <c r="W272" s="716" t="str">
        <f>IFERROR(VLOOKUP('General price list'!$C272,Popisy!A:P,MATCH($W$17,Popisy!$A$7:$P$7,0),FALSE),"---------------")</f>
        <v>síla výbuchu 120dB z 15m se zeleným světlem na začátku</v>
      </c>
      <c r="X272" s="716" t="str">
        <f t="shared" si="509"/>
        <v/>
      </c>
      <c r="Y272" s="716" t="str">
        <f t="shared" si="510"/>
        <v/>
      </c>
      <c r="Z272" s="716" t="str">
        <f>HYPERLINK("https://www.klasekpyrotechnics.cz/p5du13")</f>
        <v>https://www.klasekpyrotechnics.cz/p5du13</v>
      </c>
      <c r="AA272" s="716">
        <f>IFERROR(IF(VLOOKUP(C272,[4]List1!$A:$D,4,FALSE)=0,"",VLOOKUP(C272,[4]List1!$A:$D,4,FALSE)),"")</f>
        <v>42</v>
      </c>
      <c r="AB272" s="720"/>
      <c r="AC272" s="747" t="str">
        <f>IFERROR(IF(VLOOKUP(C272,[1]List1!$A:$D,2,FALSE)="VYPRODÁNO",$V$9,IF(VLOOKUP(C272,[1]List1!$A:$D,2,FALSE)="DOCHÁZÍ",$V$3,VLOOKUP(C272,[1]List1!$A:$D,2,FALSE))),"OFFLINE!")</f>
        <v>15.06.2024</v>
      </c>
      <c r="AD272" s="748" t="str">
        <f ca="1">IF(AP272="NE",$V$10,IF(AC272=$V$3,IF(AQ272&lt;1,$V$8,$V$2&amp;" "&amp;AQ272&amp;" "&amp;$V$1),IF(AC272="SKLADEM",$V$6,IFERROR(IF(OR(AC272-TODAY()&gt;45,VLOOKUP(C272,[1]List1!$A:$E,4,FALSE)=0),AC272,DAY(AC272)&amp;"."&amp;MONTH(AC272)&amp;"."&amp;YEAR(AC272)&amp;" "&amp;$V$4&amp;VLOOKUP(C272,[1]List1!$A:$E,4,FALSE)&amp;" "&amp;$V$1),AC272))))</f>
        <v>15.06.2024</v>
      </c>
      <c r="AE272" s="716" t="str">
        <f t="shared" ca="1" si="511"/>
        <v>15.06.2024</v>
      </c>
      <c r="AF272" s="723">
        <f t="shared" si="512"/>
        <v>0</v>
      </c>
      <c r="AG272" s="723">
        <f t="shared" si="513"/>
        <v>0</v>
      </c>
      <c r="AH272" s="724">
        <f t="shared" si="514"/>
        <v>0</v>
      </c>
      <c r="AI272" s="716">
        <f t="shared" si="515"/>
        <v>0</v>
      </c>
      <c r="AJ272" s="716">
        <f t="shared" si="516"/>
        <v>0</v>
      </c>
      <c r="AK272" s="716" t="str">
        <f t="shared" si="517"/>
        <v/>
      </c>
      <c r="AL272" s="716" t="str">
        <f t="shared" si="518"/>
        <v/>
      </c>
      <c r="AM272" s="716">
        <f t="shared" si="519"/>
        <v>0</v>
      </c>
      <c r="AN272" s="716">
        <f t="shared" si="520"/>
        <v>0</v>
      </c>
      <c r="AO272" s="380"/>
      <c r="AP272" s="322" t="str">
        <f t="shared" si="353"/>
        <v/>
      </c>
      <c r="AQ272" s="323" t="str">
        <f>IF(AC272=$V$3,IF(VLOOKUP(C272,[1]List1!$A:$E,5,FALSE)=0,1,VLOOKUP(C272,[1]List1!$A:$E,5,FALSE)),"")</f>
        <v/>
      </c>
      <c r="AR272" s="304" t="str">
        <f t="shared" si="354"/>
        <v/>
      </c>
      <c r="AS272" s="423" t="str">
        <f t="shared" si="355"/>
        <v/>
      </c>
      <c r="AT272" s="304" t="str">
        <f t="shared" si="356"/>
        <v/>
      </c>
      <c r="AU272" s="342" t="e">
        <f t="shared" si="357"/>
        <v>#N/A</v>
      </c>
      <c r="AV272" s="304" t="e">
        <f t="shared" si="358"/>
        <v>#N/A</v>
      </c>
      <c r="AX272" s="304">
        <f>IF(AND('General price list'!$J272="F4",'General price list'!$AB272+0&gt;0),1,0)</f>
        <v>0</v>
      </c>
      <c r="AY272" s="304">
        <f t="shared" si="359"/>
        <v>1</v>
      </c>
      <c r="AZ272" s="304">
        <f t="shared" si="360"/>
        <v>0</v>
      </c>
    </row>
    <row r="273" spans="1:52" ht="15" customHeight="1">
      <c r="A273" s="725" t="str">
        <f>Kat.!C273</f>
        <v/>
      </c>
      <c r="B273" s="749">
        <f>IF(AND('General price list'!$J273="F4",$AI$1=FALSE),0,IF(AC273="SKLADEM",1,IF(AC273=$V$3,1,0)))</f>
        <v>1</v>
      </c>
      <c r="C273" s="727" t="s">
        <v>4518</v>
      </c>
      <c r="D273" s="728" t="s">
        <v>764</v>
      </c>
      <c r="E273" s="729" t="s">
        <v>744</v>
      </c>
      <c r="F273" s="725">
        <f>IFERROR(ROUND(IF($AL$3=2,VLOOKUP(C273,[2]List1!$A:$D,2,FALSE)*1.08,VLOOKUP(C273,[2]List1!$A:$D,2,FALSE)),0),"NEUVEDENO!")</f>
        <v>51</v>
      </c>
      <c r="G273" s="730">
        <f t="shared" si="507"/>
        <v>51</v>
      </c>
      <c r="H273" s="731">
        <f t="shared" si="508"/>
        <v>2.0724209533949103</v>
      </c>
      <c r="I273" s="750">
        <v>50</v>
      </c>
      <c r="J273" s="729" t="s">
        <v>137</v>
      </c>
      <c r="K273" s="729" t="s">
        <v>12734</v>
      </c>
      <c r="L273" s="729" t="s">
        <v>24</v>
      </c>
      <c r="M273" s="729" t="s">
        <v>25</v>
      </c>
      <c r="N273" s="729">
        <f>IFERROR(VLOOKUP(C273,[3]List1!$A:$D,4,FALSE),"N/A!")</f>
        <v>2.6400000000000003E-2</v>
      </c>
      <c r="O273" s="729">
        <f>IFERROR(VLOOKUP(C273,[3]List1!$A:$D,3,FALSE),"N/A!")</f>
        <v>490.00000000000006</v>
      </c>
      <c r="P273" s="729">
        <f>IFERROR(VLOOKUP(C273,[3]List1!$A:$D,2,FALSE),"N/A!")</f>
        <v>17200</v>
      </c>
      <c r="Q273" s="729" t="s">
        <v>14093</v>
      </c>
      <c r="R273" s="729" t="s">
        <v>24</v>
      </c>
      <c r="S273" s="729"/>
      <c r="T273" s="729"/>
      <c r="U273" s="729"/>
      <c r="V273" s="729"/>
      <c r="W273" s="729" t="str">
        <f>IFERROR(VLOOKUP('General price list'!$C273,Popisy!A:P,MATCH($W$17,Popisy!$A$7:$P$7,0),FALSE),"---------------")</f>
        <v>síla výbuchu 120dB z 15m s červeným světlem na začátku</v>
      </c>
      <c r="X273" s="729" t="str">
        <f t="shared" si="509"/>
        <v/>
      </c>
      <c r="Y273" s="729" t="str">
        <f t="shared" si="510"/>
        <v/>
      </c>
      <c r="Z273" s="729" t="str">
        <f>HYPERLINK("https://www.klasekpyrotechnics.cz/p5du13_m")</f>
        <v>https://www.klasekpyrotechnics.cz/p5du13_m</v>
      </c>
      <c r="AA273" s="729">
        <f>IFERROR(IF(VLOOKUP(C273,[4]List1!$A:$D,4,FALSE)=0,"",VLOOKUP(C273,[4]List1!$A:$D,4,FALSE)),"")</f>
        <v>42</v>
      </c>
      <c r="AB273" s="720"/>
      <c r="AC273" s="751" t="str">
        <f>IFERROR(IF(VLOOKUP(C273,[1]List1!$A:$D,2,FALSE)="VYPRODÁNO",$V$9,IF(VLOOKUP(C273,[1]List1!$A:$D,2,FALSE)="DOCHÁZÍ",$V$3,VLOOKUP(C273,[1]List1!$A:$D,2,FALSE))),"OFFLINE!")</f>
        <v>SKLADEM</v>
      </c>
      <c r="AD273" s="752" t="str">
        <f ca="1">IF(AP273="NE",$V$10,IF(AC273=$V$3,IF(AQ273&lt;1,$V$8,$V$2&amp;" "&amp;AQ273&amp;" "&amp;$V$1),IF(AC273="SKLADEM",$V$6,IFERROR(IF(OR(AC273-TODAY()&gt;45,VLOOKUP(C273,[1]List1!$A:$E,4,FALSE)=0),AC273,DAY(AC273)&amp;"."&amp;MONTH(AC273)&amp;"."&amp;YEAR(AC273)&amp;" "&amp;$V$4&amp;VLOOKUP(C273,[1]List1!$A:$E,4,FALSE)&amp;" "&amp;$V$1),AC273))))</f>
        <v>SKLADEM</v>
      </c>
      <c r="AE273" s="729" t="str">
        <f t="shared" ca="1" si="511"/>
        <v>SKLADEM</v>
      </c>
      <c r="AF273" s="735">
        <f t="shared" si="512"/>
        <v>0</v>
      </c>
      <c r="AG273" s="735">
        <f t="shared" si="513"/>
        <v>0</v>
      </c>
      <c r="AH273" s="736">
        <f t="shared" si="514"/>
        <v>0</v>
      </c>
      <c r="AI273" s="729">
        <f t="shared" si="515"/>
        <v>0</v>
      </c>
      <c r="AJ273" s="729">
        <f t="shared" si="516"/>
        <v>0</v>
      </c>
      <c r="AK273" s="729" t="str">
        <f t="shared" si="517"/>
        <v/>
      </c>
      <c r="AL273" s="729" t="str">
        <f t="shared" si="518"/>
        <v/>
      </c>
      <c r="AM273" s="729">
        <f t="shared" si="519"/>
        <v>0</v>
      </c>
      <c r="AN273" s="729">
        <f t="shared" si="520"/>
        <v>0</v>
      </c>
      <c r="AO273" s="380"/>
      <c r="AP273" s="322" t="str">
        <f t="shared" si="353"/>
        <v/>
      </c>
      <c r="AQ273" s="323" t="str">
        <f>IF(AC273=$V$3,IF(VLOOKUP(C273,[1]List1!$A:$E,5,FALSE)=0,1,VLOOKUP(C273,[1]List1!$A:$E,5,FALSE)),"")</f>
        <v/>
      </c>
      <c r="AR273" s="304" t="str">
        <f t="shared" si="354"/>
        <v/>
      </c>
      <c r="AS273" s="423" t="str">
        <f t="shared" si="355"/>
        <v/>
      </c>
      <c r="AT273" s="304" t="str">
        <f t="shared" si="356"/>
        <v/>
      </c>
      <c r="AU273" s="342" t="e">
        <f t="shared" si="357"/>
        <v>#N/A</v>
      </c>
      <c r="AV273" s="304" t="e">
        <f t="shared" si="358"/>
        <v>#N/A</v>
      </c>
      <c r="AX273" s="304">
        <f>IF(AND('General price list'!$J273="F4",'General price list'!$AB273+0&gt;0),1,0)</f>
        <v>0</v>
      </c>
      <c r="AY273" s="304">
        <f t="shared" si="359"/>
        <v>1</v>
      </c>
      <c r="AZ273" s="304">
        <f t="shared" si="360"/>
        <v>0</v>
      </c>
    </row>
    <row r="274" spans="1:52" ht="15" customHeight="1">
      <c r="A274" s="712" t="str">
        <f>Kat.!C274</f>
        <v/>
      </c>
      <c r="B274" s="745">
        <f>IF(AND('General price list'!$J274="F4",$AI$1=FALSE),0,IF(AC274="SKLADEM",1,IF(AC274=$V$3,1,0)))</f>
        <v>0</v>
      </c>
      <c r="C274" s="714" t="s">
        <v>768</v>
      </c>
      <c r="D274" s="715" t="s">
        <v>14544</v>
      </c>
      <c r="E274" s="716" t="s">
        <v>762</v>
      </c>
      <c r="F274" s="712">
        <f>IFERROR(ROUND(IF($AL$3=2,VLOOKUP(C274,[2]List1!$A:$D,2,FALSE)*1.08,VLOOKUP(C274,[2]List1!$A:$D,2,FALSE)),0),"NEUVEDENO!")</f>
        <v>129</v>
      </c>
      <c r="G274" s="717">
        <f t="shared" si="507"/>
        <v>129</v>
      </c>
      <c r="H274" s="718">
        <f t="shared" si="508"/>
        <v>5.242005940940067</v>
      </c>
      <c r="I274" s="746">
        <v>60</v>
      </c>
      <c r="J274" s="716" t="s">
        <v>137</v>
      </c>
      <c r="K274" s="716"/>
      <c r="L274" s="716" t="s">
        <v>24</v>
      </c>
      <c r="M274" s="716" t="s">
        <v>138</v>
      </c>
      <c r="N274" s="716">
        <f>IFERROR(VLOOKUP(C274,[3]List1!$A:$D,4,FALSE),"N/A!")</f>
        <v>3.3480000000000003E-2</v>
      </c>
      <c r="O274" s="716">
        <f>IFERROR(VLOOKUP(C274,[3]List1!$A:$D,3,FALSE),"N/A!")</f>
        <v>2400</v>
      </c>
      <c r="P274" s="716">
        <f>IFERROR(VLOOKUP(C274,[3]List1!$A:$D,2,FALSE),"N/A!")</f>
        <v>11000</v>
      </c>
      <c r="Q274" s="716" t="s">
        <v>217</v>
      </c>
      <c r="R274" s="716" t="s">
        <v>24</v>
      </c>
      <c r="S274" s="716"/>
      <c r="T274" s="716"/>
      <c r="U274" s="716"/>
      <c r="V274" s="716"/>
      <c r="W274" s="716" t="str">
        <f>IFERROR(VLOOKUP('General price list'!$C274,Popisy!A:P,MATCH($W$17,Popisy!$A$7:$P$7,0),FALSE),"---------------")</f>
        <v>síla výbuchu 120dB z 15m, vyrobeno v Evropě, plastová ucpávka</v>
      </c>
      <c r="X274" s="716" t="str">
        <f t="shared" si="509"/>
        <v/>
      </c>
      <c r="Y274" s="716" t="str">
        <f t="shared" si="510"/>
        <v/>
      </c>
      <c r="Z274" s="716" t="str">
        <f>HYPERLINK("https://www.klasekpyrotechnics.cz/p5du")</f>
        <v>https://www.klasekpyrotechnics.cz/p5du</v>
      </c>
      <c r="AA274" s="716">
        <f>IFERROR(IF(VLOOKUP(C274,[4]List1!$A:$D,4,FALSE)=0,"",VLOOKUP(C274,[4]List1!$A:$D,4,FALSE)),"")</f>
        <v>40</v>
      </c>
      <c r="AB274" s="720"/>
      <c r="AC274" s="747" t="str">
        <f>IFERROR(IF(VLOOKUP(C274,[1]List1!$A:$D,2,FALSE)="VYPRODÁNO",$V$9,IF(VLOOKUP(C274,[1]List1!$A:$D,2,FALSE)="DOCHÁZÍ",$V$3,VLOOKUP(C274,[1]List1!$A:$D,2,FALSE))),"OFFLINE!")</f>
        <v>10.04.2024</v>
      </c>
      <c r="AD274" s="748" t="str">
        <f ca="1">IF(AP274="NE",$V$10,IF(AC274=$V$3,IF(AQ274&lt;1,$V$8,$V$2&amp;" "&amp;AQ274&amp;" "&amp;$V$1),IF(AC274="SKLADEM",$V$6,IFERROR(IF(OR(AC274-TODAY()&gt;45,VLOOKUP(C274,[1]List1!$A:$E,4,FALSE)=0),AC274,DAY(AC274)&amp;"."&amp;MONTH(AC274)&amp;"."&amp;YEAR(AC274)&amp;" "&amp;$V$4&amp;VLOOKUP(C274,[1]List1!$A:$E,4,FALSE)&amp;" "&amp;$V$1),AC274))))</f>
        <v>10.4.2024 DORAZÍ 100+ VK</v>
      </c>
      <c r="AE274" s="716" t="str">
        <f t="shared" ca="1" si="511"/>
        <v>10.4.2024 DORAZÍ 100+ VK</v>
      </c>
      <c r="AF274" s="723">
        <f t="shared" si="512"/>
        <v>0</v>
      </c>
      <c r="AG274" s="723">
        <f t="shared" si="513"/>
        <v>0</v>
      </c>
      <c r="AH274" s="724">
        <f t="shared" si="514"/>
        <v>0</v>
      </c>
      <c r="AI274" s="716">
        <f t="shared" si="515"/>
        <v>0</v>
      </c>
      <c r="AJ274" s="716">
        <f t="shared" si="516"/>
        <v>0</v>
      </c>
      <c r="AK274" s="716" t="str">
        <f t="shared" si="517"/>
        <v/>
      </c>
      <c r="AL274" s="716">
        <f t="shared" si="518"/>
        <v>0</v>
      </c>
      <c r="AM274" s="716" t="str">
        <f t="shared" si="519"/>
        <v/>
      </c>
      <c r="AN274" s="716">
        <f t="shared" si="520"/>
        <v>0</v>
      </c>
      <c r="AO274" s="380"/>
      <c r="AP274" s="322" t="str">
        <f t="shared" si="353"/>
        <v/>
      </c>
      <c r="AQ274" s="323" t="str">
        <f>IF(AC274=$V$3,IF(VLOOKUP(C274,[1]List1!$A:$E,5,FALSE)=0,1,VLOOKUP(C274,[1]List1!$A:$E,5,FALSE)),"")</f>
        <v/>
      </c>
      <c r="AR274" s="304" t="str">
        <f t="shared" si="354"/>
        <v/>
      </c>
      <c r="AS274" s="423" t="str">
        <f t="shared" si="355"/>
        <v/>
      </c>
      <c r="AT274" s="304" t="str">
        <f t="shared" si="356"/>
        <v/>
      </c>
      <c r="AU274" s="342" t="e">
        <f t="shared" si="357"/>
        <v>#N/A</v>
      </c>
      <c r="AV274" s="304" t="e">
        <f t="shared" si="358"/>
        <v>#N/A</v>
      </c>
      <c r="AX274" s="304">
        <f>IF(AND('General price list'!$J274="F4",'General price list'!$AB274+0&gt;0),1,0)</f>
        <v>0</v>
      </c>
      <c r="AY274" s="304">
        <f t="shared" si="359"/>
        <v>1</v>
      </c>
      <c r="AZ274" s="304">
        <f t="shared" si="360"/>
        <v>0</v>
      </c>
    </row>
    <row r="275" spans="1:52" ht="15" customHeight="1">
      <c r="A275" s="725" t="str">
        <f>Kat.!C275</f>
        <v/>
      </c>
      <c r="B275" s="749">
        <f>IF(AND('General price list'!$J275="F4",$AI$1=FALSE),0,IF(AC275="SKLADEM",1,IF(AC275=$V$3,1,0)))</f>
        <v>1</v>
      </c>
      <c r="C275" s="727" t="s">
        <v>769</v>
      </c>
      <c r="D275" s="728" t="s">
        <v>770</v>
      </c>
      <c r="E275" s="729" t="s">
        <v>744</v>
      </c>
      <c r="F275" s="725">
        <f>IFERROR(ROUND(IF($AL$3=2,VLOOKUP(C275,[2]List1!$A:$D,2,FALSE)*1.08,VLOOKUP(C275,[2]List1!$A:$D,2,FALSE)),0),"NEUVEDENO!")</f>
        <v>49</v>
      </c>
      <c r="G275" s="730">
        <f t="shared" si="507"/>
        <v>49</v>
      </c>
      <c r="H275" s="731">
        <f t="shared" si="508"/>
        <v>1.9911495434578548</v>
      </c>
      <c r="I275" s="750">
        <v>50</v>
      </c>
      <c r="J275" s="729" t="s">
        <v>137</v>
      </c>
      <c r="K275" s="729" t="s">
        <v>12734</v>
      </c>
      <c r="L275" s="729" t="s">
        <v>14382</v>
      </c>
      <c r="M275" s="729" t="s">
        <v>25</v>
      </c>
      <c r="N275" s="729">
        <f>IFERROR(VLOOKUP(C275,[3]List1!$A:$D,4,FALSE),"N/A!")</f>
        <v>2.6400000000000003E-2</v>
      </c>
      <c r="O275" s="729">
        <f>IFERROR(VLOOKUP(C275,[3]List1!$A:$D,3,FALSE),"N/A!")</f>
        <v>490.00000000000006</v>
      </c>
      <c r="P275" s="729">
        <f>IFERROR(VLOOKUP(C275,[3]List1!$A:$D,2,FALSE),"N/A!")</f>
        <v>15500</v>
      </c>
      <c r="Q275" s="729" t="s">
        <v>14126</v>
      </c>
      <c r="R275" s="729" t="s">
        <v>24</v>
      </c>
      <c r="S275" s="729"/>
      <c r="T275" s="729"/>
      <c r="U275" s="729"/>
      <c r="V275" s="729"/>
      <c r="W275" s="729" t="str">
        <f>IFERROR(VLOOKUP('General price list'!$C275,Popisy!A:P,MATCH($W$17,Popisy!$A$7:$P$7,0),FALSE),"---------------")</f>
        <v>síla výbuchu 120dB z 15m</v>
      </c>
      <c r="X275" s="729" t="str">
        <f t="shared" si="509"/>
        <v/>
      </c>
      <c r="Y275" s="729" t="str">
        <f t="shared" si="510"/>
        <v/>
      </c>
      <c r="Z275" s="729" t="str">
        <f>HYPERLINK("https://www.klasekpyrotechnics.cz/p5a13")</f>
        <v>https://www.klasekpyrotechnics.cz/p5a13</v>
      </c>
      <c r="AA275" s="729">
        <f>IFERROR(IF(VLOOKUP(C275,[4]List1!$A:$D,4,FALSE)=0,"",VLOOKUP(C275,[4]List1!$A:$D,4,FALSE)),"")</f>
        <v>42</v>
      </c>
      <c r="AB275" s="720"/>
      <c r="AC275" s="751" t="str">
        <f>IFERROR(IF(VLOOKUP(C275,[1]List1!$A:$D,2,FALSE)="VYPRODÁNO",$V$9,IF(VLOOKUP(C275,[1]List1!$A:$D,2,FALSE)="DOCHÁZÍ",$V$3,VLOOKUP(C275,[1]List1!$A:$D,2,FALSE))),"OFFLINE!")</f>
        <v>SKLADEM</v>
      </c>
      <c r="AD275" s="752" t="str">
        <f ca="1">IF(AP275="NE",$V$10,IF(AC275=$V$3,IF(AQ275&lt;1,$V$8,$V$2&amp;" "&amp;AQ275&amp;" "&amp;$V$1),IF(AC275="SKLADEM",$V$6,IFERROR(IF(OR(AC275-TODAY()&gt;45,VLOOKUP(C275,[1]List1!$A:$E,4,FALSE)=0),AC275,DAY(AC275)&amp;"."&amp;MONTH(AC275)&amp;"."&amp;YEAR(AC275)&amp;" "&amp;$V$4&amp;VLOOKUP(C275,[1]List1!$A:$E,4,FALSE)&amp;" "&amp;$V$1),AC275))))</f>
        <v>SKLADEM</v>
      </c>
      <c r="AE275" s="729" t="str">
        <f t="shared" ca="1" si="511"/>
        <v>SKLADEM</v>
      </c>
      <c r="AF275" s="735">
        <f t="shared" si="512"/>
        <v>0</v>
      </c>
      <c r="AG275" s="735">
        <f t="shared" si="513"/>
        <v>0</v>
      </c>
      <c r="AH275" s="736">
        <f t="shared" si="514"/>
        <v>0</v>
      </c>
      <c r="AI275" s="729">
        <f t="shared" si="515"/>
        <v>0</v>
      </c>
      <c r="AJ275" s="729">
        <f t="shared" si="516"/>
        <v>0</v>
      </c>
      <c r="AK275" s="729" t="str">
        <f t="shared" si="517"/>
        <v/>
      </c>
      <c r="AL275" s="729" t="str">
        <f t="shared" si="518"/>
        <v/>
      </c>
      <c r="AM275" s="729">
        <f t="shared" si="519"/>
        <v>0</v>
      </c>
      <c r="AN275" s="729">
        <f t="shared" si="520"/>
        <v>0</v>
      </c>
      <c r="AO275" s="380"/>
      <c r="AP275" s="322" t="str">
        <f t="shared" si="353"/>
        <v/>
      </c>
      <c r="AQ275" s="323" t="str">
        <f>IF(AC275=$V$3,IF(VLOOKUP(C275,[1]List1!$A:$E,5,FALSE)=0,1,VLOOKUP(C275,[1]List1!$A:$E,5,FALSE)),"")</f>
        <v/>
      </c>
      <c r="AR275" s="304" t="str">
        <f t="shared" si="354"/>
        <v/>
      </c>
      <c r="AS275" s="423" t="str">
        <f t="shared" si="355"/>
        <v/>
      </c>
      <c r="AT275" s="304" t="str">
        <f t="shared" si="356"/>
        <v/>
      </c>
      <c r="AU275" s="342" t="e">
        <f t="shared" si="357"/>
        <v>#N/A</v>
      </c>
      <c r="AV275" s="304" t="e">
        <f t="shared" si="358"/>
        <v>#N/A</v>
      </c>
      <c r="AX275" s="304">
        <f>IF(AND('General price list'!$J275="F4",'General price list'!$AB275+0&gt;0),1,0)</f>
        <v>0</v>
      </c>
      <c r="AY275" s="304">
        <f t="shared" si="359"/>
        <v>1</v>
      </c>
      <c r="AZ275" s="304">
        <f t="shared" si="360"/>
        <v>0</v>
      </c>
    </row>
    <row r="276" spans="1:52" ht="15" customHeight="1">
      <c r="A276" s="712" t="str">
        <f>Kat.!C276</f>
        <v/>
      </c>
      <c r="B276" s="745">
        <f>IF(AND('General price list'!$J276="F4",$AI$1=FALSE),0,IF(AC276="SKLADEM",1,IF(AC276=$V$3,1,0)))</f>
        <v>1</v>
      </c>
      <c r="C276" s="714" t="s">
        <v>771</v>
      </c>
      <c r="D276" s="715" t="s">
        <v>772</v>
      </c>
      <c r="E276" s="716" t="s">
        <v>744</v>
      </c>
      <c r="F276" s="712">
        <f>IFERROR(ROUND(IF($AL$3=2,VLOOKUP(C276,[2]List1!$A:$D,2,FALSE)*1.08,VLOOKUP(C276,[2]List1!$A:$D,2,FALSE)),0),"NEUVEDENO!")</f>
        <v>49</v>
      </c>
      <c r="G276" s="717">
        <f t="shared" si="507"/>
        <v>49</v>
      </c>
      <c r="H276" s="718">
        <f t="shared" si="508"/>
        <v>1.9911495434578548</v>
      </c>
      <c r="I276" s="746">
        <v>50</v>
      </c>
      <c r="J276" s="716" t="s">
        <v>137</v>
      </c>
      <c r="K276" s="716" t="s">
        <v>12734</v>
      </c>
      <c r="L276" s="716" t="s">
        <v>14382</v>
      </c>
      <c r="M276" s="716" t="s">
        <v>25</v>
      </c>
      <c r="N276" s="716">
        <f>IFERROR(VLOOKUP(C276,[3]List1!$A:$D,4,FALSE),"N/A!")</f>
        <v>2.6400000000000003E-2</v>
      </c>
      <c r="O276" s="716">
        <f>IFERROR(VLOOKUP(C276,[3]List1!$A:$D,3,FALSE),"N/A!")</f>
        <v>490.00000000000006</v>
      </c>
      <c r="P276" s="716">
        <f>IFERROR(VLOOKUP(C276,[3]List1!$A:$D,2,FALSE),"N/A!")</f>
        <v>15500</v>
      </c>
      <c r="Q276" s="716" t="s">
        <v>14126</v>
      </c>
      <c r="R276" s="716" t="s">
        <v>24</v>
      </c>
      <c r="S276" s="716"/>
      <c r="T276" s="716"/>
      <c r="U276" s="716"/>
      <c r="V276" s="716"/>
      <c r="W276" s="716" t="str">
        <f>IFERROR(VLOOKUP('General price list'!$C276,Popisy!A:P,MATCH($W$17,Popisy!$A$7:$P$7,0),FALSE),"---------------")</f>
        <v>síla výbuchu 120dB z 15m</v>
      </c>
      <c r="X276" s="716" t="str">
        <f t="shared" si="509"/>
        <v/>
      </c>
      <c r="Y276" s="716" t="str">
        <f t="shared" si="510"/>
        <v/>
      </c>
      <c r="Z276" s="716" t="str">
        <f>HYPERLINK("https://www.klasekpyrotechnics.cz/p5d13")</f>
        <v>https://www.klasekpyrotechnics.cz/p5d13</v>
      </c>
      <c r="AA276" s="716">
        <f>IFERROR(IF(VLOOKUP(C276,[4]List1!$A:$D,4,FALSE)=0,"",VLOOKUP(C276,[4]List1!$A:$D,4,FALSE)),"")</f>
        <v>42</v>
      </c>
      <c r="AB276" s="720"/>
      <c r="AC276" s="747" t="str">
        <f>IFERROR(IF(VLOOKUP(C276,[1]List1!$A:$D,2,FALSE)="VYPRODÁNO",$V$9,IF(VLOOKUP(C276,[1]List1!$A:$D,2,FALSE)="DOCHÁZÍ",$V$3,VLOOKUP(C276,[1]List1!$A:$D,2,FALSE))),"OFFLINE!")</f>
        <v>SKLADEM</v>
      </c>
      <c r="AD276" s="748" t="str">
        <f ca="1">IF(AP276="NE",$V$10,IF(AC276=$V$3,IF(AQ276&lt;1,$V$8,$V$2&amp;" "&amp;AQ276&amp;" "&amp;$V$1),IF(AC276="SKLADEM",$V$6,IFERROR(IF(OR(AC276-TODAY()&gt;45,VLOOKUP(C276,[1]List1!$A:$E,4,FALSE)=0),AC276,DAY(AC276)&amp;"."&amp;MONTH(AC276)&amp;"."&amp;YEAR(AC276)&amp;" "&amp;$V$4&amp;VLOOKUP(C276,[1]List1!$A:$E,4,FALSE)&amp;" "&amp;$V$1),AC276))))</f>
        <v>SKLADEM</v>
      </c>
      <c r="AE276" s="716" t="str">
        <f t="shared" ca="1" si="511"/>
        <v>SKLADEM</v>
      </c>
      <c r="AF276" s="723">
        <f t="shared" si="512"/>
        <v>0</v>
      </c>
      <c r="AG276" s="723">
        <f t="shared" si="513"/>
        <v>0</v>
      </c>
      <c r="AH276" s="724">
        <f t="shared" si="514"/>
        <v>0</v>
      </c>
      <c r="AI276" s="716">
        <f t="shared" si="515"/>
        <v>0</v>
      </c>
      <c r="AJ276" s="716">
        <f t="shared" si="516"/>
        <v>0</v>
      </c>
      <c r="AK276" s="716" t="str">
        <f t="shared" si="517"/>
        <v/>
      </c>
      <c r="AL276" s="716" t="str">
        <f t="shared" si="518"/>
        <v/>
      </c>
      <c r="AM276" s="716">
        <f t="shared" si="519"/>
        <v>0</v>
      </c>
      <c r="AN276" s="716">
        <f t="shared" si="520"/>
        <v>0</v>
      </c>
      <c r="AO276" s="380"/>
      <c r="AP276" s="322" t="str">
        <f t="shared" si="353"/>
        <v/>
      </c>
      <c r="AQ276" s="323" t="str">
        <f>IF(AC276=$V$3,IF(VLOOKUP(C276,[1]List1!$A:$E,5,FALSE)=0,1,VLOOKUP(C276,[1]List1!$A:$E,5,FALSE)),"")</f>
        <v/>
      </c>
      <c r="AR276" s="304" t="str">
        <f t="shared" si="354"/>
        <v/>
      </c>
      <c r="AS276" s="423" t="str">
        <f t="shared" si="355"/>
        <v/>
      </c>
      <c r="AT276" s="304" t="str">
        <f t="shared" si="356"/>
        <v/>
      </c>
      <c r="AU276" s="342" t="e">
        <f t="shared" si="357"/>
        <v>#N/A</v>
      </c>
      <c r="AV276" s="304" t="e">
        <f t="shared" si="358"/>
        <v>#N/A</v>
      </c>
      <c r="AX276" s="304">
        <f>IF(AND('General price list'!$J276="F4",'General price list'!$AB276+0&gt;0),1,0)</f>
        <v>0</v>
      </c>
      <c r="AY276" s="304">
        <f t="shared" si="359"/>
        <v>1</v>
      </c>
      <c r="AZ276" s="304">
        <f t="shared" si="360"/>
        <v>0</v>
      </c>
    </row>
    <row r="277" spans="1:52" ht="15" customHeight="1">
      <c r="A277" s="725" t="str">
        <f>Kat.!C277</f>
        <v/>
      </c>
      <c r="B277" s="749">
        <f>IF(AND('General price list'!$J277="F4",$AI$1=FALSE),0,IF(AC277="SKLADEM",1,IF(AC277=$V$3,1,0)))</f>
        <v>1</v>
      </c>
      <c r="C277" s="727" t="s">
        <v>2502</v>
      </c>
      <c r="D277" s="728" t="s">
        <v>773</v>
      </c>
      <c r="E277" s="729" t="s">
        <v>744</v>
      </c>
      <c r="F277" s="725">
        <f>IFERROR(ROUND(IF($AL$3=2,VLOOKUP(C277,[2]List1!$A:$D,2,FALSE)*1.08,VLOOKUP(C277,[2]List1!$A:$D,2,FALSE)),0),"NEUVEDENO!")</f>
        <v>49</v>
      </c>
      <c r="G277" s="730">
        <f t="shared" si="507"/>
        <v>49</v>
      </c>
      <c r="H277" s="731">
        <f t="shared" si="508"/>
        <v>1.9911495434578548</v>
      </c>
      <c r="I277" s="750">
        <v>50</v>
      </c>
      <c r="J277" s="729" t="s">
        <v>137</v>
      </c>
      <c r="K277" s="729" t="s">
        <v>12734</v>
      </c>
      <c r="L277" s="729" t="s">
        <v>24</v>
      </c>
      <c r="M277" s="729" t="s">
        <v>25</v>
      </c>
      <c r="N277" s="729">
        <f>IFERROR(VLOOKUP(C277,[3]List1!$A:$D,4,FALSE),"N/A!")</f>
        <v>2.6400000000000003E-2</v>
      </c>
      <c r="O277" s="729">
        <f>IFERROR(VLOOKUP(C277,[3]List1!$A:$D,3,FALSE),"N/A!")</f>
        <v>490.00000000000006</v>
      </c>
      <c r="P277" s="729">
        <f>IFERROR(VLOOKUP(C277,[3]List1!$A:$D,2,FALSE),"N/A!")</f>
        <v>15500</v>
      </c>
      <c r="Q277" s="729" t="s">
        <v>14126</v>
      </c>
      <c r="R277" s="729" t="s">
        <v>24</v>
      </c>
      <c r="S277" s="729"/>
      <c r="T277" s="729"/>
      <c r="U277" s="729"/>
      <c r="V277" s="729"/>
      <c r="W277" s="729" t="str">
        <f>IFERROR(VLOOKUP('General price list'!$C277,Popisy!A:P,MATCH($W$17,Popisy!$A$7:$P$7,0),FALSE),"---------------")</f>
        <v>síla výbuchu 120dB z 15m</v>
      </c>
      <c r="X277" s="729" t="str">
        <f t="shared" si="509"/>
        <v/>
      </c>
      <c r="Y277" s="729" t="str">
        <f t="shared" si="510"/>
        <v/>
      </c>
      <c r="Z277" s="729" t="str">
        <f>HYPERLINK("https://www.klasekpyrotechnics.cz/p5d13_w")</f>
        <v>https://www.klasekpyrotechnics.cz/p5d13_w</v>
      </c>
      <c r="AA277" s="729">
        <f>IFERROR(IF(VLOOKUP(C277,[4]List1!$A:$D,4,FALSE)=0,"",VLOOKUP(C277,[4]List1!$A:$D,4,FALSE)),"")</f>
        <v>48</v>
      </c>
      <c r="AB277" s="720"/>
      <c r="AC277" s="751" t="str">
        <f>IFERROR(IF(VLOOKUP(C277,[1]List1!$A:$D,2,FALSE)="VYPRODÁNO",$V$9,IF(VLOOKUP(C277,[1]List1!$A:$D,2,FALSE)="DOCHÁZÍ",$V$3,VLOOKUP(C277,[1]List1!$A:$D,2,FALSE))),"OFFLINE!")</f>
        <v>SKLADEM</v>
      </c>
      <c r="AD277" s="752" t="str">
        <f ca="1">IF(AP277="NE",$V$10,IF(AC277=$V$3,IF(AQ277&lt;1,$V$8,$V$2&amp;" "&amp;AQ277&amp;" "&amp;$V$1),IF(AC277="SKLADEM",$V$6,IFERROR(IF(OR(AC277-TODAY()&gt;45,VLOOKUP(C277,[1]List1!$A:$E,4,FALSE)=0),AC277,DAY(AC277)&amp;"."&amp;MONTH(AC277)&amp;"."&amp;YEAR(AC277)&amp;" "&amp;$V$4&amp;VLOOKUP(C277,[1]List1!$A:$E,4,FALSE)&amp;" "&amp;$V$1),AC277))))</f>
        <v>SKLADEM</v>
      </c>
      <c r="AE277" s="729" t="str">
        <f t="shared" ca="1" si="511"/>
        <v>SKLADEM</v>
      </c>
      <c r="AF277" s="735">
        <f t="shared" si="512"/>
        <v>0</v>
      </c>
      <c r="AG277" s="735">
        <f t="shared" si="513"/>
        <v>0</v>
      </c>
      <c r="AH277" s="736">
        <f t="shared" si="514"/>
        <v>0</v>
      </c>
      <c r="AI277" s="729">
        <f t="shared" si="515"/>
        <v>0</v>
      </c>
      <c r="AJ277" s="729">
        <f t="shared" si="516"/>
        <v>0</v>
      </c>
      <c r="AK277" s="729" t="str">
        <f t="shared" si="517"/>
        <v/>
      </c>
      <c r="AL277" s="729" t="str">
        <f t="shared" si="518"/>
        <v/>
      </c>
      <c r="AM277" s="729">
        <f t="shared" si="519"/>
        <v>0</v>
      </c>
      <c r="AN277" s="729">
        <f t="shared" si="520"/>
        <v>0</v>
      </c>
      <c r="AO277" s="380"/>
      <c r="AP277" s="322" t="str">
        <f t="shared" si="353"/>
        <v/>
      </c>
      <c r="AQ277" s="323" t="str">
        <f>IF(AC277=$V$3,IF(VLOOKUP(C277,[1]List1!$A:$E,5,FALSE)=0,1,VLOOKUP(C277,[1]List1!$A:$E,5,FALSE)),"")</f>
        <v/>
      </c>
      <c r="AR277" s="304" t="str">
        <f t="shared" si="354"/>
        <v/>
      </c>
      <c r="AS277" s="423" t="str">
        <f t="shared" si="355"/>
        <v/>
      </c>
      <c r="AT277" s="304" t="str">
        <f t="shared" si="356"/>
        <v/>
      </c>
      <c r="AU277" s="342" t="e">
        <f t="shared" si="357"/>
        <v>#N/A</v>
      </c>
      <c r="AV277" s="304" t="e">
        <f t="shared" si="358"/>
        <v>#N/A</v>
      </c>
      <c r="AX277" s="304">
        <f>IF(AND('General price list'!$J277="F4",'General price list'!$AB277+0&gt;0),1,0)</f>
        <v>0</v>
      </c>
      <c r="AY277" s="304">
        <f t="shared" si="359"/>
        <v>1</v>
      </c>
      <c r="AZ277" s="304">
        <f t="shared" si="360"/>
        <v>0</v>
      </c>
    </row>
    <row r="278" spans="1:52" ht="15" customHeight="1">
      <c r="A278" s="712" t="str">
        <f>Kat.!C278</f>
        <v/>
      </c>
      <c r="B278" s="745">
        <f>IF(AND('General price list'!$J278="F4",$AI$1=FALSE),0,IF(AC278="SKLADEM",1,IF(AC278=$V$3,1,0)))</f>
        <v>0</v>
      </c>
      <c r="C278" s="714" t="s">
        <v>4525</v>
      </c>
      <c r="D278" s="715" t="s">
        <v>4526</v>
      </c>
      <c r="E278" s="716" t="s">
        <v>762</v>
      </c>
      <c r="F278" s="712">
        <f>IFERROR(ROUND(IF($AL$3=2,VLOOKUP(C278,[2]List1!$A:$D,2,FALSE)*1.08,VLOOKUP(C278,[2]List1!$A:$D,2,FALSE)),0),"NEUVEDENO!")</f>
        <v>93</v>
      </c>
      <c r="G278" s="717">
        <f t="shared" si="507"/>
        <v>93</v>
      </c>
      <c r="H278" s="718">
        <f t="shared" si="508"/>
        <v>3.7791205620730715</v>
      </c>
      <c r="I278" s="746">
        <v>60</v>
      </c>
      <c r="J278" s="716" t="s">
        <v>137</v>
      </c>
      <c r="K278" s="716" t="s">
        <v>12734</v>
      </c>
      <c r="L278" s="716" t="s">
        <v>14382</v>
      </c>
      <c r="M278" s="716" t="s">
        <v>25</v>
      </c>
      <c r="N278" s="716">
        <f>IFERROR(VLOOKUP(C278,[3]List1!$A:$D,4,FALSE),"N/A!")</f>
        <v>3.8375999999999993E-2</v>
      </c>
      <c r="O278" s="716">
        <f>IFERROR(VLOOKUP(C278,[3]List1!$A:$D,3,FALSE),"N/A!")</f>
        <v>1200</v>
      </c>
      <c r="P278" s="716">
        <f>IFERROR(VLOOKUP(C278,[3]List1!$A:$D,2,FALSE),"N/A!")</f>
        <v>25000</v>
      </c>
      <c r="Q278" s="716" t="s">
        <v>14125</v>
      </c>
      <c r="R278" s="716" t="s">
        <v>24</v>
      </c>
      <c r="S278" s="716"/>
      <c r="T278" s="716"/>
      <c r="U278" s="716"/>
      <c r="V278" s="716"/>
      <c r="W278" s="716" t="str">
        <f>IFERROR(VLOOKUP('General price list'!$C278,Popisy!A:P,MATCH($W$17,Popisy!$A$7:$P$7,0),FALSE),"---------------")</f>
        <v>síla výbuchu 120dB z 15m se zeleným světlem na začátku</v>
      </c>
      <c r="X278" s="716" t="str">
        <f t="shared" si="509"/>
        <v/>
      </c>
      <c r="Y278" s="716" t="str">
        <f t="shared" si="510"/>
        <v/>
      </c>
      <c r="Z278" s="716" t="str">
        <f>HYPERLINK("https://www.klasekpyrotechnics.cz/p6a13_gf3")</f>
        <v>https://www.klasekpyrotechnics.cz/p6a13_gf3</v>
      </c>
      <c r="AA278" s="716">
        <f>IFERROR(IF(VLOOKUP(C278,[4]List1!$A:$D,4,FALSE)=0,"",VLOOKUP(C278,[4]List1!$A:$D,4,FALSE)),"")</f>
        <v>26</v>
      </c>
      <c r="AB278" s="720"/>
      <c r="AC278" s="747" t="str">
        <f>IFERROR(IF(VLOOKUP(C278,[1]List1!$A:$D,2,FALSE)="VYPRODÁNO",$V$9,IF(VLOOKUP(C278,[1]List1!$A:$D,2,FALSE)="DOCHÁZÍ",$V$3,VLOOKUP(C278,[1]List1!$A:$D,2,FALSE))),"OFFLINE!")</f>
        <v>01.09.2024</v>
      </c>
      <c r="AD278" s="748" t="str">
        <f ca="1">IF(AP278="NE",$V$10,IF(AC278=$V$3,IF(AQ278&lt;1,$V$8,$V$2&amp;" "&amp;AQ278&amp;" "&amp;$V$1),IF(AC278="SKLADEM",$V$6,IFERROR(IF(OR(AC278-TODAY()&gt;45,VLOOKUP(C278,[1]List1!$A:$E,4,FALSE)=0),AC278,DAY(AC278)&amp;"."&amp;MONTH(AC278)&amp;"."&amp;YEAR(AC278)&amp;" "&amp;$V$4&amp;VLOOKUP(C278,[1]List1!$A:$E,4,FALSE)&amp;" "&amp;$V$1),AC278))))</f>
        <v>01.09.2024</v>
      </c>
      <c r="AE278" s="716" t="str">
        <f t="shared" ca="1" si="511"/>
        <v>01.09.2024</v>
      </c>
      <c r="AF278" s="723">
        <f t="shared" si="512"/>
        <v>0</v>
      </c>
      <c r="AG278" s="723">
        <f t="shared" si="513"/>
        <v>0</v>
      </c>
      <c r="AH278" s="724">
        <f t="shared" si="514"/>
        <v>0</v>
      </c>
      <c r="AI278" s="716">
        <f t="shared" si="515"/>
        <v>0</v>
      </c>
      <c r="AJ278" s="716">
        <f t="shared" si="516"/>
        <v>0</v>
      </c>
      <c r="AK278" s="716" t="str">
        <f t="shared" si="517"/>
        <v/>
      </c>
      <c r="AL278" s="716" t="str">
        <f t="shared" si="518"/>
        <v/>
      </c>
      <c r="AM278" s="716">
        <f t="shared" si="519"/>
        <v>0</v>
      </c>
      <c r="AN278" s="716">
        <f t="shared" si="520"/>
        <v>0</v>
      </c>
      <c r="AO278" s="380"/>
      <c r="AP278" s="322" t="str">
        <f t="shared" si="353"/>
        <v/>
      </c>
      <c r="AQ278" s="323" t="str">
        <f>IF(AC278=$V$3,IF(VLOOKUP(C278,[1]List1!$A:$E,5,FALSE)=0,1,VLOOKUP(C278,[1]List1!$A:$E,5,FALSE)),"")</f>
        <v/>
      </c>
      <c r="AR278" s="304" t="str">
        <f t="shared" si="354"/>
        <v/>
      </c>
      <c r="AS278" s="423" t="str">
        <f t="shared" si="355"/>
        <v/>
      </c>
      <c r="AT278" s="304" t="str">
        <f t="shared" si="356"/>
        <v/>
      </c>
      <c r="AU278" s="342" t="e">
        <f t="shared" si="357"/>
        <v>#N/A</v>
      </c>
      <c r="AV278" s="304" t="e">
        <f t="shared" si="358"/>
        <v>#N/A</v>
      </c>
      <c r="AX278" s="304">
        <f>IF(AND('General price list'!$J278="F4",'General price list'!$AB278+0&gt;0),1,0)</f>
        <v>0</v>
      </c>
      <c r="AY278" s="304">
        <f t="shared" si="359"/>
        <v>1</v>
      </c>
      <c r="AZ278" s="304">
        <f t="shared" si="360"/>
        <v>0</v>
      </c>
    </row>
    <row r="279" spans="1:52" ht="15" customHeight="1">
      <c r="A279" s="725" t="str">
        <f>Kat.!C279</f>
        <v/>
      </c>
      <c r="B279" s="749">
        <f>IF(AND('General price list'!$J279="F4",$AI$1=FALSE),0,IF(AC279="SKLADEM",1,IF(AC279=$V$3,1,0)))</f>
        <v>1</v>
      </c>
      <c r="C279" s="727" t="s">
        <v>4528</v>
      </c>
      <c r="D279" s="728" t="s">
        <v>4529</v>
      </c>
      <c r="E279" s="729" t="s">
        <v>762</v>
      </c>
      <c r="F279" s="725">
        <f>IFERROR(ROUND(IF($AL$3=2,VLOOKUP(C279,[2]List1!$A:$D,2,FALSE)*1.08,VLOOKUP(C279,[2]List1!$A:$D,2,FALSE)),0),"NEUVEDENO!")</f>
        <v>93</v>
      </c>
      <c r="G279" s="730">
        <f t="shared" si="507"/>
        <v>93</v>
      </c>
      <c r="H279" s="731">
        <f t="shared" si="508"/>
        <v>3.7791205620730715</v>
      </c>
      <c r="I279" s="750">
        <v>60</v>
      </c>
      <c r="J279" s="729" t="s">
        <v>137</v>
      </c>
      <c r="K279" s="729" t="s">
        <v>12734</v>
      </c>
      <c r="L279" s="729" t="s">
        <v>14382</v>
      </c>
      <c r="M279" s="729" t="s">
        <v>25</v>
      </c>
      <c r="N279" s="729">
        <f>IFERROR(VLOOKUP(C279,[3]List1!$A:$D,4,FALSE),"N/A!")</f>
        <v>3.8375999999999993E-2</v>
      </c>
      <c r="O279" s="729">
        <f>IFERROR(VLOOKUP(C279,[3]List1!$A:$D,3,FALSE),"N/A!")</f>
        <v>1200</v>
      </c>
      <c r="P279" s="729">
        <f>IFERROR(VLOOKUP(C279,[3]List1!$A:$D,2,FALSE),"N/A!")</f>
        <v>25000</v>
      </c>
      <c r="Q279" s="729" t="s">
        <v>14125</v>
      </c>
      <c r="R279" s="729" t="s">
        <v>24</v>
      </c>
      <c r="S279" s="729"/>
      <c r="T279" s="729"/>
      <c r="U279" s="729"/>
      <c r="V279" s="729"/>
      <c r="W279" s="729" t="str">
        <f>IFERROR(VLOOKUP('General price list'!$C279,Popisy!A:P,MATCH($W$17,Popisy!$A$7:$P$7,0),FALSE),"---------------")</f>
        <v>síla výbuchu 120dB z 15m s červeným světlem na začátku</v>
      </c>
      <c r="X279" s="729" t="str">
        <f t="shared" si="509"/>
        <v/>
      </c>
      <c r="Y279" s="729" t="str">
        <f t="shared" si="510"/>
        <v/>
      </c>
      <c r="Z279" s="729" t="str">
        <f>HYPERLINK("https://www.klasekpyrotechnics.cz/p6a13_rf3")</f>
        <v>https://www.klasekpyrotechnics.cz/p6a13_rf3</v>
      </c>
      <c r="AA279" s="729">
        <f>IFERROR(IF(VLOOKUP(C279,[4]List1!$A:$D,4,FALSE)=0,"",VLOOKUP(C279,[4]List1!$A:$D,4,FALSE)),"")</f>
        <v>26</v>
      </c>
      <c r="AB279" s="720"/>
      <c r="AC279" s="751" t="str">
        <f>IFERROR(IF(VLOOKUP(C279,[1]List1!$A:$D,2,FALSE)="VYPRODÁNO",$V$9,IF(VLOOKUP(C279,[1]List1!$A:$D,2,FALSE)="DOCHÁZÍ",$V$3,VLOOKUP(C279,[1]List1!$A:$D,2,FALSE))),"OFFLINE!")</f>
        <v>SKLADEM</v>
      </c>
      <c r="AD279" s="752" t="str">
        <f ca="1">IF(AP279="NE",$V$10,IF(AC279=$V$3,IF(AQ279&lt;1,$V$8,$V$2&amp;" "&amp;AQ279&amp;" "&amp;$V$1),IF(AC279="SKLADEM",$V$6,IFERROR(IF(OR(AC279-TODAY()&gt;45,VLOOKUP(C279,[1]List1!$A:$E,4,FALSE)=0),AC279,DAY(AC279)&amp;"."&amp;MONTH(AC279)&amp;"."&amp;YEAR(AC279)&amp;" "&amp;$V$4&amp;VLOOKUP(C279,[1]List1!$A:$E,4,FALSE)&amp;" "&amp;$V$1),AC279))))</f>
        <v>SKLADEM</v>
      </c>
      <c r="AE279" s="729" t="str">
        <f t="shared" ca="1" si="511"/>
        <v>SKLADEM</v>
      </c>
      <c r="AF279" s="735">
        <f t="shared" si="512"/>
        <v>0</v>
      </c>
      <c r="AG279" s="735">
        <f t="shared" si="513"/>
        <v>0</v>
      </c>
      <c r="AH279" s="736">
        <f t="shared" si="514"/>
        <v>0</v>
      </c>
      <c r="AI279" s="729">
        <f t="shared" si="515"/>
        <v>0</v>
      </c>
      <c r="AJ279" s="729">
        <f t="shared" si="516"/>
        <v>0</v>
      </c>
      <c r="AK279" s="729" t="str">
        <f t="shared" si="517"/>
        <v/>
      </c>
      <c r="AL279" s="729" t="str">
        <f t="shared" si="518"/>
        <v/>
      </c>
      <c r="AM279" s="729">
        <f t="shared" si="519"/>
        <v>0</v>
      </c>
      <c r="AN279" s="729">
        <f t="shared" si="520"/>
        <v>0</v>
      </c>
      <c r="AO279" s="380"/>
      <c r="AP279" s="322" t="str">
        <f t="shared" ref="AP279:AP280" si="521">IF($AL$3=1,IF(Y279=AB279,"","NE"),IF(AR279=$V$10,"NE",""))</f>
        <v/>
      </c>
      <c r="AQ279" s="323" t="str">
        <f>IF(AC279=$V$3,IF(VLOOKUP(C279,[1]List1!$A:$E,5,FALSE)=0,1,VLOOKUP(C279,[1]List1!$A:$E,5,FALSE)),"")</f>
        <v/>
      </c>
      <c r="AR279" s="304" t="str">
        <f t="shared" ref="AR279:AR280" si="522">IF($AL$3=1,"",IF(OR(AB279&lt;&gt;"",AB279&lt;&gt;0),IF(OR(AC279=$V$6,AC279=$V$3,AC279=$V$9),$V$10,""),""))</f>
        <v/>
      </c>
      <c r="AS279" s="423" t="str">
        <f t="shared" ref="AS279:AS280" si="523">IF(AT279&lt;&gt;"","X","")</f>
        <v/>
      </c>
      <c r="AT279" s="304" t="str">
        <f t="shared" ref="AT279:AT280" si="524">IF(AND($AL$3=2,AR279="",AB279&lt;&gt;""),AD279,"")</f>
        <v/>
      </c>
      <c r="AU279" s="342" t="e">
        <f t="shared" ref="AU279:AU280" si="525">IF(AT279=$AS$21,AB279,"")</f>
        <v>#N/A</v>
      </c>
      <c r="AV279" s="304" t="e">
        <f t="shared" ref="AV279:AV280" si="526">IF(OR(AB279="",AND(AT279&lt;&gt;"",AU279&lt;&gt;"")),"",$V$10)</f>
        <v>#N/A</v>
      </c>
      <c r="AX279" s="304">
        <f>IF(AND('General price list'!$J279="F4",'General price list'!$AB279+0&gt;0),1,0)</f>
        <v>0</v>
      </c>
      <c r="AY279" s="304">
        <f t="shared" ref="AY279:AY280" si="527">IFERROR(FIND(VLOOKUP($AC$7,$AD$1:$AE$12,2,FALSE),Q279,1),0)</f>
        <v>1</v>
      </c>
      <c r="AZ279" s="304">
        <f t="shared" ref="AZ279:AZ280" si="528">IFERROR(FIND(VLOOKUP($AC$7,$AD$1:$AE$12,2,FALSE),R279,1),0)</f>
        <v>0</v>
      </c>
    </row>
    <row r="280" spans="1:52" ht="15" customHeight="1">
      <c r="A280" s="712" t="str">
        <f>Kat.!C280</f>
        <v>×</v>
      </c>
      <c r="B280" s="745">
        <f>IF(AND('General price list'!$J280="F4",$AI$1=FALSE),0,IF(AC280="SKLADEM",1,IF(AC280=$V$3,1,0)))</f>
        <v>1</v>
      </c>
      <c r="C280" s="714" t="s">
        <v>4538</v>
      </c>
      <c r="D280" s="715" t="s">
        <v>4529</v>
      </c>
      <c r="E280" s="716" t="s">
        <v>762</v>
      </c>
      <c r="F280" s="712">
        <f>IFERROR(ROUND(IF($AL$3=2,VLOOKUP(C280,[2]List1!$A:$D,2,FALSE)*1.08,VLOOKUP(C280,[2]List1!$A:$D,2,FALSE)),0),"NEUVEDENO!")</f>
        <v>93</v>
      </c>
      <c r="G280" s="717">
        <f t="shared" si="507"/>
        <v>93</v>
      </c>
      <c r="H280" s="718">
        <f t="shared" si="508"/>
        <v>3.7791205620730715</v>
      </c>
      <c r="I280" s="746">
        <v>60</v>
      </c>
      <c r="J280" s="716" t="s">
        <v>137</v>
      </c>
      <c r="K280" s="716"/>
      <c r="L280" s="716" t="s">
        <v>14382</v>
      </c>
      <c r="M280" s="716" t="s">
        <v>25</v>
      </c>
      <c r="N280" s="716">
        <f>IFERROR(VLOOKUP(C280,[3]List1!$A:$D,4,FALSE),"N/A!")</f>
        <v>3.8375999999999993E-2</v>
      </c>
      <c r="O280" s="716">
        <f>IFERROR(VLOOKUP(C280,[3]List1!$A:$D,3,FALSE),"N/A!")</f>
        <v>1200</v>
      </c>
      <c r="P280" s="716">
        <f>IFERROR(VLOOKUP(C280,[3]List1!$A:$D,2,FALSE),"N/A!")</f>
        <v>25000</v>
      </c>
      <c r="Q280" s="716" t="s">
        <v>14125</v>
      </c>
      <c r="R280" s="716" t="s">
        <v>24</v>
      </c>
      <c r="S280" s="716"/>
      <c r="T280" s="716"/>
      <c r="U280" s="716"/>
      <c r="V280" s="716"/>
      <c r="W280" s="716" t="str">
        <f>IFERROR(VLOOKUP('General price list'!$C280,Popisy!A:P,MATCH($W$17,Popisy!$A$7:$P$7,0),FALSE),"---------------")</f>
        <v>síla výbuchu 120dB z 15m s červeným světlem na začátku</v>
      </c>
      <c r="X280" s="716" t="str">
        <f t="shared" si="509"/>
        <v/>
      </c>
      <c r="Y280" s="716" t="str">
        <f t="shared" si="510"/>
        <v/>
      </c>
      <c r="Z280" s="716" t="str">
        <f>HYPERLINK("https://www.klasekpyrotechnics.cz/p6a13_rf3-1")</f>
        <v>https://www.klasekpyrotechnics.cz/p6a13_rf3-1</v>
      </c>
      <c r="AA280" s="716">
        <f>IFERROR(IF(VLOOKUP(C280,[4]List1!$A:$D,4,FALSE)=0,"",VLOOKUP(C280,[4]List1!$A:$D,4,FALSE)),"")</f>
        <v>26</v>
      </c>
      <c r="AB280" s="720"/>
      <c r="AC280" s="747" t="str">
        <f>IFERROR(IF(VLOOKUP(C280,[1]List1!$A:$D,2,FALSE)="VYPRODÁNO",$V$9,IF(VLOOKUP(C280,[1]List1!$A:$D,2,FALSE)="DOCHÁZÍ",$V$3,VLOOKUP(C280,[1]List1!$A:$D,2,FALSE))),"OFFLINE!")</f>
        <v>SKLADEM</v>
      </c>
      <c r="AD280" s="748" t="str">
        <f ca="1">IF(AP280="NE",$V$10,IF(AC280=$V$3,IF(AQ280&lt;1,$V$8,$V$2&amp;" "&amp;AQ280&amp;" "&amp;$V$1),IF(AC280="SKLADEM",$V$6,IFERROR(IF(OR(AC280-TODAY()&gt;45,VLOOKUP(C280,[1]List1!$A:$E,4,FALSE)=0),AC280,DAY(AC280)&amp;"."&amp;MONTH(AC280)&amp;"."&amp;YEAR(AC280)&amp;" "&amp;$V$4&amp;VLOOKUP(C280,[1]List1!$A:$E,4,FALSE)&amp;" "&amp;$V$1),AC280))))</f>
        <v>SKLADEM</v>
      </c>
      <c r="AE280" s="716" t="str">
        <f t="shared" ca="1" si="511"/>
        <v>SKLADEM</v>
      </c>
      <c r="AF280" s="723">
        <f t="shared" si="512"/>
        <v>0</v>
      </c>
      <c r="AG280" s="723">
        <f t="shared" si="513"/>
        <v>0</v>
      </c>
      <c r="AH280" s="724">
        <f t="shared" si="514"/>
        <v>0</v>
      </c>
      <c r="AI280" s="716">
        <f t="shared" si="515"/>
        <v>0</v>
      </c>
      <c r="AJ280" s="716">
        <f t="shared" si="516"/>
        <v>0</v>
      </c>
      <c r="AK280" s="716" t="str">
        <f t="shared" si="517"/>
        <v/>
      </c>
      <c r="AL280" s="716" t="str">
        <f t="shared" si="518"/>
        <v/>
      </c>
      <c r="AM280" s="716">
        <f t="shared" si="519"/>
        <v>0</v>
      </c>
      <c r="AN280" s="716">
        <f t="shared" si="520"/>
        <v>0</v>
      </c>
      <c r="AO280" s="380"/>
      <c r="AP280" s="322" t="str">
        <f t="shared" si="521"/>
        <v/>
      </c>
      <c r="AQ280" s="323" t="str">
        <f>IF(AC280=$V$3,IF(VLOOKUP(C280,[1]List1!$A:$E,5,FALSE)=0,1,VLOOKUP(C280,[1]List1!$A:$E,5,FALSE)),"")</f>
        <v/>
      </c>
      <c r="AR280" s="304" t="str">
        <f t="shared" si="522"/>
        <v/>
      </c>
      <c r="AS280" s="423" t="str">
        <f t="shared" si="523"/>
        <v/>
      </c>
      <c r="AT280" s="304" t="str">
        <f t="shared" si="524"/>
        <v/>
      </c>
      <c r="AU280" s="342" t="e">
        <f t="shared" si="525"/>
        <v>#N/A</v>
      </c>
      <c r="AV280" s="304" t="e">
        <f t="shared" si="526"/>
        <v>#N/A</v>
      </c>
      <c r="AX280" s="304">
        <f>IF(AND('General price list'!$J280="F4",'General price list'!$AB280+0&gt;0),1,0)</f>
        <v>0</v>
      </c>
      <c r="AY280" s="304">
        <f t="shared" si="527"/>
        <v>1</v>
      </c>
      <c r="AZ280" s="304">
        <f t="shared" si="528"/>
        <v>0</v>
      </c>
    </row>
    <row r="281" spans="1:52" ht="15" customHeight="1">
      <c r="A281" s="773" t="str">
        <f>Kat.!C281</f>
        <v xml:space="preserve">                                                               Petardy se zápalnou šňůrou F4+T2</v>
      </c>
      <c r="B281" s="774"/>
      <c r="C281" s="774"/>
      <c r="D281" s="774"/>
      <c r="E281" s="774"/>
      <c r="F281" s="774"/>
      <c r="G281" s="774"/>
      <c r="H281" s="774"/>
      <c r="I281" s="774"/>
      <c r="J281" s="774"/>
      <c r="K281" s="774"/>
      <c r="L281" s="774"/>
      <c r="M281" s="774"/>
      <c r="N281" s="774"/>
      <c r="O281" s="774"/>
      <c r="P281" s="774"/>
      <c r="Q281" s="774"/>
      <c r="R281" s="774"/>
      <c r="S281" s="774"/>
      <c r="T281" s="774"/>
      <c r="U281" s="774"/>
      <c r="V281" s="774"/>
      <c r="W281" s="774"/>
      <c r="X281" s="774"/>
      <c r="Y281" s="774"/>
      <c r="Z281" s="774"/>
      <c r="AA281" s="774" t="str">
        <f>IFERROR(IF(VLOOKUP(C281,[4]List1!$A:$D,4,FALSE)=0,"",VLOOKUP(C281,[4]List1!$A:$D,4,FALSE)),"")</f>
        <v/>
      </c>
      <c r="AB281" s="774"/>
      <c r="AC281" s="775"/>
      <c r="AD281" s="774"/>
      <c r="AE281" s="774"/>
      <c r="AF281" s="774"/>
      <c r="AG281" s="774"/>
      <c r="AH281" s="774"/>
      <c r="AI281" s="774"/>
      <c r="AJ281" s="774"/>
      <c r="AK281" s="774"/>
      <c r="AL281" s="774"/>
      <c r="AM281" s="774"/>
      <c r="AN281" s="774"/>
      <c r="AO281" s="380"/>
      <c r="AP281" s="322" t="str">
        <f t="shared" ref="AP281:AP342" si="529">IF($AL$3=1,IF(Y281=AB281,"","NE"),IF(AR281=$V$10,"NE",""))</f>
        <v/>
      </c>
      <c r="AQ281" s="323" t="str">
        <f>IF(AC281=$V$3,IF(VLOOKUP(C281,[1]List1!$A:$E,5,FALSE)=0,1,VLOOKUP(C281,[1]List1!$A:$E,5,FALSE)),"")</f>
        <v/>
      </c>
      <c r="AR281" s="304" t="str">
        <f t="shared" ref="AR281:AR342" si="530">IF($AL$3=1,"",IF(OR(AB281&lt;&gt;"",AB281&lt;&gt;0),IF(OR(AC281=$V$6,AC281=$V$3,AC281=$V$9),$V$10,""),""))</f>
        <v/>
      </c>
      <c r="AS281" s="423" t="str">
        <f t="shared" ref="AS281:AS342" si="531">IF(AT281&lt;&gt;"","X","")</f>
        <v/>
      </c>
      <c r="AT281" s="304" t="str">
        <f t="shared" ref="AT281:AT342" si="532">IF(AND($AL$3=2,AR281="",AB281&lt;&gt;""),AD281,"")</f>
        <v/>
      </c>
      <c r="AU281" s="342" t="e">
        <f t="shared" ref="AU281:AU342" si="533">IF(AT281=$AS$21,AB281,"")</f>
        <v>#N/A</v>
      </c>
      <c r="AV281" s="304" t="e">
        <f t="shared" ref="AV281:AV342" si="534">IF(OR(AB281="",AND(AT281&lt;&gt;"",AU281&lt;&gt;"")),"",$V$10)</f>
        <v>#N/A</v>
      </c>
      <c r="AX281" s="304">
        <f>IF(AND('General price list'!$J281="F4",'General price list'!$AB281+0&gt;0),1,0)</f>
        <v>0</v>
      </c>
      <c r="AY281" s="304">
        <f t="shared" ref="AY281:AY342" si="535">IFERROR(FIND(VLOOKUP($AC$7,$AD$1:$AE$12,2,FALSE),Q281,1),0)</f>
        <v>0</v>
      </c>
      <c r="AZ281" s="304">
        <f t="shared" ref="AZ281:AZ342" si="536">IFERROR(FIND(VLOOKUP($AC$7,$AD$1:$AE$12,2,FALSE),R281,1),0)</f>
        <v>0</v>
      </c>
    </row>
    <row r="282" spans="1:52" ht="15" customHeight="1">
      <c r="A282" s="712" t="str">
        <f>Kat.!C282</f>
        <v/>
      </c>
      <c r="B282" s="713">
        <f>IF(AND('General price list'!$J282="F4",$AI$1=FALSE),0,IF(AC282="SKLADEM",1,IF(AC282=$V$3,1,0)))</f>
        <v>0</v>
      </c>
      <c r="C282" s="714" t="s">
        <v>775</v>
      </c>
      <c r="D282" s="715" t="s">
        <v>14545</v>
      </c>
      <c r="E282" s="716" t="s">
        <v>762</v>
      </c>
      <c r="F282" s="712">
        <f>IFERROR(ROUND(IF($AL$3=2,VLOOKUP(C282,[2]List1!$A:$D,2,FALSE)*1.08,VLOOKUP(C282,[2]List1!$A:$D,2,FALSE)),0),"NEUVEDENO!")</f>
        <v>168</v>
      </c>
      <c r="G282" s="717">
        <f>(F282)*$B$19</f>
        <v>168</v>
      </c>
      <c r="H282" s="718">
        <f>G282/$F$19</f>
        <v>6.8267984347126447</v>
      </c>
      <c r="I282" s="719">
        <v>60</v>
      </c>
      <c r="J282" s="716" t="s">
        <v>709</v>
      </c>
      <c r="K282" s="716" t="s">
        <v>12734</v>
      </c>
      <c r="L282" s="716" t="s">
        <v>24</v>
      </c>
      <c r="M282" s="716" t="s">
        <v>644</v>
      </c>
      <c r="N282" s="716">
        <f>IFERROR(VLOOKUP(C282,[3]List1!$A:$D,4,FALSE),"N/A!")</f>
        <v>3.4680000000000002E-2</v>
      </c>
      <c r="O282" s="716">
        <f>IFERROR(VLOOKUP(C282,[3]List1!$A:$D,3,FALSE),"N/A!")</f>
        <v>6000</v>
      </c>
      <c r="P282" s="716">
        <f>IFERROR(VLOOKUP(C282,[3]List1!$A:$D,2,FALSE),"N/A!")</f>
        <v>16000</v>
      </c>
      <c r="Q282" s="716" t="s">
        <v>14093</v>
      </c>
      <c r="R282" s="716" t="s">
        <v>24</v>
      </c>
      <c r="S282" s="716"/>
      <c r="T282" s="716"/>
      <c r="U282" s="716"/>
      <c r="V282" s="716"/>
      <c r="W282" s="716" t="str">
        <f>IFERROR(VLOOKUP('General price list'!$C282,Popisy!A:P,MATCH($W$17,Popisy!$A$7:$P$7,0),FALSE),"---------------")</f>
        <v>5g zábleskové slože, 130dB z 15m, vyrobeno v Evropě, plastová ucpávka</v>
      </c>
      <c r="X282" s="716" t="str">
        <f>IF(AB282&lt;0.0001,"",AB282)</f>
        <v/>
      </c>
      <c r="Y282" s="716" t="str">
        <f>IF($AL$3=2,IF(OR(AB282&lt;&gt;"",AB282&lt;&gt;0),AU282,""),IF(C282="","",IF(AB282&lt;0.0001,"",IF(B282=0,"",IF(AQ282&lt;AB282,"",AB282)))))</f>
        <v/>
      </c>
      <c r="Z282" s="716" t="str">
        <f>HYPERLINK("https://www.klasekpyrotechnics.cz/p6ae")</f>
        <v>https://www.klasekpyrotechnics.cz/p6ae</v>
      </c>
      <c r="AA282" s="716">
        <f>IFERROR(IF(VLOOKUP(C282,[4]List1!$A:$D,4,FALSE)=0,"",VLOOKUP(C282,[4]List1!$A:$D,4,FALSE)),"")</f>
        <v>40</v>
      </c>
      <c r="AB282" s="720"/>
      <c r="AC282" s="721" t="str">
        <f>IFERROR(IF(VLOOKUP(C282,[1]List1!$A:$D,2,FALSE)="VYPRODÁNO",$V$9,IF(VLOOKUP(C282,[1]List1!$A:$D,2,FALSE)="DOCHÁZÍ",$V$3,VLOOKUP(C282,[1]List1!$A:$D,2,FALSE))),"OFFLINE!")</f>
        <v>25.03.2024</v>
      </c>
      <c r="AD282" s="722" t="str">
        <f ca="1">IF(AP282="NE",$V$10,IF(AC282=$V$3,IF(AQ282&lt;1,$V$8,$V$2&amp;" "&amp;AQ282&amp;" "&amp;$V$1),IF(AC282="SKLADEM",$V$6,IFERROR(IF(OR(AC282-TODAY()&gt;45,VLOOKUP(C282,[1]List1!$A:$E,4,FALSE)=0),AC282,DAY(AC282)&amp;"."&amp;MONTH(AC282)&amp;"."&amp;YEAR(AC282)&amp;" "&amp;$V$4&amp;VLOOKUP(C282,[1]List1!$A:$E,4,FALSE)&amp;" "&amp;$V$1),AC282))))</f>
        <v>25.3.2024 DORAZÍ 100+ VK</v>
      </c>
      <c r="AE282" s="716" t="str">
        <f t="shared" ref="AE282" ca="1" si="537">IFERROR(IF(AV282&lt;&gt;"",AV282,AD282),AD282)</f>
        <v>25.3.2024 DORAZÍ 100+ VK</v>
      </c>
      <c r="AF282" s="723">
        <f t="shared" ref="AF282" si="538">IFERROR(IF(AB282=Y282,G282*I282*Y282,0),0)</f>
        <v>0</v>
      </c>
      <c r="AG282" s="723">
        <f t="shared" ref="AG282" si="539">IF($W$17=$AF$8,AH282*1.23,AF282*1.21)</f>
        <v>0</v>
      </c>
      <c r="AH282" s="724">
        <f t="shared" ref="AH282" si="540">IFERROR(IF(Y282=AB282,H282*I282*Y282,0),0)</f>
        <v>0</v>
      </c>
      <c r="AI282" s="716">
        <f t="shared" ref="AI282" si="541">IFERROR(IF(Y282=AB282,(P282*Y282)/1000,1),0)</f>
        <v>0</v>
      </c>
      <c r="AJ282" s="716">
        <f t="shared" ref="AJ282" si="542">IFERROR(IF(Y282=AB282,N282*Y282,0.1),0)</f>
        <v>0</v>
      </c>
      <c r="AK282" s="716">
        <f t="shared" ref="AK282" si="543">IFERROR(IF(Y282=AB282,IF(M282="1.1G",(O282/1000)*Y282,""),""),0)</f>
        <v>0</v>
      </c>
      <c r="AL282" s="716" t="str">
        <f t="shared" ref="AL282" si="544">IFERROR(IF(Y282=AB282,IF(M282="1.3G",(O282/1000)*AB282,""),""),0)</f>
        <v/>
      </c>
      <c r="AM282" s="716" t="str">
        <f t="shared" ref="AM282" si="545">IFERROR(IF(Y282=AB282,IF(M282="1.4G",(O282/1000)*AB282,""),""),0)</f>
        <v/>
      </c>
      <c r="AN282" s="716">
        <f t="shared" ref="AN282" si="546">SUM(AK282:AM282)</f>
        <v>0</v>
      </c>
      <c r="AO282" s="380"/>
      <c r="AP282" s="322" t="str">
        <f t="shared" si="529"/>
        <v/>
      </c>
      <c r="AQ282" s="323" t="str">
        <f>IF(AC282=$V$3,IF(VLOOKUP(C282,[1]List1!$A:$E,5,FALSE)=0,1,VLOOKUP(C282,[1]List1!$A:$E,5,FALSE)),"")</f>
        <v/>
      </c>
      <c r="AR282" s="304" t="str">
        <f t="shared" si="530"/>
        <v/>
      </c>
      <c r="AS282" s="423" t="str">
        <f t="shared" si="531"/>
        <v/>
      </c>
      <c r="AT282" s="304" t="str">
        <f t="shared" si="532"/>
        <v/>
      </c>
      <c r="AU282" s="342" t="e">
        <f t="shared" si="533"/>
        <v>#N/A</v>
      </c>
      <c r="AV282" s="304" t="e">
        <f t="shared" si="534"/>
        <v>#N/A</v>
      </c>
      <c r="AX282" s="304">
        <f>IF(AND('General price list'!$J282="F4",'General price list'!$AB282+0&gt;0),1,0)</f>
        <v>0</v>
      </c>
      <c r="AY282" s="304">
        <f t="shared" si="535"/>
        <v>1</v>
      </c>
      <c r="AZ282" s="304">
        <f t="shared" si="536"/>
        <v>0</v>
      </c>
    </row>
    <row r="283" spans="1:52" ht="15" customHeight="1">
      <c r="A283" s="712"/>
      <c r="B283" s="745">
        <f>IF(AND('General price list'!$J283="F4",$AI$1=FALSE),0,IF(AC283="SKLADEM",1,IF(AC283=$V$3,1,0)))</f>
        <v>0</v>
      </c>
      <c r="C283" s="714" t="s">
        <v>778</v>
      </c>
      <c r="D283" s="715" t="s">
        <v>14747</v>
      </c>
      <c r="E283" s="716" t="s">
        <v>14748</v>
      </c>
      <c r="F283" s="712">
        <f>IFERROR(ROUND(IF($AL$3=2,VLOOKUP(C283,[2]List1!$A:$D,2,FALSE)*1.08,VLOOKUP(C283,[2]List1!$A:$D,2,FALSE)),0),"NEUVEDENO!")</f>
        <v>57</v>
      </c>
      <c r="G283" s="717">
        <f>Tabulka1[[#This Row],[CZK]]</f>
        <v>57</v>
      </c>
      <c r="H283" s="718">
        <f>G283/$F$19</f>
        <v>2.3162351832060759</v>
      </c>
      <c r="I283" s="746">
        <v>54</v>
      </c>
      <c r="J283" s="716" t="s">
        <v>709</v>
      </c>
      <c r="K283" s="716" t="s">
        <v>14734</v>
      </c>
      <c r="L283" s="716"/>
      <c r="M283" s="716" t="s">
        <v>644</v>
      </c>
      <c r="N283" s="716">
        <f>IFERROR(VLOOKUP(C283,[3]List1!$A:$D,4,FALSE),"N/A!")</f>
        <v>3.6079999999999994E-2</v>
      </c>
      <c r="O283" s="716">
        <f>IFERROR(VLOOKUP(C283,[3]List1!$A:$D,3,FALSE),"N/A!")</f>
        <v>6480</v>
      </c>
      <c r="P283" s="716">
        <f>IFERROR(VLOOKUP(C283,[3]List1!$A:$D,2,FALSE),"N/A!")</f>
        <v>16000</v>
      </c>
      <c r="Q283" s="716" t="s">
        <v>632</v>
      </c>
      <c r="R283" s="716"/>
      <c r="S283" s="716"/>
      <c r="T283" s="716"/>
      <c r="U283" s="716"/>
      <c r="V283" s="716"/>
      <c r="W283" s="716" t="str">
        <f>IFERROR(VLOOKUP('General price list'!$C283,Popisy!A:P,MATCH($W$17,Popisy!$A$7:$P$7,0),FALSE),"---------------")</f>
        <v>30g zábleskové slože, 142dB z 15m, vyrobeno v Evropě</v>
      </c>
      <c r="X283" s="716" t="str">
        <f>IF(AB283&lt;0.0001,"",AB283)</f>
        <v/>
      </c>
      <c r="Y283" s="716" t="str">
        <f>IF($AL$3=2,IF(OR(AB283&lt;&gt;"",AB283&lt;&gt;0),AU283,""),IF(C283="","",IF(AB283&lt;0.0001,"",IF(B283=0,"",IF(AQ283&lt;AB283,"",AB283)))))</f>
        <v/>
      </c>
      <c r="Z283" s="716" t="str">
        <f>HYPERLINK("https://www.klasekpyrotechnics.cz/p30d")</f>
        <v>https://www.klasekpyrotechnics.cz/p30d</v>
      </c>
      <c r="AA283" s="716" t="str">
        <f>IFERROR(IF(VLOOKUP(C283,[4]List1!$A:$D,4,FALSE)=0,"",VLOOKUP(C283,[4]List1!$A:$D,4,FALSE)),"")</f>
        <v/>
      </c>
      <c r="AB283" s="720"/>
      <c r="AC283" s="747" t="str">
        <f>IFERROR(IF(VLOOKUP(C283,[1]List1!$A:$D,2,FALSE)="VYPRODÁNO",$V$9,IF(VLOOKUP(C283,[1]List1!$A:$D,2,FALSE)="DOCHÁZÍ",$V$3,VLOOKUP(C283,[1]List1!$A:$D,2,FALSE))),"OFFLINE!")</f>
        <v>01.09.2024</v>
      </c>
      <c r="AD283" s="748" t="str">
        <f ca="1">IF(AP283="NE",$V$10,IF(AC283=$V$3,IF(AQ283&lt;1,$V$8,$V$2&amp;" "&amp;AQ283&amp;" "&amp;$V$1),IF(AC283="SKLADEM",$V$6,IFERROR(IF(OR(AC283-TODAY()&gt;45,VLOOKUP(C283,[1]List1!$A:$E,4,FALSE)=0),AC283,DAY(AC283)&amp;"."&amp;MONTH(AC283)&amp;"."&amp;YEAR(AC283)&amp;" "&amp;$V$4&amp;VLOOKUP(C283,[1]List1!$A:$E,4,FALSE)&amp;" "&amp;$V$1),AC283))))</f>
        <v>01.09.2024</v>
      </c>
      <c r="AE283" s="716" t="str">
        <f t="shared" ref="AE283:AE285" ca="1" si="547">IFERROR(IF(AV283&lt;&gt;"",AV283,AD283),AD283)</f>
        <v>01.09.2024</v>
      </c>
      <c r="AF283" s="723">
        <f>IFERROR(IF(AB283=Y283,G283*I283*Y283,0),0)</f>
        <v>0</v>
      </c>
      <c r="AG283" s="723">
        <f>IF($W$17=$AF$8,AH283*1.23,AF283*1.21)</f>
        <v>0</v>
      </c>
      <c r="AH283" s="724">
        <f>IFERROR(IF(Y283=AB283,H283*I283*Y283,0),0)</f>
        <v>0</v>
      </c>
      <c r="AI283" s="716">
        <f>IFERROR(IF(Y283=AB283,(P283*Y283)/1000,1),0)</f>
        <v>0</v>
      </c>
      <c r="AJ283" s="716">
        <f>IFERROR(IF(Y283=AB283,N283*Y283,0.1),0)</f>
        <v>0</v>
      </c>
      <c r="AK283" s="716">
        <f>IFERROR(IF(Y283=AB283,IF(M283="1.1G",(O283/1000)*Y283,""),""),0)</f>
        <v>0</v>
      </c>
      <c r="AL283" s="716" t="str">
        <f>IFERROR(IF(Y283=AB283,IF(M283="1.3G",(O283/1000)*AB283,""),""),0)</f>
        <v/>
      </c>
      <c r="AM283" s="716" t="str">
        <f>IFERROR(IF(Y283=AB283,IF(M283="1.4G",(O283/1000)*AB283,""),""),0)</f>
        <v/>
      </c>
      <c r="AN283" s="716">
        <f>SUM(AK283:AM283)</f>
        <v>0</v>
      </c>
      <c r="AO283" s="380"/>
      <c r="AP283" s="322" t="str">
        <f t="shared" ref="AP283:AP285" si="548">IF($AL$3=1,IF(Y283=AB283,"","NE"),IF(AR283=$V$10,"NE",""))</f>
        <v/>
      </c>
      <c r="AQ283" s="323" t="str">
        <f>IF(AC283=$V$3,IF(VLOOKUP(C283,[1]List1!$A:$E,5,FALSE)=0,1,VLOOKUP(C283,[1]List1!$A:$E,5,FALSE)),"")</f>
        <v/>
      </c>
      <c r="AR283" s="304" t="str">
        <f t="shared" ref="AR283:AR285" si="549">IF($AL$3=1,"",IF(OR(AB283&lt;&gt;"",AB283&lt;&gt;0),IF(OR(AC283=$V$6,AC283=$V$3,AC283=$V$9),$V$10,""),""))</f>
        <v/>
      </c>
      <c r="AS283" s="423" t="str">
        <f t="shared" ref="AS283:AS285" si="550">IF(AT283&lt;&gt;"","X","")</f>
        <v/>
      </c>
      <c r="AT283" s="304" t="str">
        <f t="shared" ref="AT283:AT285" si="551">IF(AND($AL$3=2,AR283="",AB283&lt;&gt;""),AD283,"")</f>
        <v/>
      </c>
      <c r="AU283" s="342" t="e">
        <f t="shared" ref="AU283:AU285" si="552">IF(AT283=$AS$21,AB283,"")</f>
        <v>#N/A</v>
      </c>
      <c r="AV283" s="304" t="e">
        <f t="shared" ref="AV283:AV285" si="553">IF(OR(AB283="",AND(AT283&lt;&gt;"",AU283&lt;&gt;"")),"",$V$10)</f>
        <v>#N/A</v>
      </c>
      <c r="AX283" s="304">
        <f>IF(AND('General price list'!$J283="F4",'General price list'!$AB283+0&gt;0),1,0)</f>
        <v>0</v>
      </c>
      <c r="AY283" s="304">
        <f t="shared" ref="AY283:AY285" si="554">IFERROR(FIND(VLOOKUP($AC$7,$AD$1:$AE$12,2,FALSE),Q283,1),0)</f>
        <v>1</v>
      </c>
      <c r="AZ283" s="304">
        <f t="shared" ref="AZ283:AZ285" si="555">IFERROR(FIND(VLOOKUP($AC$7,$AD$1:$AE$12,2,FALSE),R283,1),0)</f>
        <v>0</v>
      </c>
    </row>
    <row r="284" spans="1:52" ht="15" customHeight="1">
      <c r="A284" s="725"/>
      <c r="B284" s="749">
        <f>IF(AND('General price list'!$J284="F4",$AI$1=FALSE),0,IF(AC284="SKLADEM",1,IF(AC284=$V$3,1,0)))</f>
        <v>0</v>
      </c>
      <c r="C284" s="727" t="s">
        <v>782</v>
      </c>
      <c r="D284" s="728" t="s">
        <v>14749</v>
      </c>
      <c r="E284" s="729" t="s">
        <v>689</v>
      </c>
      <c r="F284" s="725">
        <f>IFERROR(ROUND(IF($AL$3=2,VLOOKUP(C284,[2]List1!$A:$D,2,FALSE)*1.08,VLOOKUP(C284,[2]List1!$A:$D,2,FALSE)),0),"NEUVEDENO!")</f>
        <v>102</v>
      </c>
      <c r="G284" s="730">
        <f>Tabulka1[[#This Row],[CZK]]</f>
        <v>102</v>
      </c>
      <c r="H284" s="731">
        <f>G284/$F$19</f>
        <v>4.1448419067898206</v>
      </c>
      <c r="I284" s="750">
        <v>30</v>
      </c>
      <c r="J284" s="729" t="s">
        <v>709</v>
      </c>
      <c r="K284" s="729" t="s">
        <v>14734</v>
      </c>
      <c r="L284" s="729"/>
      <c r="M284" s="729" t="s">
        <v>644</v>
      </c>
      <c r="N284" s="729">
        <f>IFERROR(VLOOKUP(C284,[3]List1!$A:$D,4,FALSE),"N/A!")</f>
        <v>2.9070000000000006E-2</v>
      </c>
      <c r="O284" s="729">
        <f>IFERROR(VLOOKUP(C284,[3]List1!$A:$D,3,FALSE),"N/A!")</f>
        <v>6000</v>
      </c>
      <c r="P284" s="729">
        <f>IFERROR(VLOOKUP(C284,[3]List1!$A:$D,2,FALSE),"N/A!")</f>
        <v>13500</v>
      </c>
      <c r="Q284" s="729" t="s">
        <v>14752</v>
      </c>
      <c r="R284" s="729"/>
      <c r="S284" s="729"/>
      <c r="T284" s="729"/>
      <c r="U284" s="729"/>
      <c r="V284" s="729"/>
      <c r="W284" s="729" t="str">
        <f>IFERROR(VLOOKUP('General price list'!$C284,Popisy!A:P,MATCH($W$17,Popisy!$A$7:$P$7,0),FALSE),"---------------")</f>
        <v>50g zábleskové slože, 159dB z 15m, vyrobeno v Evropě</v>
      </c>
      <c r="X284" s="729" t="str">
        <f>IF(AB284&lt;0.0001,"",AB284)</f>
        <v/>
      </c>
      <c r="Y284" s="729" t="str">
        <f>IF($AL$3=2,IF(OR(AB284&lt;&gt;"",AB284&lt;&gt;0),AU284,""),IF(C284="","",IF(AB284&lt;0.0001,"",IF(B284=0,"",IF(AQ284&lt;AB284,"",AB284)))))</f>
        <v/>
      </c>
      <c r="Z284" s="716" t="str">
        <f>HYPERLINK("https://www.klasekpyrotechnics.cz/p50d")</f>
        <v>https://www.klasekpyrotechnics.cz/p50d</v>
      </c>
      <c r="AA284" s="729" t="str">
        <f>IFERROR(IF(VLOOKUP(C284,[4]List1!$A:$D,4,FALSE)=0,"",VLOOKUP(C284,[4]List1!$A:$D,4,FALSE)),"")</f>
        <v/>
      </c>
      <c r="AB284" s="720"/>
      <c r="AC284" s="751" t="str">
        <f>IFERROR(IF(VLOOKUP(C284,[1]List1!$A:$D,2,FALSE)="VYPRODÁNO",$V$9,IF(VLOOKUP(C284,[1]List1!$A:$D,2,FALSE)="DOCHÁZÍ",$V$3,VLOOKUP(C284,[1]List1!$A:$D,2,FALSE))),"OFFLINE!")</f>
        <v>01.09.2024</v>
      </c>
      <c r="AD284" s="752" t="str">
        <f ca="1">IF(AP284="NE",$V$10,IF(AC284=$V$3,IF(AQ284&lt;1,$V$8,$V$2&amp;" "&amp;AQ284&amp;" "&amp;$V$1),IF(AC284="SKLADEM",$V$6,IFERROR(IF(OR(AC284-TODAY()&gt;45,VLOOKUP(C284,[1]List1!$A:$E,4,FALSE)=0),AC284,DAY(AC284)&amp;"."&amp;MONTH(AC284)&amp;"."&amp;YEAR(AC284)&amp;" "&amp;$V$4&amp;VLOOKUP(C284,[1]List1!$A:$E,4,FALSE)&amp;" "&amp;$V$1),AC284))))</f>
        <v>01.09.2024</v>
      </c>
      <c r="AE284" s="729" t="str">
        <f t="shared" ca="1" si="547"/>
        <v>01.09.2024</v>
      </c>
      <c r="AF284" s="735">
        <f>IFERROR(IF(AB284=Y284,G284*I284*Y284,0),0)</f>
        <v>0</v>
      </c>
      <c r="AG284" s="735">
        <f>IF($W$17=$AF$8,AH284*1.23,AF284*1.21)</f>
        <v>0</v>
      </c>
      <c r="AH284" s="736">
        <f>IFERROR(IF(Y284=AB284,H284*I284*Y284,0),0)</f>
        <v>0</v>
      </c>
      <c r="AI284" s="729">
        <f>IFERROR(IF(Y284=AB284,(P284*Y284)/1000,1),0)</f>
        <v>0</v>
      </c>
      <c r="AJ284" s="729">
        <f>IFERROR(IF(Y284=AB284,N284*Y284,0.1),0)</f>
        <v>0</v>
      </c>
      <c r="AK284" s="729">
        <f>IFERROR(IF(Y284=AB284,IF(M284="1.1G",(O284/1000)*Y284,""),""),0)</f>
        <v>0</v>
      </c>
      <c r="AL284" s="729" t="str">
        <f>IFERROR(IF(Y284=AB284,IF(M284="1.3G",(O284/1000)*AB284,""),""),0)</f>
        <v/>
      </c>
      <c r="AM284" s="729" t="str">
        <f>IFERROR(IF(Y284=AB284,IF(M284="1.4G",(O284/1000)*AB284,""),""),0)</f>
        <v/>
      </c>
      <c r="AN284" s="729">
        <f>SUM(AK284:AM284)</f>
        <v>0</v>
      </c>
      <c r="AO284" s="380"/>
      <c r="AP284" s="322" t="str">
        <f t="shared" si="548"/>
        <v/>
      </c>
      <c r="AQ284" s="323" t="str">
        <f>IF(AC284=$V$3,IF(VLOOKUP(C284,[1]List1!$A:$E,5,FALSE)=0,1,VLOOKUP(C284,[1]List1!$A:$E,5,FALSE)),"")</f>
        <v/>
      </c>
      <c r="AR284" s="304" t="str">
        <f t="shared" si="549"/>
        <v/>
      </c>
      <c r="AS284" s="423" t="str">
        <f t="shared" si="550"/>
        <v/>
      </c>
      <c r="AT284" s="304" t="str">
        <f t="shared" si="551"/>
        <v/>
      </c>
      <c r="AU284" s="342" t="e">
        <f t="shared" si="552"/>
        <v>#N/A</v>
      </c>
      <c r="AV284" s="304" t="e">
        <f t="shared" si="553"/>
        <v>#N/A</v>
      </c>
      <c r="AX284" s="304">
        <f>IF(AND('General price list'!$J284="F4",'General price list'!$AB284+0&gt;0),1,0)</f>
        <v>0</v>
      </c>
      <c r="AY284" s="304">
        <f t="shared" si="554"/>
        <v>1</v>
      </c>
      <c r="AZ284" s="304">
        <f t="shared" si="555"/>
        <v>0</v>
      </c>
    </row>
    <row r="285" spans="1:52" ht="15" customHeight="1">
      <c r="A285" s="712"/>
      <c r="B285" s="745">
        <f>IF(AND('General price list'!$J285="F4",$AI$1=FALSE),0,IF(AC285="SKLADEM",1,IF(AC285=$V$3,1,0)))</f>
        <v>0</v>
      </c>
      <c r="C285" s="714" t="s">
        <v>2504</v>
      </c>
      <c r="D285" s="715" t="s">
        <v>14750</v>
      </c>
      <c r="E285" s="716" t="s">
        <v>14751</v>
      </c>
      <c r="F285" s="712">
        <f>IFERROR(ROUND(IF($AL$3=2,VLOOKUP(C285,[2]List1!$A:$D,2,FALSE)*1.08,VLOOKUP(C285,[2]List1!$A:$D,2,FALSE)),0),"NEUVEDENO!")</f>
        <v>153</v>
      </c>
      <c r="G285" s="717">
        <f>Tabulka1[[#This Row],[CZK]]</f>
        <v>153</v>
      </c>
      <c r="H285" s="718">
        <f>G285/$F$19</f>
        <v>6.2172628601847304</v>
      </c>
      <c r="I285" s="746">
        <v>21</v>
      </c>
      <c r="J285" s="716" t="s">
        <v>709</v>
      </c>
      <c r="K285" s="716" t="s">
        <v>14734</v>
      </c>
      <c r="L285" s="716"/>
      <c r="M285" s="716" t="s">
        <v>644</v>
      </c>
      <c r="N285" s="716">
        <f>IFERROR(VLOOKUP(C285,[3]List1!$A:$D,4,FALSE),"N/A!")</f>
        <v>4.0847999999999995E-2</v>
      </c>
      <c r="O285" s="716">
        <f>IFERROR(VLOOKUP(C285,[3]List1!$A:$D,3,FALSE),"N/A!")</f>
        <v>6300</v>
      </c>
      <c r="P285" s="716">
        <f>IFERROR(VLOOKUP(C285,[3]List1!$A:$D,2,FALSE),"N/A!")</f>
        <v>15400</v>
      </c>
      <c r="Q285" s="716" t="s">
        <v>14753</v>
      </c>
      <c r="R285" s="716"/>
      <c r="S285" s="716"/>
      <c r="T285" s="716"/>
      <c r="U285" s="716"/>
      <c r="V285" s="716"/>
      <c r="W285" s="716" t="str">
        <f>IFERROR(VLOOKUP('General price list'!$C285,Popisy!A:P,MATCH($W$17,Popisy!$A$7:$P$7,0),FALSE),"---------------")</f>
        <v>100g zábleskové slože, 170dB z 15m, vyrobeno v Evropě</v>
      </c>
      <c r="X285" s="716" t="str">
        <f>IF(AB285&lt;0.0001,"",AB285)</f>
        <v/>
      </c>
      <c r="Y285" s="716" t="str">
        <f>IF($AL$3=2,IF(OR(AB285&lt;&gt;"",AB285&lt;&gt;0),AU285,""),IF(C285="","",IF(AB285&lt;0.0001,"",IF(B285=0,"",IF(AQ285&lt;AB285,"",AB285)))))</f>
        <v/>
      </c>
      <c r="Z285" s="716" t="str">
        <f>HYPERLINK("https://www.klasekpyrotechnics.cz/p170")</f>
        <v>https://www.klasekpyrotechnics.cz/p170</v>
      </c>
      <c r="AA285" s="716" t="str">
        <f>IFERROR(IF(VLOOKUP(C285,[4]List1!$A:$D,4,FALSE)=0,"",VLOOKUP(C285,[4]List1!$A:$D,4,FALSE)),"")</f>
        <v/>
      </c>
      <c r="AB285" s="720"/>
      <c r="AC285" s="747" t="str">
        <f>IFERROR(IF(VLOOKUP(C285,[1]List1!$A:$D,2,FALSE)="VYPRODÁNO",$V$9,IF(VLOOKUP(C285,[1]List1!$A:$D,2,FALSE)="DOCHÁZÍ",$V$3,VLOOKUP(C285,[1]List1!$A:$D,2,FALSE))),"OFFLINE!")</f>
        <v>01.09.2024</v>
      </c>
      <c r="AD285" s="748" t="str">
        <f ca="1">IF(AP285="NE",$V$10,IF(AC285=$V$3,IF(AQ285&lt;1,$V$8,$V$2&amp;" "&amp;AQ285&amp;" "&amp;$V$1),IF(AC285="SKLADEM",$V$6,IFERROR(IF(OR(AC285-TODAY()&gt;45,VLOOKUP(C285,[1]List1!$A:$E,4,FALSE)=0),AC285,DAY(AC285)&amp;"."&amp;MONTH(AC285)&amp;"."&amp;YEAR(AC285)&amp;" "&amp;$V$4&amp;VLOOKUP(C285,[1]List1!$A:$E,4,FALSE)&amp;" "&amp;$V$1),AC285))))</f>
        <v>01.09.2024</v>
      </c>
      <c r="AE285" s="716" t="str">
        <f t="shared" ca="1" si="547"/>
        <v>01.09.2024</v>
      </c>
      <c r="AF285" s="723">
        <f>IFERROR(IF(AB285=Y285,G285*I285*Y285,0),0)</f>
        <v>0</v>
      </c>
      <c r="AG285" s="723">
        <f>IF($W$17=$AF$8,AH285*1.23,AF285*1.21)</f>
        <v>0</v>
      </c>
      <c r="AH285" s="724">
        <f>IFERROR(IF(Y285=AB285,H285*I285*Y285,0),0)</f>
        <v>0</v>
      </c>
      <c r="AI285" s="716">
        <f>IFERROR(IF(Y285=AB285,(P285*Y285)/1000,1),0)</f>
        <v>0</v>
      </c>
      <c r="AJ285" s="716">
        <f>IFERROR(IF(Y285=AB285,N285*Y285,0.1),0)</f>
        <v>0</v>
      </c>
      <c r="AK285" s="716">
        <f>IFERROR(IF(Y285=AB285,IF(M285="1.1G",(O285/1000)*Y285,""),""),0)</f>
        <v>0</v>
      </c>
      <c r="AL285" s="716" t="str">
        <f>IFERROR(IF(Y285=AB285,IF(M285="1.3G",(O285/1000)*AB285,""),""),0)</f>
        <v/>
      </c>
      <c r="AM285" s="716" t="str">
        <f>IFERROR(IF(Y285=AB285,IF(M285="1.4G",(O285/1000)*AB285,""),""),0)</f>
        <v/>
      </c>
      <c r="AN285" s="716">
        <f>SUM(AK285:AM285)</f>
        <v>0</v>
      </c>
      <c r="AO285" s="380"/>
      <c r="AP285" s="322" t="str">
        <f t="shared" si="548"/>
        <v/>
      </c>
      <c r="AQ285" s="323" t="str">
        <f>IF(AC285=$V$3,IF(VLOOKUP(C285,[1]List1!$A:$E,5,FALSE)=0,1,VLOOKUP(C285,[1]List1!$A:$E,5,FALSE)),"")</f>
        <v/>
      </c>
      <c r="AR285" s="304" t="str">
        <f t="shared" si="549"/>
        <v/>
      </c>
      <c r="AS285" s="423" t="str">
        <f t="shared" si="550"/>
        <v/>
      </c>
      <c r="AT285" s="304" t="str">
        <f t="shared" si="551"/>
        <v/>
      </c>
      <c r="AU285" s="342" t="e">
        <f t="shared" si="552"/>
        <v>#N/A</v>
      </c>
      <c r="AV285" s="304" t="e">
        <f t="shared" si="553"/>
        <v>#N/A</v>
      </c>
      <c r="AX285" s="304">
        <f>IF(AND('General price list'!$J285="F4",'General price list'!$AB285+0&gt;0),1,0)</f>
        <v>0</v>
      </c>
      <c r="AY285" s="304">
        <f t="shared" si="554"/>
        <v>1</v>
      </c>
      <c r="AZ285" s="304">
        <f t="shared" si="555"/>
        <v>0</v>
      </c>
    </row>
    <row r="286" spans="1:52" ht="15" customHeight="1">
      <c r="A286" s="773" t="str">
        <f>Kat.!C283</f>
        <v xml:space="preserve">                                                               Baterie petard</v>
      </c>
      <c r="B286" s="774"/>
      <c r="C286" s="774"/>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t="str">
        <f>IFERROR(IF(VLOOKUP(C286,[4]List1!$A:$D,4,FALSE)=0,"",VLOOKUP(C286,[4]List1!$A:$D,4,FALSE)),"")</f>
        <v/>
      </c>
      <c r="AB286" s="774"/>
      <c r="AC286" s="775"/>
      <c r="AD286" s="774"/>
      <c r="AE286" s="774"/>
      <c r="AF286" s="774"/>
      <c r="AG286" s="774"/>
      <c r="AH286" s="774"/>
      <c r="AI286" s="774"/>
      <c r="AJ286" s="774"/>
      <c r="AK286" s="774"/>
      <c r="AL286" s="774"/>
      <c r="AM286" s="774"/>
      <c r="AN286" s="774"/>
      <c r="AO286" s="380"/>
      <c r="AP286" s="322" t="str">
        <f t="shared" si="529"/>
        <v/>
      </c>
      <c r="AQ286" s="323" t="str">
        <f>IF(AC286=$V$3,IF(VLOOKUP(C286,[1]List1!$A:$E,5,FALSE)=0,1,VLOOKUP(C286,[1]List1!$A:$E,5,FALSE)),"")</f>
        <v/>
      </c>
      <c r="AR286" s="304" t="str">
        <f t="shared" si="530"/>
        <v/>
      </c>
      <c r="AS286" s="423" t="str">
        <f t="shared" si="531"/>
        <v/>
      </c>
      <c r="AT286" s="304" t="str">
        <f t="shared" si="532"/>
        <v/>
      </c>
      <c r="AU286" s="342" t="e">
        <f t="shared" si="533"/>
        <v>#N/A</v>
      </c>
      <c r="AV286" s="304" t="e">
        <f t="shared" si="534"/>
        <v>#N/A</v>
      </c>
      <c r="AX286" s="304">
        <f>IF(AND('General price list'!$J286="F4",'General price list'!$AB286+0&gt;0),1,0)</f>
        <v>0</v>
      </c>
      <c r="AY286" s="304">
        <f t="shared" si="535"/>
        <v>0</v>
      </c>
      <c r="AZ286" s="304">
        <f t="shared" si="536"/>
        <v>0</v>
      </c>
    </row>
    <row r="287" spans="1:52" ht="15" customHeight="1">
      <c r="A287" s="712" t="str">
        <f>Kat.!C284</f>
        <v/>
      </c>
      <c r="B287" s="713">
        <f>IF(AND('General price list'!$J287="F4",$AI$1=FALSE),0,IF(AC287="SKLADEM",1,IF(AC287=$V$3,1,0)))</f>
        <v>0</v>
      </c>
      <c r="C287" s="714" t="s">
        <v>94</v>
      </c>
      <c r="D287" s="715" t="s">
        <v>4590</v>
      </c>
      <c r="E287" s="716" t="s">
        <v>95</v>
      </c>
      <c r="F287" s="712">
        <f>IFERROR(ROUND(IF($AL$3=2,VLOOKUP(C287,[2]List1!$A:$D,2,FALSE)*1.08,VLOOKUP(C287,[2]List1!$A:$D,2,FALSE)),0),"NEUVEDENO!")</f>
        <v>63</v>
      </c>
      <c r="G287" s="717">
        <f t="shared" ref="G287:G298" si="556">(F287)*$B$19</f>
        <v>63</v>
      </c>
      <c r="H287" s="718">
        <f t="shared" ref="H287:H298" si="557">G287/$F$19</f>
        <v>2.560049413017242</v>
      </c>
      <c r="I287" s="719">
        <v>40</v>
      </c>
      <c r="J287" s="716" t="s">
        <v>46</v>
      </c>
      <c r="K287" s="716"/>
      <c r="L287" s="716" t="s">
        <v>14383</v>
      </c>
      <c r="M287" s="716" t="s">
        <v>25</v>
      </c>
      <c r="N287" s="716">
        <f>IFERROR(VLOOKUP(C287,[3]List1!$A:$D,4,FALSE),"N/A!")</f>
        <v>1.864275E-2</v>
      </c>
      <c r="O287" s="716">
        <f>IFERROR(VLOOKUP(C287,[3]List1!$A:$D,3,FALSE),"N/A!")</f>
        <v>1800</v>
      </c>
      <c r="P287" s="716">
        <f>IFERROR(VLOOKUP(C287,[3]List1!$A:$D,2,FALSE),"N/A!")</f>
        <v>2500</v>
      </c>
      <c r="Q287" s="716" t="s">
        <v>160</v>
      </c>
      <c r="R287" s="716" t="s">
        <v>24</v>
      </c>
      <c r="S287" s="716"/>
      <c r="T287" s="716"/>
      <c r="U287" s="716"/>
      <c r="V287" s="716"/>
      <c r="W287" s="716" t="str">
        <f>IFERROR(VLOOKUP('General price list'!$C287,Popisy!A:P,MATCH($W$17,Popisy!$A$7:$P$7,0),FALSE),"---------------")</f>
        <v>práskající balónky 15g, průměr 38mm</v>
      </c>
      <c r="X287" s="716" t="str">
        <f t="shared" ref="X287:X298" si="558">IF(AB287&lt;0.0001,"",AB287)</f>
        <v/>
      </c>
      <c r="Y287" s="716" t="str">
        <f t="shared" ref="Y287:Y298" si="559">IF($AL$3=2,IF(OR(AB287&lt;&gt;"",AB287&lt;&gt;0),AU287,""),IF(C287="","",IF(AB287&lt;0.0001,"",IF(B287=0,"",IF(AQ287&lt;AB287,"",AB287)))))</f>
        <v/>
      </c>
      <c r="Z287" s="716" t="str">
        <f>HYPERLINK("https://www.klasekpyrotechnics.cz/eb15")</f>
        <v>https://www.klasekpyrotechnics.cz/eb15</v>
      </c>
      <c r="AA287" s="716" t="str">
        <f>IFERROR(IF(VLOOKUP(C287,[4]List1!$A:$D,4,FALSE)=0,"",VLOOKUP(C287,[4]List1!$A:$D,4,FALSE)),"")</f>
        <v>87</v>
      </c>
      <c r="AB287" s="720"/>
      <c r="AC287" s="721" t="str">
        <f>IFERROR(IF(VLOOKUP(C287,[1]List1!$A:$D,2,FALSE)="VYPRODÁNO",$V$9,IF(VLOOKUP(C287,[1]List1!$A:$D,2,FALSE)="DOCHÁZÍ",$V$3,VLOOKUP(C287,[1]List1!$A:$D,2,FALSE))),"OFFLINE!")</f>
        <v>15.09.2024</v>
      </c>
      <c r="AD287" s="722" t="str">
        <f ca="1">IF(AP287="NE",$V$10,IF(AC287=$V$3,IF(AQ287&lt;1,$V$8,$V$2&amp;" "&amp;AQ287&amp;" "&amp;$V$1),IF(AC287="SKLADEM",$V$6,IFERROR(IF(OR(AC287-TODAY()&gt;45,VLOOKUP(C287,[1]List1!$A:$E,4,FALSE)=0),AC287,DAY(AC287)&amp;"."&amp;MONTH(AC287)&amp;"."&amp;YEAR(AC287)&amp;" "&amp;$V$4&amp;VLOOKUP(C287,[1]List1!$A:$E,4,FALSE)&amp;" "&amp;$V$1),AC287))))</f>
        <v>15.09.2024</v>
      </c>
      <c r="AE287" s="716" t="str">
        <f t="shared" ref="AE287:AE298" ca="1" si="560">IFERROR(IF(AV287&lt;&gt;"",AV287,AD287),AD287)</f>
        <v>15.09.2024</v>
      </c>
      <c r="AF287" s="723">
        <f t="shared" ref="AF287:AF298" si="561">IFERROR(IF(AB287=Y287,G287*I287*Y287,0),0)</f>
        <v>0</v>
      </c>
      <c r="AG287" s="723">
        <f t="shared" ref="AG287:AG298" si="562">IF($W$17=$AF$8,AH287*1.23,AF287*1.21)</f>
        <v>0</v>
      </c>
      <c r="AH287" s="724">
        <f t="shared" ref="AH287:AH298" si="563">IFERROR(IF(Y287=AB287,H287*I287*Y287,0),0)</f>
        <v>0</v>
      </c>
      <c r="AI287" s="716">
        <f t="shared" ref="AI287:AI298" si="564">IFERROR(IF(Y287=AB287,(P287*Y287)/1000,1),0)</f>
        <v>0</v>
      </c>
      <c r="AJ287" s="716">
        <f t="shared" ref="AJ287:AJ298" si="565">IFERROR(IF(Y287=AB287,N287*Y287,0.1),0)</f>
        <v>0</v>
      </c>
      <c r="AK287" s="716" t="str">
        <f t="shared" ref="AK287:AK298" si="566">IFERROR(IF(Y287=AB287,IF(M287="1.1G",(O287/1000)*Y287,""),""),0)</f>
        <v/>
      </c>
      <c r="AL287" s="716" t="str">
        <f t="shared" ref="AL287:AL298" si="567">IFERROR(IF(Y287=AB287,IF(M287="1.3G",(O287/1000)*AB287,""),""),0)</f>
        <v/>
      </c>
      <c r="AM287" s="716">
        <f t="shared" ref="AM287:AM298" si="568">IFERROR(IF(Y287=AB287,IF(M287="1.4G",(O287/1000)*AB287,""),""),0)</f>
        <v>0</v>
      </c>
      <c r="AN287" s="716">
        <f t="shared" ref="AN287:AN298" si="569">SUM(AK287:AM287)</f>
        <v>0</v>
      </c>
      <c r="AO287" s="380"/>
      <c r="AP287" s="322" t="str">
        <f t="shared" si="529"/>
        <v/>
      </c>
      <c r="AQ287" s="323" t="str">
        <f>IF(AC287=$V$3,IF(VLOOKUP(C287,[1]List1!$A:$E,5,FALSE)=0,1,VLOOKUP(C287,[1]List1!$A:$E,5,FALSE)),"")</f>
        <v/>
      </c>
      <c r="AR287" s="304" t="str">
        <f t="shared" si="530"/>
        <v/>
      </c>
      <c r="AS287" s="423" t="str">
        <f t="shared" si="531"/>
        <v/>
      </c>
      <c r="AT287" s="304" t="str">
        <f t="shared" si="532"/>
        <v/>
      </c>
      <c r="AU287" s="342" t="e">
        <f t="shared" si="533"/>
        <v>#N/A</v>
      </c>
      <c r="AV287" s="304" t="e">
        <f t="shared" si="534"/>
        <v>#N/A</v>
      </c>
      <c r="AX287" s="304">
        <f>IF(AND('General price list'!$J287="F4",'General price list'!$AB287+0&gt;0),1,0)</f>
        <v>0</v>
      </c>
      <c r="AY287" s="304">
        <f t="shared" si="535"/>
        <v>1</v>
      </c>
      <c r="AZ287" s="304">
        <f t="shared" si="536"/>
        <v>0</v>
      </c>
    </row>
    <row r="288" spans="1:52" ht="15" customHeight="1">
      <c r="A288" s="725" t="str">
        <f>Kat.!C285</f>
        <v>×</v>
      </c>
      <c r="B288" s="726">
        <f>IF(AND('General price list'!$J288="F4",$AI$1=FALSE),0,IF(AC288="SKLADEM",1,IF(AC288=$V$3,1,0)))</f>
        <v>1</v>
      </c>
      <c r="C288" s="727" t="s">
        <v>2478</v>
      </c>
      <c r="D288" s="728" t="s">
        <v>2479</v>
      </c>
      <c r="E288" s="729" t="s">
        <v>95</v>
      </c>
      <c r="F288" s="725">
        <f>IFERROR(ROUND(IF($AL$3=2,VLOOKUP(C288,[2]List1!$A:$D,2,FALSE)*1.08,VLOOKUP(C288,[2]List1!$A:$D,2,FALSE)),0),"NEUVEDENO!")</f>
        <v>71</v>
      </c>
      <c r="G288" s="730">
        <f t="shared" si="556"/>
        <v>71</v>
      </c>
      <c r="H288" s="731">
        <f t="shared" si="557"/>
        <v>2.8851350527654631</v>
      </c>
      <c r="I288" s="732">
        <v>40</v>
      </c>
      <c r="J288" s="729" t="s">
        <v>46</v>
      </c>
      <c r="K288" s="729"/>
      <c r="L288" s="729" t="s">
        <v>14365</v>
      </c>
      <c r="M288" s="729" t="s">
        <v>25</v>
      </c>
      <c r="N288" s="729">
        <f>IFERROR(VLOOKUP(C288,[3]List1!$A:$D,4,FALSE),"N/A!")</f>
        <v>1.9447200000000001E-2</v>
      </c>
      <c r="O288" s="729">
        <f>IFERROR(VLOOKUP(C288,[3]List1!$A:$D,3,FALSE),"N/A!")</f>
        <v>1800</v>
      </c>
      <c r="P288" s="729">
        <f>IFERROR(VLOOKUP(C288,[3]List1!$A:$D,2,FALSE),"N/A!")</f>
        <v>3000</v>
      </c>
      <c r="Q288" s="729" t="s">
        <v>217</v>
      </c>
      <c r="R288" s="729" t="s">
        <v>24</v>
      </c>
      <c r="S288" s="729"/>
      <c r="T288" s="729"/>
      <c r="U288" s="729"/>
      <c r="V288" s="729"/>
      <c r="W288" s="729" t="str">
        <f>IFERROR(VLOOKUP('General price list'!$C288,Popisy!A:P,MATCH($W$17,Popisy!$A$7:$P$7,0),FALSE),"---------------")</f>
        <v>práskající balónky 15g(dvojitý efekt), průměr 42mm</v>
      </c>
      <c r="X288" s="729" t="str">
        <f t="shared" si="558"/>
        <v/>
      </c>
      <c r="Y288" s="729" t="str">
        <f t="shared" si="559"/>
        <v/>
      </c>
      <c r="Z288" s="729" t="str">
        <f>HYPERLINK("https://www.klasekpyrotechnics.cz/eb9")</f>
        <v>https://www.klasekpyrotechnics.cz/eb9</v>
      </c>
      <c r="AA288" s="729">
        <f>IFERROR(IF(VLOOKUP(C288,[4]List1!$A:$D,4,FALSE)=0,"",VLOOKUP(C288,[4]List1!$A:$D,4,FALSE)),"")</f>
        <v>60</v>
      </c>
      <c r="AB288" s="720"/>
      <c r="AC288" s="733" t="str">
        <f>IFERROR(IF(VLOOKUP(C288,[1]List1!$A:$D,2,FALSE)="VYPRODÁNO",$V$9,IF(VLOOKUP(C288,[1]List1!$A:$D,2,FALSE)="DOCHÁZÍ",$V$3,VLOOKUP(C288,[1]List1!$A:$D,2,FALSE))),"OFFLINE!")</f>
        <v>DOCHÁZÍ</v>
      </c>
      <c r="AD288" s="734" t="str">
        <f ca="1">IF(AP288="NE",$V$10,IF(AC288=$V$3,IF(AQ288&lt;1,$V$8,$V$2&amp;" "&amp;AQ288&amp;" "&amp;$V$1),IF(AC288="SKLADEM",$V$6,IFERROR(IF(OR(AC288-TODAY()&gt;45,VLOOKUP(C288,[1]List1!$A:$E,4,FALSE)=0),AC288,DAY(AC288)&amp;"."&amp;MONTH(AC288)&amp;"."&amp;YEAR(AC288)&amp;" "&amp;$V$4&amp;VLOOKUP(C288,[1]List1!$A:$E,4,FALSE)&amp;" "&amp;$V$1),AC288))))</f>
        <v>POSLEDNÍCH 1 VK</v>
      </c>
      <c r="AE288" s="729" t="str">
        <f t="shared" ca="1" si="560"/>
        <v>POSLEDNÍCH 1 VK</v>
      </c>
      <c r="AF288" s="735">
        <f t="shared" si="561"/>
        <v>0</v>
      </c>
      <c r="AG288" s="735">
        <f t="shared" si="562"/>
        <v>0</v>
      </c>
      <c r="AH288" s="736">
        <f t="shared" si="563"/>
        <v>0</v>
      </c>
      <c r="AI288" s="729">
        <f t="shared" si="564"/>
        <v>0</v>
      </c>
      <c r="AJ288" s="729">
        <f t="shared" si="565"/>
        <v>0</v>
      </c>
      <c r="AK288" s="729" t="str">
        <f t="shared" si="566"/>
        <v/>
      </c>
      <c r="AL288" s="729" t="str">
        <f t="shared" si="567"/>
        <v/>
      </c>
      <c r="AM288" s="729">
        <f t="shared" si="568"/>
        <v>0</v>
      </c>
      <c r="AN288" s="729">
        <f t="shared" si="569"/>
        <v>0</v>
      </c>
      <c r="AO288" s="380"/>
      <c r="AP288" s="322" t="str">
        <f t="shared" si="529"/>
        <v/>
      </c>
      <c r="AQ288" s="323">
        <f>IF(AC288=$V$3,IF(VLOOKUP(C288,[1]List1!$A:$E,5,FALSE)=0,1,VLOOKUP(C288,[1]List1!$A:$E,5,FALSE)),"")</f>
        <v>1</v>
      </c>
      <c r="AR288" s="304" t="str">
        <f t="shared" si="530"/>
        <v/>
      </c>
      <c r="AS288" s="423" t="str">
        <f t="shared" si="531"/>
        <v/>
      </c>
      <c r="AT288" s="304" t="str">
        <f t="shared" si="532"/>
        <v/>
      </c>
      <c r="AU288" s="342" t="e">
        <f t="shared" si="533"/>
        <v>#N/A</v>
      </c>
      <c r="AV288" s="304" t="e">
        <f t="shared" si="534"/>
        <v>#N/A</v>
      </c>
      <c r="AX288" s="304">
        <f>IF(AND('General price list'!$J288="F4",'General price list'!$AB288+0&gt;0),1,0)</f>
        <v>0</v>
      </c>
      <c r="AY288" s="304">
        <f t="shared" si="535"/>
        <v>1</v>
      </c>
      <c r="AZ288" s="304">
        <f t="shared" si="536"/>
        <v>0</v>
      </c>
    </row>
    <row r="289" spans="1:52" ht="15" customHeight="1">
      <c r="A289" s="712" t="str">
        <f>Kat.!C286</f>
        <v/>
      </c>
      <c r="B289" s="737">
        <f>IF(AND('General price list'!$J289="F4",$AI$1=FALSE),0,IF(AC289="SKLADEM",1,IF(AC289=$V$3,1,0)))</f>
        <v>1</v>
      </c>
      <c r="C289" s="714" t="s">
        <v>790</v>
      </c>
      <c r="D289" s="715" t="s">
        <v>14546</v>
      </c>
      <c r="E289" s="716" t="s">
        <v>391</v>
      </c>
      <c r="F289" s="712">
        <f>IFERROR(ROUND(IF($AL$3=2,VLOOKUP(C289,[2]List1!$A:$D,2,FALSE)*1.08,VLOOKUP(C289,[2]List1!$A:$D,2,FALSE)),0),"NEUVEDENO!")</f>
        <v>117</v>
      </c>
      <c r="G289" s="717">
        <f t="shared" si="556"/>
        <v>117</v>
      </c>
      <c r="H289" s="718">
        <f t="shared" si="557"/>
        <v>4.7543774813177349</v>
      </c>
      <c r="I289" s="738">
        <v>24</v>
      </c>
      <c r="J289" s="716" t="s">
        <v>46</v>
      </c>
      <c r="K289" s="716"/>
      <c r="L289" s="716" t="s">
        <v>24</v>
      </c>
      <c r="M289" s="716" t="s">
        <v>25</v>
      </c>
      <c r="N289" s="716">
        <f>IFERROR(VLOOKUP(C289,[3]List1!$A:$D,4,FALSE),"N/A!")</f>
        <v>2.9645300000000003E-2</v>
      </c>
      <c r="O289" s="716">
        <f>IFERROR(VLOOKUP(C289,[3]List1!$A:$D,3,FALSE),"N/A!")</f>
        <v>374.40000000000003</v>
      </c>
      <c r="P289" s="716">
        <f>IFERROR(VLOOKUP(C289,[3]List1!$A:$D,2,FALSE),"N/A!")</f>
        <v>12376</v>
      </c>
      <c r="Q289" s="716" t="s">
        <v>14316</v>
      </c>
      <c r="R289" s="716" t="s">
        <v>24</v>
      </c>
      <c r="S289" s="716"/>
      <c r="T289" s="716"/>
      <c r="U289" s="716"/>
      <c r="V289" s="716"/>
      <c r="W289" s="716" t="str">
        <f>IFERROR(VLOOKUP('General price list'!$C289,Popisy!A:P,MATCH($W$17,Popisy!$A$7:$P$7,0),FALSE),"---------------")</f>
        <v>tuba s 50ks petard- imitace střelby</v>
      </c>
      <c r="X289" s="716" t="str">
        <f t="shared" si="558"/>
        <v/>
      </c>
      <c r="Y289" s="716" t="str">
        <f t="shared" si="559"/>
        <v/>
      </c>
      <c r="Z289" s="716" t="str">
        <f>HYPERLINK("https://www.klasekpyrotechnics.cz/k20k")</f>
        <v>https://www.klasekpyrotechnics.cz/k20k</v>
      </c>
      <c r="AA289" s="716">
        <f>IFERROR(IF(VLOOKUP(C289,[4]List1!$A:$D,4,FALSE)=0,"",VLOOKUP(C289,[4]List1!$A:$D,4,FALSE)),"")</f>
        <v>54</v>
      </c>
      <c r="AB289" s="720"/>
      <c r="AC289" s="739" t="str">
        <f>IFERROR(IF(VLOOKUP(C289,[1]List1!$A:$D,2,FALSE)="VYPRODÁNO",$V$9,IF(VLOOKUP(C289,[1]List1!$A:$D,2,FALSE)="DOCHÁZÍ",$V$3,VLOOKUP(C289,[1]List1!$A:$D,2,FALSE))),"OFFLINE!")</f>
        <v>SKLADEM</v>
      </c>
      <c r="AD289" s="740" t="str">
        <f ca="1">IF(AP289="NE",$V$10,IF(AC289=$V$3,IF(AQ289&lt;1,$V$8,$V$2&amp;" "&amp;AQ289&amp;" "&amp;$V$1),IF(AC289="SKLADEM",$V$6,IFERROR(IF(OR(AC289-TODAY()&gt;45,VLOOKUP(C289,[1]List1!$A:$E,4,FALSE)=0),AC289,DAY(AC289)&amp;"."&amp;MONTH(AC289)&amp;"."&amp;YEAR(AC289)&amp;" "&amp;$V$4&amp;VLOOKUP(C289,[1]List1!$A:$E,4,FALSE)&amp;" "&amp;$V$1),AC289))))</f>
        <v>SKLADEM</v>
      </c>
      <c r="AE289" s="716" t="str">
        <f t="shared" ca="1" si="560"/>
        <v>SKLADEM</v>
      </c>
      <c r="AF289" s="723">
        <f t="shared" si="561"/>
        <v>0</v>
      </c>
      <c r="AG289" s="723">
        <f t="shared" si="562"/>
        <v>0</v>
      </c>
      <c r="AH289" s="724">
        <f t="shared" si="563"/>
        <v>0</v>
      </c>
      <c r="AI289" s="716">
        <f t="shared" si="564"/>
        <v>0</v>
      </c>
      <c r="AJ289" s="716">
        <f t="shared" si="565"/>
        <v>0</v>
      </c>
      <c r="AK289" s="716" t="str">
        <f t="shared" si="566"/>
        <v/>
      </c>
      <c r="AL289" s="716" t="str">
        <f t="shared" si="567"/>
        <v/>
      </c>
      <c r="AM289" s="716">
        <f t="shared" si="568"/>
        <v>0</v>
      </c>
      <c r="AN289" s="716">
        <f t="shared" si="569"/>
        <v>0</v>
      </c>
      <c r="AO289" s="380"/>
      <c r="AP289" s="322" t="str">
        <f t="shared" si="529"/>
        <v/>
      </c>
      <c r="AQ289" s="323" t="str">
        <f>IF(AC289=$V$3,IF(VLOOKUP(C289,[1]List1!$A:$E,5,FALSE)=0,1,VLOOKUP(C289,[1]List1!$A:$E,5,FALSE)),"")</f>
        <v/>
      </c>
      <c r="AR289" s="304" t="str">
        <f t="shared" si="530"/>
        <v/>
      </c>
      <c r="AS289" s="423" t="str">
        <f t="shared" si="531"/>
        <v/>
      </c>
      <c r="AT289" s="304" t="str">
        <f t="shared" si="532"/>
        <v/>
      </c>
      <c r="AU289" s="342" t="e">
        <f t="shared" si="533"/>
        <v>#N/A</v>
      </c>
      <c r="AV289" s="304" t="e">
        <f t="shared" si="534"/>
        <v>#N/A</v>
      </c>
      <c r="AX289" s="304">
        <f>IF(AND('General price list'!$J289="F4",'General price list'!$AB289+0&gt;0),1,0)</f>
        <v>0</v>
      </c>
      <c r="AY289" s="304">
        <f t="shared" si="535"/>
        <v>1</v>
      </c>
      <c r="AZ289" s="304">
        <f t="shared" si="536"/>
        <v>0</v>
      </c>
    </row>
    <row r="290" spans="1:52" ht="15" customHeight="1">
      <c r="A290" s="725" t="str">
        <f>Kat.!C287</f>
        <v/>
      </c>
      <c r="B290" s="726">
        <f>IF(AND('General price list'!$J290="F4",$AI$1=FALSE),0,IF(AC290="SKLADEM",1,IF(AC290=$V$3,1,0)))</f>
        <v>1</v>
      </c>
      <c r="C290" s="727" t="s">
        <v>791</v>
      </c>
      <c r="D290" s="728" t="s">
        <v>14547</v>
      </c>
      <c r="E290" s="729" t="s">
        <v>404</v>
      </c>
      <c r="F290" s="725">
        <f>IFERROR(ROUND(IF($AL$3=2,VLOOKUP(C290,[2]List1!$A:$D,2,FALSE)*1.08,VLOOKUP(C290,[2]List1!$A:$D,2,FALSE)),0),"NEUVEDENO!")</f>
        <v>213</v>
      </c>
      <c r="G290" s="730">
        <f t="shared" si="556"/>
        <v>213</v>
      </c>
      <c r="H290" s="731">
        <f t="shared" si="557"/>
        <v>8.6554051582963893</v>
      </c>
      <c r="I290" s="732">
        <v>20</v>
      </c>
      <c r="J290" s="729" t="s">
        <v>46</v>
      </c>
      <c r="K290" s="729"/>
      <c r="L290" s="729" t="s">
        <v>24</v>
      </c>
      <c r="M290" s="729" t="s">
        <v>25</v>
      </c>
      <c r="N290" s="729">
        <f>IFERROR(VLOOKUP(C290,[3]List1!$A:$D,4,FALSE),"N/A!")</f>
        <v>4.5791159999999997E-2</v>
      </c>
      <c r="O290" s="729">
        <f>IFERROR(VLOOKUP(C290,[3]List1!$A:$D,3,FALSE),"N/A!")</f>
        <v>624</v>
      </c>
      <c r="P290" s="729">
        <f>IFERROR(VLOOKUP(C290,[3]List1!$A:$D,2,FALSE),"N/A!")</f>
        <v>15000</v>
      </c>
      <c r="Q290" s="729" t="s">
        <v>14128</v>
      </c>
      <c r="R290" s="729" t="s">
        <v>14317</v>
      </c>
      <c r="S290" s="729"/>
      <c r="T290" s="729"/>
      <c r="U290" s="729"/>
      <c r="V290" s="729"/>
      <c r="W290" s="729" t="str">
        <f>IFERROR(VLOOKUP('General price list'!$C290,Popisy!A:P,MATCH($W$17,Popisy!$A$7:$P$7,0),FALSE),"---------------")</f>
        <v>tuba s 150ks petard- imitace střelby</v>
      </c>
      <c r="X290" s="729" t="str">
        <f t="shared" si="558"/>
        <v/>
      </c>
      <c r="Y290" s="729" t="str">
        <f t="shared" si="559"/>
        <v/>
      </c>
      <c r="Z290" s="729" t="str">
        <f>HYPERLINK("https://www.klasekpyrotechnics.cz/k60k")</f>
        <v>https://www.klasekpyrotechnics.cz/k60k</v>
      </c>
      <c r="AA290" s="729">
        <f>IFERROR(IF(VLOOKUP(C290,[4]List1!$A:$D,4,FALSE)=0,"",VLOOKUP(C290,[4]List1!$A:$D,4,FALSE)),"")</f>
        <v>20</v>
      </c>
      <c r="AB290" s="720"/>
      <c r="AC290" s="733" t="str">
        <f>IFERROR(IF(VLOOKUP(C290,[1]List1!$A:$D,2,FALSE)="VYPRODÁNO",$V$9,IF(VLOOKUP(C290,[1]List1!$A:$D,2,FALSE)="DOCHÁZÍ",$V$3,VLOOKUP(C290,[1]List1!$A:$D,2,FALSE))),"OFFLINE!")</f>
        <v>SKLADEM</v>
      </c>
      <c r="AD290" s="734" t="str">
        <f ca="1">IF(AP290="NE",$V$10,IF(AC290=$V$3,IF(AQ290&lt;1,$V$8,$V$2&amp;" "&amp;AQ290&amp;" "&amp;$V$1),IF(AC290="SKLADEM",$V$6,IFERROR(IF(OR(AC290-TODAY()&gt;45,VLOOKUP(C290,[1]List1!$A:$E,4,FALSE)=0),AC290,DAY(AC290)&amp;"."&amp;MONTH(AC290)&amp;"."&amp;YEAR(AC290)&amp;" "&amp;$V$4&amp;VLOOKUP(C290,[1]List1!$A:$E,4,FALSE)&amp;" "&amp;$V$1),AC290))))</f>
        <v>SKLADEM</v>
      </c>
      <c r="AE290" s="729" t="str">
        <f t="shared" ca="1" si="560"/>
        <v>SKLADEM</v>
      </c>
      <c r="AF290" s="735">
        <f t="shared" si="561"/>
        <v>0</v>
      </c>
      <c r="AG290" s="735">
        <f t="shared" si="562"/>
        <v>0</v>
      </c>
      <c r="AH290" s="736">
        <f t="shared" si="563"/>
        <v>0</v>
      </c>
      <c r="AI290" s="729">
        <f t="shared" si="564"/>
        <v>0</v>
      </c>
      <c r="AJ290" s="729">
        <f t="shared" si="565"/>
        <v>0</v>
      </c>
      <c r="AK290" s="729" t="str">
        <f t="shared" si="566"/>
        <v/>
      </c>
      <c r="AL290" s="729" t="str">
        <f t="shared" si="567"/>
        <v/>
      </c>
      <c r="AM290" s="729">
        <f t="shared" si="568"/>
        <v>0</v>
      </c>
      <c r="AN290" s="729">
        <f t="shared" si="569"/>
        <v>0</v>
      </c>
      <c r="AO290" s="380"/>
      <c r="AP290" s="322" t="str">
        <f t="shared" si="529"/>
        <v/>
      </c>
      <c r="AQ290" s="323" t="str">
        <f>IF(AC290=$V$3,IF(VLOOKUP(C290,[1]List1!$A:$E,5,FALSE)=0,1,VLOOKUP(C290,[1]List1!$A:$E,5,FALSE)),"")</f>
        <v/>
      </c>
      <c r="AR290" s="304" t="str">
        <f t="shared" si="530"/>
        <v/>
      </c>
      <c r="AS290" s="423" t="str">
        <f t="shared" si="531"/>
        <v/>
      </c>
      <c r="AT290" s="304" t="str">
        <f t="shared" si="532"/>
        <v/>
      </c>
      <c r="AU290" s="342" t="e">
        <f t="shared" si="533"/>
        <v>#N/A</v>
      </c>
      <c r="AV290" s="304" t="e">
        <f t="shared" si="534"/>
        <v>#N/A</v>
      </c>
      <c r="AX290" s="304">
        <f>IF(AND('General price list'!$J290="F4",'General price list'!$AB290+0&gt;0),1,0)</f>
        <v>0</v>
      </c>
      <c r="AY290" s="304">
        <f t="shared" si="535"/>
        <v>1</v>
      </c>
      <c r="AZ290" s="304">
        <f t="shared" si="536"/>
        <v>1</v>
      </c>
    </row>
    <row r="291" spans="1:52" ht="15" customHeight="1">
      <c r="A291" s="712" t="str">
        <f>Kat.!C288</f>
        <v/>
      </c>
      <c r="B291" s="737">
        <f>IF(AND('General price list'!$J291="F4",$AI$1=FALSE),0,IF(AC291="SKLADEM",1,IF(AC291=$V$3,1,0)))</f>
        <v>1</v>
      </c>
      <c r="C291" s="714" t="s">
        <v>792</v>
      </c>
      <c r="D291" s="715" t="s">
        <v>14548</v>
      </c>
      <c r="E291" s="716" t="s">
        <v>793</v>
      </c>
      <c r="F291" s="712">
        <f>IFERROR(ROUND(IF($AL$3=2,VLOOKUP(C291,[2]List1!$A:$D,2,FALSE)*1.08,VLOOKUP(C291,[2]List1!$A:$D,2,FALSE)),0),"NEUVEDENO!")</f>
        <v>767</v>
      </c>
      <c r="G291" s="717">
        <f t="shared" si="556"/>
        <v>767</v>
      </c>
      <c r="H291" s="718">
        <f t="shared" si="557"/>
        <v>31.167585710860706</v>
      </c>
      <c r="I291" s="738">
        <v>8</v>
      </c>
      <c r="J291" s="716" t="s">
        <v>46</v>
      </c>
      <c r="K291" s="716"/>
      <c r="L291" s="716" t="s">
        <v>24</v>
      </c>
      <c r="M291" s="716" t="s">
        <v>25</v>
      </c>
      <c r="N291" s="716">
        <f>IFERROR(VLOOKUP(C291,[3]List1!$A:$D,4,FALSE),"N/A!")</f>
        <v>5.4179999999999992E-2</v>
      </c>
      <c r="O291" s="716">
        <f>IFERROR(VLOOKUP(C291,[3]List1!$A:$D,3,FALSE),"N/A!")</f>
        <v>4200</v>
      </c>
      <c r="P291" s="716">
        <f>IFERROR(VLOOKUP(C291,[3]List1!$A:$D,2,FALSE),"N/A!")</f>
        <v>26000</v>
      </c>
      <c r="Q291" s="716" t="s">
        <v>14129</v>
      </c>
      <c r="R291" s="716" t="s">
        <v>632</v>
      </c>
      <c r="S291" s="716"/>
      <c r="T291" s="716"/>
      <c r="U291" s="716"/>
      <c r="V291" s="716"/>
      <c r="W291" s="716" t="str">
        <f>IFERROR(VLOOKUP('General price list'!$C291,Popisy!A:P,MATCH($W$17,Popisy!$A$7:$P$7,0),FALSE),"---------------")</f>
        <v>70ran,délka 16cm,kobereček se skládá z malých petard</v>
      </c>
      <c r="X291" s="716" t="str">
        <f t="shared" si="558"/>
        <v/>
      </c>
      <c r="Y291" s="716" t="str">
        <f t="shared" si="559"/>
        <v/>
      </c>
      <c r="Z291" s="716" t="str">
        <f>HYPERLINK("https://www.klasekpyrotechnics.cz/k01m")</f>
        <v>https://www.klasekpyrotechnics.cz/k01m</v>
      </c>
      <c r="AA291" s="716">
        <f>IFERROR(IF(VLOOKUP(C291,[4]List1!$A:$D,4,FALSE)=0,"",VLOOKUP(C291,[4]List1!$A:$D,4,FALSE)),"")</f>
        <v>24</v>
      </c>
      <c r="AB291" s="720"/>
      <c r="AC291" s="739" t="str">
        <f>IFERROR(IF(VLOOKUP(C291,[1]List1!$A:$D,2,FALSE)="VYPRODÁNO",$V$9,IF(VLOOKUP(C291,[1]List1!$A:$D,2,FALSE)="DOCHÁZÍ",$V$3,VLOOKUP(C291,[1]List1!$A:$D,2,FALSE))),"OFFLINE!")</f>
        <v>SKLADEM</v>
      </c>
      <c r="AD291" s="740" t="str">
        <f ca="1">IF(AP291="NE",$V$10,IF(AC291=$V$3,IF(AQ291&lt;1,$V$8,$V$2&amp;" "&amp;AQ291&amp;" "&amp;$V$1),IF(AC291="SKLADEM",$V$6,IFERROR(IF(OR(AC291-TODAY()&gt;45,VLOOKUP(C291,[1]List1!$A:$E,4,FALSE)=0),AC291,DAY(AC291)&amp;"."&amp;MONTH(AC291)&amp;"."&amp;YEAR(AC291)&amp;" "&amp;$V$4&amp;VLOOKUP(C291,[1]List1!$A:$E,4,FALSE)&amp;" "&amp;$V$1),AC291))))</f>
        <v>SKLADEM</v>
      </c>
      <c r="AE291" s="716" t="str">
        <f t="shared" ca="1" si="560"/>
        <v>SKLADEM</v>
      </c>
      <c r="AF291" s="723">
        <f t="shared" si="561"/>
        <v>0</v>
      </c>
      <c r="AG291" s="723">
        <f t="shared" si="562"/>
        <v>0</v>
      </c>
      <c r="AH291" s="724">
        <f t="shared" si="563"/>
        <v>0</v>
      </c>
      <c r="AI291" s="716">
        <f t="shared" si="564"/>
        <v>0</v>
      </c>
      <c r="AJ291" s="716">
        <f t="shared" si="565"/>
        <v>0</v>
      </c>
      <c r="AK291" s="716" t="str">
        <f t="shared" si="566"/>
        <v/>
      </c>
      <c r="AL291" s="716" t="str">
        <f t="shared" si="567"/>
        <v/>
      </c>
      <c r="AM291" s="716">
        <f t="shared" si="568"/>
        <v>0</v>
      </c>
      <c r="AN291" s="716">
        <f t="shared" si="569"/>
        <v>0</v>
      </c>
      <c r="AO291" s="380"/>
      <c r="AP291" s="322" t="str">
        <f t="shared" si="529"/>
        <v/>
      </c>
      <c r="AQ291" s="323" t="str">
        <f>IF(AC291=$V$3,IF(VLOOKUP(C291,[1]List1!$A:$E,5,FALSE)=0,1,VLOOKUP(C291,[1]List1!$A:$E,5,FALSE)),"")</f>
        <v/>
      </c>
      <c r="AR291" s="304" t="str">
        <f t="shared" si="530"/>
        <v/>
      </c>
      <c r="AS291" s="423" t="str">
        <f t="shared" si="531"/>
        <v/>
      </c>
      <c r="AT291" s="304" t="str">
        <f t="shared" si="532"/>
        <v/>
      </c>
      <c r="AU291" s="342" t="e">
        <f t="shared" si="533"/>
        <v>#N/A</v>
      </c>
      <c r="AV291" s="304" t="e">
        <f t="shared" si="534"/>
        <v>#N/A</v>
      </c>
      <c r="AX291" s="304">
        <f>IF(AND('General price list'!$J291="F4",'General price list'!$AB291+0&gt;0),1,0)</f>
        <v>0</v>
      </c>
      <c r="AY291" s="304">
        <f t="shared" si="535"/>
        <v>1</v>
      </c>
      <c r="AZ291" s="304">
        <f t="shared" si="536"/>
        <v>1</v>
      </c>
    </row>
    <row r="292" spans="1:52" ht="15" customHeight="1">
      <c r="A292" s="725" t="str">
        <f>Kat.!C289</f>
        <v/>
      </c>
      <c r="B292" s="726">
        <f>IF(AND('General price list'!$J292="F4",$AI$1=FALSE),0,IF(AC292="SKLADEM",1,IF(AC292=$V$3,1,0)))</f>
        <v>1</v>
      </c>
      <c r="C292" s="727" t="s">
        <v>796</v>
      </c>
      <c r="D292" s="728" t="s">
        <v>14549</v>
      </c>
      <c r="E292" s="729" t="s">
        <v>797</v>
      </c>
      <c r="F292" s="725">
        <f>IFERROR(ROUND(IF($AL$3=2,VLOOKUP(C292,[2]List1!$A:$D,2,FALSE)*1.08,VLOOKUP(C292,[2]List1!$A:$D,2,FALSE)),0),"NEUVEDENO!")</f>
        <v>356</v>
      </c>
      <c r="G292" s="730">
        <f t="shared" si="556"/>
        <v>356</v>
      </c>
      <c r="H292" s="731">
        <f t="shared" si="557"/>
        <v>14.466310968795844</v>
      </c>
      <c r="I292" s="732">
        <v>8</v>
      </c>
      <c r="J292" s="729" t="s">
        <v>46</v>
      </c>
      <c r="K292" s="729"/>
      <c r="L292" s="729" t="s">
        <v>24</v>
      </c>
      <c r="M292" s="729" t="s">
        <v>25</v>
      </c>
      <c r="N292" s="729">
        <f>IFERROR(VLOOKUP(C292,[3]List1!$A:$D,4,FALSE),"N/A!")</f>
        <v>3.9899999999999998E-2</v>
      </c>
      <c r="O292" s="729">
        <f>IFERROR(VLOOKUP(C292,[3]List1!$A:$D,3,FALSE),"N/A!")</f>
        <v>1944</v>
      </c>
      <c r="P292" s="729">
        <f>IFERROR(VLOOKUP(C292,[3]List1!$A:$D,2,FALSE),"N/A!")</f>
        <v>21000</v>
      </c>
      <c r="Q292" s="729" t="s">
        <v>14130</v>
      </c>
      <c r="R292" s="729" t="s">
        <v>1283</v>
      </c>
      <c r="S292" s="729"/>
      <c r="T292" s="729">
        <v>15</v>
      </c>
      <c r="U292" s="729"/>
      <c r="V292" s="729"/>
      <c r="W292" s="729" t="str">
        <f>IFERROR(VLOOKUP('General price list'!$C292,Popisy!A:P,MATCH($W$17,Popisy!$A$7:$P$7,0),FALSE),"---------------")</f>
        <v>200ran,délka 62cm,bouchající koberec ze středních petard</v>
      </c>
      <c r="X292" s="729" t="str">
        <f t="shared" si="558"/>
        <v/>
      </c>
      <c r="Y292" s="729" t="str">
        <f t="shared" si="559"/>
        <v/>
      </c>
      <c r="Z292" s="729" t="str">
        <f>HYPERLINK("https://www.klasekpyrotechnics.cz/k200r")</f>
        <v>https://www.klasekpyrotechnics.cz/k200r</v>
      </c>
      <c r="AA292" s="729">
        <f>IFERROR(IF(VLOOKUP(C292,[4]List1!$A:$D,4,FALSE)=0,"",VLOOKUP(C292,[4]List1!$A:$D,4,FALSE)),"")</f>
        <v>42</v>
      </c>
      <c r="AB292" s="720"/>
      <c r="AC292" s="733" t="str">
        <f>IFERROR(IF(VLOOKUP(C292,[1]List1!$A:$D,2,FALSE)="VYPRODÁNO",$V$9,IF(VLOOKUP(C292,[1]List1!$A:$D,2,FALSE)="DOCHÁZÍ",$V$3,VLOOKUP(C292,[1]List1!$A:$D,2,FALSE))),"OFFLINE!")</f>
        <v>SKLADEM</v>
      </c>
      <c r="AD292" s="734" t="str">
        <f ca="1">IF(AP292="NE",$V$10,IF(AC292=$V$3,IF(AQ292&lt;1,$V$8,$V$2&amp;" "&amp;AQ292&amp;" "&amp;$V$1),IF(AC292="SKLADEM",$V$6,IFERROR(IF(OR(AC292-TODAY()&gt;45,VLOOKUP(C292,[1]List1!$A:$E,4,FALSE)=0),AC292,DAY(AC292)&amp;"."&amp;MONTH(AC292)&amp;"."&amp;YEAR(AC292)&amp;" "&amp;$V$4&amp;VLOOKUP(C292,[1]List1!$A:$E,4,FALSE)&amp;" "&amp;$V$1),AC292))))</f>
        <v>SKLADEM</v>
      </c>
      <c r="AE292" s="729" t="str">
        <f t="shared" ca="1" si="560"/>
        <v>SKLADEM</v>
      </c>
      <c r="AF292" s="735">
        <f t="shared" si="561"/>
        <v>0</v>
      </c>
      <c r="AG292" s="735">
        <f t="shared" si="562"/>
        <v>0</v>
      </c>
      <c r="AH292" s="736">
        <f t="shared" si="563"/>
        <v>0</v>
      </c>
      <c r="AI292" s="729">
        <f t="shared" si="564"/>
        <v>0</v>
      </c>
      <c r="AJ292" s="729">
        <f t="shared" si="565"/>
        <v>0</v>
      </c>
      <c r="AK292" s="729" t="str">
        <f t="shared" si="566"/>
        <v/>
      </c>
      <c r="AL292" s="729" t="str">
        <f t="shared" si="567"/>
        <v/>
      </c>
      <c r="AM292" s="729">
        <f t="shared" si="568"/>
        <v>0</v>
      </c>
      <c r="AN292" s="729">
        <f t="shared" si="569"/>
        <v>0</v>
      </c>
      <c r="AO292" s="380"/>
      <c r="AP292" s="322" t="str">
        <f t="shared" si="529"/>
        <v/>
      </c>
      <c r="AQ292" s="323" t="str">
        <f>IF(AC292=$V$3,IF(VLOOKUP(C292,[1]List1!$A:$E,5,FALSE)=0,1,VLOOKUP(C292,[1]List1!$A:$E,5,FALSE)),"")</f>
        <v/>
      </c>
      <c r="AR292" s="304" t="str">
        <f t="shared" si="530"/>
        <v/>
      </c>
      <c r="AS292" s="423" t="str">
        <f t="shared" si="531"/>
        <v/>
      </c>
      <c r="AT292" s="304" t="str">
        <f t="shared" si="532"/>
        <v/>
      </c>
      <c r="AU292" s="342" t="e">
        <f t="shared" si="533"/>
        <v>#N/A</v>
      </c>
      <c r="AV292" s="304" t="e">
        <f t="shared" si="534"/>
        <v>#N/A</v>
      </c>
      <c r="AX292" s="304">
        <f>IF(AND('General price list'!$J292="F4",'General price list'!$AB292+0&gt;0),1,0)</f>
        <v>0</v>
      </c>
      <c r="AY292" s="304">
        <f t="shared" si="535"/>
        <v>1</v>
      </c>
      <c r="AZ292" s="304">
        <f t="shared" si="536"/>
        <v>1</v>
      </c>
    </row>
    <row r="293" spans="1:52" ht="15" customHeight="1">
      <c r="A293" s="712" t="str">
        <f>Kat.!C290</f>
        <v/>
      </c>
      <c r="B293" s="737">
        <f>IF(AND('General price list'!$J293="F4",$AI$1=FALSE),0,IF(AC293="SKLADEM",1,IF(AC293=$V$3,1,0)))</f>
        <v>1</v>
      </c>
      <c r="C293" s="714" t="s">
        <v>801</v>
      </c>
      <c r="D293" s="715" t="s">
        <v>14550</v>
      </c>
      <c r="E293" s="716" t="s">
        <v>586</v>
      </c>
      <c r="F293" s="712">
        <f>IFERROR(ROUND(IF($AL$3=2,VLOOKUP(C293,[2]List1!$A:$D,2,FALSE)*1.08,VLOOKUP(C293,[2]List1!$A:$D,2,FALSE)),0),"NEUVEDENO!")</f>
        <v>88</v>
      </c>
      <c r="G293" s="717">
        <f t="shared" si="556"/>
        <v>88</v>
      </c>
      <c r="H293" s="718">
        <f t="shared" si="557"/>
        <v>3.5759420372304329</v>
      </c>
      <c r="I293" s="738">
        <v>32</v>
      </c>
      <c r="J293" s="716" t="s">
        <v>137</v>
      </c>
      <c r="K293" s="716"/>
      <c r="L293" s="716" t="s">
        <v>24</v>
      </c>
      <c r="M293" s="716" t="s">
        <v>25</v>
      </c>
      <c r="N293" s="716">
        <f>IFERROR(VLOOKUP(C293,[3]List1!$A:$D,4,FALSE),"N/A!")</f>
        <v>3.7223999999999993E-2</v>
      </c>
      <c r="O293" s="716">
        <f>IFERROR(VLOOKUP(C293,[3]List1!$A:$D,3,FALSE),"N/A!")</f>
        <v>1920</v>
      </c>
      <c r="P293" s="716">
        <f>IFERROR(VLOOKUP(C293,[3]List1!$A:$D,2,FALSE),"N/A!")</f>
        <v>19500</v>
      </c>
      <c r="Q293" s="716" t="s">
        <v>45</v>
      </c>
      <c r="R293" s="716" t="s">
        <v>24</v>
      </c>
      <c r="S293" s="716"/>
      <c r="T293" s="716">
        <v>35</v>
      </c>
      <c r="U293" s="716"/>
      <c r="V293" s="716"/>
      <c r="W293" s="716" t="str">
        <f>IFERROR(VLOOKUP('General price list'!$C293,Popisy!A:P,MATCH($W$17,Popisy!$A$7:$P$7,0),FALSE),"---------------")</f>
        <v>500ran,délka 155cm,bouchající koberec ze středních petard</v>
      </c>
      <c r="X293" s="716" t="str">
        <f t="shared" si="558"/>
        <v/>
      </c>
      <c r="Y293" s="716" t="str">
        <f t="shared" si="559"/>
        <v/>
      </c>
      <c r="Z293" s="716" t="str">
        <f>HYPERLINK("https://www.klasekpyrotechnics.cz/k500r")</f>
        <v>https://www.klasekpyrotechnics.cz/k500r</v>
      </c>
      <c r="AA293" s="716">
        <f>IFERROR(IF(VLOOKUP(C293,[4]List1!$A:$D,4,FALSE)=0,"",VLOOKUP(C293,[4]List1!$A:$D,4,FALSE)),"")</f>
        <v>35</v>
      </c>
      <c r="AB293" s="720"/>
      <c r="AC293" s="739" t="str">
        <f>IFERROR(IF(VLOOKUP(C293,[1]List1!$A:$D,2,FALSE)="VYPRODÁNO",$V$9,IF(VLOOKUP(C293,[1]List1!$A:$D,2,FALSE)="DOCHÁZÍ",$V$3,VLOOKUP(C293,[1]List1!$A:$D,2,FALSE))),"OFFLINE!")</f>
        <v>SKLADEM</v>
      </c>
      <c r="AD293" s="740" t="str">
        <f ca="1">IF(AP293="NE",$V$10,IF(AC293=$V$3,IF(AQ293&lt;1,$V$8,$V$2&amp;" "&amp;AQ293&amp;" "&amp;$V$1),IF(AC293="SKLADEM",$V$6,IFERROR(IF(OR(AC293-TODAY()&gt;45,VLOOKUP(C293,[1]List1!$A:$E,4,FALSE)=0),AC293,DAY(AC293)&amp;"."&amp;MONTH(AC293)&amp;"."&amp;YEAR(AC293)&amp;" "&amp;$V$4&amp;VLOOKUP(C293,[1]List1!$A:$E,4,FALSE)&amp;" "&amp;$V$1),AC293))))</f>
        <v>SKLADEM</v>
      </c>
      <c r="AE293" s="716" t="str">
        <f t="shared" ca="1" si="560"/>
        <v>SKLADEM</v>
      </c>
      <c r="AF293" s="723">
        <f t="shared" si="561"/>
        <v>0</v>
      </c>
      <c r="AG293" s="723">
        <f t="shared" si="562"/>
        <v>0</v>
      </c>
      <c r="AH293" s="724">
        <f t="shared" si="563"/>
        <v>0</v>
      </c>
      <c r="AI293" s="716">
        <f t="shared" si="564"/>
        <v>0</v>
      </c>
      <c r="AJ293" s="716">
        <f t="shared" si="565"/>
        <v>0</v>
      </c>
      <c r="AK293" s="716" t="str">
        <f t="shared" si="566"/>
        <v/>
      </c>
      <c r="AL293" s="716" t="str">
        <f t="shared" si="567"/>
        <v/>
      </c>
      <c r="AM293" s="716">
        <f t="shared" si="568"/>
        <v>0</v>
      </c>
      <c r="AN293" s="716">
        <f t="shared" si="569"/>
        <v>0</v>
      </c>
      <c r="AO293" s="380"/>
      <c r="AP293" s="322" t="str">
        <f t="shared" si="529"/>
        <v/>
      </c>
      <c r="AQ293" s="323" t="str">
        <f>IF(AC293=$V$3,IF(VLOOKUP(C293,[1]List1!$A:$E,5,FALSE)=0,1,VLOOKUP(C293,[1]List1!$A:$E,5,FALSE)),"")</f>
        <v/>
      </c>
      <c r="AR293" s="304" t="str">
        <f t="shared" si="530"/>
        <v/>
      </c>
      <c r="AS293" s="423" t="str">
        <f t="shared" si="531"/>
        <v/>
      </c>
      <c r="AT293" s="304" t="str">
        <f t="shared" si="532"/>
        <v/>
      </c>
      <c r="AU293" s="342" t="e">
        <f t="shared" si="533"/>
        <v>#N/A</v>
      </c>
      <c r="AV293" s="304" t="e">
        <f t="shared" si="534"/>
        <v>#N/A</v>
      </c>
      <c r="AX293" s="304">
        <f>IF(AND('General price list'!$J293="F4",'General price list'!$AB293+0&gt;0),1,0)</f>
        <v>0</v>
      </c>
      <c r="AY293" s="304">
        <f t="shared" si="535"/>
        <v>1</v>
      </c>
      <c r="AZ293" s="304">
        <f t="shared" si="536"/>
        <v>0</v>
      </c>
    </row>
    <row r="294" spans="1:52" ht="15" customHeight="1">
      <c r="A294" s="725" t="str">
        <f>Kat.!C291</f>
        <v/>
      </c>
      <c r="B294" s="726">
        <f>IF(AND('General price list'!$J294="F4",$AI$1=FALSE),0,IF(AC294="SKLADEM",1,IF(AC294=$V$3,1,0)))</f>
        <v>1</v>
      </c>
      <c r="C294" s="727" t="s">
        <v>805</v>
      </c>
      <c r="D294" s="728" t="s">
        <v>14551</v>
      </c>
      <c r="E294" s="729" t="s">
        <v>806</v>
      </c>
      <c r="F294" s="725">
        <f>IFERROR(ROUND(IF($AL$3=2,VLOOKUP(C294,[2]List1!$A:$D,2,FALSE)*1.08,VLOOKUP(C294,[2]List1!$A:$D,2,FALSE)),0),"NEUVEDENO!")</f>
        <v>175</v>
      </c>
      <c r="G294" s="730">
        <f t="shared" si="556"/>
        <v>175</v>
      </c>
      <c r="H294" s="731">
        <f t="shared" si="557"/>
        <v>7.1112483694923387</v>
      </c>
      <c r="I294" s="732">
        <v>16</v>
      </c>
      <c r="J294" s="729" t="s">
        <v>137</v>
      </c>
      <c r="K294" s="729"/>
      <c r="L294" s="729" t="s">
        <v>24</v>
      </c>
      <c r="M294" s="729" t="s">
        <v>25</v>
      </c>
      <c r="N294" s="729">
        <f>IFERROR(VLOOKUP(C294,[3]List1!$A:$D,4,FALSE),"N/A!")</f>
        <v>3.696E-2</v>
      </c>
      <c r="O294" s="729">
        <f>IFERROR(VLOOKUP(C294,[3]List1!$A:$D,3,FALSE),"N/A!")</f>
        <v>1920</v>
      </c>
      <c r="P294" s="729">
        <f>IFERROR(VLOOKUP(C294,[3]List1!$A:$D,2,FALSE),"N/A!")</f>
        <v>19000</v>
      </c>
      <c r="Q294" s="729" t="s">
        <v>14318</v>
      </c>
      <c r="R294" s="729" t="s">
        <v>24</v>
      </c>
      <c r="S294" s="729"/>
      <c r="T294" s="729">
        <v>70</v>
      </c>
      <c r="U294" s="729"/>
      <c r="V294" s="729"/>
      <c r="W294" s="729" t="str">
        <f>IFERROR(VLOOKUP('General price list'!$C294,Popisy!A:P,MATCH($W$17,Popisy!$A$7:$P$7,0),FALSE),"---------------")</f>
        <v>1000ran,délka 310cm,bouchající koberec ze středních petard</v>
      </c>
      <c r="X294" s="729" t="str">
        <f t="shared" si="558"/>
        <v/>
      </c>
      <c r="Y294" s="729" t="str">
        <f t="shared" si="559"/>
        <v/>
      </c>
      <c r="Z294" s="729" t="str">
        <f>HYPERLINK("https://www.klasekpyrotechnics.cz/k1000r")</f>
        <v>https://www.klasekpyrotechnics.cz/k1000r</v>
      </c>
      <c r="AA294" s="729">
        <f>IFERROR(IF(VLOOKUP(C294,[4]List1!$A:$D,4,FALSE)=0,"",VLOOKUP(C294,[4]List1!$A:$D,4,FALSE)),"")</f>
        <v>30</v>
      </c>
      <c r="AB294" s="720"/>
      <c r="AC294" s="733" t="str">
        <f>IFERROR(IF(VLOOKUP(C294,[1]List1!$A:$D,2,FALSE)="VYPRODÁNO",$V$9,IF(VLOOKUP(C294,[1]List1!$A:$D,2,FALSE)="DOCHÁZÍ",$V$3,VLOOKUP(C294,[1]List1!$A:$D,2,FALSE))),"OFFLINE!")</f>
        <v>SKLADEM</v>
      </c>
      <c r="AD294" s="734" t="str">
        <f ca="1">IF(AP294="NE",$V$10,IF(AC294=$V$3,IF(AQ294&lt;1,$V$8,$V$2&amp;" "&amp;AQ294&amp;" "&amp;$V$1),IF(AC294="SKLADEM",$V$6,IFERROR(IF(OR(AC294-TODAY()&gt;45,VLOOKUP(C294,[1]List1!$A:$E,4,FALSE)=0),AC294,DAY(AC294)&amp;"."&amp;MONTH(AC294)&amp;"."&amp;YEAR(AC294)&amp;" "&amp;$V$4&amp;VLOOKUP(C294,[1]List1!$A:$E,4,FALSE)&amp;" "&amp;$V$1),AC294))))</f>
        <v>SKLADEM</v>
      </c>
      <c r="AE294" s="729" t="str">
        <f t="shared" ca="1" si="560"/>
        <v>SKLADEM</v>
      </c>
      <c r="AF294" s="735">
        <f t="shared" si="561"/>
        <v>0</v>
      </c>
      <c r="AG294" s="735">
        <f t="shared" si="562"/>
        <v>0</v>
      </c>
      <c r="AH294" s="736">
        <f t="shared" si="563"/>
        <v>0</v>
      </c>
      <c r="AI294" s="729">
        <f t="shared" si="564"/>
        <v>0</v>
      </c>
      <c r="AJ294" s="729">
        <f t="shared" si="565"/>
        <v>0</v>
      </c>
      <c r="AK294" s="729" t="str">
        <f t="shared" si="566"/>
        <v/>
      </c>
      <c r="AL294" s="729" t="str">
        <f t="shared" si="567"/>
        <v/>
      </c>
      <c r="AM294" s="729">
        <f t="shared" si="568"/>
        <v>0</v>
      </c>
      <c r="AN294" s="729">
        <f t="shared" si="569"/>
        <v>0</v>
      </c>
      <c r="AO294" s="380"/>
      <c r="AP294" s="322" t="str">
        <f t="shared" si="529"/>
        <v/>
      </c>
      <c r="AQ294" s="323" t="str">
        <f>IF(AC294=$V$3,IF(VLOOKUP(C294,[1]List1!$A:$E,5,FALSE)=0,1,VLOOKUP(C294,[1]List1!$A:$E,5,FALSE)),"")</f>
        <v/>
      </c>
      <c r="AR294" s="304" t="str">
        <f t="shared" si="530"/>
        <v/>
      </c>
      <c r="AS294" s="423" t="str">
        <f t="shared" si="531"/>
        <v/>
      </c>
      <c r="AT294" s="304" t="str">
        <f t="shared" si="532"/>
        <v/>
      </c>
      <c r="AU294" s="342" t="e">
        <f t="shared" si="533"/>
        <v>#N/A</v>
      </c>
      <c r="AV294" s="304" t="e">
        <f t="shared" si="534"/>
        <v>#N/A</v>
      </c>
      <c r="AX294" s="304">
        <f>IF(AND('General price list'!$J294="F4",'General price list'!$AB294+0&gt;0),1,0)</f>
        <v>0</v>
      </c>
      <c r="AY294" s="304">
        <f t="shared" si="535"/>
        <v>1</v>
      </c>
      <c r="AZ294" s="304">
        <f t="shared" si="536"/>
        <v>0</v>
      </c>
    </row>
    <row r="295" spans="1:52" ht="15" customHeight="1">
      <c r="A295" s="712" t="str">
        <f>Kat.!C292</f>
        <v/>
      </c>
      <c r="B295" s="737">
        <f>IF(AND('General price list'!$J295="F4",$AI$1=FALSE),0,IF(AC295="SKLADEM",1,IF(AC295=$V$3,1,0)))</f>
        <v>1</v>
      </c>
      <c r="C295" s="714" t="s">
        <v>814</v>
      </c>
      <c r="D295" s="715" t="s">
        <v>815</v>
      </c>
      <c r="E295" s="716" t="s">
        <v>136</v>
      </c>
      <c r="F295" s="712">
        <f>IFERROR(ROUND(IF($AL$3=2,VLOOKUP(C295,[2]List1!$A:$D,2,FALSE)*1.08,VLOOKUP(C295,[2]List1!$A:$D,2,FALSE)),0),"NEUVEDENO!")</f>
        <v>1370</v>
      </c>
      <c r="G295" s="717">
        <f t="shared" si="556"/>
        <v>1370</v>
      </c>
      <c r="H295" s="718">
        <f t="shared" si="557"/>
        <v>55.670915806882881</v>
      </c>
      <c r="I295" s="738">
        <v>1</v>
      </c>
      <c r="J295" s="716" t="s">
        <v>137</v>
      </c>
      <c r="K295" s="716"/>
      <c r="L295" s="716" t="s">
        <v>24</v>
      </c>
      <c r="M295" s="716" t="s">
        <v>25</v>
      </c>
      <c r="N295" s="716">
        <f>IFERROR(VLOOKUP(C295,[3]List1!$A:$D,4,FALSE),"N/A!")</f>
        <v>2.5542000000000002E-2</v>
      </c>
      <c r="O295" s="716">
        <f>IFERROR(VLOOKUP(C295,[3]List1!$A:$D,3,FALSE),"N/A!")</f>
        <v>247</v>
      </c>
      <c r="P295" s="716">
        <f>IFERROR(VLOOKUP(C295,[3]List1!$A:$D,2,FALSE),"N/A!")</f>
        <v>6000</v>
      </c>
      <c r="Q295" s="716" t="s">
        <v>14131</v>
      </c>
      <c r="R295" s="716" t="s">
        <v>24</v>
      </c>
      <c r="S295" s="716"/>
      <c r="T295" s="716">
        <v>30</v>
      </c>
      <c r="U295" s="716"/>
      <c r="V295" s="716"/>
      <c r="W295" s="716" t="str">
        <f>IFERROR(VLOOKUP('General price list'!$C295,Popisy!A:P,MATCH($W$17,Popisy!$A$7:$P$7,0),FALSE),"---------------")</f>
        <v>1750ran malé petardy+200ran střední petardy+19 ran velké petardy,délka 5,25m</v>
      </c>
      <c r="X295" s="716" t="str">
        <f t="shared" si="558"/>
        <v/>
      </c>
      <c r="Y295" s="716" t="str">
        <f t="shared" si="559"/>
        <v/>
      </c>
      <c r="Z295" s="716" t="str">
        <f>HYPERLINK("https://www.klasekpyrotechnics.cz/k1969r")</f>
        <v>https://www.klasekpyrotechnics.cz/k1969r</v>
      </c>
      <c r="AA295" s="716">
        <f>IFERROR(IF(VLOOKUP(C295,[4]List1!$A:$D,4,FALSE)=0,"",VLOOKUP(C295,[4]List1!$A:$D,4,FALSE)),"")</f>
        <v>52</v>
      </c>
      <c r="AB295" s="720"/>
      <c r="AC295" s="739" t="str">
        <f>IFERROR(IF(VLOOKUP(C295,[1]List1!$A:$D,2,FALSE)="VYPRODÁNO",$V$9,IF(VLOOKUP(C295,[1]List1!$A:$D,2,FALSE)="DOCHÁZÍ",$V$3,VLOOKUP(C295,[1]List1!$A:$D,2,FALSE))),"OFFLINE!")</f>
        <v>SKLADEM</v>
      </c>
      <c r="AD295" s="740" t="str">
        <f ca="1">IF(AP295="NE",$V$10,IF(AC295=$V$3,IF(AQ295&lt;1,$V$8,$V$2&amp;" "&amp;AQ295&amp;" "&amp;$V$1),IF(AC295="SKLADEM",$V$6,IFERROR(IF(OR(AC295-TODAY()&gt;45,VLOOKUP(C295,[1]List1!$A:$E,4,FALSE)=0),AC295,DAY(AC295)&amp;"."&amp;MONTH(AC295)&amp;"."&amp;YEAR(AC295)&amp;" "&amp;$V$4&amp;VLOOKUP(C295,[1]List1!$A:$E,4,FALSE)&amp;" "&amp;$V$1),AC295))))</f>
        <v>SKLADEM</v>
      </c>
      <c r="AE295" s="716" t="str">
        <f t="shared" ca="1" si="560"/>
        <v>SKLADEM</v>
      </c>
      <c r="AF295" s="723">
        <f t="shared" si="561"/>
        <v>0</v>
      </c>
      <c r="AG295" s="723">
        <f t="shared" si="562"/>
        <v>0</v>
      </c>
      <c r="AH295" s="724">
        <f t="shared" si="563"/>
        <v>0</v>
      </c>
      <c r="AI295" s="716">
        <f t="shared" si="564"/>
        <v>0</v>
      </c>
      <c r="AJ295" s="716">
        <f t="shared" si="565"/>
        <v>0</v>
      </c>
      <c r="AK295" s="716" t="str">
        <f t="shared" si="566"/>
        <v/>
      </c>
      <c r="AL295" s="716" t="str">
        <f t="shared" si="567"/>
        <v/>
      </c>
      <c r="AM295" s="716">
        <f t="shared" si="568"/>
        <v>0</v>
      </c>
      <c r="AN295" s="716">
        <f t="shared" si="569"/>
        <v>0</v>
      </c>
      <c r="AO295" s="380"/>
      <c r="AP295" s="322" t="str">
        <f t="shared" si="529"/>
        <v/>
      </c>
      <c r="AQ295" s="323" t="str">
        <f>IF(AC295=$V$3,IF(VLOOKUP(C295,[1]List1!$A:$E,5,FALSE)=0,1,VLOOKUP(C295,[1]List1!$A:$E,5,FALSE)),"")</f>
        <v/>
      </c>
      <c r="AR295" s="304" t="str">
        <f t="shared" si="530"/>
        <v/>
      </c>
      <c r="AS295" s="423" t="str">
        <f t="shared" si="531"/>
        <v/>
      </c>
      <c r="AT295" s="304" t="str">
        <f t="shared" si="532"/>
        <v/>
      </c>
      <c r="AU295" s="342" t="e">
        <f t="shared" si="533"/>
        <v>#N/A</v>
      </c>
      <c r="AV295" s="304" t="e">
        <f t="shared" si="534"/>
        <v>#N/A</v>
      </c>
      <c r="AX295" s="304">
        <f>IF(AND('General price list'!$J295="F4",'General price list'!$AB295+0&gt;0),1,0)</f>
        <v>0</v>
      </c>
      <c r="AY295" s="304">
        <f t="shared" si="535"/>
        <v>1</v>
      </c>
      <c r="AZ295" s="304">
        <f t="shared" si="536"/>
        <v>0</v>
      </c>
    </row>
    <row r="296" spans="1:52" ht="15" customHeight="1">
      <c r="A296" s="725" t="str">
        <f>Kat.!C293</f>
        <v/>
      </c>
      <c r="B296" s="726">
        <f>IF(AND('General price list'!$J296="F4",$AI$1=FALSE),0,IF(AC296="SKLADEM",1,IF(AC296=$V$3,1,0)))</f>
        <v>0</v>
      </c>
      <c r="C296" s="727" t="s">
        <v>816</v>
      </c>
      <c r="D296" s="728" t="s">
        <v>817</v>
      </c>
      <c r="E296" s="729" t="s">
        <v>136</v>
      </c>
      <c r="F296" s="725">
        <f>IFERROR(ROUND(IF($AL$3=2,VLOOKUP(C296,[2]List1!$A:$D,2,FALSE)*1.08,VLOOKUP(C296,[2]List1!$A:$D,2,FALSE)),0),"NEUVEDENO!")</f>
        <v>1999</v>
      </c>
      <c r="G296" s="730">
        <f t="shared" si="556"/>
        <v>1999</v>
      </c>
      <c r="H296" s="731">
        <f t="shared" si="557"/>
        <v>81.230774232086773</v>
      </c>
      <c r="I296" s="732">
        <v>1</v>
      </c>
      <c r="J296" s="729" t="s">
        <v>709</v>
      </c>
      <c r="K296" s="729" t="s">
        <v>14734</v>
      </c>
      <c r="L296" s="729" t="s">
        <v>24</v>
      </c>
      <c r="M296" s="729" t="s">
        <v>25</v>
      </c>
      <c r="N296" s="729">
        <f>IFERROR(VLOOKUP(C296,[3]List1!$A:$D,4,FALSE),"N/A!")</f>
        <v>3.7206000000000003E-2</v>
      </c>
      <c r="O296" s="729">
        <f>IFERROR(VLOOKUP(C296,[3]List1!$A:$D,3,FALSE),"N/A!")</f>
        <v>248</v>
      </c>
      <c r="P296" s="729">
        <f>IFERROR(VLOOKUP(C296,[3]List1!$A:$D,2,FALSE),"N/A!")</f>
        <v>8000</v>
      </c>
      <c r="Q296" s="729" t="s">
        <v>14319</v>
      </c>
      <c r="R296" s="729" t="s">
        <v>24</v>
      </c>
      <c r="S296" s="729"/>
      <c r="T296" s="729">
        <v>60</v>
      </c>
      <c r="U296" s="729"/>
      <c r="V296" s="729"/>
      <c r="W296" s="729" t="str">
        <f>IFERROR(VLOOKUP('General price list'!$C296,Popisy!A:P,MATCH($W$17,Popisy!$A$7:$P$7,0),FALSE),"---------------")</f>
        <v>3500ran malé petardy+400ran střední petardy+19 ran velké petardy,délka 10,5m</v>
      </c>
      <c r="X296" s="729" t="str">
        <f t="shared" si="558"/>
        <v/>
      </c>
      <c r="Y296" s="729" t="str">
        <f t="shared" si="559"/>
        <v/>
      </c>
      <c r="Z296" s="729" t="str">
        <f>HYPERLINK("https://www.klasekpyrotechnics.cz/k10m")</f>
        <v>https://www.klasekpyrotechnics.cz/k10m</v>
      </c>
      <c r="AA296" s="729">
        <f>IFERROR(IF(VLOOKUP(C296,[4]List1!$A:$D,4,FALSE)=0,"",VLOOKUP(C296,[4]List1!$A:$D,4,FALSE)),"")</f>
        <v>32</v>
      </c>
      <c r="AB296" s="720"/>
      <c r="AC296" s="733" t="str">
        <f>IFERROR(IF(VLOOKUP(C296,[1]List1!$A:$D,2,FALSE)="VYPRODÁNO",$V$9,IF(VLOOKUP(C296,[1]List1!$A:$D,2,FALSE)="DOCHÁZÍ",$V$3,VLOOKUP(C296,[1]List1!$A:$D,2,FALSE))),"OFFLINE!")</f>
        <v>30.04.2024</v>
      </c>
      <c r="AD296" s="734" t="str">
        <f ca="1">IF(AP296="NE",$V$10,IF(AC296=$V$3,IF(AQ296&lt;1,$V$8,$V$2&amp;" "&amp;AQ296&amp;" "&amp;$V$1),IF(AC296="SKLADEM",$V$6,IFERROR(IF(OR(AC296-TODAY()&gt;45,VLOOKUP(C296,[1]List1!$A:$E,4,FALSE)=0),AC296,DAY(AC296)&amp;"."&amp;MONTH(AC296)&amp;"."&amp;YEAR(AC296)&amp;" "&amp;$V$4&amp;VLOOKUP(C296,[1]List1!$A:$E,4,FALSE)&amp;" "&amp;$V$1),AC296))))</f>
        <v>30.04.2024</v>
      </c>
      <c r="AE296" s="729" t="str">
        <f t="shared" ca="1" si="560"/>
        <v>30.04.2024</v>
      </c>
      <c r="AF296" s="735">
        <f t="shared" si="561"/>
        <v>0</v>
      </c>
      <c r="AG296" s="735">
        <f t="shared" si="562"/>
        <v>0</v>
      </c>
      <c r="AH296" s="736">
        <f t="shared" si="563"/>
        <v>0</v>
      </c>
      <c r="AI296" s="729">
        <f t="shared" si="564"/>
        <v>0</v>
      </c>
      <c r="AJ296" s="729">
        <f t="shared" si="565"/>
        <v>0</v>
      </c>
      <c r="AK296" s="729" t="str">
        <f t="shared" si="566"/>
        <v/>
      </c>
      <c r="AL296" s="729" t="str">
        <f t="shared" si="567"/>
        <v/>
      </c>
      <c r="AM296" s="729">
        <f t="shared" si="568"/>
        <v>0</v>
      </c>
      <c r="AN296" s="729">
        <f t="shared" si="569"/>
        <v>0</v>
      </c>
      <c r="AO296" s="380"/>
      <c r="AP296" s="322" t="str">
        <f t="shared" si="529"/>
        <v/>
      </c>
      <c r="AQ296" s="323" t="str">
        <f>IF(AC296=$V$3,IF(VLOOKUP(C296,[1]List1!$A:$E,5,FALSE)=0,1,VLOOKUP(C296,[1]List1!$A:$E,5,FALSE)),"")</f>
        <v/>
      </c>
      <c r="AR296" s="304" t="str">
        <f t="shared" si="530"/>
        <v/>
      </c>
      <c r="AS296" s="423" t="str">
        <f t="shared" si="531"/>
        <v/>
      </c>
      <c r="AT296" s="304" t="str">
        <f t="shared" si="532"/>
        <v/>
      </c>
      <c r="AU296" s="342" t="e">
        <f t="shared" si="533"/>
        <v>#N/A</v>
      </c>
      <c r="AV296" s="304" t="e">
        <f t="shared" si="534"/>
        <v>#N/A</v>
      </c>
      <c r="AX296" s="304">
        <f>IF(AND('General price list'!$J296="F4",'General price list'!$AB296+0&gt;0),1,0)</f>
        <v>0</v>
      </c>
      <c r="AY296" s="304">
        <f t="shared" si="535"/>
        <v>1</v>
      </c>
      <c r="AZ296" s="304">
        <f t="shared" si="536"/>
        <v>0</v>
      </c>
    </row>
    <row r="297" spans="1:52" ht="15" customHeight="1">
      <c r="A297" s="712" t="str">
        <f>Kat.!C294</f>
        <v>×</v>
      </c>
      <c r="B297" s="737">
        <f>IF(AND('General price list'!$J297="F4",$AI$1=FALSE),0,IF(AC297="SKLADEM",1,IF(AC297=$V$3,1,0)))</f>
        <v>1</v>
      </c>
      <c r="C297" s="714" t="s">
        <v>11986</v>
      </c>
      <c r="D297" s="715" t="s">
        <v>14552</v>
      </c>
      <c r="E297" s="716" t="s">
        <v>11987</v>
      </c>
      <c r="F297" s="712">
        <f>IFERROR(ROUND(IF($AL$3=2,VLOOKUP(C297,[2]List1!$A:$D,2,FALSE)*1.08,VLOOKUP(C297,[2]List1!$A:$D,2,FALSE)),0),"NEUVEDENO!")</f>
        <v>2064</v>
      </c>
      <c r="G297" s="717">
        <f t="shared" si="556"/>
        <v>2064</v>
      </c>
      <c r="H297" s="718">
        <f t="shared" si="557"/>
        <v>83.872095055041072</v>
      </c>
      <c r="I297" s="738">
        <v>7</v>
      </c>
      <c r="J297" s="716" t="s">
        <v>257</v>
      </c>
      <c r="K297" s="716"/>
      <c r="L297" s="716" t="s">
        <v>24</v>
      </c>
      <c r="M297" s="716" t="s">
        <v>138</v>
      </c>
      <c r="N297" s="716">
        <f>IFERROR(VLOOKUP(C297,[3]List1!$A:$D,4,FALSE),"N/A!")</f>
        <v>4.8000000000000001E-2</v>
      </c>
      <c r="O297" s="716">
        <f>IFERROR(VLOOKUP(C297,[3]List1!$A:$D,3,FALSE),"N/A!")</f>
        <v>840</v>
      </c>
      <c r="P297" s="716">
        <f>IFERROR(VLOOKUP(C297,[3]List1!$A:$D,2,FALSE),"N/A!")</f>
        <v>9900</v>
      </c>
      <c r="Q297" s="716" t="s">
        <v>14614</v>
      </c>
      <c r="R297" s="716"/>
      <c r="S297" s="716"/>
      <c r="T297" s="716">
        <v>25200</v>
      </c>
      <c r="U297" s="716"/>
      <c r="V297" s="716"/>
      <c r="W297" s="716" t="str">
        <f>IFERROR(VLOOKUP('General price list'!$C297,Popisy!A:P,MATCH($W$17,Popisy!$A$7:$P$7,0),FALSE),"---------------")</f>
        <v>Plašič zvěře- silná rána každých 35min</v>
      </c>
      <c r="X297" s="716" t="str">
        <f t="shared" si="558"/>
        <v/>
      </c>
      <c r="Y297" s="716" t="str">
        <f t="shared" si="559"/>
        <v/>
      </c>
      <c r="Z297" s="716" t="str">
        <f>HYPERLINK("https://https://www.klasekpyrotechnics.cz/plz420")</f>
        <v>https://https://www.klasekpyrotechnics.cz/plz420</v>
      </c>
      <c r="AA297" s="716">
        <f>IFERROR(IF(VLOOKUP(C297,[4]List1!$A:$D,4,FALSE)=0,"",VLOOKUP(C297,[4]List1!$A:$D,4,FALSE)),"")</f>
        <v>40</v>
      </c>
      <c r="AB297" s="720"/>
      <c r="AC297" s="739" t="str">
        <f>IFERROR(IF(VLOOKUP(C297,[1]List1!$A:$D,2,FALSE)="VYPRODÁNO",$V$9,IF(VLOOKUP(C297,[1]List1!$A:$D,2,FALSE)="DOCHÁZÍ",$V$3,VLOOKUP(C297,[1]List1!$A:$D,2,FALSE))),"OFFLINE!")</f>
        <v>DOCHÁZÍ</v>
      </c>
      <c r="AD297" s="740" t="str">
        <f ca="1">IF(AP297="NE",$V$10,IF(AC297=$V$3,IF(AQ297&lt;1,$V$8,$V$2&amp;" "&amp;AQ297&amp;" "&amp;$V$1),IF(AC297="SKLADEM",$V$6,IFERROR(IF(OR(AC297-TODAY()&gt;45,VLOOKUP(C297,[1]List1!$A:$E,4,FALSE)=0),AC297,DAY(AC297)&amp;"."&amp;MONTH(AC297)&amp;"."&amp;YEAR(AC297)&amp;" "&amp;$V$4&amp;VLOOKUP(C297,[1]List1!$A:$E,4,FALSE)&amp;" "&amp;$V$1),AC297))))</f>
        <v>POSLEDNÍCH 16 VK</v>
      </c>
      <c r="AE297" s="716" t="str">
        <f t="shared" ca="1" si="560"/>
        <v>POSLEDNÍCH 16 VK</v>
      </c>
      <c r="AF297" s="723">
        <f t="shared" si="561"/>
        <v>0</v>
      </c>
      <c r="AG297" s="723">
        <f t="shared" si="562"/>
        <v>0</v>
      </c>
      <c r="AH297" s="724">
        <f t="shared" si="563"/>
        <v>0</v>
      </c>
      <c r="AI297" s="716">
        <f t="shared" si="564"/>
        <v>0</v>
      </c>
      <c r="AJ297" s="716">
        <f t="shared" si="565"/>
        <v>0</v>
      </c>
      <c r="AK297" s="716" t="str">
        <f t="shared" si="566"/>
        <v/>
      </c>
      <c r="AL297" s="716">
        <f t="shared" si="567"/>
        <v>0</v>
      </c>
      <c r="AM297" s="716" t="str">
        <f t="shared" si="568"/>
        <v/>
      </c>
      <c r="AN297" s="716">
        <f t="shared" si="569"/>
        <v>0</v>
      </c>
      <c r="AO297" s="380"/>
      <c r="AP297" s="322" t="str">
        <f t="shared" si="529"/>
        <v/>
      </c>
      <c r="AQ297" s="323">
        <f>IF(AC297=$V$3,IF(VLOOKUP(C297,[1]List1!$A:$E,5,FALSE)=0,1,VLOOKUP(C297,[1]List1!$A:$E,5,FALSE)),"")</f>
        <v>16</v>
      </c>
      <c r="AR297" s="304" t="str">
        <f t="shared" si="530"/>
        <v/>
      </c>
      <c r="AS297" s="423" t="str">
        <f t="shared" si="531"/>
        <v/>
      </c>
      <c r="AT297" s="304" t="str">
        <f t="shared" si="532"/>
        <v/>
      </c>
      <c r="AU297" s="342" t="e">
        <f t="shared" si="533"/>
        <v>#N/A</v>
      </c>
      <c r="AV297" s="304" t="e">
        <f t="shared" si="534"/>
        <v>#N/A</v>
      </c>
      <c r="AX297" s="304">
        <f>IF(AND('General price list'!$J297="F4",'General price list'!$AB297+0&gt;0),1,0)</f>
        <v>0</v>
      </c>
      <c r="AY297" s="304">
        <f t="shared" si="535"/>
        <v>1</v>
      </c>
      <c r="AZ297" s="304">
        <f t="shared" si="536"/>
        <v>0</v>
      </c>
    </row>
    <row r="298" spans="1:52" ht="15" customHeight="1">
      <c r="A298" s="725" t="str">
        <f>Kat.!C295</f>
        <v/>
      </c>
      <c r="B298" s="726">
        <f>IF(AND('General price list'!$J298="F4",$AI$1=FALSE),0,IF(AC298="SKLADEM",1,IF(AC298=$V$3,1,0)))</f>
        <v>0</v>
      </c>
      <c r="C298" s="727" t="s">
        <v>4639</v>
      </c>
      <c r="D298" s="728" t="s">
        <v>4640</v>
      </c>
      <c r="E298" s="729" t="s">
        <v>11316</v>
      </c>
      <c r="F298" s="725">
        <f>IFERROR(ROUND(IF($AL$3=2,VLOOKUP(C298,[2]List1!$A:$D,2,FALSE)*1.08,VLOOKUP(C298,[2]List1!$A:$D,2,FALSE)),0),"NEUVEDENO!")</f>
        <v>666</v>
      </c>
      <c r="G298" s="730">
        <f t="shared" si="556"/>
        <v>666</v>
      </c>
      <c r="H298" s="731">
        <f t="shared" si="557"/>
        <v>27.063379509039414</v>
      </c>
      <c r="I298" s="732">
        <v>40</v>
      </c>
      <c r="J298" s="729" t="s">
        <v>257</v>
      </c>
      <c r="K298" s="729"/>
      <c r="L298" s="729" t="s">
        <v>13821</v>
      </c>
      <c r="M298" s="729" t="s">
        <v>138</v>
      </c>
      <c r="N298" s="729">
        <f>IFERROR(VLOOKUP(C298,[3]List1!$A:$D,4,FALSE),"N/A!")</f>
        <v>3.3264000000000002E-2</v>
      </c>
      <c r="O298" s="729">
        <f>IFERROR(VLOOKUP(C298,[3]List1!$A:$D,3,FALSE),"N/A!")</f>
        <v>4000</v>
      </c>
      <c r="P298" s="729">
        <f>IFERROR(VLOOKUP(C298,[3]List1!$A:$D,2,FALSE),"N/A!")</f>
        <v>16000</v>
      </c>
      <c r="Q298" s="729" t="s">
        <v>166</v>
      </c>
      <c r="R298" s="729" t="s">
        <v>24</v>
      </c>
      <c r="S298" s="729"/>
      <c r="T298" s="729"/>
      <c r="U298" s="729"/>
      <c r="V298" s="729"/>
      <c r="W298" s="729" t="str">
        <f>IFERROR(VLOOKUP('General price list'!$C298,Popisy!A:P,MATCH($W$17,Popisy!$A$7:$P$7,0),FALSE),"---------------")</f>
        <v>Signální patrona 15mm s explozí</v>
      </c>
      <c r="X298" s="729" t="str">
        <f t="shared" si="558"/>
        <v/>
      </c>
      <c r="Y298" s="729" t="str">
        <f t="shared" si="559"/>
        <v/>
      </c>
      <c r="Z298" s="729" t="str">
        <f>HYPERLINK("https://www.klasekpyrotechnics.cz/dbb1e")</f>
        <v>https://www.klasekpyrotechnics.cz/dbb1e</v>
      </c>
      <c r="AA298" s="729">
        <f>IFERROR(IF(VLOOKUP(C298,[4]List1!$A:$D,4,FALSE)=0,"",VLOOKUP(C298,[4]List1!$A:$D,4,FALSE)),"")</f>
        <v>47</v>
      </c>
      <c r="AB298" s="720"/>
      <c r="AC298" s="733" t="str">
        <f>IFERROR(IF(VLOOKUP(C298,[1]List1!$A:$D,2,FALSE)="VYPRODÁNO",$V$9,IF(VLOOKUP(C298,[1]List1!$A:$D,2,FALSE)="DOCHÁZÍ",$V$3,VLOOKUP(C298,[1]List1!$A:$D,2,FALSE))),"OFFLINE!")</f>
        <v>25.04.2024</v>
      </c>
      <c r="AD298" s="734" t="str">
        <f ca="1">IF(AP298="NE",$V$10,IF(AC298=$V$3,IF(AQ298&lt;1,$V$8,$V$2&amp;" "&amp;AQ298&amp;" "&amp;$V$1),IF(AC298="SKLADEM",$V$6,IFERROR(IF(OR(AC298-TODAY()&gt;45,VLOOKUP(C298,[1]List1!$A:$E,4,FALSE)=0),AC298,DAY(AC298)&amp;"."&amp;MONTH(AC298)&amp;"."&amp;YEAR(AC298)&amp;" "&amp;$V$4&amp;VLOOKUP(C298,[1]List1!$A:$E,4,FALSE)&amp;" "&amp;$V$1),AC298))))</f>
        <v>25.04.2024</v>
      </c>
      <c r="AE298" s="729" t="str">
        <f t="shared" ca="1" si="560"/>
        <v>25.04.2024</v>
      </c>
      <c r="AF298" s="735">
        <f t="shared" si="561"/>
        <v>0</v>
      </c>
      <c r="AG298" s="735">
        <f t="shared" si="562"/>
        <v>0</v>
      </c>
      <c r="AH298" s="736">
        <f t="shared" si="563"/>
        <v>0</v>
      </c>
      <c r="AI298" s="729">
        <f t="shared" si="564"/>
        <v>0</v>
      </c>
      <c r="AJ298" s="729">
        <f t="shared" si="565"/>
        <v>0</v>
      </c>
      <c r="AK298" s="729" t="str">
        <f t="shared" si="566"/>
        <v/>
      </c>
      <c r="AL298" s="729">
        <f t="shared" si="567"/>
        <v>0</v>
      </c>
      <c r="AM298" s="729" t="str">
        <f t="shared" si="568"/>
        <v/>
      </c>
      <c r="AN298" s="729">
        <f t="shared" si="569"/>
        <v>0</v>
      </c>
      <c r="AO298" s="380"/>
      <c r="AP298" s="322" t="str">
        <f t="shared" si="529"/>
        <v/>
      </c>
      <c r="AQ298" s="323" t="str">
        <f>IF(AC298=$V$3,IF(VLOOKUP(C298,[1]List1!$A:$E,5,FALSE)=0,1,VLOOKUP(C298,[1]List1!$A:$E,5,FALSE)),"")</f>
        <v/>
      </c>
      <c r="AR298" s="304" t="str">
        <f t="shared" si="530"/>
        <v/>
      </c>
      <c r="AS298" s="423" t="str">
        <f t="shared" si="531"/>
        <v/>
      </c>
      <c r="AT298" s="304" t="str">
        <f t="shared" si="532"/>
        <v/>
      </c>
      <c r="AU298" s="342" t="e">
        <f t="shared" si="533"/>
        <v>#N/A</v>
      </c>
      <c r="AV298" s="304" t="e">
        <f t="shared" si="534"/>
        <v>#N/A</v>
      </c>
      <c r="AX298" s="304">
        <f>IF(AND('General price list'!$J298="F4",'General price list'!$AB298+0&gt;0),1,0)</f>
        <v>0</v>
      </c>
      <c r="AY298" s="304">
        <f t="shared" si="535"/>
        <v>1</v>
      </c>
      <c r="AZ298" s="304">
        <f t="shared" si="536"/>
        <v>0</v>
      </c>
    </row>
    <row r="299" spans="1:52" ht="15" customHeight="1">
      <c r="A299" s="773" t="str">
        <f>Kat.!C296</f>
        <v xml:space="preserve">                                                               Raketové sety F2-1.4G</v>
      </c>
      <c r="B299" s="774"/>
      <c r="C299" s="774"/>
      <c r="D299" s="774"/>
      <c r="E299" s="774"/>
      <c r="F299" s="774"/>
      <c r="G299" s="774"/>
      <c r="H299" s="774"/>
      <c r="I299" s="774"/>
      <c r="J299" s="774"/>
      <c r="K299" s="774"/>
      <c r="L299" s="774"/>
      <c r="M299" s="774"/>
      <c r="N299" s="774"/>
      <c r="O299" s="774"/>
      <c r="P299" s="774"/>
      <c r="Q299" s="774"/>
      <c r="R299" s="774"/>
      <c r="S299" s="774"/>
      <c r="T299" s="774"/>
      <c r="U299" s="774"/>
      <c r="V299" s="774"/>
      <c r="W299" s="774"/>
      <c r="X299" s="774"/>
      <c r="Y299" s="774"/>
      <c r="Z299" s="774"/>
      <c r="AA299" s="774" t="str">
        <f>IFERROR(IF(VLOOKUP(C299,[4]List1!$A:$D,4,FALSE)=0,"",VLOOKUP(C299,[4]List1!$A:$D,4,FALSE)),"")</f>
        <v/>
      </c>
      <c r="AB299" s="774"/>
      <c r="AC299" s="775" t="str">
        <f>IFERROR(IF(VLOOKUP(C299,[1]List1!$A:$D,2,FALSE)="VYPRODÁNO",$V$9,IF(VLOOKUP(C299,[1]List1!$A:$D,2,FALSE)="DOCHÁZÍ",$V$3,VLOOKUP(C299,[1]List1!$A:$D,2,FALSE))),"OFFLINE!")</f>
        <v>OFFLINE!</v>
      </c>
      <c r="AD299" s="774"/>
      <c r="AE299" s="774"/>
      <c r="AF299" s="774"/>
      <c r="AG299" s="774"/>
      <c r="AH299" s="774"/>
      <c r="AI299" s="774"/>
      <c r="AJ299" s="774"/>
      <c r="AK299" s="774"/>
      <c r="AL299" s="774"/>
      <c r="AM299" s="774"/>
      <c r="AN299" s="774"/>
      <c r="AO299" s="380"/>
      <c r="AP299" s="322" t="str">
        <f t="shared" si="529"/>
        <v/>
      </c>
      <c r="AQ299" s="323" t="str">
        <f>IF(AC299=$V$3,IF(VLOOKUP(C299,[1]List1!$A:$E,5,FALSE)=0,1,VLOOKUP(C299,[1]List1!$A:$E,5,FALSE)),"")</f>
        <v/>
      </c>
      <c r="AR299" s="304" t="str">
        <f t="shared" si="530"/>
        <v/>
      </c>
      <c r="AS299" s="423" t="str">
        <f t="shared" si="531"/>
        <v/>
      </c>
      <c r="AT299" s="304" t="str">
        <f t="shared" si="532"/>
        <v/>
      </c>
      <c r="AU299" s="342" t="e">
        <f t="shared" si="533"/>
        <v>#N/A</v>
      </c>
      <c r="AV299" s="304" t="e">
        <f t="shared" si="534"/>
        <v>#N/A</v>
      </c>
      <c r="AX299" s="304">
        <f>IF(AND('General price list'!$J299="F4",'General price list'!$AB299+0&gt;0),1,0)</f>
        <v>0</v>
      </c>
      <c r="AY299" s="304">
        <f t="shared" si="535"/>
        <v>0</v>
      </c>
      <c r="AZ299" s="304">
        <f t="shared" si="536"/>
        <v>0</v>
      </c>
    </row>
    <row r="300" spans="1:52" ht="15" customHeight="1">
      <c r="A300" s="725" t="str">
        <f>Kat.!C297</f>
        <v/>
      </c>
      <c r="B300" s="741">
        <f>IF(AND('General price list'!$J300="F4",$AI$1=FALSE),0,IF(AC300="SKLADEM",1,IF(AC300=$V$3,1,0)))</f>
        <v>0</v>
      </c>
      <c r="C300" s="727" t="s">
        <v>824</v>
      </c>
      <c r="D300" s="728" t="s">
        <v>14553</v>
      </c>
      <c r="E300" s="729" t="s">
        <v>825</v>
      </c>
      <c r="F300" s="725">
        <f>IFERROR(ROUND(IF($AL$3=2,VLOOKUP(C300,[2]List1!$A:$D,2,FALSE)*1.08,VLOOKUP(C300,[2]List1!$A:$D,2,FALSE)),0),"NEUVEDENO!")</f>
        <v>245</v>
      </c>
      <c r="G300" s="730">
        <f t="shared" ref="G300:G315" si="570">(F300)*$B$19</f>
        <v>245</v>
      </c>
      <c r="H300" s="731">
        <f t="shared" ref="H300:H315" si="571">G300/$F$19</f>
        <v>9.9557477172892739</v>
      </c>
      <c r="I300" s="742">
        <v>20</v>
      </c>
      <c r="J300" s="729" t="s">
        <v>46</v>
      </c>
      <c r="K300" s="729"/>
      <c r="L300" s="729" t="s">
        <v>14358</v>
      </c>
      <c r="M300" s="729" t="s">
        <v>25</v>
      </c>
      <c r="N300" s="729">
        <f>IFERROR(VLOOKUP(C300,[3]List1!$A:$D,4,FALSE),"N/A!")</f>
        <v>4.3709999999999999E-2</v>
      </c>
      <c r="O300" s="729">
        <f>IFERROR(VLOOKUP(C300,[3]List1!$A:$D,3,FALSE),"N/A!")</f>
        <v>1440</v>
      </c>
      <c r="P300" s="729">
        <f>IFERROR(VLOOKUP(C300,[3]List1!$A:$D,2,FALSE),"N/A!")</f>
        <v>8920</v>
      </c>
      <c r="Q300" s="729" t="s">
        <v>14320</v>
      </c>
      <c r="R300" s="729" t="s">
        <v>14132</v>
      </c>
      <c r="S300" s="729"/>
      <c r="T300" s="729"/>
      <c r="U300" s="729"/>
      <c r="V300" s="729"/>
      <c r="W300" s="729" t="str">
        <f>IFERROR(VLOOKUP('General price list'!$C300,Popisy!A:P,MATCH($W$17,Popisy!$A$7:$P$7,0),FALSE),"---------------")</f>
        <v>pískající raketa s explozí</v>
      </c>
      <c r="X300" s="729" t="str">
        <f t="shared" ref="X300:X315" si="572">IF(AB300&lt;0.0001,"",AB300)</f>
        <v/>
      </c>
      <c r="Y300" s="729" t="str">
        <f t="shared" ref="Y300:Y315" si="573">IF($AL$3=2,IF(OR(AB300&lt;&gt;"",AB300&lt;&gt;0),AU300,""),IF(C300="","",IF(AB300&lt;0.0001,"",IF(B300=0,"",IF(AQ300&lt;AB300,"",AB300)))))</f>
        <v/>
      </c>
      <c r="Z300" s="729" t="str">
        <f>HYPERLINK("https://www.klasekpyrotechnics.cz/rs1")</f>
        <v>https://www.klasekpyrotechnics.cz/rs1</v>
      </c>
      <c r="AA300" s="729">
        <f>IFERROR(IF(VLOOKUP(C300,[4]List1!$A:$D,4,FALSE)=0,"",VLOOKUP(C300,[4]List1!$A:$D,4,FALSE)),"")</f>
        <v>25</v>
      </c>
      <c r="AB300" s="720"/>
      <c r="AC300" s="743" t="str">
        <f>IFERROR(IF(VLOOKUP(C300,[1]List1!$A:$D,2,FALSE)="VYPRODÁNO",$V$9,IF(VLOOKUP(C300,[1]List1!$A:$D,2,FALSE)="DOCHÁZÍ",$V$3,VLOOKUP(C300,[1]List1!$A:$D,2,FALSE))),"OFFLINE!")</f>
        <v>20.06.2024</v>
      </c>
      <c r="AD300" s="744" t="str">
        <f ca="1">IF(AP300="NE",$V$10,IF(AC300=$V$3,IF(AQ300&lt;1,$V$8,$V$2&amp;" "&amp;AQ300&amp;" "&amp;$V$1),IF(AC300="SKLADEM",$V$6,IFERROR(IF(OR(AC300-TODAY()&gt;45,VLOOKUP(C300,[1]List1!$A:$E,4,FALSE)=0),AC300,DAY(AC300)&amp;"."&amp;MONTH(AC300)&amp;"."&amp;YEAR(AC300)&amp;" "&amp;$V$4&amp;VLOOKUP(C300,[1]List1!$A:$E,4,FALSE)&amp;" "&amp;$V$1),AC300))))</f>
        <v>20.06.2024</v>
      </c>
      <c r="AE300" s="729" t="str">
        <f t="shared" ref="AE300:AE315" ca="1" si="574">IFERROR(IF(AV300&lt;&gt;"",AV300,AD300),AD300)</f>
        <v>20.06.2024</v>
      </c>
      <c r="AF300" s="735">
        <f t="shared" ref="AF300:AF315" si="575">IFERROR(IF(AB300=Y300,G300*I300*Y300,0),0)</f>
        <v>0</v>
      </c>
      <c r="AG300" s="735">
        <f t="shared" ref="AG300:AG315" si="576">IF($W$17=$AF$8,AH300*1.23,AF300*1.21)</f>
        <v>0</v>
      </c>
      <c r="AH300" s="736">
        <f t="shared" ref="AH300:AH315" si="577">IFERROR(IF(Y300=AB300,H300*I300*Y300,0),0)</f>
        <v>0</v>
      </c>
      <c r="AI300" s="729">
        <f t="shared" ref="AI300:AI315" si="578">IFERROR(IF(Y300=AB300,(P300*Y300)/1000,1),0)</f>
        <v>0</v>
      </c>
      <c r="AJ300" s="729">
        <f t="shared" ref="AJ300:AJ315" si="579">IFERROR(IF(Y300=AB300,N300*Y300,0.1),0)</f>
        <v>0</v>
      </c>
      <c r="AK300" s="729" t="str">
        <f t="shared" ref="AK300:AK315" si="580">IFERROR(IF(Y300=AB300,IF(M300="1.1G",(O300/1000)*Y300,""),""),0)</f>
        <v/>
      </c>
      <c r="AL300" s="729" t="str">
        <f t="shared" ref="AL300:AL315" si="581">IFERROR(IF(Y300=AB300,IF(M300="1.3G",(O300/1000)*AB300,""),""),0)</f>
        <v/>
      </c>
      <c r="AM300" s="729">
        <f t="shared" ref="AM300:AM315" si="582">IFERROR(IF(Y300=AB300,IF(M300="1.4G",(O300/1000)*AB300,""),""),0)</f>
        <v>0</v>
      </c>
      <c r="AN300" s="729">
        <f t="shared" ref="AN300:AN315" si="583">SUM(AK300:AM300)</f>
        <v>0</v>
      </c>
      <c r="AO300" s="380"/>
      <c r="AP300" s="322" t="str">
        <f t="shared" si="529"/>
        <v/>
      </c>
      <c r="AQ300" s="323" t="str">
        <f>IF(AC300=$V$3,IF(VLOOKUP(C300,[1]List1!$A:$E,5,FALSE)=0,1,VLOOKUP(C300,[1]List1!$A:$E,5,FALSE)),"")</f>
        <v/>
      </c>
      <c r="AR300" s="304" t="str">
        <f t="shared" si="530"/>
        <v/>
      </c>
      <c r="AS300" s="423" t="str">
        <f t="shared" si="531"/>
        <v/>
      </c>
      <c r="AT300" s="304" t="str">
        <f t="shared" si="532"/>
        <v/>
      </c>
      <c r="AU300" s="342" t="e">
        <f t="shared" si="533"/>
        <v>#N/A</v>
      </c>
      <c r="AV300" s="304" t="e">
        <f t="shared" si="534"/>
        <v>#N/A</v>
      </c>
      <c r="AX300" s="304">
        <f>IF(AND('General price list'!$J300="F4",'General price list'!$AB300+0&gt;0),1,0)</f>
        <v>0</v>
      </c>
      <c r="AY300" s="304">
        <f t="shared" si="535"/>
        <v>1</v>
      </c>
      <c r="AZ300" s="304">
        <f t="shared" si="536"/>
        <v>1</v>
      </c>
    </row>
    <row r="301" spans="1:52" ht="15" customHeight="1">
      <c r="A301" s="712" t="str">
        <f>Kat.!C298</f>
        <v/>
      </c>
      <c r="B301" s="745">
        <f>IF(AND('General price list'!$J301="F4",$AI$1=FALSE),0,IF(AC301="SKLADEM",1,IF(AC301=$V$3,1,0)))</f>
        <v>0</v>
      </c>
      <c r="C301" s="714" t="s">
        <v>829</v>
      </c>
      <c r="D301" s="715" t="s">
        <v>830</v>
      </c>
      <c r="E301" s="716" t="s">
        <v>505</v>
      </c>
      <c r="F301" s="712">
        <f>IFERROR(ROUND(IF($AL$3=2,VLOOKUP(C301,[2]List1!$A:$D,2,FALSE)*1.08,VLOOKUP(C301,[2]List1!$A:$D,2,FALSE)),0),"NEUVEDENO!")</f>
        <v>72</v>
      </c>
      <c r="G301" s="717">
        <f t="shared" si="570"/>
        <v>72</v>
      </c>
      <c r="H301" s="718">
        <f t="shared" si="571"/>
        <v>2.9257707577339906</v>
      </c>
      <c r="I301" s="746">
        <v>50</v>
      </c>
      <c r="J301" s="716" t="s">
        <v>46</v>
      </c>
      <c r="K301" s="716"/>
      <c r="L301" s="716" t="s">
        <v>14369</v>
      </c>
      <c r="M301" s="716" t="s">
        <v>25</v>
      </c>
      <c r="N301" s="716">
        <f>IFERROR(VLOOKUP(C301,[3]List1!$A:$D,4,FALSE),"N/A!")</f>
        <v>2.4502500000000007E-2</v>
      </c>
      <c r="O301" s="716">
        <f>IFERROR(VLOOKUP(C301,[3]List1!$A:$D,3,FALSE),"N/A!")</f>
        <v>1500</v>
      </c>
      <c r="P301" s="716">
        <f>IFERROR(VLOOKUP(C301,[3]List1!$A:$D,2,FALSE),"N/A!")</f>
        <v>6800</v>
      </c>
      <c r="Q301" s="716" t="s">
        <v>14133</v>
      </c>
      <c r="R301" s="716" t="s">
        <v>24</v>
      </c>
      <c r="S301" s="716"/>
      <c r="T301" s="716"/>
      <c r="U301" s="716"/>
      <c r="V301" s="716"/>
      <c r="W301" s="716" t="str">
        <f>IFERROR(VLOOKUP('General price list'!$C301,Popisy!A:P,MATCH($W$17,Popisy!$A$7:$P$7,0),FALSE),"---------------")</f>
        <v>padáčková raketa</v>
      </c>
      <c r="X301" s="716" t="str">
        <f t="shared" si="572"/>
        <v/>
      </c>
      <c r="Y301" s="716" t="str">
        <f t="shared" si="573"/>
        <v/>
      </c>
      <c r="Z301" s="716" t="str">
        <f>HYPERLINK("https://www.klasekpyrotechnics.cz/rs6p")</f>
        <v>https://www.klasekpyrotechnics.cz/rs6p</v>
      </c>
      <c r="AA301" s="716">
        <f>IFERROR(IF(VLOOKUP(C301,[4]List1!$A:$D,4,FALSE)=0,"",VLOOKUP(C301,[4]List1!$A:$D,4,FALSE)),"")</f>
        <v>48</v>
      </c>
      <c r="AB301" s="720"/>
      <c r="AC301" s="747" t="str">
        <f>IFERROR(IF(VLOOKUP(C301,[1]List1!$A:$D,2,FALSE)="VYPRODÁNO",$V$9,IF(VLOOKUP(C301,[1]List1!$A:$D,2,FALSE)="DOCHÁZÍ",$V$3,VLOOKUP(C301,[1]List1!$A:$D,2,FALSE))),"OFFLINE!")</f>
        <v>15.09.2024</v>
      </c>
      <c r="AD301" s="748" t="str">
        <f ca="1">IF(AP301="NE",$V$10,IF(AC301=$V$3,IF(AQ301&lt;1,$V$8,$V$2&amp;" "&amp;AQ301&amp;" "&amp;$V$1),IF(AC301="SKLADEM",$V$6,IFERROR(IF(OR(AC301-TODAY()&gt;45,VLOOKUP(C301,[1]List1!$A:$E,4,FALSE)=0),AC301,DAY(AC301)&amp;"."&amp;MONTH(AC301)&amp;"."&amp;YEAR(AC301)&amp;" "&amp;$V$4&amp;VLOOKUP(C301,[1]List1!$A:$E,4,FALSE)&amp;" "&amp;$V$1),AC301))))</f>
        <v>15.09.2024</v>
      </c>
      <c r="AE301" s="716" t="str">
        <f t="shared" ca="1" si="574"/>
        <v>15.09.2024</v>
      </c>
      <c r="AF301" s="723">
        <f t="shared" si="575"/>
        <v>0</v>
      </c>
      <c r="AG301" s="723">
        <f t="shared" si="576"/>
        <v>0</v>
      </c>
      <c r="AH301" s="724">
        <f t="shared" si="577"/>
        <v>0</v>
      </c>
      <c r="AI301" s="716">
        <f t="shared" si="578"/>
        <v>0</v>
      </c>
      <c r="AJ301" s="716">
        <f t="shared" si="579"/>
        <v>0</v>
      </c>
      <c r="AK301" s="716" t="str">
        <f t="shared" si="580"/>
        <v/>
      </c>
      <c r="AL301" s="716" t="str">
        <f t="shared" si="581"/>
        <v/>
      </c>
      <c r="AM301" s="716">
        <f t="shared" si="582"/>
        <v>0</v>
      </c>
      <c r="AN301" s="716">
        <f t="shared" si="583"/>
        <v>0</v>
      </c>
      <c r="AO301" s="380"/>
      <c r="AP301" s="322" t="str">
        <f t="shared" si="529"/>
        <v/>
      </c>
      <c r="AQ301" s="323" t="str">
        <f>IF(AC301=$V$3,IF(VLOOKUP(C301,[1]List1!$A:$E,5,FALSE)=0,1,VLOOKUP(C301,[1]List1!$A:$E,5,FALSE)),"")</f>
        <v/>
      </c>
      <c r="AR301" s="304" t="str">
        <f t="shared" si="530"/>
        <v/>
      </c>
      <c r="AS301" s="423" t="str">
        <f t="shared" si="531"/>
        <v/>
      </c>
      <c r="AT301" s="304" t="str">
        <f t="shared" si="532"/>
        <v/>
      </c>
      <c r="AU301" s="342" t="e">
        <f t="shared" si="533"/>
        <v>#N/A</v>
      </c>
      <c r="AV301" s="304" t="e">
        <f t="shared" si="534"/>
        <v>#N/A</v>
      </c>
      <c r="AX301" s="304">
        <f>IF(AND('General price list'!$J301="F4",'General price list'!$AB301+0&gt;0),1,0)</f>
        <v>0</v>
      </c>
      <c r="AY301" s="304">
        <f t="shared" si="535"/>
        <v>1</v>
      </c>
      <c r="AZ301" s="304">
        <f t="shared" si="536"/>
        <v>0</v>
      </c>
    </row>
    <row r="302" spans="1:52" ht="15" customHeight="1">
      <c r="A302" s="725" t="str">
        <f>Kat.!C299</f>
        <v/>
      </c>
      <c r="B302" s="749">
        <f>IF(AND('General price list'!$J302="F4",$AI$1=FALSE),0,IF(AC302="SKLADEM",1,IF(AC302=$V$3,1,0)))</f>
        <v>1</v>
      </c>
      <c r="C302" s="727" t="s">
        <v>833</v>
      </c>
      <c r="D302" s="728" t="s">
        <v>834</v>
      </c>
      <c r="E302" s="729" t="s">
        <v>505</v>
      </c>
      <c r="F302" s="725">
        <f>IFERROR(ROUND(IF($AL$3=2,VLOOKUP(C302,[2]List1!$A:$D,2,FALSE)*1.08,VLOOKUP(C302,[2]List1!$A:$D,2,FALSE)),0),"NEUVEDENO!")</f>
        <v>57</v>
      </c>
      <c r="G302" s="730">
        <f t="shared" si="570"/>
        <v>57</v>
      </c>
      <c r="H302" s="731">
        <f t="shared" si="571"/>
        <v>2.3162351832060759</v>
      </c>
      <c r="I302" s="750">
        <v>50</v>
      </c>
      <c r="J302" s="729" t="s">
        <v>46</v>
      </c>
      <c r="K302" s="729"/>
      <c r="L302" s="729" t="s">
        <v>24</v>
      </c>
      <c r="M302" s="729" t="s">
        <v>25</v>
      </c>
      <c r="N302" s="729">
        <f>IFERROR(VLOOKUP(C302,[3]List1!$A:$D,4,FALSE),"N/A!")</f>
        <v>2.3099999999999999E-2</v>
      </c>
      <c r="O302" s="729">
        <f>IFERROR(VLOOKUP(C302,[3]List1!$A:$D,3,FALSE),"N/A!")</f>
        <v>1500</v>
      </c>
      <c r="P302" s="729">
        <f>IFERROR(VLOOKUP(C302,[3]List1!$A:$D,2,FALSE),"N/A!")</f>
        <v>4500</v>
      </c>
      <c r="Q302" s="729" t="s">
        <v>14133</v>
      </c>
      <c r="R302" s="729" t="s">
        <v>24</v>
      </c>
      <c r="S302" s="729"/>
      <c r="T302" s="729"/>
      <c r="U302" s="729"/>
      <c r="V302" s="729"/>
      <c r="W302" s="729" t="str">
        <f>IFERROR(VLOOKUP('General price list'!$C302,Popisy!A:P,MATCH($W$17,Popisy!$A$7:$P$7,0),FALSE),"---------------")</f>
        <v>pískající stopa+barevné světlice</v>
      </c>
      <c r="X302" s="729" t="str">
        <f t="shared" si="572"/>
        <v/>
      </c>
      <c r="Y302" s="729" t="str">
        <f t="shared" si="573"/>
        <v/>
      </c>
      <c r="Z302" s="729" t="str">
        <f>HYPERLINK("https://www.klasekpyrotechnics.cz/rs6o")</f>
        <v>https://www.klasekpyrotechnics.cz/rs6o</v>
      </c>
      <c r="AA302" s="729">
        <f>IFERROR(IF(VLOOKUP(C302,[4]List1!$A:$D,4,FALSE)=0,"",VLOOKUP(C302,[4]List1!$A:$D,4,FALSE)),"")</f>
        <v>54</v>
      </c>
      <c r="AB302" s="720"/>
      <c r="AC302" s="751" t="str">
        <f>IFERROR(IF(VLOOKUP(C302,[1]List1!$A:$D,2,FALSE)="VYPRODÁNO",$V$9,IF(VLOOKUP(C302,[1]List1!$A:$D,2,FALSE)="DOCHÁZÍ",$V$3,VLOOKUP(C302,[1]List1!$A:$D,2,FALSE))),"OFFLINE!")</f>
        <v>SKLADEM</v>
      </c>
      <c r="AD302" s="752" t="str">
        <f ca="1">IF(AP302="NE",$V$10,IF(AC302=$V$3,IF(AQ302&lt;1,$V$8,$V$2&amp;" "&amp;AQ302&amp;" "&amp;$V$1),IF(AC302="SKLADEM",$V$6,IFERROR(IF(OR(AC302-TODAY()&gt;45,VLOOKUP(C302,[1]List1!$A:$E,4,FALSE)=0),AC302,DAY(AC302)&amp;"."&amp;MONTH(AC302)&amp;"."&amp;YEAR(AC302)&amp;" "&amp;$V$4&amp;VLOOKUP(C302,[1]List1!$A:$E,4,FALSE)&amp;" "&amp;$V$1),AC302))))</f>
        <v>SKLADEM</v>
      </c>
      <c r="AE302" s="729" t="str">
        <f t="shared" ca="1" si="574"/>
        <v>SKLADEM</v>
      </c>
      <c r="AF302" s="735">
        <f t="shared" si="575"/>
        <v>0</v>
      </c>
      <c r="AG302" s="735">
        <f t="shared" si="576"/>
        <v>0</v>
      </c>
      <c r="AH302" s="736">
        <f t="shared" si="577"/>
        <v>0</v>
      </c>
      <c r="AI302" s="729">
        <f t="shared" si="578"/>
        <v>0</v>
      </c>
      <c r="AJ302" s="729">
        <f t="shared" si="579"/>
        <v>0</v>
      </c>
      <c r="AK302" s="729" t="str">
        <f t="shared" si="580"/>
        <v/>
      </c>
      <c r="AL302" s="729" t="str">
        <f t="shared" si="581"/>
        <v/>
      </c>
      <c r="AM302" s="729">
        <f t="shared" si="582"/>
        <v>0</v>
      </c>
      <c r="AN302" s="729">
        <f t="shared" si="583"/>
        <v>0</v>
      </c>
      <c r="AO302" s="380"/>
      <c r="AP302" s="322" t="str">
        <f t="shared" si="529"/>
        <v/>
      </c>
      <c r="AQ302" s="323" t="str">
        <f>IF(AC302=$V$3,IF(VLOOKUP(C302,[1]List1!$A:$E,5,FALSE)=0,1,VLOOKUP(C302,[1]List1!$A:$E,5,FALSE)),"")</f>
        <v/>
      </c>
      <c r="AR302" s="304" t="str">
        <f t="shared" si="530"/>
        <v/>
      </c>
      <c r="AS302" s="423" t="str">
        <f t="shared" si="531"/>
        <v/>
      </c>
      <c r="AT302" s="304" t="str">
        <f t="shared" si="532"/>
        <v/>
      </c>
      <c r="AU302" s="342" t="e">
        <f t="shared" si="533"/>
        <v>#N/A</v>
      </c>
      <c r="AV302" s="304" t="e">
        <f t="shared" si="534"/>
        <v>#N/A</v>
      </c>
      <c r="AX302" s="304">
        <f>IF(AND('General price list'!$J302="F4",'General price list'!$AB302+0&gt;0),1,0)</f>
        <v>0</v>
      </c>
      <c r="AY302" s="304">
        <f t="shared" si="535"/>
        <v>1</v>
      </c>
      <c r="AZ302" s="304">
        <f t="shared" si="536"/>
        <v>0</v>
      </c>
    </row>
    <row r="303" spans="1:52" ht="15" customHeight="1">
      <c r="A303" s="712" t="str">
        <f>Kat.!C300</f>
        <v/>
      </c>
      <c r="B303" s="745">
        <f>IF(AND('General price list'!$J303="F4",$AI$1=FALSE),0,IF(AC303="SKLADEM",1,IF(AC303=$V$3,1,0)))</f>
        <v>1</v>
      </c>
      <c r="C303" s="714" t="s">
        <v>838</v>
      </c>
      <c r="D303" s="715" t="s">
        <v>839</v>
      </c>
      <c r="E303" s="716" t="s">
        <v>505</v>
      </c>
      <c r="F303" s="712">
        <f>IFERROR(ROUND(IF($AL$3=2,VLOOKUP(C303,[2]List1!$A:$D,2,FALSE)*1.08,VLOOKUP(C303,[2]List1!$A:$D,2,FALSE)),0),"NEUVEDENO!")</f>
        <v>57</v>
      </c>
      <c r="G303" s="717">
        <f t="shared" si="570"/>
        <v>57</v>
      </c>
      <c r="H303" s="718">
        <f t="shared" si="571"/>
        <v>2.3162351832060759</v>
      </c>
      <c r="I303" s="746">
        <v>50</v>
      </c>
      <c r="J303" s="716" t="s">
        <v>46</v>
      </c>
      <c r="K303" s="716"/>
      <c r="L303" s="716" t="s">
        <v>14358</v>
      </c>
      <c r="M303" s="716" t="s">
        <v>25</v>
      </c>
      <c r="N303" s="716">
        <f>IFERROR(VLOOKUP(C303,[3]List1!$A:$D,4,FALSE),"N/A!")</f>
        <v>2.3099999999999999E-2</v>
      </c>
      <c r="O303" s="716">
        <f>IFERROR(VLOOKUP(C303,[3]List1!$A:$D,3,FALSE),"N/A!")</f>
        <v>1500</v>
      </c>
      <c r="P303" s="716">
        <f>IFERROR(VLOOKUP(C303,[3]List1!$A:$D,2,FALSE),"N/A!")</f>
        <v>5000</v>
      </c>
      <c r="Q303" s="716" t="s">
        <v>14133</v>
      </c>
      <c r="R303" s="716" t="s">
        <v>24</v>
      </c>
      <c r="S303" s="716"/>
      <c r="T303" s="716"/>
      <c r="U303" s="716"/>
      <c r="V303" s="716"/>
      <c r="W303" s="716" t="str">
        <f>IFERROR(VLOOKUP('General price list'!$C303,Popisy!A:P,MATCH($W$17,Popisy!$A$7:$P$7,0),FALSE),"---------------")</f>
        <v>pískající stopa+stříbrné blikající hvězdy</v>
      </c>
      <c r="X303" s="716" t="str">
        <f t="shared" si="572"/>
        <v/>
      </c>
      <c r="Y303" s="716" t="str">
        <f t="shared" si="573"/>
        <v/>
      </c>
      <c r="Z303" s="716" t="str">
        <f>HYPERLINK("https://www.klasekpyrotechnics.cz/rs6s")</f>
        <v>https://www.klasekpyrotechnics.cz/rs6s</v>
      </c>
      <c r="AA303" s="716">
        <f>IFERROR(IF(VLOOKUP(C303,[4]List1!$A:$D,4,FALSE)=0,"",VLOOKUP(C303,[4]List1!$A:$D,4,FALSE)),"")</f>
        <v>63</v>
      </c>
      <c r="AB303" s="720"/>
      <c r="AC303" s="747" t="str">
        <f>IFERROR(IF(VLOOKUP(C303,[1]List1!$A:$D,2,FALSE)="VYPRODÁNO",$V$9,IF(VLOOKUP(C303,[1]List1!$A:$D,2,FALSE)="DOCHÁZÍ",$V$3,VLOOKUP(C303,[1]List1!$A:$D,2,FALSE))),"OFFLINE!")</f>
        <v>SKLADEM</v>
      </c>
      <c r="AD303" s="748" t="str">
        <f ca="1">IF(AP303="NE",$V$10,IF(AC303=$V$3,IF(AQ303&lt;1,$V$8,$V$2&amp;" "&amp;AQ303&amp;" "&amp;$V$1),IF(AC303="SKLADEM",$V$6,IFERROR(IF(OR(AC303-TODAY()&gt;45,VLOOKUP(C303,[1]List1!$A:$E,4,FALSE)=0),AC303,DAY(AC303)&amp;"."&amp;MONTH(AC303)&amp;"."&amp;YEAR(AC303)&amp;" "&amp;$V$4&amp;VLOOKUP(C303,[1]List1!$A:$E,4,FALSE)&amp;" "&amp;$V$1),AC303))))</f>
        <v>SKLADEM</v>
      </c>
      <c r="AE303" s="716" t="str">
        <f t="shared" ca="1" si="574"/>
        <v>SKLADEM</v>
      </c>
      <c r="AF303" s="723">
        <f t="shared" si="575"/>
        <v>0</v>
      </c>
      <c r="AG303" s="723">
        <f t="shared" si="576"/>
        <v>0</v>
      </c>
      <c r="AH303" s="724">
        <f t="shared" si="577"/>
        <v>0</v>
      </c>
      <c r="AI303" s="716">
        <f t="shared" si="578"/>
        <v>0</v>
      </c>
      <c r="AJ303" s="716">
        <f t="shared" si="579"/>
        <v>0</v>
      </c>
      <c r="AK303" s="716" t="str">
        <f t="shared" si="580"/>
        <v/>
      </c>
      <c r="AL303" s="716" t="str">
        <f t="shared" si="581"/>
        <v/>
      </c>
      <c r="AM303" s="716">
        <f t="shared" si="582"/>
        <v>0</v>
      </c>
      <c r="AN303" s="716">
        <f t="shared" si="583"/>
        <v>0</v>
      </c>
      <c r="AO303" s="380"/>
      <c r="AP303" s="322" t="str">
        <f t="shared" si="529"/>
        <v/>
      </c>
      <c r="AQ303" s="323" t="str">
        <f>IF(AC303=$V$3,IF(VLOOKUP(C303,[1]List1!$A:$E,5,FALSE)=0,1,VLOOKUP(C303,[1]List1!$A:$E,5,FALSE)),"")</f>
        <v/>
      </c>
      <c r="AR303" s="304" t="str">
        <f t="shared" si="530"/>
        <v/>
      </c>
      <c r="AS303" s="423" t="str">
        <f t="shared" si="531"/>
        <v/>
      </c>
      <c r="AT303" s="304" t="str">
        <f t="shared" si="532"/>
        <v/>
      </c>
      <c r="AU303" s="342" t="e">
        <f t="shared" si="533"/>
        <v>#N/A</v>
      </c>
      <c r="AV303" s="304" t="e">
        <f t="shared" si="534"/>
        <v>#N/A</v>
      </c>
      <c r="AX303" s="304">
        <f>IF(AND('General price list'!$J303="F4",'General price list'!$AB303+0&gt;0),1,0)</f>
        <v>0</v>
      </c>
      <c r="AY303" s="304">
        <f t="shared" si="535"/>
        <v>1</v>
      </c>
      <c r="AZ303" s="304">
        <f t="shared" si="536"/>
        <v>0</v>
      </c>
    </row>
    <row r="304" spans="1:52" ht="15" customHeight="1">
      <c r="A304" s="725" t="str">
        <f>Kat.!C301</f>
        <v/>
      </c>
      <c r="B304" s="749">
        <f>IF(AND('General price list'!$J304="F4",$AI$1=FALSE),0,IF(AC304="SKLADEM",1,IF(AC304=$V$3,1,0)))</f>
        <v>1</v>
      </c>
      <c r="C304" s="727" t="s">
        <v>843</v>
      </c>
      <c r="D304" s="728" t="s">
        <v>844</v>
      </c>
      <c r="E304" s="729" t="s">
        <v>593</v>
      </c>
      <c r="F304" s="725">
        <f>IFERROR(ROUND(IF($AL$3=2,VLOOKUP(C304,[2]List1!$A:$D,2,FALSE)*1.08,VLOOKUP(C304,[2]List1!$A:$D,2,FALSE)),0),"NEUVEDENO!")</f>
        <v>120</v>
      </c>
      <c r="G304" s="730">
        <f t="shared" si="570"/>
        <v>120</v>
      </c>
      <c r="H304" s="731">
        <f t="shared" si="571"/>
        <v>4.8762845962233179</v>
      </c>
      <c r="I304" s="750">
        <v>36</v>
      </c>
      <c r="J304" s="729" t="s">
        <v>46</v>
      </c>
      <c r="K304" s="729"/>
      <c r="L304" s="729" t="s">
        <v>14369</v>
      </c>
      <c r="M304" s="729" t="s">
        <v>25</v>
      </c>
      <c r="N304" s="729">
        <f>IFERROR(VLOOKUP(C304,[3]List1!$A:$D,4,FALSE),"N/A!")</f>
        <v>4.1737500000000004E-2</v>
      </c>
      <c r="O304" s="729">
        <f>IFERROR(VLOOKUP(C304,[3]List1!$A:$D,3,FALSE),"N/A!")</f>
        <v>1728</v>
      </c>
      <c r="P304" s="729">
        <f>IFERROR(VLOOKUP(C304,[3]List1!$A:$D,2,FALSE),"N/A!")</f>
        <v>11000</v>
      </c>
      <c r="Q304" s="729" t="s">
        <v>14086</v>
      </c>
      <c r="R304" s="729" t="s">
        <v>24</v>
      </c>
      <c r="S304" s="729"/>
      <c r="T304" s="729"/>
      <c r="U304" s="729"/>
      <c r="V304" s="729"/>
      <c r="W304" s="729" t="str">
        <f>IFERROR(VLOOKUP('General price list'!$C304,Popisy!A:P,MATCH($W$17,Popisy!$A$7:$P$7,0),FALSE),"---------------")</f>
        <v>42cm výška,barevné světlice</v>
      </c>
      <c r="X304" s="729" t="str">
        <f t="shared" si="572"/>
        <v/>
      </c>
      <c r="Y304" s="729" t="str">
        <f t="shared" si="573"/>
        <v/>
      </c>
      <c r="Z304" s="729" t="str">
        <f>HYPERLINK("https://www.klasekpyrotechnics.cz/r12t1")</f>
        <v>https://www.klasekpyrotechnics.cz/r12t1</v>
      </c>
      <c r="AA304" s="729">
        <f>IFERROR(IF(VLOOKUP(C304,[4]List1!$A:$D,4,FALSE)=0,"",VLOOKUP(C304,[4]List1!$A:$D,4,FALSE)),"")</f>
        <v>24</v>
      </c>
      <c r="AB304" s="720"/>
      <c r="AC304" s="751" t="str">
        <f>IFERROR(IF(VLOOKUP(C304,[1]List1!$A:$D,2,FALSE)="VYPRODÁNO",$V$9,IF(VLOOKUP(C304,[1]List1!$A:$D,2,FALSE)="DOCHÁZÍ",$V$3,VLOOKUP(C304,[1]List1!$A:$D,2,FALSE))),"OFFLINE!")</f>
        <v>SKLADEM</v>
      </c>
      <c r="AD304" s="752" t="str">
        <f ca="1">IF(AP304="NE",$V$10,IF(AC304=$V$3,IF(AQ304&lt;1,$V$8,$V$2&amp;" "&amp;AQ304&amp;" "&amp;$V$1),IF(AC304="SKLADEM",$V$6,IFERROR(IF(OR(AC304-TODAY()&gt;45,VLOOKUP(C304,[1]List1!$A:$E,4,FALSE)=0),AC304,DAY(AC304)&amp;"."&amp;MONTH(AC304)&amp;"."&amp;YEAR(AC304)&amp;" "&amp;$V$4&amp;VLOOKUP(C304,[1]List1!$A:$E,4,FALSE)&amp;" "&amp;$V$1),AC304))))</f>
        <v>SKLADEM</v>
      </c>
      <c r="AE304" s="729" t="str">
        <f t="shared" ca="1" si="574"/>
        <v>SKLADEM</v>
      </c>
      <c r="AF304" s="735">
        <f t="shared" si="575"/>
        <v>0</v>
      </c>
      <c r="AG304" s="735">
        <f t="shared" si="576"/>
        <v>0</v>
      </c>
      <c r="AH304" s="736">
        <f t="shared" si="577"/>
        <v>0</v>
      </c>
      <c r="AI304" s="729">
        <f t="shared" si="578"/>
        <v>0</v>
      </c>
      <c r="AJ304" s="729">
        <f t="shared" si="579"/>
        <v>0</v>
      </c>
      <c r="AK304" s="729" t="str">
        <f t="shared" si="580"/>
        <v/>
      </c>
      <c r="AL304" s="729" t="str">
        <f t="shared" si="581"/>
        <v/>
      </c>
      <c r="AM304" s="729">
        <f t="shared" si="582"/>
        <v>0</v>
      </c>
      <c r="AN304" s="729">
        <f t="shared" si="583"/>
        <v>0</v>
      </c>
      <c r="AO304" s="380"/>
      <c r="AP304" s="322" t="str">
        <f t="shared" si="529"/>
        <v/>
      </c>
      <c r="AQ304" s="323" t="str">
        <f>IF(AC304=$V$3,IF(VLOOKUP(C304,[1]List1!$A:$E,5,FALSE)=0,1,VLOOKUP(C304,[1]List1!$A:$E,5,FALSE)),"")</f>
        <v/>
      </c>
      <c r="AR304" s="304" t="str">
        <f t="shared" si="530"/>
        <v/>
      </c>
      <c r="AS304" s="423" t="str">
        <f t="shared" si="531"/>
        <v/>
      </c>
      <c r="AT304" s="304" t="str">
        <f t="shared" si="532"/>
        <v/>
      </c>
      <c r="AU304" s="342" t="e">
        <f t="shared" si="533"/>
        <v>#N/A</v>
      </c>
      <c r="AV304" s="304" t="e">
        <f t="shared" si="534"/>
        <v>#N/A</v>
      </c>
      <c r="AX304" s="304">
        <f>IF(AND('General price list'!$J304="F4",'General price list'!$AB304+0&gt;0),1,0)</f>
        <v>0</v>
      </c>
      <c r="AY304" s="304">
        <f t="shared" si="535"/>
        <v>1</v>
      </c>
      <c r="AZ304" s="304">
        <f t="shared" si="536"/>
        <v>0</v>
      </c>
    </row>
    <row r="305" spans="1:52" ht="15" customHeight="1">
      <c r="A305" s="712" t="str">
        <f>Kat.!C302</f>
        <v/>
      </c>
      <c r="B305" s="745">
        <f>IF(AND('General price list'!$J305="F4",$AI$1=FALSE),0,IF(AC305="SKLADEM",1,IF(AC305=$V$3,1,0)))</f>
        <v>1</v>
      </c>
      <c r="C305" s="714" t="s">
        <v>2505</v>
      </c>
      <c r="D305" s="715" t="s">
        <v>2506</v>
      </c>
      <c r="E305" s="716" t="s">
        <v>589</v>
      </c>
      <c r="F305" s="712">
        <f>IFERROR(ROUND(IF($AL$3=2,VLOOKUP(C305,[2]List1!$A:$D,2,FALSE)*1.08,VLOOKUP(C305,[2]List1!$A:$D,2,FALSE)),0),"NEUVEDENO!")</f>
        <v>211</v>
      </c>
      <c r="G305" s="717">
        <f t="shared" si="570"/>
        <v>211</v>
      </c>
      <c r="H305" s="718">
        <f t="shared" si="571"/>
        <v>8.5741337483593334</v>
      </c>
      <c r="I305" s="746">
        <v>24</v>
      </c>
      <c r="J305" s="716" t="s">
        <v>46</v>
      </c>
      <c r="K305" s="716"/>
      <c r="L305" s="716" t="s">
        <v>24</v>
      </c>
      <c r="M305" s="716" t="s">
        <v>25</v>
      </c>
      <c r="N305" s="716">
        <f>IFERROR(VLOOKUP(C305,[3]List1!$A:$D,4,FALSE),"N/A!")</f>
        <v>7.6949999999999991E-2</v>
      </c>
      <c r="O305" s="716">
        <f>IFERROR(VLOOKUP(C305,[3]List1!$A:$D,3,FALSE),"N/A!")</f>
        <v>2592</v>
      </c>
      <c r="P305" s="716">
        <f>IFERROR(VLOOKUP(C305,[3]List1!$A:$D,2,FALSE),"N/A!")</f>
        <v>10000</v>
      </c>
      <c r="Q305" s="716" t="s">
        <v>14134</v>
      </c>
      <c r="R305" s="716" t="s">
        <v>24</v>
      </c>
      <c r="S305" s="716"/>
      <c r="T305" s="716"/>
      <c r="U305" s="716"/>
      <c r="V305" s="716"/>
      <c r="W305" s="716" t="str">
        <f>IFERROR(VLOOKUP('General price list'!$C305,Popisy!A:P,MATCH($W$17,Popisy!$A$7:$P$7,0),FALSE),"---------------")</f>
        <v>72cm výška,barevné světice</v>
      </c>
      <c r="X305" s="716" t="str">
        <f t="shared" si="572"/>
        <v/>
      </c>
      <c r="Y305" s="716" t="str">
        <f t="shared" si="573"/>
        <v/>
      </c>
      <c r="Z305" s="716" t="str">
        <f>HYPERLINK("https://www.klasekpyrotechnics.cz/r12t3")</f>
        <v>https://www.klasekpyrotechnics.cz/r12t3</v>
      </c>
      <c r="AA305" s="716" t="str">
        <f>IFERROR(IF(VLOOKUP(C305,[4]List1!$A:$D,4,FALSE)=0,"",VLOOKUP(C305,[4]List1!$A:$D,4,FALSE)),"")</f>
        <v>18</v>
      </c>
      <c r="AB305" s="720"/>
      <c r="AC305" s="747" t="str">
        <f>IFERROR(IF(VLOOKUP(C305,[1]List1!$A:$D,2,FALSE)="VYPRODÁNO",$V$9,IF(VLOOKUP(C305,[1]List1!$A:$D,2,FALSE)="DOCHÁZÍ",$V$3,VLOOKUP(C305,[1]List1!$A:$D,2,FALSE))),"OFFLINE!")</f>
        <v>SKLADEM</v>
      </c>
      <c r="AD305" s="748" t="str">
        <f ca="1">IF(AP305="NE",$V$10,IF(AC305=$V$3,IF(AQ305&lt;1,$V$8,$V$2&amp;" "&amp;AQ305&amp;" "&amp;$V$1),IF(AC305="SKLADEM",$V$6,IFERROR(IF(OR(AC305-TODAY()&gt;45,VLOOKUP(C305,[1]List1!$A:$E,4,FALSE)=0),AC305,DAY(AC305)&amp;"."&amp;MONTH(AC305)&amp;"."&amp;YEAR(AC305)&amp;" "&amp;$V$4&amp;VLOOKUP(C305,[1]List1!$A:$E,4,FALSE)&amp;" "&amp;$V$1),AC305))))</f>
        <v>SKLADEM</v>
      </c>
      <c r="AE305" s="716" t="str">
        <f t="shared" ca="1" si="574"/>
        <v>SKLADEM</v>
      </c>
      <c r="AF305" s="723">
        <f t="shared" si="575"/>
        <v>0</v>
      </c>
      <c r="AG305" s="723">
        <f t="shared" si="576"/>
        <v>0</v>
      </c>
      <c r="AH305" s="724">
        <f t="shared" si="577"/>
        <v>0</v>
      </c>
      <c r="AI305" s="716">
        <f t="shared" si="578"/>
        <v>0</v>
      </c>
      <c r="AJ305" s="716">
        <f t="shared" si="579"/>
        <v>0</v>
      </c>
      <c r="AK305" s="716" t="str">
        <f t="shared" si="580"/>
        <v/>
      </c>
      <c r="AL305" s="716" t="str">
        <f t="shared" si="581"/>
        <v/>
      </c>
      <c r="AM305" s="716">
        <f t="shared" si="582"/>
        <v>0</v>
      </c>
      <c r="AN305" s="716">
        <f t="shared" si="583"/>
        <v>0</v>
      </c>
      <c r="AO305" s="380"/>
      <c r="AP305" s="322" t="str">
        <f t="shared" si="529"/>
        <v/>
      </c>
      <c r="AQ305" s="323" t="str">
        <f>IF(AC305=$V$3,IF(VLOOKUP(C305,[1]List1!$A:$E,5,FALSE)=0,1,VLOOKUP(C305,[1]List1!$A:$E,5,FALSE)),"")</f>
        <v/>
      </c>
      <c r="AR305" s="304" t="str">
        <f t="shared" si="530"/>
        <v/>
      </c>
      <c r="AS305" s="423" t="str">
        <f t="shared" si="531"/>
        <v/>
      </c>
      <c r="AT305" s="304" t="str">
        <f t="shared" si="532"/>
        <v/>
      </c>
      <c r="AU305" s="342" t="e">
        <f t="shared" si="533"/>
        <v>#N/A</v>
      </c>
      <c r="AV305" s="304" t="e">
        <f t="shared" si="534"/>
        <v>#N/A</v>
      </c>
      <c r="AX305" s="304">
        <f>IF(AND('General price list'!$J305="F4",'General price list'!$AB305+0&gt;0),1,0)</f>
        <v>0</v>
      </c>
      <c r="AY305" s="304">
        <f t="shared" si="535"/>
        <v>1</v>
      </c>
      <c r="AZ305" s="304">
        <f t="shared" si="536"/>
        <v>0</v>
      </c>
    </row>
    <row r="306" spans="1:52" ht="15" customHeight="1">
      <c r="A306" s="725" t="str">
        <f>Kat.!C303</f>
        <v/>
      </c>
      <c r="B306" s="749">
        <f>IF(AND('General price list'!$J306="F4",$AI$1=FALSE),0,IF(AC306="SKLADEM",1,IF(AC306=$V$3,1,0)))</f>
        <v>1</v>
      </c>
      <c r="C306" s="727" t="s">
        <v>11900</v>
      </c>
      <c r="D306" s="728" t="s">
        <v>14554</v>
      </c>
      <c r="E306" s="729" t="s">
        <v>439</v>
      </c>
      <c r="F306" s="725">
        <f>IFERROR(ROUND(IF($AL$3=2,VLOOKUP(C306,[2]List1!$A:$D,2,FALSE)*1.08,VLOOKUP(C306,[2]List1!$A:$D,2,FALSE)),0),"NEUVEDENO!")</f>
        <v>520</v>
      </c>
      <c r="G306" s="730">
        <f t="shared" si="570"/>
        <v>520</v>
      </c>
      <c r="H306" s="731">
        <f t="shared" si="571"/>
        <v>21.130566583634376</v>
      </c>
      <c r="I306" s="750">
        <v>20</v>
      </c>
      <c r="J306" s="729" t="s">
        <v>46</v>
      </c>
      <c r="K306" s="729"/>
      <c r="L306" s="729" t="s">
        <v>24</v>
      </c>
      <c r="M306" s="729" t="s">
        <v>138</v>
      </c>
      <c r="N306" s="729">
        <f>IFERROR(VLOOKUP(C306,[3]List1!$A:$D,4,FALSE),"N/A!")</f>
        <v>3.5776000000000002E-2</v>
      </c>
      <c r="O306" s="729">
        <f>IFERROR(VLOOKUP(C306,[3]List1!$A:$D,3,FALSE),"N/A!")</f>
        <v>960</v>
      </c>
      <c r="P306" s="729">
        <f>IFERROR(VLOOKUP(C306,[3]List1!$A:$D,2,FALSE),"N/A!")</f>
        <v>5300</v>
      </c>
      <c r="Q306" s="729" t="s">
        <v>14321</v>
      </c>
      <c r="R306" s="729" t="s">
        <v>24</v>
      </c>
      <c r="S306" s="729"/>
      <c r="T306" s="729"/>
      <c r="U306" s="729"/>
      <c r="V306" s="729"/>
      <c r="W306" s="729" t="str">
        <f>IFERROR(VLOOKUP('General price list'!$C306,Popisy!A:P,MATCH($W$17,Popisy!$A$7:$P$7,0),FALSE),"---------------")</f>
        <v>pískající raketa s explozí- vyrobeno v Evropě</v>
      </c>
      <c r="X306" s="729" t="str">
        <f t="shared" si="572"/>
        <v/>
      </c>
      <c r="Y306" s="729" t="str">
        <f t="shared" si="573"/>
        <v/>
      </c>
      <c r="Z306" s="729" t="str">
        <f>HYPERLINK("https://https://www.klasekpyrotechnics.cz/rsd6")</f>
        <v>https://https://www.klasekpyrotechnics.cz/rsd6</v>
      </c>
      <c r="AA306" s="729" t="str">
        <f>IFERROR(IF(VLOOKUP(C306,[4]List1!$A:$D,4,FALSE)=0,"",VLOOKUP(C306,[4]List1!$A:$D,4,FALSE)),"")</f>
        <v>30</v>
      </c>
      <c r="AB306" s="720"/>
      <c r="AC306" s="751" t="str">
        <f>IFERROR(IF(VLOOKUP(C306,[1]List1!$A:$D,2,FALSE)="VYPRODÁNO",$V$9,IF(VLOOKUP(C306,[1]List1!$A:$D,2,FALSE)="DOCHÁZÍ",$V$3,VLOOKUP(C306,[1]List1!$A:$D,2,FALSE))),"OFFLINE!")</f>
        <v>SKLADEM</v>
      </c>
      <c r="AD306" s="752" t="str">
        <f ca="1">IF(AP306="NE",$V$10,IF(AC306=$V$3,IF(AQ306&lt;1,$V$8,$V$2&amp;" "&amp;AQ306&amp;" "&amp;$V$1),IF(AC306="SKLADEM",$V$6,IFERROR(IF(OR(AC306-TODAY()&gt;45,VLOOKUP(C306,[1]List1!$A:$E,4,FALSE)=0),AC306,DAY(AC306)&amp;"."&amp;MONTH(AC306)&amp;"."&amp;YEAR(AC306)&amp;" "&amp;$V$4&amp;VLOOKUP(C306,[1]List1!$A:$E,4,FALSE)&amp;" "&amp;$V$1),AC306))))</f>
        <v>SKLADEM</v>
      </c>
      <c r="AE306" s="729" t="str">
        <f t="shared" ca="1" si="574"/>
        <v>SKLADEM</v>
      </c>
      <c r="AF306" s="735">
        <f t="shared" si="575"/>
        <v>0</v>
      </c>
      <c r="AG306" s="735">
        <f t="shared" si="576"/>
        <v>0</v>
      </c>
      <c r="AH306" s="736">
        <f t="shared" si="577"/>
        <v>0</v>
      </c>
      <c r="AI306" s="729">
        <f t="shared" si="578"/>
        <v>0</v>
      </c>
      <c r="AJ306" s="729">
        <f t="shared" si="579"/>
        <v>0</v>
      </c>
      <c r="AK306" s="729" t="str">
        <f t="shared" si="580"/>
        <v/>
      </c>
      <c r="AL306" s="729">
        <f t="shared" si="581"/>
        <v>0</v>
      </c>
      <c r="AM306" s="729" t="str">
        <f t="shared" si="582"/>
        <v/>
      </c>
      <c r="AN306" s="729">
        <f t="shared" si="583"/>
        <v>0</v>
      </c>
      <c r="AO306" s="380"/>
      <c r="AP306" s="322" t="str">
        <f t="shared" si="529"/>
        <v/>
      </c>
      <c r="AQ306" s="323" t="str">
        <f>IF(AC306=$V$3,IF(VLOOKUP(C306,[1]List1!$A:$E,5,FALSE)=0,1,VLOOKUP(C306,[1]List1!$A:$E,5,FALSE)),"")</f>
        <v/>
      </c>
      <c r="AR306" s="304" t="str">
        <f t="shared" si="530"/>
        <v/>
      </c>
      <c r="AS306" s="423" t="str">
        <f t="shared" si="531"/>
        <v/>
      </c>
      <c r="AT306" s="304" t="str">
        <f t="shared" si="532"/>
        <v/>
      </c>
      <c r="AU306" s="342" t="e">
        <f t="shared" si="533"/>
        <v>#N/A</v>
      </c>
      <c r="AV306" s="304" t="e">
        <f t="shared" si="534"/>
        <v>#N/A</v>
      </c>
      <c r="AX306" s="304">
        <f>IF(AND('General price list'!$J306="F4",'General price list'!$AB306+0&gt;0),1,0)</f>
        <v>0</v>
      </c>
      <c r="AY306" s="304">
        <f t="shared" si="535"/>
        <v>1</v>
      </c>
      <c r="AZ306" s="304">
        <f t="shared" si="536"/>
        <v>0</v>
      </c>
    </row>
    <row r="307" spans="1:52" ht="15" customHeight="1">
      <c r="A307" s="712" t="str">
        <f>Kat.!C304</f>
        <v>×</v>
      </c>
      <c r="B307" s="745">
        <f>IF(AND('General price list'!$J307="F4",$AI$1=FALSE),0,IF(AC307="SKLADEM",1,IF(AC307=$V$3,1,0)))</f>
        <v>1</v>
      </c>
      <c r="C307" s="714" t="s">
        <v>853</v>
      </c>
      <c r="D307" s="715" t="s">
        <v>854</v>
      </c>
      <c r="E307" s="716" t="s">
        <v>849</v>
      </c>
      <c r="F307" s="712">
        <f>IFERROR(ROUND(IF($AL$3=2,VLOOKUP(C307,[2]List1!$A:$D,2,FALSE)*1.08,VLOOKUP(C307,[2]List1!$A:$D,2,FALSE)),0),"NEUVEDENO!")</f>
        <v>295</v>
      </c>
      <c r="G307" s="717">
        <f t="shared" si="570"/>
        <v>295</v>
      </c>
      <c r="H307" s="718">
        <f t="shared" si="571"/>
        <v>11.987532965715657</v>
      </c>
      <c r="I307" s="746">
        <v>18</v>
      </c>
      <c r="J307" s="716" t="s">
        <v>46</v>
      </c>
      <c r="K307" s="716"/>
      <c r="L307" s="716" t="s">
        <v>14358</v>
      </c>
      <c r="M307" s="716" t="s">
        <v>25</v>
      </c>
      <c r="N307" s="716">
        <f>IFERROR(VLOOKUP(C307,[3]List1!$A:$D,4,FALSE),"N/A!")</f>
        <v>0.10231199999999999</v>
      </c>
      <c r="O307" s="716">
        <f>IFERROR(VLOOKUP(C307,[3]List1!$A:$D,3,FALSE),"N/A!")</f>
        <v>2160</v>
      </c>
      <c r="P307" s="716">
        <f>IFERROR(VLOOKUP(C307,[3]List1!$A:$D,2,FALSE),"N/A!")</f>
        <v>12400</v>
      </c>
      <c r="Q307" s="716" t="s">
        <v>14135</v>
      </c>
      <c r="R307" s="716" t="s">
        <v>24</v>
      </c>
      <c r="S307" s="716"/>
      <c r="T307" s="716"/>
      <c r="U307" s="716"/>
      <c r="V307" s="716"/>
      <c r="W307" s="716" t="str">
        <f>IFERROR(VLOOKUP('General price list'!$C307,Popisy!A:P,MATCH($W$17,Popisy!$A$7:$P$7,0),FALSE),"---------------")</f>
        <v>6 různobarevných efektů-bez hluku</v>
      </c>
      <c r="X307" s="716" t="str">
        <f t="shared" si="572"/>
        <v/>
      </c>
      <c r="Y307" s="716" t="str">
        <f t="shared" si="573"/>
        <v/>
      </c>
      <c r="Z307" s="716" t="str">
        <f>HYPERLINK("https://www.klasekpyrotechnics.cz/rs6no14")</f>
        <v>https://www.klasekpyrotechnics.cz/rs6no14</v>
      </c>
      <c r="AA307" s="716" t="str">
        <f>IFERROR(IF(VLOOKUP(C307,[4]List1!$A:$D,4,FALSE)=0,"",VLOOKUP(C307,[4]List1!$A:$D,4,FALSE)),"")</f>
        <v>16</v>
      </c>
      <c r="AB307" s="720"/>
      <c r="AC307" s="747" t="str">
        <f>IFERROR(IF(VLOOKUP(C307,[1]List1!$A:$D,2,FALSE)="VYPRODÁNO",$V$9,IF(VLOOKUP(C307,[1]List1!$A:$D,2,FALSE)="DOCHÁZÍ",$V$3,VLOOKUP(C307,[1]List1!$A:$D,2,FALSE))),"OFFLINE!")</f>
        <v>DOCHÁZÍ</v>
      </c>
      <c r="AD307" s="748" t="str">
        <f ca="1">IF(AP307="NE",$V$10,IF(AC307=$V$3,IF(AQ307&lt;1,$V$8,$V$2&amp;" "&amp;AQ307&amp;" "&amp;$V$1),IF(AC307="SKLADEM",$V$6,IFERROR(IF(OR(AC307-TODAY()&gt;45,VLOOKUP(C307,[1]List1!$A:$E,4,FALSE)=0),AC307,DAY(AC307)&amp;"."&amp;MONTH(AC307)&amp;"."&amp;YEAR(AC307)&amp;" "&amp;$V$4&amp;VLOOKUP(C307,[1]List1!$A:$E,4,FALSE)&amp;" "&amp;$V$1),AC307))))</f>
        <v>POSLEDNÍCH 2 VK</v>
      </c>
      <c r="AE307" s="716" t="str">
        <f t="shared" ca="1" si="574"/>
        <v>POSLEDNÍCH 2 VK</v>
      </c>
      <c r="AF307" s="723">
        <f t="shared" si="575"/>
        <v>0</v>
      </c>
      <c r="AG307" s="723">
        <f t="shared" si="576"/>
        <v>0</v>
      </c>
      <c r="AH307" s="724">
        <f t="shared" si="577"/>
        <v>0</v>
      </c>
      <c r="AI307" s="716">
        <f t="shared" si="578"/>
        <v>0</v>
      </c>
      <c r="AJ307" s="716">
        <f t="shared" si="579"/>
        <v>0</v>
      </c>
      <c r="AK307" s="716" t="str">
        <f t="shared" si="580"/>
        <v/>
      </c>
      <c r="AL307" s="716" t="str">
        <f t="shared" si="581"/>
        <v/>
      </c>
      <c r="AM307" s="716">
        <f t="shared" si="582"/>
        <v>0</v>
      </c>
      <c r="AN307" s="716">
        <f t="shared" si="583"/>
        <v>0</v>
      </c>
      <c r="AO307" s="380"/>
      <c r="AP307" s="322" t="str">
        <f t="shared" si="529"/>
        <v/>
      </c>
      <c r="AQ307" s="323">
        <f>IF(AC307=$V$3,IF(VLOOKUP(C307,[1]List1!$A:$E,5,FALSE)=0,1,VLOOKUP(C307,[1]List1!$A:$E,5,FALSE)),"")</f>
        <v>2</v>
      </c>
      <c r="AR307" s="304" t="str">
        <f t="shared" si="530"/>
        <v/>
      </c>
      <c r="AS307" s="423" t="str">
        <f t="shared" si="531"/>
        <v/>
      </c>
      <c r="AT307" s="304" t="str">
        <f t="shared" si="532"/>
        <v/>
      </c>
      <c r="AU307" s="342" t="e">
        <f t="shared" si="533"/>
        <v>#N/A</v>
      </c>
      <c r="AV307" s="304" t="e">
        <f t="shared" si="534"/>
        <v>#N/A</v>
      </c>
      <c r="AX307" s="304">
        <f>IF(AND('General price list'!$J307="F4",'General price list'!$AB307+0&gt;0),1,0)</f>
        <v>0</v>
      </c>
      <c r="AY307" s="304">
        <f t="shared" si="535"/>
        <v>1</v>
      </c>
      <c r="AZ307" s="304">
        <f t="shared" si="536"/>
        <v>0</v>
      </c>
    </row>
    <row r="308" spans="1:52" ht="15" customHeight="1">
      <c r="A308" s="725" t="str">
        <f>Kat.!C305</f>
        <v/>
      </c>
      <c r="B308" s="749">
        <f>IF(AND('General price list'!$J308="F4",$AI$1=FALSE),0,IF(AC308="SKLADEM",1,IF(AC308=$V$3,1,0)))</f>
        <v>1</v>
      </c>
      <c r="C308" s="727" t="s">
        <v>2507</v>
      </c>
      <c r="D308" s="728" t="s">
        <v>12843</v>
      </c>
      <c r="E308" s="729" t="s">
        <v>307</v>
      </c>
      <c r="F308" s="725">
        <f>IFERROR(ROUND(IF($AL$3=2,VLOOKUP(C308,[2]List1!$A:$D,2,FALSE)*1.08,VLOOKUP(C308,[2]List1!$A:$D,2,FALSE)),0),"NEUVEDENO!")</f>
        <v>225</v>
      </c>
      <c r="G308" s="730">
        <f t="shared" si="570"/>
        <v>225</v>
      </c>
      <c r="H308" s="731">
        <f t="shared" si="571"/>
        <v>9.1430336179187215</v>
      </c>
      <c r="I308" s="750">
        <v>20</v>
      </c>
      <c r="J308" s="729" t="s">
        <v>46</v>
      </c>
      <c r="K308" s="729"/>
      <c r="L308" s="729" t="s">
        <v>14380</v>
      </c>
      <c r="M308" s="729" t="s">
        <v>138</v>
      </c>
      <c r="N308" s="729">
        <f>IFERROR(VLOOKUP(C308,[3]List1!$A:$D,4,FALSE),"N/A!")</f>
        <v>5.9941999999999995E-2</v>
      </c>
      <c r="O308" s="729">
        <f>IFERROR(VLOOKUP(C308,[3]List1!$A:$D,3,FALSE),"N/A!")</f>
        <v>2000</v>
      </c>
      <c r="P308" s="729">
        <f>IFERROR(VLOOKUP(C308,[3]List1!$A:$D,2,FALSE),"N/A!")</f>
        <v>10600</v>
      </c>
      <c r="Q308" s="729" t="s">
        <v>14322</v>
      </c>
      <c r="R308" s="729" t="s">
        <v>24</v>
      </c>
      <c r="S308" s="729"/>
      <c r="T308" s="729"/>
      <c r="U308" s="729"/>
      <c r="V308" s="729"/>
      <c r="W308" s="729" t="str">
        <f>IFERROR(VLOOKUP('General price list'!$C308,Popisy!A:P,MATCH($W$17,Popisy!$A$7:$P$7,0),FALSE),"---------------")</f>
        <v>stříbrná stopa s titanovou detonací a práskajícími hvězdami(2g zábleskové slože)</v>
      </c>
      <c r="X308" s="729" t="str">
        <f t="shared" si="572"/>
        <v/>
      </c>
      <c r="Y308" s="729" t="str">
        <f t="shared" si="573"/>
        <v/>
      </c>
      <c r="Z308" s="729" t="str">
        <f>HYPERLINK("https://www.klasekpyrotechnics.cz/rs5du")</f>
        <v>https://www.klasekpyrotechnics.cz/rs5du</v>
      </c>
      <c r="AA308" s="729">
        <f>IFERROR(IF(VLOOKUP(C308,[4]List1!$A:$D,4,FALSE)=0,"",VLOOKUP(C308,[4]List1!$A:$D,4,FALSE)),"")</f>
        <v>22</v>
      </c>
      <c r="AB308" s="720"/>
      <c r="AC308" s="751" t="str">
        <f>IFERROR(IF(VLOOKUP(C308,[1]List1!$A:$D,2,FALSE)="VYPRODÁNO",$V$9,IF(VLOOKUP(C308,[1]List1!$A:$D,2,FALSE)="DOCHÁZÍ",$V$3,VLOOKUP(C308,[1]List1!$A:$D,2,FALSE))),"OFFLINE!")</f>
        <v>SKLADEM</v>
      </c>
      <c r="AD308" s="752" t="str">
        <f ca="1">IF(AP308="NE",$V$10,IF(AC308=$V$3,IF(AQ308&lt;1,$V$8,$V$2&amp;" "&amp;AQ308&amp;" "&amp;$V$1),IF(AC308="SKLADEM",$V$6,IFERROR(IF(OR(AC308-TODAY()&gt;45,VLOOKUP(C308,[1]List1!$A:$E,4,FALSE)=0),AC308,DAY(AC308)&amp;"."&amp;MONTH(AC308)&amp;"."&amp;YEAR(AC308)&amp;" "&amp;$V$4&amp;VLOOKUP(C308,[1]List1!$A:$E,4,FALSE)&amp;" "&amp;$V$1),AC308))))</f>
        <v>SKLADEM</v>
      </c>
      <c r="AE308" s="729" t="str">
        <f t="shared" ca="1" si="574"/>
        <v>SKLADEM</v>
      </c>
      <c r="AF308" s="735">
        <f t="shared" si="575"/>
        <v>0</v>
      </c>
      <c r="AG308" s="735">
        <f t="shared" si="576"/>
        <v>0</v>
      </c>
      <c r="AH308" s="736">
        <f t="shared" si="577"/>
        <v>0</v>
      </c>
      <c r="AI308" s="729">
        <f t="shared" si="578"/>
        <v>0</v>
      </c>
      <c r="AJ308" s="729">
        <f t="shared" si="579"/>
        <v>0</v>
      </c>
      <c r="AK308" s="729" t="str">
        <f t="shared" si="580"/>
        <v/>
      </c>
      <c r="AL308" s="729">
        <f t="shared" si="581"/>
        <v>0</v>
      </c>
      <c r="AM308" s="729" t="str">
        <f t="shared" si="582"/>
        <v/>
      </c>
      <c r="AN308" s="729">
        <f t="shared" si="583"/>
        <v>0</v>
      </c>
      <c r="AO308" s="380"/>
      <c r="AP308" s="322" t="str">
        <f t="shared" si="529"/>
        <v/>
      </c>
      <c r="AQ308" s="305" t="str">
        <f>IF(AC308=$V$3,IF(VLOOKUP(C308,[1]List1!$A:$E,5,FALSE)=0,1,VLOOKUP(C308,[1]List1!$A:$E,5,FALSE)),"")</f>
        <v/>
      </c>
      <c r="AR308" s="304" t="str">
        <f t="shared" si="530"/>
        <v/>
      </c>
      <c r="AS308" s="423" t="str">
        <f t="shared" si="531"/>
        <v/>
      </c>
      <c r="AT308" s="304" t="str">
        <f t="shared" si="532"/>
        <v/>
      </c>
      <c r="AU308" s="342" t="e">
        <f t="shared" si="533"/>
        <v>#N/A</v>
      </c>
      <c r="AV308" s="304" t="e">
        <f t="shared" si="534"/>
        <v>#N/A</v>
      </c>
      <c r="AX308" s="304">
        <f>IF(AND('General price list'!$J308="F4",'General price list'!$AB308+0&gt;0),1,0)</f>
        <v>0</v>
      </c>
      <c r="AY308" s="304">
        <f t="shared" si="535"/>
        <v>1</v>
      </c>
      <c r="AZ308" s="304">
        <f t="shared" si="536"/>
        <v>0</v>
      </c>
    </row>
    <row r="309" spans="1:52" ht="15" customHeight="1">
      <c r="A309" s="712" t="str">
        <f>Kat.!C306</f>
        <v/>
      </c>
      <c r="B309" s="745">
        <f>IF(AND('General price list'!$J309="F4",$AI$1=FALSE),0,IF(AC309="SKLADEM",1,IF(AC309=$V$3,1,0)))</f>
        <v>1</v>
      </c>
      <c r="C309" s="714" t="s">
        <v>858</v>
      </c>
      <c r="D309" s="715" t="s">
        <v>859</v>
      </c>
      <c r="E309" s="716" t="s">
        <v>398</v>
      </c>
      <c r="F309" s="712">
        <f>IFERROR(ROUND(IF($AL$3=2,VLOOKUP(C309,[2]List1!$A:$D,2,FALSE)*1.08,VLOOKUP(C309,[2]List1!$A:$D,2,FALSE)),0),"NEUVEDENO!")</f>
        <v>90</v>
      </c>
      <c r="G309" s="717">
        <f t="shared" si="570"/>
        <v>90</v>
      </c>
      <c r="H309" s="718">
        <f t="shared" si="571"/>
        <v>3.6572134471674884</v>
      </c>
      <c r="I309" s="746">
        <v>50</v>
      </c>
      <c r="J309" s="716" t="s">
        <v>46</v>
      </c>
      <c r="K309" s="716"/>
      <c r="L309" s="716"/>
      <c r="M309" s="716" t="s">
        <v>25</v>
      </c>
      <c r="N309" s="716">
        <f>IFERROR(VLOOKUP(C309,[3]List1!$A:$D,4,FALSE),"N/A!")</f>
        <v>5.4567000000000004E-2</v>
      </c>
      <c r="O309" s="716">
        <f>IFERROR(VLOOKUP(C309,[3]List1!$A:$D,3,FALSE),"N/A!")</f>
        <v>4000</v>
      </c>
      <c r="P309" s="716">
        <f>IFERROR(VLOOKUP(C309,[3]List1!$A:$D,2,FALSE),"N/A!")</f>
        <v>11700</v>
      </c>
      <c r="Q309" s="716" t="s">
        <v>14086</v>
      </c>
      <c r="R309" s="716" t="s">
        <v>24</v>
      </c>
      <c r="S309" s="716"/>
      <c r="T309" s="716"/>
      <c r="U309" s="716"/>
      <c r="V309" s="716"/>
      <c r="W309" s="716" t="str">
        <f>IFERROR(VLOOKUP('General price list'!$C309,Popisy!A:P,MATCH($W$17,Popisy!$A$7:$P$7,0),FALSE),"---------------")</f>
        <v>4 různobarevné efekty</v>
      </c>
      <c r="X309" s="716" t="str">
        <f t="shared" si="572"/>
        <v/>
      </c>
      <c r="Y309" s="716" t="str">
        <f t="shared" si="573"/>
        <v/>
      </c>
      <c r="Z309" s="716" t="str">
        <f>HYPERLINK("https://www.klasekpyrotechnics.cz/rs4h14")</f>
        <v>https://www.klasekpyrotechnics.cz/rs4h14</v>
      </c>
      <c r="AA309" s="716">
        <f>IFERROR(IF(VLOOKUP(C309,[4]List1!$A:$D,4,FALSE)=0,"",VLOOKUP(C309,[4]List1!$A:$D,4,FALSE)),"")</f>
        <v>30</v>
      </c>
      <c r="AB309" s="720"/>
      <c r="AC309" s="747" t="str">
        <f>IFERROR(IF(VLOOKUP(C309,[1]List1!$A:$D,2,FALSE)="VYPRODÁNO",$V$9,IF(VLOOKUP(C309,[1]List1!$A:$D,2,FALSE)="DOCHÁZÍ",$V$3,VLOOKUP(C309,[1]List1!$A:$D,2,FALSE))),"OFFLINE!")</f>
        <v>SKLADEM</v>
      </c>
      <c r="AD309" s="748" t="str">
        <f ca="1">IF(AP309="NE",$V$10,IF(AC309=$V$3,IF(AQ309&lt;1,$V$8,$V$2&amp;" "&amp;AQ309&amp;" "&amp;$V$1),IF(AC309="SKLADEM",$V$6,IFERROR(IF(OR(AC309-TODAY()&gt;45,VLOOKUP(C309,[1]List1!$A:$E,4,FALSE)=0),AC309,DAY(AC309)&amp;"."&amp;MONTH(AC309)&amp;"."&amp;YEAR(AC309)&amp;" "&amp;$V$4&amp;VLOOKUP(C309,[1]List1!$A:$E,4,FALSE)&amp;" "&amp;$V$1),AC309))))</f>
        <v>SKLADEM</v>
      </c>
      <c r="AE309" s="716" t="str">
        <f t="shared" ca="1" si="574"/>
        <v>SKLADEM</v>
      </c>
      <c r="AF309" s="723">
        <f t="shared" si="575"/>
        <v>0</v>
      </c>
      <c r="AG309" s="723">
        <f t="shared" si="576"/>
        <v>0</v>
      </c>
      <c r="AH309" s="724">
        <f t="shared" si="577"/>
        <v>0</v>
      </c>
      <c r="AI309" s="716">
        <f t="shared" si="578"/>
        <v>0</v>
      </c>
      <c r="AJ309" s="716">
        <f t="shared" si="579"/>
        <v>0</v>
      </c>
      <c r="AK309" s="716" t="str">
        <f t="shared" si="580"/>
        <v/>
      </c>
      <c r="AL309" s="716" t="str">
        <f t="shared" si="581"/>
        <v/>
      </c>
      <c r="AM309" s="716">
        <f t="shared" si="582"/>
        <v>0</v>
      </c>
      <c r="AN309" s="716">
        <f t="shared" si="583"/>
        <v>0</v>
      </c>
      <c r="AO309" s="380"/>
      <c r="AP309" s="322" t="str">
        <f t="shared" si="529"/>
        <v/>
      </c>
      <c r="AQ309" s="323" t="str">
        <f>IF(AC309=$V$3,IF(VLOOKUP(C309,[1]List1!$A:$E,5,FALSE)=0,1,VLOOKUP(C309,[1]List1!$A:$E,5,FALSE)),"")</f>
        <v/>
      </c>
      <c r="AR309" s="304" t="str">
        <f t="shared" si="530"/>
        <v/>
      </c>
      <c r="AS309" s="423" t="str">
        <f t="shared" si="531"/>
        <v/>
      </c>
      <c r="AT309" s="304" t="str">
        <f t="shared" si="532"/>
        <v/>
      </c>
      <c r="AU309" s="342" t="e">
        <f t="shared" si="533"/>
        <v>#N/A</v>
      </c>
      <c r="AV309" s="304" t="e">
        <f t="shared" si="534"/>
        <v>#N/A</v>
      </c>
      <c r="AX309" s="304">
        <f>IF(AND('General price list'!$J309="F4",'General price list'!$AB309+0&gt;0),1,0)</f>
        <v>0</v>
      </c>
      <c r="AY309" s="304">
        <f t="shared" si="535"/>
        <v>1</v>
      </c>
      <c r="AZ309" s="304">
        <f t="shared" si="536"/>
        <v>0</v>
      </c>
    </row>
    <row r="310" spans="1:52" ht="15" customHeight="1">
      <c r="A310" s="725" t="str">
        <f>Kat.!C307</f>
        <v/>
      </c>
      <c r="B310" s="749">
        <f>IF(AND('General price list'!$J310="F4",$AI$1=FALSE),0,IF(AC310="SKLADEM",1,IF(AC310=$V$3,1,0)))</f>
        <v>1</v>
      </c>
      <c r="C310" s="727" t="s">
        <v>860</v>
      </c>
      <c r="D310" s="728" t="s">
        <v>861</v>
      </c>
      <c r="E310" s="729" t="s">
        <v>862</v>
      </c>
      <c r="F310" s="725">
        <f>IFERROR(ROUND(IF($AL$3=2,VLOOKUP(C310,[2]List1!$A:$D,2,FALSE)*1.08,VLOOKUP(C310,[2]List1!$A:$D,2,FALSE)),0),"NEUVEDENO!")</f>
        <v>203</v>
      </c>
      <c r="G310" s="730">
        <f t="shared" si="570"/>
        <v>203</v>
      </c>
      <c r="H310" s="731">
        <f t="shared" si="571"/>
        <v>8.2490481086111132</v>
      </c>
      <c r="I310" s="750">
        <v>30</v>
      </c>
      <c r="J310" s="729" t="s">
        <v>46</v>
      </c>
      <c r="K310" s="729"/>
      <c r="L310" s="729"/>
      <c r="M310" s="729" t="s">
        <v>25</v>
      </c>
      <c r="N310" s="729">
        <f>IFERROR(VLOOKUP(C310,[3]List1!$A:$D,4,FALSE),"N/A!")</f>
        <v>7.2764999999999996E-2</v>
      </c>
      <c r="O310" s="729">
        <f>IFERROR(VLOOKUP(C310,[3]List1!$A:$D,3,FALSE),"N/A!")</f>
        <v>4200</v>
      </c>
      <c r="P310" s="729">
        <f>IFERROR(VLOOKUP(C310,[3]List1!$A:$D,2,FALSE),"N/A!")</f>
        <v>15200</v>
      </c>
      <c r="Q310" s="729" t="s">
        <v>14136</v>
      </c>
      <c r="R310" s="729" t="s">
        <v>24</v>
      </c>
      <c r="S310" s="729"/>
      <c r="T310" s="729"/>
      <c r="U310" s="729"/>
      <c r="V310" s="729"/>
      <c r="W310" s="729" t="str">
        <f>IFERROR(VLOOKUP('General price list'!$C310,Popisy!A:P,MATCH($W$17,Popisy!$A$7:$P$7,0),FALSE),"---------------")</f>
        <v>7 různobarevných efektů</v>
      </c>
      <c r="X310" s="729" t="str">
        <f t="shared" si="572"/>
        <v/>
      </c>
      <c r="Y310" s="729" t="str">
        <f t="shared" si="573"/>
        <v/>
      </c>
      <c r="Z310" s="729" t="str">
        <f>HYPERLINK("https://www.klasekpyrotechnics.cz/rs7md14")</f>
        <v>https://www.klasekpyrotechnics.cz/rs7md14</v>
      </c>
      <c r="AA310" s="729">
        <f>IFERROR(IF(VLOOKUP(C310,[4]List1!$A:$D,4,FALSE)=0,"",VLOOKUP(C310,[4]List1!$A:$D,4,FALSE)),"")</f>
        <v>15</v>
      </c>
      <c r="AB310" s="720"/>
      <c r="AC310" s="751" t="str">
        <f>IFERROR(IF(VLOOKUP(C310,[1]List1!$A:$D,2,FALSE)="VYPRODÁNO",$V$9,IF(VLOOKUP(C310,[1]List1!$A:$D,2,FALSE)="DOCHÁZÍ",$V$3,VLOOKUP(C310,[1]List1!$A:$D,2,FALSE))),"OFFLINE!")</f>
        <v>SKLADEM</v>
      </c>
      <c r="AD310" s="752" t="str">
        <f ca="1">IF(AP310="NE",$V$10,IF(AC310=$V$3,IF(AQ310&lt;1,$V$8,$V$2&amp;" "&amp;AQ310&amp;" "&amp;$V$1),IF(AC310="SKLADEM",$V$6,IFERROR(IF(OR(AC310-TODAY()&gt;45,VLOOKUP(C310,[1]List1!$A:$E,4,FALSE)=0),AC310,DAY(AC310)&amp;"."&amp;MONTH(AC310)&amp;"."&amp;YEAR(AC310)&amp;" "&amp;$V$4&amp;VLOOKUP(C310,[1]List1!$A:$E,4,FALSE)&amp;" "&amp;$V$1),AC310))))</f>
        <v>SKLADEM</v>
      </c>
      <c r="AE310" s="729" t="str">
        <f t="shared" ca="1" si="574"/>
        <v>SKLADEM</v>
      </c>
      <c r="AF310" s="735">
        <f t="shared" si="575"/>
        <v>0</v>
      </c>
      <c r="AG310" s="735">
        <f t="shared" si="576"/>
        <v>0</v>
      </c>
      <c r="AH310" s="736">
        <f t="shared" si="577"/>
        <v>0</v>
      </c>
      <c r="AI310" s="729">
        <f t="shared" si="578"/>
        <v>0</v>
      </c>
      <c r="AJ310" s="729">
        <f t="shared" si="579"/>
        <v>0</v>
      </c>
      <c r="AK310" s="729" t="str">
        <f t="shared" si="580"/>
        <v/>
      </c>
      <c r="AL310" s="729" t="str">
        <f t="shared" si="581"/>
        <v/>
      </c>
      <c r="AM310" s="729">
        <f t="shared" si="582"/>
        <v>0</v>
      </c>
      <c r="AN310" s="729">
        <f t="shared" si="583"/>
        <v>0</v>
      </c>
      <c r="AO310" s="380"/>
      <c r="AP310" s="322" t="str">
        <f t="shared" si="529"/>
        <v/>
      </c>
      <c r="AQ310" s="323" t="str">
        <f>IF(AC310=$V$3,IF(VLOOKUP(C310,[1]List1!$A:$E,5,FALSE)=0,1,VLOOKUP(C310,[1]List1!$A:$E,5,FALSE)),"")</f>
        <v/>
      </c>
      <c r="AR310" s="304" t="str">
        <f t="shared" si="530"/>
        <v/>
      </c>
      <c r="AS310" s="423" t="str">
        <f t="shared" si="531"/>
        <v/>
      </c>
      <c r="AT310" s="304" t="str">
        <f t="shared" si="532"/>
        <v/>
      </c>
      <c r="AU310" s="342" t="e">
        <f t="shared" si="533"/>
        <v>#N/A</v>
      </c>
      <c r="AV310" s="304" t="e">
        <f t="shared" si="534"/>
        <v>#N/A</v>
      </c>
      <c r="AX310" s="304">
        <f>IF(AND('General price list'!$J310="F4",'General price list'!$AB310+0&gt;0),1,0)</f>
        <v>0</v>
      </c>
      <c r="AY310" s="304">
        <f t="shared" si="535"/>
        <v>1</v>
      </c>
      <c r="AZ310" s="304">
        <f t="shared" si="536"/>
        <v>0</v>
      </c>
    </row>
    <row r="311" spans="1:52" ht="15" customHeight="1">
      <c r="A311" s="712" t="str">
        <f>Kat.!C308</f>
        <v/>
      </c>
      <c r="B311" s="745">
        <f>IF(AND('General price list'!$J311="F4",$AI$1=FALSE),0,IF(AC311="SKLADEM",1,IF(AC311=$V$3,1,0)))</f>
        <v>1</v>
      </c>
      <c r="C311" s="714" t="s">
        <v>867</v>
      </c>
      <c r="D311" s="715" t="s">
        <v>777</v>
      </c>
      <c r="E311" s="716" t="s">
        <v>866</v>
      </c>
      <c r="F311" s="712">
        <f>IFERROR(ROUND(IF($AL$3=2,VLOOKUP(C311,[2]List1!$A:$D,2,FALSE)*1.08,VLOOKUP(C311,[2]List1!$A:$D,2,FALSE)),0),"NEUVEDENO!")</f>
        <v>293</v>
      </c>
      <c r="G311" s="717">
        <f t="shared" si="570"/>
        <v>293</v>
      </c>
      <c r="H311" s="718">
        <f t="shared" si="571"/>
        <v>11.906261555778601</v>
      </c>
      <c r="I311" s="746">
        <v>20</v>
      </c>
      <c r="J311" s="716" t="s">
        <v>46</v>
      </c>
      <c r="K311" s="716"/>
      <c r="L311" s="716"/>
      <c r="M311" s="716" t="s">
        <v>25</v>
      </c>
      <c r="N311" s="716">
        <f>IFERROR(VLOOKUP(C311,[3]List1!$A:$D,4,FALSE),"N/A!")</f>
        <v>0.116145</v>
      </c>
      <c r="O311" s="716">
        <f>IFERROR(VLOOKUP(C311,[3]List1!$A:$D,3,FALSE),"N/A!")</f>
        <v>2800</v>
      </c>
      <c r="P311" s="716">
        <f>IFERROR(VLOOKUP(C311,[3]List1!$A:$D,2,FALSE),"N/A!")</f>
        <v>14900</v>
      </c>
      <c r="Q311" s="716" t="s">
        <v>14137</v>
      </c>
      <c r="R311" s="716" t="s">
        <v>24</v>
      </c>
      <c r="S311" s="716"/>
      <c r="T311" s="716"/>
      <c r="U311" s="716"/>
      <c r="V311" s="716"/>
      <c r="W311" s="716" t="str">
        <f>IFERROR(VLOOKUP('General price list'!$C311,Popisy!A:P,MATCH($W$17,Popisy!$A$7:$P$7,0),FALSE),"---------------")</f>
        <v>7 různobarevných efektů</v>
      </c>
      <c r="X311" s="716" t="str">
        <f t="shared" si="572"/>
        <v/>
      </c>
      <c r="Y311" s="716" t="str">
        <f t="shared" si="573"/>
        <v/>
      </c>
      <c r="Z311" s="716" t="str">
        <f>HYPERLINK("https://www.klasekpyrotechnics.cz/rs7t14")</f>
        <v>https://www.klasekpyrotechnics.cz/rs7t14</v>
      </c>
      <c r="AA311" s="716">
        <f>IFERROR(IF(VLOOKUP(C311,[4]List1!$A:$D,4,FALSE)=0,"",VLOOKUP(C311,[4]List1!$A:$D,4,FALSE)),"")</f>
        <v>12</v>
      </c>
      <c r="AB311" s="720"/>
      <c r="AC311" s="747" t="str">
        <f>IFERROR(IF(VLOOKUP(C311,[1]List1!$A:$D,2,FALSE)="VYPRODÁNO",$V$9,IF(VLOOKUP(C311,[1]List1!$A:$D,2,FALSE)="DOCHÁZÍ",$V$3,VLOOKUP(C311,[1]List1!$A:$D,2,FALSE))),"OFFLINE!")</f>
        <v>SKLADEM</v>
      </c>
      <c r="AD311" s="748" t="str">
        <f ca="1">IF(AP311="NE",$V$10,IF(AC311=$V$3,IF(AQ311&lt;1,$V$8,$V$2&amp;" "&amp;AQ311&amp;" "&amp;$V$1),IF(AC311="SKLADEM",$V$6,IFERROR(IF(OR(AC311-TODAY()&gt;45,VLOOKUP(C311,[1]List1!$A:$E,4,FALSE)=0),AC311,DAY(AC311)&amp;"."&amp;MONTH(AC311)&amp;"."&amp;YEAR(AC311)&amp;" "&amp;$V$4&amp;VLOOKUP(C311,[1]List1!$A:$E,4,FALSE)&amp;" "&amp;$V$1),AC311))))</f>
        <v>SKLADEM</v>
      </c>
      <c r="AE311" s="716" t="str">
        <f t="shared" ca="1" si="574"/>
        <v>SKLADEM</v>
      </c>
      <c r="AF311" s="723">
        <f t="shared" si="575"/>
        <v>0</v>
      </c>
      <c r="AG311" s="723">
        <f t="shared" si="576"/>
        <v>0</v>
      </c>
      <c r="AH311" s="724">
        <f t="shared" si="577"/>
        <v>0</v>
      </c>
      <c r="AI311" s="716">
        <f t="shared" si="578"/>
        <v>0</v>
      </c>
      <c r="AJ311" s="716">
        <f t="shared" si="579"/>
        <v>0</v>
      </c>
      <c r="AK311" s="716" t="str">
        <f t="shared" si="580"/>
        <v/>
      </c>
      <c r="AL311" s="716" t="str">
        <f t="shared" si="581"/>
        <v/>
      </c>
      <c r="AM311" s="716">
        <f t="shared" si="582"/>
        <v>0</v>
      </c>
      <c r="AN311" s="716">
        <f t="shared" si="583"/>
        <v>0</v>
      </c>
      <c r="AO311" s="380"/>
      <c r="AP311" s="322" t="str">
        <f t="shared" si="529"/>
        <v/>
      </c>
      <c r="AQ311" s="323" t="str">
        <f>IF(AC311=$V$3,IF(VLOOKUP(C311,[1]List1!$A:$E,5,FALSE)=0,1,VLOOKUP(C311,[1]List1!$A:$E,5,FALSE)),"")</f>
        <v/>
      </c>
      <c r="AR311" s="304" t="str">
        <f t="shared" si="530"/>
        <v/>
      </c>
      <c r="AS311" s="423" t="str">
        <f t="shared" si="531"/>
        <v/>
      </c>
      <c r="AT311" s="304" t="str">
        <f t="shared" si="532"/>
        <v/>
      </c>
      <c r="AU311" s="342" t="e">
        <f t="shared" si="533"/>
        <v>#N/A</v>
      </c>
      <c r="AV311" s="304" t="e">
        <f t="shared" si="534"/>
        <v>#N/A</v>
      </c>
      <c r="AX311" s="304">
        <f>IF(AND('General price list'!$J311="F4",'General price list'!$AB311+0&gt;0),1,0)</f>
        <v>0</v>
      </c>
      <c r="AY311" s="304">
        <f t="shared" si="535"/>
        <v>1</v>
      </c>
      <c r="AZ311" s="304">
        <f t="shared" si="536"/>
        <v>0</v>
      </c>
    </row>
    <row r="312" spans="1:52" ht="15" customHeight="1">
      <c r="A312" s="725" t="str">
        <f>Kat.!C309</f>
        <v/>
      </c>
      <c r="B312" s="749">
        <f>IF(AND('General price list'!$J312="F4",$AI$1=FALSE),0,IF(AC312="SKLADEM",1,IF(AC312=$V$3,1,0)))</f>
        <v>1</v>
      </c>
      <c r="C312" s="727" t="s">
        <v>872</v>
      </c>
      <c r="D312" s="728" t="s">
        <v>873</v>
      </c>
      <c r="E312" s="729" t="s">
        <v>868</v>
      </c>
      <c r="F312" s="725">
        <f>IFERROR(ROUND(IF($AL$3=2,VLOOKUP(C312,[2]List1!$A:$D,2,FALSE)*1.08,VLOOKUP(C312,[2]List1!$A:$D,2,FALSE)),0),"NEUVEDENO!")</f>
        <v>357</v>
      </c>
      <c r="G312" s="730">
        <f t="shared" si="570"/>
        <v>357</v>
      </c>
      <c r="H312" s="731">
        <f t="shared" si="571"/>
        <v>14.506946673764372</v>
      </c>
      <c r="I312" s="750">
        <v>20</v>
      </c>
      <c r="J312" s="729" t="s">
        <v>46</v>
      </c>
      <c r="K312" s="729">
        <v>5</v>
      </c>
      <c r="L312" s="729"/>
      <c r="M312" s="729" t="s">
        <v>25</v>
      </c>
      <c r="N312" s="729">
        <f>IFERROR(VLOOKUP(C312,[3]List1!$A:$D,4,FALSE),"N/A!")</f>
        <v>0.10764000000000001</v>
      </c>
      <c r="O312" s="729">
        <f>IFERROR(VLOOKUP(C312,[3]List1!$A:$D,3,FALSE),"N/A!")</f>
        <v>3600</v>
      </c>
      <c r="P312" s="729">
        <f>IFERROR(VLOOKUP(C312,[3]List1!$A:$D,2,FALSE),"N/A!")</f>
        <v>17840</v>
      </c>
      <c r="Q312" s="729" t="s">
        <v>14138</v>
      </c>
      <c r="R312" s="729" t="s">
        <v>24</v>
      </c>
      <c r="S312" s="729"/>
      <c r="T312" s="729"/>
      <c r="U312" s="729"/>
      <c r="V312" s="729"/>
      <c r="W312" s="729" t="str">
        <f>IFERROR(VLOOKUP('General price list'!$C312,Popisy!A:P,MATCH($W$17,Popisy!$A$7:$P$7,0),FALSE),"---------------")</f>
        <v>9 různobarevných efektů</v>
      </c>
      <c r="X312" s="729" t="str">
        <f t="shared" si="572"/>
        <v/>
      </c>
      <c r="Y312" s="729" t="str">
        <f t="shared" si="573"/>
        <v/>
      </c>
      <c r="Z312" s="729" t="str">
        <f>HYPERLINK("https://www.klasekpyrotechnics.cz/rs9t14")</f>
        <v>https://www.klasekpyrotechnics.cz/rs9t14</v>
      </c>
      <c r="AA312" s="729">
        <f>IFERROR(IF(VLOOKUP(C312,[4]List1!$A:$D,4,FALSE)=0,"",VLOOKUP(C312,[4]List1!$A:$D,4,FALSE)),"")</f>
        <v>10</v>
      </c>
      <c r="AB312" s="720"/>
      <c r="AC312" s="751" t="str">
        <f>IFERROR(IF(VLOOKUP(C312,[1]List1!$A:$D,2,FALSE)="VYPRODÁNO",$V$9,IF(VLOOKUP(C312,[1]List1!$A:$D,2,FALSE)="DOCHÁZÍ",$V$3,VLOOKUP(C312,[1]List1!$A:$D,2,FALSE))),"OFFLINE!")</f>
        <v>SKLADEM</v>
      </c>
      <c r="AD312" s="752" t="str">
        <f ca="1">IF(AP312="NE",$V$10,IF(AC312=$V$3,IF(AQ312&lt;1,$V$8,$V$2&amp;" "&amp;AQ312&amp;" "&amp;$V$1),IF(AC312="SKLADEM",$V$6,IFERROR(IF(OR(AC312-TODAY()&gt;45,VLOOKUP(C312,[1]List1!$A:$E,4,FALSE)=0),AC312,DAY(AC312)&amp;"."&amp;MONTH(AC312)&amp;"."&amp;YEAR(AC312)&amp;" "&amp;$V$4&amp;VLOOKUP(C312,[1]List1!$A:$E,4,FALSE)&amp;" "&amp;$V$1),AC312))))</f>
        <v>SKLADEM</v>
      </c>
      <c r="AE312" s="729" t="str">
        <f t="shared" ca="1" si="574"/>
        <v>SKLADEM</v>
      </c>
      <c r="AF312" s="735">
        <f t="shared" si="575"/>
        <v>0</v>
      </c>
      <c r="AG312" s="735">
        <f t="shared" si="576"/>
        <v>0</v>
      </c>
      <c r="AH312" s="736">
        <f t="shared" si="577"/>
        <v>0</v>
      </c>
      <c r="AI312" s="729">
        <f t="shared" si="578"/>
        <v>0</v>
      </c>
      <c r="AJ312" s="729">
        <f t="shared" si="579"/>
        <v>0</v>
      </c>
      <c r="AK312" s="729" t="str">
        <f t="shared" si="580"/>
        <v/>
      </c>
      <c r="AL312" s="729" t="str">
        <f t="shared" si="581"/>
        <v/>
      </c>
      <c r="AM312" s="729">
        <f t="shared" si="582"/>
        <v>0</v>
      </c>
      <c r="AN312" s="729">
        <f t="shared" si="583"/>
        <v>0</v>
      </c>
      <c r="AO312" s="380"/>
      <c r="AP312" s="322" t="str">
        <f t="shared" si="529"/>
        <v/>
      </c>
      <c r="AQ312" s="323" t="str">
        <f>IF(AC312=$V$3,IF(VLOOKUP(C312,[1]List1!$A:$E,5,FALSE)=0,1,VLOOKUP(C312,[1]List1!$A:$E,5,FALSE)),"")</f>
        <v/>
      </c>
      <c r="AR312" s="304" t="str">
        <f t="shared" si="530"/>
        <v/>
      </c>
      <c r="AS312" s="423" t="str">
        <f t="shared" si="531"/>
        <v/>
      </c>
      <c r="AT312" s="304" t="str">
        <f t="shared" si="532"/>
        <v/>
      </c>
      <c r="AU312" s="342" t="e">
        <f t="shared" si="533"/>
        <v>#N/A</v>
      </c>
      <c r="AV312" s="304" t="e">
        <f t="shared" si="534"/>
        <v>#N/A</v>
      </c>
      <c r="AX312" s="304">
        <f>IF(AND('General price list'!$J312="F4",'General price list'!$AB312+0&gt;0),1,0)</f>
        <v>0</v>
      </c>
      <c r="AY312" s="304">
        <f t="shared" si="535"/>
        <v>1</v>
      </c>
      <c r="AZ312" s="304">
        <f t="shared" si="536"/>
        <v>0</v>
      </c>
    </row>
    <row r="313" spans="1:52" ht="15" customHeight="1">
      <c r="A313" s="712" t="str">
        <f>Kat.!C310</f>
        <v/>
      </c>
      <c r="B313" s="745">
        <f>IF(AND('General price list'!$J313="F4",$AI$1=FALSE),0,IF(AC313="SKLADEM",1,IF(AC313=$V$3,1,0)))</f>
        <v>1</v>
      </c>
      <c r="C313" s="714" t="s">
        <v>874</v>
      </c>
      <c r="D313" s="715" t="s">
        <v>875</v>
      </c>
      <c r="E313" s="716" t="s">
        <v>868</v>
      </c>
      <c r="F313" s="712">
        <f>IFERROR(ROUND(IF($AL$3=2,VLOOKUP(C313,[2]List1!$A:$D,2,FALSE)*1.08,VLOOKUP(C313,[2]List1!$A:$D,2,FALSE)),0),"NEUVEDENO!")</f>
        <v>357</v>
      </c>
      <c r="G313" s="717">
        <f t="shared" si="570"/>
        <v>357</v>
      </c>
      <c r="H313" s="718">
        <f t="shared" si="571"/>
        <v>14.506946673764372</v>
      </c>
      <c r="I313" s="746">
        <v>20</v>
      </c>
      <c r="J313" s="716" t="s">
        <v>46</v>
      </c>
      <c r="K313" s="716"/>
      <c r="L313" s="716"/>
      <c r="M313" s="716" t="s">
        <v>25</v>
      </c>
      <c r="N313" s="716">
        <f>IFERROR(VLOOKUP(C313,[3]List1!$A:$D,4,FALSE),"N/A!")</f>
        <v>0.10764000000000001</v>
      </c>
      <c r="O313" s="716">
        <f>IFERROR(VLOOKUP(C313,[3]List1!$A:$D,3,FALSE),"N/A!")</f>
        <v>3600</v>
      </c>
      <c r="P313" s="716">
        <f>IFERROR(VLOOKUP(C313,[3]List1!$A:$D,2,FALSE),"N/A!")</f>
        <v>17500</v>
      </c>
      <c r="Q313" s="716" t="s">
        <v>14138</v>
      </c>
      <c r="R313" s="716" t="s">
        <v>24</v>
      </c>
      <c r="S313" s="716"/>
      <c r="T313" s="716"/>
      <c r="U313" s="716"/>
      <c r="V313" s="716"/>
      <c r="W313" s="716" t="str">
        <f>IFERROR(VLOOKUP('General price list'!$C313,Popisy!A:P,MATCH($W$17,Popisy!$A$7:$P$7,0),FALSE),"---------------")</f>
        <v>9 různobarevných efektů</v>
      </c>
      <c r="X313" s="716" t="str">
        <f t="shared" si="572"/>
        <v/>
      </c>
      <c r="Y313" s="716" t="str">
        <f t="shared" si="573"/>
        <v/>
      </c>
      <c r="Z313" s="716" t="str">
        <f>HYPERLINK("https://www.klasekpyrotechnics.cz/rs9p14")</f>
        <v>https://www.klasekpyrotechnics.cz/rs9p14</v>
      </c>
      <c r="AA313" s="716">
        <f>IFERROR(IF(VLOOKUP(C313,[4]List1!$A:$D,4,FALSE)=0,"",VLOOKUP(C313,[4]List1!$A:$D,4,FALSE)),"")</f>
        <v>10</v>
      </c>
      <c r="AB313" s="720"/>
      <c r="AC313" s="747" t="str">
        <f>IFERROR(IF(VLOOKUP(C313,[1]List1!$A:$D,2,FALSE)="VYPRODÁNO",$V$9,IF(VLOOKUP(C313,[1]List1!$A:$D,2,FALSE)="DOCHÁZÍ",$V$3,VLOOKUP(C313,[1]List1!$A:$D,2,FALSE))),"OFFLINE!")</f>
        <v>SKLADEM</v>
      </c>
      <c r="AD313" s="748" t="str">
        <f ca="1">IF(AP313="NE",$V$10,IF(AC313=$V$3,IF(AQ313&lt;1,$V$8,$V$2&amp;" "&amp;AQ313&amp;" "&amp;$V$1),IF(AC313="SKLADEM",$V$6,IFERROR(IF(OR(AC313-TODAY()&gt;45,VLOOKUP(C313,[1]List1!$A:$E,4,FALSE)=0),AC313,DAY(AC313)&amp;"."&amp;MONTH(AC313)&amp;"."&amp;YEAR(AC313)&amp;" "&amp;$V$4&amp;VLOOKUP(C313,[1]List1!$A:$E,4,FALSE)&amp;" "&amp;$V$1),AC313))))</f>
        <v>SKLADEM</v>
      </c>
      <c r="AE313" s="716" t="str">
        <f t="shared" ca="1" si="574"/>
        <v>SKLADEM</v>
      </c>
      <c r="AF313" s="723">
        <f t="shared" si="575"/>
        <v>0</v>
      </c>
      <c r="AG313" s="723">
        <f t="shared" si="576"/>
        <v>0</v>
      </c>
      <c r="AH313" s="724">
        <f t="shared" si="577"/>
        <v>0</v>
      </c>
      <c r="AI313" s="716">
        <f t="shared" si="578"/>
        <v>0</v>
      </c>
      <c r="AJ313" s="716">
        <f t="shared" si="579"/>
        <v>0</v>
      </c>
      <c r="AK313" s="716" t="str">
        <f t="shared" si="580"/>
        <v/>
      </c>
      <c r="AL313" s="716" t="str">
        <f t="shared" si="581"/>
        <v/>
      </c>
      <c r="AM313" s="716">
        <f t="shared" si="582"/>
        <v>0</v>
      </c>
      <c r="AN313" s="716">
        <f t="shared" si="583"/>
        <v>0</v>
      </c>
      <c r="AO313" s="380"/>
      <c r="AP313" s="322" t="str">
        <f t="shared" si="529"/>
        <v/>
      </c>
      <c r="AQ313" s="323" t="str">
        <f>IF(AC313=$V$3,IF(VLOOKUP(C313,[1]List1!$A:$E,5,FALSE)=0,1,VLOOKUP(C313,[1]List1!$A:$E,5,FALSE)),"")</f>
        <v/>
      </c>
      <c r="AR313" s="304" t="str">
        <f t="shared" si="530"/>
        <v/>
      </c>
      <c r="AS313" s="423" t="str">
        <f t="shared" si="531"/>
        <v/>
      </c>
      <c r="AT313" s="304" t="str">
        <f t="shared" si="532"/>
        <v/>
      </c>
      <c r="AU313" s="342" t="e">
        <f t="shared" si="533"/>
        <v>#N/A</v>
      </c>
      <c r="AV313" s="304" t="e">
        <f t="shared" si="534"/>
        <v>#N/A</v>
      </c>
      <c r="AX313" s="304">
        <f>IF(AND('General price list'!$J313="F4",'General price list'!$AB313+0&gt;0),1,0)</f>
        <v>0</v>
      </c>
      <c r="AY313" s="304">
        <f t="shared" si="535"/>
        <v>1</v>
      </c>
      <c r="AZ313" s="304">
        <f t="shared" si="536"/>
        <v>0</v>
      </c>
    </row>
    <row r="314" spans="1:52" ht="15" customHeight="1">
      <c r="A314" s="725" t="str">
        <f>Kat.!C311</f>
        <v/>
      </c>
      <c r="B314" s="749">
        <f>IF(AND('General price list'!$J314="F4",$AI$1=FALSE),0,IF(AC314="SKLADEM",1,IF(AC314=$V$3,1,0)))</f>
        <v>0</v>
      </c>
      <c r="C314" s="727" t="s">
        <v>2509</v>
      </c>
      <c r="D314" s="728" t="s">
        <v>2510</v>
      </c>
      <c r="E314" s="729" t="s">
        <v>2668</v>
      </c>
      <c r="F314" s="725">
        <f>IFERROR(ROUND(IF($AL$3=2,VLOOKUP(C314,[2]List1!$A:$D,2,FALSE)*1.08,VLOOKUP(C314,[2]List1!$A:$D,2,FALSE)),0),"NEUVEDENO!")</f>
        <v>869</v>
      </c>
      <c r="G314" s="730">
        <f t="shared" si="570"/>
        <v>869</v>
      </c>
      <c r="H314" s="731">
        <f t="shared" si="571"/>
        <v>35.312427617650528</v>
      </c>
      <c r="I314" s="750">
        <v>5</v>
      </c>
      <c r="J314" s="729" t="s">
        <v>46</v>
      </c>
      <c r="K314" s="729"/>
      <c r="L314" s="729"/>
      <c r="M314" s="729" t="s">
        <v>25</v>
      </c>
      <c r="N314" s="729">
        <f>IFERROR(VLOOKUP(C314,[3]List1!$A:$D,4,FALSE),"N/A!")</f>
        <v>7.6960000000000015E-2</v>
      </c>
      <c r="O314" s="729">
        <f>IFERROR(VLOOKUP(C314,[3]List1!$A:$D,3,FALSE),"N/A!")</f>
        <v>2100</v>
      </c>
      <c r="P314" s="729">
        <f>IFERROR(VLOOKUP(C314,[3]List1!$A:$D,2,FALSE),"N/A!")</f>
        <v>10500</v>
      </c>
      <c r="Q314" s="729" t="s">
        <v>14140</v>
      </c>
      <c r="R314" s="729" t="s">
        <v>24</v>
      </c>
      <c r="S314" s="729"/>
      <c r="T314" s="729"/>
      <c r="U314" s="729"/>
      <c r="V314" s="729"/>
      <c r="W314" s="729" t="str">
        <f>IFERROR(VLOOKUP('General price list'!$C314,Popisy!A:P,MATCH($W$17,Popisy!$A$7:$P$7,0),FALSE),"---------------")</f>
        <v>21 různobarevných efektů</v>
      </c>
      <c r="X314" s="729" t="str">
        <f t="shared" si="572"/>
        <v/>
      </c>
      <c r="Y314" s="729" t="str">
        <f t="shared" si="573"/>
        <v/>
      </c>
      <c r="Z314" s="729" t="str">
        <f>HYPERLINK("https://www.klasekpyrotechnics.cz/rs21z14")</f>
        <v>https://www.klasekpyrotechnics.cz/rs21z14</v>
      </c>
      <c r="AA314" s="729">
        <f>IFERROR(IF(VLOOKUP(C314,[4]List1!$A:$D,4,FALSE)=0,"",VLOOKUP(C314,[4]List1!$A:$D,4,FALSE)),"")</f>
        <v>18</v>
      </c>
      <c r="AB314" s="720"/>
      <c r="AC314" s="751" t="str">
        <f>IFERROR(IF(VLOOKUP(C314,[1]List1!$A:$D,2,FALSE)="VYPRODÁNO",$V$9,IF(VLOOKUP(C314,[1]List1!$A:$D,2,FALSE)="DOCHÁZÍ",$V$3,VLOOKUP(C314,[1]List1!$A:$D,2,FALSE))),"OFFLINE!")</f>
        <v>15.06.2024</v>
      </c>
      <c r="AD314" s="752" t="str">
        <f ca="1">IF(AP314="NE",$V$10,IF(AC314=$V$3,IF(AQ314&lt;1,$V$8,$V$2&amp;" "&amp;AQ314&amp;" "&amp;$V$1),IF(AC314="SKLADEM",$V$6,IFERROR(IF(OR(AC314-TODAY()&gt;45,VLOOKUP(C314,[1]List1!$A:$E,4,FALSE)=0),AC314,DAY(AC314)&amp;"."&amp;MONTH(AC314)&amp;"."&amp;YEAR(AC314)&amp;" "&amp;$V$4&amp;VLOOKUP(C314,[1]List1!$A:$E,4,FALSE)&amp;" "&amp;$V$1),AC314))))</f>
        <v>15.06.2024</v>
      </c>
      <c r="AE314" s="729" t="str">
        <f t="shared" ca="1" si="574"/>
        <v>15.06.2024</v>
      </c>
      <c r="AF314" s="735">
        <f t="shared" si="575"/>
        <v>0</v>
      </c>
      <c r="AG314" s="735">
        <f t="shared" si="576"/>
        <v>0</v>
      </c>
      <c r="AH314" s="736">
        <f t="shared" si="577"/>
        <v>0</v>
      </c>
      <c r="AI314" s="729">
        <f t="shared" si="578"/>
        <v>0</v>
      </c>
      <c r="AJ314" s="729">
        <f t="shared" si="579"/>
        <v>0</v>
      </c>
      <c r="AK314" s="729" t="str">
        <f t="shared" si="580"/>
        <v/>
      </c>
      <c r="AL314" s="729" t="str">
        <f t="shared" si="581"/>
        <v/>
      </c>
      <c r="AM314" s="729">
        <f t="shared" si="582"/>
        <v>0</v>
      </c>
      <c r="AN314" s="729">
        <f t="shared" si="583"/>
        <v>0</v>
      </c>
      <c r="AO314" s="380"/>
      <c r="AP314" s="322" t="str">
        <f t="shared" si="529"/>
        <v/>
      </c>
      <c r="AQ314" s="323" t="str">
        <f>IF(AC314=$V$3,IF(VLOOKUP(C314,[1]List1!$A:$E,5,FALSE)=0,1,VLOOKUP(C314,[1]List1!$A:$E,5,FALSE)),"")</f>
        <v/>
      </c>
      <c r="AR314" s="304" t="str">
        <f t="shared" si="530"/>
        <v/>
      </c>
      <c r="AS314" s="423" t="str">
        <f t="shared" si="531"/>
        <v/>
      </c>
      <c r="AT314" s="304" t="str">
        <f t="shared" si="532"/>
        <v/>
      </c>
      <c r="AU314" s="342" t="e">
        <f t="shared" si="533"/>
        <v>#N/A</v>
      </c>
      <c r="AV314" s="304" t="e">
        <f t="shared" si="534"/>
        <v>#N/A</v>
      </c>
      <c r="AX314" s="304">
        <f>IF(AND('General price list'!$J314="F4",'General price list'!$AB314+0&gt;0),1,0)</f>
        <v>0</v>
      </c>
      <c r="AY314" s="304">
        <f t="shared" si="535"/>
        <v>1</v>
      </c>
      <c r="AZ314" s="304">
        <f t="shared" si="536"/>
        <v>0</v>
      </c>
    </row>
    <row r="315" spans="1:52" ht="15" customHeight="1">
      <c r="A315" s="712" t="str">
        <f>Kat.!C312</f>
        <v/>
      </c>
      <c r="B315" s="745">
        <f>IF(AND('General price list'!$J315="F4",$AI$1=FALSE),0,IF(AC315="SKLADEM",1,IF(AC315=$V$3,1,0)))</f>
        <v>1</v>
      </c>
      <c r="C315" s="714" t="s">
        <v>2511</v>
      </c>
      <c r="D315" s="715" t="s">
        <v>2512</v>
      </c>
      <c r="E315" s="716" t="s">
        <v>891</v>
      </c>
      <c r="F315" s="712">
        <f>IFERROR(ROUND(IF($AL$3=2,VLOOKUP(C315,[2]List1!$A:$D,2,FALSE)*1.08,VLOOKUP(C315,[2]List1!$A:$D,2,FALSE)),0),"NEUVEDENO!")</f>
        <v>1463</v>
      </c>
      <c r="G315" s="717">
        <f t="shared" si="570"/>
        <v>1463</v>
      </c>
      <c r="H315" s="718">
        <f t="shared" si="571"/>
        <v>59.450036368955949</v>
      </c>
      <c r="I315" s="746">
        <v>6</v>
      </c>
      <c r="J315" s="716" t="s">
        <v>46</v>
      </c>
      <c r="K315" s="716"/>
      <c r="L315" s="716"/>
      <c r="M315" s="716" t="s">
        <v>25</v>
      </c>
      <c r="N315" s="716">
        <f>IFERROR(VLOOKUP(C315,[3]List1!$A:$D,4,FALSE),"N/A!")</f>
        <v>0.13908399999999999</v>
      </c>
      <c r="O315" s="716">
        <f>IFERROR(VLOOKUP(C315,[3]List1!$A:$D,3,FALSE),"N/A!")</f>
        <v>3960</v>
      </c>
      <c r="P315" s="716">
        <f>IFERROR(VLOOKUP(C315,[3]List1!$A:$D,2,FALSE),"N/A!")</f>
        <v>24500</v>
      </c>
      <c r="Q315" s="716" t="s">
        <v>14139</v>
      </c>
      <c r="R315" s="716" t="s">
        <v>24</v>
      </c>
      <c r="S315" s="716"/>
      <c r="T315" s="716"/>
      <c r="U315" s="716"/>
      <c r="V315" s="716"/>
      <c r="W315" s="716" t="str">
        <f>IFERROR(VLOOKUP('General price list'!$C315,Popisy!A:P,MATCH($W$17,Popisy!$A$7:$P$7,0),FALSE),"---------------")</f>
        <v>33 různobarevných efektů</v>
      </c>
      <c r="X315" s="716" t="str">
        <f t="shared" si="572"/>
        <v/>
      </c>
      <c r="Y315" s="716" t="str">
        <f t="shared" si="573"/>
        <v/>
      </c>
      <c r="Z315" s="716" t="str">
        <f>HYPERLINK("https://www.klasekpyrotechnics.cz/rs33r14")</f>
        <v>https://www.klasekpyrotechnics.cz/rs33r14</v>
      </c>
      <c r="AA315" s="716">
        <f>IFERROR(IF(VLOOKUP(C315,[4]List1!$A:$D,4,FALSE)=0,"",VLOOKUP(C315,[4]List1!$A:$D,4,FALSE)),"")</f>
        <v>8</v>
      </c>
      <c r="AB315" s="720"/>
      <c r="AC315" s="747" t="str">
        <f>IFERROR(IF(VLOOKUP(C315,[1]List1!$A:$D,2,FALSE)="VYPRODÁNO",$V$9,IF(VLOOKUP(C315,[1]List1!$A:$D,2,FALSE)="DOCHÁZÍ",$V$3,VLOOKUP(C315,[1]List1!$A:$D,2,FALSE))),"OFFLINE!")</f>
        <v>SKLADEM</v>
      </c>
      <c r="AD315" s="748" t="str">
        <f ca="1">IF(AP315="NE",$V$10,IF(AC315=$V$3,IF(AQ315&lt;1,$V$8,$V$2&amp;" "&amp;AQ315&amp;" "&amp;$V$1),IF(AC315="SKLADEM",$V$6,IFERROR(IF(OR(AC315-TODAY()&gt;45,VLOOKUP(C315,[1]List1!$A:$E,4,FALSE)=0),AC315,DAY(AC315)&amp;"."&amp;MONTH(AC315)&amp;"."&amp;YEAR(AC315)&amp;" "&amp;$V$4&amp;VLOOKUP(C315,[1]List1!$A:$E,4,FALSE)&amp;" "&amp;$V$1),AC315))))</f>
        <v>SKLADEM</v>
      </c>
      <c r="AE315" s="716" t="str">
        <f t="shared" ca="1" si="574"/>
        <v>SKLADEM</v>
      </c>
      <c r="AF315" s="723">
        <f t="shared" si="575"/>
        <v>0</v>
      </c>
      <c r="AG315" s="723">
        <f t="shared" si="576"/>
        <v>0</v>
      </c>
      <c r="AH315" s="724">
        <f t="shared" si="577"/>
        <v>0</v>
      </c>
      <c r="AI315" s="716">
        <f t="shared" si="578"/>
        <v>0</v>
      </c>
      <c r="AJ315" s="716">
        <f t="shared" si="579"/>
        <v>0</v>
      </c>
      <c r="AK315" s="716" t="str">
        <f t="shared" si="580"/>
        <v/>
      </c>
      <c r="AL315" s="716" t="str">
        <f t="shared" si="581"/>
        <v/>
      </c>
      <c r="AM315" s="716">
        <f t="shared" si="582"/>
        <v>0</v>
      </c>
      <c r="AN315" s="716">
        <f t="shared" si="583"/>
        <v>0</v>
      </c>
      <c r="AO315" s="380"/>
      <c r="AP315" s="322" t="str">
        <f t="shared" si="529"/>
        <v/>
      </c>
      <c r="AQ315" s="323" t="str">
        <f>IF(AC315=$V$3,IF(VLOOKUP(C315,[1]List1!$A:$E,5,FALSE)=0,1,VLOOKUP(C315,[1]List1!$A:$E,5,FALSE)),"")</f>
        <v/>
      </c>
      <c r="AR315" s="304" t="str">
        <f t="shared" si="530"/>
        <v/>
      </c>
      <c r="AS315" s="423" t="str">
        <f t="shared" si="531"/>
        <v/>
      </c>
      <c r="AT315" s="304" t="str">
        <f t="shared" si="532"/>
        <v/>
      </c>
      <c r="AU315" s="342" t="e">
        <f t="shared" si="533"/>
        <v>#N/A</v>
      </c>
      <c r="AV315" s="304" t="e">
        <f t="shared" si="534"/>
        <v>#N/A</v>
      </c>
      <c r="AX315" s="304">
        <f>IF(AND('General price list'!$J315="F4",'General price list'!$AB315+0&gt;0),1,0)</f>
        <v>0</v>
      </c>
      <c r="AY315" s="304">
        <f t="shared" si="535"/>
        <v>1</v>
      </c>
      <c r="AZ315" s="304">
        <f t="shared" si="536"/>
        <v>0</v>
      </c>
    </row>
    <row r="316" spans="1:52" ht="15" customHeight="1">
      <c r="A316" s="773" t="str">
        <f>Kat.!C313</f>
        <v xml:space="preserve">                                                               Raketové sety 1.3G+1.4G</v>
      </c>
      <c r="B316" s="774"/>
      <c r="C316" s="774"/>
      <c r="D316" s="774"/>
      <c r="E316" s="774"/>
      <c r="F316" s="774"/>
      <c r="G316" s="774"/>
      <c r="H316" s="774"/>
      <c r="I316" s="774"/>
      <c r="J316" s="774"/>
      <c r="K316" s="774"/>
      <c r="L316" s="774"/>
      <c r="M316" s="774"/>
      <c r="N316" s="774"/>
      <c r="O316" s="774"/>
      <c r="P316" s="774"/>
      <c r="Q316" s="774"/>
      <c r="R316" s="774"/>
      <c r="S316" s="774"/>
      <c r="T316" s="774"/>
      <c r="U316" s="774"/>
      <c r="V316" s="774"/>
      <c r="W316" s="774"/>
      <c r="X316" s="774"/>
      <c r="Y316" s="774"/>
      <c r="Z316" s="774"/>
      <c r="AA316" s="774" t="str">
        <f>IFERROR(IF(VLOOKUP(C316,[4]List1!$A:$D,4,FALSE)=0,"",VLOOKUP(C316,[4]List1!$A:$D,4,FALSE)),"")</f>
        <v/>
      </c>
      <c r="AB316" s="774"/>
      <c r="AC316" s="775" t="str">
        <f>IFERROR(IF(VLOOKUP(C316,[1]List1!$A:$D,2,FALSE)="VYPRODÁNO",$V$9,IF(VLOOKUP(C316,[1]List1!$A:$D,2,FALSE)="DOCHÁZÍ",$V$3,VLOOKUP(C316,[1]List1!$A:$D,2,FALSE))),"OFFLINE!")</f>
        <v>OFFLINE!</v>
      </c>
      <c r="AD316" s="774"/>
      <c r="AE316" s="774"/>
      <c r="AF316" s="774"/>
      <c r="AG316" s="774"/>
      <c r="AH316" s="774"/>
      <c r="AI316" s="774"/>
      <c r="AJ316" s="774"/>
      <c r="AK316" s="774"/>
      <c r="AL316" s="774"/>
      <c r="AM316" s="774"/>
      <c r="AN316" s="774"/>
      <c r="AO316" s="380"/>
      <c r="AP316" s="322" t="str">
        <f t="shared" si="529"/>
        <v/>
      </c>
      <c r="AQ316" s="323" t="str">
        <f>IF(AC316=$V$3,IF(VLOOKUP(C316,[1]List1!$A:$E,5,FALSE)=0,1,VLOOKUP(C316,[1]List1!$A:$E,5,FALSE)),"")</f>
        <v/>
      </c>
      <c r="AR316" s="304" t="str">
        <f t="shared" si="530"/>
        <v/>
      </c>
      <c r="AS316" s="423" t="str">
        <f t="shared" si="531"/>
        <v/>
      </c>
      <c r="AT316" s="304" t="str">
        <f t="shared" si="532"/>
        <v/>
      </c>
      <c r="AU316" s="342" t="e">
        <f t="shared" si="533"/>
        <v>#N/A</v>
      </c>
      <c r="AV316" s="304" t="e">
        <f t="shared" si="534"/>
        <v>#N/A</v>
      </c>
      <c r="AX316" s="304">
        <f>IF(AND('General price list'!$J316="F4",'General price list'!$AB316+0&gt;0),1,0)</f>
        <v>0</v>
      </c>
      <c r="AY316" s="304">
        <f t="shared" si="535"/>
        <v>0</v>
      </c>
      <c r="AZ316" s="304">
        <f t="shared" si="536"/>
        <v>0</v>
      </c>
    </row>
    <row r="317" spans="1:52" ht="15" customHeight="1">
      <c r="A317" s="712" t="str">
        <f>Kat.!C314</f>
        <v/>
      </c>
      <c r="B317" s="713">
        <f>IF(AND('General price list'!$J317="F4",$AI$1=FALSE),0,IF(AC317="SKLADEM",1,IF(AC317=$V$3,1,0)))</f>
        <v>1</v>
      </c>
      <c r="C317" s="714" t="s">
        <v>896</v>
      </c>
      <c r="D317" s="715" t="s">
        <v>897</v>
      </c>
      <c r="E317" s="716" t="s">
        <v>898</v>
      </c>
      <c r="F317" s="712">
        <f>IFERROR(ROUND(IF($AL$3=2,VLOOKUP(C317,[2]List1!$A:$D,2,FALSE)*1.08,VLOOKUP(C317,[2]List1!$A:$D,2,FALSE)),0),"NEUVEDENO!")</f>
        <v>489</v>
      </c>
      <c r="G317" s="717">
        <f t="shared" ref="G317:G329" si="584">(F317)*$B$19</f>
        <v>489</v>
      </c>
      <c r="H317" s="718">
        <f t="shared" ref="H317:H329" si="585">G317/$F$19</f>
        <v>19.870859729610022</v>
      </c>
      <c r="I317" s="719">
        <v>8</v>
      </c>
      <c r="J317" s="716" t="s">
        <v>46</v>
      </c>
      <c r="K317" s="716"/>
      <c r="L317" s="716" t="s">
        <v>24</v>
      </c>
      <c r="M317" s="716" t="s">
        <v>138</v>
      </c>
      <c r="N317" s="716">
        <f>IFERROR(VLOOKUP(C317,[3]List1!$A:$D,4,FALSE),"N/A!")</f>
        <v>7.3079999999999992E-2</v>
      </c>
      <c r="O317" s="716">
        <f>IFERROR(VLOOKUP(C317,[3]List1!$A:$D,3,FALSE),"N/A!")</f>
        <v>2600</v>
      </c>
      <c r="P317" s="716">
        <f>IFERROR(VLOOKUP(C317,[3]List1!$A:$D,2,FALSE),"N/A!")</f>
        <v>9000</v>
      </c>
      <c r="Q317" s="716" t="s">
        <v>14140</v>
      </c>
      <c r="R317" s="716" t="s">
        <v>24</v>
      </c>
      <c r="S317" s="716"/>
      <c r="T317" s="716"/>
      <c r="U317" s="716"/>
      <c r="V317" s="716"/>
      <c r="W317" s="716" t="str">
        <f>IFERROR(VLOOKUP('General price list'!$C317,Popisy!A:P,MATCH($W$17,Popisy!$A$7:$P$7,0),FALSE),"---------------")</f>
        <v>5 různobarevné efekty</v>
      </c>
      <c r="X317" s="716" t="str">
        <f t="shared" ref="X317:X329" si="586">IF(AB317&lt;0.0001,"",AB317)</f>
        <v/>
      </c>
      <c r="Y317" s="716" t="str">
        <f t="shared" ref="Y317:Y329" si="587">IF($AL$3=2,IF(OR(AB317&lt;&gt;"",AB317&lt;&gt;0),AU317,""),IF(C317="","",IF(AB317&lt;0.0001,"",IF(B317=0,"",IF(AQ317&lt;AB317,"",AB317)))))</f>
        <v/>
      </c>
      <c r="Z317" s="716" t="str">
        <f>HYPERLINK("https://www.klasekpyrotechnics.cz/rssf2")</f>
        <v>https://www.klasekpyrotechnics.cz/rssf2</v>
      </c>
      <c r="AA317" s="716" t="str">
        <f>IFERROR(IF(VLOOKUP(C317,[4]List1!$A:$D,4,FALSE)=0,"",VLOOKUP(C317,[4]List1!$A:$D,4,FALSE)),"")</f>
        <v>18</v>
      </c>
      <c r="AB317" s="720"/>
      <c r="AC317" s="721" t="str">
        <f>IFERROR(IF(VLOOKUP(C317,[1]List1!$A:$D,2,FALSE)="VYPRODÁNO",$V$9,IF(VLOOKUP(C317,[1]List1!$A:$D,2,FALSE)="DOCHÁZÍ",$V$3,VLOOKUP(C317,[1]List1!$A:$D,2,FALSE))),"OFFLINE!")</f>
        <v>SKLADEM</v>
      </c>
      <c r="AD317" s="722" t="str">
        <f ca="1">IF(AP317="NE",$V$10,IF(AC317=$V$3,IF(AQ317&lt;1,$V$8,$V$2&amp;" "&amp;AQ317&amp;" "&amp;$V$1),IF(AC317="SKLADEM",$V$6,IFERROR(IF(OR(AC317-TODAY()&gt;45,VLOOKUP(C317,[1]List1!$A:$E,4,FALSE)=0),AC317,DAY(AC317)&amp;"."&amp;MONTH(AC317)&amp;"."&amp;YEAR(AC317)&amp;" "&amp;$V$4&amp;VLOOKUP(C317,[1]List1!$A:$E,4,FALSE)&amp;" "&amp;$V$1),AC317))))</f>
        <v>SKLADEM</v>
      </c>
      <c r="AE317" s="716" t="str">
        <f t="shared" ref="AE317:AE329" ca="1" si="588">IFERROR(IF(AV317&lt;&gt;"",AV317,AD317),AD317)</f>
        <v>SKLADEM</v>
      </c>
      <c r="AF317" s="723">
        <f t="shared" ref="AF317:AF329" si="589">IFERROR(IF(AB317=Y317,G317*I317*Y317,0),0)</f>
        <v>0</v>
      </c>
      <c r="AG317" s="723">
        <f t="shared" ref="AG317:AG329" si="590">IF($W$17=$AF$8,AH317*1.23,AF317*1.21)</f>
        <v>0</v>
      </c>
      <c r="AH317" s="724">
        <f t="shared" ref="AH317:AH329" si="591">IFERROR(IF(Y317=AB317,H317*I317*Y317,0),0)</f>
        <v>0</v>
      </c>
      <c r="AI317" s="716">
        <f t="shared" ref="AI317:AI329" si="592">IFERROR(IF(Y317=AB317,(P317*Y317)/1000,1),0)</f>
        <v>0</v>
      </c>
      <c r="AJ317" s="716">
        <f t="shared" ref="AJ317:AJ329" si="593">IFERROR(IF(Y317=AB317,N317*Y317,0.1),0)</f>
        <v>0</v>
      </c>
      <c r="AK317" s="716" t="str">
        <f t="shared" ref="AK317:AK329" si="594">IFERROR(IF(Y317=AB317,IF(M317="1.1G",(O317/1000)*Y317,""),""),0)</f>
        <v/>
      </c>
      <c r="AL317" s="716">
        <f t="shared" ref="AL317:AL329" si="595">IFERROR(IF(Y317=AB317,IF(M317="1.3G",(O317/1000)*AB317,""),""),0)</f>
        <v>0</v>
      </c>
      <c r="AM317" s="716" t="str">
        <f t="shared" ref="AM317:AM329" si="596">IFERROR(IF(Y317=AB317,IF(M317="1.4G",(O317/1000)*AB317,""),""),0)</f>
        <v/>
      </c>
      <c r="AN317" s="716">
        <f t="shared" ref="AN317:AN329" si="597">SUM(AK317:AM317)</f>
        <v>0</v>
      </c>
      <c r="AO317" s="380"/>
      <c r="AP317" s="322" t="str">
        <f t="shared" si="529"/>
        <v/>
      </c>
      <c r="AQ317" s="323" t="str">
        <f>IF(AC317=$V$3,IF(VLOOKUP(C317,[1]List1!$A:$E,5,FALSE)=0,1,VLOOKUP(C317,[1]List1!$A:$E,5,FALSE)),"")</f>
        <v/>
      </c>
      <c r="AR317" s="304" t="str">
        <f t="shared" si="530"/>
        <v/>
      </c>
      <c r="AS317" s="423" t="str">
        <f t="shared" si="531"/>
        <v/>
      </c>
      <c r="AT317" s="304" t="str">
        <f t="shared" si="532"/>
        <v/>
      </c>
      <c r="AU317" s="342" t="e">
        <f t="shared" si="533"/>
        <v>#N/A</v>
      </c>
      <c r="AV317" s="304" t="e">
        <f t="shared" si="534"/>
        <v>#N/A</v>
      </c>
      <c r="AX317" s="304">
        <f>IF(AND('General price list'!$J317="F4",'General price list'!$AB317+0&gt;0),1,0)</f>
        <v>0</v>
      </c>
      <c r="AY317" s="304">
        <f t="shared" si="535"/>
        <v>1</v>
      </c>
      <c r="AZ317" s="304">
        <f t="shared" si="536"/>
        <v>0</v>
      </c>
    </row>
    <row r="318" spans="1:52" ht="15" customHeight="1">
      <c r="A318" s="725" t="str">
        <f>Kat.!C315</f>
        <v/>
      </c>
      <c r="B318" s="726">
        <f>IF(AND('General price list'!$J318="F4",$AI$1=FALSE),0,IF(AC318="SKLADEM",1,IF(AC318=$V$3,1,0)))</f>
        <v>1</v>
      </c>
      <c r="C318" s="727" t="s">
        <v>901</v>
      </c>
      <c r="D318" s="728" t="s">
        <v>902</v>
      </c>
      <c r="E318" s="729" t="s">
        <v>639</v>
      </c>
      <c r="F318" s="725">
        <f>IFERROR(ROUND(IF($AL$3=2,VLOOKUP(C318,[2]List1!$A:$D,2,FALSE)*1.08,VLOOKUP(C318,[2]List1!$A:$D,2,FALSE)),0),"NEUVEDENO!")</f>
        <v>165</v>
      </c>
      <c r="G318" s="730">
        <f t="shared" si="584"/>
        <v>165</v>
      </c>
      <c r="H318" s="731">
        <f t="shared" si="585"/>
        <v>6.7048913198070617</v>
      </c>
      <c r="I318" s="732">
        <v>24</v>
      </c>
      <c r="J318" s="729" t="s">
        <v>137</v>
      </c>
      <c r="K318" s="729"/>
      <c r="L318" s="729" t="s">
        <v>24</v>
      </c>
      <c r="M318" s="729" t="s">
        <v>138</v>
      </c>
      <c r="N318" s="729">
        <f>IFERROR(VLOOKUP(C318,[3]List1!$A:$D,4,FALSE),"N/A!")</f>
        <v>5.8589999999999996E-2</v>
      </c>
      <c r="O318" s="729">
        <f>IFERROR(VLOOKUP(C318,[3]List1!$A:$D,3,FALSE),"N/A!")</f>
        <v>3840</v>
      </c>
      <c r="P318" s="729">
        <f>IFERROR(VLOOKUP(C318,[3]List1!$A:$D,2,FALSE),"N/A!")</f>
        <v>10500</v>
      </c>
      <c r="Q318" s="729" t="s">
        <v>14141</v>
      </c>
      <c r="R318" s="729" t="s">
        <v>24</v>
      </c>
      <c r="S318" s="729"/>
      <c r="T318" s="729"/>
      <c r="U318" s="729"/>
      <c r="V318" s="729"/>
      <c r="W318" s="729" t="str">
        <f>IFERROR(VLOOKUP('General price list'!$C318,Popisy!A:P,MATCH($W$17,Popisy!$A$7:$P$7,0),FALSE),"---------------")</f>
        <v>stříbrná stopa s titanovou detonací a práskajícími hvězdami(5g zábleskové slože)</v>
      </c>
      <c r="X318" s="729" t="str">
        <f t="shared" si="586"/>
        <v/>
      </c>
      <c r="Y318" s="729" t="str">
        <f t="shared" si="587"/>
        <v/>
      </c>
      <c r="Z318" s="729" t="str">
        <f>HYPERLINK("https://www.klasekpyrotechnics.cz/rs4d")</f>
        <v>https://www.klasekpyrotechnics.cz/rs4d</v>
      </c>
      <c r="AA318" s="729">
        <f>IFERROR(IF(VLOOKUP(C318,[4]List1!$A:$D,4,FALSE)=0,"",VLOOKUP(C318,[4]List1!$A:$D,4,FALSE)),"")</f>
        <v>21</v>
      </c>
      <c r="AB318" s="720"/>
      <c r="AC318" s="733" t="str">
        <f>IFERROR(IF(VLOOKUP(C318,[1]List1!$A:$D,2,FALSE)="VYPRODÁNO",$V$9,IF(VLOOKUP(C318,[1]List1!$A:$D,2,FALSE)="DOCHÁZÍ",$V$3,VLOOKUP(C318,[1]List1!$A:$D,2,FALSE))),"OFFLINE!")</f>
        <v>SKLADEM</v>
      </c>
      <c r="AD318" s="734" t="str">
        <f ca="1">IF(AP318="NE",$V$10,IF(AC318=$V$3,IF(AQ318&lt;1,$V$8,$V$2&amp;" "&amp;AQ318&amp;" "&amp;$V$1),IF(AC318="SKLADEM",$V$6,IFERROR(IF(OR(AC318-TODAY()&gt;45,VLOOKUP(C318,[1]List1!$A:$E,4,FALSE)=0),AC318,DAY(AC318)&amp;"."&amp;MONTH(AC318)&amp;"."&amp;YEAR(AC318)&amp;" "&amp;$V$4&amp;VLOOKUP(C318,[1]List1!$A:$E,4,FALSE)&amp;" "&amp;$V$1),AC318))))</f>
        <v>SKLADEM</v>
      </c>
      <c r="AE318" s="729" t="str">
        <f t="shared" ca="1" si="588"/>
        <v>SKLADEM</v>
      </c>
      <c r="AF318" s="735">
        <f t="shared" si="589"/>
        <v>0</v>
      </c>
      <c r="AG318" s="735">
        <f t="shared" si="590"/>
        <v>0</v>
      </c>
      <c r="AH318" s="736">
        <f t="shared" si="591"/>
        <v>0</v>
      </c>
      <c r="AI318" s="729">
        <f t="shared" si="592"/>
        <v>0</v>
      </c>
      <c r="AJ318" s="729">
        <f t="shared" si="593"/>
        <v>0</v>
      </c>
      <c r="AK318" s="729" t="str">
        <f t="shared" si="594"/>
        <v/>
      </c>
      <c r="AL318" s="729">
        <f t="shared" si="595"/>
        <v>0</v>
      </c>
      <c r="AM318" s="729" t="str">
        <f t="shared" si="596"/>
        <v/>
      </c>
      <c r="AN318" s="729">
        <f t="shared" si="597"/>
        <v>0</v>
      </c>
      <c r="AO318" s="380"/>
      <c r="AP318" s="322" t="str">
        <f t="shared" si="529"/>
        <v/>
      </c>
      <c r="AQ318" s="323" t="str">
        <f>IF(AC318=$V$3,IF(VLOOKUP(C318,[1]List1!$A:$E,5,FALSE)=0,1,VLOOKUP(C318,[1]List1!$A:$E,5,FALSE)),"")</f>
        <v/>
      </c>
      <c r="AR318" s="304" t="str">
        <f t="shared" si="530"/>
        <v/>
      </c>
      <c r="AS318" s="423" t="str">
        <f t="shared" si="531"/>
        <v/>
      </c>
      <c r="AT318" s="304" t="str">
        <f t="shared" si="532"/>
        <v/>
      </c>
      <c r="AU318" s="342" t="e">
        <f t="shared" si="533"/>
        <v>#N/A</v>
      </c>
      <c r="AV318" s="304" t="e">
        <f t="shared" si="534"/>
        <v>#N/A</v>
      </c>
      <c r="AX318" s="304">
        <f>IF(AND('General price list'!$J318="F4",'General price list'!$AB318+0&gt;0),1,0)</f>
        <v>0</v>
      </c>
      <c r="AY318" s="304">
        <f t="shared" si="535"/>
        <v>1</v>
      </c>
      <c r="AZ318" s="304">
        <f t="shared" si="536"/>
        <v>0</v>
      </c>
    </row>
    <row r="319" spans="1:52" ht="15" customHeight="1">
      <c r="A319" s="712" t="str">
        <f>Kat.!C316</f>
        <v/>
      </c>
      <c r="B319" s="737">
        <f>IF(AND('General price list'!$J319="F4",$AI$1=FALSE),0,IF(AC319="SKLADEM",1,IF(AC319=$V$3,1,0)))</f>
        <v>1</v>
      </c>
      <c r="C319" s="714" t="s">
        <v>906</v>
      </c>
      <c r="D319" s="715" t="s">
        <v>883</v>
      </c>
      <c r="E319" s="716" t="s">
        <v>879</v>
      </c>
      <c r="F319" s="712">
        <f>IFERROR(ROUND(IF($AL$3=2,VLOOKUP(C319,[2]List1!$A:$D,2,FALSE)*1.08,VLOOKUP(C319,[2]List1!$A:$D,2,FALSE)),0),"NEUVEDENO!")</f>
        <v>565</v>
      </c>
      <c r="G319" s="717">
        <f t="shared" si="584"/>
        <v>565</v>
      </c>
      <c r="H319" s="718">
        <f t="shared" si="585"/>
        <v>22.959173307218123</v>
      </c>
      <c r="I319" s="738">
        <v>12</v>
      </c>
      <c r="J319" s="716" t="s">
        <v>137</v>
      </c>
      <c r="K319" s="716">
        <v>5</v>
      </c>
      <c r="L319" s="716" t="s">
        <v>24</v>
      </c>
      <c r="M319" s="716" t="s">
        <v>138</v>
      </c>
      <c r="N319" s="716">
        <f>IFERROR(VLOOKUP(C319,[3]List1!$A:$D,4,FALSE),"N/A!")</f>
        <v>0.10860500000000001</v>
      </c>
      <c r="O319" s="716">
        <f>IFERROR(VLOOKUP(C319,[3]List1!$A:$D,3,FALSE),"N/A!")</f>
        <v>8280</v>
      </c>
      <c r="P319" s="716">
        <f>IFERROR(VLOOKUP(C319,[3]List1!$A:$D,2,FALSE),"N/A!")</f>
        <v>17500</v>
      </c>
      <c r="Q319" s="716" t="s">
        <v>14323</v>
      </c>
      <c r="R319" s="716" t="s">
        <v>24</v>
      </c>
      <c r="S319" s="716"/>
      <c r="T319" s="716"/>
      <c r="U319" s="716"/>
      <c r="V319" s="716"/>
      <c r="W319" s="716" t="str">
        <f>IFERROR(VLOOKUP('General price list'!$C319,Popisy!A:P,MATCH($W$17,Popisy!$A$7:$P$7,0),FALSE),"---------------")</f>
        <v>11 různobarevných efektů</v>
      </c>
      <c r="X319" s="716" t="str">
        <f t="shared" si="586"/>
        <v/>
      </c>
      <c r="Y319" s="716" t="str">
        <f t="shared" si="587"/>
        <v/>
      </c>
      <c r="Z319" s="716" t="str">
        <f>HYPERLINK("https://www.klasekpyrotechnics.cz/rs11h")</f>
        <v>https://www.klasekpyrotechnics.cz/rs11h</v>
      </c>
      <c r="AA319" s="716">
        <f>IFERROR(IF(VLOOKUP(C319,[4]List1!$A:$D,4,FALSE)=0,"",VLOOKUP(C319,[4]List1!$A:$D,4,FALSE)),"")</f>
        <v>12</v>
      </c>
      <c r="AB319" s="720"/>
      <c r="AC319" s="739" t="str">
        <f>IFERROR(IF(VLOOKUP(C319,[1]List1!$A:$D,2,FALSE)="VYPRODÁNO",$V$9,IF(VLOOKUP(C319,[1]List1!$A:$D,2,FALSE)="DOCHÁZÍ",$V$3,VLOOKUP(C319,[1]List1!$A:$D,2,FALSE))),"OFFLINE!")</f>
        <v>SKLADEM</v>
      </c>
      <c r="AD319" s="740" t="str">
        <f ca="1">IF(AP319="NE",$V$10,IF(AC319=$V$3,IF(AQ319&lt;1,$V$8,$V$2&amp;" "&amp;AQ319&amp;" "&amp;$V$1),IF(AC319="SKLADEM",$V$6,IFERROR(IF(OR(AC319-TODAY()&gt;45,VLOOKUP(C319,[1]List1!$A:$E,4,FALSE)=0),AC319,DAY(AC319)&amp;"."&amp;MONTH(AC319)&amp;"."&amp;YEAR(AC319)&amp;" "&amp;$V$4&amp;VLOOKUP(C319,[1]List1!$A:$E,4,FALSE)&amp;" "&amp;$V$1),AC319))))</f>
        <v>SKLADEM</v>
      </c>
      <c r="AE319" s="716" t="str">
        <f t="shared" ca="1" si="588"/>
        <v>SKLADEM</v>
      </c>
      <c r="AF319" s="723">
        <f t="shared" si="589"/>
        <v>0</v>
      </c>
      <c r="AG319" s="723">
        <f t="shared" si="590"/>
        <v>0</v>
      </c>
      <c r="AH319" s="724">
        <f t="shared" si="591"/>
        <v>0</v>
      </c>
      <c r="AI319" s="716">
        <f t="shared" si="592"/>
        <v>0</v>
      </c>
      <c r="AJ319" s="716">
        <f t="shared" si="593"/>
        <v>0</v>
      </c>
      <c r="AK319" s="716" t="str">
        <f t="shared" si="594"/>
        <v/>
      </c>
      <c r="AL319" s="716">
        <f t="shared" si="595"/>
        <v>0</v>
      </c>
      <c r="AM319" s="716" t="str">
        <f t="shared" si="596"/>
        <v/>
      </c>
      <c r="AN319" s="716">
        <f t="shared" si="597"/>
        <v>0</v>
      </c>
      <c r="AO319" s="380"/>
      <c r="AP319" s="322" t="str">
        <f t="shared" si="529"/>
        <v/>
      </c>
      <c r="AQ319" s="323" t="str">
        <f>IF(AC319=$V$3,IF(VLOOKUP(C319,[1]List1!$A:$E,5,FALSE)=0,1,VLOOKUP(C319,[1]List1!$A:$E,5,FALSE)),"")</f>
        <v/>
      </c>
      <c r="AR319" s="304" t="str">
        <f t="shared" si="530"/>
        <v/>
      </c>
      <c r="AS319" s="423" t="str">
        <f t="shared" si="531"/>
        <v/>
      </c>
      <c r="AT319" s="304" t="str">
        <f t="shared" si="532"/>
        <v/>
      </c>
      <c r="AU319" s="342" t="e">
        <f t="shared" si="533"/>
        <v>#N/A</v>
      </c>
      <c r="AV319" s="304" t="e">
        <f t="shared" si="534"/>
        <v>#N/A</v>
      </c>
      <c r="AX319" s="304">
        <f>IF(AND('General price list'!$J319="F4",'General price list'!$AB319+0&gt;0),1,0)</f>
        <v>0</v>
      </c>
      <c r="AY319" s="304">
        <f t="shared" si="535"/>
        <v>1</v>
      </c>
      <c r="AZ319" s="304">
        <f t="shared" si="536"/>
        <v>0</v>
      </c>
    </row>
    <row r="320" spans="1:52" ht="15" customHeight="1">
      <c r="A320" s="725" t="str">
        <f>Kat.!C317</f>
        <v/>
      </c>
      <c r="B320" s="726">
        <f>IF(AND('General price list'!$J320="F4",$AI$1=FALSE),0,IF(AC320="SKLADEM",1,IF(AC320=$V$3,1,0)))</f>
        <v>1</v>
      </c>
      <c r="C320" s="727" t="s">
        <v>907</v>
      </c>
      <c r="D320" s="728" t="s">
        <v>884</v>
      </c>
      <c r="E320" s="729" t="s">
        <v>638</v>
      </c>
      <c r="F320" s="725">
        <f>IFERROR(ROUND(IF($AL$3=2,VLOOKUP(C320,[2]List1!$A:$D,2,FALSE)*1.08,VLOOKUP(C320,[2]List1!$A:$D,2,FALSE)),0),"NEUVEDENO!")</f>
        <v>666</v>
      </c>
      <c r="G320" s="730">
        <f t="shared" si="584"/>
        <v>666</v>
      </c>
      <c r="H320" s="731">
        <f t="shared" si="585"/>
        <v>27.063379509039414</v>
      </c>
      <c r="I320" s="732">
        <v>12</v>
      </c>
      <c r="J320" s="729" t="s">
        <v>137</v>
      </c>
      <c r="K320" s="729"/>
      <c r="L320" s="729" t="s">
        <v>24</v>
      </c>
      <c r="M320" s="729" t="s">
        <v>138</v>
      </c>
      <c r="N320" s="729">
        <f>IFERROR(VLOOKUP(C320,[3]List1!$A:$D,4,FALSE),"N/A!")</f>
        <v>0.11070000000000001</v>
      </c>
      <c r="O320" s="729">
        <f>IFERROR(VLOOKUP(C320,[3]List1!$A:$D,3,FALSE),"N/A!")</f>
        <v>8280</v>
      </c>
      <c r="P320" s="729">
        <f>IFERROR(VLOOKUP(C320,[3]List1!$A:$D,2,FALSE),"N/A!")</f>
        <v>20000</v>
      </c>
      <c r="Q320" s="729" t="s">
        <v>14142</v>
      </c>
      <c r="R320" s="729" t="s">
        <v>24</v>
      </c>
      <c r="S320" s="729"/>
      <c r="T320" s="729"/>
      <c r="U320" s="729"/>
      <c r="V320" s="729"/>
      <c r="W320" s="729" t="str">
        <f>IFERROR(VLOOKUP('General price list'!$C320,Popisy!A:P,MATCH($W$17,Popisy!$A$7:$P$7,0),FALSE),"---------------")</f>
        <v>12 různobarevných efektů</v>
      </c>
      <c r="X320" s="729" t="str">
        <f t="shared" si="586"/>
        <v/>
      </c>
      <c r="Y320" s="729" t="str">
        <f t="shared" si="587"/>
        <v/>
      </c>
      <c r="Z320" s="729" t="str">
        <f>HYPERLINK("https://www.klasekpyrotechnics.cz/sp3c")</f>
        <v>https://www.klasekpyrotechnics.cz/sp3c</v>
      </c>
      <c r="AA320" s="729">
        <f>IFERROR(IF(VLOOKUP(C320,[4]List1!$A:$D,4,FALSE)=0,"",VLOOKUP(C320,[4]List1!$A:$D,4,FALSE)),"")</f>
        <v>10</v>
      </c>
      <c r="AB320" s="720"/>
      <c r="AC320" s="733" t="str">
        <f>IFERROR(IF(VLOOKUP(C320,[1]List1!$A:$D,2,FALSE)="VYPRODÁNO",$V$9,IF(VLOOKUP(C320,[1]List1!$A:$D,2,FALSE)="DOCHÁZÍ",$V$3,VLOOKUP(C320,[1]List1!$A:$D,2,FALSE))),"OFFLINE!")</f>
        <v>SKLADEM</v>
      </c>
      <c r="AD320" s="734" t="str">
        <f ca="1">IF(AP320="NE",$V$10,IF(AC320=$V$3,IF(AQ320&lt;1,$V$8,$V$2&amp;" "&amp;AQ320&amp;" "&amp;$V$1),IF(AC320="SKLADEM",$V$6,IFERROR(IF(OR(AC320-TODAY()&gt;45,VLOOKUP(C320,[1]List1!$A:$E,4,FALSE)=0),AC320,DAY(AC320)&amp;"."&amp;MONTH(AC320)&amp;"."&amp;YEAR(AC320)&amp;" "&amp;$V$4&amp;VLOOKUP(C320,[1]List1!$A:$E,4,FALSE)&amp;" "&amp;$V$1),AC320))))</f>
        <v>SKLADEM</v>
      </c>
      <c r="AE320" s="729" t="str">
        <f t="shared" ca="1" si="588"/>
        <v>SKLADEM</v>
      </c>
      <c r="AF320" s="735">
        <f t="shared" si="589"/>
        <v>0</v>
      </c>
      <c r="AG320" s="735">
        <f t="shared" si="590"/>
        <v>0</v>
      </c>
      <c r="AH320" s="736">
        <f t="shared" si="591"/>
        <v>0</v>
      </c>
      <c r="AI320" s="729">
        <f t="shared" si="592"/>
        <v>0</v>
      </c>
      <c r="AJ320" s="729">
        <f t="shared" si="593"/>
        <v>0</v>
      </c>
      <c r="AK320" s="729" t="str">
        <f t="shared" si="594"/>
        <v/>
      </c>
      <c r="AL320" s="729">
        <f t="shared" si="595"/>
        <v>0</v>
      </c>
      <c r="AM320" s="729" t="str">
        <f t="shared" si="596"/>
        <v/>
      </c>
      <c r="AN320" s="729">
        <f t="shared" si="597"/>
        <v>0</v>
      </c>
      <c r="AO320" s="380"/>
      <c r="AP320" s="322" t="str">
        <f t="shared" si="529"/>
        <v/>
      </c>
      <c r="AQ320" s="323" t="str">
        <f>IF(AC320=$V$3,IF(VLOOKUP(C320,[1]List1!$A:$E,5,FALSE)=0,1,VLOOKUP(C320,[1]List1!$A:$E,5,FALSE)),"")</f>
        <v/>
      </c>
      <c r="AR320" s="304" t="str">
        <f t="shared" si="530"/>
        <v/>
      </c>
      <c r="AS320" s="423" t="str">
        <f t="shared" si="531"/>
        <v/>
      </c>
      <c r="AT320" s="304" t="str">
        <f t="shared" si="532"/>
        <v/>
      </c>
      <c r="AU320" s="342" t="e">
        <f t="shared" si="533"/>
        <v>#N/A</v>
      </c>
      <c r="AV320" s="304" t="e">
        <f t="shared" si="534"/>
        <v>#N/A</v>
      </c>
      <c r="AX320" s="304">
        <f>IF(AND('General price list'!$J320="F4",'General price list'!$AB320+0&gt;0),1,0)</f>
        <v>0</v>
      </c>
      <c r="AY320" s="304">
        <f t="shared" si="535"/>
        <v>1</v>
      </c>
      <c r="AZ320" s="304">
        <f t="shared" si="536"/>
        <v>0</v>
      </c>
    </row>
    <row r="321" spans="1:52" ht="15" customHeight="1">
      <c r="A321" s="712" t="str">
        <f>Kat.!C318</f>
        <v/>
      </c>
      <c r="B321" s="737">
        <f>IF(AND('General price list'!$J321="F4",$AI$1=FALSE),0,IF(AC321="SKLADEM",1,IF(AC321=$V$3,1,0)))</f>
        <v>1</v>
      </c>
      <c r="C321" s="714" t="s">
        <v>908</v>
      </c>
      <c r="D321" s="715" t="s">
        <v>885</v>
      </c>
      <c r="E321" s="716" t="s">
        <v>886</v>
      </c>
      <c r="F321" s="712">
        <f>IFERROR(ROUND(IF($AL$3=2,VLOOKUP(C321,[2]List1!$A:$D,2,FALSE)*1.08,VLOOKUP(C321,[2]List1!$A:$D,2,FALSE)),0),"NEUVEDENO!")</f>
        <v>906</v>
      </c>
      <c r="G321" s="717">
        <f t="shared" si="584"/>
        <v>906</v>
      </c>
      <c r="H321" s="718">
        <f t="shared" si="585"/>
        <v>36.81594870148605</v>
      </c>
      <c r="I321" s="738">
        <v>10</v>
      </c>
      <c r="J321" s="716" t="s">
        <v>137</v>
      </c>
      <c r="K321" s="716"/>
      <c r="L321" s="716" t="s">
        <v>24</v>
      </c>
      <c r="M321" s="716" t="s">
        <v>138</v>
      </c>
      <c r="N321" s="716">
        <f>IFERROR(VLOOKUP(C321,[3]List1!$A:$D,4,FALSE),"N/A!")</f>
        <v>0.138432</v>
      </c>
      <c r="O321" s="716">
        <f>IFERROR(VLOOKUP(C321,[3]List1!$A:$D,3,FALSE),"N/A!")</f>
        <v>10500</v>
      </c>
      <c r="P321" s="716">
        <f>IFERROR(VLOOKUP(C321,[3]List1!$A:$D,2,FALSE),"N/A!")</f>
        <v>22500</v>
      </c>
      <c r="Q321" s="716" t="s">
        <v>14143</v>
      </c>
      <c r="R321" s="716" t="s">
        <v>24</v>
      </c>
      <c r="S321" s="716"/>
      <c r="T321" s="716"/>
      <c r="U321" s="716"/>
      <c r="V321" s="716"/>
      <c r="W321" s="716" t="str">
        <f>IFERROR(VLOOKUP('General price list'!$C321,Popisy!A:P,MATCH($W$17,Popisy!$A$7:$P$7,0),FALSE),"---------------")</f>
        <v>18 různobarevných efektů</v>
      </c>
      <c r="X321" s="716" t="str">
        <f t="shared" si="586"/>
        <v/>
      </c>
      <c r="Y321" s="716" t="str">
        <f t="shared" si="587"/>
        <v/>
      </c>
      <c r="Z321" s="716" t="str">
        <f>HYPERLINK("https://www.klasekpyrotechnics.cz/rs18t")</f>
        <v>https://www.klasekpyrotechnics.cz/rs18t</v>
      </c>
      <c r="AA321" s="716">
        <f>IFERROR(IF(VLOOKUP(C321,[4]List1!$A:$D,4,FALSE)=0,"",VLOOKUP(C321,[4]List1!$A:$D,4,FALSE)),"")</f>
        <v>8</v>
      </c>
      <c r="AB321" s="720"/>
      <c r="AC321" s="739" t="str">
        <f>IFERROR(IF(VLOOKUP(C321,[1]List1!$A:$D,2,FALSE)="VYPRODÁNO",$V$9,IF(VLOOKUP(C321,[1]List1!$A:$D,2,FALSE)="DOCHÁZÍ",$V$3,VLOOKUP(C321,[1]List1!$A:$D,2,FALSE))),"OFFLINE!")</f>
        <v>SKLADEM</v>
      </c>
      <c r="AD321" s="740" t="str">
        <f ca="1">IF(AP321="NE",$V$10,IF(AC321=$V$3,IF(AQ321&lt;1,$V$8,$V$2&amp;" "&amp;AQ321&amp;" "&amp;$V$1),IF(AC321="SKLADEM",$V$6,IFERROR(IF(OR(AC321-TODAY()&gt;45,VLOOKUP(C321,[1]List1!$A:$E,4,FALSE)=0),AC321,DAY(AC321)&amp;"."&amp;MONTH(AC321)&amp;"."&amp;YEAR(AC321)&amp;" "&amp;$V$4&amp;VLOOKUP(C321,[1]List1!$A:$E,4,FALSE)&amp;" "&amp;$V$1),AC321))))</f>
        <v>SKLADEM</v>
      </c>
      <c r="AE321" s="716" t="str">
        <f t="shared" ca="1" si="588"/>
        <v>SKLADEM</v>
      </c>
      <c r="AF321" s="723">
        <f t="shared" si="589"/>
        <v>0</v>
      </c>
      <c r="AG321" s="723">
        <f t="shared" si="590"/>
        <v>0</v>
      </c>
      <c r="AH321" s="724">
        <f t="shared" si="591"/>
        <v>0</v>
      </c>
      <c r="AI321" s="716">
        <f t="shared" si="592"/>
        <v>0</v>
      </c>
      <c r="AJ321" s="716">
        <f t="shared" si="593"/>
        <v>0</v>
      </c>
      <c r="AK321" s="716" t="str">
        <f t="shared" si="594"/>
        <v/>
      </c>
      <c r="AL321" s="716">
        <f t="shared" si="595"/>
        <v>0</v>
      </c>
      <c r="AM321" s="716" t="str">
        <f t="shared" si="596"/>
        <v/>
      </c>
      <c r="AN321" s="716">
        <f t="shared" si="597"/>
        <v>0</v>
      </c>
      <c r="AO321" s="380"/>
      <c r="AP321" s="322" t="str">
        <f t="shared" si="529"/>
        <v/>
      </c>
      <c r="AQ321" s="323" t="str">
        <f>IF(AC321=$V$3,IF(VLOOKUP(C321,[1]List1!$A:$E,5,FALSE)=0,1,VLOOKUP(C321,[1]List1!$A:$E,5,FALSE)),"")</f>
        <v/>
      </c>
      <c r="AR321" s="304" t="str">
        <f t="shared" si="530"/>
        <v/>
      </c>
      <c r="AS321" s="423" t="str">
        <f t="shared" si="531"/>
        <v/>
      </c>
      <c r="AT321" s="304" t="str">
        <f t="shared" si="532"/>
        <v/>
      </c>
      <c r="AU321" s="342" t="e">
        <f t="shared" si="533"/>
        <v>#N/A</v>
      </c>
      <c r="AV321" s="304" t="e">
        <f t="shared" si="534"/>
        <v>#N/A</v>
      </c>
      <c r="AX321" s="304">
        <f>IF(AND('General price list'!$J321="F4",'General price list'!$AB321+0&gt;0),1,0)</f>
        <v>0</v>
      </c>
      <c r="AY321" s="304">
        <f t="shared" si="535"/>
        <v>1</v>
      </c>
      <c r="AZ321" s="304">
        <f t="shared" si="536"/>
        <v>0</v>
      </c>
    </row>
    <row r="322" spans="1:52" ht="15" customHeight="1">
      <c r="A322" s="725" t="str">
        <f>Kat.!C319</f>
        <v/>
      </c>
      <c r="B322" s="726">
        <f>IF(AND('General price list'!$J322="F4",$AI$1=FALSE),0,IF(AC322="SKLADEM",1,IF(AC322=$V$3,1,0)))</f>
        <v>1</v>
      </c>
      <c r="C322" s="727" t="s">
        <v>909</v>
      </c>
      <c r="D322" s="728" t="s">
        <v>890</v>
      </c>
      <c r="E322" s="729" t="s">
        <v>886</v>
      </c>
      <c r="F322" s="725">
        <f>IFERROR(ROUND(IF($AL$3=2,VLOOKUP(C322,[2]List1!$A:$D,2,FALSE)*1.08,VLOOKUP(C322,[2]List1!$A:$D,2,FALSE)),0),"NEUVEDENO!")</f>
        <v>906</v>
      </c>
      <c r="G322" s="730">
        <f t="shared" si="584"/>
        <v>906</v>
      </c>
      <c r="H322" s="731">
        <f t="shared" si="585"/>
        <v>36.81594870148605</v>
      </c>
      <c r="I322" s="732">
        <v>10</v>
      </c>
      <c r="J322" s="729" t="s">
        <v>137</v>
      </c>
      <c r="K322" s="729"/>
      <c r="L322" s="729" t="s">
        <v>24</v>
      </c>
      <c r="M322" s="729" t="s">
        <v>138</v>
      </c>
      <c r="N322" s="729">
        <f>IFERROR(VLOOKUP(C322,[3]List1!$A:$D,4,FALSE),"N/A!")</f>
        <v>0.138432</v>
      </c>
      <c r="O322" s="729">
        <f>IFERROR(VLOOKUP(C322,[3]List1!$A:$D,3,FALSE),"N/A!")</f>
        <v>10500</v>
      </c>
      <c r="P322" s="729">
        <f>IFERROR(VLOOKUP(C322,[3]List1!$A:$D,2,FALSE),"N/A!")</f>
        <v>22500</v>
      </c>
      <c r="Q322" s="729" t="s">
        <v>14143</v>
      </c>
      <c r="R322" s="729" t="s">
        <v>24</v>
      </c>
      <c r="S322" s="729"/>
      <c r="T322" s="729"/>
      <c r="U322" s="729"/>
      <c r="V322" s="729"/>
      <c r="W322" s="729" t="str">
        <f>IFERROR(VLOOKUP('General price list'!$C322,Popisy!A:P,MATCH($W$17,Popisy!$A$7:$P$7,0),FALSE),"---------------")</f>
        <v>18 různobarevných efektů</v>
      </c>
      <c r="X322" s="729" t="str">
        <f t="shared" si="586"/>
        <v/>
      </c>
      <c r="Y322" s="729" t="str">
        <f t="shared" si="587"/>
        <v/>
      </c>
      <c r="Z322" s="729" t="str">
        <f>HYPERLINK("https://www.klasekpyrotechnics.cz/rs18s")</f>
        <v>https://www.klasekpyrotechnics.cz/rs18s</v>
      </c>
      <c r="AA322" s="729">
        <f>IFERROR(IF(VLOOKUP(C322,[4]List1!$A:$D,4,FALSE)=0,"",VLOOKUP(C322,[4]List1!$A:$D,4,FALSE)),"")</f>
        <v>8</v>
      </c>
      <c r="AB322" s="720"/>
      <c r="AC322" s="733" t="str">
        <f>IFERROR(IF(VLOOKUP(C322,[1]List1!$A:$D,2,FALSE)="VYPRODÁNO",$V$9,IF(VLOOKUP(C322,[1]List1!$A:$D,2,FALSE)="DOCHÁZÍ",$V$3,VLOOKUP(C322,[1]List1!$A:$D,2,FALSE))),"OFFLINE!")</f>
        <v>SKLADEM</v>
      </c>
      <c r="AD322" s="734" t="str">
        <f ca="1">IF(AP322="NE",$V$10,IF(AC322=$V$3,IF(AQ322&lt;1,$V$8,$V$2&amp;" "&amp;AQ322&amp;" "&amp;$V$1),IF(AC322="SKLADEM",$V$6,IFERROR(IF(OR(AC322-TODAY()&gt;45,VLOOKUP(C322,[1]List1!$A:$E,4,FALSE)=0),AC322,DAY(AC322)&amp;"."&amp;MONTH(AC322)&amp;"."&amp;YEAR(AC322)&amp;" "&amp;$V$4&amp;VLOOKUP(C322,[1]List1!$A:$E,4,FALSE)&amp;" "&amp;$V$1),AC322))))</f>
        <v>SKLADEM</v>
      </c>
      <c r="AE322" s="729" t="str">
        <f t="shared" ca="1" si="588"/>
        <v>SKLADEM</v>
      </c>
      <c r="AF322" s="735">
        <f t="shared" si="589"/>
        <v>0</v>
      </c>
      <c r="AG322" s="735">
        <f t="shared" si="590"/>
        <v>0</v>
      </c>
      <c r="AH322" s="736">
        <f t="shared" si="591"/>
        <v>0</v>
      </c>
      <c r="AI322" s="729">
        <f t="shared" si="592"/>
        <v>0</v>
      </c>
      <c r="AJ322" s="729">
        <f t="shared" si="593"/>
        <v>0</v>
      </c>
      <c r="AK322" s="729" t="str">
        <f t="shared" si="594"/>
        <v/>
      </c>
      <c r="AL322" s="729">
        <f t="shared" si="595"/>
        <v>0</v>
      </c>
      <c r="AM322" s="729" t="str">
        <f t="shared" si="596"/>
        <v/>
      </c>
      <c r="AN322" s="729">
        <f t="shared" si="597"/>
        <v>0</v>
      </c>
      <c r="AO322" s="380"/>
      <c r="AP322" s="322" t="str">
        <f t="shared" si="529"/>
        <v/>
      </c>
      <c r="AQ322" s="323" t="str">
        <f>IF(AC322=$V$3,IF(VLOOKUP(C322,[1]List1!$A:$E,5,FALSE)=0,1,VLOOKUP(C322,[1]List1!$A:$E,5,FALSE)),"")</f>
        <v/>
      </c>
      <c r="AR322" s="304" t="str">
        <f t="shared" si="530"/>
        <v/>
      </c>
      <c r="AS322" s="423" t="str">
        <f t="shared" si="531"/>
        <v/>
      </c>
      <c r="AT322" s="304" t="str">
        <f t="shared" si="532"/>
        <v/>
      </c>
      <c r="AU322" s="342" t="e">
        <f t="shared" si="533"/>
        <v>#N/A</v>
      </c>
      <c r="AV322" s="304" t="e">
        <f t="shared" si="534"/>
        <v>#N/A</v>
      </c>
      <c r="AX322" s="304">
        <f>IF(AND('General price list'!$J322="F4",'General price list'!$AB322+0&gt;0),1,0)</f>
        <v>0</v>
      </c>
      <c r="AY322" s="304">
        <f t="shared" si="535"/>
        <v>1</v>
      </c>
      <c r="AZ322" s="304">
        <f t="shared" si="536"/>
        <v>0</v>
      </c>
    </row>
    <row r="323" spans="1:52" ht="15" customHeight="1">
      <c r="A323" s="712" t="str">
        <f>Kat.!C320</f>
        <v/>
      </c>
      <c r="B323" s="737">
        <f>IF(AND('General price list'!$J323="F4",$AI$1=FALSE),0,IF(AC323="SKLADEM",1,IF(AC323=$V$3,1,0)))</f>
        <v>1</v>
      </c>
      <c r="C323" s="714" t="s">
        <v>2513</v>
      </c>
      <c r="D323" s="715" t="s">
        <v>2510</v>
      </c>
      <c r="E323" s="716" t="s">
        <v>2668</v>
      </c>
      <c r="F323" s="712">
        <f>IFERROR(ROUND(IF($AL$3=2,VLOOKUP(C323,[2]List1!$A:$D,2,FALSE)*1.08,VLOOKUP(C323,[2]List1!$A:$D,2,FALSE)),0),"NEUVEDENO!")</f>
        <v>869</v>
      </c>
      <c r="G323" s="717">
        <f t="shared" si="584"/>
        <v>869</v>
      </c>
      <c r="H323" s="718">
        <f t="shared" si="585"/>
        <v>35.312427617650528</v>
      </c>
      <c r="I323" s="738">
        <v>5</v>
      </c>
      <c r="J323" s="716" t="s">
        <v>137</v>
      </c>
      <c r="K323" s="716" t="s">
        <v>12734</v>
      </c>
      <c r="L323" s="716" t="s">
        <v>24</v>
      </c>
      <c r="M323" s="716" t="s">
        <v>138</v>
      </c>
      <c r="N323" s="716">
        <f>IFERROR(VLOOKUP(C323,[3]List1!$A:$D,4,FALSE),"N/A!")</f>
        <v>7.6960000000000015E-2</v>
      </c>
      <c r="O323" s="716">
        <f>IFERROR(VLOOKUP(C323,[3]List1!$A:$D,3,FALSE),"N/A!")</f>
        <v>3340</v>
      </c>
      <c r="P323" s="716">
        <f>IFERROR(VLOOKUP(C323,[3]List1!$A:$D,2,FALSE),"N/A!")</f>
        <v>10500</v>
      </c>
      <c r="Q323" s="716" t="s">
        <v>14144</v>
      </c>
      <c r="R323" s="716" t="s">
        <v>24</v>
      </c>
      <c r="S323" s="716"/>
      <c r="T323" s="716"/>
      <c r="U323" s="716"/>
      <c r="V323" s="716"/>
      <c r="W323" s="716" t="str">
        <f>IFERROR(VLOOKUP('General price list'!$C323,Popisy!A:P,MATCH($W$17,Popisy!$A$7:$P$7,0),FALSE),"---------------")</f>
        <v>21 různobarevných efektů</v>
      </c>
      <c r="X323" s="716" t="str">
        <f t="shared" si="586"/>
        <v/>
      </c>
      <c r="Y323" s="716" t="str">
        <f t="shared" si="587"/>
        <v/>
      </c>
      <c r="Z323" s="716" t="str">
        <f>HYPERLINK("https://www.klasekpyrotechnics.cz/rs21z")</f>
        <v>https://www.klasekpyrotechnics.cz/rs21z</v>
      </c>
      <c r="AA323" s="716">
        <f>IFERROR(IF(VLOOKUP(C323,[4]List1!$A:$D,4,FALSE)=0,"",VLOOKUP(C323,[4]List1!$A:$D,4,FALSE)),"")</f>
        <v>18</v>
      </c>
      <c r="AB323" s="720"/>
      <c r="AC323" s="739" t="str">
        <f>IFERROR(IF(VLOOKUP(C323,[1]List1!$A:$D,2,FALSE)="VYPRODÁNO",$V$9,IF(VLOOKUP(C323,[1]List1!$A:$D,2,FALSE)="DOCHÁZÍ",$V$3,VLOOKUP(C323,[1]List1!$A:$D,2,FALSE))),"OFFLINE!")</f>
        <v>SKLADEM</v>
      </c>
      <c r="AD323" s="740" t="str">
        <f ca="1">IF(AP323="NE",$V$10,IF(AC323=$V$3,IF(AQ323&lt;1,$V$8,$V$2&amp;" "&amp;AQ323&amp;" "&amp;$V$1),IF(AC323="SKLADEM",$V$6,IFERROR(IF(OR(AC323-TODAY()&gt;45,VLOOKUP(C323,[1]List1!$A:$E,4,FALSE)=0),AC323,DAY(AC323)&amp;"."&amp;MONTH(AC323)&amp;"."&amp;YEAR(AC323)&amp;" "&amp;$V$4&amp;VLOOKUP(C323,[1]List1!$A:$E,4,FALSE)&amp;" "&amp;$V$1),AC323))))</f>
        <v>SKLADEM</v>
      </c>
      <c r="AE323" s="716" t="str">
        <f t="shared" ca="1" si="588"/>
        <v>SKLADEM</v>
      </c>
      <c r="AF323" s="723">
        <f t="shared" si="589"/>
        <v>0</v>
      </c>
      <c r="AG323" s="723">
        <f t="shared" si="590"/>
        <v>0</v>
      </c>
      <c r="AH323" s="724">
        <f t="shared" si="591"/>
        <v>0</v>
      </c>
      <c r="AI323" s="716">
        <f t="shared" si="592"/>
        <v>0</v>
      </c>
      <c r="AJ323" s="716">
        <f t="shared" si="593"/>
        <v>0</v>
      </c>
      <c r="AK323" s="716" t="str">
        <f t="shared" si="594"/>
        <v/>
      </c>
      <c r="AL323" s="716">
        <f t="shared" si="595"/>
        <v>0</v>
      </c>
      <c r="AM323" s="716" t="str">
        <f t="shared" si="596"/>
        <v/>
      </c>
      <c r="AN323" s="716">
        <f t="shared" si="597"/>
        <v>0</v>
      </c>
      <c r="AO323" s="380"/>
      <c r="AP323" s="322" t="str">
        <f t="shared" si="529"/>
        <v/>
      </c>
      <c r="AQ323" s="323" t="str">
        <f>IF(AC323=$V$3,IF(VLOOKUP(C323,[1]List1!$A:$E,5,FALSE)=0,1,VLOOKUP(C323,[1]List1!$A:$E,5,FALSE)),"")</f>
        <v/>
      </c>
      <c r="AR323" s="304" t="str">
        <f t="shared" si="530"/>
        <v/>
      </c>
      <c r="AS323" s="423" t="str">
        <f t="shared" si="531"/>
        <v/>
      </c>
      <c r="AT323" s="304" t="str">
        <f t="shared" si="532"/>
        <v/>
      </c>
      <c r="AU323" s="342" t="e">
        <f t="shared" si="533"/>
        <v>#N/A</v>
      </c>
      <c r="AV323" s="304" t="e">
        <f t="shared" si="534"/>
        <v>#N/A</v>
      </c>
      <c r="AX323" s="304">
        <f>IF(AND('General price list'!$J323="F4",'General price list'!$AB323+0&gt;0),1,0)</f>
        <v>0</v>
      </c>
      <c r="AY323" s="304">
        <f t="shared" si="535"/>
        <v>1</v>
      </c>
      <c r="AZ323" s="304">
        <f t="shared" si="536"/>
        <v>0</v>
      </c>
    </row>
    <row r="324" spans="1:52" ht="15" customHeight="1">
      <c r="A324" s="725" t="str">
        <f>Kat.!C321</f>
        <v/>
      </c>
      <c r="B324" s="726">
        <f>IF(AND('General price list'!$J324="F4",$AI$1=FALSE),0,IF(AC324="SKLADEM",1,IF(AC324=$V$3,1,0)))</f>
        <v>1</v>
      </c>
      <c r="C324" s="727" t="s">
        <v>910</v>
      </c>
      <c r="D324" s="728" t="s">
        <v>911</v>
      </c>
      <c r="E324" s="729" t="s">
        <v>891</v>
      </c>
      <c r="F324" s="725">
        <f>IFERROR(ROUND(IF($AL$3=2,VLOOKUP(C324,[2]List1!$A:$D,2,FALSE)*1.08,VLOOKUP(C324,[2]List1!$A:$D,2,FALSE)),0),"NEUVEDENO!")</f>
        <v>1463</v>
      </c>
      <c r="G324" s="730">
        <f t="shared" si="584"/>
        <v>1463</v>
      </c>
      <c r="H324" s="731">
        <f t="shared" si="585"/>
        <v>59.450036368955949</v>
      </c>
      <c r="I324" s="732">
        <v>6</v>
      </c>
      <c r="J324" s="729" t="s">
        <v>137</v>
      </c>
      <c r="K324" s="729"/>
      <c r="L324" s="729" t="s">
        <v>24</v>
      </c>
      <c r="M324" s="729" t="s">
        <v>138</v>
      </c>
      <c r="N324" s="729">
        <f>IFERROR(VLOOKUP(C324,[3]List1!$A:$D,4,FALSE),"N/A!")</f>
        <v>0.13908399999999999</v>
      </c>
      <c r="O324" s="729">
        <f>IFERROR(VLOOKUP(C324,[3]List1!$A:$D,3,FALSE),"N/A!")</f>
        <v>11796</v>
      </c>
      <c r="P324" s="729">
        <f>IFERROR(VLOOKUP(C324,[3]List1!$A:$D,2,FALSE),"N/A!")</f>
        <v>25300</v>
      </c>
      <c r="Q324" s="729" t="s">
        <v>14324</v>
      </c>
      <c r="R324" s="729" t="s">
        <v>24</v>
      </c>
      <c r="S324" s="729"/>
      <c r="T324" s="729"/>
      <c r="U324" s="729"/>
      <c r="V324" s="729"/>
      <c r="W324" s="729" t="str">
        <f>IFERROR(VLOOKUP('General price list'!$C324,Popisy!A:P,MATCH($W$17,Popisy!$A$7:$P$7,0),FALSE),"---------------")</f>
        <v>33 různobarevných efektů</v>
      </c>
      <c r="X324" s="729" t="str">
        <f t="shared" si="586"/>
        <v/>
      </c>
      <c r="Y324" s="729" t="str">
        <f t="shared" si="587"/>
        <v/>
      </c>
      <c r="Z324" s="729" t="str">
        <f>HYPERLINK("https://www.klasekpyrotechnics.cz/rs33r")</f>
        <v>https://www.klasekpyrotechnics.cz/rs33r</v>
      </c>
      <c r="AA324" s="729">
        <f>IFERROR(IF(VLOOKUP(C324,[4]List1!$A:$D,4,FALSE)=0,"",VLOOKUP(C324,[4]List1!$A:$D,4,FALSE)),"")</f>
        <v>8</v>
      </c>
      <c r="AB324" s="720"/>
      <c r="AC324" s="733" t="str">
        <f>IFERROR(IF(VLOOKUP(C324,[1]List1!$A:$D,2,FALSE)="VYPRODÁNO",$V$9,IF(VLOOKUP(C324,[1]List1!$A:$D,2,FALSE)="DOCHÁZÍ",$V$3,VLOOKUP(C324,[1]List1!$A:$D,2,FALSE))),"OFFLINE!")</f>
        <v>SKLADEM</v>
      </c>
      <c r="AD324" s="734" t="str">
        <f ca="1">IF(AP324="NE",$V$10,IF(AC324=$V$3,IF(AQ324&lt;1,$V$8,$V$2&amp;" "&amp;AQ324&amp;" "&amp;$V$1),IF(AC324="SKLADEM",$V$6,IFERROR(IF(OR(AC324-TODAY()&gt;45,VLOOKUP(C324,[1]List1!$A:$E,4,FALSE)=0),AC324,DAY(AC324)&amp;"."&amp;MONTH(AC324)&amp;"."&amp;YEAR(AC324)&amp;" "&amp;$V$4&amp;VLOOKUP(C324,[1]List1!$A:$E,4,FALSE)&amp;" "&amp;$V$1),AC324))))</f>
        <v>SKLADEM</v>
      </c>
      <c r="AE324" s="729" t="str">
        <f t="shared" ca="1" si="588"/>
        <v>SKLADEM</v>
      </c>
      <c r="AF324" s="735">
        <f t="shared" si="589"/>
        <v>0</v>
      </c>
      <c r="AG324" s="735">
        <f t="shared" si="590"/>
        <v>0</v>
      </c>
      <c r="AH324" s="736">
        <f t="shared" si="591"/>
        <v>0</v>
      </c>
      <c r="AI324" s="729">
        <f t="shared" si="592"/>
        <v>0</v>
      </c>
      <c r="AJ324" s="729">
        <f t="shared" si="593"/>
        <v>0</v>
      </c>
      <c r="AK324" s="729" t="str">
        <f t="shared" si="594"/>
        <v/>
      </c>
      <c r="AL324" s="729">
        <f t="shared" si="595"/>
        <v>0</v>
      </c>
      <c r="AM324" s="729" t="str">
        <f t="shared" si="596"/>
        <v/>
      </c>
      <c r="AN324" s="729">
        <f t="shared" si="597"/>
        <v>0</v>
      </c>
      <c r="AO324" s="380"/>
      <c r="AP324" s="322" t="str">
        <f t="shared" si="529"/>
        <v/>
      </c>
      <c r="AQ324" s="323" t="str">
        <f>IF(AC324=$V$3,IF(VLOOKUP(C324,[1]List1!$A:$E,5,FALSE)=0,1,VLOOKUP(C324,[1]List1!$A:$E,5,FALSE)),"")</f>
        <v/>
      </c>
      <c r="AR324" s="304" t="str">
        <f t="shared" si="530"/>
        <v/>
      </c>
      <c r="AS324" s="423" t="str">
        <f t="shared" si="531"/>
        <v/>
      </c>
      <c r="AT324" s="304" t="str">
        <f t="shared" si="532"/>
        <v/>
      </c>
      <c r="AU324" s="342" t="e">
        <f t="shared" si="533"/>
        <v>#N/A</v>
      </c>
      <c r="AV324" s="304" t="e">
        <f t="shared" si="534"/>
        <v>#N/A</v>
      </c>
      <c r="AX324" s="304">
        <f>IF(AND('General price list'!$J324="F4",'General price list'!$AB324+0&gt;0),1,0)</f>
        <v>0</v>
      </c>
      <c r="AY324" s="304">
        <f t="shared" si="535"/>
        <v>1</v>
      </c>
      <c r="AZ324" s="304">
        <f t="shared" si="536"/>
        <v>0</v>
      </c>
    </row>
    <row r="325" spans="1:52" ht="15" customHeight="1">
      <c r="A325" s="712" t="str">
        <f>Kat.!C322</f>
        <v/>
      </c>
      <c r="B325" s="737">
        <f>IF(AND('General price list'!$J325="F4",$AI$1=FALSE),0,IF(AC325="SKLADEM",1,IF(AC325=$V$3,1,0)))</f>
        <v>0</v>
      </c>
      <c r="C325" s="714" t="s">
        <v>912</v>
      </c>
      <c r="D325" s="715" t="s">
        <v>913</v>
      </c>
      <c r="E325" s="716" t="s">
        <v>898</v>
      </c>
      <c r="F325" s="712">
        <f>IFERROR(ROUND(IF($AL$3=2,VLOOKUP(C325,[2]List1!$A:$D,2,FALSE)*1.08,VLOOKUP(C325,[2]List1!$A:$D,2,FALSE)),0),"NEUVEDENO!")</f>
        <v>687</v>
      </c>
      <c r="G325" s="717">
        <f t="shared" si="584"/>
        <v>687</v>
      </c>
      <c r="H325" s="718">
        <f t="shared" si="585"/>
        <v>27.916729313378497</v>
      </c>
      <c r="I325" s="738">
        <v>8</v>
      </c>
      <c r="J325" s="716" t="s">
        <v>137</v>
      </c>
      <c r="K325" s="716"/>
      <c r="L325" s="716" t="s">
        <v>24</v>
      </c>
      <c r="M325" s="716" t="s">
        <v>138</v>
      </c>
      <c r="N325" s="716">
        <f>IFERROR(VLOOKUP(C325,[3]List1!$A:$D,4,FALSE),"N/A!")</f>
        <v>9.2070000000000013E-2</v>
      </c>
      <c r="O325" s="716">
        <f>IFERROR(VLOOKUP(C325,[3]List1!$A:$D,3,FALSE),"N/A!")</f>
        <v>4000</v>
      </c>
      <c r="P325" s="716">
        <f>IFERROR(VLOOKUP(C325,[3]List1!$A:$D,2,FALSE),"N/A!")</f>
        <v>13400</v>
      </c>
      <c r="Q325" s="716" t="s">
        <v>14143</v>
      </c>
      <c r="R325" s="716" t="s">
        <v>24</v>
      </c>
      <c r="S325" s="716"/>
      <c r="T325" s="716"/>
      <c r="U325" s="716"/>
      <c r="V325" s="716"/>
      <c r="W325" s="716" t="str">
        <f>IFERROR(VLOOKUP('General price list'!$C325,Popisy!A:P,MATCH($W$17,Popisy!$A$7:$P$7,0),FALSE),"---------------")</f>
        <v>5 různobarevné efekty</v>
      </c>
      <c r="X325" s="716" t="str">
        <f t="shared" si="586"/>
        <v/>
      </c>
      <c r="Y325" s="716" t="str">
        <f t="shared" si="587"/>
        <v/>
      </c>
      <c r="Z325" s="716" t="str">
        <f>HYPERLINK("https://www.klasekpyrotechnics.cz/rss100")</f>
        <v>https://www.klasekpyrotechnics.cz/rss100</v>
      </c>
      <c r="AA325" s="716">
        <f>IFERROR(IF(VLOOKUP(C325,[4]List1!$A:$D,4,FALSE)=0,"",VLOOKUP(C325,[4]List1!$A:$D,4,FALSE)),"")</f>
        <v>15</v>
      </c>
      <c r="AB325" s="720"/>
      <c r="AC325" s="739" t="str">
        <f>IFERROR(IF(VLOOKUP(C325,[1]List1!$A:$D,2,FALSE)="VYPRODÁNO",$V$9,IF(VLOOKUP(C325,[1]List1!$A:$D,2,FALSE)="DOCHÁZÍ",$V$3,VLOOKUP(C325,[1]List1!$A:$D,2,FALSE))),"OFFLINE!")</f>
        <v>20.06.2024</v>
      </c>
      <c r="AD325" s="740" t="str">
        <f ca="1">IF(AP325="NE",$V$10,IF(AC325=$V$3,IF(AQ325&lt;1,$V$8,$V$2&amp;" "&amp;AQ325&amp;" "&amp;$V$1),IF(AC325="SKLADEM",$V$6,IFERROR(IF(OR(AC325-TODAY()&gt;45,VLOOKUP(C325,[1]List1!$A:$E,4,FALSE)=0),AC325,DAY(AC325)&amp;"."&amp;MONTH(AC325)&amp;"."&amp;YEAR(AC325)&amp;" "&amp;$V$4&amp;VLOOKUP(C325,[1]List1!$A:$E,4,FALSE)&amp;" "&amp;$V$1),AC325))))</f>
        <v>20.06.2024</v>
      </c>
      <c r="AE325" s="716" t="str">
        <f t="shared" ca="1" si="588"/>
        <v>20.06.2024</v>
      </c>
      <c r="AF325" s="723">
        <f t="shared" si="589"/>
        <v>0</v>
      </c>
      <c r="AG325" s="723">
        <f t="shared" si="590"/>
        <v>0</v>
      </c>
      <c r="AH325" s="724">
        <f t="shared" si="591"/>
        <v>0</v>
      </c>
      <c r="AI325" s="716">
        <f t="shared" si="592"/>
        <v>0</v>
      </c>
      <c r="AJ325" s="716">
        <f t="shared" si="593"/>
        <v>0</v>
      </c>
      <c r="AK325" s="716" t="str">
        <f t="shared" si="594"/>
        <v/>
      </c>
      <c r="AL325" s="716">
        <f t="shared" si="595"/>
        <v>0</v>
      </c>
      <c r="AM325" s="716" t="str">
        <f t="shared" si="596"/>
        <v/>
      </c>
      <c r="AN325" s="716">
        <f t="shared" si="597"/>
        <v>0</v>
      </c>
      <c r="AO325" s="380"/>
      <c r="AP325" s="322" t="str">
        <f t="shared" si="529"/>
        <v/>
      </c>
      <c r="AQ325" s="323" t="str">
        <f>IF(AC325=$V$3,IF(VLOOKUP(C325,[1]List1!$A:$E,5,FALSE)=0,1,VLOOKUP(C325,[1]List1!$A:$E,5,FALSE)),"")</f>
        <v/>
      </c>
      <c r="AR325" s="304" t="str">
        <f t="shared" si="530"/>
        <v/>
      </c>
      <c r="AS325" s="423" t="str">
        <f t="shared" si="531"/>
        <v/>
      </c>
      <c r="AT325" s="304" t="str">
        <f t="shared" si="532"/>
        <v/>
      </c>
      <c r="AU325" s="342" t="e">
        <f t="shared" si="533"/>
        <v>#N/A</v>
      </c>
      <c r="AV325" s="304" t="e">
        <f t="shared" si="534"/>
        <v>#N/A</v>
      </c>
      <c r="AX325" s="304">
        <f>IF(AND('General price list'!$J325="F4",'General price list'!$AB325+0&gt;0),1,0)</f>
        <v>0</v>
      </c>
      <c r="AY325" s="304">
        <f t="shared" si="535"/>
        <v>1</v>
      </c>
      <c r="AZ325" s="304">
        <f t="shared" si="536"/>
        <v>0</v>
      </c>
    </row>
    <row r="326" spans="1:52" ht="15" customHeight="1">
      <c r="A326" s="725" t="str">
        <f>Kat.!C323</f>
        <v/>
      </c>
      <c r="B326" s="726">
        <f>IF(AND('General price list'!$J326="F4",$AI$1=FALSE),0,IF(AC326="SKLADEM",1,IF(AC326=$V$3,1,0)))</f>
        <v>1</v>
      </c>
      <c r="C326" s="727" t="s">
        <v>914</v>
      </c>
      <c r="D326" s="728" t="s">
        <v>915</v>
      </c>
      <c r="E326" s="729" t="s">
        <v>916</v>
      </c>
      <c r="F326" s="725">
        <f>IFERROR(ROUND(IF($AL$3=2,VLOOKUP(C326,[2]List1!$A:$D,2,FALSE)*1.08,VLOOKUP(C326,[2]List1!$A:$D,2,FALSE)),0),"NEUVEDENO!")</f>
        <v>633</v>
      </c>
      <c r="G326" s="730">
        <f t="shared" si="584"/>
        <v>633</v>
      </c>
      <c r="H326" s="731">
        <f t="shared" si="585"/>
        <v>25.722401245078</v>
      </c>
      <c r="I326" s="732">
        <v>12</v>
      </c>
      <c r="J326" s="729" t="s">
        <v>137</v>
      </c>
      <c r="K326" s="729"/>
      <c r="L326" s="729" t="s">
        <v>24</v>
      </c>
      <c r="M326" s="729" t="s">
        <v>138</v>
      </c>
      <c r="N326" s="729">
        <f>IFERROR(VLOOKUP(C326,[3]List1!$A:$D,4,FALSE),"N/A!")</f>
        <v>0.15295800000000001</v>
      </c>
      <c r="O326" s="729">
        <f>IFERROR(VLOOKUP(C326,[3]List1!$A:$D,3,FALSE),"N/A!")</f>
        <v>4680</v>
      </c>
      <c r="P326" s="729">
        <f>IFERROR(VLOOKUP(C326,[3]List1!$A:$D,2,FALSE),"N/A!")</f>
        <v>18000</v>
      </c>
      <c r="Q326" s="729" t="s">
        <v>14145</v>
      </c>
      <c r="R326" s="729" t="s">
        <v>2790</v>
      </c>
      <c r="S326" s="729"/>
      <c r="T326" s="729"/>
      <c r="U326" s="729"/>
      <c r="V326" s="729"/>
      <c r="W326" s="729" t="str">
        <f>IFERROR(VLOOKUP('General price list'!$C326,Popisy!A:P,MATCH($W$17,Popisy!$A$7:$P$7,0),FALSE),"---------------")</f>
        <v>170cm výška, chromové rakety najvyšší kvality, 2 různobarevné efekty</v>
      </c>
      <c r="X326" s="729" t="str">
        <f t="shared" si="586"/>
        <v/>
      </c>
      <c r="Y326" s="729" t="str">
        <f t="shared" si="587"/>
        <v/>
      </c>
      <c r="Z326" s="729" t="str">
        <f>HYPERLINK("https://www.klasekpyrotechnics.cz/r170b")</f>
        <v>https://www.klasekpyrotechnics.cz/r170b</v>
      </c>
      <c r="AA326" s="729">
        <f>IFERROR(IF(VLOOKUP(C326,[4]List1!$A:$D,4,FALSE)=0,"",VLOOKUP(C326,[4]List1!$A:$D,4,FALSE)),"")</f>
        <v>9</v>
      </c>
      <c r="AB326" s="720"/>
      <c r="AC326" s="733" t="str">
        <f>IFERROR(IF(VLOOKUP(C326,[1]List1!$A:$D,2,FALSE)="VYPRODÁNO",$V$9,IF(VLOOKUP(C326,[1]List1!$A:$D,2,FALSE)="DOCHÁZÍ",$V$3,VLOOKUP(C326,[1]List1!$A:$D,2,FALSE))),"OFFLINE!")</f>
        <v>SKLADEM</v>
      </c>
      <c r="AD326" s="734" t="str">
        <f ca="1">IF(AP326="NE",$V$10,IF(AC326=$V$3,IF(AQ326&lt;1,$V$8,$V$2&amp;" "&amp;AQ326&amp;" "&amp;$V$1),IF(AC326="SKLADEM",$V$6,IFERROR(IF(OR(AC326-TODAY()&gt;45,VLOOKUP(C326,[1]List1!$A:$E,4,FALSE)=0),AC326,DAY(AC326)&amp;"."&amp;MONTH(AC326)&amp;"."&amp;YEAR(AC326)&amp;" "&amp;$V$4&amp;VLOOKUP(C326,[1]List1!$A:$E,4,FALSE)&amp;" "&amp;$V$1),AC326))))</f>
        <v>SKLADEM</v>
      </c>
      <c r="AE326" s="729" t="str">
        <f t="shared" ca="1" si="588"/>
        <v>SKLADEM</v>
      </c>
      <c r="AF326" s="735">
        <f t="shared" si="589"/>
        <v>0</v>
      </c>
      <c r="AG326" s="735">
        <f t="shared" si="590"/>
        <v>0</v>
      </c>
      <c r="AH326" s="736">
        <f t="shared" si="591"/>
        <v>0</v>
      </c>
      <c r="AI326" s="729">
        <f t="shared" si="592"/>
        <v>0</v>
      </c>
      <c r="AJ326" s="729">
        <f t="shared" si="593"/>
        <v>0</v>
      </c>
      <c r="AK326" s="729" t="str">
        <f t="shared" si="594"/>
        <v/>
      </c>
      <c r="AL326" s="729">
        <f t="shared" si="595"/>
        <v>0</v>
      </c>
      <c r="AM326" s="729" t="str">
        <f t="shared" si="596"/>
        <v/>
      </c>
      <c r="AN326" s="729">
        <f t="shared" si="597"/>
        <v>0</v>
      </c>
      <c r="AO326" s="380"/>
      <c r="AP326" s="322" t="str">
        <f t="shared" si="529"/>
        <v/>
      </c>
      <c r="AQ326" s="323" t="str">
        <f>IF(AC326=$V$3,IF(VLOOKUP(C326,[1]List1!$A:$E,5,FALSE)=0,1,VLOOKUP(C326,[1]List1!$A:$E,5,FALSE)),"")</f>
        <v/>
      </c>
      <c r="AR326" s="304" t="str">
        <f t="shared" si="530"/>
        <v/>
      </c>
      <c r="AS326" s="423" t="str">
        <f t="shared" si="531"/>
        <v/>
      </c>
      <c r="AT326" s="304" t="str">
        <f t="shared" si="532"/>
        <v/>
      </c>
      <c r="AU326" s="342" t="e">
        <f t="shared" si="533"/>
        <v>#N/A</v>
      </c>
      <c r="AV326" s="304" t="e">
        <f t="shared" si="534"/>
        <v>#N/A</v>
      </c>
      <c r="AX326" s="304">
        <f>IF(AND('General price list'!$J326="F4",'General price list'!$AB326+0&gt;0),1,0)</f>
        <v>0</v>
      </c>
      <c r="AY326" s="304">
        <f t="shared" si="535"/>
        <v>1</v>
      </c>
      <c r="AZ326" s="304">
        <f t="shared" si="536"/>
        <v>0</v>
      </c>
    </row>
    <row r="327" spans="1:52" ht="15" customHeight="1">
      <c r="A327" s="712" t="str">
        <f>Kat.!C324</f>
        <v/>
      </c>
      <c r="B327" s="737">
        <f>IF(AND('General price list'!$J327="F4",$AI$1=FALSE),0,IF(AC327="SKLADEM",1,IF(AC327=$V$3,1,0)))</f>
        <v>1</v>
      </c>
      <c r="C327" s="714" t="s">
        <v>2514</v>
      </c>
      <c r="D327" s="715" t="s">
        <v>2515</v>
      </c>
      <c r="E327" s="716" t="s">
        <v>2669</v>
      </c>
      <c r="F327" s="712">
        <f>IFERROR(ROUND(IF($AL$3=2,VLOOKUP(C327,[2]List1!$A:$D,2,FALSE)*1.08,VLOOKUP(C327,[2]List1!$A:$D,2,FALSE)),0),"NEUVEDENO!")</f>
        <v>995</v>
      </c>
      <c r="G327" s="717">
        <f t="shared" si="584"/>
        <v>995</v>
      </c>
      <c r="H327" s="718">
        <f t="shared" si="585"/>
        <v>40.432526443685013</v>
      </c>
      <c r="I327" s="738">
        <v>6</v>
      </c>
      <c r="J327" s="716" t="s">
        <v>137</v>
      </c>
      <c r="K327" s="716"/>
      <c r="L327" s="716" t="s">
        <v>24</v>
      </c>
      <c r="M327" s="716" t="s">
        <v>138</v>
      </c>
      <c r="N327" s="716">
        <f>IFERROR(VLOOKUP(C327,[3]List1!$A:$D,4,FALSE),"N/A!")</f>
        <v>0.11372400000000001</v>
      </c>
      <c r="O327" s="716">
        <f>IFERROR(VLOOKUP(C327,[3]List1!$A:$D,3,FALSE),"N/A!")</f>
        <v>3510</v>
      </c>
      <c r="P327" s="716">
        <f>IFERROR(VLOOKUP(C327,[3]List1!$A:$D,2,FALSE),"N/A!")</f>
        <v>13000</v>
      </c>
      <c r="Q327" s="716" t="s">
        <v>14145</v>
      </c>
      <c r="R327" s="716" t="s">
        <v>2790</v>
      </c>
      <c r="S327" s="716"/>
      <c r="T327" s="716"/>
      <c r="U327" s="716"/>
      <c r="V327" s="716"/>
      <c r="W327" s="716" t="str">
        <f>IFERROR(VLOOKUP('General price list'!$C327,Popisy!A:P,MATCH($W$17,Popisy!$A$7:$P$7,0),FALSE),"---------------")</f>
        <v>170cm výška, chromové rakety najvyšší kvality, 3 různobarevné efekty</v>
      </c>
      <c r="X327" s="716" t="str">
        <f t="shared" si="586"/>
        <v/>
      </c>
      <c r="Y327" s="716" t="str">
        <f t="shared" si="587"/>
        <v/>
      </c>
      <c r="Z327" s="716" t="str">
        <f>HYPERLINK("https://www.klasekpyrotechnics.cz/r170x")</f>
        <v>https://www.klasekpyrotechnics.cz/r170x</v>
      </c>
      <c r="AA327" s="716">
        <f>IFERROR(IF(VLOOKUP(C327,[4]List1!$A:$D,4,FALSE)=0,"",VLOOKUP(C327,[4]List1!$A:$D,4,FALSE)),"")</f>
        <v>12</v>
      </c>
      <c r="AB327" s="720"/>
      <c r="AC327" s="739" t="str">
        <f>IFERROR(IF(VLOOKUP(C327,[1]List1!$A:$D,2,FALSE)="VYPRODÁNO",$V$9,IF(VLOOKUP(C327,[1]List1!$A:$D,2,FALSE)="DOCHÁZÍ",$V$3,VLOOKUP(C327,[1]List1!$A:$D,2,FALSE))),"OFFLINE!")</f>
        <v>SKLADEM</v>
      </c>
      <c r="AD327" s="740" t="str">
        <f ca="1">IF(AP327="NE",$V$10,IF(AC327=$V$3,IF(AQ327&lt;1,$V$8,$V$2&amp;" "&amp;AQ327&amp;" "&amp;$V$1),IF(AC327="SKLADEM",$V$6,IFERROR(IF(OR(AC327-TODAY()&gt;45,VLOOKUP(C327,[1]List1!$A:$E,4,FALSE)=0),AC327,DAY(AC327)&amp;"."&amp;MONTH(AC327)&amp;"."&amp;YEAR(AC327)&amp;" "&amp;$V$4&amp;VLOOKUP(C327,[1]List1!$A:$E,4,FALSE)&amp;" "&amp;$V$1),AC327))))</f>
        <v>SKLADEM</v>
      </c>
      <c r="AE327" s="716" t="str">
        <f t="shared" ca="1" si="588"/>
        <v>SKLADEM</v>
      </c>
      <c r="AF327" s="723">
        <f t="shared" si="589"/>
        <v>0</v>
      </c>
      <c r="AG327" s="723">
        <f t="shared" si="590"/>
        <v>0</v>
      </c>
      <c r="AH327" s="724">
        <f t="shared" si="591"/>
        <v>0</v>
      </c>
      <c r="AI327" s="716">
        <f t="shared" si="592"/>
        <v>0</v>
      </c>
      <c r="AJ327" s="716">
        <f t="shared" si="593"/>
        <v>0</v>
      </c>
      <c r="AK327" s="716" t="str">
        <f t="shared" si="594"/>
        <v/>
      </c>
      <c r="AL327" s="716">
        <f t="shared" si="595"/>
        <v>0</v>
      </c>
      <c r="AM327" s="716" t="str">
        <f t="shared" si="596"/>
        <v/>
      </c>
      <c r="AN327" s="716">
        <f t="shared" si="597"/>
        <v>0</v>
      </c>
      <c r="AO327" s="380"/>
      <c r="AP327" s="322" t="str">
        <f t="shared" si="529"/>
        <v/>
      </c>
      <c r="AQ327" s="323" t="str">
        <f>IF(AC327=$V$3,IF(VLOOKUP(C327,[1]List1!$A:$E,5,FALSE)=0,1,VLOOKUP(C327,[1]List1!$A:$E,5,FALSE)),"")</f>
        <v/>
      </c>
      <c r="AR327" s="304" t="str">
        <f t="shared" si="530"/>
        <v/>
      </c>
      <c r="AS327" s="423" t="str">
        <f t="shared" si="531"/>
        <v/>
      </c>
      <c r="AT327" s="304" t="str">
        <f t="shared" si="532"/>
        <v/>
      </c>
      <c r="AU327" s="342" t="e">
        <f t="shared" si="533"/>
        <v>#N/A</v>
      </c>
      <c r="AV327" s="304" t="e">
        <f t="shared" si="534"/>
        <v>#N/A</v>
      </c>
      <c r="AX327" s="304">
        <f>IF(AND('General price list'!$J327="F4",'General price list'!$AB327+0&gt;0),1,0)</f>
        <v>0</v>
      </c>
      <c r="AY327" s="304">
        <f t="shared" si="535"/>
        <v>1</v>
      </c>
      <c r="AZ327" s="304">
        <f t="shared" si="536"/>
        <v>0</v>
      </c>
    </row>
    <row r="328" spans="1:52" ht="15" customHeight="1">
      <c r="A328" s="725" t="str">
        <f>Kat.!C325</f>
        <v/>
      </c>
      <c r="B328" s="726">
        <f>IF(AND('General price list'!$J328="F4",$AI$1=FALSE),0,IF(AC328="SKLADEM",1,IF(AC328=$V$3,1,0)))</f>
        <v>1</v>
      </c>
      <c r="C328" s="727" t="s">
        <v>2516</v>
      </c>
      <c r="D328" s="728" t="s">
        <v>2517</v>
      </c>
      <c r="E328" s="729" t="s">
        <v>921</v>
      </c>
      <c r="F328" s="725">
        <f>IFERROR(ROUND(IF($AL$3=2,VLOOKUP(C328,[2]List1!$A:$D,2,FALSE)*1.08,VLOOKUP(C328,[2]List1!$A:$D,2,FALSE)),0),"NEUVEDENO!")</f>
        <v>1424</v>
      </c>
      <c r="G328" s="730">
        <f t="shared" si="584"/>
        <v>1424</v>
      </c>
      <c r="H328" s="731">
        <f t="shared" si="585"/>
        <v>57.865243875183374</v>
      </c>
      <c r="I328" s="732">
        <v>4</v>
      </c>
      <c r="J328" s="729" t="s">
        <v>137</v>
      </c>
      <c r="K328" s="729"/>
      <c r="L328" s="729" t="s">
        <v>24</v>
      </c>
      <c r="M328" s="729" t="s">
        <v>138</v>
      </c>
      <c r="N328" s="729">
        <f>IFERROR(VLOOKUP(C328,[3]List1!$A:$D,4,FALSE),"N/A!")</f>
        <v>8.4084000000000006E-2</v>
      </c>
      <c r="O328" s="729">
        <f>IFERROR(VLOOKUP(C328,[3]List1!$A:$D,3,FALSE),"N/A!")</f>
        <v>1920</v>
      </c>
      <c r="P328" s="729">
        <f>IFERROR(VLOOKUP(C328,[3]List1!$A:$D,2,FALSE),"N/A!")</f>
        <v>10700</v>
      </c>
      <c r="Q328" s="729" t="s">
        <v>14146</v>
      </c>
      <c r="R328" s="729" t="s">
        <v>24</v>
      </c>
      <c r="S328" s="729"/>
      <c r="T328" s="729"/>
      <c r="U328" s="729"/>
      <c r="V328" s="729"/>
      <c r="W328" s="729" t="str">
        <f>IFERROR(VLOOKUP('General price list'!$C328,Popisy!A:P,MATCH($W$17,Popisy!$A$7:$P$7,0),FALSE),"---------------")</f>
        <v>5 různobarevné efekty</v>
      </c>
      <c r="X328" s="729" t="str">
        <f t="shared" si="586"/>
        <v/>
      </c>
      <c r="Y328" s="729" t="str">
        <f t="shared" si="587"/>
        <v/>
      </c>
      <c r="Z328" s="729" t="str">
        <f>HYPERLINK("https://www.klasekpyrotechnics.cz/r170m")</f>
        <v>https://www.klasekpyrotechnics.cz/r170m</v>
      </c>
      <c r="AA328" s="729" t="str">
        <f>IFERROR(IF(VLOOKUP(C328,[4]List1!$A:$D,4,FALSE)=0,"",VLOOKUP(C328,[4]List1!$A:$D,4,FALSE)),"")</f>
        <v>15</v>
      </c>
      <c r="AB328" s="720"/>
      <c r="AC328" s="733" t="str">
        <f>IFERROR(IF(VLOOKUP(C328,[1]List1!$A:$D,2,FALSE)="VYPRODÁNO",$V$9,IF(VLOOKUP(C328,[1]List1!$A:$D,2,FALSE)="DOCHÁZÍ",$V$3,VLOOKUP(C328,[1]List1!$A:$D,2,FALSE))),"OFFLINE!")</f>
        <v>SKLADEM</v>
      </c>
      <c r="AD328" s="734" t="str">
        <f ca="1">IF(AP328="NE",$V$10,IF(AC328=$V$3,IF(AQ328&lt;1,$V$8,$V$2&amp;" "&amp;AQ328&amp;" "&amp;$V$1),IF(AC328="SKLADEM",$V$6,IFERROR(IF(OR(AC328-TODAY()&gt;45,VLOOKUP(C328,[1]List1!$A:$E,4,FALSE)=0),AC328,DAY(AC328)&amp;"."&amp;MONTH(AC328)&amp;"."&amp;YEAR(AC328)&amp;" "&amp;$V$4&amp;VLOOKUP(C328,[1]List1!$A:$E,4,FALSE)&amp;" "&amp;$V$1),AC328))))</f>
        <v>SKLADEM</v>
      </c>
      <c r="AE328" s="729" t="str">
        <f t="shared" ca="1" si="588"/>
        <v>SKLADEM</v>
      </c>
      <c r="AF328" s="735">
        <f t="shared" si="589"/>
        <v>0</v>
      </c>
      <c r="AG328" s="735">
        <f t="shared" si="590"/>
        <v>0</v>
      </c>
      <c r="AH328" s="736">
        <f t="shared" si="591"/>
        <v>0</v>
      </c>
      <c r="AI328" s="729">
        <f t="shared" si="592"/>
        <v>0</v>
      </c>
      <c r="AJ328" s="729">
        <f t="shared" si="593"/>
        <v>0</v>
      </c>
      <c r="AK328" s="729" t="str">
        <f t="shared" si="594"/>
        <v/>
      </c>
      <c r="AL328" s="729">
        <f t="shared" si="595"/>
        <v>0</v>
      </c>
      <c r="AM328" s="729" t="str">
        <f t="shared" si="596"/>
        <v/>
      </c>
      <c r="AN328" s="729">
        <f t="shared" si="597"/>
        <v>0</v>
      </c>
      <c r="AO328" s="380"/>
      <c r="AP328" s="322" t="str">
        <f t="shared" si="529"/>
        <v/>
      </c>
      <c r="AQ328" s="323" t="str">
        <f>IF(AC328=$V$3,IF(VLOOKUP(C328,[1]List1!$A:$E,5,FALSE)=0,1,VLOOKUP(C328,[1]List1!$A:$E,5,FALSE)),"")</f>
        <v/>
      </c>
      <c r="AR328" s="304" t="str">
        <f t="shared" si="530"/>
        <v/>
      </c>
      <c r="AS328" s="423" t="str">
        <f t="shared" si="531"/>
        <v/>
      </c>
      <c r="AT328" s="304" t="str">
        <f t="shared" si="532"/>
        <v/>
      </c>
      <c r="AU328" s="342" t="e">
        <f t="shared" si="533"/>
        <v>#N/A</v>
      </c>
      <c r="AV328" s="304" t="e">
        <f t="shared" si="534"/>
        <v>#N/A</v>
      </c>
      <c r="AX328" s="304">
        <f>IF(AND('General price list'!$J328="F4",'General price list'!$AB328+0&gt;0),1,0)</f>
        <v>0</v>
      </c>
      <c r="AY328" s="304">
        <f t="shared" si="535"/>
        <v>1</v>
      </c>
      <c r="AZ328" s="304">
        <f t="shared" si="536"/>
        <v>0</v>
      </c>
    </row>
    <row r="329" spans="1:52" ht="15" customHeight="1">
      <c r="A329" s="712" t="str">
        <f>Kat.!C326</f>
        <v/>
      </c>
      <c r="B329" s="737">
        <f>IF(AND('General price list'!$J329="F4",$AI$1=FALSE),0,IF(AC329="SKLADEM",1,IF(AC329=$V$3,1,0)))</f>
        <v>1</v>
      </c>
      <c r="C329" s="714" t="s">
        <v>919</v>
      </c>
      <c r="D329" s="715" t="s">
        <v>920</v>
      </c>
      <c r="E329" s="716" t="s">
        <v>921</v>
      </c>
      <c r="F329" s="712">
        <f>IFERROR(ROUND(IF($AL$3=2,VLOOKUP(C329,[2]List1!$A:$D,2,FALSE)*1.08,VLOOKUP(C329,[2]List1!$A:$D,2,FALSE)),0),"NEUVEDENO!")</f>
        <v>1509</v>
      </c>
      <c r="G329" s="717">
        <f t="shared" si="584"/>
        <v>1509</v>
      </c>
      <c r="H329" s="718">
        <f t="shared" si="585"/>
        <v>61.319278797508225</v>
      </c>
      <c r="I329" s="738">
        <v>4</v>
      </c>
      <c r="J329" s="716" t="s">
        <v>137</v>
      </c>
      <c r="K329" s="716"/>
      <c r="L329" s="716" t="s">
        <v>24</v>
      </c>
      <c r="M329" s="716" t="s">
        <v>138</v>
      </c>
      <c r="N329" s="716">
        <f>IFERROR(VLOOKUP(C329,[3]List1!$A:$D,4,FALSE),"N/A!")</f>
        <v>8.4084000000000006E-2</v>
      </c>
      <c r="O329" s="716">
        <f>IFERROR(VLOOKUP(C329,[3]List1!$A:$D,3,FALSE),"N/A!")</f>
        <v>3120</v>
      </c>
      <c r="P329" s="716">
        <f>IFERROR(VLOOKUP(C329,[3]List1!$A:$D,2,FALSE),"N/A!")</f>
        <v>11000</v>
      </c>
      <c r="Q329" s="716" t="s">
        <v>14325</v>
      </c>
      <c r="R329" s="716" t="s">
        <v>24</v>
      </c>
      <c r="S329" s="716"/>
      <c r="T329" s="716"/>
      <c r="U329" s="716"/>
      <c r="V329" s="716"/>
      <c r="W329" s="716" t="str">
        <f>IFERROR(VLOOKUP('General price list'!$C329,Popisy!A:P,MATCH($W$17,Popisy!$A$7:$P$7,0),FALSE),"---------------")</f>
        <v>5 různobarevné efekty</v>
      </c>
      <c r="X329" s="716" t="str">
        <f t="shared" si="586"/>
        <v/>
      </c>
      <c r="Y329" s="716" t="str">
        <f t="shared" si="587"/>
        <v/>
      </c>
      <c r="Z329" s="716" t="str">
        <f>HYPERLINK("https://www.klasekpyrotechnics.cz/rssf3")</f>
        <v>https://www.klasekpyrotechnics.cz/rssf3</v>
      </c>
      <c r="AA329" s="716">
        <f>IFERROR(IF(VLOOKUP(C329,[4]List1!$A:$D,4,FALSE)=0,"",VLOOKUP(C329,[4]List1!$A:$D,4,FALSE)),"")</f>
        <v>15</v>
      </c>
      <c r="AB329" s="720"/>
      <c r="AC329" s="739" t="str">
        <f>IFERROR(IF(VLOOKUP(C329,[1]List1!$A:$D,2,FALSE)="VYPRODÁNO",$V$9,IF(VLOOKUP(C329,[1]List1!$A:$D,2,FALSE)="DOCHÁZÍ",$V$3,VLOOKUP(C329,[1]List1!$A:$D,2,FALSE))),"OFFLINE!")</f>
        <v>DOCHÁZÍ</v>
      </c>
      <c r="AD329" s="740" t="str">
        <f ca="1">IF(AP329="NE",$V$10,IF(AC329=$V$3,IF(AQ329&lt;1,$V$8,$V$2&amp;" "&amp;AQ329&amp;" "&amp;$V$1),IF(AC329="SKLADEM",$V$6,IFERROR(IF(OR(AC329-TODAY()&gt;45,VLOOKUP(C329,[1]List1!$A:$E,4,FALSE)=0),AC329,DAY(AC329)&amp;"."&amp;MONTH(AC329)&amp;"."&amp;YEAR(AC329)&amp;" "&amp;$V$4&amp;VLOOKUP(C329,[1]List1!$A:$E,4,FALSE)&amp;" "&amp;$V$1),AC329))))</f>
        <v>POSLEDNÍCH 4 VK</v>
      </c>
      <c r="AE329" s="716" t="str">
        <f t="shared" ca="1" si="588"/>
        <v>POSLEDNÍCH 4 VK</v>
      </c>
      <c r="AF329" s="723">
        <f t="shared" si="589"/>
        <v>0</v>
      </c>
      <c r="AG329" s="723">
        <f t="shared" si="590"/>
        <v>0</v>
      </c>
      <c r="AH329" s="724">
        <f t="shared" si="591"/>
        <v>0</v>
      </c>
      <c r="AI329" s="716">
        <f t="shared" si="592"/>
        <v>0</v>
      </c>
      <c r="AJ329" s="716">
        <f t="shared" si="593"/>
        <v>0</v>
      </c>
      <c r="AK329" s="716" t="str">
        <f t="shared" si="594"/>
        <v/>
      </c>
      <c r="AL329" s="716">
        <f t="shared" si="595"/>
        <v>0</v>
      </c>
      <c r="AM329" s="716" t="str">
        <f t="shared" si="596"/>
        <v/>
      </c>
      <c r="AN329" s="716">
        <f t="shared" si="597"/>
        <v>0</v>
      </c>
      <c r="AO329" s="380"/>
      <c r="AP329" s="322" t="str">
        <f t="shared" si="529"/>
        <v/>
      </c>
      <c r="AQ329" s="323">
        <f>IF(AC329=$V$3,IF(VLOOKUP(C329,[1]List1!$A:$E,5,FALSE)=0,1,VLOOKUP(C329,[1]List1!$A:$E,5,FALSE)),"")</f>
        <v>4</v>
      </c>
      <c r="AR329" s="304" t="str">
        <f t="shared" si="530"/>
        <v/>
      </c>
      <c r="AS329" s="423" t="str">
        <f t="shared" si="531"/>
        <v/>
      </c>
      <c r="AT329" s="304" t="str">
        <f t="shared" si="532"/>
        <v/>
      </c>
      <c r="AU329" s="342" t="e">
        <f t="shared" si="533"/>
        <v>#N/A</v>
      </c>
      <c r="AV329" s="304" t="e">
        <f t="shared" si="534"/>
        <v>#N/A</v>
      </c>
      <c r="AX329" s="304">
        <f>IF(AND('General price list'!$J329="F4",'General price list'!$AB329+0&gt;0),1,0)</f>
        <v>0</v>
      </c>
      <c r="AY329" s="304">
        <f t="shared" si="535"/>
        <v>1</v>
      </c>
      <c r="AZ329" s="304">
        <f t="shared" si="536"/>
        <v>0</v>
      </c>
    </row>
    <row r="330" spans="1:52" ht="15" customHeight="1">
      <c r="A330" s="773" t="str">
        <f>Kat.!C327</f>
        <v xml:space="preserve">                                                               Oblečení</v>
      </c>
      <c r="B330" s="774"/>
      <c r="C330" s="774"/>
      <c r="D330" s="774"/>
      <c r="E330" s="774"/>
      <c r="F330" s="774"/>
      <c r="G330" s="774"/>
      <c r="H330" s="774"/>
      <c r="I330" s="774"/>
      <c r="J330" s="774"/>
      <c r="K330" s="774"/>
      <c r="L330" s="774"/>
      <c r="M330" s="774"/>
      <c r="N330" s="774"/>
      <c r="O330" s="774"/>
      <c r="P330" s="774"/>
      <c r="Q330" s="774"/>
      <c r="R330" s="774"/>
      <c r="S330" s="774"/>
      <c r="T330" s="774"/>
      <c r="U330" s="774"/>
      <c r="V330" s="774"/>
      <c r="W330" s="774"/>
      <c r="X330" s="774"/>
      <c r="Y330" s="774"/>
      <c r="Z330" s="774"/>
      <c r="AA330" s="774" t="str">
        <f>IFERROR(IF(VLOOKUP(C330,[4]List1!$A:$D,4,FALSE)=0,"",VLOOKUP(C330,[4]List1!$A:$D,4,FALSE)),"")</f>
        <v/>
      </c>
      <c r="AB330" s="774"/>
      <c r="AC330" s="775" t="str">
        <f>IFERROR(IF(VLOOKUP(C330,[1]List1!$A:$D,2,FALSE)="VYPRODÁNO",$V$9,IF(VLOOKUP(C330,[1]List1!$A:$D,2,FALSE)="DOCHÁZÍ",$V$3,VLOOKUP(C330,[1]List1!$A:$D,2,FALSE))),"OFFLINE!")</f>
        <v>OFFLINE!</v>
      </c>
      <c r="AD330" s="774"/>
      <c r="AE330" s="774"/>
      <c r="AF330" s="774"/>
      <c r="AG330" s="774"/>
      <c r="AH330" s="774"/>
      <c r="AI330" s="774"/>
      <c r="AJ330" s="774"/>
      <c r="AK330" s="774"/>
      <c r="AL330" s="774"/>
      <c r="AM330" s="774"/>
      <c r="AN330" s="774"/>
      <c r="AO330" s="380"/>
      <c r="AP330" s="322" t="str">
        <f t="shared" si="529"/>
        <v/>
      </c>
      <c r="AQ330" s="323" t="str">
        <f>IF(AC330=$V$3,IF(VLOOKUP(C330,[1]List1!$A:$E,5,FALSE)=0,1,VLOOKUP(C330,[1]List1!$A:$E,5,FALSE)),"")</f>
        <v/>
      </c>
      <c r="AR330" s="304" t="str">
        <f t="shared" si="530"/>
        <v/>
      </c>
      <c r="AS330" s="423" t="str">
        <f t="shared" si="531"/>
        <v/>
      </c>
      <c r="AT330" s="304" t="str">
        <f t="shared" si="532"/>
        <v/>
      </c>
      <c r="AU330" s="342" t="e">
        <f t="shared" si="533"/>
        <v>#N/A</v>
      </c>
      <c r="AV330" s="304" t="e">
        <f t="shared" si="534"/>
        <v>#N/A</v>
      </c>
      <c r="AX330" s="304">
        <f>IF(AND('General price list'!$J330="F4",'General price list'!$AB330+0&gt;0),1,0)</f>
        <v>0</v>
      </c>
      <c r="AY330" s="304">
        <f t="shared" si="535"/>
        <v>0</v>
      </c>
      <c r="AZ330" s="304">
        <f t="shared" si="536"/>
        <v>0</v>
      </c>
    </row>
    <row r="331" spans="1:52" ht="15" customHeight="1">
      <c r="A331" s="712" t="str">
        <f>Kat.!C328</f>
        <v>×</v>
      </c>
      <c r="B331" s="713">
        <f>IF(AND('General price list'!$J331="F4",$AI$1=FALSE),0,IF(AC331="SKLADEM",1,IF(AC331=$V$3,1,0)))</f>
        <v>1</v>
      </c>
      <c r="C331" s="714" t="s">
        <v>962</v>
      </c>
      <c r="D331" s="715" t="s">
        <v>13777</v>
      </c>
      <c r="E331" s="716" t="s">
        <v>136</v>
      </c>
      <c r="F331" s="712">
        <f>IFERROR(ROUND(IF($AL$3=2,VLOOKUP(C331,[2]List1!$A:$D,2,FALSE)*1.08,VLOOKUP(C331,[2]List1!$A:$D,2,FALSE)),0),"NEUVEDENO!")</f>
        <v>380</v>
      </c>
      <c r="G331" s="717">
        <f t="shared" ref="G331:G335" si="598">(F331)*$B$19</f>
        <v>380</v>
      </c>
      <c r="H331" s="718">
        <f t="shared" ref="H331:H335" si="599">G331/$F$19</f>
        <v>15.441567888040506</v>
      </c>
      <c r="I331" s="719">
        <v>1</v>
      </c>
      <c r="J331" s="716"/>
      <c r="K331" s="716"/>
      <c r="L331" s="716" t="s">
        <v>14464</v>
      </c>
      <c r="M331" s="716"/>
      <c r="N331" s="716">
        <f>IFERROR(VLOOKUP(C331,[3]List1!$A:$D,4,FALSE),"N/A!")</f>
        <v>0</v>
      </c>
      <c r="O331" s="716">
        <f>IFERROR(VLOOKUP(C331,[3]List1!$A:$D,3,FALSE),"N/A!")</f>
        <v>0</v>
      </c>
      <c r="P331" s="716">
        <f>IFERROR(VLOOKUP(C331,[3]List1!$A:$D,2,FALSE),"N/A!")</f>
        <v>225</v>
      </c>
      <c r="Q331" s="716" t="s">
        <v>24</v>
      </c>
      <c r="R331" s="716" t="s">
        <v>24</v>
      </c>
      <c r="S331" s="716"/>
      <c r="T331" s="716"/>
      <c r="U331" s="716"/>
      <c r="V331" s="716"/>
      <c r="W331" s="716" t="str">
        <f>IFERROR(VLOOKUP('General price list'!$C331,Popisy!A:P,MATCH($W$17,Popisy!$A$7:$P$7,0),FALSE),"---------------")</f>
        <v>tričko Dumbum, gramáž 180g</v>
      </c>
      <c r="X331" s="716" t="str">
        <f t="shared" ref="X331:X335" si="600">IF(AB331&lt;0.0001,"",AB331)</f>
        <v/>
      </c>
      <c r="Y331" s="716" t="str">
        <f t="shared" ref="Y331:Y335" si="601">IF($AL$3=2,IF(OR(AB331&lt;&gt;"",AB331&lt;&gt;0),AU331,""),IF(C331="","",IF(AB331&lt;0.0001,"",IF(B331=0,"",IF(AQ331&lt;AB331,"",AB331)))))</f>
        <v/>
      </c>
      <c r="Z331" s="716" t="str">
        <f>HYPERLINK("https://www.klasekpyrotechnics.cz/tidb1l")</f>
        <v>https://www.klasekpyrotechnics.cz/tidb1l</v>
      </c>
      <c r="AA331" s="716" t="str">
        <f>IFERROR(IF(VLOOKUP(C331,[4]List1!$A:$D,4,FALSE)=0,"",VLOOKUP(C331,[4]List1!$A:$D,4,FALSE)),"")</f>
        <v/>
      </c>
      <c r="AB331" s="720"/>
      <c r="AC331" s="721" t="str">
        <f>IFERROR(IF(VLOOKUP(C331,[1]List1!$A:$D,2,FALSE)="VYPRODÁNO",$V$9,IF(VLOOKUP(C331,[1]List1!$A:$D,2,FALSE)="DOCHÁZÍ",$V$3,VLOOKUP(C331,[1]List1!$A:$D,2,FALSE))),"OFFLINE!")</f>
        <v>SKLADEM</v>
      </c>
      <c r="AD331" s="722" t="str">
        <f ca="1">IF(AP331="NE",$V$10,IF(AC331=$V$3,IF(AQ331&lt;1,$V$8,$V$2&amp;" "&amp;AQ331&amp;" "&amp;$V$1),IF(AC331="SKLADEM",$V$6,IFERROR(IF(OR(AC331-TODAY()&gt;45,VLOOKUP(C331,[1]List1!$A:$E,4,FALSE)=0),AC331,DAY(AC331)&amp;"."&amp;MONTH(AC331)&amp;"."&amp;YEAR(AC331)&amp;" "&amp;$V$4&amp;VLOOKUP(C331,[1]List1!$A:$E,4,FALSE)&amp;" "&amp;$V$1),AC331))))</f>
        <v>SKLADEM</v>
      </c>
      <c r="AE331" s="716" t="str">
        <f t="shared" ref="AE331:AE335" ca="1" si="602">IFERROR(IF(AV331&lt;&gt;"",AV331,AD331),AD331)</f>
        <v>SKLADEM</v>
      </c>
      <c r="AF331" s="723">
        <f t="shared" ref="AF331:AF335" si="603">IFERROR(IF(AB331=Y331,G331*I331*Y331,0),0)</f>
        <v>0</v>
      </c>
      <c r="AG331" s="723">
        <f t="shared" ref="AG331:AG335" si="604">IF($W$17=$AF$8,AH331*1.23,AF331*1.21)</f>
        <v>0</v>
      </c>
      <c r="AH331" s="724">
        <f t="shared" ref="AH331:AH335" si="605">IFERROR(IF(Y331=AB331,H331*I331*Y331,0),0)</f>
        <v>0</v>
      </c>
      <c r="AI331" s="716">
        <f t="shared" ref="AI331:AI335" si="606">IFERROR(IF(Y331=AB331,(P331*Y331)/1000,1),0)</f>
        <v>0</v>
      </c>
      <c r="AJ331" s="716">
        <f t="shared" ref="AJ331:AJ335" si="607">IFERROR(IF(Y331=AB331,N331*Y331,0.1),0)</f>
        <v>0</v>
      </c>
      <c r="AK331" s="716" t="str">
        <f t="shared" ref="AK331:AK335" si="608">IFERROR(IF(Y331=AB331,IF(M331="1.1G",(O331/1000)*Y331,""),""),0)</f>
        <v/>
      </c>
      <c r="AL331" s="716" t="str">
        <f t="shared" ref="AL331:AL335" si="609">IFERROR(IF(Y331=AB331,IF(M331="1.3G",(O331/1000)*AB331,""),""),0)</f>
        <v/>
      </c>
      <c r="AM331" s="716" t="str">
        <f t="shared" ref="AM331:AM335" si="610">IFERROR(IF(Y331=AB331,IF(M331="1.4G",(O331/1000)*AB331,""),""),0)</f>
        <v/>
      </c>
      <c r="AN331" s="716">
        <f t="shared" ref="AN331:AN335" si="611">SUM(AK331:AM331)</f>
        <v>0</v>
      </c>
      <c r="AO331" s="380"/>
      <c r="AP331" s="322" t="str">
        <f t="shared" si="529"/>
        <v/>
      </c>
      <c r="AQ331" s="323" t="str">
        <f>IF(AC331=$V$3,IF(VLOOKUP(C331,[1]List1!$A:$E,5,FALSE)=0,1,VLOOKUP(C331,[1]List1!$A:$E,5,FALSE)),"")</f>
        <v/>
      </c>
      <c r="AR331" s="304" t="str">
        <f t="shared" si="530"/>
        <v/>
      </c>
      <c r="AS331" s="423" t="str">
        <f t="shared" si="531"/>
        <v/>
      </c>
      <c r="AT331" s="304" t="str">
        <f t="shared" si="532"/>
        <v/>
      </c>
      <c r="AU331" s="342" t="e">
        <f t="shared" si="533"/>
        <v>#N/A</v>
      </c>
      <c r="AV331" s="304" t="e">
        <f t="shared" si="534"/>
        <v>#N/A</v>
      </c>
      <c r="AX331" s="304">
        <f>IF(AND('General price list'!$J331="F4",'General price list'!$AB331+0&gt;0),1,0)</f>
        <v>0</v>
      </c>
      <c r="AY331" s="304">
        <f t="shared" si="535"/>
        <v>0</v>
      </c>
      <c r="AZ331" s="304">
        <f t="shared" si="536"/>
        <v>0</v>
      </c>
    </row>
    <row r="332" spans="1:52" ht="15" customHeight="1">
      <c r="A332" s="725" t="str">
        <f>Kat.!C329</f>
        <v>×</v>
      </c>
      <c r="B332" s="726">
        <f>IF(AND('General price list'!$J332="F4",$AI$1=FALSE),0,IF(AC332="SKLADEM",1,IF(AC332=$V$3,1,0)))</f>
        <v>1</v>
      </c>
      <c r="C332" s="727" t="s">
        <v>968</v>
      </c>
      <c r="D332" s="728" t="s">
        <v>12904</v>
      </c>
      <c r="E332" s="729" t="s">
        <v>136</v>
      </c>
      <c r="F332" s="725">
        <f>IFERROR(ROUND(IF($AL$3=2,VLOOKUP(C332,[2]List1!$A:$D,2,FALSE)*1.08,VLOOKUP(C332,[2]List1!$A:$D,2,FALSE)),0),"NEUVEDENO!")</f>
        <v>880</v>
      </c>
      <c r="G332" s="730">
        <f t="shared" si="598"/>
        <v>880</v>
      </c>
      <c r="H332" s="731">
        <f t="shared" si="599"/>
        <v>35.759420372304334</v>
      </c>
      <c r="I332" s="732">
        <v>1</v>
      </c>
      <c r="J332" s="729"/>
      <c r="K332" s="729"/>
      <c r="L332" s="729" t="s">
        <v>14464</v>
      </c>
      <c r="M332" s="729"/>
      <c r="N332" s="729">
        <f>IFERROR(VLOOKUP(C332,[3]List1!$A:$D,4,FALSE),"N/A!")</f>
        <v>0</v>
      </c>
      <c r="O332" s="729">
        <f>IFERROR(VLOOKUP(C332,[3]List1!$A:$D,3,FALSE),"N/A!")</f>
        <v>0</v>
      </c>
      <c r="P332" s="729">
        <f>IFERROR(VLOOKUP(C332,[3]List1!$A:$D,2,FALSE),"N/A!")</f>
        <v>257</v>
      </c>
      <c r="Q332" s="729" t="s">
        <v>24</v>
      </c>
      <c r="R332" s="729" t="s">
        <v>24</v>
      </c>
      <c r="S332" s="729"/>
      <c r="T332" s="729"/>
      <c r="U332" s="729"/>
      <c r="V332" s="729"/>
      <c r="W332" s="729" t="str">
        <f>IFERROR(VLOOKUP('General price list'!$C332,Popisy!A:P,MATCH($W$17,Popisy!$A$7:$P$7,0),FALSE),"---------------")</f>
        <v>polo triko Dumbum, gramáž 225g</v>
      </c>
      <c r="X332" s="729" t="str">
        <f t="shared" si="600"/>
        <v/>
      </c>
      <c r="Y332" s="729" t="str">
        <f t="shared" si="601"/>
        <v/>
      </c>
      <c r="Z332" s="729" t="str">
        <f>HYPERLINK("https://www.klasekpyrotechnics.cz/tpd1l")</f>
        <v>https://www.klasekpyrotechnics.cz/tpd1l</v>
      </c>
      <c r="AA332" s="729" t="str">
        <f>IFERROR(IF(VLOOKUP(C332,[4]List1!$A:$D,4,FALSE)=0,"",VLOOKUP(C332,[4]List1!$A:$D,4,FALSE)),"")</f>
        <v/>
      </c>
      <c r="AB332" s="720"/>
      <c r="AC332" s="733" t="str">
        <f>IFERROR(IF(VLOOKUP(C332,[1]List1!$A:$D,2,FALSE)="VYPRODÁNO",$V$9,IF(VLOOKUP(C332,[1]List1!$A:$D,2,FALSE)="DOCHÁZÍ",$V$3,VLOOKUP(C332,[1]List1!$A:$D,2,FALSE))),"OFFLINE!")</f>
        <v>SKLADEM</v>
      </c>
      <c r="AD332" s="734" t="str">
        <f ca="1">IF(AP332="NE",$V$10,IF(AC332=$V$3,IF(AQ332&lt;1,$V$8,$V$2&amp;" "&amp;AQ332&amp;" "&amp;$V$1),IF(AC332="SKLADEM",$V$6,IFERROR(IF(OR(AC332-TODAY()&gt;45,VLOOKUP(C332,[1]List1!$A:$E,4,FALSE)=0),AC332,DAY(AC332)&amp;"."&amp;MONTH(AC332)&amp;"."&amp;YEAR(AC332)&amp;" "&amp;$V$4&amp;VLOOKUP(C332,[1]List1!$A:$E,4,FALSE)&amp;" "&amp;$V$1),AC332))))</f>
        <v>SKLADEM</v>
      </c>
      <c r="AE332" s="729" t="str">
        <f t="shared" ca="1" si="602"/>
        <v>SKLADEM</v>
      </c>
      <c r="AF332" s="735">
        <f t="shared" si="603"/>
        <v>0</v>
      </c>
      <c r="AG332" s="735">
        <f t="shared" si="604"/>
        <v>0</v>
      </c>
      <c r="AH332" s="736">
        <f t="shared" si="605"/>
        <v>0</v>
      </c>
      <c r="AI332" s="729">
        <f t="shared" si="606"/>
        <v>0</v>
      </c>
      <c r="AJ332" s="729">
        <f t="shared" si="607"/>
        <v>0</v>
      </c>
      <c r="AK332" s="729" t="str">
        <f t="shared" si="608"/>
        <v/>
      </c>
      <c r="AL332" s="729" t="str">
        <f t="shared" si="609"/>
        <v/>
      </c>
      <c r="AM332" s="729" t="str">
        <f t="shared" si="610"/>
        <v/>
      </c>
      <c r="AN332" s="729">
        <f t="shared" si="611"/>
        <v>0</v>
      </c>
      <c r="AO332" s="380"/>
      <c r="AP332" s="322" t="str">
        <f t="shared" si="529"/>
        <v/>
      </c>
      <c r="AQ332" s="323" t="str">
        <f>IF(AC332=$V$3,IF(VLOOKUP(C332,[1]List1!$A:$E,5,FALSE)=0,1,VLOOKUP(C332,[1]List1!$A:$E,5,FALSE)),"")</f>
        <v/>
      </c>
      <c r="AR332" s="304" t="str">
        <f t="shared" si="530"/>
        <v/>
      </c>
      <c r="AS332" s="423" t="str">
        <f t="shared" si="531"/>
        <v/>
      </c>
      <c r="AT332" s="304" t="str">
        <f t="shared" si="532"/>
        <v/>
      </c>
      <c r="AU332" s="342" t="e">
        <f t="shared" si="533"/>
        <v>#N/A</v>
      </c>
      <c r="AV332" s="304" t="e">
        <f t="shared" si="534"/>
        <v>#N/A</v>
      </c>
      <c r="AX332" s="304">
        <f>IF(AND('General price list'!$J332="F4",'General price list'!$AB332+0&gt;0),1,0)</f>
        <v>0</v>
      </c>
      <c r="AY332" s="304">
        <f t="shared" si="535"/>
        <v>0</v>
      </c>
      <c r="AZ332" s="304">
        <f t="shared" si="536"/>
        <v>0</v>
      </c>
    </row>
    <row r="333" spans="1:52" ht="15" customHeight="1">
      <c r="A333" s="712" t="str">
        <f>Kat.!C330</f>
        <v>×</v>
      </c>
      <c r="B333" s="737">
        <f>IF(AND('General price list'!$J333="F4",$AI$1=FALSE),0,IF(AC333="SKLADEM",1,IF(AC333=$V$3,1,0)))</f>
        <v>1</v>
      </c>
      <c r="C333" s="714" t="s">
        <v>969</v>
      </c>
      <c r="D333" s="715" t="s">
        <v>12905</v>
      </c>
      <c r="E333" s="716" t="s">
        <v>136</v>
      </c>
      <c r="F333" s="712">
        <f>IFERROR(ROUND(IF($AL$3=2,VLOOKUP(C333,[2]List1!$A:$D,2,FALSE)*1.08,VLOOKUP(C333,[2]List1!$A:$D,2,FALSE)),0),"NEUVEDENO!")</f>
        <v>880</v>
      </c>
      <c r="G333" s="717">
        <f t="shared" si="598"/>
        <v>880</v>
      </c>
      <c r="H333" s="718">
        <f t="shared" si="599"/>
        <v>35.759420372304334</v>
      </c>
      <c r="I333" s="738">
        <v>1</v>
      </c>
      <c r="J333" s="716"/>
      <c r="K333" s="716"/>
      <c r="L333" s="716" t="s">
        <v>14464</v>
      </c>
      <c r="M333" s="716"/>
      <c r="N333" s="716">
        <f>IFERROR(VLOOKUP(C333,[3]List1!$A:$D,4,FALSE),"N/A!")</f>
        <v>0</v>
      </c>
      <c r="O333" s="716">
        <f>IFERROR(VLOOKUP(C333,[3]List1!$A:$D,3,FALSE),"N/A!")</f>
        <v>0</v>
      </c>
      <c r="P333" s="716">
        <f>IFERROR(VLOOKUP(C333,[3]List1!$A:$D,2,FALSE),"N/A!")</f>
        <v>283</v>
      </c>
      <c r="Q333" s="716" t="s">
        <v>24</v>
      </c>
      <c r="R333" s="716" t="s">
        <v>24</v>
      </c>
      <c r="S333" s="716"/>
      <c r="T333" s="716"/>
      <c r="U333" s="716"/>
      <c r="V333" s="716"/>
      <c r="W333" s="716" t="str">
        <f>IFERROR(VLOOKUP('General price list'!$C333,Popisy!A:P,MATCH($W$17,Popisy!$A$7:$P$7,0),FALSE),"---------------")</f>
        <v>polo triko Dumbum, gramáž 225g</v>
      </c>
      <c r="X333" s="716" t="str">
        <f t="shared" si="600"/>
        <v/>
      </c>
      <c r="Y333" s="716" t="str">
        <f t="shared" si="601"/>
        <v/>
      </c>
      <c r="Z333" s="716" t="str">
        <f>HYPERLINK("https://www.klasekpyrotechnics.cz/tpd1xl")</f>
        <v>https://www.klasekpyrotechnics.cz/tpd1xl</v>
      </c>
      <c r="AA333" s="716" t="str">
        <f>IFERROR(IF(VLOOKUP(C333,[4]List1!$A:$D,4,FALSE)=0,"",VLOOKUP(C333,[4]List1!$A:$D,4,FALSE)),"")</f>
        <v/>
      </c>
      <c r="AB333" s="720"/>
      <c r="AC333" s="739" t="str">
        <f>IFERROR(IF(VLOOKUP(C333,[1]List1!$A:$D,2,FALSE)="VYPRODÁNO",$V$9,IF(VLOOKUP(C333,[1]List1!$A:$D,2,FALSE)="DOCHÁZÍ",$V$3,VLOOKUP(C333,[1]List1!$A:$D,2,FALSE))),"OFFLINE!")</f>
        <v>SKLADEM</v>
      </c>
      <c r="AD333" s="740" t="str">
        <f ca="1">IF(AP333="NE",$V$10,IF(AC333=$V$3,IF(AQ333&lt;1,$V$8,$V$2&amp;" "&amp;AQ333&amp;" "&amp;$V$1),IF(AC333="SKLADEM",$V$6,IFERROR(IF(OR(AC333-TODAY()&gt;45,VLOOKUP(C333,[1]List1!$A:$E,4,FALSE)=0),AC333,DAY(AC333)&amp;"."&amp;MONTH(AC333)&amp;"."&amp;YEAR(AC333)&amp;" "&amp;$V$4&amp;VLOOKUP(C333,[1]List1!$A:$E,4,FALSE)&amp;" "&amp;$V$1),AC333))))</f>
        <v>SKLADEM</v>
      </c>
      <c r="AE333" s="716" t="str">
        <f t="shared" ca="1" si="602"/>
        <v>SKLADEM</v>
      </c>
      <c r="AF333" s="723">
        <f t="shared" si="603"/>
        <v>0</v>
      </c>
      <c r="AG333" s="723">
        <f t="shared" si="604"/>
        <v>0</v>
      </c>
      <c r="AH333" s="724">
        <f t="shared" si="605"/>
        <v>0</v>
      </c>
      <c r="AI333" s="716">
        <f t="shared" si="606"/>
        <v>0</v>
      </c>
      <c r="AJ333" s="716">
        <f t="shared" si="607"/>
        <v>0</v>
      </c>
      <c r="AK333" s="716" t="str">
        <f t="shared" si="608"/>
        <v/>
      </c>
      <c r="AL333" s="716" t="str">
        <f t="shared" si="609"/>
        <v/>
      </c>
      <c r="AM333" s="716" t="str">
        <f t="shared" si="610"/>
        <v/>
      </c>
      <c r="AN333" s="716">
        <f t="shared" si="611"/>
        <v>0</v>
      </c>
      <c r="AO333" s="380"/>
      <c r="AP333" s="322" t="str">
        <f t="shared" si="529"/>
        <v/>
      </c>
      <c r="AQ333" s="323" t="str">
        <f>IF(AC333=$V$3,IF(VLOOKUP(C333,[1]List1!$A:$E,5,FALSE)=0,1,VLOOKUP(C333,[1]List1!$A:$E,5,FALSE)),"")</f>
        <v/>
      </c>
      <c r="AR333" s="304" t="str">
        <f t="shared" si="530"/>
        <v/>
      </c>
      <c r="AS333" s="423" t="str">
        <f t="shared" si="531"/>
        <v/>
      </c>
      <c r="AT333" s="304" t="str">
        <f t="shared" si="532"/>
        <v/>
      </c>
      <c r="AU333" s="342" t="e">
        <f t="shared" si="533"/>
        <v>#N/A</v>
      </c>
      <c r="AV333" s="304" t="e">
        <f t="shared" si="534"/>
        <v>#N/A</v>
      </c>
      <c r="AX333" s="304">
        <f>IF(AND('General price list'!$J333="F4",'General price list'!$AB333+0&gt;0),1,0)</f>
        <v>0</v>
      </c>
      <c r="AY333" s="304">
        <f t="shared" si="535"/>
        <v>0</v>
      </c>
      <c r="AZ333" s="304">
        <f t="shared" si="536"/>
        <v>0</v>
      </c>
    </row>
    <row r="334" spans="1:52" ht="15" customHeight="1">
      <c r="A334" s="725" t="str">
        <f>Kat.!C331</f>
        <v>×</v>
      </c>
      <c r="B334" s="726">
        <f>IF(AND('General price list'!$J334="F4",$AI$1=FALSE),0,IF(AC334="SKLADEM",1,IF(AC334=$V$3,1,0)))</f>
        <v>1</v>
      </c>
      <c r="C334" s="727" t="s">
        <v>970</v>
      </c>
      <c r="D334" s="728" t="s">
        <v>12906</v>
      </c>
      <c r="E334" s="729" t="s">
        <v>136</v>
      </c>
      <c r="F334" s="725">
        <f>IFERROR(ROUND(IF($AL$3=2,VLOOKUP(C334,[2]List1!$A:$D,2,FALSE)*1.08,VLOOKUP(C334,[2]List1!$A:$D,2,FALSE)),0),"NEUVEDENO!")</f>
        <v>1800</v>
      </c>
      <c r="G334" s="730">
        <f t="shared" si="598"/>
        <v>1800</v>
      </c>
      <c r="H334" s="731">
        <f t="shared" si="599"/>
        <v>73.144268943349772</v>
      </c>
      <c r="I334" s="732">
        <v>1</v>
      </c>
      <c r="J334" s="729"/>
      <c r="K334" s="729"/>
      <c r="L334" s="729" t="s">
        <v>14464</v>
      </c>
      <c r="M334" s="729"/>
      <c r="N334" s="729">
        <f>IFERROR(VLOOKUP(C334,[3]List1!$A:$D,4,FALSE),"N/A!")</f>
        <v>0</v>
      </c>
      <c r="O334" s="729">
        <f>IFERROR(VLOOKUP(C334,[3]List1!$A:$D,3,FALSE),"N/A!")</f>
        <v>0</v>
      </c>
      <c r="P334" s="729">
        <f>IFERROR(VLOOKUP(C334,[3]List1!$A:$D,2,FALSE),"N/A!")</f>
        <v>823</v>
      </c>
      <c r="Q334" s="729" t="s">
        <v>24</v>
      </c>
      <c r="R334" s="729" t="s">
        <v>24</v>
      </c>
      <c r="S334" s="729"/>
      <c r="T334" s="729"/>
      <c r="U334" s="729"/>
      <c r="V334" s="729"/>
      <c r="W334" s="729" t="str">
        <f>IFERROR(VLOOKUP('General price list'!$C334,Popisy!A:P,MATCH($W$17,Popisy!$A$7:$P$7,0),FALSE),"---------------")</f>
        <v>bunda fleece Dumbum, gramáž 600g</v>
      </c>
      <c r="X334" s="729" t="str">
        <f t="shared" si="600"/>
        <v/>
      </c>
      <c r="Y334" s="729" t="str">
        <f t="shared" si="601"/>
        <v/>
      </c>
      <c r="Z334" s="729" t="str">
        <f>HYPERLINK("https://www.klasekpyrotechnics.cz/bd1l")</f>
        <v>https://www.klasekpyrotechnics.cz/bd1l</v>
      </c>
      <c r="AA334" s="729" t="str">
        <f>IFERROR(IF(VLOOKUP(C334,[4]List1!$A:$D,4,FALSE)=0,"",VLOOKUP(C334,[4]List1!$A:$D,4,FALSE)),"")</f>
        <v/>
      </c>
      <c r="AB334" s="720"/>
      <c r="AC334" s="733" t="str">
        <f>IFERROR(IF(VLOOKUP(C334,[1]List1!$A:$D,2,FALSE)="VYPRODÁNO",$V$9,IF(VLOOKUP(C334,[1]List1!$A:$D,2,FALSE)="DOCHÁZÍ",$V$3,VLOOKUP(C334,[1]List1!$A:$D,2,FALSE))),"OFFLINE!")</f>
        <v>DOCHÁZÍ</v>
      </c>
      <c r="AD334" s="734" t="str">
        <f ca="1">IF(AP334="NE",$V$10,IF(AC334=$V$3,IF(AQ334&lt;1,$V$8,$V$2&amp;" "&amp;AQ334&amp;" "&amp;$V$1),IF(AC334="SKLADEM",$V$6,IFERROR(IF(OR(AC334-TODAY()&gt;45,VLOOKUP(C334,[1]List1!$A:$E,4,FALSE)=0),AC334,DAY(AC334)&amp;"."&amp;MONTH(AC334)&amp;"."&amp;YEAR(AC334)&amp;" "&amp;$V$4&amp;VLOOKUP(C334,[1]List1!$A:$E,4,FALSE)&amp;" "&amp;$V$1),AC334))))</f>
        <v>POSLEDNÍCH 1 VK</v>
      </c>
      <c r="AE334" s="729" t="str">
        <f t="shared" ca="1" si="602"/>
        <v>POSLEDNÍCH 1 VK</v>
      </c>
      <c r="AF334" s="735">
        <f t="shared" si="603"/>
        <v>0</v>
      </c>
      <c r="AG334" s="735">
        <f t="shared" si="604"/>
        <v>0</v>
      </c>
      <c r="AH334" s="736">
        <f t="shared" si="605"/>
        <v>0</v>
      </c>
      <c r="AI334" s="729">
        <f t="shared" si="606"/>
        <v>0</v>
      </c>
      <c r="AJ334" s="729">
        <f t="shared" si="607"/>
        <v>0</v>
      </c>
      <c r="AK334" s="729" t="str">
        <f t="shared" si="608"/>
        <v/>
      </c>
      <c r="AL334" s="729" t="str">
        <f t="shared" si="609"/>
        <v/>
      </c>
      <c r="AM334" s="729" t="str">
        <f t="shared" si="610"/>
        <v/>
      </c>
      <c r="AN334" s="729">
        <f t="shared" si="611"/>
        <v>0</v>
      </c>
      <c r="AO334" s="380"/>
      <c r="AP334" s="322" t="str">
        <f t="shared" si="529"/>
        <v/>
      </c>
      <c r="AQ334" s="323">
        <f>IF(AC334=$V$3,IF(VLOOKUP(C334,[1]List1!$A:$E,5,FALSE)=0,1,VLOOKUP(C334,[1]List1!$A:$E,5,FALSE)),"")</f>
        <v>1</v>
      </c>
      <c r="AR334" s="304" t="str">
        <f t="shared" si="530"/>
        <v/>
      </c>
      <c r="AS334" s="423" t="str">
        <f t="shared" si="531"/>
        <v/>
      </c>
      <c r="AT334" s="304" t="str">
        <f t="shared" si="532"/>
        <v/>
      </c>
      <c r="AU334" s="342" t="e">
        <f t="shared" si="533"/>
        <v>#N/A</v>
      </c>
      <c r="AV334" s="304" t="e">
        <f t="shared" si="534"/>
        <v>#N/A</v>
      </c>
      <c r="AX334" s="304">
        <f>IF(AND('General price list'!$J334="F4",'General price list'!$AB334+0&gt;0),1,0)</f>
        <v>0</v>
      </c>
      <c r="AY334" s="304">
        <f t="shared" si="535"/>
        <v>0</v>
      </c>
      <c r="AZ334" s="304">
        <f t="shared" si="536"/>
        <v>0</v>
      </c>
    </row>
    <row r="335" spans="1:52" ht="15" customHeight="1">
      <c r="A335" s="712" t="str">
        <f>Kat.!C332</f>
        <v>×</v>
      </c>
      <c r="B335" s="737">
        <f>IF(AND('General price list'!$J335="F4",$AI$1=FALSE),0,IF(AC335="SKLADEM",1,IF(AC335=$V$3,1,0)))</f>
        <v>1</v>
      </c>
      <c r="C335" s="714" t="s">
        <v>975</v>
      </c>
      <c r="D335" s="715" t="s">
        <v>12907</v>
      </c>
      <c r="E335" s="716" t="s">
        <v>136</v>
      </c>
      <c r="F335" s="712">
        <f>IFERROR(ROUND(IF($AL$3=2,VLOOKUP(C335,[2]List1!$A:$D,2,FALSE)*1.08,VLOOKUP(C335,[2]List1!$A:$D,2,FALSE)),0),"NEUVEDENO!")</f>
        <v>1800</v>
      </c>
      <c r="G335" s="717">
        <f t="shared" si="598"/>
        <v>1800</v>
      </c>
      <c r="H335" s="718">
        <f t="shared" si="599"/>
        <v>73.144268943349772</v>
      </c>
      <c r="I335" s="738">
        <v>1</v>
      </c>
      <c r="J335" s="716"/>
      <c r="K335" s="716"/>
      <c r="L335" s="716" t="s">
        <v>14464</v>
      </c>
      <c r="M335" s="716"/>
      <c r="N335" s="716">
        <f>IFERROR(VLOOKUP(C335,[3]List1!$A:$D,4,FALSE),"N/A!")</f>
        <v>0</v>
      </c>
      <c r="O335" s="716">
        <f>IFERROR(VLOOKUP(C335,[3]List1!$A:$D,3,FALSE),"N/A!")</f>
        <v>0</v>
      </c>
      <c r="P335" s="716">
        <f>IFERROR(VLOOKUP(C335,[3]List1!$A:$D,2,FALSE),"N/A!")</f>
        <v>912</v>
      </c>
      <c r="Q335" s="716" t="s">
        <v>24</v>
      </c>
      <c r="R335" s="716" t="s">
        <v>24</v>
      </c>
      <c r="S335" s="716"/>
      <c r="T335" s="716"/>
      <c r="U335" s="716"/>
      <c r="V335" s="716"/>
      <c r="W335" s="716" t="str">
        <f>IFERROR(VLOOKUP('General price list'!$C335,Popisy!A:P,MATCH($W$17,Popisy!$A$7:$P$7,0),FALSE),"---------------")</f>
        <v>bunda fleece Dumbum, gramáž 600g</v>
      </c>
      <c r="X335" s="716" t="str">
        <f t="shared" si="600"/>
        <v/>
      </c>
      <c r="Y335" s="716" t="str">
        <f t="shared" si="601"/>
        <v/>
      </c>
      <c r="Z335" s="716" t="str">
        <f>HYPERLINK("https://www.klasekpyrotechnics.cz/bd1xxl")</f>
        <v>https://www.klasekpyrotechnics.cz/bd1xxl</v>
      </c>
      <c r="AA335" s="716" t="str">
        <f>IFERROR(IF(VLOOKUP(C335,[4]List1!$A:$D,4,FALSE)=0,"",VLOOKUP(C335,[4]List1!$A:$D,4,FALSE)),"")</f>
        <v/>
      </c>
      <c r="AB335" s="720"/>
      <c r="AC335" s="739" t="str">
        <f>IFERROR(IF(VLOOKUP(C335,[1]List1!$A:$D,2,FALSE)="VYPRODÁNO",$V$9,IF(VLOOKUP(C335,[1]List1!$A:$D,2,FALSE)="DOCHÁZÍ",$V$3,VLOOKUP(C335,[1]List1!$A:$D,2,FALSE))),"OFFLINE!")</f>
        <v>SKLADEM</v>
      </c>
      <c r="AD335" s="740" t="str">
        <f ca="1">IF(AP335="NE",$V$10,IF(AC335=$V$3,IF(AQ335&lt;1,$V$8,$V$2&amp;" "&amp;AQ335&amp;" "&amp;$V$1),IF(AC335="SKLADEM",$V$6,IFERROR(IF(OR(AC335-TODAY()&gt;45,VLOOKUP(C335,[1]List1!$A:$E,4,FALSE)=0),AC335,DAY(AC335)&amp;"."&amp;MONTH(AC335)&amp;"."&amp;YEAR(AC335)&amp;" "&amp;$V$4&amp;VLOOKUP(C335,[1]List1!$A:$E,4,FALSE)&amp;" "&amp;$V$1),AC335))))</f>
        <v>SKLADEM</v>
      </c>
      <c r="AE335" s="716" t="str">
        <f t="shared" ca="1" si="602"/>
        <v>SKLADEM</v>
      </c>
      <c r="AF335" s="723">
        <f t="shared" si="603"/>
        <v>0</v>
      </c>
      <c r="AG335" s="723">
        <f t="shared" si="604"/>
        <v>0</v>
      </c>
      <c r="AH335" s="724">
        <f t="shared" si="605"/>
        <v>0</v>
      </c>
      <c r="AI335" s="716">
        <f t="shared" si="606"/>
        <v>0</v>
      </c>
      <c r="AJ335" s="716">
        <f t="shared" si="607"/>
        <v>0</v>
      </c>
      <c r="AK335" s="716" t="str">
        <f t="shared" si="608"/>
        <v/>
      </c>
      <c r="AL335" s="716" t="str">
        <f t="shared" si="609"/>
        <v/>
      </c>
      <c r="AM335" s="716" t="str">
        <f t="shared" si="610"/>
        <v/>
      </c>
      <c r="AN335" s="716">
        <f t="shared" si="611"/>
        <v>0</v>
      </c>
      <c r="AO335" s="380"/>
      <c r="AP335" s="322" t="str">
        <f t="shared" si="529"/>
        <v/>
      </c>
      <c r="AQ335" s="323" t="str">
        <f>IF(AC335=$V$3,IF(VLOOKUP(C335,[1]List1!$A:$E,5,FALSE)=0,1,VLOOKUP(C335,[1]List1!$A:$E,5,FALSE)),"")</f>
        <v/>
      </c>
      <c r="AR335" s="304" t="str">
        <f t="shared" si="530"/>
        <v/>
      </c>
      <c r="AS335" s="423" t="str">
        <f t="shared" si="531"/>
        <v/>
      </c>
      <c r="AT335" s="304" t="str">
        <f t="shared" si="532"/>
        <v/>
      </c>
      <c r="AU335" s="342" t="e">
        <f t="shared" si="533"/>
        <v>#N/A</v>
      </c>
      <c r="AV335" s="304" t="e">
        <f t="shared" si="534"/>
        <v>#N/A</v>
      </c>
      <c r="AX335" s="304">
        <f>IF(AND('General price list'!$J335="F4",'General price list'!$AB335+0&gt;0),1,0)</f>
        <v>0</v>
      </c>
      <c r="AY335" s="304">
        <f t="shared" si="535"/>
        <v>0</v>
      </c>
      <c r="AZ335" s="304">
        <f t="shared" si="536"/>
        <v>0</v>
      </c>
    </row>
    <row r="336" spans="1:52" ht="15" customHeight="1">
      <c r="A336" s="773" t="str">
        <f>Kat.!C333</f>
        <v xml:space="preserve">                                                               Oblečení Dumbum limitovaná edice</v>
      </c>
      <c r="B336" s="774"/>
      <c r="C336" s="774"/>
      <c r="D336" s="774"/>
      <c r="E336" s="774"/>
      <c r="F336" s="774"/>
      <c r="G336" s="774"/>
      <c r="H336" s="774"/>
      <c r="I336" s="774"/>
      <c r="J336" s="774"/>
      <c r="K336" s="774"/>
      <c r="L336" s="774"/>
      <c r="M336" s="774"/>
      <c r="N336" s="774"/>
      <c r="O336" s="774"/>
      <c r="P336" s="774"/>
      <c r="Q336" s="774"/>
      <c r="R336" s="774"/>
      <c r="S336" s="774"/>
      <c r="T336" s="774"/>
      <c r="U336" s="774"/>
      <c r="V336" s="774"/>
      <c r="W336" s="774"/>
      <c r="X336" s="774"/>
      <c r="Y336" s="774"/>
      <c r="Z336" s="774"/>
      <c r="AA336" s="774" t="str">
        <f>IFERROR(IF(VLOOKUP(C336,[4]List1!$A:$D,4,FALSE)=0,"",VLOOKUP(C336,[4]List1!$A:$D,4,FALSE)),"")</f>
        <v/>
      </c>
      <c r="AB336" s="774"/>
      <c r="AC336" s="775" t="str">
        <f>IFERROR(IF(VLOOKUP(C336,[1]List1!$A:$D,2,FALSE)="VYPRODÁNO",$V$9,IF(VLOOKUP(C336,[1]List1!$A:$D,2,FALSE)="DOCHÁZÍ",$V$3,VLOOKUP(C336,[1]List1!$A:$D,2,FALSE))),"OFFLINE!")</f>
        <v>OFFLINE!</v>
      </c>
      <c r="AD336" s="774"/>
      <c r="AE336" s="774"/>
      <c r="AF336" s="774"/>
      <c r="AG336" s="774"/>
      <c r="AH336" s="774"/>
      <c r="AI336" s="774"/>
      <c r="AJ336" s="774"/>
      <c r="AK336" s="774"/>
      <c r="AL336" s="774"/>
      <c r="AM336" s="774"/>
      <c r="AN336" s="774"/>
      <c r="AO336" s="380"/>
      <c r="AP336" s="322" t="str">
        <f t="shared" si="529"/>
        <v/>
      </c>
      <c r="AQ336" s="323" t="str">
        <f>IF(AC336=$V$3,IF(VLOOKUP(C336,[1]List1!$A:$E,5,FALSE)=0,1,VLOOKUP(C336,[1]List1!$A:$E,5,FALSE)),"")</f>
        <v/>
      </c>
      <c r="AR336" s="304" t="str">
        <f t="shared" si="530"/>
        <v/>
      </c>
      <c r="AS336" s="423" t="str">
        <f t="shared" si="531"/>
        <v/>
      </c>
      <c r="AT336" s="304" t="str">
        <f t="shared" si="532"/>
        <v/>
      </c>
      <c r="AU336" s="342" t="e">
        <f t="shared" si="533"/>
        <v>#N/A</v>
      </c>
      <c r="AV336" s="304" t="e">
        <f t="shared" si="534"/>
        <v>#N/A</v>
      </c>
      <c r="AX336" s="304">
        <f>IF(AND('General price list'!$J336="F4",'General price list'!$AB336+0&gt;0),1,0)</f>
        <v>0</v>
      </c>
      <c r="AY336" s="304">
        <f t="shared" si="535"/>
        <v>0</v>
      </c>
      <c r="AZ336" s="304">
        <f t="shared" si="536"/>
        <v>0</v>
      </c>
    </row>
    <row r="337" spans="1:52" ht="15" customHeight="1">
      <c r="A337" s="712" t="str">
        <f>Kat.!C334</f>
        <v/>
      </c>
      <c r="B337" s="713">
        <f>IF(AND('General price list'!$J337="F4",$AI$1=FALSE),0,IF(AC337="SKLADEM",1,IF(AC337=$V$3,1,0)))</f>
        <v>1</v>
      </c>
      <c r="C337" s="714" t="s">
        <v>2671</v>
      </c>
      <c r="D337" s="715" t="s">
        <v>2672</v>
      </c>
      <c r="E337" s="716" t="s">
        <v>136</v>
      </c>
      <c r="F337" s="712">
        <f>IFERROR(ROUND(IF($AL$3=2,VLOOKUP(C337,[2]List1!$A:$D,2,FALSE)*1.08,VLOOKUP(C337,[2]List1!$A:$D,2,FALSE)),0),"NEUVEDENO!")</f>
        <v>380</v>
      </c>
      <c r="G337" s="717">
        <f t="shared" ref="G337:G340" si="612">(F337)*$B$19</f>
        <v>380</v>
      </c>
      <c r="H337" s="718">
        <f t="shared" ref="H337:H340" si="613">G337/$F$19</f>
        <v>15.441567888040506</v>
      </c>
      <c r="I337" s="719">
        <v>1</v>
      </c>
      <c r="J337" s="716"/>
      <c r="K337" s="716"/>
      <c r="L337" s="716" t="s">
        <v>14464</v>
      </c>
      <c r="M337" s="716"/>
      <c r="N337" s="716">
        <f>IFERROR(VLOOKUP(C337,[3]List1!$A:$D,4,FALSE),"N/A!")</f>
        <v>0</v>
      </c>
      <c r="O337" s="716">
        <f>IFERROR(VLOOKUP(C337,[3]List1!$A:$D,3,FALSE),"N/A!")</f>
        <v>0</v>
      </c>
      <c r="P337" s="716">
        <f>IFERROR(VLOOKUP(C337,[3]List1!$A:$D,2,FALSE),"N/A!")</f>
        <v>165</v>
      </c>
      <c r="Q337" s="716" t="s">
        <v>24</v>
      </c>
      <c r="R337" s="716" t="s">
        <v>24</v>
      </c>
      <c r="S337" s="716"/>
      <c r="T337" s="716"/>
      <c r="U337" s="716"/>
      <c r="V337" s="716"/>
      <c r="W337" s="716" t="str">
        <f>IFERROR(VLOOKUP('General price list'!$C337,Popisy!A:P,MATCH($W$17,Popisy!$A$7:$P$7,0),FALSE),"---------------")</f>
        <v>Dumbum tričko M - limited edition</v>
      </c>
      <c r="X337" s="716" t="str">
        <f t="shared" ref="X337:X340" si="614">IF(AB337&lt;0.0001,"",AB337)</f>
        <v/>
      </c>
      <c r="Y337" s="716" t="str">
        <f t="shared" ref="Y337:Y340" si="615">IF($AL$3=2,IF(OR(AB337&lt;&gt;"",AB337&lt;&gt;0),AU337,""),IF(C337="","",IF(AB337&lt;0.0001,"",IF(B337=0,"",IF(AQ337&lt;AB337,"",AB337)))))</f>
        <v/>
      </c>
      <c r="Z337" s="716" t="str">
        <f>HYPERLINK("https://www.klasekpyrotechnics.cz/tdle1m")</f>
        <v>https://www.klasekpyrotechnics.cz/tdle1m</v>
      </c>
      <c r="AA337" s="716" t="str">
        <f>IFERROR(IF(VLOOKUP(C337,[4]List1!$A:$D,4,FALSE)=0,"",VLOOKUP(C337,[4]List1!$A:$D,4,FALSE)),"")</f>
        <v/>
      </c>
      <c r="AB337" s="720"/>
      <c r="AC337" s="721" t="str">
        <f>IFERROR(IF(VLOOKUP(C337,[1]List1!$A:$D,2,FALSE)="VYPRODÁNO",$V$9,IF(VLOOKUP(C337,[1]List1!$A:$D,2,FALSE)="DOCHÁZÍ",$V$3,VLOOKUP(C337,[1]List1!$A:$D,2,FALSE))),"OFFLINE!")</f>
        <v>SKLADEM</v>
      </c>
      <c r="AD337" s="722" t="str">
        <f ca="1">IF(AP337="NE",$V$10,IF(AC337=$V$3,IF(AQ337&lt;1,$V$8,$V$2&amp;" "&amp;AQ337&amp;" "&amp;$V$1),IF(AC337="SKLADEM",$V$6,IFERROR(IF(OR(AC337-TODAY()&gt;45,VLOOKUP(C337,[1]List1!$A:$E,4,FALSE)=0),AC337,DAY(AC337)&amp;"."&amp;MONTH(AC337)&amp;"."&amp;YEAR(AC337)&amp;" "&amp;$V$4&amp;VLOOKUP(C337,[1]List1!$A:$E,4,FALSE)&amp;" "&amp;$V$1),AC337))))</f>
        <v>SKLADEM</v>
      </c>
      <c r="AE337" s="716" t="str">
        <f t="shared" ref="AE337:AE340" ca="1" si="616">IFERROR(IF(AV337&lt;&gt;"",AV337,AD337),AD337)</f>
        <v>SKLADEM</v>
      </c>
      <c r="AF337" s="723">
        <f t="shared" ref="AF337:AF340" si="617">IFERROR(IF(AB337=Y337,G337*I337*Y337,0),0)</f>
        <v>0</v>
      </c>
      <c r="AG337" s="723">
        <f t="shared" ref="AG337:AG340" si="618">IF($W$17=$AF$8,AH337*1.23,AF337*1.21)</f>
        <v>0</v>
      </c>
      <c r="AH337" s="724">
        <f t="shared" ref="AH337:AH340" si="619">IFERROR(IF(Y337=AB337,H337*I337*Y337,0),0)</f>
        <v>0</v>
      </c>
      <c r="AI337" s="716">
        <f t="shared" ref="AI337:AI340" si="620">IFERROR(IF(Y337=AB337,(P337*Y337)/1000,1),0)</f>
        <v>0</v>
      </c>
      <c r="AJ337" s="716">
        <f t="shared" ref="AJ337:AJ340" si="621">IFERROR(IF(Y337=AB337,N337*Y337,0.1),0)</f>
        <v>0</v>
      </c>
      <c r="AK337" s="716" t="str">
        <f t="shared" ref="AK337:AK340" si="622">IFERROR(IF(Y337=AB337,IF(M337="1.1G",(O337/1000)*Y337,""),""),0)</f>
        <v/>
      </c>
      <c r="AL337" s="716" t="str">
        <f t="shared" ref="AL337:AL340" si="623">IFERROR(IF(Y337=AB337,IF(M337="1.3G",(O337/1000)*AB337,""),""),0)</f>
        <v/>
      </c>
      <c r="AM337" s="716" t="str">
        <f t="shared" ref="AM337:AM340" si="624">IFERROR(IF(Y337=AB337,IF(M337="1.4G",(O337/1000)*AB337,""),""),0)</f>
        <v/>
      </c>
      <c r="AN337" s="716">
        <f t="shared" ref="AN337:AN340" si="625">SUM(AK337:AM337)</f>
        <v>0</v>
      </c>
      <c r="AO337" s="380"/>
      <c r="AP337" s="322" t="str">
        <f t="shared" si="529"/>
        <v/>
      </c>
      <c r="AQ337" s="323" t="str">
        <f>IF(AC337=$V$3,IF(VLOOKUP(C337,[1]List1!$A:$E,5,FALSE)=0,1,VLOOKUP(C337,[1]List1!$A:$E,5,FALSE)),"")</f>
        <v/>
      </c>
      <c r="AR337" s="304" t="str">
        <f t="shared" si="530"/>
        <v/>
      </c>
      <c r="AS337" s="423" t="str">
        <f t="shared" si="531"/>
        <v/>
      </c>
      <c r="AT337" s="304" t="str">
        <f t="shared" si="532"/>
        <v/>
      </c>
      <c r="AU337" s="342" t="e">
        <f t="shared" si="533"/>
        <v>#N/A</v>
      </c>
      <c r="AV337" s="304" t="e">
        <f t="shared" si="534"/>
        <v>#N/A</v>
      </c>
      <c r="AX337" s="304">
        <f>IF(AND('General price list'!$J337="F4",'General price list'!$AB337+0&gt;0),1,0)</f>
        <v>0</v>
      </c>
      <c r="AY337" s="304">
        <f t="shared" si="535"/>
        <v>0</v>
      </c>
      <c r="AZ337" s="304">
        <f t="shared" si="536"/>
        <v>0</v>
      </c>
    </row>
    <row r="338" spans="1:52" ht="15" customHeight="1">
      <c r="A338" s="725" t="str">
        <f>Kat.!C335</f>
        <v/>
      </c>
      <c r="B338" s="726">
        <f>IF(AND('General price list'!$J338="F4",$AI$1=FALSE),0,IF(AC338="SKLADEM",1,IF(AC338=$V$3,1,0)))</f>
        <v>1</v>
      </c>
      <c r="C338" s="727" t="s">
        <v>2673</v>
      </c>
      <c r="D338" s="728" t="s">
        <v>2674</v>
      </c>
      <c r="E338" s="729" t="s">
        <v>136</v>
      </c>
      <c r="F338" s="725">
        <f>IFERROR(ROUND(IF($AL$3=2,VLOOKUP(C338,[2]List1!$A:$D,2,FALSE)*1.08,VLOOKUP(C338,[2]List1!$A:$D,2,FALSE)),0),"NEUVEDENO!")</f>
        <v>380</v>
      </c>
      <c r="G338" s="730">
        <f t="shared" si="612"/>
        <v>380</v>
      </c>
      <c r="H338" s="731">
        <f t="shared" si="613"/>
        <v>15.441567888040506</v>
      </c>
      <c r="I338" s="732">
        <v>1</v>
      </c>
      <c r="J338" s="729"/>
      <c r="K338" s="729"/>
      <c r="L338" s="729" t="s">
        <v>14464</v>
      </c>
      <c r="M338" s="729"/>
      <c r="N338" s="729">
        <f>IFERROR(VLOOKUP(C338,[3]List1!$A:$D,4,FALSE),"N/A!")</f>
        <v>0</v>
      </c>
      <c r="O338" s="729">
        <f>IFERROR(VLOOKUP(C338,[3]List1!$A:$D,3,FALSE),"N/A!")</f>
        <v>0</v>
      </c>
      <c r="P338" s="729">
        <f>IFERROR(VLOOKUP(C338,[3]List1!$A:$D,2,FALSE),"N/A!")</f>
        <v>180</v>
      </c>
      <c r="Q338" s="729" t="s">
        <v>24</v>
      </c>
      <c r="R338" s="729" t="s">
        <v>24</v>
      </c>
      <c r="S338" s="729"/>
      <c r="T338" s="729"/>
      <c r="U338" s="729"/>
      <c r="V338" s="729"/>
      <c r="W338" s="729" t="str">
        <f>IFERROR(VLOOKUP('General price list'!$C338,Popisy!A:P,MATCH($W$17,Popisy!$A$7:$P$7,0),FALSE),"---------------")</f>
        <v>Dumbum tričko L - limited edition</v>
      </c>
      <c r="X338" s="729" t="str">
        <f t="shared" si="614"/>
        <v/>
      </c>
      <c r="Y338" s="729" t="str">
        <f t="shared" si="615"/>
        <v/>
      </c>
      <c r="Z338" s="729" t="str">
        <f>HYPERLINK("https://www.klasekpyrotechnics.cz/tdle1l")</f>
        <v>https://www.klasekpyrotechnics.cz/tdle1l</v>
      </c>
      <c r="AA338" s="729" t="str">
        <f>IFERROR(IF(VLOOKUP(C338,[4]List1!$A:$D,4,FALSE)=0,"",VLOOKUP(C338,[4]List1!$A:$D,4,FALSE)),"")</f>
        <v/>
      </c>
      <c r="AB338" s="720"/>
      <c r="AC338" s="733" t="str">
        <f>IFERROR(IF(VLOOKUP(C338,[1]List1!$A:$D,2,FALSE)="VYPRODÁNO",$V$9,IF(VLOOKUP(C338,[1]List1!$A:$D,2,FALSE)="DOCHÁZÍ",$V$3,VLOOKUP(C338,[1]List1!$A:$D,2,FALSE))),"OFFLINE!")</f>
        <v>SKLADEM</v>
      </c>
      <c r="AD338" s="734" t="str">
        <f ca="1">IF(AP338="NE",$V$10,IF(AC338=$V$3,IF(AQ338&lt;1,$V$8,$V$2&amp;" "&amp;AQ338&amp;" "&amp;$V$1),IF(AC338="SKLADEM",$V$6,IFERROR(IF(OR(AC338-TODAY()&gt;45,VLOOKUP(C338,[1]List1!$A:$E,4,FALSE)=0),AC338,DAY(AC338)&amp;"."&amp;MONTH(AC338)&amp;"."&amp;YEAR(AC338)&amp;" "&amp;$V$4&amp;VLOOKUP(C338,[1]List1!$A:$E,4,FALSE)&amp;" "&amp;$V$1),AC338))))</f>
        <v>SKLADEM</v>
      </c>
      <c r="AE338" s="729" t="str">
        <f t="shared" ca="1" si="616"/>
        <v>SKLADEM</v>
      </c>
      <c r="AF338" s="735">
        <f t="shared" si="617"/>
        <v>0</v>
      </c>
      <c r="AG338" s="735">
        <f t="shared" si="618"/>
        <v>0</v>
      </c>
      <c r="AH338" s="736">
        <f t="shared" si="619"/>
        <v>0</v>
      </c>
      <c r="AI338" s="729">
        <f t="shared" si="620"/>
        <v>0</v>
      </c>
      <c r="AJ338" s="729">
        <f t="shared" si="621"/>
        <v>0</v>
      </c>
      <c r="AK338" s="729" t="str">
        <f t="shared" si="622"/>
        <v/>
      </c>
      <c r="AL338" s="729" t="str">
        <f t="shared" si="623"/>
        <v/>
      </c>
      <c r="AM338" s="729" t="str">
        <f t="shared" si="624"/>
        <v/>
      </c>
      <c r="AN338" s="729">
        <f t="shared" si="625"/>
        <v>0</v>
      </c>
      <c r="AO338" s="380"/>
      <c r="AP338" s="322" t="str">
        <f t="shared" si="529"/>
        <v/>
      </c>
      <c r="AQ338" s="323" t="str">
        <f>IF(AC338=$V$3,IF(VLOOKUP(C338,[1]List1!$A:$E,5,FALSE)=0,1,VLOOKUP(C338,[1]List1!$A:$E,5,FALSE)),"")</f>
        <v/>
      </c>
      <c r="AR338" s="304" t="str">
        <f t="shared" si="530"/>
        <v/>
      </c>
      <c r="AS338" s="423" t="str">
        <f t="shared" si="531"/>
        <v/>
      </c>
      <c r="AT338" s="304" t="str">
        <f t="shared" si="532"/>
        <v/>
      </c>
      <c r="AU338" s="342" t="e">
        <f t="shared" si="533"/>
        <v>#N/A</v>
      </c>
      <c r="AV338" s="304" t="e">
        <f t="shared" si="534"/>
        <v>#N/A</v>
      </c>
      <c r="AX338" s="304">
        <f>IF(AND('General price list'!$J338="F4",'General price list'!$AB338+0&gt;0),1,0)</f>
        <v>0</v>
      </c>
      <c r="AY338" s="304">
        <f t="shared" si="535"/>
        <v>0</v>
      </c>
      <c r="AZ338" s="304">
        <f t="shared" si="536"/>
        <v>0</v>
      </c>
    </row>
    <row r="339" spans="1:52" ht="15" customHeight="1">
      <c r="A339" s="712" t="str">
        <f>Kat.!C336</f>
        <v/>
      </c>
      <c r="B339" s="737">
        <f>IF(AND('General price list'!$J339="F4",$AI$1=FALSE),0,IF(AC339="SKLADEM",1,IF(AC339=$V$3,1,0)))</f>
        <v>1</v>
      </c>
      <c r="C339" s="714" t="s">
        <v>2675</v>
      </c>
      <c r="D339" s="715" t="s">
        <v>2676</v>
      </c>
      <c r="E339" s="716" t="s">
        <v>136</v>
      </c>
      <c r="F339" s="712">
        <f>IFERROR(ROUND(IF($AL$3=2,VLOOKUP(C339,[2]List1!$A:$D,2,FALSE)*1.08,VLOOKUP(C339,[2]List1!$A:$D,2,FALSE)),0),"NEUVEDENO!")</f>
        <v>380</v>
      </c>
      <c r="G339" s="717">
        <f t="shared" si="612"/>
        <v>380</v>
      </c>
      <c r="H339" s="718">
        <f t="shared" si="613"/>
        <v>15.441567888040506</v>
      </c>
      <c r="I339" s="738">
        <v>1</v>
      </c>
      <c r="J339" s="716"/>
      <c r="K339" s="716"/>
      <c r="L339" s="716" t="s">
        <v>14464</v>
      </c>
      <c r="M339" s="716"/>
      <c r="N339" s="716">
        <f>IFERROR(VLOOKUP(C339,[3]List1!$A:$D,4,FALSE),"N/A!")</f>
        <v>0</v>
      </c>
      <c r="O339" s="716">
        <f>IFERROR(VLOOKUP(C339,[3]List1!$A:$D,3,FALSE),"N/A!")</f>
        <v>0</v>
      </c>
      <c r="P339" s="716">
        <f>IFERROR(VLOOKUP(C339,[3]List1!$A:$D,2,FALSE),"N/A!")</f>
        <v>204</v>
      </c>
      <c r="Q339" s="716" t="s">
        <v>24</v>
      </c>
      <c r="R339" s="716" t="s">
        <v>24</v>
      </c>
      <c r="S339" s="716"/>
      <c r="T339" s="716"/>
      <c r="U339" s="716"/>
      <c r="V339" s="716"/>
      <c r="W339" s="716" t="str">
        <f>IFERROR(VLOOKUP('General price list'!$C339,Popisy!A:P,MATCH($W$17,Popisy!$A$7:$P$7,0),FALSE),"---------------")</f>
        <v>Dumbum tričko XL - limited edition</v>
      </c>
      <c r="X339" s="716" t="str">
        <f t="shared" si="614"/>
        <v/>
      </c>
      <c r="Y339" s="716" t="str">
        <f t="shared" si="615"/>
        <v/>
      </c>
      <c r="Z339" s="716" t="str">
        <f>HYPERLINK("https://www.klasekpyrotechnics.cz/tdle1xl")</f>
        <v>https://www.klasekpyrotechnics.cz/tdle1xl</v>
      </c>
      <c r="AA339" s="716" t="str">
        <f>IFERROR(IF(VLOOKUP(C339,[4]List1!$A:$D,4,FALSE)=0,"",VLOOKUP(C339,[4]List1!$A:$D,4,FALSE)),"")</f>
        <v/>
      </c>
      <c r="AB339" s="720"/>
      <c r="AC339" s="739" t="str">
        <f>IFERROR(IF(VLOOKUP(C339,[1]List1!$A:$D,2,FALSE)="VYPRODÁNO",$V$9,IF(VLOOKUP(C339,[1]List1!$A:$D,2,FALSE)="DOCHÁZÍ",$V$3,VLOOKUP(C339,[1]List1!$A:$D,2,FALSE))),"OFFLINE!")</f>
        <v>SKLADEM</v>
      </c>
      <c r="AD339" s="740" t="str">
        <f ca="1">IF(AP339="NE",$V$10,IF(AC339=$V$3,IF(AQ339&lt;1,$V$8,$V$2&amp;" "&amp;AQ339&amp;" "&amp;$V$1),IF(AC339="SKLADEM",$V$6,IFERROR(IF(OR(AC339-TODAY()&gt;45,VLOOKUP(C339,[1]List1!$A:$E,4,FALSE)=0),AC339,DAY(AC339)&amp;"."&amp;MONTH(AC339)&amp;"."&amp;YEAR(AC339)&amp;" "&amp;$V$4&amp;VLOOKUP(C339,[1]List1!$A:$E,4,FALSE)&amp;" "&amp;$V$1),AC339))))</f>
        <v>SKLADEM</v>
      </c>
      <c r="AE339" s="716" t="str">
        <f t="shared" ca="1" si="616"/>
        <v>SKLADEM</v>
      </c>
      <c r="AF339" s="723">
        <f t="shared" si="617"/>
        <v>0</v>
      </c>
      <c r="AG339" s="723">
        <f t="shared" si="618"/>
        <v>0</v>
      </c>
      <c r="AH339" s="724">
        <f t="shared" si="619"/>
        <v>0</v>
      </c>
      <c r="AI339" s="716">
        <f t="shared" si="620"/>
        <v>0</v>
      </c>
      <c r="AJ339" s="716">
        <f t="shared" si="621"/>
        <v>0</v>
      </c>
      <c r="AK339" s="716" t="str">
        <f t="shared" si="622"/>
        <v/>
      </c>
      <c r="AL339" s="716" t="str">
        <f t="shared" si="623"/>
        <v/>
      </c>
      <c r="AM339" s="716" t="str">
        <f t="shared" si="624"/>
        <v/>
      </c>
      <c r="AN339" s="716">
        <f t="shared" si="625"/>
        <v>0</v>
      </c>
      <c r="AO339" s="380"/>
      <c r="AP339" s="322" t="str">
        <f t="shared" si="529"/>
        <v/>
      </c>
      <c r="AQ339" s="323" t="str">
        <f>IF(AC339=$V$3,IF(VLOOKUP(C339,[1]List1!$A:$E,5,FALSE)=0,1,VLOOKUP(C339,[1]List1!$A:$E,5,FALSE)),"")</f>
        <v/>
      </c>
      <c r="AR339" s="304" t="str">
        <f t="shared" si="530"/>
        <v/>
      </c>
      <c r="AS339" s="423" t="str">
        <f t="shared" si="531"/>
        <v/>
      </c>
      <c r="AT339" s="304" t="str">
        <f t="shared" si="532"/>
        <v/>
      </c>
      <c r="AU339" s="342" t="e">
        <f t="shared" si="533"/>
        <v>#N/A</v>
      </c>
      <c r="AV339" s="304" t="e">
        <f t="shared" si="534"/>
        <v>#N/A</v>
      </c>
      <c r="AX339" s="304">
        <f>IF(AND('General price list'!$J339="F4",'General price list'!$AB339+0&gt;0),1,0)</f>
        <v>0</v>
      </c>
      <c r="AY339" s="304">
        <f t="shared" si="535"/>
        <v>0</v>
      </c>
      <c r="AZ339" s="304">
        <f t="shared" si="536"/>
        <v>0</v>
      </c>
    </row>
    <row r="340" spans="1:52" ht="15" customHeight="1">
      <c r="A340" s="725" t="str">
        <f>Kat.!C337</f>
        <v/>
      </c>
      <c r="B340" s="726">
        <f>IF(AND('General price list'!$J340="F4",$AI$1=FALSE),0,IF(AC340="SKLADEM",1,IF(AC340=$V$3,1,0)))</f>
        <v>1</v>
      </c>
      <c r="C340" s="727" t="s">
        <v>2677</v>
      </c>
      <c r="D340" s="728" t="s">
        <v>2678</v>
      </c>
      <c r="E340" s="729" t="s">
        <v>136</v>
      </c>
      <c r="F340" s="725">
        <f>IFERROR(ROUND(IF($AL$3=2,VLOOKUP(C340,[2]List1!$A:$D,2,FALSE)*1.08,VLOOKUP(C340,[2]List1!$A:$D,2,FALSE)),0),"NEUVEDENO!")</f>
        <v>380</v>
      </c>
      <c r="G340" s="730">
        <f t="shared" si="612"/>
        <v>380</v>
      </c>
      <c r="H340" s="731">
        <f t="shared" si="613"/>
        <v>15.441567888040506</v>
      </c>
      <c r="I340" s="732">
        <v>1</v>
      </c>
      <c r="J340" s="729"/>
      <c r="K340" s="729"/>
      <c r="L340" s="729" t="s">
        <v>14464</v>
      </c>
      <c r="M340" s="729"/>
      <c r="N340" s="729">
        <f>IFERROR(VLOOKUP(C340,[3]List1!$A:$D,4,FALSE),"N/A!")</f>
        <v>0</v>
      </c>
      <c r="O340" s="729">
        <f>IFERROR(VLOOKUP(C340,[3]List1!$A:$D,3,FALSE),"N/A!")</f>
        <v>0</v>
      </c>
      <c r="P340" s="729">
        <f>IFERROR(VLOOKUP(C340,[3]List1!$A:$D,2,FALSE),"N/A!")</f>
        <v>224</v>
      </c>
      <c r="Q340" s="729" t="s">
        <v>24</v>
      </c>
      <c r="R340" s="729" t="s">
        <v>24</v>
      </c>
      <c r="S340" s="729"/>
      <c r="T340" s="729"/>
      <c r="U340" s="729"/>
      <c r="V340" s="729"/>
      <c r="W340" s="729" t="str">
        <f>IFERROR(VLOOKUP('General price list'!$C340,Popisy!A:P,MATCH($W$17,Popisy!$A$7:$P$7,0),FALSE),"---------------")</f>
        <v>Dumbum tričko XXL - limited edition</v>
      </c>
      <c r="X340" s="729" t="str">
        <f t="shared" si="614"/>
        <v/>
      </c>
      <c r="Y340" s="729" t="str">
        <f t="shared" si="615"/>
        <v/>
      </c>
      <c r="Z340" s="729" t="str">
        <f>HYPERLINK("https://www.klasekpyrotechnics.cz/tdle1xxl")</f>
        <v>https://www.klasekpyrotechnics.cz/tdle1xxl</v>
      </c>
      <c r="AA340" s="729" t="str">
        <f>IFERROR(IF(VLOOKUP(C340,[4]List1!$A:$D,4,FALSE)=0,"",VLOOKUP(C340,[4]List1!$A:$D,4,FALSE)),"")</f>
        <v/>
      </c>
      <c r="AB340" s="720"/>
      <c r="AC340" s="733" t="str">
        <f>IFERROR(IF(VLOOKUP(C340,[1]List1!$A:$D,2,FALSE)="VYPRODÁNO",$V$9,IF(VLOOKUP(C340,[1]List1!$A:$D,2,FALSE)="DOCHÁZÍ",$V$3,VLOOKUP(C340,[1]List1!$A:$D,2,FALSE))),"OFFLINE!")</f>
        <v>SKLADEM</v>
      </c>
      <c r="AD340" s="734" t="str">
        <f ca="1">IF(AP340="NE",$V$10,IF(AC340=$V$3,IF(AQ340&lt;1,$V$8,$V$2&amp;" "&amp;AQ340&amp;" "&amp;$V$1),IF(AC340="SKLADEM",$V$6,IFERROR(IF(OR(AC340-TODAY()&gt;45,VLOOKUP(C340,[1]List1!$A:$E,4,FALSE)=0),AC340,DAY(AC340)&amp;"."&amp;MONTH(AC340)&amp;"."&amp;YEAR(AC340)&amp;" "&amp;$V$4&amp;VLOOKUP(C340,[1]List1!$A:$E,4,FALSE)&amp;" "&amp;$V$1),AC340))))</f>
        <v>SKLADEM</v>
      </c>
      <c r="AE340" s="729" t="str">
        <f t="shared" ca="1" si="616"/>
        <v>SKLADEM</v>
      </c>
      <c r="AF340" s="735">
        <f t="shared" si="617"/>
        <v>0</v>
      </c>
      <c r="AG340" s="735">
        <f t="shared" si="618"/>
        <v>0</v>
      </c>
      <c r="AH340" s="736">
        <f t="shared" si="619"/>
        <v>0</v>
      </c>
      <c r="AI340" s="729">
        <f t="shared" si="620"/>
        <v>0</v>
      </c>
      <c r="AJ340" s="729">
        <f t="shared" si="621"/>
        <v>0</v>
      </c>
      <c r="AK340" s="729" t="str">
        <f t="shared" si="622"/>
        <v/>
      </c>
      <c r="AL340" s="729" t="str">
        <f t="shared" si="623"/>
        <v/>
      </c>
      <c r="AM340" s="729" t="str">
        <f t="shared" si="624"/>
        <v/>
      </c>
      <c r="AN340" s="729">
        <f t="shared" si="625"/>
        <v>0</v>
      </c>
      <c r="AO340" s="380"/>
      <c r="AP340" s="322" t="str">
        <f t="shared" si="529"/>
        <v/>
      </c>
      <c r="AQ340" s="323" t="str">
        <f>IF(AC340=$V$3,IF(VLOOKUP(C340,[1]List1!$A:$E,5,FALSE)=0,1,VLOOKUP(C340,[1]List1!$A:$E,5,FALSE)),"")</f>
        <v/>
      </c>
      <c r="AR340" s="304" t="str">
        <f t="shared" si="530"/>
        <v/>
      </c>
      <c r="AS340" s="423" t="str">
        <f t="shared" si="531"/>
        <v/>
      </c>
      <c r="AT340" s="304" t="str">
        <f t="shared" si="532"/>
        <v/>
      </c>
      <c r="AU340" s="342" t="e">
        <f t="shared" si="533"/>
        <v>#N/A</v>
      </c>
      <c r="AV340" s="304" t="e">
        <f t="shared" si="534"/>
        <v>#N/A</v>
      </c>
      <c r="AX340" s="304">
        <f>IF(AND('General price list'!$J340="F4",'General price list'!$AB340+0&gt;0),1,0)</f>
        <v>0</v>
      </c>
      <c r="AY340" s="304">
        <f t="shared" si="535"/>
        <v>0</v>
      </c>
      <c r="AZ340" s="304">
        <f t="shared" si="536"/>
        <v>0</v>
      </c>
    </row>
    <row r="341" spans="1:52" ht="15" customHeight="1">
      <c r="A341" s="712" t="str">
        <f>Kat.!C338</f>
        <v/>
      </c>
      <c r="B341" s="737">
        <f>IF(AND('General price list'!$J341="F4",$AI$1=FALSE),0,IF(AC341="SKLADEM",1,IF(AC341=$V$3,1,0)))</f>
        <v>1</v>
      </c>
      <c r="C341" s="714" t="s">
        <v>2679</v>
      </c>
      <c r="D341" s="715" t="s">
        <v>2680</v>
      </c>
      <c r="E341" s="716" t="s">
        <v>136</v>
      </c>
      <c r="F341" s="712">
        <f>IFERROR(ROUND(IF($AL$3=2,VLOOKUP(C341,[2]List1!$A:$D,2,FALSE)*1.08,VLOOKUP(C341,[2]List1!$A:$D,2,FALSE)),0),"NEUVEDENO!")</f>
        <v>900</v>
      </c>
      <c r="G341" s="717">
        <f t="shared" ref="G341:G344" si="626">(F341)*$B$19</f>
        <v>900</v>
      </c>
      <c r="H341" s="718">
        <f t="shared" ref="H341:H344" si="627">G341/$F$19</f>
        <v>36.572134471674886</v>
      </c>
      <c r="I341" s="738">
        <v>1</v>
      </c>
      <c r="J341" s="716"/>
      <c r="K341" s="716"/>
      <c r="L341" s="716" t="s">
        <v>14464</v>
      </c>
      <c r="M341" s="716"/>
      <c r="N341" s="716">
        <f>IFERROR(VLOOKUP(C341,[3]List1!$A:$D,4,FALSE),"N/A!")</f>
        <v>0</v>
      </c>
      <c r="O341" s="716">
        <f>IFERROR(VLOOKUP(C341,[3]List1!$A:$D,3,FALSE),"N/A!")</f>
        <v>0</v>
      </c>
      <c r="P341" s="716">
        <f>IFERROR(VLOOKUP(C341,[3]List1!$A:$D,2,FALSE),"N/A!")</f>
        <v>247</v>
      </c>
      <c r="Q341" s="716" t="s">
        <v>24</v>
      </c>
      <c r="R341" s="716" t="s">
        <v>24</v>
      </c>
      <c r="S341" s="716"/>
      <c r="T341" s="716"/>
      <c r="U341" s="716"/>
      <c r="V341" s="716"/>
      <c r="W341" s="716" t="str">
        <f>IFERROR(VLOOKUP('General price list'!$C341,Popisy!A:P,MATCH($W$17,Popisy!$A$7:$P$7,0),FALSE),"---------------")</f>
        <v>Dumbum tričko polo  M - limited edition</v>
      </c>
      <c r="X341" s="716" t="str">
        <f t="shared" ref="X341:X344" si="628">IF(AB341&lt;0.0001,"",AB341)</f>
        <v/>
      </c>
      <c r="Y341" s="716" t="str">
        <f t="shared" ref="Y341:Y344" si="629">IF($AL$3=2,IF(OR(AB341&lt;&gt;"",AB341&lt;&gt;0),AU341,""),IF(C341="","",IF(AB341&lt;0.0001,"",IF(B341=0,"",IF(AQ341&lt;AB341,"",AB341)))))</f>
        <v/>
      </c>
      <c r="Z341" s="716" t="str">
        <f>HYPERLINK("https://www.klasekpyrotechnics.cz/tpdle1m")</f>
        <v>https://www.klasekpyrotechnics.cz/tpdle1m</v>
      </c>
      <c r="AA341" s="716" t="str">
        <f>IFERROR(IF(VLOOKUP(C341,[4]List1!$A:$D,4,FALSE)=0,"",VLOOKUP(C341,[4]List1!$A:$D,4,FALSE)),"")</f>
        <v/>
      </c>
      <c r="AB341" s="720"/>
      <c r="AC341" s="739" t="str">
        <f>IFERROR(IF(VLOOKUP(C341,[1]List1!$A:$D,2,FALSE)="VYPRODÁNO",$V$9,IF(VLOOKUP(C341,[1]List1!$A:$D,2,FALSE)="DOCHÁZÍ",$V$3,VLOOKUP(C341,[1]List1!$A:$D,2,FALSE))),"OFFLINE!")</f>
        <v>DOCHÁZÍ</v>
      </c>
      <c r="AD341" s="740" t="str">
        <f ca="1">IF(AP341="NE",$V$10,IF(AC341=$V$3,IF(AQ341&lt;1,$V$8,$V$2&amp;" "&amp;AQ341&amp;" "&amp;$V$1),IF(AC341="SKLADEM",$V$6,IFERROR(IF(OR(AC341-TODAY()&gt;45,VLOOKUP(C341,[1]List1!$A:$E,4,FALSE)=0),AC341,DAY(AC341)&amp;"."&amp;MONTH(AC341)&amp;"."&amp;YEAR(AC341)&amp;" "&amp;$V$4&amp;VLOOKUP(C341,[1]List1!$A:$E,4,FALSE)&amp;" "&amp;$V$1),AC341))))</f>
        <v>POSLEDNÍCH 3 VK</v>
      </c>
      <c r="AE341" s="716" t="str">
        <f t="shared" ref="AE341:AE344" ca="1" si="630">IFERROR(IF(AV341&lt;&gt;"",AV341,AD341),AD341)</f>
        <v>POSLEDNÍCH 3 VK</v>
      </c>
      <c r="AF341" s="723">
        <f t="shared" ref="AF341:AF344" si="631">IFERROR(IF(AB341=Y341,G341*I341*Y341,0),0)</f>
        <v>0</v>
      </c>
      <c r="AG341" s="723">
        <f t="shared" ref="AG341:AG344" si="632">IF($W$17=$AF$8,AH341*1.23,AF341*1.21)</f>
        <v>0</v>
      </c>
      <c r="AH341" s="724">
        <f t="shared" ref="AH341:AH344" si="633">IFERROR(IF(Y341=AB341,H341*I341*Y341,0),0)</f>
        <v>0</v>
      </c>
      <c r="AI341" s="716">
        <f t="shared" ref="AI341:AI344" si="634">IFERROR(IF(Y341=AB341,(P341*Y341)/1000,1),0)</f>
        <v>0</v>
      </c>
      <c r="AJ341" s="716">
        <f t="shared" ref="AJ341:AJ344" si="635">IFERROR(IF(Y341=AB341,N341*Y341,0.1),0)</f>
        <v>0</v>
      </c>
      <c r="AK341" s="716" t="str">
        <f t="shared" ref="AK341:AK344" si="636">IFERROR(IF(Y341=AB341,IF(M341="1.1G",(O341/1000)*Y341,""),""),0)</f>
        <v/>
      </c>
      <c r="AL341" s="716" t="str">
        <f t="shared" ref="AL341:AL344" si="637">IFERROR(IF(Y341=AB341,IF(M341="1.3G",(O341/1000)*AB341,""),""),0)</f>
        <v/>
      </c>
      <c r="AM341" s="716" t="str">
        <f t="shared" ref="AM341:AM344" si="638">IFERROR(IF(Y341=AB341,IF(M341="1.4G",(O341/1000)*AB341,""),""),0)</f>
        <v/>
      </c>
      <c r="AN341" s="716">
        <f t="shared" ref="AN341:AN344" si="639">SUM(AK341:AM341)</f>
        <v>0</v>
      </c>
      <c r="AO341" s="380"/>
      <c r="AP341" s="322" t="str">
        <f t="shared" si="529"/>
        <v/>
      </c>
      <c r="AQ341" s="323">
        <f>IF(AC341=$V$3,IF(VLOOKUP(C341,[1]List1!$A:$E,5,FALSE)=0,1,VLOOKUP(C341,[1]List1!$A:$E,5,FALSE)),"")</f>
        <v>3</v>
      </c>
      <c r="AR341" s="304" t="str">
        <f t="shared" si="530"/>
        <v/>
      </c>
      <c r="AS341" s="423" t="str">
        <f t="shared" si="531"/>
        <v/>
      </c>
      <c r="AT341" s="304" t="str">
        <f t="shared" si="532"/>
        <v/>
      </c>
      <c r="AU341" s="342" t="e">
        <f t="shared" si="533"/>
        <v>#N/A</v>
      </c>
      <c r="AV341" s="304" t="e">
        <f t="shared" si="534"/>
        <v>#N/A</v>
      </c>
      <c r="AX341" s="304">
        <f>IF(AND('General price list'!$J341="F4",'General price list'!$AB341+0&gt;0),1,0)</f>
        <v>0</v>
      </c>
      <c r="AY341" s="304">
        <f t="shared" si="535"/>
        <v>0</v>
      </c>
      <c r="AZ341" s="304">
        <f t="shared" si="536"/>
        <v>0</v>
      </c>
    </row>
    <row r="342" spans="1:52" ht="15" customHeight="1">
      <c r="A342" s="725" t="str">
        <f>Kat.!C339</f>
        <v/>
      </c>
      <c r="B342" s="726">
        <f>IF(AND('General price list'!$J342="F4",$AI$1=FALSE),0,IF(AC342="SKLADEM",1,IF(AC342=$V$3,1,0)))</f>
        <v>1</v>
      </c>
      <c r="C342" s="727" t="s">
        <v>2681</v>
      </c>
      <c r="D342" s="728" t="s">
        <v>2682</v>
      </c>
      <c r="E342" s="729" t="s">
        <v>136</v>
      </c>
      <c r="F342" s="725">
        <f>IFERROR(ROUND(IF($AL$3=2,VLOOKUP(C342,[2]List1!$A:$D,2,FALSE)*1.08,VLOOKUP(C342,[2]List1!$A:$D,2,FALSE)),0),"NEUVEDENO!")</f>
        <v>900</v>
      </c>
      <c r="G342" s="730">
        <f t="shared" si="626"/>
        <v>900</v>
      </c>
      <c r="H342" s="731">
        <f t="shared" si="627"/>
        <v>36.572134471674886</v>
      </c>
      <c r="I342" s="732">
        <v>1</v>
      </c>
      <c r="J342" s="729"/>
      <c r="K342" s="729"/>
      <c r="L342" s="729" t="s">
        <v>14464</v>
      </c>
      <c r="M342" s="729"/>
      <c r="N342" s="729">
        <f>IFERROR(VLOOKUP(C342,[3]List1!$A:$D,4,FALSE),"N/A!")</f>
        <v>0</v>
      </c>
      <c r="O342" s="729">
        <f>IFERROR(VLOOKUP(C342,[3]List1!$A:$D,3,FALSE),"N/A!")</f>
        <v>0</v>
      </c>
      <c r="P342" s="729">
        <f>IFERROR(VLOOKUP(C342,[3]List1!$A:$D,2,FALSE),"N/A!")</f>
        <v>257</v>
      </c>
      <c r="Q342" s="729" t="s">
        <v>24</v>
      </c>
      <c r="R342" s="729" t="s">
        <v>24</v>
      </c>
      <c r="S342" s="729"/>
      <c r="T342" s="729"/>
      <c r="U342" s="729"/>
      <c r="V342" s="729"/>
      <c r="W342" s="729" t="str">
        <f>IFERROR(VLOOKUP('General price list'!$C342,Popisy!A:P,MATCH($W$17,Popisy!$A$7:$P$7,0),FALSE),"---------------")</f>
        <v>Dumbum tričko polo  L- limited edition</v>
      </c>
      <c r="X342" s="729" t="str">
        <f t="shared" si="628"/>
        <v/>
      </c>
      <c r="Y342" s="729" t="str">
        <f t="shared" si="629"/>
        <v/>
      </c>
      <c r="Z342" s="729" t="str">
        <f>HYPERLINK("https://www.klasekpyrotechnics.cz/tpdle1l")</f>
        <v>https://www.klasekpyrotechnics.cz/tpdle1l</v>
      </c>
      <c r="AA342" s="729" t="str">
        <f>IFERROR(IF(VLOOKUP(C342,[4]List1!$A:$D,4,FALSE)=0,"",VLOOKUP(C342,[4]List1!$A:$D,4,FALSE)),"")</f>
        <v/>
      </c>
      <c r="AB342" s="720"/>
      <c r="AC342" s="733" t="str">
        <f>IFERROR(IF(VLOOKUP(C342,[1]List1!$A:$D,2,FALSE)="VYPRODÁNO",$V$9,IF(VLOOKUP(C342,[1]List1!$A:$D,2,FALSE)="DOCHÁZÍ",$V$3,VLOOKUP(C342,[1]List1!$A:$D,2,FALSE))),"OFFLINE!")</f>
        <v>SKLADEM</v>
      </c>
      <c r="AD342" s="734" t="str">
        <f ca="1">IF(AP342="NE",$V$10,IF(AC342=$V$3,IF(AQ342&lt;1,$V$8,$V$2&amp;" "&amp;AQ342&amp;" "&amp;$V$1),IF(AC342="SKLADEM",$V$6,IFERROR(IF(OR(AC342-TODAY()&gt;45,VLOOKUP(C342,[1]List1!$A:$E,4,FALSE)=0),AC342,DAY(AC342)&amp;"."&amp;MONTH(AC342)&amp;"."&amp;YEAR(AC342)&amp;" "&amp;$V$4&amp;VLOOKUP(C342,[1]List1!$A:$E,4,FALSE)&amp;" "&amp;$V$1),AC342))))</f>
        <v>SKLADEM</v>
      </c>
      <c r="AE342" s="729" t="str">
        <f t="shared" ca="1" si="630"/>
        <v>SKLADEM</v>
      </c>
      <c r="AF342" s="735">
        <f t="shared" si="631"/>
        <v>0</v>
      </c>
      <c r="AG342" s="735">
        <f t="shared" si="632"/>
        <v>0</v>
      </c>
      <c r="AH342" s="736">
        <f t="shared" si="633"/>
        <v>0</v>
      </c>
      <c r="AI342" s="729">
        <f t="shared" si="634"/>
        <v>0</v>
      </c>
      <c r="AJ342" s="729">
        <f t="shared" si="635"/>
        <v>0</v>
      </c>
      <c r="AK342" s="729" t="str">
        <f t="shared" si="636"/>
        <v/>
      </c>
      <c r="AL342" s="729" t="str">
        <f t="shared" si="637"/>
        <v/>
      </c>
      <c r="AM342" s="729" t="str">
        <f t="shared" si="638"/>
        <v/>
      </c>
      <c r="AN342" s="729">
        <f t="shared" si="639"/>
        <v>0</v>
      </c>
      <c r="AO342" s="380"/>
      <c r="AP342" s="322" t="str">
        <f t="shared" si="529"/>
        <v/>
      </c>
      <c r="AQ342" s="323" t="str">
        <f>IF(AC342=$V$3,IF(VLOOKUP(C342,[1]List1!$A:$E,5,FALSE)=0,1,VLOOKUP(C342,[1]List1!$A:$E,5,FALSE)),"")</f>
        <v/>
      </c>
      <c r="AR342" s="304" t="str">
        <f t="shared" si="530"/>
        <v/>
      </c>
      <c r="AS342" s="423" t="str">
        <f t="shared" si="531"/>
        <v/>
      </c>
      <c r="AT342" s="304" t="str">
        <f t="shared" si="532"/>
        <v/>
      </c>
      <c r="AU342" s="342" t="e">
        <f t="shared" si="533"/>
        <v>#N/A</v>
      </c>
      <c r="AV342" s="304" t="e">
        <f t="shared" si="534"/>
        <v>#N/A</v>
      </c>
      <c r="AX342" s="304">
        <f>IF(AND('General price list'!$J342="F4",'General price list'!$AB342+0&gt;0),1,0)</f>
        <v>0</v>
      </c>
      <c r="AY342" s="304">
        <f t="shared" si="535"/>
        <v>0</v>
      </c>
      <c r="AZ342" s="304">
        <f t="shared" si="536"/>
        <v>0</v>
      </c>
    </row>
    <row r="343" spans="1:52" ht="15" customHeight="1">
      <c r="A343" s="712" t="str">
        <f>Kat.!C340</f>
        <v/>
      </c>
      <c r="B343" s="737">
        <f>IF(AND('General price list'!$J343="F4",$AI$1=FALSE),0,IF(AC343="SKLADEM",1,IF(AC343=$V$3,1,0)))</f>
        <v>1</v>
      </c>
      <c r="C343" s="714" t="s">
        <v>2683</v>
      </c>
      <c r="D343" s="715" t="s">
        <v>2684</v>
      </c>
      <c r="E343" s="716" t="s">
        <v>136</v>
      </c>
      <c r="F343" s="712">
        <f>IFERROR(ROUND(IF($AL$3=2,VLOOKUP(C343,[2]List1!$A:$D,2,FALSE)*1.08,VLOOKUP(C343,[2]List1!$A:$D,2,FALSE)),0),"NEUVEDENO!")</f>
        <v>900</v>
      </c>
      <c r="G343" s="717">
        <f t="shared" si="626"/>
        <v>900</v>
      </c>
      <c r="H343" s="718">
        <f t="shared" si="627"/>
        <v>36.572134471674886</v>
      </c>
      <c r="I343" s="738">
        <v>1</v>
      </c>
      <c r="J343" s="716"/>
      <c r="K343" s="716"/>
      <c r="L343" s="716" t="s">
        <v>14464</v>
      </c>
      <c r="M343" s="716"/>
      <c r="N343" s="716">
        <f>IFERROR(VLOOKUP(C343,[3]List1!$A:$D,4,FALSE),"N/A!")</f>
        <v>0</v>
      </c>
      <c r="O343" s="716">
        <f>IFERROR(VLOOKUP(C343,[3]List1!$A:$D,3,FALSE),"N/A!")</f>
        <v>0</v>
      </c>
      <c r="P343" s="716">
        <f>IFERROR(VLOOKUP(C343,[3]List1!$A:$D,2,FALSE),"N/A!")</f>
        <v>283</v>
      </c>
      <c r="Q343" s="716" t="s">
        <v>24</v>
      </c>
      <c r="R343" s="716" t="s">
        <v>24</v>
      </c>
      <c r="S343" s="716"/>
      <c r="T343" s="716"/>
      <c r="U343" s="716"/>
      <c r="V343" s="716"/>
      <c r="W343" s="716" t="str">
        <f>IFERROR(VLOOKUP('General price list'!$C343,Popisy!A:P,MATCH($W$17,Popisy!$A$7:$P$7,0),FALSE),"---------------")</f>
        <v>Dumbum tričko polo  XL - limited edition</v>
      </c>
      <c r="X343" s="716" t="str">
        <f t="shared" si="628"/>
        <v/>
      </c>
      <c r="Y343" s="716" t="str">
        <f t="shared" si="629"/>
        <v/>
      </c>
      <c r="Z343" s="716" t="str">
        <f>HYPERLINK("https://www.klasekpyrotechnics.cz/tpdle1xl")</f>
        <v>https://www.klasekpyrotechnics.cz/tpdle1xl</v>
      </c>
      <c r="AA343" s="716" t="str">
        <f>IFERROR(IF(VLOOKUP(C343,[4]List1!$A:$D,4,FALSE)=0,"",VLOOKUP(C343,[4]List1!$A:$D,4,FALSE)),"")</f>
        <v/>
      </c>
      <c r="AB343" s="720"/>
      <c r="AC343" s="739" t="str">
        <f>IFERROR(IF(VLOOKUP(C343,[1]List1!$A:$D,2,FALSE)="VYPRODÁNO",$V$9,IF(VLOOKUP(C343,[1]List1!$A:$D,2,FALSE)="DOCHÁZÍ",$V$3,VLOOKUP(C343,[1]List1!$A:$D,2,FALSE))),"OFFLINE!")</f>
        <v>SKLADEM</v>
      </c>
      <c r="AD343" s="740" t="str">
        <f ca="1">IF(AP343="NE",$V$10,IF(AC343=$V$3,IF(AQ343&lt;1,$V$8,$V$2&amp;" "&amp;AQ343&amp;" "&amp;$V$1),IF(AC343="SKLADEM",$V$6,IFERROR(IF(OR(AC343-TODAY()&gt;45,VLOOKUP(C343,[1]List1!$A:$E,4,FALSE)=0),AC343,DAY(AC343)&amp;"."&amp;MONTH(AC343)&amp;"."&amp;YEAR(AC343)&amp;" "&amp;$V$4&amp;VLOOKUP(C343,[1]List1!$A:$E,4,FALSE)&amp;" "&amp;$V$1),AC343))))</f>
        <v>SKLADEM</v>
      </c>
      <c r="AE343" s="716" t="str">
        <f t="shared" ca="1" si="630"/>
        <v>SKLADEM</v>
      </c>
      <c r="AF343" s="723">
        <f t="shared" si="631"/>
        <v>0</v>
      </c>
      <c r="AG343" s="723">
        <f t="shared" si="632"/>
        <v>0</v>
      </c>
      <c r="AH343" s="724">
        <f t="shared" si="633"/>
        <v>0</v>
      </c>
      <c r="AI343" s="716">
        <f t="shared" si="634"/>
        <v>0</v>
      </c>
      <c r="AJ343" s="716">
        <f t="shared" si="635"/>
        <v>0</v>
      </c>
      <c r="AK343" s="716" t="str">
        <f t="shared" si="636"/>
        <v/>
      </c>
      <c r="AL343" s="716" t="str">
        <f t="shared" si="637"/>
        <v/>
      </c>
      <c r="AM343" s="716" t="str">
        <f t="shared" si="638"/>
        <v/>
      </c>
      <c r="AN343" s="716">
        <f t="shared" si="639"/>
        <v>0</v>
      </c>
      <c r="AO343" s="380"/>
      <c r="AP343" s="322" t="str">
        <f t="shared" ref="AP343:AP344" si="640">IF($AL$3=1,IF(Y343=AB343,"","NE"),IF(AR343=$V$10,"NE",""))</f>
        <v/>
      </c>
      <c r="AQ343" s="323" t="str">
        <f>IF(AC343=$V$3,IF(VLOOKUP(C343,[1]List1!$A:$E,5,FALSE)=0,1,VLOOKUP(C343,[1]List1!$A:$E,5,FALSE)),"")</f>
        <v/>
      </c>
      <c r="AR343" s="304" t="str">
        <f t="shared" ref="AR343:AR344" si="641">IF($AL$3=1,"",IF(OR(AB343&lt;&gt;"",AB343&lt;&gt;0),IF(OR(AC343=$V$6,AC343=$V$3,AC343=$V$9),$V$10,""),""))</f>
        <v/>
      </c>
      <c r="AS343" s="423" t="str">
        <f t="shared" ref="AS343:AS344" si="642">IF(AT343&lt;&gt;"","X","")</f>
        <v/>
      </c>
      <c r="AT343" s="304" t="str">
        <f t="shared" ref="AT343:AT344" si="643">IF(AND($AL$3=2,AR343="",AB343&lt;&gt;""),AD343,"")</f>
        <v/>
      </c>
      <c r="AU343" s="342" t="e">
        <f t="shared" ref="AU343:AU344" si="644">IF(AT343=$AS$21,AB343,"")</f>
        <v>#N/A</v>
      </c>
      <c r="AV343" s="304" t="e">
        <f t="shared" ref="AV343:AV344" si="645">IF(OR(AB343="",AND(AT343&lt;&gt;"",AU343&lt;&gt;"")),"",$V$10)</f>
        <v>#N/A</v>
      </c>
      <c r="AX343" s="304">
        <f>IF(AND('General price list'!$J343="F4",'General price list'!$AB343+0&gt;0),1,0)</f>
        <v>0</v>
      </c>
      <c r="AY343" s="304">
        <f t="shared" ref="AY343:AY344" si="646">IFERROR(FIND(VLOOKUP($AC$7,$AD$1:$AE$12,2,FALSE),Q343,1),0)</f>
        <v>0</v>
      </c>
      <c r="AZ343" s="304">
        <f t="shared" ref="AZ343:AZ344" si="647">IFERROR(FIND(VLOOKUP($AC$7,$AD$1:$AE$12,2,FALSE),R343,1),0)</f>
        <v>0</v>
      </c>
    </row>
    <row r="344" spans="1:52" ht="15" customHeight="1">
      <c r="A344" s="725" t="str">
        <f>Kat.!C341</f>
        <v/>
      </c>
      <c r="B344" s="726">
        <f>IF(AND('General price list'!$J344="F4",$AI$1=FALSE),0,IF(AC344="SKLADEM",1,IF(AC344=$V$3,1,0)))</f>
        <v>1</v>
      </c>
      <c r="C344" s="727" t="s">
        <v>2685</v>
      </c>
      <c r="D344" s="728" t="s">
        <v>2686</v>
      </c>
      <c r="E344" s="729" t="s">
        <v>136</v>
      </c>
      <c r="F344" s="725">
        <f>IFERROR(ROUND(IF($AL$3=2,VLOOKUP(C344,[2]List1!$A:$D,2,FALSE)*1.08,VLOOKUP(C344,[2]List1!$A:$D,2,FALSE)),0),"NEUVEDENO!")</f>
        <v>900</v>
      </c>
      <c r="G344" s="730">
        <f t="shared" si="626"/>
        <v>900</v>
      </c>
      <c r="H344" s="731">
        <f t="shared" si="627"/>
        <v>36.572134471674886</v>
      </c>
      <c r="I344" s="732">
        <v>1</v>
      </c>
      <c r="J344" s="729"/>
      <c r="K344" s="729"/>
      <c r="L344" s="729" t="s">
        <v>14464</v>
      </c>
      <c r="M344" s="729"/>
      <c r="N344" s="729">
        <f>IFERROR(VLOOKUP(C344,[3]List1!$A:$D,4,FALSE),"N/A!")</f>
        <v>0</v>
      </c>
      <c r="O344" s="729">
        <f>IFERROR(VLOOKUP(C344,[3]List1!$A:$D,3,FALSE),"N/A!")</f>
        <v>0</v>
      </c>
      <c r="P344" s="729">
        <f>IFERROR(VLOOKUP(C344,[3]List1!$A:$D,2,FALSE),"N/A!")</f>
        <v>290</v>
      </c>
      <c r="Q344" s="729" t="s">
        <v>24</v>
      </c>
      <c r="R344" s="729" t="s">
        <v>24</v>
      </c>
      <c r="S344" s="729"/>
      <c r="T344" s="729"/>
      <c r="U344" s="729"/>
      <c r="V344" s="729"/>
      <c r="W344" s="729" t="str">
        <f>IFERROR(VLOOKUP('General price list'!$C344,Popisy!A:P,MATCH($W$17,Popisy!$A$7:$P$7,0),FALSE),"---------------")</f>
        <v>Dumbum tričko polo  XXL - limited edition</v>
      </c>
      <c r="X344" s="729" t="str">
        <f t="shared" si="628"/>
        <v/>
      </c>
      <c r="Y344" s="729" t="str">
        <f t="shared" si="629"/>
        <v/>
      </c>
      <c r="Z344" s="729" t="str">
        <f>HYPERLINK("https://www.klasekpyrotechnics.cz/tpdle1xxl")</f>
        <v>https://www.klasekpyrotechnics.cz/tpdle1xxl</v>
      </c>
      <c r="AA344" s="729" t="str">
        <f>IFERROR(IF(VLOOKUP(C344,[4]List1!$A:$D,4,FALSE)=0,"",VLOOKUP(C344,[4]List1!$A:$D,4,FALSE)),"")</f>
        <v/>
      </c>
      <c r="AB344" s="720"/>
      <c r="AC344" s="733" t="str">
        <f>IFERROR(IF(VLOOKUP(C344,[1]List1!$A:$D,2,FALSE)="VYPRODÁNO",$V$9,IF(VLOOKUP(C344,[1]List1!$A:$D,2,FALSE)="DOCHÁZÍ",$V$3,VLOOKUP(C344,[1]List1!$A:$D,2,FALSE))),"OFFLINE!")</f>
        <v>DOCHÁZÍ</v>
      </c>
      <c r="AD344" s="734" t="str">
        <f ca="1">IF(AP344="NE",$V$10,IF(AC344=$V$3,IF(AQ344&lt;1,$V$8,$V$2&amp;" "&amp;AQ344&amp;" "&amp;$V$1),IF(AC344="SKLADEM",$V$6,IFERROR(IF(OR(AC344-TODAY()&gt;45,VLOOKUP(C344,[1]List1!$A:$E,4,FALSE)=0),AC344,DAY(AC344)&amp;"."&amp;MONTH(AC344)&amp;"."&amp;YEAR(AC344)&amp;" "&amp;$V$4&amp;VLOOKUP(C344,[1]List1!$A:$E,4,FALSE)&amp;" "&amp;$V$1),AC344))))</f>
        <v>POSLEDNÍCH 3 VK</v>
      </c>
      <c r="AE344" s="729" t="str">
        <f t="shared" ca="1" si="630"/>
        <v>POSLEDNÍCH 3 VK</v>
      </c>
      <c r="AF344" s="735">
        <f t="shared" si="631"/>
        <v>0</v>
      </c>
      <c r="AG344" s="735">
        <f t="shared" si="632"/>
        <v>0</v>
      </c>
      <c r="AH344" s="736">
        <f t="shared" si="633"/>
        <v>0</v>
      </c>
      <c r="AI344" s="729">
        <f t="shared" si="634"/>
        <v>0</v>
      </c>
      <c r="AJ344" s="729">
        <f t="shared" si="635"/>
        <v>0</v>
      </c>
      <c r="AK344" s="729" t="str">
        <f t="shared" si="636"/>
        <v/>
      </c>
      <c r="AL344" s="729" t="str">
        <f t="shared" si="637"/>
        <v/>
      </c>
      <c r="AM344" s="729" t="str">
        <f t="shared" si="638"/>
        <v/>
      </c>
      <c r="AN344" s="729">
        <f t="shared" si="639"/>
        <v>0</v>
      </c>
      <c r="AO344" s="380"/>
      <c r="AP344" s="322" t="str">
        <f t="shared" si="640"/>
        <v/>
      </c>
      <c r="AQ344" s="323">
        <f>IF(AC344=$V$3,IF(VLOOKUP(C344,[1]List1!$A:$E,5,FALSE)=0,1,VLOOKUP(C344,[1]List1!$A:$E,5,FALSE)),"")</f>
        <v>3</v>
      </c>
      <c r="AR344" s="304" t="str">
        <f t="shared" si="641"/>
        <v/>
      </c>
      <c r="AS344" s="423" t="str">
        <f t="shared" si="642"/>
        <v/>
      </c>
      <c r="AT344" s="304" t="str">
        <f t="shared" si="643"/>
        <v/>
      </c>
      <c r="AU344" s="342" t="e">
        <f t="shared" si="644"/>
        <v>#N/A</v>
      </c>
      <c r="AV344" s="304" t="e">
        <f t="shared" si="645"/>
        <v>#N/A</v>
      </c>
      <c r="AX344" s="304">
        <f>IF(AND('General price list'!$J344="F4",'General price list'!$AB344+0&gt;0),1,0)</f>
        <v>0</v>
      </c>
      <c r="AY344" s="304">
        <f t="shared" si="646"/>
        <v>0</v>
      </c>
      <c r="AZ344" s="304">
        <f t="shared" si="647"/>
        <v>0</v>
      </c>
    </row>
    <row r="345" spans="1:52" ht="15" customHeight="1">
      <c r="A345" s="712" t="str">
        <f>Kat.!C342</f>
        <v/>
      </c>
      <c r="B345" s="737">
        <f>IF(AND('General price list'!$J345="F4",$AI$1=FALSE),0,IF(AC345="SKLADEM",1,IF(AC345=$V$3,1,0)))</f>
        <v>1</v>
      </c>
      <c r="C345" s="714" t="s">
        <v>2687</v>
      </c>
      <c r="D345" s="715" t="s">
        <v>2688</v>
      </c>
      <c r="E345" s="716" t="s">
        <v>136</v>
      </c>
      <c r="F345" s="712">
        <f>IFERROR(ROUND(IF($AL$3=2,VLOOKUP(C345,[2]List1!$A:$D,2,FALSE)*1.08,VLOOKUP(C345,[2]List1!$A:$D,2,FALSE)),0),"NEUVEDENO!")</f>
        <v>1830</v>
      </c>
      <c r="G345" s="717">
        <f t="shared" ref="G345:G348" si="648">(F345)*$B$19</f>
        <v>1830</v>
      </c>
      <c r="H345" s="718">
        <f t="shared" ref="H345:H348" si="649">G345/$F$19</f>
        <v>74.363340092405593</v>
      </c>
      <c r="I345" s="738">
        <v>1</v>
      </c>
      <c r="J345" s="716"/>
      <c r="K345" s="716"/>
      <c r="L345" s="716" t="s">
        <v>14464</v>
      </c>
      <c r="M345" s="716"/>
      <c r="N345" s="716">
        <f>IFERROR(VLOOKUP(C345,[3]List1!$A:$D,4,FALSE),"N/A!")</f>
        <v>0</v>
      </c>
      <c r="O345" s="716">
        <f>IFERROR(VLOOKUP(C345,[3]List1!$A:$D,3,FALSE),"N/A!")</f>
        <v>0</v>
      </c>
      <c r="P345" s="716">
        <f>IFERROR(VLOOKUP(C345,[3]List1!$A:$D,2,FALSE),"N/A!")</f>
        <v>500</v>
      </c>
      <c r="Q345" s="716" t="s">
        <v>24</v>
      </c>
      <c r="R345" s="716" t="s">
        <v>24</v>
      </c>
      <c r="S345" s="716"/>
      <c r="T345" s="716"/>
      <c r="U345" s="716"/>
      <c r="V345" s="716"/>
      <c r="W345" s="716" t="str">
        <f>IFERROR(VLOOKUP('General price list'!$C345,Popisy!A:P,MATCH($W$17,Popisy!$A$7:$P$7,0),FALSE),"---------------")</f>
        <v>Dumbum vesta softshell M-limited edition</v>
      </c>
      <c r="X345" s="716" t="str">
        <f t="shared" ref="X345:X348" si="650">IF(AB345&lt;0.0001,"",AB345)</f>
        <v/>
      </c>
      <c r="Y345" s="716" t="str">
        <f t="shared" ref="Y345:Y348" si="651">IF($AL$3=2,IF(OR(AB345&lt;&gt;"",AB345&lt;&gt;0),AU345,""),IF(C345="","",IF(AB345&lt;0.0001,"",IF(B345=0,"",IF(AQ345&lt;AB345,"",AB345)))))</f>
        <v/>
      </c>
      <c r="Z345" s="716" t="str">
        <f>HYPERLINK("https://www.klasekpyrotechnics.cz/vdle1m")</f>
        <v>https://www.klasekpyrotechnics.cz/vdle1m</v>
      </c>
      <c r="AA345" s="716" t="str">
        <f>IFERROR(IF(VLOOKUP(C345,[4]List1!$A:$D,4,FALSE)=0,"",VLOOKUP(C345,[4]List1!$A:$D,4,FALSE)),"")</f>
        <v/>
      </c>
      <c r="AB345" s="720"/>
      <c r="AC345" s="739" t="str">
        <f>IFERROR(IF(VLOOKUP(C345,[1]List1!$A:$D,2,FALSE)="VYPRODÁNO",$V$9,IF(VLOOKUP(C345,[1]List1!$A:$D,2,FALSE)="DOCHÁZÍ",$V$3,VLOOKUP(C345,[1]List1!$A:$D,2,FALSE))),"OFFLINE!")</f>
        <v>SKLADEM</v>
      </c>
      <c r="AD345" s="740" t="str">
        <f ca="1">IF(AP345="NE",$V$10,IF(AC345=$V$3,IF(AQ345&lt;1,$V$8,$V$2&amp;" "&amp;AQ345&amp;" "&amp;$V$1),IF(AC345="SKLADEM",$V$6,IFERROR(IF(OR(AC345-TODAY()&gt;45,VLOOKUP(C345,[1]List1!$A:$E,4,FALSE)=0),AC345,DAY(AC345)&amp;"."&amp;MONTH(AC345)&amp;"."&amp;YEAR(AC345)&amp;" "&amp;$V$4&amp;VLOOKUP(C345,[1]List1!$A:$E,4,FALSE)&amp;" "&amp;$V$1),AC345))))</f>
        <v>SKLADEM</v>
      </c>
      <c r="AE345" s="716" t="str">
        <f t="shared" ref="AE345:AE348" ca="1" si="652">IFERROR(IF(AV345&lt;&gt;"",AV345,AD345),AD345)</f>
        <v>SKLADEM</v>
      </c>
      <c r="AF345" s="723">
        <f t="shared" ref="AF345:AF348" si="653">IFERROR(IF(AB345=Y345,G345*I345*Y345,0),0)</f>
        <v>0</v>
      </c>
      <c r="AG345" s="723">
        <f t="shared" ref="AG345:AG348" si="654">IF($W$17=$AF$8,AH345*1.23,AF345*1.21)</f>
        <v>0</v>
      </c>
      <c r="AH345" s="724">
        <f t="shared" ref="AH345:AH348" si="655">IFERROR(IF(Y345=AB345,H345*I345*Y345,0),0)</f>
        <v>0</v>
      </c>
      <c r="AI345" s="716">
        <f t="shared" ref="AI345:AI348" si="656">IFERROR(IF(Y345=AB345,(P345*Y345)/1000,1),0)</f>
        <v>0</v>
      </c>
      <c r="AJ345" s="716">
        <f t="shared" ref="AJ345:AJ348" si="657">IFERROR(IF(Y345=AB345,N345*Y345,0.1),0)</f>
        <v>0</v>
      </c>
      <c r="AK345" s="716" t="str">
        <f t="shared" ref="AK345:AK348" si="658">IFERROR(IF(Y345=AB345,IF(M345="1.1G",(O345/1000)*Y345,""),""),0)</f>
        <v/>
      </c>
      <c r="AL345" s="716" t="str">
        <f t="shared" ref="AL345:AL348" si="659">IFERROR(IF(Y345=AB345,IF(M345="1.3G",(O345/1000)*AB345,""),""),0)</f>
        <v/>
      </c>
      <c r="AM345" s="716" t="str">
        <f t="shared" ref="AM345:AM348" si="660">IFERROR(IF(Y345=AB345,IF(M345="1.4G",(O345/1000)*AB345,""),""),0)</f>
        <v/>
      </c>
      <c r="AN345" s="716">
        <f t="shared" ref="AN345:AN348" si="661">SUM(AK345:AM345)</f>
        <v>0</v>
      </c>
      <c r="AO345" s="380"/>
      <c r="AP345" s="322" t="str">
        <f t="shared" ref="AP345:AP401" si="662">IF($AL$3=1,IF(Y345=AB345,"","NE"),IF(AR345=$V$10,"NE",""))</f>
        <v/>
      </c>
      <c r="AQ345" s="323" t="str">
        <f>IF(AC345=$V$3,IF(VLOOKUP(C345,[1]List1!$A:$E,5,FALSE)=0,1,VLOOKUP(C345,[1]List1!$A:$E,5,FALSE)),"")</f>
        <v/>
      </c>
      <c r="AR345" s="304" t="str">
        <f t="shared" ref="AR345:AR401" si="663">IF($AL$3=1,"",IF(OR(AB345&lt;&gt;"",AB345&lt;&gt;0),IF(OR(AC345=$V$6,AC345=$V$3,AC345=$V$9),$V$10,""),""))</f>
        <v/>
      </c>
      <c r="AS345" s="423" t="str">
        <f t="shared" ref="AS345:AS401" si="664">IF(AT345&lt;&gt;"","X","")</f>
        <v/>
      </c>
      <c r="AT345" s="304" t="str">
        <f t="shared" ref="AT345:AT401" si="665">IF(AND($AL$3=2,AR345="",AB345&lt;&gt;""),AD345,"")</f>
        <v/>
      </c>
      <c r="AU345" s="342" t="e">
        <f t="shared" ref="AU345:AU401" si="666">IF(AT345=$AS$21,AB345,"")</f>
        <v>#N/A</v>
      </c>
      <c r="AV345" s="304" t="e">
        <f t="shared" ref="AV345:AV401" si="667">IF(OR(AB345="",AND(AT345&lt;&gt;"",AU345&lt;&gt;"")),"",$V$10)</f>
        <v>#N/A</v>
      </c>
      <c r="AX345" s="304">
        <f>IF(AND('General price list'!$J345="F4",'General price list'!$AB345+0&gt;0),1,0)</f>
        <v>0</v>
      </c>
      <c r="AY345" s="304">
        <f t="shared" ref="AY345:AY401" si="668">IFERROR(FIND(VLOOKUP($AC$7,$AD$1:$AE$12,2,FALSE),Q345,1),0)</f>
        <v>0</v>
      </c>
      <c r="AZ345" s="304">
        <f t="shared" ref="AZ345:AZ401" si="669">IFERROR(FIND(VLOOKUP($AC$7,$AD$1:$AE$12,2,FALSE),R345,1),0)</f>
        <v>0</v>
      </c>
    </row>
    <row r="346" spans="1:52" ht="15" customHeight="1">
      <c r="A346" s="725" t="str">
        <f>Kat.!C343</f>
        <v/>
      </c>
      <c r="B346" s="726">
        <f>IF(AND('General price list'!$J346="F4",$AI$1=FALSE),0,IF(AC346="SKLADEM",1,IF(AC346=$V$3,1,0)))</f>
        <v>1</v>
      </c>
      <c r="C346" s="727" t="s">
        <v>2689</v>
      </c>
      <c r="D346" s="728" t="s">
        <v>2690</v>
      </c>
      <c r="E346" s="729" t="s">
        <v>136</v>
      </c>
      <c r="F346" s="725">
        <f>IFERROR(ROUND(IF($AL$3=2,VLOOKUP(C346,[2]List1!$A:$D,2,FALSE)*1.08,VLOOKUP(C346,[2]List1!$A:$D,2,FALSE)),0),"NEUVEDENO!")</f>
        <v>1830</v>
      </c>
      <c r="G346" s="730">
        <f t="shared" si="648"/>
        <v>1830</v>
      </c>
      <c r="H346" s="731">
        <f t="shared" si="649"/>
        <v>74.363340092405593</v>
      </c>
      <c r="I346" s="732">
        <v>1</v>
      </c>
      <c r="J346" s="729"/>
      <c r="K346" s="729"/>
      <c r="L346" s="729" t="s">
        <v>14464</v>
      </c>
      <c r="M346" s="729"/>
      <c r="N346" s="729">
        <f>IFERROR(VLOOKUP(C346,[3]List1!$A:$D,4,FALSE),"N/A!")</f>
        <v>0</v>
      </c>
      <c r="O346" s="729">
        <f>IFERROR(VLOOKUP(C346,[3]List1!$A:$D,3,FALSE),"N/A!")</f>
        <v>0</v>
      </c>
      <c r="P346" s="729">
        <f>IFERROR(VLOOKUP(C346,[3]List1!$A:$D,2,FALSE),"N/A!")</f>
        <v>500</v>
      </c>
      <c r="Q346" s="729" t="s">
        <v>24</v>
      </c>
      <c r="R346" s="729" t="s">
        <v>24</v>
      </c>
      <c r="S346" s="729"/>
      <c r="T346" s="729"/>
      <c r="U346" s="729"/>
      <c r="V346" s="729"/>
      <c r="W346" s="729" t="str">
        <f>IFERROR(VLOOKUP('General price list'!$C346,Popisy!A:P,MATCH($W$17,Popisy!$A$7:$P$7,0),FALSE),"---------------")</f>
        <v>Dumbum vesta softshell L-limited edition</v>
      </c>
      <c r="X346" s="729" t="str">
        <f t="shared" si="650"/>
        <v/>
      </c>
      <c r="Y346" s="729" t="str">
        <f t="shared" si="651"/>
        <v/>
      </c>
      <c r="Z346" s="729" t="str">
        <f>HYPERLINK("https://www.klasekpyrotechnics.cz/vdle1l")</f>
        <v>https://www.klasekpyrotechnics.cz/vdle1l</v>
      </c>
      <c r="AA346" s="729" t="str">
        <f>IFERROR(IF(VLOOKUP(C346,[4]List1!$A:$D,4,FALSE)=0,"",VLOOKUP(C346,[4]List1!$A:$D,4,FALSE)),"")</f>
        <v/>
      </c>
      <c r="AB346" s="720"/>
      <c r="AC346" s="733" t="str">
        <f>IFERROR(IF(VLOOKUP(C346,[1]List1!$A:$D,2,FALSE)="VYPRODÁNO",$V$9,IF(VLOOKUP(C346,[1]List1!$A:$D,2,FALSE)="DOCHÁZÍ",$V$3,VLOOKUP(C346,[1]List1!$A:$D,2,FALSE))),"OFFLINE!")</f>
        <v>SKLADEM</v>
      </c>
      <c r="AD346" s="734" t="str">
        <f ca="1">IF(AP346="NE",$V$10,IF(AC346=$V$3,IF(AQ346&lt;1,$V$8,$V$2&amp;" "&amp;AQ346&amp;" "&amp;$V$1),IF(AC346="SKLADEM",$V$6,IFERROR(IF(OR(AC346-TODAY()&gt;45,VLOOKUP(C346,[1]List1!$A:$E,4,FALSE)=0),AC346,DAY(AC346)&amp;"."&amp;MONTH(AC346)&amp;"."&amp;YEAR(AC346)&amp;" "&amp;$V$4&amp;VLOOKUP(C346,[1]List1!$A:$E,4,FALSE)&amp;" "&amp;$V$1),AC346))))</f>
        <v>SKLADEM</v>
      </c>
      <c r="AE346" s="729" t="str">
        <f t="shared" ca="1" si="652"/>
        <v>SKLADEM</v>
      </c>
      <c r="AF346" s="735">
        <f t="shared" si="653"/>
        <v>0</v>
      </c>
      <c r="AG346" s="735">
        <f t="shared" si="654"/>
        <v>0</v>
      </c>
      <c r="AH346" s="736">
        <f t="shared" si="655"/>
        <v>0</v>
      </c>
      <c r="AI346" s="729">
        <f t="shared" si="656"/>
        <v>0</v>
      </c>
      <c r="AJ346" s="729">
        <f t="shared" si="657"/>
        <v>0</v>
      </c>
      <c r="AK346" s="729" t="str">
        <f t="shared" si="658"/>
        <v/>
      </c>
      <c r="AL346" s="729" t="str">
        <f t="shared" si="659"/>
        <v/>
      </c>
      <c r="AM346" s="729" t="str">
        <f t="shared" si="660"/>
        <v/>
      </c>
      <c r="AN346" s="729">
        <f t="shared" si="661"/>
        <v>0</v>
      </c>
      <c r="AO346" s="380"/>
      <c r="AP346" s="322" t="str">
        <f t="shared" si="662"/>
        <v/>
      </c>
      <c r="AQ346" s="323" t="str">
        <f>IF(AC346=$V$3,IF(VLOOKUP(C346,[1]List1!$A:$E,5,FALSE)=0,1,VLOOKUP(C346,[1]List1!$A:$E,5,FALSE)),"")</f>
        <v/>
      </c>
      <c r="AR346" s="304" t="str">
        <f t="shared" si="663"/>
        <v/>
      </c>
      <c r="AS346" s="423" t="str">
        <f t="shared" si="664"/>
        <v/>
      </c>
      <c r="AT346" s="304" t="str">
        <f t="shared" si="665"/>
        <v/>
      </c>
      <c r="AU346" s="342" t="e">
        <f t="shared" si="666"/>
        <v>#N/A</v>
      </c>
      <c r="AV346" s="304" t="e">
        <f t="shared" si="667"/>
        <v>#N/A</v>
      </c>
      <c r="AX346" s="304">
        <f>IF(AND('General price list'!$J346="F4",'General price list'!$AB346+0&gt;0),1,0)</f>
        <v>0</v>
      </c>
      <c r="AY346" s="304">
        <f t="shared" si="668"/>
        <v>0</v>
      </c>
      <c r="AZ346" s="304">
        <f t="shared" si="669"/>
        <v>0</v>
      </c>
    </row>
    <row r="347" spans="1:52" ht="15" customHeight="1">
      <c r="A347" s="712" t="str">
        <f>Kat.!C344</f>
        <v/>
      </c>
      <c r="B347" s="737">
        <f>IF(AND('General price list'!$J347="F4",$AI$1=FALSE),0,IF(AC347="SKLADEM",1,IF(AC347=$V$3,1,0)))</f>
        <v>1</v>
      </c>
      <c r="C347" s="714" t="s">
        <v>2691</v>
      </c>
      <c r="D347" s="715" t="s">
        <v>2692</v>
      </c>
      <c r="E347" s="716" t="s">
        <v>136</v>
      </c>
      <c r="F347" s="712">
        <f>IFERROR(ROUND(IF($AL$3=2,VLOOKUP(C347,[2]List1!$A:$D,2,FALSE)*1.08,VLOOKUP(C347,[2]List1!$A:$D,2,FALSE)),0),"NEUVEDENO!")</f>
        <v>1830</v>
      </c>
      <c r="G347" s="717">
        <f t="shared" si="648"/>
        <v>1830</v>
      </c>
      <c r="H347" s="718">
        <f t="shared" si="649"/>
        <v>74.363340092405593</v>
      </c>
      <c r="I347" s="738">
        <v>1</v>
      </c>
      <c r="J347" s="716"/>
      <c r="K347" s="716"/>
      <c r="L347" s="716" t="s">
        <v>14464</v>
      </c>
      <c r="M347" s="716"/>
      <c r="N347" s="716">
        <f>IFERROR(VLOOKUP(C347,[3]List1!$A:$D,4,FALSE),"N/A!")</f>
        <v>0</v>
      </c>
      <c r="O347" s="716">
        <f>IFERROR(VLOOKUP(C347,[3]List1!$A:$D,3,FALSE),"N/A!")</f>
        <v>0</v>
      </c>
      <c r="P347" s="716">
        <f>IFERROR(VLOOKUP(C347,[3]List1!$A:$D,2,FALSE),"N/A!")</f>
        <v>500</v>
      </c>
      <c r="Q347" s="716" t="s">
        <v>24</v>
      </c>
      <c r="R347" s="716" t="s">
        <v>24</v>
      </c>
      <c r="S347" s="716"/>
      <c r="T347" s="716"/>
      <c r="U347" s="716"/>
      <c r="V347" s="716"/>
      <c r="W347" s="716" t="str">
        <f>IFERROR(VLOOKUP('General price list'!$C347,Popisy!A:P,MATCH($W$17,Popisy!$A$7:$P$7,0),FALSE),"---------------")</f>
        <v>Dumbum vesta softshell XL -limited edition</v>
      </c>
      <c r="X347" s="716" t="str">
        <f t="shared" si="650"/>
        <v/>
      </c>
      <c r="Y347" s="716" t="str">
        <f t="shared" si="651"/>
        <v/>
      </c>
      <c r="Z347" s="716" t="str">
        <f>HYPERLINK("https://www.klasekpyrotechnics.cz/vdle1xl")</f>
        <v>https://www.klasekpyrotechnics.cz/vdle1xl</v>
      </c>
      <c r="AA347" s="716" t="str">
        <f>IFERROR(IF(VLOOKUP(C347,[4]List1!$A:$D,4,FALSE)=0,"",VLOOKUP(C347,[4]List1!$A:$D,4,FALSE)),"")</f>
        <v/>
      </c>
      <c r="AB347" s="720"/>
      <c r="AC347" s="739" t="str">
        <f>IFERROR(IF(VLOOKUP(C347,[1]List1!$A:$D,2,FALSE)="VYPRODÁNO",$V$9,IF(VLOOKUP(C347,[1]List1!$A:$D,2,FALSE)="DOCHÁZÍ",$V$3,VLOOKUP(C347,[1]List1!$A:$D,2,FALSE))),"OFFLINE!")</f>
        <v>SKLADEM</v>
      </c>
      <c r="AD347" s="740" t="str">
        <f ca="1">IF(AP347="NE",$V$10,IF(AC347=$V$3,IF(AQ347&lt;1,$V$8,$V$2&amp;" "&amp;AQ347&amp;" "&amp;$V$1),IF(AC347="SKLADEM",$V$6,IFERROR(IF(OR(AC347-TODAY()&gt;45,VLOOKUP(C347,[1]List1!$A:$E,4,FALSE)=0),AC347,DAY(AC347)&amp;"."&amp;MONTH(AC347)&amp;"."&amp;YEAR(AC347)&amp;" "&amp;$V$4&amp;VLOOKUP(C347,[1]List1!$A:$E,4,FALSE)&amp;" "&amp;$V$1),AC347))))</f>
        <v>SKLADEM</v>
      </c>
      <c r="AE347" s="716" t="str">
        <f t="shared" ca="1" si="652"/>
        <v>SKLADEM</v>
      </c>
      <c r="AF347" s="723">
        <f t="shared" si="653"/>
        <v>0</v>
      </c>
      <c r="AG347" s="723">
        <f t="shared" si="654"/>
        <v>0</v>
      </c>
      <c r="AH347" s="724">
        <f t="shared" si="655"/>
        <v>0</v>
      </c>
      <c r="AI347" s="716">
        <f t="shared" si="656"/>
        <v>0</v>
      </c>
      <c r="AJ347" s="716">
        <f t="shared" si="657"/>
        <v>0</v>
      </c>
      <c r="AK347" s="716" t="str">
        <f t="shared" si="658"/>
        <v/>
      </c>
      <c r="AL347" s="716" t="str">
        <f t="shared" si="659"/>
        <v/>
      </c>
      <c r="AM347" s="716" t="str">
        <f t="shared" si="660"/>
        <v/>
      </c>
      <c r="AN347" s="716">
        <f t="shared" si="661"/>
        <v>0</v>
      </c>
      <c r="AO347" s="380"/>
      <c r="AP347" s="322" t="str">
        <f t="shared" si="662"/>
        <v/>
      </c>
      <c r="AQ347" s="323" t="str">
        <f>IF(AC347=$V$3,IF(VLOOKUP(C347,[1]List1!$A:$E,5,FALSE)=0,1,VLOOKUP(C347,[1]List1!$A:$E,5,FALSE)),"")</f>
        <v/>
      </c>
      <c r="AR347" s="304" t="str">
        <f t="shared" si="663"/>
        <v/>
      </c>
      <c r="AS347" s="423" t="str">
        <f t="shared" si="664"/>
        <v/>
      </c>
      <c r="AT347" s="304" t="str">
        <f t="shared" si="665"/>
        <v/>
      </c>
      <c r="AU347" s="342" t="e">
        <f t="shared" si="666"/>
        <v>#N/A</v>
      </c>
      <c r="AV347" s="304" t="e">
        <f t="shared" si="667"/>
        <v>#N/A</v>
      </c>
      <c r="AX347" s="304">
        <f>IF(AND('General price list'!$J347="F4",'General price list'!$AB347+0&gt;0),1,0)</f>
        <v>0</v>
      </c>
      <c r="AY347" s="304">
        <f t="shared" si="668"/>
        <v>0</v>
      </c>
      <c r="AZ347" s="304">
        <f t="shared" si="669"/>
        <v>0</v>
      </c>
    </row>
    <row r="348" spans="1:52" ht="15" customHeight="1">
      <c r="A348" s="725" t="str">
        <f>Kat.!C345</f>
        <v/>
      </c>
      <c r="B348" s="726">
        <f>IF(AND('General price list'!$J348="F4",$AI$1=FALSE),0,IF(AC348="SKLADEM",1,IF(AC348=$V$3,1,0)))</f>
        <v>1</v>
      </c>
      <c r="C348" s="727" t="s">
        <v>2693</v>
      </c>
      <c r="D348" s="728" t="s">
        <v>2694</v>
      </c>
      <c r="E348" s="729" t="s">
        <v>136</v>
      </c>
      <c r="F348" s="725">
        <f>IFERROR(ROUND(IF($AL$3=2,VLOOKUP(C348,[2]List1!$A:$D,2,FALSE)*1.08,VLOOKUP(C348,[2]List1!$A:$D,2,FALSE)),0),"NEUVEDENO!")</f>
        <v>1830</v>
      </c>
      <c r="G348" s="730">
        <f t="shared" si="648"/>
        <v>1830</v>
      </c>
      <c r="H348" s="731">
        <f t="shared" si="649"/>
        <v>74.363340092405593</v>
      </c>
      <c r="I348" s="732">
        <v>1</v>
      </c>
      <c r="J348" s="729"/>
      <c r="K348" s="729"/>
      <c r="L348" s="729" t="s">
        <v>14464</v>
      </c>
      <c r="M348" s="729"/>
      <c r="N348" s="729">
        <f>IFERROR(VLOOKUP(C348,[3]List1!$A:$D,4,FALSE),"N/A!")</f>
        <v>0</v>
      </c>
      <c r="O348" s="729">
        <f>IFERROR(VLOOKUP(C348,[3]List1!$A:$D,3,FALSE),"N/A!")</f>
        <v>0</v>
      </c>
      <c r="P348" s="729">
        <f>IFERROR(VLOOKUP(C348,[3]List1!$A:$D,2,FALSE),"N/A!")</f>
        <v>500</v>
      </c>
      <c r="Q348" s="729" t="s">
        <v>24</v>
      </c>
      <c r="R348" s="729" t="s">
        <v>24</v>
      </c>
      <c r="S348" s="729"/>
      <c r="T348" s="729"/>
      <c r="U348" s="729"/>
      <c r="V348" s="729"/>
      <c r="W348" s="729" t="str">
        <f>IFERROR(VLOOKUP('General price list'!$C348,Popisy!A:P,MATCH($W$17,Popisy!$A$7:$P$7,0),FALSE),"---------------")</f>
        <v>Dumbum vesta softshell XXL -limited edition</v>
      </c>
      <c r="X348" s="729" t="str">
        <f t="shared" si="650"/>
        <v/>
      </c>
      <c r="Y348" s="729" t="str">
        <f t="shared" si="651"/>
        <v/>
      </c>
      <c r="Z348" s="729" t="str">
        <f>HYPERLINK("https://www.klasekpyrotechnics.cz/vdle1xxl")</f>
        <v>https://www.klasekpyrotechnics.cz/vdle1xxl</v>
      </c>
      <c r="AA348" s="729" t="str">
        <f>IFERROR(IF(VLOOKUP(C348,[4]List1!$A:$D,4,FALSE)=0,"",VLOOKUP(C348,[4]List1!$A:$D,4,FALSE)),"")</f>
        <v/>
      </c>
      <c r="AB348" s="720"/>
      <c r="AC348" s="733" t="str">
        <f>IFERROR(IF(VLOOKUP(C348,[1]List1!$A:$D,2,FALSE)="VYPRODÁNO",$V$9,IF(VLOOKUP(C348,[1]List1!$A:$D,2,FALSE)="DOCHÁZÍ",$V$3,VLOOKUP(C348,[1]List1!$A:$D,2,FALSE))),"OFFLINE!")</f>
        <v>SKLADEM</v>
      </c>
      <c r="AD348" s="734" t="str">
        <f ca="1">IF(AP348="NE",$V$10,IF(AC348=$V$3,IF(AQ348&lt;1,$V$8,$V$2&amp;" "&amp;AQ348&amp;" "&amp;$V$1),IF(AC348="SKLADEM",$V$6,IFERROR(IF(OR(AC348-TODAY()&gt;45,VLOOKUP(C348,[1]List1!$A:$E,4,FALSE)=0),AC348,DAY(AC348)&amp;"."&amp;MONTH(AC348)&amp;"."&amp;YEAR(AC348)&amp;" "&amp;$V$4&amp;VLOOKUP(C348,[1]List1!$A:$E,4,FALSE)&amp;" "&amp;$V$1),AC348))))</f>
        <v>SKLADEM</v>
      </c>
      <c r="AE348" s="729" t="str">
        <f t="shared" ca="1" si="652"/>
        <v>SKLADEM</v>
      </c>
      <c r="AF348" s="735">
        <f t="shared" si="653"/>
        <v>0</v>
      </c>
      <c r="AG348" s="735">
        <f t="shared" si="654"/>
        <v>0</v>
      </c>
      <c r="AH348" s="736">
        <f t="shared" si="655"/>
        <v>0</v>
      </c>
      <c r="AI348" s="729">
        <f t="shared" si="656"/>
        <v>0</v>
      </c>
      <c r="AJ348" s="729">
        <f t="shared" si="657"/>
        <v>0</v>
      </c>
      <c r="AK348" s="729" t="str">
        <f t="shared" si="658"/>
        <v/>
      </c>
      <c r="AL348" s="729" t="str">
        <f t="shared" si="659"/>
        <v/>
      </c>
      <c r="AM348" s="729" t="str">
        <f t="shared" si="660"/>
        <v/>
      </c>
      <c r="AN348" s="729">
        <f t="shared" si="661"/>
        <v>0</v>
      </c>
      <c r="AO348" s="380"/>
      <c r="AP348" s="322" t="str">
        <f t="shared" si="662"/>
        <v/>
      </c>
      <c r="AQ348" s="323" t="str">
        <f>IF(AC348=$V$3,IF(VLOOKUP(C348,[1]List1!$A:$E,5,FALSE)=0,1,VLOOKUP(C348,[1]List1!$A:$E,5,FALSE)),"")</f>
        <v/>
      </c>
      <c r="AR348" s="304" t="str">
        <f t="shared" si="663"/>
        <v/>
      </c>
      <c r="AS348" s="423" t="str">
        <f t="shared" si="664"/>
        <v/>
      </c>
      <c r="AT348" s="304" t="str">
        <f t="shared" si="665"/>
        <v/>
      </c>
      <c r="AU348" s="342" t="e">
        <f t="shared" si="666"/>
        <v>#N/A</v>
      </c>
      <c r="AV348" s="304" t="e">
        <f t="shared" si="667"/>
        <v>#N/A</v>
      </c>
      <c r="AX348" s="304">
        <f>IF(AND('General price list'!$J348="F4",'General price list'!$AB348+0&gt;0),1,0)</f>
        <v>0</v>
      </c>
      <c r="AY348" s="304">
        <f t="shared" si="668"/>
        <v>0</v>
      </c>
      <c r="AZ348" s="304">
        <f t="shared" si="669"/>
        <v>0</v>
      </c>
    </row>
    <row r="349" spans="1:52" ht="15" customHeight="1">
      <c r="A349" s="712" t="str">
        <f>Kat.!C346</f>
        <v/>
      </c>
      <c r="B349" s="737">
        <f>IF(AND('General price list'!$J349="F4",$AI$1=FALSE),0,IF(AC349="SKLADEM",1,IF(AC349=$V$3,1,0)))</f>
        <v>0</v>
      </c>
      <c r="C349" s="714" t="s">
        <v>2695</v>
      </c>
      <c r="D349" s="715" t="s">
        <v>2696</v>
      </c>
      <c r="E349" s="716" t="s">
        <v>136</v>
      </c>
      <c r="F349" s="712">
        <f>IFERROR(ROUND(IF($AL$3=2,VLOOKUP(C349,[2]List1!$A:$D,2,FALSE)*1.08,VLOOKUP(C349,[2]List1!$A:$D,2,FALSE)),0),"NEUVEDENO!")</f>
        <v>2330</v>
      </c>
      <c r="G349" s="717">
        <f t="shared" ref="G349:G352" si="670">(F349)*$B$19</f>
        <v>2330</v>
      </c>
      <c r="H349" s="718">
        <f t="shared" ref="H349:H352" si="671">G349/$F$19</f>
        <v>94.681192576669417</v>
      </c>
      <c r="I349" s="738">
        <v>1</v>
      </c>
      <c r="J349" s="716"/>
      <c r="K349" s="716"/>
      <c r="L349" s="716" t="s">
        <v>14464</v>
      </c>
      <c r="M349" s="716"/>
      <c r="N349" s="716">
        <f>IFERROR(VLOOKUP(C349,[3]List1!$A:$D,4,FALSE),"N/A!")</f>
        <v>0</v>
      </c>
      <c r="O349" s="716">
        <f>IFERROR(VLOOKUP(C349,[3]List1!$A:$D,3,FALSE),"N/A!")</f>
        <v>0</v>
      </c>
      <c r="P349" s="716">
        <f>IFERROR(VLOOKUP(C349,[3]List1!$A:$D,2,FALSE),"N/A!")</f>
        <v>805</v>
      </c>
      <c r="Q349" s="716" t="s">
        <v>24</v>
      </c>
      <c r="R349" s="716" t="s">
        <v>24</v>
      </c>
      <c r="S349" s="716"/>
      <c r="T349" s="716"/>
      <c r="U349" s="716"/>
      <c r="V349" s="716"/>
      <c r="W349" s="716" t="str">
        <f>IFERROR(VLOOKUP('General price list'!$C349,Popisy!A:P,MATCH($W$17,Popisy!$A$7:$P$7,0),FALSE),"---------------")</f>
        <v>Dumbum bunda fleece M -limited edition</v>
      </c>
      <c r="X349" s="716" t="str">
        <f t="shared" ref="X349:X352" si="672">IF(AB349&lt;0.0001,"",AB349)</f>
        <v/>
      </c>
      <c r="Y349" s="716" t="str">
        <f t="shared" ref="Y349:Y352" si="673">IF($AL$3=2,IF(OR(AB349&lt;&gt;"",AB349&lt;&gt;0),AU349,""),IF(C349="","",IF(AB349&lt;0.0001,"",IF(B349=0,"",IF(AQ349&lt;AB349,"",AB349)))))</f>
        <v/>
      </c>
      <c r="Z349" s="716" t="str">
        <f>HYPERLINK("https://www.klasekpyrotechnics.cz/bdle1m")</f>
        <v>https://www.klasekpyrotechnics.cz/bdle1m</v>
      </c>
      <c r="AA349" s="716" t="str">
        <f>IFERROR(IF(VLOOKUP(C349,[4]List1!$A:$D,4,FALSE)=0,"",VLOOKUP(C349,[4]List1!$A:$D,4,FALSE)),"")</f>
        <v/>
      </c>
      <c r="AB349" s="720"/>
      <c r="AC349" s="739" t="str">
        <f>IFERROR(IF(VLOOKUP(C349,[1]List1!$A:$D,2,FALSE)="VYPRODÁNO",$V$9,IF(VLOOKUP(C349,[1]List1!$A:$D,2,FALSE)="DOCHÁZÍ",$V$3,VLOOKUP(C349,[1]List1!$A:$D,2,FALSE))),"OFFLINE!")</f>
        <v>VYPRODÁNO</v>
      </c>
      <c r="AD349" s="740" t="str">
        <f ca="1">IF(AP349="NE",$V$10,IF(AC349=$V$3,IF(AQ349&lt;1,$V$8,$V$2&amp;" "&amp;AQ349&amp;" "&amp;$V$1),IF(AC349="SKLADEM",$V$6,IFERROR(IF(OR(AC349-TODAY()&gt;45,VLOOKUP(C349,[1]List1!$A:$E,4,FALSE)=0),AC349,DAY(AC349)&amp;"."&amp;MONTH(AC349)&amp;"."&amp;YEAR(AC349)&amp;" "&amp;$V$4&amp;VLOOKUP(C349,[1]List1!$A:$E,4,FALSE)&amp;" "&amp;$V$1),AC349))))</f>
        <v>VYPRODÁNO</v>
      </c>
      <c r="AE349" s="716" t="str">
        <f t="shared" ref="AE349:AE352" ca="1" si="674">IFERROR(IF(AV349&lt;&gt;"",AV349,AD349),AD349)</f>
        <v>VYPRODÁNO</v>
      </c>
      <c r="AF349" s="723">
        <f t="shared" ref="AF349:AF352" si="675">IFERROR(IF(AB349=Y349,G349*I349*Y349,0),0)</f>
        <v>0</v>
      </c>
      <c r="AG349" s="723">
        <f t="shared" ref="AG349:AG352" si="676">IF($W$17=$AF$8,AH349*1.23,AF349*1.21)</f>
        <v>0</v>
      </c>
      <c r="AH349" s="724">
        <f t="shared" ref="AH349:AH352" si="677">IFERROR(IF(Y349=AB349,H349*I349*Y349,0),0)</f>
        <v>0</v>
      </c>
      <c r="AI349" s="716">
        <f t="shared" ref="AI349:AI352" si="678">IFERROR(IF(Y349=AB349,(P349*Y349)/1000,1),0)</f>
        <v>0</v>
      </c>
      <c r="AJ349" s="716">
        <f t="shared" ref="AJ349:AJ352" si="679">IFERROR(IF(Y349=AB349,N349*Y349,0.1),0)</f>
        <v>0</v>
      </c>
      <c r="AK349" s="716" t="str">
        <f t="shared" ref="AK349:AK352" si="680">IFERROR(IF(Y349=AB349,IF(M349="1.1G",(O349/1000)*Y349,""),""),0)</f>
        <v/>
      </c>
      <c r="AL349" s="716" t="str">
        <f t="shared" ref="AL349:AL352" si="681">IFERROR(IF(Y349=AB349,IF(M349="1.3G",(O349/1000)*AB349,""),""),0)</f>
        <v/>
      </c>
      <c r="AM349" s="716" t="str">
        <f t="shared" ref="AM349:AM352" si="682">IFERROR(IF(Y349=AB349,IF(M349="1.4G",(O349/1000)*AB349,""),""),0)</f>
        <v/>
      </c>
      <c r="AN349" s="716">
        <f t="shared" ref="AN349:AN352" si="683">SUM(AK349:AM349)</f>
        <v>0</v>
      </c>
      <c r="AO349" s="380"/>
      <c r="AP349" s="322" t="str">
        <f t="shared" si="662"/>
        <v/>
      </c>
      <c r="AQ349" s="323" t="str">
        <f>IF(AC349=$V$3,IF(VLOOKUP(C349,[1]List1!$A:$E,5,FALSE)=0,1,VLOOKUP(C349,[1]List1!$A:$E,5,FALSE)),"")</f>
        <v/>
      </c>
      <c r="AR349" s="304" t="str">
        <f t="shared" si="663"/>
        <v/>
      </c>
      <c r="AS349" s="423" t="str">
        <f t="shared" si="664"/>
        <v/>
      </c>
      <c r="AT349" s="304" t="str">
        <f t="shared" si="665"/>
        <v/>
      </c>
      <c r="AU349" s="342" t="e">
        <f t="shared" si="666"/>
        <v>#N/A</v>
      </c>
      <c r="AV349" s="304" t="e">
        <f t="shared" si="667"/>
        <v>#N/A</v>
      </c>
      <c r="AX349" s="304">
        <f>IF(AND('General price list'!$J349="F4",'General price list'!$AB349+0&gt;0),1,0)</f>
        <v>0</v>
      </c>
      <c r="AY349" s="304">
        <f t="shared" si="668"/>
        <v>0</v>
      </c>
      <c r="AZ349" s="304">
        <f t="shared" si="669"/>
        <v>0</v>
      </c>
    </row>
    <row r="350" spans="1:52" ht="15" customHeight="1">
      <c r="A350" s="725" t="str">
        <f>Kat.!C347</f>
        <v/>
      </c>
      <c r="B350" s="726">
        <f>IF(AND('General price list'!$J350="F4",$AI$1=FALSE),0,IF(AC350="SKLADEM",1,IF(AC350=$V$3,1,0)))</f>
        <v>1</v>
      </c>
      <c r="C350" s="727" t="s">
        <v>2697</v>
      </c>
      <c r="D350" s="728" t="s">
        <v>2698</v>
      </c>
      <c r="E350" s="729" t="s">
        <v>136</v>
      </c>
      <c r="F350" s="725">
        <f>IFERROR(ROUND(IF($AL$3=2,VLOOKUP(C350,[2]List1!$A:$D,2,FALSE)*1.08,VLOOKUP(C350,[2]List1!$A:$D,2,FALSE)),0),"NEUVEDENO!")</f>
        <v>2330</v>
      </c>
      <c r="G350" s="730">
        <f t="shared" si="670"/>
        <v>2330</v>
      </c>
      <c r="H350" s="731">
        <f t="shared" si="671"/>
        <v>94.681192576669417</v>
      </c>
      <c r="I350" s="732">
        <v>1</v>
      </c>
      <c r="J350" s="729"/>
      <c r="K350" s="729"/>
      <c r="L350" s="729" t="s">
        <v>14464</v>
      </c>
      <c r="M350" s="729"/>
      <c r="N350" s="729">
        <f>IFERROR(VLOOKUP(C350,[3]List1!$A:$D,4,FALSE),"N/A!")</f>
        <v>0</v>
      </c>
      <c r="O350" s="729">
        <f>IFERROR(VLOOKUP(C350,[3]List1!$A:$D,3,FALSE),"N/A!")</f>
        <v>0</v>
      </c>
      <c r="P350" s="729">
        <f>IFERROR(VLOOKUP(C350,[3]List1!$A:$D,2,FALSE),"N/A!")</f>
        <v>823</v>
      </c>
      <c r="Q350" s="729" t="s">
        <v>24</v>
      </c>
      <c r="R350" s="729" t="s">
        <v>24</v>
      </c>
      <c r="S350" s="729"/>
      <c r="T350" s="729"/>
      <c r="U350" s="729"/>
      <c r="V350" s="729"/>
      <c r="W350" s="729" t="str">
        <f>IFERROR(VLOOKUP('General price list'!$C350,Popisy!A:P,MATCH($W$17,Popisy!$A$7:$P$7,0),FALSE),"---------------")</f>
        <v>Dumbum bunda fleece L -limited edition</v>
      </c>
      <c r="X350" s="729" t="str">
        <f t="shared" si="672"/>
        <v/>
      </c>
      <c r="Y350" s="729" t="str">
        <f t="shared" si="673"/>
        <v/>
      </c>
      <c r="Z350" s="729" t="str">
        <f>HYPERLINK("https://www.klasekpyrotechnics.cz/bdle1l")</f>
        <v>https://www.klasekpyrotechnics.cz/bdle1l</v>
      </c>
      <c r="AA350" s="729" t="str">
        <f>IFERROR(IF(VLOOKUP(C350,[4]List1!$A:$D,4,FALSE)=0,"",VLOOKUP(C350,[4]List1!$A:$D,4,FALSE)),"")</f>
        <v/>
      </c>
      <c r="AB350" s="720"/>
      <c r="AC350" s="733" t="str">
        <f>IFERROR(IF(VLOOKUP(C350,[1]List1!$A:$D,2,FALSE)="VYPRODÁNO",$V$9,IF(VLOOKUP(C350,[1]List1!$A:$D,2,FALSE)="DOCHÁZÍ",$V$3,VLOOKUP(C350,[1]List1!$A:$D,2,FALSE))),"OFFLINE!")</f>
        <v>DOCHÁZÍ</v>
      </c>
      <c r="AD350" s="734" t="str">
        <f ca="1">IF(AP350="NE",$V$10,IF(AC350=$V$3,IF(AQ350&lt;1,$V$8,$V$2&amp;" "&amp;AQ350&amp;" "&amp;$V$1),IF(AC350="SKLADEM",$V$6,IFERROR(IF(OR(AC350-TODAY()&gt;45,VLOOKUP(C350,[1]List1!$A:$E,4,FALSE)=0),AC350,DAY(AC350)&amp;"."&amp;MONTH(AC350)&amp;"."&amp;YEAR(AC350)&amp;" "&amp;$V$4&amp;VLOOKUP(C350,[1]List1!$A:$E,4,FALSE)&amp;" "&amp;$V$1),AC350))))</f>
        <v>POSLEDNÍCH 2 VK</v>
      </c>
      <c r="AE350" s="729" t="str">
        <f t="shared" ca="1" si="674"/>
        <v>POSLEDNÍCH 2 VK</v>
      </c>
      <c r="AF350" s="735">
        <f t="shared" si="675"/>
        <v>0</v>
      </c>
      <c r="AG350" s="735">
        <f t="shared" si="676"/>
        <v>0</v>
      </c>
      <c r="AH350" s="736">
        <f t="shared" si="677"/>
        <v>0</v>
      </c>
      <c r="AI350" s="729">
        <f t="shared" si="678"/>
        <v>0</v>
      </c>
      <c r="AJ350" s="729">
        <f t="shared" si="679"/>
        <v>0</v>
      </c>
      <c r="AK350" s="729" t="str">
        <f t="shared" si="680"/>
        <v/>
      </c>
      <c r="AL350" s="729" t="str">
        <f t="shared" si="681"/>
        <v/>
      </c>
      <c r="AM350" s="729" t="str">
        <f t="shared" si="682"/>
        <v/>
      </c>
      <c r="AN350" s="729">
        <f t="shared" si="683"/>
        <v>0</v>
      </c>
      <c r="AO350" s="380"/>
      <c r="AP350" s="322" t="str">
        <f t="shared" si="662"/>
        <v/>
      </c>
      <c r="AQ350" s="323">
        <f>IF(AC350=$V$3,IF(VLOOKUP(C350,[1]List1!$A:$E,5,FALSE)=0,1,VLOOKUP(C350,[1]List1!$A:$E,5,FALSE)),"")</f>
        <v>2</v>
      </c>
      <c r="AR350" s="304" t="str">
        <f t="shared" si="663"/>
        <v/>
      </c>
      <c r="AS350" s="423" t="str">
        <f t="shared" si="664"/>
        <v/>
      </c>
      <c r="AT350" s="304" t="str">
        <f t="shared" si="665"/>
        <v/>
      </c>
      <c r="AU350" s="342" t="e">
        <f t="shared" si="666"/>
        <v>#N/A</v>
      </c>
      <c r="AV350" s="304" t="e">
        <f t="shared" si="667"/>
        <v>#N/A</v>
      </c>
      <c r="AX350" s="304">
        <f>IF(AND('General price list'!$J350="F4",'General price list'!$AB350+0&gt;0),1,0)</f>
        <v>0</v>
      </c>
      <c r="AY350" s="304">
        <f t="shared" si="668"/>
        <v>0</v>
      </c>
      <c r="AZ350" s="304">
        <f t="shared" si="669"/>
        <v>0</v>
      </c>
    </row>
    <row r="351" spans="1:52" ht="15" customHeight="1">
      <c r="A351" s="712" t="str">
        <f>Kat.!C348</f>
        <v/>
      </c>
      <c r="B351" s="737">
        <f>IF(AND('General price list'!$J351="F4",$AI$1=FALSE),0,IF(AC351="SKLADEM",1,IF(AC351=$V$3,1,0)))</f>
        <v>0</v>
      </c>
      <c r="C351" s="714" t="s">
        <v>2699</v>
      </c>
      <c r="D351" s="715" t="s">
        <v>2700</v>
      </c>
      <c r="E351" s="716" t="s">
        <v>136</v>
      </c>
      <c r="F351" s="712">
        <f>IFERROR(ROUND(IF($AL$3=2,VLOOKUP(C351,[2]List1!$A:$D,2,FALSE)*1.08,VLOOKUP(C351,[2]List1!$A:$D,2,FALSE)),0),"NEUVEDENO!")</f>
        <v>2330</v>
      </c>
      <c r="G351" s="717">
        <f t="shared" si="670"/>
        <v>2330</v>
      </c>
      <c r="H351" s="718">
        <f t="shared" si="671"/>
        <v>94.681192576669417</v>
      </c>
      <c r="I351" s="738">
        <v>1</v>
      </c>
      <c r="J351" s="716"/>
      <c r="K351" s="716"/>
      <c r="L351" s="716" t="s">
        <v>14464</v>
      </c>
      <c r="M351" s="716"/>
      <c r="N351" s="716">
        <f>IFERROR(VLOOKUP(C351,[3]List1!$A:$D,4,FALSE),"N/A!")</f>
        <v>0</v>
      </c>
      <c r="O351" s="716">
        <f>IFERROR(VLOOKUP(C351,[3]List1!$A:$D,3,FALSE),"N/A!")</f>
        <v>0</v>
      </c>
      <c r="P351" s="716">
        <f>IFERROR(VLOOKUP(C351,[3]List1!$A:$D,2,FALSE),"N/A!")</f>
        <v>862</v>
      </c>
      <c r="Q351" s="716" t="s">
        <v>24</v>
      </c>
      <c r="R351" s="716" t="s">
        <v>24</v>
      </c>
      <c r="S351" s="716"/>
      <c r="T351" s="716"/>
      <c r="U351" s="716"/>
      <c r="V351" s="716"/>
      <c r="W351" s="716" t="str">
        <f>IFERROR(VLOOKUP('General price list'!$C351,Popisy!A:P,MATCH($W$17,Popisy!$A$7:$P$7,0),FALSE),"---------------")</f>
        <v>Dumbum bunda fleece XL -limited edition</v>
      </c>
      <c r="X351" s="716" t="str">
        <f t="shared" si="672"/>
        <v/>
      </c>
      <c r="Y351" s="716" t="str">
        <f t="shared" si="673"/>
        <v/>
      </c>
      <c r="Z351" s="716" t="str">
        <f>HYPERLINK("https://www.klasekpyrotechnics.cz/bdle1xl")</f>
        <v>https://www.klasekpyrotechnics.cz/bdle1xl</v>
      </c>
      <c r="AA351" s="716" t="str">
        <f>IFERROR(IF(VLOOKUP(C351,[4]List1!$A:$D,4,FALSE)=0,"",VLOOKUP(C351,[4]List1!$A:$D,4,FALSE)),"")</f>
        <v/>
      </c>
      <c r="AB351" s="720"/>
      <c r="AC351" s="739" t="str">
        <f>IFERROR(IF(VLOOKUP(C351,[1]List1!$A:$D,2,FALSE)="VYPRODÁNO",$V$9,IF(VLOOKUP(C351,[1]List1!$A:$D,2,FALSE)="DOCHÁZÍ",$V$3,VLOOKUP(C351,[1]List1!$A:$D,2,FALSE))),"OFFLINE!")</f>
        <v>VYPRODÁNO</v>
      </c>
      <c r="AD351" s="740" t="str">
        <f ca="1">IF(AP351="NE",$V$10,IF(AC351=$V$3,IF(AQ351&lt;1,$V$8,$V$2&amp;" "&amp;AQ351&amp;" "&amp;$V$1),IF(AC351="SKLADEM",$V$6,IFERROR(IF(OR(AC351-TODAY()&gt;45,VLOOKUP(C351,[1]List1!$A:$E,4,FALSE)=0),AC351,DAY(AC351)&amp;"."&amp;MONTH(AC351)&amp;"."&amp;YEAR(AC351)&amp;" "&amp;$V$4&amp;VLOOKUP(C351,[1]List1!$A:$E,4,FALSE)&amp;" "&amp;$V$1),AC351))))</f>
        <v>VYPRODÁNO</v>
      </c>
      <c r="AE351" s="716" t="str">
        <f t="shared" ca="1" si="674"/>
        <v>VYPRODÁNO</v>
      </c>
      <c r="AF351" s="723">
        <f t="shared" si="675"/>
        <v>0</v>
      </c>
      <c r="AG351" s="723">
        <f t="shared" si="676"/>
        <v>0</v>
      </c>
      <c r="AH351" s="724">
        <f t="shared" si="677"/>
        <v>0</v>
      </c>
      <c r="AI351" s="716">
        <f t="shared" si="678"/>
        <v>0</v>
      </c>
      <c r="AJ351" s="716">
        <f t="shared" si="679"/>
        <v>0</v>
      </c>
      <c r="AK351" s="716" t="str">
        <f t="shared" si="680"/>
        <v/>
      </c>
      <c r="AL351" s="716" t="str">
        <f t="shared" si="681"/>
        <v/>
      </c>
      <c r="AM351" s="716" t="str">
        <f t="shared" si="682"/>
        <v/>
      </c>
      <c r="AN351" s="716">
        <f t="shared" si="683"/>
        <v>0</v>
      </c>
      <c r="AO351" s="380"/>
      <c r="AP351" s="322" t="str">
        <f t="shared" si="662"/>
        <v/>
      </c>
      <c r="AQ351" s="323" t="str">
        <f>IF(AC351=$V$3,IF(VLOOKUP(C351,[1]List1!$A:$E,5,FALSE)=0,1,VLOOKUP(C351,[1]List1!$A:$E,5,FALSE)),"")</f>
        <v/>
      </c>
      <c r="AR351" s="304" t="str">
        <f t="shared" si="663"/>
        <v/>
      </c>
      <c r="AS351" s="423" t="str">
        <f t="shared" si="664"/>
        <v/>
      </c>
      <c r="AT351" s="304" t="str">
        <f t="shared" si="665"/>
        <v/>
      </c>
      <c r="AU351" s="342" t="e">
        <f t="shared" si="666"/>
        <v>#N/A</v>
      </c>
      <c r="AV351" s="304" t="e">
        <f t="shared" si="667"/>
        <v>#N/A</v>
      </c>
      <c r="AX351" s="304">
        <f>IF(AND('General price list'!$J351="F4",'General price list'!$AB351+0&gt;0),1,0)</f>
        <v>0</v>
      </c>
      <c r="AY351" s="304">
        <f t="shared" si="668"/>
        <v>0</v>
      </c>
      <c r="AZ351" s="304">
        <f t="shared" si="669"/>
        <v>0</v>
      </c>
    </row>
    <row r="352" spans="1:52" ht="15" customHeight="1">
      <c r="A352" s="725" t="str">
        <f>Kat.!C349</f>
        <v/>
      </c>
      <c r="B352" s="726">
        <f>IF(AND('General price list'!$J352="F4",$AI$1=FALSE),0,IF(AC352="SKLADEM",1,IF(AC352=$V$3,1,0)))</f>
        <v>0</v>
      </c>
      <c r="C352" s="727" t="s">
        <v>2701</v>
      </c>
      <c r="D352" s="728" t="s">
        <v>2702</v>
      </c>
      <c r="E352" s="729" t="s">
        <v>136</v>
      </c>
      <c r="F352" s="725">
        <f>IFERROR(ROUND(IF($AL$3=2,VLOOKUP(C352,[2]List1!$A:$D,2,FALSE)*1.08,VLOOKUP(C352,[2]List1!$A:$D,2,FALSE)),0),"NEUVEDENO!")</f>
        <v>2330</v>
      </c>
      <c r="G352" s="730">
        <f t="shared" si="670"/>
        <v>2330</v>
      </c>
      <c r="H352" s="731">
        <f t="shared" si="671"/>
        <v>94.681192576669417</v>
      </c>
      <c r="I352" s="732">
        <v>1</v>
      </c>
      <c r="J352" s="729"/>
      <c r="K352" s="729"/>
      <c r="L352" s="729" t="s">
        <v>14464</v>
      </c>
      <c r="M352" s="729"/>
      <c r="N352" s="729">
        <f>IFERROR(VLOOKUP(C352,[3]List1!$A:$D,4,FALSE),"N/A!")</f>
        <v>0</v>
      </c>
      <c r="O352" s="729">
        <f>IFERROR(VLOOKUP(C352,[3]List1!$A:$D,3,FALSE),"N/A!")</f>
        <v>0</v>
      </c>
      <c r="P352" s="729">
        <f>IFERROR(VLOOKUP(C352,[3]List1!$A:$D,2,FALSE),"N/A!")</f>
        <v>912</v>
      </c>
      <c r="Q352" s="729" t="s">
        <v>24</v>
      </c>
      <c r="R352" s="729" t="s">
        <v>24</v>
      </c>
      <c r="S352" s="729"/>
      <c r="T352" s="729"/>
      <c r="U352" s="729"/>
      <c r="V352" s="729"/>
      <c r="W352" s="729" t="str">
        <f>IFERROR(VLOOKUP('General price list'!$C352,Popisy!A:P,MATCH($W$17,Popisy!$A$7:$P$7,0),FALSE),"---------------")</f>
        <v>Dumbum bunda fleece XXL -limited edition</v>
      </c>
      <c r="X352" s="729" t="str">
        <f t="shared" si="672"/>
        <v/>
      </c>
      <c r="Y352" s="729" t="str">
        <f t="shared" si="673"/>
        <v/>
      </c>
      <c r="Z352" s="729" t="str">
        <f>HYPERLINK("https://www.klasekpyrotechnics.cz/bdle1xxl")</f>
        <v>https://www.klasekpyrotechnics.cz/bdle1xxl</v>
      </c>
      <c r="AA352" s="729" t="str">
        <f>IFERROR(IF(VLOOKUP(C352,[4]List1!$A:$D,4,FALSE)=0,"",VLOOKUP(C352,[4]List1!$A:$D,4,FALSE)),"")</f>
        <v/>
      </c>
      <c r="AB352" s="720"/>
      <c r="AC352" s="733" t="str">
        <f>IFERROR(IF(VLOOKUP(C352,[1]List1!$A:$D,2,FALSE)="VYPRODÁNO",$V$9,IF(VLOOKUP(C352,[1]List1!$A:$D,2,FALSE)="DOCHÁZÍ",$V$3,VLOOKUP(C352,[1]List1!$A:$D,2,FALSE))),"OFFLINE!")</f>
        <v>VYPRODÁNO</v>
      </c>
      <c r="AD352" s="734" t="str">
        <f ca="1">IF(AP352="NE",$V$10,IF(AC352=$V$3,IF(AQ352&lt;1,$V$8,$V$2&amp;" "&amp;AQ352&amp;" "&amp;$V$1),IF(AC352="SKLADEM",$V$6,IFERROR(IF(OR(AC352-TODAY()&gt;45,VLOOKUP(C352,[1]List1!$A:$E,4,FALSE)=0),AC352,DAY(AC352)&amp;"."&amp;MONTH(AC352)&amp;"."&amp;YEAR(AC352)&amp;" "&amp;$V$4&amp;VLOOKUP(C352,[1]List1!$A:$E,4,FALSE)&amp;" "&amp;$V$1),AC352))))</f>
        <v>VYPRODÁNO</v>
      </c>
      <c r="AE352" s="729" t="str">
        <f t="shared" ca="1" si="674"/>
        <v>VYPRODÁNO</v>
      </c>
      <c r="AF352" s="735">
        <f t="shared" si="675"/>
        <v>0</v>
      </c>
      <c r="AG352" s="735">
        <f t="shared" si="676"/>
        <v>0</v>
      </c>
      <c r="AH352" s="736">
        <f t="shared" si="677"/>
        <v>0</v>
      </c>
      <c r="AI352" s="729">
        <f t="shared" si="678"/>
        <v>0</v>
      </c>
      <c r="AJ352" s="729">
        <f t="shared" si="679"/>
        <v>0</v>
      </c>
      <c r="AK352" s="729" t="str">
        <f t="shared" si="680"/>
        <v/>
      </c>
      <c r="AL352" s="729" t="str">
        <f t="shared" si="681"/>
        <v/>
      </c>
      <c r="AM352" s="729" t="str">
        <f t="shared" si="682"/>
        <v/>
      </c>
      <c r="AN352" s="729">
        <f t="shared" si="683"/>
        <v>0</v>
      </c>
      <c r="AO352" s="380"/>
      <c r="AP352" s="322" t="str">
        <f t="shared" si="662"/>
        <v/>
      </c>
      <c r="AQ352" s="323" t="str">
        <f>IF(AC352=$V$3,IF(VLOOKUP(C352,[1]List1!$A:$E,5,FALSE)=0,1,VLOOKUP(C352,[1]List1!$A:$E,5,FALSE)),"")</f>
        <v/>
      </c>
      <c r="AR352" s="304" t="str">
        <f t="shared" si="663"/>
        <v/>
      </c>
      <c r="AS352" s="423" t="str">
        <f t="shared" si="664"/>
        <v/>
      </c>
      <c r="AT352" s="304" t="str">
        <f t="shared" si="665"/>
        <v/>
      </c>
      <c r="AU352" s="342" t="e">
        <f t="shared" si="666"/>
        <v>#N/A</v>
      </c>
      <c r="AV352" s="304" t="e">
        <f t="shared" si="667"/>
        <v>#N/A</v>
      </c>
      <c r="AX352" s="304">
        <f>IF(AND('General price list'!$J352="F4",'General price list'!$AB352+0&gt;0),1,0)</f>
        <v>0</v>
      </c>
      <c r="AY352" s="304">
        <f t="shared" si="668"/>
        <v>0</v>
      </c>
      <c r="AZ352" s="304">
        <f t="shared" si="669"/>
        <v>0</v>
      </c>
    </row>
    <row r="353" spans="1:52" ht="15" customHeight="1">
      <c r="A353" s="712" t="str">
        <f>Kat.!C350</f>
        <v/>
      </c>
      <c r="B353" s="737">
        <f>IF(AND('General price list'!$J353="F4",$AI$1=FALSE),0,IF(AC353="SKLADEM",1,IF(AC353=$V$3,1,0)))</f>
        <v>1</v>
      </c>
      <c r="C353" s="714" t="s">
        <v>2703</v>
      </c>
      <c r="D353" s="715" t="s">
        <v>2704</v>
      </c>
      <c r="E353" s="716" t="s">
        <v>136</v>
      </c>
      <c r="F353" s="712">
        <f>IFERROR(ROUND(IF($AL$3=2,VLOOKUP(C353,[2]List1!$A:$D,2,FALSE)*1.08,VLOOKUP(C353,[2]List1!$A:$D,2,FALSE)),0),"NEUVEDENO!")</f>
        <v>1780</v>
      </c>
      <c r="G353" s="717">
        <f t="shared" ref="G353:G356" si="684">(F353)*$B$19</f>
        <v>1780</v>
      </c>
      <c r="H353" s="718">
        <f t="shared" ref="H353:H356" si="685">G353/$F$19</f>
        <v>72.33155484397922</v>
      </c>
      <c r="I353" s="738">
        <v>1</v>
      </c>
      <c r="J353" s="716"/>
      <c r="K353" s="716"/>
      <c r="L353" s="716" t="s">
        <v>14464</v>
      </c>
      <c r="M353" s="716"/>
      <c r="N353" s="716">
        <f>IFERROR(VLOOKUP(C353,[3]List1!$A:$D,4,FALSE),"N/A!")</f>
        <v>0</v>
      </c>
      <c r="O353" s="716">
        <f>IFERROR(VLOOKUP(C353,[3]List1!$A:$D,3,FALSE),"N/A!")</f>
        <v>0</v>
      </c>
      <c r="P353" s="716">
        <f>IFERROR(VLOOKUP(C353,[3]List1!$A:$D,2,FALSE),"N/A!")</f>
        <v>750</v>
      </c>
      <c r="Q353" s="716" t="s">
        <v>24</v>
      </c>
      <c r="R353" s="716" t="s">
        <v>24</v>
      </c>
      <c r="S353" s="716"/>
      <c r="T353" s="716"/>
      <c r="U353" s="716"/>
      <c r="V353" s="716"/>
      <c r="W353" s="716" t="str">
        <f>IFERROR(VLOOKUP('General price list'!$C353,Popisy!A:P,MATCH($W$17,Popisy!$A$7:$P$7,0),FALSE),"---------------")</f>
        <v>Dumbum mikina s kapucí M -limited edition</v>
      </c>
      <c r="X353" s="716" t="str">
        <f t="shared" ref="X353:X356" si="686">IF(AB353&lt;0.0001,"",AB353)</f>
        <v/>
      </c>
      <c r="Y353" s="716" t="str">
        <f t="shared" ref="Y353:Y356" si="687">IF($AL$3=2,IF(OR(AB353&lt;&gt;"",AB353&lt;&gt;0),AU353,""),IF(C353="","",IF(AB353&lt;0.0001,"",IF(B353=0,"",IF(AQ353&lt;AB353,"",AB353)))))</f>
        <v/>
      </c>
      <c r="Z353" s="716" t="str">
        <f>HYPERLINK("https://www.klasekpyrotechnics.cz/mdle1m")</f>
        <v>https://www.klasekpyrotechnics.cz/mdle1m</v>
      </c>
      <c r="AA353" s="716" t="str">
        <f>IFERROR(IF(VLOOKUP(C353,[4]List1!$A:$D,4,FALSE)=0,"",VLOOKUP(C353,[4]List1!$A:$D,4,FALSE)),"")</f>
        <v/>
      </c>
      <c r="AB353" s="720"/>
      <c r="AC353" s="739" t="str">
        <f>IFERROR(IF(VLOOKUP(C353,[1]List1!$A:$D,2,FALSE)="VYPRODÁNO",$V$9,IF(VLOOKUP(C353,[1]List1!$A:$D,2,FALSE)="DOCHÁZÍ",$V$3,VLOOKUP(C353,[1]List1!$A:$D,2,FALSE))),"OFFLINE!")</f>
        <v>SKLADEM</v>
      </c>
      <c r="AD353" s="740" t="str">
        <f ca="1">IF(AP353="NE",$V$10,IF(AC353=$V$3,IF(AQ353&lt;1,$V$8,$V$2&amp;" "&amp;AQ353&amp;" "&amp;$V$1),IF(AC353="SKLADEM",$V$6,IFERROR(IF(OR(AC353-TODAY()&gt;45,VLOOKUP(C353,[1]List1!$A:$E,4,FALSE)=0),AC353,DAY(AC353)&amp;"."&amp;MONTH(AC353)&amp;"."&amp;YEAR(AC353)&amp;" "&amp;$V$4&amp;VLOOKUP(C353,[1]List1!$A:$E,4,FALSE)&amp;" "&amp;$V$1),AC353))))</f>
        <v>SKLADEM</v>
      </c>
      <c r="AE353" s="716" t="str">
        <f t="shared" ref="AE353:AE356" ca="1" si="688">IFERROR(IF(AV353&lt;&gt;"",AV353,AD353),AD353)</f>
        <v>SKLADEM</v>
      </c>
      <c r="AF353" s="723">
        <f t="shared" ref="AF353:AF356" si="689">IFERROR(IF(AB353=Y353,G353*I353*Y353,0),0)</f>
        <v>0</v>
      </c>
      <c r="AG353" s="723">
        <f t="shared" ref="AG353:AG356" si="690">IF($W$17=$AF$8,AH353*1.23,AF353*1.21)</f>
        <v>0</v>
      </c>
      <c r="AH353" s="724">
        <f t="shared" ref="AH353:AH356" si="691">IFERROR(IF(Y353=AB353,H353*I353*Y353,0),0)</f>
        <v>0</v>
      </c>
      <c r="AI353" s="716">
        <f t="shared" ref="AI353:AI356" si="692">IFERROR(IF(Y353=AB353,(P353*Y353)/1000,1),0)</f>
        <v>0</v>
      </c>
      <c r="AJ353" s="716">
        <f t="shared" ref="AJ353:AJ356" si="693">IFERROR(IF(Y353=AB353,N353*Y353,0.1),0)</f>
        <v>0</v>
      </c>
      <c r="AK353" s="716" t="str">
        <f t="shared" ref="AK353:AK356" si="694">IFERROR(IF(Y353=AB353,IF(M353="1.1G",(O353/1000)*Y353,""),""),0)</f>
        <v/>
      </c>
      <c r="AL353" s="716" t="str">
        <f t="shared" ref="AL353:AL356" si="695">IFERROR(IF(Y353=AB353,IF(M353="1.3G",(O353/1000)*AB353,""),""),0)</f>
        <v/>
      </c>
      <c r="AM353" s="716" t="str">
        <f t="shared" ref="AM353:AM356" si="696">IFERROR(IF(Y353=AB353,IF(M353="1.4G",(O353/1000)*AB353,""),""),0)</f>
        <v/>
      </c>
      <c r="AN353" s="716">
        <f t="shared" ref="AN353:AN356" si="697">SUM(AK353:AM353)</f>
        <v>0</v>
      </c>
      <c r="AO353" s="380"/>
      <c r="AP353" s="322" t="str">
        <f t="shared" si="662"/>
        <v/>
      </c>
      <c r="AQ353" s="323" t="str">
        <f>IF(AC353=$V$3,IF(VLOOKUP(C353,[1]List1!$A:$E,5,FALSE)=0,1,VLOOKUP(C353,[1]List1!$A:$E,5,FALSE)),"")</f>
        <v/>
      </c>
      <c r="AR353" s="304" t="str">
        <f t="shared" si="663"/>
        <v/>
      </c>
      <c r="AS353" s="423" t="str">
        <f t="shared" si="664"/>
        <v/>
      </c>
      <c r="AT353" s="304" t="str">
        <f t="shared" si="665"/>
        <v/>
      </c>
      <c r="AU353" s="342" t="e">
        <f t="shared" si="666"/>
        <v>#N/A</v>
      </c>
      <c r="AV353" s="304" t="e">
        <f t="shared" si="667"/>
        <v>#N/A</v>
      </c>
      <c r="AX353" s="304">
        <f>IF(AND('General price list'!$J353="F4",'General price list'!$AB353+0&gt;0),1,0)</f>
        <v>0</v>
      </c>
      <c r="AY353" s="304">
        <f t="shared" si="668"/>
        <v>0</v>
      </c>
      <c r="AZ353" s="304">
        <f t="shared" si="669"/>
        <v>0</v>
      </c>
    </row>
    <row r="354" spans="1:52" ht="15" customHeight="1">
      <c r="A354" s="725" t="str">
        <f>Kat.!C351</f>
        <v/>
      </c>
      <c r="B354" s="726">
        <f>IF(AND('General price list'!$J354="F4",$AI$1=FALSE),0,IF(AC354="SKLADEM",1,IF(AC354=$V$3,1,0)))</f>
        <v>1</v>
      </c>
      <c r="C354" s="727" t="s">
        <v>2705</v>
      </c>
      <c r="D354" s="728" t="s">
        <v>2706</v>
      </c>
      <c r="E354" s="729" t="s">
        <v>136</v>
      </c>
      <c r="F354" s="725">
        <f>IFERROR(ROUND(IF($AL$3=2,VLOOKUP(C354,[2]List1!$A:$D,2,FALSE)*1.08,VLOOKUP(C354,[2]List1!$A:$D,2,FALSE)),0),"NEUVEDENO!")</f>
        <v>1780</v>
      </c>
      <c r="G354" s="730">
        <f t="shared" si="684"/>
        <v>1780</v>
      </c>
      <c r="H354" s="731">
        <f t="shared" si="685"/>
        <v>72.33155484397922</v>
      </c>
      <c r="I354" s="732">
        <v>1</v>
      </c>
      <c r="J354" s="729"/>
      <c r="K354" s="729"/>
      <c r="L354" s="729" t="s">
        <v>14464</v>
      </c>
      <c r="M354" s="729"/>
      <c r="N354" s="729">
        <f>IFERROR(VLOOKUP(C354,[3]List1!$A:$D,4,FALSE),"N/A!")</f>
        <v>0</v>
      </c>
      <c r="O354" s="729">
        <f>IFERROR(VLOOKUP(C354,[3]List1!$A:$D,3,FALSE),"N/A!")</f>
        <v>0</v>
      </c>
      <c r="P354" s="729">
        <f>IFERROR(VLOOKUP(C354,[3]List1!$A:$D,2,FALSE),"N/A!")</f>
        <v>750</v>
      </c>
      <c r="Q354" s="729" t="s">
        <v>24</v>
      </c>
      <c r="R354" s="729" t="s">
        <v>24</v>
      </c>
      <c r="S354" s="729"/>
      <c r="T354" s="729"/>
      <c r="U354" s="729"/>
      <c r="V354" s="729"/>
      <c r="W354" s="729" t="str">
        <f>IFERROR(VLOOKUP('General price list'!$C354,Popisy!A:P,MATCH($W$17,Popisy!$A$7:$P$7,0),FALSE),"---------------")</f>
        <v>Dumbum mikina s kapucí L -limited edition</v>
      </c>
      <c r="X354" s="729" t="str">
        <f t="shared" si="686"/>
        <v/>
      </c>
      <c r="Y354" s="729" t="str">
        <f t="shared" si="687"/>
        <v/>
      </c>
      <c r="Z354" s="729" t="str">
        <f>HYPERLINK("https://www.klasekpyrotechnics.cz/mdle1l")</f>
        <v>https://www.klasekpyrotechnics.cz/mdle1l</v>
      </c>
      <c r="AA354" s="729" t="str">
        <f>IFERROR(IF(VLOOKUP(C354,[4]List1!$A:$D,4,FALSE)=0,"",VLOOKUP(C354,[4]List1!$A:$D,4,FALSE)),"")</f>
        <v/>
      </c>
      <c r="AB354" s="720"/>
      <c r="AC354" s="733" t="str">
        <f>IFERROR(IF(VLOOKUP(C354,[1]List1!$A:$D,2,FALSE)="VYPRODÁNO",$V$9,IF(VLOOKUP(C354,[1]List1!$A:$D,2,FALSE)="DOCHÁZÍ",$V$3,VLOOKUP(C354,[1]List1!$A:$D,2,FALSE))),"OFFLINE!")</f>
        <v>SKLADEM</v>
      </c>
      <c r="AD354" s="734" t="str">
        <f ca="1">IF(AP354="NE",$V$10,IF(AC354=$V$3,IF(AQ354&lt;1,$V$8,$V$2&amp;" "&amp;AQ354&amp;" "&amp;$V$1),IF(AC354="SKLADEM",$V$6,IFERROR(IF(OR(AC354-TODAY()&gt;45,VLOOKUP(C354,[1]List1!$A:$E,4,FALSE)=0),AC354,DAY(AC354)&amp;"."&amp;MONTH(AC354)&amp;"."&amp;YEAR(AC354)&amp;" "&amp;$V$4&amp;VLOOKUP(C354,[1]List1!$A:$E,4,FALSE)&amp;" "&amp;$V$1),AC354))))</f>
        <v>SKLADEM</v>
      </c>
      <c r="AE354" s="729" t="str">
        <f t="shared" ca="1" si="688"/>
        <v>SKLADEM</v>
      </c>
      <c r="AF354" s="735">
        <f t="shared" si="689"/>
        <v>0</v>
      </c>
      <c r="AG354" s="735">
        <f t="shared" si="690"/>
        <v>0</v>
      </c>
      <c r="AH354" s="736">
        <f t="shared" si="691"/>
        <v>0</v>
      </c>
      <c r="AI354" s="729">
        <f t="shared" si="692"/>
        <v>0</v>
      </c>
      <c r="AJ354" s="729">
        <f t="shared" si="693"/>
        <v>0</v>
      </c>
      <c r="AK354" s="729" t="str">
        <f t="shared" si="694"/>
        <v/>
      </c>
      <c r="AL354" s="729" t="str">
        <f t="shared" si="695"/>
        <v/>
      </c>
      <c r="AM354" s="729" t="str">
        <f t="shared" si="696"/>
        <v/>
      </c>
      <c r="AN354" s="729">
        <f t="shared" si="697"/>
        <v>0</v>
      </c>
      <c r="AO354" s="380"/>
      <c r="AP354" s="322" t="str">
        <f t="shared" si="662"/>
        <v/>
      </c>
      <c r="AQ354" s="323" t="str">
        <f>IF(AC354=$V$3,IF(VLOOKUP(C354,[1]List1!$A:$E,5,FALSE)=0,1,VLOOKUP(C354,[1]List1!$A:$E,5,FALSE)),"")</f>
        <v/>
      </c>
      <c r="AR354" s="304" t="str">
        <f t="shared" si="663"/>
        <v/>
      </c>
      <c r="AS354" s="423" t="str">
        <f t="shared" si="664"/>
        <v/>
      </c>
      <c r="AT354" s="304" t="str">
        <f t="shared" si="665"/>
        <v/>
      </c>
      <c r="AU354" s="342" t="e">
        <f t="shared" si="666"/>
        <v>#N/A</v>
      </c>
      <c r="AV354" s="304" t="e">
        <f t="shared" si="667"/>
        <v>#N/A</v>
      </c>
      <c r="AX354" s="304">
        <f>IF(AND('General price list'!$J354="F4",'General price list'!$AB354+0&gt;0),1,0)</f>
        <v>0</v>
      </c>
      <c r="AY354" s="304">
        <f t="shared" si="668"/>
        <v>0</v>
      </c>
      <c r="AZ354" s="304">
        <f t="shared" si="669"/>
        <v>0</v>
      </c>
    </row>
    <row r="355" spans="1:52" ht="15" customHeight="1">
      <c r="A355" s="712" t="str">
        <f>Kat.!C352</f>
        <v/>
      </c>
      <c r="B355" s="737">
        <f>IF(AND('General price list'!$J355="F4",$AI$1=FALSE),0,IF(AC355="SKLADEM",1,IF(AC355=$V$3,1,0)))</f>
        <v>1</v>
      </c>
      <c r="C355" s="714" t="s">
        <v>2707</v>
      </c>
      <c r="D355" s="715" t="s">
        <v>2708</v>
      </c>
      <c r="E355" s="716" t="s">
        <v>136</v>
      </c>
      <c r="F355" s="712">
        <f>IFERROR(ROUND(IF($AL$3=2,VLOOKUP(C355,[2]List1!$A:$D,2,FALSE)*1.08,VLOOKUP(C355,[2]List1!$A:$D,2,FALSE)),0),"NEUVEDENO!")</f>
        <v>1780</v>
      </c>
      <c r="G355" s="717">
        <f t="shared" si="684"/>
        <v>1780</v>
      </c>
      <c r="H355" s="718">
        <f t="shared" si="685"/>
        <v>72.33155484397922</v>
      </c>
      <c r="I355" s="738">
        <v>1</v>
      </c>
      <c r="J355" s="716"/>
      <c r="K355" s="716"/>
      <c r="L355" s="716" t="s">
        <v>14464</v>
      </c>
      <c r="M355" s="716"/>
      <c r="N355" s="716">
        <f>IFERROR(VLOOKUP(C355,[3]List1!$A:$D,4,FALSE),"N/A!")</f>
        <v>0</v>
      </c>
      <c r="O355" s="716">
        <f>IFERROR(VLOOKUP(C355,[3]List1!$A:$D,3,FALSE),"N/A!")</f>
        <v>0</v>
      </c>
      <c r="P355" s="716">
        <f>IFERROR(VLOOKUP(C355,[3]List1!$A:$D,2,FALSE),"N/A!")</f>
        <v>750</v>
      </c>
      <c r="Q355" s="716" t="s">
        <v>24</v>
      </c>
      <c r="R355" s="716" t="s">
        <v>24</v>
      </c>
      <c r="S355" s="716"/>
      <c r="T355" s="716"/>
      <c r="U355" s="716"/>
      <c r="V355" s="716"/>
      <c r="W355" s="716" t="str">
        <f>IFERROR(VLOOKUP('General price list'!$C355,Popisy!A:P,MATCH($W$17,Popisy!$A$7:$P$7,0),FALSE),"---------------")</f>
        <v>Dumbum mikina s kapucí XL -limited edition</v>
      </c>
      <c r="X355" s="716" t="str">
        <f t="shared" si="686"/>
        <v/>
      </c>
      <c r="Y355" s="716" t="str">
        <f t="shared" si="687"/>
        <v/>
      </c>
      <c r="Z355" s="716" t="str">
        <f>HYPERLINK("https://www.klasekpyrotechnics.cz/mdle1xl")</f>
        <v>https://www.klasekpyrotechnics.cz/mdle1xl</v>
      </c>
      <c r="AA355" s="716" t="str">
        <f>IFERROR(IF(VLOOKUP(C355,[4]List1!$A:$D,4,FALSE)=0,"",VLOOKUP(C355,[4]List1!$A:$D,4,FALSE)),"")</f>
        <v/>
      </c>
      <c r="AB355" s="720"/>
      <c r="AC355" s="739" t="str">
        <f>IFERROR(IF(VLOOKUP(C355,[1]List1!$A:$D,2,FALSE)="VYPRODÁNO",$V$9,IF(VLOOKUP(C355,[1]List1!$A:$D,2,FALSE)="DOCHÁZÍ",$V$3,VLOOKUP(C355,[1]List1!$A:$D,2,FALSE))),"OFFLINE!")</f>
        <v>DOCHÁZÍ</v>
      </c>
      <c r="AD355" s="740" t="str">
        <f ca="1">IF(AP355="NE",$V$10,IF(AC355=$V$3,IF(AQ355&lt;1,$V$8,$V$2&amp;" "&amp;AQ355&amp;" "&amp;$V$1),IF(AC355="SKLADEM",$V$6,IFERROR(IF(OR(AC355-TODAY()&gt;45,VLOOKUP(C355,[1]List1!$A:$E,4,FALSE)=0),AC355,DAY(AC355)&amp;"."&amp;MONTH(AC355)&amp;"."&amp;YEAR(AC355)&amp;" "&amp;$V$4&amp;VLOOKUP(C355,[1]List1!$A:$E,4,FALSE)&amp;" "&amp;$V$1),AC355))))</f>
        <v>POSLEDNÍCH 1 VK</v>
      </c>
      <c r="AE355" s="716" t="str">
        <f t="shared" ca="1" si="688"/>
        <v>POSLEDNÍCH 1 VK</v>
      </c>
      <c r="AF355" s="723">
        <f t="shared" si="689"/>
        <v>0</v>
      </c>
      <c r="AG355" s="723">
        <f t="shared" si="690"/>
        <v>0</v>
      </c>
      <c r="AH355" s="724">
        <f t="shared" si="691"/>
        <v>0</v>
      </c>
      <c r="AI355" s="716">
        <f t="shared" si="692"/>
        <v>0</v>
      </c>
      <c r="AJ355" s="716">
        <f t="shared" si="693"/>
        <v>0</v>
      </c>
      <c r="AK355" s="716" t="str">
        <f t="shared" si="694"/>
        <v/>
      </c>
      <c r="AL355" s="716" t="str">
        <f t="shared" si="695"/>
        <v/>
      </c>
      <c r="AM355" s="716" t="str">
        <f t="shared" si="696"/>
        <v/>
      </c>
      <c r="AN355" s="716">
        <f t="shared" si="697"/>
        <v>0</v>
      </c>
      <c r="AO355" s="380"/>
      <c r="AP355" s="322" t="str">
        <f t="shared" si="662"/>
        <v/>
      </c>
      <c r="AQ355" s="323">
        <f>IF(AC355=$V$3,IF(VLOOKUP(C355,[1]List1!$A:$E,5,FALSE)=0,1,VLOOKUP(C355,[1]List1!$A:$E,5,FALSE)),"")</f>
        <v>1</v>
      </c>
      <c r="AR355" s="304" t="str">
        <f t="shared" si="663"/>
        <v/>
      </c>
      <c r="AS355" s="423" t="str">
        <f t="shared" si="664"/>
        <v/>
      </c>
      <c r="AT355" s="304" t="str">
        <f t="shared" si="665"/>
        <v/>
      </c>
      <c r="AU355" s="342" t="e">
        <f t="shared" si="666"/>
        <v>#N/A</v>
      </c>
      <c r="AV355" s="304" t="e">
        <f t="shared" si="667"/>
        <v>#N/A</v>
      </c>
      <c r="AX355" s="304">
        <f>IF(AND('General price list'!$J355="F4",'General price list'!$AB355+0&gt;0),1,0)</f>
        <v>0</v>
      </c>
      <c r="AY355" s="304">
        <f t="shared" si="668"/>
        <v>0</v>
      </c>
      <c r="AZ355" s="304">
        <f t="shared" si="669"/>
        <v>0</v>
      </c>
    </row>
    <row r="356" spans="1:52" ht="15" customHeight="1">
      <c r="A356" s="725" t="str">
        <f>Kat.!C353</f>
        <v/>
      </c>
      <c r="B356" s="726">
        <f>IF(AND('General price list'!$J356="F4",$AI$1=FALSE),0,IF(AC356="SKLADEM",1,IF(AC356=$V$3,1,0)))</f>
        <v>0</v>
      </c>
      <c r="C356" s="727" t="s">
        <v>2709</v>
      </c>
      <c r="D356" s="728" t="s">
        <v>2710</v>
      </c>
      <c r="E356" s="729" t="s">
        <v>136</v>
      </c>
      <c r="F356" s="725">
        <f>IFERROR(ROUND(IF($AL$3=2,VLOOKUP(C356,[2]List1!$A:$D,2,FALSE)*1.08,VLOOKUP(C356,[2]List1!$A:$D,2,FALSE)),0),"NEUVEDENO!")</f>
        <v>1780</v>
      </c>
      <c r="G356" s="730">
        <f t="shared" si="684"/>
        <v>1780</v>
      </c>
      <c r="H356" s="731">
        <f t="shared" si="685"/>
        <v>72.33155484397922</v>
      </c>
      <c r="I356" s="732">
        <v>1</v>
      </c>
      <c r="J356" s="729"/>
      <c r="K356" s="729"/>
      <c r="L356" s="729" t="s">
        <v>14464</v>
      </c>
      <c r="M356" s="729"/>
      <c r="N356" s="729">
        <f>IFERROR(VLOOKUP(C356,[3]List1!$A:$D,4,FALSE),"N/A!")</f>
        <v>0</v>
      </c>
      <c r="O356" s="729">
        <f>IFERROR(VLOOKUP(C356,[3]List1!$A:$D,3,FALSE),"N/A!")</f>
        <v>0</v>
      </c>
      <c r="P356" s="729">
        <f>IFERROR(VLOOKUP(C356,[3]List1!$A:$D,2,FALSE),"N/A!")</f>
        <v>750</v>
      </c>
      <c r="Q356" s="729" t="s">
        <v>24</v>
      </c>
      <c r="R356" s="729" t="s">
        <v>24</v>
      </c>
      <c r="S356" s="729"/>
      <c r="T356" s="729"/>
      <c r="U356" s="729"/>
      <c r="V356" s="729"/>
      <c r="W356" s="729" t="str">
        <f>IFERROR(VLOOKUP('General price list'!$C356,Popisy!A:P,MATCH($W$17,Popisy!$A$7:$P$7,0),FALSE),"---------------")</f>
        <v>Dumbum mikina s kapucí XXL -limited edition</v>
      </c>
      <c r="X356" s="729" t="str">
        <f t="shared" si="686"/>
        <v/>
      </c>
      <c r="Y356" s="729" t="str">
        <f t="shared" si="687"/>
        <v/>
      </c>
      <c r="Z356" s="729" t="str">
        <f>HYPERLINK("https://www.klasekpyrotechnics.cz/mdle1xxl")</f>
        <v>https://www.klasekpyrotechnics.cz/mdle1xxl</v>
      </c>
      <c r="AA356" s="729" t="str">
        <f>IFERROR(IF(VLOOKUP(C356,[4]List1!$A:$D,4,FALSE)=0,"",VLOOKUP(C356,[4]List1!$A:$D,4,FALSE)),"")</f>
        <v/>
      </c>
      <c r="AB356" s="720"/>
      <c r="AC356" s="733" t="str">
        <f>IFERROR(IF(VLOOKUP(C356,[1]List1!$A:$D,2,FALSE)="VYPRODÁNO",$V$9,IF(VLOOKUP(C356,[1]List1!$A:$D,2,FALSE)="DOCHÁZÍ",$V$3,VLOOKUP(C356,[1]List1!$A:$D,2,FALSE))),"OFFLINE!")</f>
        <v>VYPRODÁNO</v>
      </c>
      <c r="AD356" s="734" t="str">
        <f ca="1">IF(AP356="NE",$V$10,IF(AC356=$V$3,IF(AQ356&lt;1,$V$8,$V$2&amp;" "&amp;AQ356&amp;" "&amp;$V$1),IF(AC356="SKLADEM",$V$6,IFERROR(IF(OR(AC356-TODAY()&gt;45,VLOOKUP(C356,[1]List1!$A:$E,4,FALSE)=0),AC356,DAY(AC356)&amp;"."&amp;MONTH(AC356)&amp;"."&amp;YEAR(AC356)&amp;" "&amp;$V$4&amp;VLOOKUP(C356,[1]List1!$A:$E,4,FALSE)&amp;" "&amp;$V$1),AC356))))</f>
        <v>VYPRODÁNO</v>
      </c>
      <c r="AE356" s="729" t="str">
        <f t="shared" ca="1" si="688"/>
        <v>VYPRODÁNO</v>
      </c>
      <c r="AF356" s="735">
        <f t="shared" si="689"/>
        <v>0</v>
      </c>
      <c r="AG356" s="735">
        <f t="shared" si="690"/>
        <v>0</v>
      </c>
      <c r="AH356" s="736">
        <f t="shared" si="691"/>
        <v>0</v>
      </c>
      <c r="AI356" s="729">
        <f t="shared" si="692"/>
        <v>0</v>
      </c>
      <c r="AJ356" s="729">
        <f t="shared" si="693"/>
        <v>0</v>
      </c>
      <c r="AK356" s="729" t="str">
        <f t="shared" si="694"/>
        <v/>
      </c>
      <c r="AL356" s="729" t="str">
        <f t="shared" si="695"/>
        <v/>
      </c>
      <c r="AM356" s="729" t="str">
        <f t="shared" si="696"/>
        <v/>
      </c>
      <c r="AN356" s="729">
        <f t="shared" si="697"/>
        <v>0</v>
      </c>
      <c r="AO356" s="380"/>
      <c r="AP356" s="322" t="str">
        <f t="shared" si="662"/>
        <v/>
      </c>
      <c r="AQ356" s="323" t="str">
        <f>IF(AC356=$V$3,IF(VLOOKUP(C356,[1]List1!$A:$E,5,FALSE)=0,1,VLOOKUP(C356,[1]List1!$A:$E,5,FALSE)),"")</f>
        <v/>
      </c>
      <c r="AR356" s="304" t="str">
        <f t="shared" si="663"/>
        <v/>
      </c>
      <c r="AS356" s="423" t="str">
        <f t="shared" si="664"/>
        <v/>
      </c>
      <c r="AT356" s="304" t="str">
        <f t="shared" si="665"/>
        <v/>
      </c>
      <c r="AU356" s="342" t="e">
        <f t="shared" si="666"/>
        <v>#N/A</v>
      </c>
      <c r="AV356" s="304" t="e">
        <f t="shared" si="667"/>
        <v>#N/A</v>
      </c>
      <c r="AX356" s="304">
        <f>IF(AND('General price list'!$J356="F4",'General price list'!$AB356+0&gt;0),1,0)</f>
        <v>0</v>
      </c>
      <c r="AY356" s="304">
        <f t="shared" si="668"/>
        <v>0</v>
      </c>
      <c r="AZ356" s="304">
        <f t="shared" si="669"/>
        <v>0</v>
      </c>
    </row>
    <row r="357" spans="1:52" ht="15" customHeight="1">
      <c r="A357" s="712" t="str">
        <f>Kat.!C354</f>
        <v/>
      </c>
      <c r="B357" s="737">
        <f>IF(AND('General price list'!$J357="F4",$AI$1=FALSE),0,IF(AC357="SKLADEM",1,IF(AC357=$V$3,1,0)))</f>
        <v>0</v>
      </c>
      <c r="C357" s="714" t="s">
        <v>14057</v>
      </c>
      <c r="D357" s="715" t="s">
        <v>14058</v>
      </c>
      <c r="E357" s="716" t="s">
        <v>136</v>
      </c>
      <c r="F357" s="712">
        <f>IFERROR(ROUND(IF($AL$3=2,VLOOKUP(C357,[2]List1!$A:$D,2,FALSE)*1.08,VLOOKUP(C357,[2]List1!$A:$D,2,FALSE)),0),"NEUVEDENO!")</f>
        <v>1380</v>
      </c>
      <c r="G357" s="717">
        <f t="shared" ref="G357:G360" si="698">(F357)*$B$19</f>
        <v>1380</v>
      </c>
      <c r="H357" s="718">
        <f t="shared" ref="H357:H360" si="699">G357/$F$19</f>
        <v>56.077272856568158</v>
      </c>
      <c r="I357" s="738">
        <v>1</v>
      </c>
      <c r="J357" s="716"/>
      <c r="K357" s="716">
        <v>4</v>
      </c>
      <c r="L357" s="716" t="s">
        <v>14464</v>
      </c>
      <c r="M357" s="716"/>
      <c r="N357" s="716">
        <f>IFERROR(VLOOKUP(C357,[3]List1!$A:$D,4,FALSE),"N/A!")</f>
        <v>0</v>
      </c>
      <c r="O357" s="716">
        <f>IFERROR(VLOOKUP(C357,[3]List1!$A:$D,3,FALSE),"N/A!")</f>
        <v>0</v>
      </c>
      <c r="P357" s="716">
        <f>IFERROR(VLOOKUP(C357,[3]List1!$A:$D,2,FALSE),"N/A!")</f>
        <v>670</v>
      </c>
      <c r="Q357" s="716"/>
      <c r="R357" s="716"/>
      <c r="S357" s="716"/>
      <c r="T357" s="716"/>
      <c r="U357" s="716"/>
      <c r="V357" s="716"/>
      <c r="W357" s="716" t="str">
        <f>IFERROR(VLOOKUP('General price list'!$C357,Popisy!A:P,MATCH($W$17,Popisy!$A$7:$P$7,0),FALSE),"---------------")</f>
        <v>Dumbum mikina se zipem a kapucí M -limited edition</v>
      </c>
      <c r="X357" s="716" t="str">
        <f t="shared" ref="X357:X360" si="700">IF(AB357&lt;0.0001,"",AB357)</f>
        <v/>
      </c>
      <c r="Y357" s="716" t="str">
        <f t="shared" ref="Y357:Y360" si="701">IF($AL$3=2,IF(OR(AB357&lt;&gt;"",AB357&lt;&gt;0),AU357,""),IF(C357="","",IF(AB357&lt;0.0001,"",IF(B357=0,"",IF(AQ357&lt;AB357,"",AB357)))))</f>
        <v/>
      </c>
      <c r="Z357" s="716" t="str">
        <f>HYPERLINK("https://www.klasekpyrotechnics.cz/mdlez1m")</f>
        <v>https://www.klasekpyrotechnics.cz/mdlez1m</v>
      </c>
      <c r="AA357" s="716" t="str">
        <f>IFERROR(IF(VLOOKUP(C357,[4]List1!$A:$D,4,FALSE)=0,"",VLOOKUP(C357,[4]List1!$A:$D,4,FALSE)),"")</f>
        <v/>
      </c>
      <c r="AB357" s="720"/>
      <c r="AC357" s="739" t="str">
        <f>IFERROR(IF(VLOOKUP(C357,[1]List1!$A:$D,2,FALSE)="VYPRODÁNO",$V$9,IF(VLOOKUP(C357,[1]List1!$A:$D,2,FALSE)="DOCHÁZÍ",$V$3,VLOOKUP(C357,[1]List1!$A:$D,2,FALSE))),"OFFLINE!")</f>
        <v>VYPRODÁNO</v>
      </c>
      <c r="AD357" s="740" t="str">
        <f ca="1">IF(AP357="NE",$V$10,IF(AC357=$V$3,IF(AQ357&lt;1,$V$8,$V$2&amp;" "&amp;AQ357&amp;" "&amp;$V$1),IF(AC357="SKLADEM",$V$6,IFERROR(IF(OR(AC357-TODAY()&gt;45,VLOOKUP(C357,[1]List1!$A:$E,4,FALSE)=0),AC357,DAY(AC357)&amp;"."&amp;MONTH(AC357)&amp;"."&amp;YEAR(AC357)&amp;" "&amp;$V$4&amp;VLOOKUP(C357,[1]List1!$A:$E,4,FALSE)&amp;" "&amp;$V$1),AC357))))</f>
        <v>VYPRODÁNO</v>
      </c>
      <c r="AE357" s="716" t="str">
        <f t="shared" ref="AE357:AE360" ca="1" si="702">IFERROR(IF(AV357&lt;&gt;"",AV357,AD357),AD357)</f>
        <v>VYPRODÁNO</v>
      </c>
      <c r="AF357" s="723">
        <f t="shared" ref="AF357:AF360" si="703">IFERROR(IF(AB357=Y357,G357*I357*Y357,0),0)</f>
        <v>0</v>
      </c>
      <c r="AG357" s="723">
        <f t="shared" ref="AG357:AG360" si="704">IF($W$17=$AF$8,AH357*1.23,AF357*1.21)</f>
        <v>0</v>
      </c>
      <c r="AH357" s="724">
        <f t="shared" ref="AH357:AH360" si="705">IFERROR(IF(Y357=AB357,H357*I357*Y357,0),0)</f>
        <v>0</v>
      </c>
      <c r="AI357" s="716">
        <f t="shared" ref="AI357:AI360" si="706">IFERROR(IF(Y357=AB357,(P357*Y357)/1000,1),0)</f>
        <v>0</v>
      </c>
      <c r="AJ357" s="716">
        <f t="shared" ref="AJ357:AJ360" si="707">IFERROR(IF(Y357=AB357,N357*Y357,0.1),0)</f>
        <v>0</v>
      </c>
      <c r="AK357" s="716" t="str">
        <f t="shared" ref="AK357:AK360" si="708">IFERROR(IF(Y357=AB357,IF(M357="1.1G",(O357/1000)*Y357,""),""),0)</f>
        <v/>
      </c>
      <c r="AL357" s="716" t="str">
        <f t="shared" ref="AL357:AL360" si="709">IFERROR(IF(Y357=AB357,IF(M357="1.3G",(O357/1000)*AB357,""),""),0)</f>
        <v/>
      </c>
      <c r="AM357" s="716" t="str">
        <f t="shared" ref="AM357:AM360" si="710">IFERROR(IF(Y357=AB357,IF(M357="1.4G",(O357/1000)*AB357,""),""),0)</f>
        <v/>
      </c>
      <c r="AN357" s="716">
        <f t="shared" ref="AN357:AN360" si="711">SUM(AK357:AM357)</f>
        <v>0</v>
      </c>
      <c r="AO357" s="380"/>
      <c r="AP357" s="322" t="str">
        <f t="shared" si="662"/>
        <v/>
      </c>
      <c r="AQ357" s="323" t="str">
        <f>IF(AC357=$V$3,IF(VLOOKUP(C357,[1]List1!$A:$E,5,FALSE)=0,1,VLOOKUP(C357,[1]List1!$A:$E,5,FALSE)),"")</f>
        <v/>
      </c>
      <c r="AR357" s="304" t="str">
        <f t="shared" si="663"/>
        <v/>
      </c>
      <c r="AS357" s="423" t="str">
        <f t="shared" si="664"/>
        <v/>
      </c>
      <c r="AT357" s="304" t="str">
        <f t="shared" si="665"/>
        <v/>
      </c>
      <c r="AU357" s="342" t="e">
        <f t="shared" si="666"/>
        <v>#N/A</v>
      </c>
      <c r="AV357" s="304" t="e">
        <f t="shared" si="667"/>
        <v>#N/A</v>
      </c>
      <c r="AX357" s="304">
        <f>IF(AND('General price list'!$J357="F4",'General price list'!$AB357+0&gt;0),1,0)</f>
        <v>0</v>
      </c>
      <c r="AY357" s="304">
        <f t="shared" si="668"/>
        <v>0</v>
      </c>
      <c r="AZ357" s="304">
        <f t="shared" si="669"/>
        <v>0</v>
      </c>
    </row>
    <row r="358" spans="1:52" ht="15" customHeight="1">
      <c r="A358" s="725" t="str">
        <f>Kat.!C355</f>
        <v/>
      </c>
      <c r="B358" s="726">
        <f>IF(AND('General price list'!$J358="F4",$AI$1=FALSE),0,IF(AC358="SKLADEM",1,IF(AC358=$V$3,1,0)))</f>
        <v>1</v>
      </c>
      <c r="C358" s="727" t="s">
        <v>14059</v>
      </c>
      <c r="D358" s="728" t="s">
        <v>14060</v>
      </c>
      <c r="E358" s="729" t="s">
        <v>136</v>
      </c>
      <c r="F358" s="725">
        <f>IFERROR(ROUND(IF($AL$3=2,VLOOKUP(C358,[2]List1!$A:$D,2,FALSE)*1.08,VLOOKUP(C358,[2]List1!$A:$D,2,FALSE)),0),"NEUVEDENO!")</f>
        <v>1380</v>
      </c>
      <c r="G358" s="730">
        <f t="shared" si="698"/>
        <v>1380</v>
      </c>
      <c r="H358" s="731">
        <f t="shared" si="699"/>
        <v>56.077272856568158</v>
      </c>
      <c r="I358" s="732">
        <v>1</v>
      </c>
      <c r="J358" s="729"/>
      <c r="K358" s="729">
        <v>4</v>
      </c>
      <c r="L358" s="729" t="s">
        <v>14464</v>
      </c>
      <c r="M358" s="729"/>
      <c r="N358" s="729">
        <f>IFERROR(VLOOKUP(C358,[3]List1!$A:$D,4,FALSE),"N/A!")</f>
        <v>0</v>
      </c>
      <c r="O358" s="729">
        <f>IFERROR(VLOOKUP(C358,[3]List1!$A:$D,3,FALSE),"N/A!")</f>
        <v>0</v>
      </c>
      <c r="P358" s="729">
        <f>IFERROR(VLOOKUP(C358,[3]List1!$A:$D,2,FALSE),"N/A!")</f>
        <v>670</v>
      </c>
      <c r="Q358" s="729"/>
      <c r="R358" s="729"/>
      <c r="S358" s="729"/>
      <c r="T358" s="729"/>
      <c r="U358" s="729"/>
      <c r="V358" s="729"/>
      <c r="W358" s="729" t="str">
        <f>IFERROR(VLOOKUP('General price list'!$C358,Popisy!A:P,MATCH($W$17,Popisy!$A$7:$P$7,0),FALSE),"---------------")</f>
        <v>Dumbum mikina se zipem a kapucí L -limited edition</v>
      </c>
      <c r="X358" s="729" t="str">
        <f t="shared" si="700"/>
        <v/>
      </c>
      <c r="Y358" s="729" t="str">
        <f t="shared" si="701"/>
        <v/>
      </c>
      <c r="Z358" s="729" t="str">
        <f>HYPERLINK("https://www.klasekpyrotechnics.cz/mdlez1l")</f>
        <v>https://www.klasekpyrotechnics.cz/mdlez1l</v>
      </c>
      <c r="AA358" s="729" t="str">
        <f>IFERROR(IF(VLOOKUP(C358,[4]List1!$A:$D,4,FALSE)=0,"",VLOOKUP(C358,[4]List1!$A:$D,4,FALSE)),"")</f>
        <v/>
      </c>
      <c r="AB358" s="720"/>
      <c r="AC358" s="733" t="str">
        <f>IFERROR(IF(VLOOKUP(C358,[1]List1!$A:$D,2,FALSE)="VYPRODÁNO",$V$9,IF(VLOOKUP(C358,[1]List1!$A:$D,2,FALSE)="DOCHÁZÍ",$V$3,VLOOKUP(C358,[1]List1!$A:$D,2,FALSE))),"OFFLINE!")</f>
        <v>SKLADEM</v>
      </c>
      <c r="AD358" s="734" t="str">
        <f ca="1">IF(AP358="NE",$V$10,IF(AC358=$V$3,IF(AQ358&lt;1,$V$8,$V$2&amp;" "&amp;AQ358&amp;" "&amp;$V$1),IF(AC358="SKLADEM",$V$6,IFERROR(IF(OR(AC358-TODAY()&gt;45,VLOOKUP(C358,[1]List1!$A:$E,4,FALSE)=0),AC358,DAY(AC358)&amp;"."&amp;MONTH(AC358)&amp;"."&amp;YEAR(AC358)&amp;" "&amp;$V$4&amp;VLOOKUP(C358,[1]List1!$A:$E,4,FALSE)&amp;" "&amp;$V$1),AC358))))</f>
        <v>SKLADEM</v>
      </c>
      <c r="AE358" s="729" t="str">
        <f t="shared" ca="1" si="702"/>
        <v>SKLADEM</v>
      </c>
      <c r="AF358" s="735">
        <f t="shared" si="703"/>
        <v>0</v>
      </c>
      <c r="AG358" s="735">
        <f t="shared" si="704"/>
        <v>0</v>
      </c>
      <c r="AH358" s="736">
        <f t="shared" si="705"/>
        <v>0</v>
      </c>
      <c r="AI358" s="729">
        <f t="shared" si="706"/>
        <v>0</v>
      </c>
      <c r="AJ358" s="729">
        <f t="shared" si="707"/>
        <v>0</v>
      </c>
      <c r="AK358" s="729" t="str">
        <f t="shared" si="708"/>
        <v/>
      </c>
      <c r="AL358" s="729" t="str">
        <f t="shared" si="709"/>
        <v/>
      </c>
      <c r="AM358" s="729" t="str">
        <f t="shared" si="710"/>
        <v/>
      </c>
      <c r="AN358" s="729">
        <f t="shared" si="711"/>
        <v>0</v>
      </c>
      <c r="AO358" s="380"/>
      <c r="AP358" s="322" t="str">
        <f t="shared" si="662"/>
        <v/>
      </c>
      <c r="AQ358" s="323" t="str">
        <f>IF(AC358=$V$3,IF(VLOOKUP(C358,[1]List1!$A:$E,5,FALSE)=0,1,VLOOKUP(C358,[1]List1!$A:$E,5,FALSE)),"")</f>
        <v/>
      </c>
      <c r="AR358" s="304" t="str">
        <f t="shared" si="663"/>
        <v/>
      </c>
      <c r="AS358" s="423" t="str">
        <f t="shared" si="664"/>
        <v/>
      </c>
      <c r="AT358" s="304" t="str">
        <f t="shared" si="665"/>
        <v/>
      </c>
      <c r="AU358" s="342" t="e">
        <f t="shared" si="666"/>
        <v>#N/A</v>
      </c>
      <c r="AV358" s="304" t="e">
        <f t="shared" si="667"/>
        <v>#N/A</v>
      </c>
      <c r="AX358" s="304">
        <f>IF(AND('General price list'!$J358="F4",'General price list'!$AB358+0&gt;0),1,0)</f>
        <v>0</v>
      </c>
      <c r="AY358" s="304">
        <f t="shared" si="668"/>
        <v>0</v>
      </c>
      <c r="AZ358" s="304">
        <f t="shared" si="669"/>
        <v>0</v>
      </c>
    </row>
    <row r="359" spans="1:52" ht="15" customHeight="1">
      <c r="A359" s="712" t="str">
        <f>Kat.!C356</f>
        <v/>
      </c>
      <c r="B359" s="737">
        <f>IF(AND('General price list'!$J359="F4",$AI$1=FALSE),0,IF(AC359="SKLADEM",1,IF(AC359=$V$3,1,0)))</f>
        <v>0</v>
      </c>
      <c r="C359" s="714" t="s">
        <v>14061</v>
      </c>
      <c r="D359" s="715" t="s">
        <v>14062</v>
      </c>
      <c r="E359" s="716" t="s">
        <v>136</v>
      </c>
      <c r="F359" s="712">
        <f>IFERROR(ROUND(IF($AL$3=2,VLOOKUP(C359,[2]List1!$A:$D,2,FALSE)*1.08,VLOOKUP(C359,[2]List1!$A:$D,2,FALSE)),0),"NEUVEDENO!")</f>
        <v>1380</v>
      </c>
      <c r="G359" s="717">
        <f t="shared" si="698"/>
        <v>1380</v>
      </c>
      <c r="H359" s="718">
        <f t="shared" si="699"/>
        <v>56.077272856568158</v>
      </c>
      <c r="I359" s="738">
        <v>1</v>
      </c>
      <c r="J359" s="716"/>
      <c r="K359" s="716">
        <v>4</v>
      </c>
      <c r="L359" s="716" t="s">
        <v>14464</v>
      </c>
      <c r="M359" s="716"/>
      <c r="N359" s="716">
        <f>IFERROR(VLOOKUP(C359,[3]List1!$A:$D,4,FALSE),"N/A!")</f>
        <v>0</v>
      </c>
      <c r="O359" s="716">
        <f>IFERROR(VLOOKUP(C359,[3]List1!$A:$D,3,FALSE),"N/A!")</f>
        <v>0</v>
      </c>
      <c r="P359" s="716">
        <f>IFERROR(VLOOKUP(C359,[3]List1!$A:$D,2,FALSE),"N/A!")</f>
        <v>670</v>
      </c>
      <c r="Q359" s="716"/>
      <c r="R359" s="716"/>
      <c r="S359" s="716"/>
      <c r="T359" s="716"/>
      <c r="U359" s="716"/>
      <c r="V359" s="716"/>
      <c r="W359" s="716" t="str">
        <f>IFERROR(VLOOKUP('General price list'!$C359,Popisy!A:P,MATCH($W$17,Popisy!$A$7:$P$7,0),FALSE),"---------------")</f>
        <v>Dumbum mikina se zipem a kapucí XL -limited edition</v>
      </c>
      <c r="X359" s="716" t="str">
        <f t="shared" si="700"/>
        <v/>
      </c>
      <c r="Y359" s="716" t="str">
        <f t="shared" si="701"/>
        <v/>
      </c>
      <c r="Z359" s="716" t="str">
        <f>HYPERLINK("https://www.klasekpyrotechnics.cz/mdlez1xl")</f>
        <v>https://www.klasekpyrotechnics.cz/mdlez1xl</v>
      </c>
      <c r="AA359" s="716" t="str">
        <f>IFERROR(IF(VLOOKUP(C359,[4]List1!$A:$D,4,FALSE)=0,"",VLOOKUP(C359,[4]List1!$A:$D,4,FALSE)),"")</f>
        <v/>
      </c>
      <c r="AB359" s="720"/>
      <c r="AC359" s="739" t="str">
        <f>IFERROR(IF(VLOOKUP(C359,[1]List1!$A:$D,2,FALSE)="VYPRODÁNO",$V$9,IF(VLOOKUP(C359,[1]List1!$A:$D,2,FALSE)="DOCHÁZÍ",$V$3,VLOOKUP(C359,[1]List1!$A:$D,2,FALSE))),"OFFLINE!")</f>
        <v>VYPRODÁNO</v>
      </c>
      <c r="AD359" s="740" t="str">
        <f ca="1">IF(AP359="NE",$V$10,IF(AC359=$V$3,IF(AQ359&lt;1,$V$8,$V$2&amp;" "&amp;AQ359&amp;" "&amp;$V$1),IF(AC359="SKLADEM",$V$6,IFERROR(IF(OR(AC359-TODAY()&gt;45,VLOOKUP(C359,[1]List1!$A:$E,4,FALSE)=0),AC359,DAY(AC359)&amp;"."&amp;MONTH(AC359)&amp;"."&amp;YEAR(AC359)&amp;" "&amp;$V$4&amp;VLOOKUP(C359,[1]List1!$A:$E,4,FALSE)&amp;" "&amp;$V$1),AC359))))</f>
        <v>VYPRODÁNO</v>
      </c>
      <c r="AE359" s="716" t="str">
        <f t="shared" ca="1" si="702"/>
        <v>VYPRODÁNO</v>
      </c>
      <c r="AF359" s="723">
        <f t="shared" si="703"/>
        <v>0</v>
      </c>
      <c r="AG359" s="723">
        <f t="shared" si="704"/>
        <v>0</v>
      </c>
      <c r="AH359" s="724">
        <f t="shared" si="705"/>
        <v>0</v>
      </c>
      <c r="AI359" s="716">
        <f t="shared" si="706"/>
        <v>0</v>
      </c>
      <c r="AJ359" s="716">
        <f t="shared" si="707"/>
        <v>0</v>
      </c>
      <c r="AK359" s="716" t="str">
        <f t="shared" si="708"/>
        <v/>
      </c>
      <c r="AL359" s="716" t="str">
        <f t="shared" si="709"/>
        <v/>
      </c>
      <c r="AM359" s="716" t="str">
        <f t="shared" si="710"/>
        <v/>
      </c>
      <c r="AN359" s="716">
        <f t="shared" si="711"/>
        <v>0</v>
      </c>
      <c r="AO359" s="380"/>
      <c r="AP359" s="322" t="str">
        <f t="shared" si="662"/>
        <v/>
      </c>
      <c r="AQ359" s="323" t="str">
        <f>IF(AC359=$V$3,IF(VLOOKUP(C359,[1]List1!$A:$E,5,FALSE)=0,1,VLOOKUP(C359,[1]List1!$A:$E,5,FALSE)),"")</f>
        <v/>
      </c>
      <c r="AR359" s="304" t="str">
        <f t="shared" si="663"/>
        <v/>
      </c>
      <c r="AS359" s="423" t="str">
        <f t="shared" si="664"/>
        <v/>
      </c>
      <c r="AT359" s="304" t="str">
        <f t="shared" si="665"/>
        <v/>
      </c>
      <c r="AU359" s="342" t="e">
        <f t="shared" si="666"/>
        <v>#N/A</v>
      </c>
      <c r="AV359" s="304" t="e">
        <f t="shared" si="667"/>
        <v>#N/A</v>
      </c>
      <c r="AX359" s="304">
        <f>IF(AND('General price list'!$J359="F4",'General price list'!$AB359+0&gt;0),1,0)</f>
        <v>0</v>
      </c>
      <c r="AY359" s="304">
        <f t="shared" si="668"/>
        <v>0</v>
      </c>
      <c r="AZ359" s="304">
        <f t="shared" si="669"/>
        <v>0</v>
      </c>
    </row>
    <row r="360" spans="1:52" ht="15" customHeight="1">
      <c r="A360" s="725" t="str">
        <f>Kat.!C357</f>
        <v/>
      </c>
      <c r="B360" s="726">
        <f>IF(AND('General price list'!$J360="F4",$AI$1=FALSE),0,IF(AC360="SKLADEM",1,IF(AC360=$V$3,1,0)))</f>
        <v>0</v>
      </c>
      <c r="C360" s="727" t="s">
        <v>14063</v>
      </c>
      <c r="D360" s="728" t="s">
        <v>14064</v>
      </c>
      <c r="E360" s="729" t="s">
        <v>136</v>
      </c>
      <c r="F360" s="725">
        <f>IFERROR(ROUND(IF($AL$3=2,VLOOKUP(C360,[2]List1!$A:$D,2,FALSE)*1.08,VLOOKUP(C360,[2]List1!$A:$D,2,FALSE)),0),"NEUVEDENO!")</f>
        <v>1380</v>
      </c>
      <c r="G360" s="730">
        <f t="shared" si="698"/>
        <v>1380</v>
      </c>
      <c r="H360" s="731">
        <f t="shared" si="699"/>
        <v>56.077272856568158</v>
      </c>
      <c r="I360" s="732">
        <v>1</v>
      </c>
      <c r="J360" s="729"/>
      <c r="K360" s="729">
        <v>4</v>
      </c>
      <c r="L360" s="729" t="s">
        <v>14464</v>
      </c>
      <c r="M360" s="729"/>
      <c r="N360" s="729">
        <f>IFERROR(VLOOKUP(C360,[3]List1!$A:$D,4,FALSE),"N/A!")</f>
        <v>0</v>
      </c>
      <c r="O360" s="729">
        <f>IFERROR(VLOOKUP(C360,[3]List1!$A:$D,3,FALSE),"N/A!")</f>
        <v>0</v>
      </c>
      <c r="P360" s="729">
        <f>IFERROR(VLOOKUP(C360,[3]List1!$A:$D,2,FALSE),"N/A!")</f>
        <v>670</v>
      </c>
      <c r="Q360" s="729"/>
      <c r="R360" s="729"/>
      <c r="S360" s="729"/>
      <c r="T360" s="729"/>
      <c r="U360" s="729"/>
      <c r="V360" s="729"/>
      <c r="W360" s="729" t="str">
        <f>IFERROR(VLOOKUP('General price list'!$C360,Popisy!A:P,MATCH($W$17,Popisy!$A$7:$P$7,0),FALSE),"---------------")</f>
        <v>Dumbum mikina se zipem a kapucí XXL -limited edition</v>
      </c>
      <c r="X360" s="729" t="str">
        <f t="shared" si="700"/>
        <v/>
      </c>
      <c r="Y360" s="729" t="str">
        <f t="shared" si="701"/>
        <v/>
      </c>
      <c r="Z360" s="729" t="str">
        <f>HYPERLINK("https://www.klasekpyrotechnics.cz/mdlez1xxl")</f>
        <v>https://www.klasekpyrotechnics.cz/mdlez1xxl</v>
      </c>
      <c r="AA360" s="729" t="str">
        <f>IFERROR(IF(VLOOKUP(C360,[4]List1!$A:$D,4,FALSE)=0,"",VLOOKUP(C360,[4]List1!$A:$D,4,FALSE)),"")</f>
        <v/>
      </c>
      <c r="AB360" s="720"/>
      <c r="AC360" s="733" t="str">
        <f>IFERROR(IF(VLOOKUP(C360,[1]List1!$A:$D,2,FALSE)="VYPRODÁNO",$V$9,IF(VLOOKUP(C360,[1]List1!$A:$D,2,FALSE)="DOCHÁZÍ",$V$3,VLOOKUP(C360,[1]List1!$A:$D,2,FALSE))),"OFFLINE!")</f>
        <v>VYPRODÁNO</v>
      </c>
      <c r="AD360" s="734" t="str">
        <f ca="1">IF(AP360="NE",$V$10,IF(AC360=$V$3,IF(AQ360&lt;1,$V$8,$V$2&amp;" "&amp;AQ360&amp;" "&amp;$V$1),IF(AC360="SKLADEM",$V$6,IFERROR(IF(OR(AC360-TODAY()&gt;45,VLOOKUP(C360,[1]List1!$A:$E,4,FALSE)=0),AC360,DAY(AC360)&amp;"."&amp;MONTH(AC360)&amp;"."&amp;YEAR(AC360)&amp;" "&amp;$V$4&amp;VLOOKUP(C360,[1]List1!$A:$E,4,FALSE)&amp;" "&amp;$V$1),AC360))))</f>
        <v>VYPRODÁNO</v>
      </c>
      <c r="AE360" s="729" t="str">
        <f t="shared" ca="1" si="702"/>
        <v>VYPRODÁNO</v>
      </c>
      <c r="AF360" s="735">
        <f t="shared" si="703"/>
        <v>0</v>
      </c>
      <c r="AG360" s="735">
        <f t="shared" si="704"/>
        <v>0</v>
      </c>
      <c r="AH360" s="736">
        <f t="shared" si="705"/>
        <v>0</v>
      </c>
      <c r="AI360" s="729">
        <f t="shared" si="706"/>
        <v>0</v>
      </c>
      <c r="AJ360" s="729">
        <f t="shared" si="707"/>
        <v>0</v>
      </c>
      <c r="AK360" s="729" t="str">
        <f t="shared" si="708"/>
        <v/>
      </c>
      <c r="AL360" s="729" t="str">
        <f t="shared" si="709"/>
        <v/>
      </c>
      <c r="AM360" s="729" t="str">
        <f t="shared" si="710"/>
        <v/>
      </c>
      <c r="AN360" s="729">
        <f t="shared" si="711"/>
        <v>0</v>
      </c>
      <c r="AO360" s="380"/>
      <c r="AP360" s="322" t="str">
        <f t="shared" si="662"/>
        <v/>
      </c>
      <c r="AQ360" s="323" t="str">
        <f>IF(AC360=$V$3,IF(VLOOKUP(C360,[1]List1!$A:$E,5,FALSE)=0,1,VLOOKUP(C360,[1]List1!$A:$E,5,FALSE)),"")</f>
        <v/>
      </c>
      <c r="AR360" s="304" t="str">
        <f t="shared" si="663"/>
        <v/>
      </c>
      <c r="AS360" s="423" t="str">
        <f t="shared" si="664"/>
        <v/>
      </c>
      <c r="AT360" s="304" t="str">
        <f t="shared" si="665"/>
        <v/>
      </c>
      <c r="AU360" s="342" t="e">
        <f t="shared" si="666"/>
        <v>#N/A</v>
      </c>
      <c r="AV360" s="304" t="e">
        <f t="shared" si="667"/>
        <v>#N/A</v>
      </c>
      <c r="AX360" s="304">
        <f>IF(AND('General price list'!$J360="F4",'General price list'!$AB360+0&gt;0),1,0)</f>
        <v>0</v>
      </c>
      <c r="AY360" s="304">
        <f t="shared" si="668"/>
        <v>0</v>
      </c>
      <c r="AZ360" s="304">
        <f t="shared" si="669"/>
        <v>0</v>
      </c>
    </row>
    <row r="361" spans="1:52" ht="15" customHeight="1">
      <c r="A361" s="712" t="str">
        <f>Kat.!C358</f>
        <v/>
      </c>
      <c r="B361" s="737">
        <f>IF(AND('General price list'!$J361="F4",$AI$1=FALSE),0,IF(AC361="SKLADEM",1,IF(AC361=$V$3,1,0)))</f>
        <v>1</v>
      </c>
      <c r="C361" s="714" t="s">
        <v>2711</v>
      </c>
      <c r="D361" s="715" t="s">
        <v>2712</v>
      </c>
      <c r="E361" s="716" t="s">
        <v>136</v>
      </c>
      <c r="F361" s="712">
        <f>IFERROR(ROUND(IF($AL$3=2,VLOOKUP(C361,[2]List1!$A:$D,2,FALSE)*1.08,VLOOKUP(C361,[2]List1!$A:$D,2,FALSE)),0),"NEUVEDENO!")</f>
        <v>300</v>
      </c>
      <c r="G361" s="717">
        <f t="shared" ref="G361:G362" si="712">(F361)*$B$19</f>
        <v>300</v>
      </c>
      <c r="H361" s="718">
        <f t="shared" ref="H361:H362" si="713">G361/$F$19</f>
        <v>12.190711490558295</v>
      </c>
      <c r="I361" s="738">
        <v>1</v>
      </c>
      <c r="J361" s="716"/>
      <c r="K361" s="716"/>
      <c r="L361" s="716" t="s">
        <v>14464</v>
      </c>
      <c r="M361" s="716"/>
      <c r="N361" s="716">
        <f>IFERROR(VLOOKUP(C361,[3]List1!$A:$D,4,FALSE),"N/A!")</f>
        <v>0</v>
      </c>
      <c r="O361" s="716">
        <f>IFERROR(VLOOKUP(C361,[3]List1!$A:$D,3,FALSE),"N/A!")</f>
        <v>0</v>
      </c>
      <c r="P361" s="716">
        <f>IFERROR(VLOOKUP(C361,[3]List1!$A:$D,2,FALSE),"N/A!")</f>
        <v>72</v>
      </c>
      <c r="Q361" s="716" t="s">
        <v>24</v>
      </c>
      <c r="R361" s="716" t="s">
        <v>24</v>
      </c>
      <c r="S361" s="716"/>
      <c r="T361" s="716"/>
      <c r="U361" s="716"/>
      <c r="V361" s="716"/>
      <c r="W361" s="716" t="str">
        <f>IFERROR(VLOOKUP('General price list'!$C361,Popisy!A:P,MATCH($W$17,Popisy!$A$7:$P$7,0),FALSE),"---------------")</f>
        <v>Dumbum kšiltovka - limited edition</v>
      </c>
      <c r="X361" s="716" t="str">
        <f t="shared" ref="X361:X362" si="714">IF(AB361&lt;0.0001,"",AB361)</f>
        <v/>
      </c>
      <c r="Y361" s="716" t="str">
        <f t="shared" ref="Y361:Y362" si="715">IF($AL$3=2,IF(OR(AB361&lt;&gt;"",AB361&lt;&gt;0),AU361,""),IF(C361="","",IF(AB361&lt;0.0001,"",IF(B361=0,"",IF(AQ361&lt;AB361,"",AB361)))))</f>
        <v/>
      </c>
      <c r="Z361" s="716" t="str">
        <f>HYPERLINK("https://www.klasekpyrotechnics.cz/kdle1")</f>
        <v>https://www.klasekpyrotechnics.cz/kdle1</v>
      </c>
      <c r="AA361" s="716" t="str">
        <f>IFERROR(IF(VLOOKUP(C361,[4]List1!$A:$D,4,FALSE)=0,"",VLOOKUP(C361,[4]List1!$A:$D,4,FALSE)),"")</f>
        <v/>
      </c>
      <c r="AB361" s="720"/>
      <c r="AC361" s="739" t="str">
        <f>IFERROR(IF(VLOOKUP(C361,[1]List1!$A:$D,2,FALSE)="VYPRODÁNO",$V$9,IF(VLOOKUP(C361,[1]List1!$A:$D,2,FALSE)="DOCHÁZÍ",$V$3,VLOOKUP(C361,[1]List1!$A:$D,2,FALSE))),"OFFLINE!")</f>
        <v>SKLADEM</v>
      </c>
      <c r="AD361" s="740" t="str">
        <f ca="1">IF(AP361="NE",$V$10,IF(AC361=$V$3,IF(AQ361&lt;1,$V$8,$V$2&amp;" "&amp;AQ361&amp;" "&amp;$V$1),IF(AC361="SKLADEM",$V$6,IFERROR(IF(OR(AC361-TODAY()&gt;45,VLOOKUP(C361,[1]List1!$A:$E,4,FALSE)=0),AC361,DAY(AC361)&amp;"."&amp;MONTH(AC361)&amp;"."&amp;YEAR(AC361)&amp;" "&amp;$V$4&amp;VLOOKUP(C361,[1]List1!$A:$E,4,FALSE)&amp;" "&amp;$V$1),AC361))))</f>
        <v>SKLADEM</v>
      </c>
      <c r="AE361" s="716" t="str">
        <f t="shared" ref="AE361:AE362" ca="1" si="716">IFERROR(IF(AV361&lt;&gt;"",AV361,AD361),AD361)</f>
        <v>SKLADEM</v>
      </c>
      <c r="AF361" s="723">
        <f t="shared" ref="AF361:AF362" si="717">IFERROR(IF(AB361=Y361,G361*I361*Y361,0),0)</f>
        <v>0</v>
      </c>
      <c r="AG361" s="723">
        <f t="shared" ref="AG361:AG362" si="718">IF($W$17=$AF$8,AH361*1.23,AF361*1.21)</f>
        <v>0</v>
      </c>
      <c r="AH361" s="724">
        <f t="shared" ref="AH361:AH362" si="719">IFERROR(IF(Y361=AB361,H361*I361*Y361,0),0)</f>
        <v>0</v>
      </c>
      <c r="AI361" s="716">
        <f t="shared" ref="AI361:AI362" si="720">IFERROR(IF(Y361=AB361,(P361*Y361)/1000,1),0)</f>
        <v>0</v>
      </c>
      <c r="AJ361" s="716">
        <f t="shared" ref="AJ361:AJ362" si="721">IFERROR(IF(Y361=AB361,N361*Y361,0.1),0)</f>
        <v>0</v>
      </c>
      <c r="AK361" s="716" t="str">
        <f t="shared" ref="AK361:AK362" si="722">IFERROR(IF(Y361=AB361,IF(M361="1.1G",(O361/1000)*Y361,""),""),0)</f>
        <v/>
      </c>
      <c r="AL361" s="716" t="str">
        <f t="shared" ref="AL361:AL362" si="723">IFERROR(IF(Y361=AB361,IF(M361="1.3G",(O361/1000)*AB361,""),""),0)</f>
        <v/>
      </c>
      <c r="AM361" s="716" t="str">
        <f t="shared" ref="AM361:AM362" si="724">IFERROR(IF(Y361=AB361,IF(M361="1.4G",(O361/1000)*AB361,""),""),0)</f>
        <v/>
      </c>
      <c r="AN361" s="716">
        <f t="shared" ref="AN361:AN362" si="725">SUM(AK361:AM361)</f>
        <v>0</v>
      </c>
      <c r="AO361" s="380"/>
      <c r="AP361" s="322" t="str">
        <f t="shared" si="662"/>
        <v/>
      </c>
      <c r="AQ361" s="323" t="str">
        <f>IF(AC361=$V$3,IF(VLOOKUP(C361,[1]List1!$A:$E,5,FALSE)=0,1,VLOOKUP(C361,[1]List1!$A:$E,5,FALSE)),"")</f>
        <v/>
      </c>
      <c r="AR361" s="304" t="str">
        <f t="shared" si="663"/>
        <v/>
      </c>
      <c r="AS361" s="423" t="str">
        <f t="shared" si="664"/>
        <v/>
      </c>
      <c r="AT361" s="304" t="str">
        <f t="shared" si="665"/>
        <v/>
      </c>
      <c r="AU361" s="342" t="e">
        <f t="shared" si="666"/>
        <v>#N/A</v>
      </c>
      <c r="AV361" s="304" t="e">
        <f t="shared" si="667"/>
        <v>#N/A</v>
      </c>
      <c r="AX361" s="304">
        <f>IF(AND('General price list'!$J361="F4",'General price list'!$AB361+0&gt;0),1,0)</f>
        <v>0</v>
      </c>
      <c r="AY361" s="304">
        <f t="shared" si="668"/>
        <v>0</v>
      </c>
      <c r="AZ361" s="304">
        <f t="shared" si="669"/>
        <v>0</v>
      </c>
    </row>
    <row r="362" spans="1:52" ht="15" customHeight="1">
      <c r="A362" s="725" t="str">
        <f>Kat.!C359</f>
        <v/>
      </c>
      <c r="B362" s="726">
        <f>IF(AND('General price list'!$J362="F4",$AI$1=FALSE),0,IF(AC362="SKLADEM",1,IF(AC362=$V$3,1,0)))</f>
        <v>1</v>
      </c>
      <c r="C362" s="727" t="s">
        <v>2713</v>
      </c>
      <c r="D362" s="728" t="s">
        <v>2714</v>
      </c>
      <c r="E362" s="729" t="s">
        <v>136</v>
      </c>
      <c r="F362" s="725">
        <f>IFERROR(ROUND(IF($AL$3=2,VLOOKUP(C362,[2]List1!$A:$D,2,FALSE)*1.08,VLOOKUP(C362,[2]List1!$A:$D,2,FALSE)),0),"NEUVEDENO!")</f>
        <v>360</v>
      </c>
      <c r="G362" s="730">
        <f t="shared" si="712"/>
        <v>360</v>
      </c>
      <c r="H362" s="731">
        <f t="shared" si="713"/>
        <v>14.628853788669954</v>
      </c>
      <c r="I362" s="732">
        <v>1</v>
      </c>
      <c r="J362" s="729"/>
      <c r="K362" s="729"/>
      <c r="L362" s="729" t="s">
        <v>14464</v>
      </c>
      <c r="M362" s="729"/>
      <c r="N362" s="729">
        <f>IFERROR(VLOOKUP(C362,[3]List1!$A:$D,4,FALSE),"N/A!")</f>
        <v>0</v>
      </c>
      <c r="O362" s="729">
        <f>IFERROR(VLOOKUP(C362,[3]List1!$A:$D,3,FALSE),"N/A!")</f>
        <v>0</v>
      </c>
      <c r="P362" s="729">
        <f>IFERROR(VLOOKUP(C362,[3]List1!$A:$D,2,FALSE),"N/A!")</f>
        <v>47</v>
      </c>
      <c r="Q362" s="729" t="s">
        <v>24</v>
      </c>
      <c r="R362" s="729" t="s">
        <v>24</v>
      </c>
      <c r="S362" s="729"/>
      <c r="T362" s="729"/>
      <c r="U362" s="729"/>
      <c r="V362" s="729"/>
      <c r="W362" s="729" t="str">
        <f>IFERROR(VLOOKUP('General price list'!$C362,Popisy!A:P,MATCH($W$17,Popisy!$A$7:$P$7,0),FALSE),"---------------")</f>
        <v>Dumbum zimní čepice - limited edition</v>
      </c>
      <c r="X362" s="729" t="str">
        <f t="shared" si="714"/>
        <v/>
      </c>
      <c r="Y362" s="729" t="str">
        <f t="shared" si="715"/>
        <v/>
      </c>
      <c r="Z362" s="729" t="str">
        <f>HYPERLINK("https://www.klasekpyrotechnics.cz/cdle1")</f>
        <v>https://www.klasekpyrotechnics.cz/cdle1</v>
      </c>
      <c r="AA362" s="729" t="str">
        <f>IFERROR(IF(VLOOKUP(C362,[4]List1!$A:$D,4,FALSE)=0,"",VLOOKUP(C362,[4]List1!$A:$D,4,FALSE)),"")</f>
        <v/>
      </c>
      <c r="AB362" s="720"/>
      <c r="AC362" s="733" t="str">
        <f>IFERROR(IF(VLOOKUP(C362,[1]List1!$A:$D,2,FALSE)="VYPRODÁNO",$V$9,IF(VLOOKUP(C362,[1]List1!$A:$D,2,FALSE)="DOCHÁZÍ",$V$3,VLOOKUP(C362,[1]List1!$A:$D,2,FALSE))),"OFFLINE!")</f>
        <v>SKLADEM</v>
      </c>
      <c r="AD362" s="734" t="str">
        <f ca="1">IF(AP362="NE",$V$10,IF(AC362=$V$3,IF(AQ362&lt;1,$V$8,$V$2&amp;" "&amp;AQ362&amp;" "&amp;$V$1),IF(AC362="SKLADEM",$V$6,IFERROR(IF(OR(AC362-TODAY()&gt;45,VLOOKUP(C362,[1]List1!$A:$E,4,FALSE)=0),AC362,DAY(AC362)&amp;"."&amp;MONTH(AC362)&amp;"."&amp;YEAR(AC362)&amp;" "&amp;$V$4&amp;VLOOKUP(C362,[1]List1!$A:$E,4,FALSE)&amp;" "&amp;$V$1),AC362))))</f>
        <v>SKLADEM</v>
      </c>
      <c r="AE362" s="729" t="str">
        <f t="shared" ca="1" si="716"/>
        <v>SKLADEM</v>
      </c>
      <c r="AF362" s="735">
        <f t="shared" si="717"/>
        <v>0</v>
      </c>
      <c r="AG362" s="735">
        <f t="shared" si="718"/>
        <v>0</v>
      </c>
      <c r="AH362" s="736">
        <f t="shared" si="719"/>
        <v>0</v>
      </c>
      <c r="AI362" s="729">
        <f t="shared" si="720"/>
        <v>0</v>
      </c>
      <c r="AJ362" s="729">
        <f t="shared" si="721"/>
        <v>0</v>
      </c>
      <c r="AK362" s="729" t="str">
        <f t="shared" si="722"/>
        <v/>
      </c>
      <c r="AL362" s="729" t="str">
        <f t="shared" si="723"/>
        <v/>
      </c>
      <c r="AM362" s="729" t="str">
        <f t="shared" si="724"/>
        <v/>
      </c>
      <c r="AN362" s="729">
        <f t="shared" si="725"/>
        <v>0</v>
      </c>
      <c r="AO362" s="380"/>
      <c r="AP362" s="322" t="str">
        <f t="shared" si="662"/>
        <v/>
      </c>
      <c r="AQ362" s="323" t="str">
        <f>IF(AC362=$V$3,IF(VLOOKUP(C362,[1]List1!$A:$E,5,FALSE)=0,1,VLOOKUP(C362,[1]List1!$A:$E,5,FALSE)),"")</f>
        <v/>
      </c>
      <c r="AR362" s="304" t="str">
        <f t="shared" si="663"/>
        <v/>
      </c>
      <c r="AS362" s="423" t="str">
        <f t="shared" si="664"/>
        <v/>
      </c>
      <c r="AT362" s="304" t="str">
        <f t="shared" si="665"/>
        <v/>
      </c>
      <c r="AU362" s="342" t="e">
        <f t="shared" si="666"/>
        <v>#N/A</v>
      </c>
      <c r="AV362" s="304" t="e">
        <f t="shared" si="667"/>
        <v>#N/A</v>
      </c>
      <c r="AX362" s="304">
        <f>IF(AND('General price list'!$J362="F4",'General price list'!$AB362+0&gt;0),1,0)</f>
        <v>0</v>
      </c>
      <c r="AY362" s="304">
        <f t="shared" si="668"/>
        <v>0</v>
      </c>
      <c r="AZ362" s="304">
        <f t="shared" si="669"/>
        <v>0</v>
      </c>
    </row>
    <row r="363" spans="1:52" ht="15" customHeight="1">
      <c r="A363" s="773" t="str">
        <f>Kat.!C360</f>
        <v xml:space="preserve">                                                               Reklamní položky</v>
      </c>
      <c r="B363" s="774"/>
      <c r="C363" s="774"/>
      <c r="D363" s="774"/>
      <c r="E363" s="774"/>
      <c r="F363" s="774"/>
      <c r="G363" s="774"/>
      <c r="H363" s="774"/>
      <c r="I363" s="774"/>
      <c r="J363" s="774"/>
      <c r="K363" s="774"/>
      <c r="L363" s="774"/>
      <c r="M363" s="774"/>
      <c r="N363" s="774"/>
      <c r="O363" s="774"/>
      <c r="P363" s="774"/>
      <c r="Q363" s="774"/>
      <c r="R363" s="774"/>
      <c r="S363" s="774"/>
      <c r="T363" s="774"/>
      <c r="U363" s="774"/>
      <c r="V363" s="774"/>
      <c r="W363" s="774"/>
      <c r="X363" s="774"/>
      <c r="Y363" s="774"/>
      <c r="Z363" s="774"/>
      <c r="AA363" s="774" t="str">
        <f>IFERROR(IF(VLOOKUP(C363,[4]List1!$A:$D,4,FALSE)=0,"",VLOOKUP(C363,[4]List1!$A:$D,4,FALSE)),"")</f>
        <v/>
      </c>
      <c r="AB363" s="774"/>
      <c r="AC363" s="775" t="str">
        <f>IFERROR(IF(VLOOKUP(C363,[1]List1!$A:$D,2,FALSE)="VYPRODÁNO",$V$9,IF(VLOOKUP(C363,[1]List1!$A:$D,2,FALSE)="DOCHÁZÍ",$V$3,VLOOKUP(C363,[1]List1!$A:$D,2,FALSE))),"OFFLINE!")</f>
        <v>OFFLINE!</v>
      </c>
      <c r="AD363" s="774"/>
      <c r="AE363" s="774"/>
      <c r="AF363" s="774"/>
      <c r="AG363" s="774"/>
      <c r="AH363" s="774"/>
      <c r="AI363" s="774"/>
      <c r="AJ363" s="774"/>
      <c r="AK363" s="774"/>
      <c r="AL363" s="774"/>
      <c r="AM363" s="774"/>
      <c r="AN363" s="774"/>
      <c r="AO363" s="380"/>
      <c r="AP363" s="322" t="str">
        <f t="shared" si="662"/>
        <v/>
      </c>
      <c r="AQ363" s="323" t="str">
        <f>IF(AC363=$V$3,IF(VLOOKUP(C363,[1]List1!$A:$E,5,FALSE)=0,1,VLOOKUP(C363,[1]List1!$A:$E,5,FALSE)),"")</f>
        <v/>
      </c>
      <c r="AR363" s="304" t="str">
        <f t="shared" si="663"/>
        <v/>
      </c>
      <c r="AS363" s="423" t="str">
        <f t="shared" si="664"/>
        <v/>
      </c>
      <c r="AT363" s="304" t="str">
        <f t="shared" si="665"/>
        <v/>
      </c>
      <c r="AU363" s="342" t="e">
        <f t="shared" si="666"/>
        <v>#N/A</v>
      </c>
      <c r="AV363" s="304" t="e">
        <f t="shared" si="667"/>
        <v>#N/A</v>
      </c>
      <c r="AX363" s="304">
        <f>IF(AND('General price list'!$J363="F4",'General price list'!$AB363+0&gt;0),1,0)</f>
        <v>0</v>
      </c>
      <c r="AY363" s="304">
        <f t="shared" si="668"/>
        <v>0</v>
      </c>
      <c r="AZ363" s="304">
        <f t="shared" si="669"/>
        <v>0</v>
      </c>
    </row>
    <row r="364" spans="1:52" ht="15" customHeight="1">
      <c r="A364" s="725" t="str">
        <f>Kat.!C361</f>
        <v/>
      </c>
      <c r="B364" s="741">
        <f>IF(AND('General price list'!$J364="F4",$AI$1=FALSE),0,IF(AC364="SKLADEM",1,IF(AC364=$V$3,1,0)))</f>
        <v>1</v>
      </c>
      <c r="C364" s="727" t="s">
        <v>984</v>
      </c>
      <c r="D364" s="728" t="s">
        <v>985</v>
      </c>
      <c r="E364" s="729" t="s">
        <v>432</v>
      </c>
      <c r="F364" s="725">
        <f>IFERROR(ROUND(IF($AL$3=2,VLOOKUP(C364,[2]List1!$A:$D,2,FALSE)*1.08,VLOOKUP(C364,[2]List1!$A:$D,2,FALSE)),0),"NEUVEDENO!")</f>
        <v>31</v>
      </c>
      <c r="G364" s="730">
        <f t="shared" ref="G364:G377" si="726">(F364)*$B$19</f>
        <v>31</v>
      </c>
      <c r="H364" s="731">
        <f t="shared" ref="H364:H377" si="727">G364/$F$19</f>
        <v>1.2597068540243572</v>
      </c>
      <c r="I364" s="742">
        <v>24</v>
      </c>
      <c r="J364" s="729"/>
      <c r="K364" s="729"/>
      <c r="L364" s="729" t="s">
        <v>14464</v>
      </c>
      <c r="M364" s="729"/>
      <c r="N364" s="729">
        <f>IFERROR(VLOOKUP(C364,[3]List1!$A:$D,4,FALSE),"N/A!")</f>
        <v>1.0164000000000001E-2</v>
      </c>
      <c r="O364" s="729">
        <f>IFERROR(VLOOKUP(C364,[3]List1!$A:$D,3,FALSE),"N/A!")</f>
        <v>0</v>
      </c>
      <c r="P364" s="729">
        <f>IFERROR(VLOOKUP(C364,[3]List1!$A:$D,2,FALSE),"N/A!")</f>
        <v>6500</v>
      </c>
      <c r="Q364" s="729" t="s">
        <v>24</v>
      </c>
      <c r="R364" s="729" t="s">
        <v>24</v>
      </c>
      <c r="S364" s="729"/>
      <c r="T364" s="729"/>
      <c r="U364" s="729"/>
      <c r="V364" s="729"/>
      <c r="W364" s="729" t="str">
        <f>IFERROR(VLOOKUP('General price list'!$C364,Popisy!A:P,MATCH($W$17,Popisy!$A$7:$P$7,0),FALSE),"---------------")</f>
        <v>energetický nápoj 250ml, vyrobeno v EU</v>
      </c>
      <c r="X364" s="729" t="str">
        <f t="shared" ref="X364:X377" si="728">IF(AB364&lt;0.0001,"",AB364)</f>
        <v/>
      </c>
      <c r="Y364" s="729" t="str">
        <f t="shared" ref="Y364:Y377" si="729">IF($AL$3=2,IF(OR(AB364&lt;&gt;"",AB364&lt;&gt;0),AU364,""),IF(C364="","",IF(AB364&lt;0.0001,"",IF(B364=0,"",IF(AQ364&lt;AB364,"",AB364)))))</f>
        <v/>
      </c>
      <c r="Z364" s="729" t="str">
        <f>HYPERLINK("https://www.klasekpyrotechnics.cz/n1")</f>
        <v>https://www.klasekpyrotechnics.cz/n1</v>
      </c>
      <c r="AA364" s="729" t="str">
        <f>IFERROR(IF(VLOOKUP(C364,[4]List1!$A:$D,4,FALSE)=0,"",VLOOKUP(C364,[4]List1!$A:$D,4,FALSE)),"")</f>
        <v>120</v>
      </c>
      <c r="AB364" s="720"/>
      <c r="AC364" s="743" t="str">
        <f>IFERROR(IF(VLOOKUP(C364,[1]List1!$A:$D,2,FALSE)="VYPRODÁNO",$V$9,IF(VLOOKUP(C364,[1]List1!$A:$D,2,FALSE)="DOCHÁZÍ",$V$3,VLOOKUP(C364,[1]List1!$A:$D,2,FALSE))),"OFFLINE!")</f>
        <v>SKLADEM</v>
      </c>
      <c r="AD364" s="744" t="str">
        <f ca="1">IF(AP364="NE",$V$10,IF(AC364=$V$3,IF(AQ364&lt;1,$V$8,$V$2&amp;" "&amp;AQ364&amp;" "&amp;$V$1),IF(AC364="SKLADEM",$V$6,IFERROR(IF(OR(AC364-TODAY()&gt;45,VLOOKUP(C364,[1]List1!$A:$E,4,FALSE)=0),AC364,DAY(AC364)&amp;"."&amp;MONTH(AC364)&amp;"."&amp;YEAR(AC364)&amp;" "&amp;$V$4&amp;VLOOKUP(C364,[1]List1!$A:$E,4,FALSE)&amp;" "&amp;$V$1),AC364))))</f>
        <v>SKLADEM</v>
      </c>
      <c r="AE364" s="729" t="str">
        <f t="shared" ref="AE364:AE377" ca="1" si="730">IFERROR(IF(AV364&lt;&gt;"",AV364,AD364),AD364)</f>
        <v>SKLADEM</v>
      </c>
      <c r="AF364" s="735">
        <f t="shared" ref="AF364:AF377" si="731">IFERROR(IF(AB364=Y364,G364*I364*Y364,0),0)</f>
        <v>0</v>
      </c>
      <c r="AG364" s="735">
        <f t="shared" ref="AG364:AG377" si="732">IF($W$17=$AF$8,AH364*1.23,AF364*1.21)</f>
        <v>0</v>
      </c>
      <c r="AH364" s="736">
        <f t="shared" ref="AH364:AH377" si="733">IFERROR(IF(Y364=AB364,H364*I364*Y364,0),0)</f>
        <v>0</v>
      </c>
      <c r="AI364" s="729">
        <f t="shared" ref="AI364:AI377" si="734">IFERROR(IF(Y364=AB364,(P364*Y364)/1000,1),0)</f>
        <v>0</v>
      </c>
      <c r="AJ364" s="729">
        <f t="shared" ref="AJ364:AJ377" si="735">IFERROR(IF(Y364=AB364,N364*Y364,0.1),0)</f>
        <v>0</v>
      </c>
      <c r="AK364" s="729" t="str">
        <f t="shared" ref="AK364:AK377" si="736">IFERROR(IF(Y364=AB364,IF(M364="1.1G",(O364/1000)*Y364,""),""),0)</f>
        <v/>
      </c>
      <c r="AL364" s="729" t="str">
        <f t="shared" ref="AL364:AL377" si="737">IFERROR(IF(Y364=AB364,IF(M364="1.3G",(O364/1000)*AB364,""),""),0)</f>
        <v/>
      </c>
      <c r="AM364" s="729" t="str">
        <f t="shared" ref="AM364:AM377" si="738">IFERROR(IF(Y364=AB364,IF(M364="1.4G",(O364/1000)*AB364,""),""),0)</f>
        <v/>
      </c>
      <c r="AN364" s="729">
        <f t="shared" ref="AN364:AN377" si="739">SUM(AK364:AM364)</f>
        <v>0</v>
      </c>
      <c r="AO364" s="380"/>
      <c r="AP364" s="322" t="str">
        <f t="shared" si="662"/>
        <v/>
      </c>
      <c r="AQ364" s="323" t="str">
        <f>IF(AC364=$V$3,IF(VLOOKUP(C364,[1]List1!$A:$E,5,FALSE)=0,1,VLOOKUP(C364,[1]List1!$A:$E,5,FALSE)),"")</f>
        <v/>
      </c>
      <c r="AR364" s="304" t="str">
        <f t="shared" si="663"/>
        <v/>
      </c>
      <c r="AS364" s="423" t="str">
        <f t="shared" si="664"/>
        <v/>
      </c>
      <c r="AT364" s="304" t="str">
        <f t="shared" si="665"/>
        <v/>
      </c>
      <c r="AU364" s="342" t="e">
        <f t="shared" si="666"/>
        <v>#N/A</v>
      </c>
      <c r="AV364" s="304" t="e">
        <f t="shared" si="667"/>
        <v>#N/A</v>
      </c>
      <c r="AX364" s="304">
        <f>IF(AND('General price list'!$J364="F4",'General price list'!$AB364+0&gt;0),1,0)</f>
        <v>0</v>
      </c>
      <c r="AY364" s="304">
        <f t="shared" si="668"/>
        <v>0</v>
      </c>
      <c r="AZ364" s="304">
        <f t="shared" si="669"/>
        <v>0</v>
      </c>
    </row>
    <row r="365" spans="1:52" ht="15" customHeight="1">
      <c r="A365" s="712" t="str">
        <f>Kat.!C362</f>
        <v>×</v>
      </c>
      <c r="B365" s="745">
        <f>IF(AND('General price list'!$J365="F4",$AI$1=FALSE),0,IF(AC365="SKLADEM",1,IF(AC365=$V$3,1,0)))</f>
        <v>1</v>
      </c>
      <c r="C365" s="714" t="s">
        <v>997</v>
      </c>
      <c r="D365" s="715" t="s">
        <v>998</v>
      </c>
      <c r="E365" s="716" t="s">
        <v>136</v>
      </c>
      <c r="F365" s="712">
        <f>IFERROR(ROUND(IF($AL$3=2,VLOOKUP(C365,[2]List1!$A:$D,2,FALSE)*1.08,VLOOKUP(C365,[2]List1!$A:$D,2,FALSE)),0),"NEUVEDENO!")</f>
        <v>2199</v>
      </c>
      <c r="G365" s="717">
        <f t="shared" si="726"/>
        <v>2199</v>
      </c>
      <c r="H365" s="718">
        <f t="shared" si="727"/>
        <v>89.357915225792297</v>
      </c>
      <c r="I365" s="746">
        <v>1</v>
      </c>
      <c r="J365" s="716"/>
      <c r="K365" s="716" t="s">
        <v>12771</v>
      </c>
      <c r="L365" s="716" t="s">
        <v>14464</v>
      </c>
      <c r="M365" s="716"/>
      <c r="N365" s="716">
        <f>IFERROR(VLOOKUP(C365,[3]List1!$A:$D,4,FALSE),"N/A!")</f>
        <v>0</v>
      </c>
      <c r="O365" s="716">
        <f>IFERROR(VLOOKUP(C365,[3]List1!$A:$D,3,FALSE),"N/A!")</f>
        <v>0</v>
      </c>
      <c r="P365" s="716">
        <f>IFERROR(VLOOKUP(C365,[3]List1!$A:$D,2,FALSE),"N/A!")</f>
        <v>3100</v>
      </c>
      <c r="Q365" s="716" t="s">
        <v>24</v>
      </c>
      <c r="R365" s="716" t="s">
        <v>24</v>
      </c>
      <c r="S365" s="716"/>
      <c r="T365" s="716"/>
      <c r="U365" s="716"/>
      <c r="V365" s="716"/>
      <c r="W365" s="716" t="str">
        <f>IFERROR(VLOOKUP('General price list'!$C365,Popisy!A:P,MATCH($W$17,Popisy!$A$7:$P$7,0),FALSE),"---------------")</f>
        <v>rozměr 200x85cm(Roll up No sound fireworks)- samostatně stojící</v>
      </c>
      <c r="X365" s="716" t="str">
        <f t="shared" si="728"/>
        <v/>
      </c>
      <c r="Y365" s="716" t="str">
        <f t="shared" si="729"/>
        <v/>
      </c>
      <c r="Z365" s="716" t="str">
        <f>HYPERLINK("https://www.klasekpyrotechnics.cz/run1")</f>
        <v>https://www.klasekpyrotechnics.cz/run1</v>
      </c>
      <c r="AA365" s="716" t="str">
        <f>IFERROR(IF(VLOOKUP(C365,[4]List1!$A:$D,4,FALSE)=0,"",VLOOKUP(C365,[4]List1!$A:$D,4,FALSE)),"")</f>
        <v/>
      </c>
      <c r="AB365" s="720"/>
      <c r="AC365" s="747" t="str">
        <f>IFERROR(IF(VLOOKUP(C365,[1]List1!$A:$D,2,FALSE)="VYPRODÁNO",$V$9,IF(VLOOKUP(C365,[1]List1!$A:$D,2,FALSE)="DOCHÁZÍ",$V$3,VLOOKUP(C365,[1]List1!$A:$D,2,FALSE))),"OFFLINE!")</f>
        <v>SKLADEM</v>
      </c>
      <c r="AD365" s="748" t="str">
        <f ca="1">IF(AP365="NE",$V$10,IF(AC365=$V$3,IF(AQ365&lt;1,$V$8,$V$2&amp;" "&amp;AQ365&amp;" "&amp;$V$1),IF(AC365="SKLADEM",$V$6,IFERROR(IF(OR(AC365-TODAY()&gt;45,VLOOKUP(C365,[1]List1!$A:$E,4,FALSE)=0),AC365,DAY(AC365)&amp;"."&amp;MONTH(AC365)&amp;"."&amp;YEAR(AC365)&amp;" "&amp;$V$4&amp;VLOOKUP(C365,[1]List1!$A:$E,4,FALSE)&amp;" "&amp;$V$1),AC365))))</f>
        <v>SKLADEM</v>
      </c>
      <c r="AE365" s="716" t="str">
        <f t="shared" ca="1" si="730"/>
        <v>SKLADEM</v>
      </c>
      <c r="AF365" s="723">
        <f t="shared" si="731"/>
        <v>0</v>
      </c>
      <c r="AG365" s="723">
        <f t="shared" si="732"/>
        <v>0</v>
      </c>
      <c r="AH365" s="724">
        <f t="shared" si="733"/>
        <v>0</v>
      </c>
      <c r="AI365" s="716">
        <f t="shared" si="734"/>
        <v>0</v>
      </c>
      <c r="AJ365" s="716">
        <f t="shared" si="735"/>
        <v>0</v>
      </c>
      <c r="AK365" s="716" t="str">
        <f t="shared" si="736"/>
        <v/>
      </c>
      <c r="AL365" s="716" t="str">
        <f t="shared" si="737"/>
        <v/>
      </c>
      <c r="AM365" s="716" t="str">
        <f t="shared" si="738"/>
        <v/>
      </c>
      <c r="AN365" s="716">
        <f t="shared" si="739"/>
        <v>0</v>
      </c>
      <c r="AO365" s="380"/>
      <c r="AP365" s="322" t="str">
        <f t="shared" si="662"/>
        <v/>
      </c>
      <c r="AQ365" s="323" t="str">
        <f>IF(AC365=$V$3,IF(VLOOKUP(C365,[1]List1!$A:$E,5,FALSE)=0,1,VLOOKUP(C365,[1]List1!$A:$E,5,FALSE)),"")</f>
        <v/>
      </c>
      <c r="AR365" s="304" t="str">
        <f t="shared" si="663"/>
        <v/>
      </c>
      <c r="AS365" s="423" t="str">
        <f t="shared" si="664"/>
        <v/>
      </c>
      <c r="AT365" s="304" t="str">
        <f t="shared" si="665"/>
        <v/>
      </c>
      <c r="AU365" s="342" t="e">
        <f t="shared" si="666"/>
        <v>#N/A</v>
      </c>
      <c r="AV365" s="304" t="e">
        <f t="shared" si="667"/>
        <v>#N/A</v>
      </c>
      <c r="AX365" s="304">
        <f>IF(AND('General price list'!$J365="F4",'General price list'!$AB365+0&gt;0),1,0)</f>
        <v>0</v>
      </c>
      <c r="AY365" s="304">
        <f t="shared" si="668"/>
        <v>0</v>
      </c>
      <c r="AZ365" s="304">
        <f t="shared" si="669"/>
        <v>0</v>
      </c>
    </row>
    <row r="366" spans="1:52" ht="15" customHeight="1">
      <c r="A366" s="725" t="str">
        <f>Kat.!C363</f>
        <v/>
      </c>
      <c r="B366" s="749">
        <f>IF(AND('General price list'!$J366="F4",$AI$1=FALSE),0,IF(AC366="SKLADEM",1,IF(AC366=$V$3,1,0)))</f>
        <v>1</v>
      </c>
      <c r="C366" s="727" t="s">
        <v>13778</v>
      </c>
      <c r="D366" s="728" t="s">
        <v>13779</v>
      </c>
      <c r="E366" s="729" t="s">
        <v>136</v>
      </c>
      <c r="F366" s="725">
        <f>IFERROR(ROUND(IF($AL$3=2,VLOOKUP(C366,[2]List1!$A:$D,2,FALSE)*1.08,VLOOKUP(C366,[2]List1!$A:$D,2,FALSE)),0),"NEUVEDENO!")</f>
        <v>3500</v>
      </c>
      <c r="G366" s="730">
        <f t="shared" si="726"/>
        <v>3500</v>
      </c>
      <c r="H366" s="731">
        <f t="shared" si="727"/>
        <v>142.22496738984677</v>
      </c>
      <c r="I366" s="750">
        <v>1</v>
      </c>
      <c r="J366" s="729"/>
      <c r="K366" s="729" t="s">
        <v>12771</v>
      </c>
      <c r="L366" s="729" t="s">
        <v>14464</v>
      </c>
      <c r="M366" s="729"/>
      <c r="N366" s="729">
        <f>IFERROR(VLOOKUP(C366,[3]List1!$A:$D,4,FALSE),"N/A!")</f>
        <v>0</v>
      </c>
      <c r="O366" s="729">
        <f>IFERROR(VLOOKUP(C366,[3]List1!$A:$D,3,FALSE),"N/A!")</f>
        <v>0</v>
      </c>
      <c r="P366" s="729">
        <f>IFERROR(VLOOKUP(C366,[3]List1!$A:$D,2,FALSE),"N/A!")</f>
        <v>8200</v>
      </c>
      <c r="Q366" s="729" t="s">
        <v>24</v>
      </c>
      <c r="R366" s="729" t="s">
        <v>24</v>
      </c>
      <c r="S366" s="729"/>
      <c r="T366" s="729"/>
      <c r="U366" s="729"/>
      <c r="V366" s="729"/>
      <c r="W366" s="729" t="str">
        <f>IFERROR(VLOOKUP('General price list'!$C366,Popisy!A:P,MATCH($W$17,Popisy!$A$7:$P$7,0),FALSE),"---------------")</f>
        <v>rozměr 84x60cm- samostatně stojící venkovní reklama</v>
      </c>
      <c r="X366" s="729" t="str">
        <f t="shared" si="728"/>
        <v/>
      </c>
      <c r="Y366" s="729" t="str">
        <f t="shared" si="729"/>
        <v/>
      </c>
      <c r="Z366" s="729" t="str">
        <f>HYPERLINK("https://www.klasekpyrotechnics.cz/rt1du")</f>
        <v>https://www.klasekpyrotechnics.cz/rt1du</v>
      </c>
      <c r="AA366" s="729" t="str">
        <f>IFERROR(IF(VLOOKUP(C366,[4]List1!$A:$D,4,FALSE)=0,"",VLOOKUP(C366,[4]List1!$A:$D,4,FALSE)),"")</f>
        <v/>
      </c>
      <c r="AB366" s="720"/>
      <c r="AC366" s="751" t="str">
        <f>IFERROR(IF(VLOOKUP(C366,[1]List1!$A:$D,2,FALSE)="VYPRODÁNO",$V$9,IF(VLOOKUP(C366,[1]List1!$A:$D,2,FALSE)="DOCHÁZÍ",$V$3,VLOOKUP(C366,[1]List1!$A:$D,2,FALSE))),"OFFLINE!")</f>
        <v>SKLADEM</v>
      </c>
      <c r="AD366" s="752" t="str">
        <f ca="1">IF(AP366="NE",$V$10,IF(AC366=$V$3,IF(AQ366&lt;1,$V$8,$V$2&amp;" "&amp;AQ366&amp;" "&amp;$V$1),IF(AC366="SKLADEM",$V$6,IFERROR(IF(OR(AC366-TODAY()&gt;45,VLOOKUP(C366,[1]List1!$A:$E,4,FALSE)=0),AC366,DAY(AC366)&amp;"."&amp;MONTH(AC366)&amp;"."&amp;YEAR(AC366)&amp;" "&amp;$V$4&amp;VLOOKUP(C366,[1]List1!$A:$E,4,FALSE)&amp;" "&amp;$V$1),AC366))))</f>
        <v>SKLADEM</v>
      </c>
      <c r="AE366" s="729" t="str">
        <f t="shared" ca="1" si="730"/>
        <v>SKLADEM</v>
      </c>
      <c r="AF366" s="735">
        <f t="shared" si="731"/>
        <v>0</v>
      </c>
      <c r="AG366" s="735">
        <f t="shared" si="732"/>
        <v>0</v>
      </c>
      <c r="AH366" s="736">
        <f t="shared" si="733"/>
        <v>0</v>
      </c>
      <c r="AI366" s="729">
        <f t="shared" si="734"/>
        <v>0</v>
      </c>
      <c r="AJ366" s="729">
        <f t="shared" si="735"/>
        <v>0</v>
      </c>
      <c r="AK366" s="729" t="str">
        <f t="shared" si="736"/>
        <v/>
      </c>
      <c r="AL366" s="729" t="str">
        <f t="shared" si="737"/>
        <v/>
      </c>
      <c r="AM366" s="729" t="str">
        <f t="shared" si="738"/>
        <v/>
      </c>
      <c r="AN366" s="729">
        <f t="shared" si="739"/>
        <v>0</v>
      </c>
      <c r="AO366" s="380"/>
      <c r="AP366" s="322" t="str">
        <f t="shared" si="662"/>
        <v/>
      </c>
      <c r="AQ366" s="323" t="str">
        <f>IF(AC366=$V$3,IF(VLOOKUP(C366,[1]List1!$A:$E,5,FALSE)=0,1,VLOOKUP(C366,[1]List1!$A:$E,5,FALSE)),"")</f>
        <v/>
      </c>
      <c r="AR366" s="304" t="str">
        <f t="shared" si="663"/>
        <v/>
      </c>
      <c r="AS366" s="423" t="str">
        <f t="shared" si="664"/>
        <v/>
      </c>
      <c r="AT366" s="304" t="str">
        <f t="shared" si="665"/>
        <v/>
      </c>
      <c r="AU366" s="342" t="e">
        <f t="shared" si="666"/>
        <v>#N/A</v>
      </c>
      <c r="AV366" s="304" t="e">
        <f t="shared" si="667"/>
        <v>#N/A</v>
      </c>
      <c r="AX366" s="304">
        <f>IF(AND('General price list'!$J366="F4",'General price list'!$AB366+0&gt;0),1,0)</f>
        <v>0</v>
      </c>
      <c r="AY366" s="304">
        <f t="shared" si="668"/>
        <v>0</v>
      </c>
      <c r="AZ366" s="304">
        <f t="shared" si="669"/>
        <v>0</v>
      </c>
    </row>
    <row r="367" spans="1:52" ht="15" customHeight="1">
      <c r="A367" s="712" t="str">
        <f>Kat.!C364</f>
        <v/>
      </c>
      <c r="B367" s="745">
        <f>IF(AND('General price list'!$J367="F4",$AI$1=FALSE),0,IF(AC367="SKLADEM",1,IF(AC367=$V$3,1,0)))</f>
        <v>1</v>
      </c>
      <c r="C367" s="714" t="s">
        <v>1021</v>
      </c>
      <c r="D367" s="715" t="s">
        <v>1022</v>
      </c>
      <c r="E367" s="716" t="s">
        <v>136</v>
      </c>
      <c r="F367" s="712">
        <f>IFERROR(ROUND(IF($AL$3=2,VLOOKUP(C367,[2]List1!$A:$D,2,FALSE)*1.08,VLOOKUP(C367,[2]List1!$A:$D,2,FALSE)),0),"NEUVEDENO!")</f>
        <v>36</v>
      </c>
      <c r="G367" s="717">
        <f t="shared" si="726"/>
        <v>36</v>
      </c>
      <c r="H367" s="718">
        <f t="shared" si="727"/>
        <v>1.4628853788669953</v>
      </c>
      <c r="I367" s="746">
        <v>1</v>
      </c>
      <c r="J367" s="716"/>
      <c r="K367" s="716"/>
      <c r="L367" s="716" t="s">
        <v>14464</v>
      </c>
      <c r="M367" s="716"/>
      <c r="N367" s="716">
        <f>IFERROR(VLOOKUP(C367,[3]List1!$A:$D,4,FALSE),"N/A!")</f>
        <v>0</v>
      </c>
      <c r="O367" s="716">
        <f>IFERROR(VLOOKUP(C367,[3]List1!$A:$D,3,FALSE),"N/A!")</f>
        <v>0</v>
      </c>
      <c r="P367" s="716">
        <f>IFERROR(VLOOKUP(C367,[3]List1!$A:$D,2,FALSE),"N/A!")</f>
        <v>3</v>
      </c>
      <c r="Q367" s="716" t="s">
        <v>24</v>
      </c>
      <c r="R367" s="716" t="s">
        <v>24</v>
      </c>
      <c r="S367" s="716"/>
      <c r="T367" s="716"/>
      <c r="U367" s="716"/>
      <c r="V367" s="716"/>
      <c r="W367" s="716" t="str">
        <f>IFERROR(VLOOKUP('General price list'!$C367,Popisy!A:P,MATCH($W$17,Popisy!$A$7:$P$7,0),FALSE),"---------------")</f>
        <v>rozměr 84x60cm(na výšku)</v>
      </c>
      <c r="X367" s="716" t="str">
        <f t="shared" si="728"/>
        <v/>
      </c>
      <c r="Y367" s="716" t="str">
        <f t="shared" si="729"/>
        <v/>
      </c>
      <c r="Z367" s="716" t="str">
        <f>HYPERLINK("https://www.klasekpyrotechnics.cz/pl1du")</f>
        <v>https://www.klasekpyrotechnics.cz/pl1du</v>
      </c>
      <c r="AA367" s="716" t="str">
        <f>IFERROR(IF(VLOOKUP(C367,[4]List1!$A:$D,4,FALSE)=0,"",VLOOKUP(C367,[4]List1!$A:$D,4,FALSE)),"")</f>
        <v/>
      </c>
      <c r="AB367" s="720"/>
      <c r="AC367" s="747" t="str">
        <f>IFERROR(IF(VLOOKUP(C367,[1]List1!$A:$D,2,FALSE)="VYPRODÁNO",$V$9,IF(VLOOKUP(C367,[1]List1!$A:$D,2,FALSE)="DOCHÁZÍ",$V$3,VLOOKUP(C367,[1]List1!$A:$D,2,FALSE))),"OFFLINE!")</f>
        <v>SKLADEM</v>
      </c>
      <c r="AD367" s="748" t="str">
        <f ca="1">IF(AP367="NE",$V$10,IF(AC367=$V$3,IF(AQ367&lt;1,$V$8,$V$2&amp;" "&amp;AQ367&amp;" "&amp;$V$1),IF(AC367="SKLADEM",$V$6,IFERROR(IF(OR(AC367-TODAY()&gt;45,VLOOKUP(C367,[1]List1!$A:$E,4,FALSE)=0),AC367,DAY(AC367)&amp;"."&amp;MONTH(AC367)&amp;"."&amp;YEAR(AC367)&amp;" "&amp;$V$4&amp;VLOOKUP(C367,[1]List1!$A:$E,4,FALSE)&amp;" "&amp;$V$1),AC367))))</f>
        <v>SKLADEM</v>
      </c>
      <c r="AE367" s="716" t="str">
        <f t="shared" ca="1" si="730"/>
        <v>SKLADEM</v>
      </c>
      <c r="AF367" s="723">
        <f t="shared" si="731"/>
        <v>0</v>
      </c>
      <c r="AG367" s="723">
        <f t="shared" si="732"/>
        <v>0</v>
      </c>
      <c r="AH367" s="724">
        <f t="shared" si="733"/>
        <v>0</v>
      </c>
      <c r="AI367" s="716">
        <f t="shared" si="734"/>
        <v>0</v>
      </c>
      <c r="AJ367" s="716">
        <f t="shared" si="735"/>
        <v>0</v>
      </c>
      <c r="AK367" s="716" t="str">
        <f t="shared" si="736"/>
        <v/>
      </c>
      <c r="AL367" s="716" t="str">
        <f t="shared" si="737"/>
        <v/>
      </c>
      <c r="AM367" s="716" t="str">
        <f t="shared" si="738"/>
        <v/>
      </c>
      <c r="AN367" s="716">
        <f t="shared" si="739"/>
        <v>0</v>
      </c>
      <c r="AO367" s="380"/>
      <c r="AP367" s="322" t="str">
        <f t="shared" si="662"/>
        <v/>
      </c>
      <c r="AQ367" s="323" t="str">
        <f>IF(AC367=$V$3,IF(VLOOKUP(C367,[1]List1!$A:$E,5,FALSE)=0,1,VLOOKUP(C367,[1]List1!$A:$E,5,FALSE)),"")</f>
        <v/>
      </c>
      <c r="AR367" s="304" t="str">
        <f t="shared" si="663"/>
        <v/>
      </c>
      <c r="AS367" s="423" t="str">
        <f t="shared" si="664"/>
        <v/>
      </c>
      <c r="AT367" s="304" t="str">
        <f t="shared" si="665"/>
        <v/>
      </c>
      <c r="AU367" s="342" t="e">
        <f t="shared" si="666"/>
        <v>#N/A</v>
      </c>
      <c r="AV367" s="304" t="e">
        <f t="shared" si="667"/>
        <v>#N/A</v>
      </c>
      <c r="AX367" s="304">
        <f>IF(AND('General price list'!$J367="F4",'General price list'!$AB367+0&gt;0),1,0)</f>
        <v>0</v>
      </c>
      <c r="AY367" s="304">
        <f t="shared" si="668"/>
        <v>0</v>
      </c>
      <c r="AZ367" s="304">
        <f t="shared" si="669"/>
        <v>0</v>
      </c>
    </row>
    <row r="368" spans="1:52" ht="15" customHeight="1">
      <c r="A368" s="725" t="str">
        <f>Kat.!C365</f>
        <v/>
      </c>
      <c r="B368" s="749">
        <f>IF(AND('General price list'!$J368="F4",$AI$1=FALSE),0,IF(AC368="SKLADEM",1,IF(AC368=$V$3,1,0)))</f>
        <v>1</v>
      </c>
      <c r="C368" s="727" t="s">
        <v>1024</v>
      </c>
      <c r="D368" s="728" t="s">
        <v>1025</v>
      </c>
      <c r="E368" s="729" t="s">
        <v>1026</v>
      </c>
      <c r="F368" s="725">
        <f>IFERROR(ROUND(IF($AL$3=2,VLOOKUP(C368,[2]List1!$A:$D,2,FALSE)*1.08,VLOOKUP(C368,[2]List1!$A:$D,2,FALSE)),0),"NEUVEDENO!")</f>
        <v>1880</v>
      </c>
      <c r="G368" s="730">
        <f t="shared" si="726"/>
        <v>1880</v>
      </c>
      <c r="H368" s="731">
        <f t="shared" si="727"/>
        <v>76.395125340831981</v>
      </c>
      <c r="I368" s="750">
        <v>1</v>
      </c>
      <c r="J368" s="729"/>
      <c r="K368" s="729"/>
      <c r="L368" s="729" t="s">
        <v>14464</v>
      </c>
      <c r="M368" s="729"/>
      <c r="N368" s="729">
        <f>IFERROR(VLOOKUP(C368,[3]List1!$A:$D,4,FALSE),"N/A!")</f>
        <v>1.6379999999999999E-3</v>
      </c>
      <c r="O368" s="729">
        <f>IFERROR(VLOOKUP(C368,[3]List1!$A:$D,3,FALSE),"N/A!")</f>
        <v>0</v>
      </c>
      <c r="P368" s="729">
        <f>IFERROR(VLOOKUP(C368,[3]List1!$A:$D,2,FALSE),"N/A!")</f>
        <v>900</v>
      </c>
      <c r="Q368" s="729" t="s">
        <v>24</v>
      </c>
      <c r="R368" s="729" t="s">
        <v>24</v>
      </c>
      <c r="S368" s="729"/>
      <c r="T368" s="729"/>
      <c r="U368" s="729"/>
      <c r="V368" s="729"/>
      <c r="W368" s="729" t="str">
        <f>IFERROR(VLOOKUP('General price list'!$C368,Popisy!A:P,MATCH($W$17,Popisy!$A$7:$P$7,0),FALSE),"---------------")</f>
        <v>zapalovač s turboplamenem Dumbum</v>
      </c>
      <c r="X368" s="729" t="str">
        <f t="shared" si="728"/>
        <v/>
      </c>
      <c r="Y368" s="729" t="str">
        <f t="shared" si="729"/>
        <v/>
      </c>
      <c r="Z368" s="729" t="str">
        <f>HYPERLINK("https://www.klasekpyrotechnics.cz/zd1")</f>
        <v>https://www.klasekpyrotechnics.cz/zd1</v>
      </c>
      <c r="AA368" s="729" t="str">
        <f>IFERROR(IF(VLOOKUP(C368,[4]List1!$A:$D,4,FALSE)=0,"",VLOOKUP(C368,[4]List1!$A:$D,4,FALSE)),"")</f>
        <v/>
      </c>
      <c r="AB368" s="720"/>
      <c r="AC368" s="751" t="str">
        <f>IFERROR(IF(VLOOKUP(C368,[1]List1!$A:$D,2,FALSE)="VYPRODÁNO",$V$9,IF(VLOOKUP(C368,[1]List1!$A:$D,2,FALSE)="DOCHÁZÍ",$V$3,VLOOKUP(C368,[1]List1!$A:$D,2,FALSE))),"OFFLINE!")</f>
        <v>SKLADEM</v>
      </c>
      <c r="AD368" s="752" t="str">
        <f ca="1">IF(AP368="NE",$V$10,IF(AC368=$V$3,IF(AQ368&lt;1,$V$8,$V$2&amp;" "&amp;AQ368&amp;" "&amp;$V$1),IF(AC368="SKLADEM",$V$6,IFERROR(IF(OR(AC368-TODAY()&gt;45,VLOOKUP(C368,[1]List1!$A:$E,4,FALSE)=0),AC368,DAY(AC368)&amp;"."&amp;MONTH(AC368)&amp;"."&amp;YEAR(AC368)&amp;" "&amp;$V$4&amp;VLOOKUP(C368,[1]List1!$A:$E,4,FALSE)&amp;" "&amp;$V$1),AC368))))</f>
        <v>SKLADEM</v>
      </c>
      <c r="AE368" s="729" t="str">
        <f t="shared" ca="1" si="730"/>
        <v>SKLADEM</v>
      </c>
      <c r="AF368" s="735">
        <f t="shared" si="731"/>
        <v>0</v>
      </c>
      <c r="AG368" s="735">
        <f t="shared" si="732"/>
        <v>0</v>
      </c>
      <c r="AH368" s="736">
        <f t="shared" si="733"/>
        <v>0</v>
      </c>
      <c r="AI368" s="729">
        <f t="shared" si="734"/>
        <v>0</v>
      </c>
      <c r="AJ368" s="729">
        <f t="shared" si="735"/>
        <v>0</v>
      </c>
      <c r="AK368" s="729" t="str">
        <f t="shared" si="736"/>
        <v/>
      </c>
      <c r="AL368" s="729" t="str">
        <f t="shared" si="737"/>
        <v/>
      </c>
      <c r="AM368" s="729" t="str">
        <f t="shared" si="738"/>
        <v/>
      </c>
      <c r="AN368" s="729">
        <f t="shared" si="739"/>
        <v>0</v>
      </c>
      <c r="AO368" s="380"/>
      <c r="AP368" s="322" t="str">
        <f t="shared" si="662"/>
        <v/>
      </c>
      <c r="AQ368" s="323" t="str">
        <f>IF(AC368=$V$3,IF(VLOOKUP(C368,[1]List1!$A:$E,5,FALSE)=0,1,VLOOKUP(C368,[1]List1!$A:$E,5,FALSE)),"")</f>
        <v/>
      </c>
      <c r="AR368" s="304" t="str">
        <f t="shared" si="663"/>
        <v/>
      </c>
      <c r="AS368" s="423" t="str">
        <f t="shared" si="664"/>
        <v/>
      </c>
      <c r="AT368" s="304" t="str">
        <f t="shared" si="665"/>
        <v/>
      </c>
      <c r="AU368" s="342" t="e">
        <f t="shared" si="666"/>
        <v>#N/A</v>
      </c>
      <c r="AV368" s="304" t="e">
        <f t="shared" si="667"/>
        <v>#N/A</v>
      </c>
      <c r="AX368" s="304">
        <f>IF(AND('General price list'!$J368="F4",'General price list'!$AB368+0&gt;0),1,0)</f>
        <v>0</v>
      </c>
      <c r="AY368" s="304">
        <f t="shared" si="668"/>
        <v>0</v>
      </c>
      <c r="AZ368" s="304">
        <f t="shared" si="669"/>
        <v>0</v>
      </c>
    </row>
    <row r="369" spans="1:53" ht="15" customHeight="1">
      <c r="A369" s="712" t="str">
        <f>Kat.!C366</f>
        <v/>
      </c>
      <c r="B369" s="745">
        <f>IF(AND('General price list'!$J369="F4",$AI$1=FALSE),0,IF(AC369="SKLADEM",1,IF(AC369=$V$3,1,0)))</f>
        <v>1</v>
      </c>
      <c r="C369" s="714" t="s">
        <v>1030</v>
      </c>
      <c r="D369" s="715" t="s">
        <v>1031</v>
      </c>
      <c r="E369" s="716" t="s">
        <v>136</v>
      </c>
      <c r="F369" s="712">
        <f>IFERROR(ROUND(IF($AL$3=2,VLOOKUP(C369,[2]List1!$A:$D,2,FALSE)*1.08,VLOOKUP(C369,[2]List1!$A:$D,2,FALSE)),0),"NEUVEDENO!")</f>
        <v>175</v>
      </c>
      <c r="G369" s="717">
        <f t="shared" si="726"/>
        <v>175</v>
      </c>
      <c r="H369" s="718">
        <f t="shared" si="727"/>
        <v>7.1112483694923387</v>
      </c>
      <c r="I369" s="746">
        <v>1</v>
      </c>
      <c r="J369" s="716"/>
      <c r="K369" s="716"/>
      <c r="L369" s="716" t="s">
        <v>14464</v>
      </c>
      <c r="M369" s="716"/>
      <c r="N369" s="716">
        <f>IFERROR(VLOOKUP(C369,[3]List1!$A:$D,4,FALSE),"N/A!")</f>
        <v>0</v>
      </c>
      <c r="O369" s="716">
        <f>IFERROR(VLOOKUP(C369,[3]List1!$A:$D,3,FALSE),"N/A!")</f>
        <v>0</v>
      </c>
      <c r="P369" s="716">
        <f>IFERROR(VLOOKUP(C369,[3]List1!$A:$D,2,FALSE),"N/A!")</f>
        <v>20</v>
      </c>
      <c r="Q369" s="716" t="s">
        <v>24</v>
      </c>
      <c r="R369" s="716" t="s">
        <v>24</v>
      </c>
      <c r="S369" s="716"/>
      <c r="T369" s="716"/>
      <c r="U369" s="716"/>
      <c r="V369" s="716"/>
      <c r="W369" s="716" t="str">
        <f>IFERROR(VLOOKUP('General price list'!$C369,Popisy!A:P,MATCH($W$17,Popisy!$A$7:$P$7,0),FALSE),"---------------")</f>
        <v>USB Zapalovač Dumbum</v>
      </c>
      <c r="X369" s="716" t="str">
        <f t="shared" si="728"/>
        <v/>
      </c>
      <c r="Y369" s="716" t="str">
        <f t="shared" si="729"/>
        <v/>
      </c>
      <c r="Z369" s="716" t="str">
        <f>HYPERLINK("https://www.klasekpyrotechnics.cz/uzd2")</f>
        <v>https://www.klasekpyrotechnics.cz/uzd2</v>
      </c>
      <c r="AA369" s="716" t="str">
        <f>IFERROR(IF(VLOOKUP(C369,[4]List1!$A:$D,4,FALSE)=0,"",VLOOKUP(C369,[4]List1!$A:$D,4,FALSE)),"")</f>
        <v/>
      </c>
      <c r="AB369" s="720"/>
      <c r="AC369" s="747" t="str">
        <f>IFERROR(IF(VLOOKUP(C369,[1]List1!$A:$D,2,FALSE)="VYPRODÁNO",$V$9,IF(VLOOKUP(C369,[1]List1!$A:$D,2,FALSE)="DOCHÁZÍ",$V$3,VLOOKUP(C369,[1]List1!$A:$D,2,FALSE))),"OFFLINE!")</f>
        <v>SKLADEM</v>
      </c>
      <c r="AD369" s="748" t="str">
        <f ca="1">IF(AP369="NE",$V$10,IF(AC369=$V$3,IF(AQ369&lt;1,$V$8,$V$2&amp;" "&amp;AQ369&amp;" "&amp;$V$1),IF(AC369="SKLADEM",$V$6,IFERROR(IF(OR(AC369-TODAY()&gt;45,VLOOKUP(C369,[1]List1!$A:$E,4,FALSE)=0),AC369,DAY(AC369)&amp;"."&amp;MONTH(AC369)&amp;"."&amp;YEAR(AC369)&amp;" "&amp;$V$4&amp;VLOOKUP(C369,[1]List1!$A:$E,4,FALSE)&amp;" "&amp;$V$1),AC369))))</f>
        <v>SKLADEM</v>
      </c>
      <c r="AE369" s="716" t="str">
        <f t="shared" ca="1" si="730"/>
        <v>SKLADEM</v>
      </c>
      <c r="AF369" s="723">
        <f t="shared" si="731"/>
        <v>0</v>
      </c>
      <c r="AG369" s="723">
        <f t="shared" si="732"/>
        <v>0</v>
      </c>
      <c r="AH369" s="724">
        <f t="shared" si="733"/>
        <v>0</v>
      </c>
      <c r="AI369" s="716">
        <f t="shared" si="734"/>
        <v>0</v>
      </c>
      <c r="AJ369" s="716">
        <f t="shared" si="735"/>
        <v>0</v>
      </c>
      <c r="AK369" s="716" t="str">
        <f t="shared" si="736"/>
        <v/>
      </c>
      <c r="AL369" s="716" t="str">
        <f t="shared" si="737"/>
        <v/>
      </c>
      <c r="AM369" s="716" t="str">
        <f t="shared" si="738"/>
        <v/>
      </c>
      <c r="AN369" s="716">
        <f t="shared" si="739"/>
        <v>0</v>
      </c>
      <c r="AO369" s="380"/>
      <c r="AP369" s="322" t="str">
        <f t="shared" si="662"/>
        <v/>
      </c>
      <c r="AQ369" s="323" t="str">
        <f>IF(AC369=$V$3,IF(VLOOKUP(C369,[1]List1!$A:$E,5,FALSE)=0,1,VLOOKUP(C369,[1]List1!$A:$E,5,FALSE)),"")</f>
        <v/>
      </c>
      <c r="AR369" s="304" t="str">
        <f t="shared" si="663"/>
        <v/>
      </c>
      <c r="AS369" s="423" t="str">
        <f t="shared" si="664"/>
        <v/>
      </c>
      <c r="AT369" s="304" t="str">
        <f t="shared" si="665"/>
        <v/>
      </c>
      <c r="AU369" s="342" t="e">
        <f t="shared" si="666"/>
        <v>#N/A</v>
      </c>
      <c r="AV369" s="304" t="e">
        <f t="shared" si="667"/>
        <v>#N/A</v>
      </c>
      <c r="AX369" s="304">
        <f>IF(AND('General price list'!$J369="F4",'General price list'!$AB369+0&gt;0),1,0)</f>
        <v>0</v>
      </c>
      <c r="AY369" s="304">
        <f t="shared" si="668"/>
        <v>0</v>
      </c>
      <c r="AZ369" s="304">
        <f t="shared" si="669"/>
        <v>0</v>
      </c>
    </row>
    <row r="370" spans="1:53" ht="15" customHeight="1">
      <c r="A370" s="725" t="str">
        <f>Kat.!C367</f>
        <v/>
      </c>
      <c r="B370" s="749">
        <f>IF(AND('General price list'!$J370="F4",$AI$1=FALSE),0,IF(AC370="SKLADEM",1,IF(AC370=$V$3,1,0)))</f>
        <v>1</v>
      </c>
      <c r="C370" s="727" t="s">
        <v>1034</v>
      </c>
      <c r="D370" s="728" t="s">
        <v>1035</v>
      </c>
      <c r="E370" s="729" t="s">
        <v>136</v>
      </c>
      <c r="F370" s="725">
        <f>IFERROR(ROUND(IF($AL$3=2,VLOOKUP(C370,[2]List1!$A:$D,2,FALSE)*1.08,VLOOKUP(C370,[2]List1!$A:$D,2,FALSE)),0),"NEUVEDENO!")</f>
        <v>14</v>
      </c>
      <c r="G370" s="730">
        <f t="shared" si="726"/>
        <v>14</v>
      </c>
      <c r="H370" s="731">
        <f t="shared" si="727"/>
        <v>0.56889986955938709</v>
      </c>
      <c r="I370" s="750">
        <v>1</v>
      </c>
      <c r="J370" s="729"/>
      <c r="K370" s="729"/>
      <c r="L370" s="729" t="s">
        <v>14464</v>
      </c>
      <c r="M370" s="729"/>
      <c r="N370" s="729">
        <f>IFERROR(VLOOKUP(C370,[3]List1!$A:$D,4,FALSE),"N/A!")</f>
        <v>0</v>
      </c>
      <c r="O370" s="729">
        <f>IFERROR(VLOOKUP(C370,[3]List1!$A:$D,3,FALSE),"N/A!")</f>
        <v>0</v>
      </c>
      <c r="P370" s="729">
        <f>IFERROR(VLOOKUP(C370,[3]List1!$A:$D,2,FALSE),"N/A!")</f>
        <v>3</v>
      </c>
      <c r="Q370" s="729"/>
      <c r="R370" s="729" t="s">
        <v>24</v>
      </c>
      <c r="S370" s="729"/>
      <c r="T370" s="729"/>
      <c r="U370" s="729"/>
      <c r="V370" s="729"/>
      <c r="W370" s="729" t="str">
        <f>IFERROR(VLOOKUP('General price list'!$C370,Popisy!A:P,MATCH($W$17,Popisy!$A$7:$P$7,0),FALSE),"---------------")</f>
        <v>samolepka Dumbum rozměr 17x15cm</v>
      </c>
      <c r="X370" s="729" t="str">
        <f t="shared" si="728"/>
        <v/>
      </c>
      <c r="Y370" s="729" t="str">
        <f t="shared" si="729"/>
        <v/>
      </c>
      <c r="Z370" s="729" t="str">
        <f>HYPERLINK("https://www.klasekpyrotechnics.cz/nd1")</f>
        <v>https://www.klasekpyrotechnics.cz/nd1</v>
      </c>
      <c r="AA370" s="729" t="str">
        <f>IFERROR(IF(VLOOKUP(C370,[4]List1!$A:$D,4,FALSE)=0,"",VLOOKUP(C370,[4]List1!$A:$D,4,FALSE)),"")</f>
        <v/>
      </c>
      <c r="AB370" s="720"/>
      <c r="AC370" s="751" t="str">
        <f>IFERROR(IF(VLOOKUP(C370,[1]List1!$A:$D,2,FALSE)="VYPRODÁNO",$V$9,IF(VLOOKUP(C370,[1]List1!$A:$D,2,FALSE)="DOCHÁZÍ",$V$3,VLOOKUP(C370,[1]List1!$A:$D,2,FALSE))),"OFFLINE!")</f>
        <v>SKLADEM</v>
      </c>
      <c r="AD370" s="752" t="str">
        <f ca="1">IF(AP370="NE",$V$10,IF(AC370=$V$3,IF(AQ370&lt;1,$V$8,$V$2&amp;" "&amp;AQ370&amp;" "&amp;$V$1),IF(AC370="SKLADEM",$V$6,IFERROR(IF(OR(AC370-TODAY()&gt;45,VLOOKUP(C370,[1]List1!$A:$E,4,FALSE)=0),AC370,DAY(AC370)&amp;"."&amp;MONTH(AC370)&amp;"."&amp;YEAR(AC370)&amp;" "&amp;$V$4&amp;VLOOKUP(C370,[1]List1!$A:$E,4,FALSE)&amp;" "&amp;$V$1),AC370))))</f>
        <v>SKLADEM</v>
      </c>
      <c r="AE370" s="729" t="str">
        <f t="shared" ca="1" si="730"/>
        <v>SKLADEM</v>
      </c>
      <c r="AF370" s="735">
        <f t="shared" si="731"/>
        <v>0</v>
      </c>
      <c r="AG370" s="735">
        <f t="shared" si="732"/>
        <v>0</v>
      </c>
      <c r="AH370" s="736">
        <f t="shared" si="733"/>
        <v>0</v>
      </c>
      <c r="AI370" s="729">
        <f t="shared" si="734"/>
        <v>0</v>
      </c>
      <c r="AJ370" s="729">
        <f t="shared" si="735"/>
        <v>0</v>
      </c>
      <c r="AK370" s="729" t="str">
        <f t="shared" si="736"/>
        <v/>
      </c>
      <c r="AL370" s="729" t="str">
        <f t="shared" si="737"/>
        <v/>
      </c>
      <c r="AM370" s="729" t="str">
        <f t="shared" si="738"/>
        <v/>
      </c>
      <c r="AN370" s="729">
        <f t="shared" si="739"/>
        <v>0</v>
      </c>
      <c r="AO370" s="380"/>
      <c r="AP370" s="322" t="str">
        <f t="shared" si="662"/>
        <v/>
      </c>
      <c r="AQ370" s="323" t="str">
        <f>IF(AC370=$V$3,IF(VLOOKUP(C370,[1]List1!$A:$E,5,FALSE)=0,1,VLOOKUP(C370,[1]List1!$A:$E,5,FALSE)),"")</f>
        <v/>
      </c>
      <c r="AR370" s="304" t="str">
        <f t="shared" si="663"/>
        <v/>
      </c>
      <c r="AS370" s="423" t="str">
        <f t="shared" si="664"/>
        <v/>
      </c>
      <c r="AT370" s="304" t="str">
        <f t="shared" si="665"/>
        <v/>
      </c>
      <c r="AU370" s="342" t="e">
        <f t="shared" si="666"/>
        <v>#N/A</v>
      </c>
      <c r="AV370" s="304" t="e">
        <f t="shared" si="667"/>
        <v>#N/A</v>
      </c>
      <c r="AX370" s="304">
        <f>IF(AND('General price list'!$J370="F4",'General price list'!$AB370+0&gt;0),1,0)</f>
        <v>0</v>
      </c>
      <c r="AY370" s="304">
        <f t="shared" si="668"/>
        <v>0</v>
      </c>
      <c r="AZ370" s="304">
        <f t="shared" si="669"/>
        <v>0</v>
      </c>
    </row>
    <row r="371" spans="1:53" ht="15" customHeight="1">
      <c r="A371" s="712" t="str">
        <f>Kat.!C368</f>
        <v>×</v>
      </c>
      <c r="B371" s="745">
        <f>IF(AND('General price list'!$J371="F4",$AI$1=FALSE),0,IF(AC371="SKLADEM",1,IF(AC371=$V$3,1,0)))</f>
        <v>0</v>
      </c>
      <c r="C371" s="714" t="s">
        <v>240</v>
      </c>
      <c r="D371" s="715" t="s">
        <v>14065</v>
      </c>
      <c r="E371" s="716" t="s">
        <v>136</v>
      </c>
      <c r="F371" s="712">
        <f>IFERROR(ROUND(IF($AL$3=2,VLOOKUP(C371,[2]List1!$A:$D,2,FALSE)*1.08,VLOOKUP(C371,[2]List1!$A:$D,2,FALSE)),0),"NEUVEDENO!")</f>
        <v>15</v>
      </c>
      <c r="G371" s="717">
        <f t="shared" si="726"/>
        <v>15</v>
      </c>
      <c r="H371" s="718">
        <f t="shared" si="727"/>
        <v>0.60953557452791474</v>
      </c>
      <c r="I371" s="746">
        <v>1</v>
      </c>
      <c r="J371" s="716"/>
      <c r="K371" s="716"/>
      <c r="L371" s="716" t="s">
        <v>14464</v>
      </c>
      <c r="M371" s="716"/>
      <c r="N371" s="716">
        <f>IFERROR(VLOOKUP(C371,[3]List1!$A:$D,4,FALSE),"N/A!")</f>
        <v>0</v>
      </c>
      <c r="O371" s="716">
        <f>IFERROR(VLOOKUP(C371,[3]List1!$A:$D,3,FALSE),"N/A!")</f>
        <v>0</v>
      </c>
      <c r="P371" s="716">
        <f>IFERROR(VLOOKUP(C371,[3]List1!$A:$D,2,FALSE),"N/A!")</f>
        <v>5</v>
      </c>
      <c r="Q371" s="716" t="s">
        <v>24</v>
      </c>
      <c r="R371" s="716" t="s">
        <v>24</v>
      </c>
      <c r="S371" s="716"/>
      <c r="T371" s="716"/>
      <c r="U371" s="716"/>
      <c r="V371" s="716"/>
      <c r="W371" s="716" t="str">
        <f>IFERROR(VLOOKUP('General price list'!$C371,Popisy!A:P,MATCH($W$17,Popisy!$A$7:$P$7,0),FALSE),"---------------")</f>
        <v>nákupní taška Klásek/Dumbum, rozměr 50x40cm</v>
      </c>
      <c r="X371" s="716" t="str">
        <f t="shared" si="728"/>
        <v/>
      </c>
      <c r="Y371" s="716" t="str">
        <f t="shared" si="729"/>
        <v/>
      </c>
      <c r="Z371" s="716" t="str">
        <f>HYPERLINK("https://www.klasekpyrotechnics.cz/t1")</f>
        <v>https://www.klasekpyrotechnics.cz/t1</v>
      </c>
      <c r="AA371" s="716" t="str">
        <f>IFERROR(IF(VLOOKUP(C371,[4]List1!$A:$D,4,FALSE)=0,"",VLOOKUP(C371,[4]List1!$A:$D,4,FALSE)),"")</f>
        <v/>
      </c>
      <c r="AB371" s="720"/>
      <c r="AC371" s="747" t="str">
        <f>IFERROR(IF(VLOOKUP(C371,[1]List1!$A:$D,2,FALSE)="VYPRODÁNO",$V$9,IF(VLOOKUP(C371,[1]List1!$A:$D,2,FALSE)="DOCHÁZÍ",$V$3,VLOOKUP(C371,[1]List1!$A:$D,2,FALSE))),"OFFLINE!")</f>
        <v>VYPRODÁNO</v>
      </c>
      <c r="AD371" s="748" t="str">
        <f ca="1">IF(AP371="NE",$V$10,IF(AC371=$V$3,IF(AQ371&lt;1,$V$8,$V$2&amp;" "&amp;AQ371&amp;" "&amp;$V$1),IF(AC371="SKLADEM",$V$6,IFERROR(IF(OR(AC371-TODAY()&gt;45,VLOOKUP(C371,[1]List1!$A:$E,4,FALSE)=0),AC371,DAY(AC371)&amp;"."&amp;MONTH(AC371)&amp;"."&amp;YEAR(AC371)&amp;" "&amp;$V$4&amp;VLOOKUP(C371,[1]List1!$A:$E,4,FALSE)&amp;" "&amp;$V$1),AC371))))</f>
        <v>VYPRODÁNO</v>
      </c>
      <c r="AE371" s="716" t="str">
        <f t="shared" ca="1" si="730"/>
        <v>VYPRODÁNO</v>
      </c>
      <c r="AF371" s="723">
        <f t="shared" si="731"/>
        <v>0</v>
      </c>
      <c r="AG371" s="723">
        <f t="shared" si="732"/>
        <v>0</v>
      </c>
      <c r="AH371" s="724">
        <f t="shared" si="733"/>
        <v>0</v>
      </c>
      <c r="AI371" s="716">
        <f t="shared" si="734"/>
        <v>0</v>
      </c>
      <c r="AJ371" s="716">
        <f t="shared" si="735"/>
        <v>0</v>
      </c>
      <c r="AK371" s="716" t="str">
        <f t="shared" si="736"/>
        <v/>
      </c>
      <c r="AL371" s="716" t="str">
        <f t="shared" si="737"/>
        <v/>
      </c>
      <c r="AM371" s="716" t="str">
        <f t="shared" si="738"/>
        <v/>
      </c>
      <c r="AN371" s="716">
        <f t="shared" si="739"/>
        <v>0</v>
      </c>
      <c r="AO371" s="380"/>
      <c r="AP371" s="322" t="str">
        <f t="shared" si="662"/>
        <v/>
      </c>
      <c r="AQ371" s="323" t="str">
        <f>IF(AC371=$V$3,IF(VLOOKUP(C371,[1]List1!$A:$E,5,FALSE)=0,1,VLOOKUP(C371,[1]List1!$A:$E,5,FALSE)),"")</f>
        <v/>
      </c>
      <c r="AR371" s="304" t="str">
        <f t="shared" si="663"/>
        <v/>
      </c>
      <c r="AS371" s="423" t="str">
        <f t="shared" si="664"/>
        <v/>
      </c>
      <c r="AT371" s="304" t="str">
        <f t="shared" si="665"/>
        <v/>
      </c>
      <c r="AU371" s="342" t="e">
        <f t="shared" si="666"/>
        <v>#N/A</v>
      </c>
      <c r="AV371" s="304" t="e">
        <f t="shared" si="667"/>
        <v>#N/A</v>
      </c>
      <c r="AX371" s="304">
        <f>IF(AND('General price list'!$J371="F4",'General price list'!$AB371+0&gt;0),1,0)</f>
        <v>0</v>
      </c>
      <c r="AY371" s="304">
        <f t="shared" si="668"/>
        <v>0</v>
      </c>
      <c r="AZ371" s="304">
        <f t="shared" si="669"/>
        <v>0</v>
      </c>
    </row>
    <row r="372" spans="1:53" ht="15" customHeight="1">
      <c r="A372" s="725" t="str">
        <f>Kat.!C369</f>
        <v/>
      </c>
      <c r="B372" s="749">
        <f>IF(AND('General price list'!$J372="F4",$AI$1=FALSE),0,IF(AC372="SKLADEM",1,IF(AC372=$V$3,1,0)))</f>
        <v>1</v>
      </c>
      <c r="C372" s="727" t="s">
        <v>777</v>
      </c>
      <c r="D372" s="728" t="s">
        <v>1042</v>
      </c>
      <c r="E372" s="729" t="s">
        <v>136</v>
      </c>
      <c r="F372" s="725">
        <f>IFERROR(ROUND(IF($AL$3=2,VLOOKUP(C372,[2]List1!$A:$D,2,FALSE)*1.08,VLOOKUP(C372,[2]List1!$A:$D,2,FALSE)),0),"NEUVEDENO!")</f>
        <v>20</v>
      </c>
      <c r="G372" s="730">
        <f t="shared" si="726"/>
        <v>20</v>
      </c>
      <c r="H372" s="731">
        <f t="shared" si="727"/>
        <v>0.81271409937055294</v>
      </c>
      <c r="I372" s="750">
        <v>1</v>
      </c>
      <c r="J372" s="729"/>
      <c r="K372" s="729"/>
      <c r="L372" s="729" t="s">
        <v>14464</v>
      </c>
      <c r="M372" s="729"/>
      <c r="N372" s="729">
        <f>IFERROR(VLOOKUP(C372,[3]List1!$A:$D,4,FALSE),"N/A!")</f>
        <v>0</v>
      </c>
      <c r="O372" s="729">
        <f>IFERROR(VLOOKUP(C372,[3]List1!$A:$D,3,FALSE),"N/A!")</f>
        <v>0</v>
      </c>
      <c r="P372" s="729">
        <f>IFERROR(VLOOKUP(C372,[3]List1!$A:$D,2,FALSE),"N/A!")</f>
        <v>5</v>
      </c>
      <c r="Q372" s="729" t="s">
        <v>24</v>
      </c>
      <c r="R372" s="729" t="s">
        <v>24</v>
      </c>
      <c r="S372" s="729"/>
      <c r="T372" s="729"/>
      <c r="U372" s="729"/>
      <c r="V372" s="729"/>
      <c r="W372" s="729" t="str">
        <f>IFERROR(VLOOKUP('General price list'!$C372,Popisy!A:P,MATCH($W$17,Popisy!$A$7:$P$7,0),FALSE),"---------------")</f>
        <v>nákupní taška Dumbum, rozměr 45x34cm</v>
      </c>
      <c r="X372" s="729" t="str">
        <f t="shared" si="728"/>
        <v/>
      </c>
      <c r="Y372" s="729" t="str">
        <f t="shared" si="729"/>
        <v/>
      </c>
      <c r="Z372" s="729" t="str">
        <f>HYPERLINK("https://www.klasekpyrotechnics.cz/t2")</f>
        <v>https://www.klasekpyrotechnics.cz/t2</v>
      </c>
      <c r="AA372" s="729" t="str">
        <f>IFERROR(IF(VLOOKUP(C372,[4]List1!$A:$D,4,FALSE)=0,"",VLOOKUP(C372,[4]List1!$A:$D,4,FALSE)),"")</f>
        <v/>
      </c>
      <c r="AB372" s="720"/>
      <c r="AC372" s="751" t="str">
        <f>IFERROR(IF(VLOOKUP(C372,[1]List1!$A:$D,2,FALSE)="VYPRODÁNO",$V$9,IF(VLOOKUP(C372,[1]List1!$A:$D,2,FALSE)="DOCHÁZÍ",$V$3,VLOOKUP(C372,[1]List1!$A:$D,2,FALSE))),"OFFLINE!")</f>
        <v>SKLADEM</v>
      </c>
      <c r="AD372" s="752" t="str">
        <f ca="1">IF(AP372="NE",$V$10,IF(AC372=$V$3,IF(AQ372&lt;1,$V$8,$V$2&amp;" "&amp;AQ372&amp;" "&amp;$V$1),IF(AC372="SKLADEM",$V$6,IFERROR(IF(OR(AC372-TODAY()&gt;45,VLOOKUP(C372,[1]List1!$A:$E,4,FALSE)=0),AC372,DAY(AC372)&amp;"."&amp;MONTH(AC372)&amp;"."&amp;YEAR(AC372)&amp;" "&amp;$V$4&amp;VLOOKUP(C372,[1]List1!$A:$E,4,FALSE)&amp;" "&amp;$V$1),AC372))))</f>
        <v>SKLADEM</v>
      </c>
      <c r="AE372" s="729" t="str">
        <f t="shared" ca="1" si="730"/>
        <v>SKLADEM</v>
      </c>
      <c r="AF372" s="735">
        <f t="shared" si="731"/>
        <v>0</v>
      </c>
      <c r="AG372" s="735">
        <f t="shared" si="732"/>
        <v>0</v>
      </c>
      <c r="AH372" s="736">
        <f t="shared" si="733"/>
        <v>0</v>
      </c>
      <c r="AI372" s="729">
        <f t="shared" si="734"/>
        <v>0</v>
      </c>
      <c r="AJ372" s="729">
        <f t="shared" si="735"/>
        <v>0</v>
      </c>
      <c r="AK372" s="729" t="str">
        <f t="shared" si="736"/>
        <v/>
      </c>
      <c r="AL372" s="729" t="str">
        <f t="shared" si="737"/>
        <v/>
      </c>
      <c r="AM372" s="729" t="str">
        <f t="shared" si="738"/>
        <v/>
      </c>
      <c r="AN372" s="729">
        <f t="shared" si="739"/>
        <v>0</v>
      </c>
      <c r="AO372" s="380"/>
      <c r="AP372" s="322" t="str">
        <f t="shared" si="662"/>
        <v/>
      </c>
      <c r="AQ372" s="323" t="str">
        <f>IF(AC372=$V$3,IF(VLOOKUP(C372,[1]List1!$A:$E,5,FALSE)=0,1,VLOOKUP(C372,[1]List1!$A:$E,5,FALSE)),"")</f>
        <v/>
      </c>
      <c r="AR372" s="304" t="str">
        <f t="shared" si="663"/>
        <v/>
      </c>
      <c r="AS372" s="423" t="str">
        <f t="shared" si="664"/>
        <v/>
      </c>
      <c r="AT372" s="304" t="str">
        <f t="shared" si="665"/>
        <v/>
      </c>
      <c r="AU372" s="342" t="e">
        <f t="shared" si="666"/>
        <v>#N/A</v>
      </c>
      <c r="AV372" s="304" t="e">
        <f t="shared" si="667"/>
        <v>#N/A</v>
      </c>
      <c r="AX372" s="304">
        <f>IF(AND('General price list'!$J372="F4",'General price list'!$AB372+0&gt;0),1,0)</f>
        <v>0</v>
      </c>
      <c r="AY372" s="304">
        <f t="shared" si="668"/>
        <v>0</v>
      </c>
      <c r="AZ372" s="304">
        <f t="shared" si="669"/>
        <v>0</v>
      </c>
    </row>
    <row r="373" spans="1:53" ht="15" customHeight="1">
      <c r="A373" s="712" t="str">
        <f>Kat.!C370</f>
        <v/>
      </c>
      <c r="B373" s="745">
        <f>IF(AND('General price list'!$J373="F4",$AI$1=FALSE),0,IF(AC373="SKLADEM",1,IF(AC373=$V$3,1,0)))</f>
        <v>1</v>
      </c>
      <c r="C373" s="714" t="s">
        <v>13780</v>
      </c>
      <c r="D373" s="715" t="s">
        <v>13820</v>
      </c>
      <c r="E373" s="716" t="s">
        <v>136</v>
      </c>
      <c r="F373" s="712">
        <f>IFERROR(ROUND(IF($AL$3=2,VLOOKUP(C373,[2]List1!$A:$D,2,FALSE)*1.08,VLOOKUP(C373,[2]List1!$A:$D,2,FALSE)),0),"NEUVEDENO!")</f>
        <v>658</v>
      </c>
      <c r="G373" s="717">
        <f t="shared" si="726"/>
        <v>658</v>
      </c>
      <c r="H373" s="718">
        <f t="shared" si="727"/>
        <v>26.738293869291194</v>
      </c>
      <c r="I373" s="746">
        <v>1</v>
      </c>
      <c r="J373" s="716"/>
      <c r="K373" s="716"/>
      <c r="L373" s="716" t="s">
        <v>14464</v>
      </c>
      <c r="M373" s="716"/>
      <c r="N373" s="716" t="str">
        <f>IFERROR(VLOOKUP(C373,[3]List1!$A:$D,4,FALSE),"N/A!")</f>
        <v/>
      </c>
      <c r="O373" s="716" t="str">
        <f>IFERROR(VLOOKUP(C373,[3]List1!$A:$D,3,FALSE),"N/A!")</f>
        <v/>
      </c>
      <c r="P373" s="716">
        <f>IFERROR(VLOOKUP(C373,[3]List1!$A:$D,2,FALSE),"N/A!")</f>
        <v>1100</v>
      </c>
      <c r="Q373" s="716" t="s">
        <v>24</v>
      </c>
      <c r="R373" s="716" t="s">
        <v>24</v>
      </c>
      <c r="S373" s="716"/>
      <c r="T373" s="716"/>
      <c r="U373" s="716"/>
      <c r="V373" s="716"/>
      <c r="W373" s="716" t="str">
        <f>IFERROR(VLOOKUP('General price list'!$C373,Popisy!A:P,MATCH($W$17,Popisy!$A$7:$P$7,0),FALSE),"---------------")</f>
        <v>katalog produktů 2023</v>
      </c>
      <c r="X373" s="716" t="str">
        <f t="shared" si="728"/>
        <v/>
      </c>
      <c r="Y373" s="716" t="str">
        <f t="shared" si="729"/>
        <v/>
      </c>
      <c r="Z373" s="716" t="str">
        <f>HYPERLINK("https://www.klasekpyrotechnics.cz/kk2020")</f>
        <v>https://www.klasekpyrotechnics.cz/kk2020</v>
      </c>
      <c r="AA373" s="716" t="str">
        <f>IFERROR(IF(VLOOKUP(C373,[4]List1!$A:$D,4,FALSE)=0,"",VLOOKUP(C373,[4]List1!$A:$D,4,FALSE)),"")</f>
        <v/>
      </c>
      <c r="AB373" s="720"/>
      <c r="AC373" s="747" t="str">
        <f>IFERROR(IF(VLOOKUP(C373,[1]List1!$A:$D,2,FALSE)="VYPRODÁNO",$V$9,IF(VLOOKUP(C373,[1]List1!$A:$D,2,FALSE)="DOCHÁZÍ",$V$3,VLOOKUP(C373,[1]List1!$A:$D,2,FALSE))),"OFFLINE!")</f>
        <v>DOCHÁZÍ</v>
      </c>
      <c r="AD373" s="748" t="str">
        <f ca="1">IF(AP373="NE",$V$10,IF(AC373=$V$3,IF(AQ373&lt;1,$V$8,$V$2&amp;" "&amp;AQ373&amp;" "&amp;$V$1),IF(AC373="SKLADEM",$V$6,IFERROR(IF(OR(AC373-TODAY()&gt;45,VLOOKUP(C373,[1]List1!$A:$E,4,FALSE)=0),AC373,DAY(AC373)&amp;"."&amp;MONTH(AC373)&amp;"."&amp;YEAR(AC373)&amp;" "&amp;$V$4&amp;VLOOKUP(C373,[1]List1!$A:$E,4,FALSE)&amp;" "&amp;$V$1),AC373))))</f>
        <v>POSLEDNÍCH 6 VK</v>
      </c>
      <c r="AE373" s="716" t="str">
        <f t="shared" ca="1" si="730"/>
        <v>POSLEDNÍCH 6 VK</v>
      </c>
      <c r="AF373" s="723">
        <f t="shared" si="731"/>
        <v>0</v>
      </c>
      <c r="AG373" s="723">
        <f t="shared" si="732"/>
        <v>0</v>
      </c>
      <c r="AH373" s="724">
        <f t="shared" si="733"/>
        <v>0</v>
      </c>
      <c r="AI373" s="716">
        <f t="shared" si="734"/>
        <v>0</v>
      </c>
      <c r="AJ373" s="716">
        <f t="shared" si="735"/>
        <v>0</v>
      </c>
      <c r="AK373" s="716" t="str">
        <f t="shared" si="736"/>
        <v/>
      </c>
      <c r="AL373" s="716" t="str">
        <f t="shared" si="737"/>
        <v/>
      </c>
      <c r="AM373" s="716" t="str">
        <f t="shared" si="738"/>
        <v/>
      </c>
      <c r="AN373" s="716">
        <f t="shared" si="739"/>
        <v>0</v>
      </c>
      <c r="AO373" s="380"/>
      <c r="AP373" s="322" t="str">
        <f t="shared" si="662"/>
        <v/>
      </c>
      <c r="AQ373" s="323">
        <f>IF(AC373=$V$3,IF(VLOOKUP(C373,[1]List1!$A:$E,5,FALSE)=0,1,VLOOKUP(C373,[1]List1!$A:$E,5,FALSE)),"")</f>
        <v>6</v>
      </c>
      <c r="AR373" s="304" t="str">
        <f t="shared" si="663"/>
        <v/>
      </c>
      <c r="AS373" s="423" t="str">
        <f t="shared" si="664"/>
        <v/>
      </c>
      <c r="AT373" s="304" t="str">
        <f t="shared" si="665"/>
        <v/>
      </c>
      <c r="AU373" s="342" t="e">
        <f t="shared" si="666"/>
        <v>#N/A</v>
      </c>
      <c r="AV373" s="304" t="e">
        <f t="shared" si="667"/>
        <v>#N/A</v>
      </c>
      <c r="AX373" s="304">
        <f>IF(AND('General price list'!$J373="F4",'General price list'!$AB373+0&gt;0),1,0)</f>
        <v>0</v>
      </c>
      <c r="AY373" s="304">
        <f t="shared" si="668"/>
        <v>0</v>
      </c>
      <c r="AZ373" s="304">
        <f t="shared" si="669"/>
        <v>0</v>
      </c>
    </row>
    <row r="374" spans="1:53" ht="15" customHeight="1">
      <c r="A374" s="725" t="str">
        <f>Kat.!C371</f>
        <v/>
      </c>
      <c r="B374" s="749">
        <f>IF(AND('General price list'!$J374="F4",$AI$1=FALSE),0,IF(AC374="SKLADEM",1,IF(AC374=$V$3,1,0)))</f>
        <v>1</v>
      </c>
      <c r="C374" s="727" t="s">
        <v>1046</v>
      </c>
      <c r="D374" s="728" t="s">
        <v>1047</v>
      </c>
      <c r="E374" s="729" t="s">
        <v>136</v>
      </c>
      <c r="F374" s="725">
        <f>IFERROR(ROUND(IF($AL$3=2,VLOOKUP(C374,[2]List1!$A:$D,2,FALSE)*1.08,VLOOKUP(C374,[2]List1!$A:$D,2,FALSE)),0),"NEUVEDENO!")</f>
        <v>320</v>
      </c>
      <c r="G374" s="730">
        <f t="shared" si="726"/>
        <v>320</v>
      </c>
      <c r="H374" s="731">
        <f t="shared" si="727"/>
        <v>13.003425589928847</v>
      </c>
      <c r="I374" s="750">
        <v>1</v>
      </c>
      <c r="J374" s="729"/>
      <c r="K374" s="729"/>
      <c r="L374" s="729" t="s">
        <v>14464</v>
      </c>
      <c r="M374" s="729"/>
      <c r="N374" s="729">
        <f>IFERROR(VLOOKUP(C374,[3]List1!$A:$D,4,FALSE),"N/A!")</f>
        <v>0</v>
      </c>
      <c r="O374" s="729">
        <f>IFERROR(VLOOKUP(C374,[3]List1!$A:$D,3,FALSE),"N/A!")</f>
        <v>0</v>
      </c>
      <c r="P374" s="729">
        <f>IFERROR(VLOOKUP(C374,[3]List1!$A:$D,2,FALSE),"N/A!")</f>
        <v>318</v>
      </c>
      <c r="Q374" s="729" t="s">
        <v>24</v>
      </c>
      <c r="R374" s="729" t="s">
        <v>24</v>
      </c>
      <c r="S374" s="729"/>
      <c r="T374" s="729"/>
      <c r="U374" s="729"/>
      <c r="V374" s="729"/>
      <c r="W374" s="729" t="str">
        <f>IFERROR(VLOOKUP('General price list'!$C374,Popisy!A:P,MATCH($W$17,Popisy!$A$7:$P$7,0),FALSE),"---------------")</f>
        <v>keramický hrnek Dumbum</v>
      </c>
      <c r="X374" s="729" t="str">
        <f t="shared" si="728"/>
        <v/>
      </c>
      <c r="Y374" s="729" t="str">
        <f t="shared" si="729"/>
        <v/>
      </c>
      <c r="Z374" s="729" t="str">
        <f>HYPERLINK("https://www.klasekpyrotechnics.cz/hd1")</f>
        <v>https://www.klasekpyrotechnics.cz/hd1</v>
      </c>
      <c r="AA374" s="729" t="str">
        <f>IFERROR(IF(VLOOKUP(C374,[4]List1!$A:$D,4,FALSE)=0,"",VLOOKUP(C374,[4]List1!$A:$D,4,FALSE)),"")</f>
        <v/>
      </c>
      <c r="AB374" s="720"/>
      <c r="AC374" s="751" t="str">
        <f>IFERROR(IF(VLOOKUP(C374,[1]List1!$A:$D,2,FALSE)="VYPRODÁNO",$V$9,IF(VLOOKUP(C374,[1]List1!$A:$D,2,FALSE)="DOCHÁZÍ",$V$3,VLOOKUP(C374,[1]List1!$A:$D,2,FALSE))),"OFFLINE!")</f>
        <v>SKLADEM</v>
      </c>
      <c r="AD374" s="752" t="str">
        <f ca="1">IF(AP374="NE",$V$10,IF(AC374=$V$3,IF(AQ374&lt;1,$V$8,$V$2&amp;" "&amp;AQ374&amp;" "&amp;$V$1),IF(AC374="SKLADEM",$V$6,IFERROR(IF(OR(AC374-TODAY()&gt;45,VLOOKUP(C374,[1]List1!$A:$E,4,FALSE)=0),AC374,DAY(AC374)&amp;"."&amp;MONTH(AC374)&amp;"."&amp;YEAR(AC374)&amp;" "&amp;$V$4&amp;VLOOKUP(C374,[1]List1!$A:$E,4,FALSE)&amp;" "&amp;$V$1),AC374))))</f>
        <v>SKLADEM</v>
      </c>
      <c r="AE374" s="729" t="str">
        <f t="shared" ca="1" si="730"/>
        <v>SKLADEM</v>
      </c>
      <c r="AF374" s="735">
        <f t="shared" si="731"/>
        <v>0</v>
      </c>
      <c r="AG374" s="735">
        <f t="shared" si="732"/>
        <v>0</v>
      </c>
      <c r="AH374" s="736">
        <f t="shared" si="733"/>
        <v>0</v>
      </c>
      <c r="AI374" s="729">
        <f t="shared" si="734"/>
        <v>0</v>
      </c>
      <c r="AJ374" s="729">
        <f t="shared" si="735"/>
        <v>0</v>
      </c>
      <c r="AK374" s="729" t="str">
        <f t="shared" si="736"/>
        <v/>
      </c>
      <c r="AL374" s="729" t="str">
        <f t="shared" si="737"/>
        <v/>
      </c>
      <c r="AM374" s="729" t="str">
        <f t="shared" si="738"/>
        <v/>
      </c>
      <c r="AN374" s="729">
        <f t="shared" si="739"/>
        <v>0</v>
      </c>
      <c r="AO374" s="380"/>
      <c r="AP374" s="322" t="str">
        <f t="shared" si="662"/>
        <v/>
      </c>
      <c r="AQ374" s="323" t="str">
        <f>IF(AC374=$V$3,IF(VLOOKUP(C374,[1]List1!$A:$E,5,FALSE)=0,1,VLOOKUP(C374,[1]List1!$A:$E,5,FALSE)),"")</f>
        <v/>
      </c>
      <c r="AR374" s="304" t="str">
        <f t="shared" si="663"/>
        <v/>
      </c>
      <c r="AS374" s="423" t="str">
        <f t="shared" si="664"/>
        <v/>
      </c>
      <c r="AT374" s="304" t="str">
        <f t="shared" si="665"/>
        <v/>
      </c>
      <c r="AU374" s="342" t="e">
        <f t="shared" si="666"/>
        <v>#N/A</v>
      </c>
      <c r="AV374" s="304" t="e">
        <f t="shared" si="667"/>
        <v>#N/A</v>
      </c>
      <c r="AX374" s="304">
        <f>IF(AND('General price list'!$J374="F4",'General price list'!$AB374+0&gt;0),1,0)</f>
        <v>0</v>
      </c>
      <c r="AY374" s="304">
        <f t="shared" si="668"/>
        <v>0</v>
      </c>
      <c r="AZ374" s="304">
        <f t="shared" si="669"/>
        <v>0</v>
      </c>
    </row>
    <row r="375" spans="1:53" ht="15" customHeight="1">
      <c r="A375" s="712" t="str">
        <f>Kat.!C372</f>
        <v/>
      </c>
      <c r="B375" s="745">
        <f>IF(AND('General price list'!$J375="F4",$AI$1=FALSE),0,IF(AC375="SKLADEM",1,IF(AC375=$V$3,1,0)))</f>
        <v>1</v>
      </c>
      <c r="C375" s="714" t="s">
        <v>1051</v>
      </c>
      <c r="D375" s="715" t="s">
        <v>1052</v>
      </c>
      <c r="E375" s="716" t="s">
        <v>136</v>
      </c>
      <c r="F375" s="712">
        <f>IFERROR(ROUND(IF($AL$3=2,VLOOKUP(C375,[2]List1!$A:$D,2,FALSE)*1.08,VLOOKUP(C375,[2]List1!$A:$D,2,FALSE)),0),"NEUVEDENO!")</f>
        <v>180</v>
      </c>
      <c r="G375" s="717">
        <f t="shared" si="726"/>
        <v>180</v>
      </c>
      <c r="H375" s="718">
        <f t="shared" si="727"/>
        <v>7.3144268943349768</v>
      </c>
      <c r="I375" s="746">
        <v>1</v>
      </c>
      <c r="J375" s="716"/>
      <c r="K375" s="716"/>
      <c r="L375" s="716" t="s">
        <v>14464</v>
      </c>
      <c r="M375" s="716"/>
      <c r="N375" s="716">
        <f>IFERROR(VLOOKUP(C375,[3]List1!$A:$D,4,FALSE),"N/A!")</f>
        <v>0</v>
      </c>
      <c r="O375" s="716">
        <f>IFERROR(VLOOKUP(C375,[3]List1!$A:$D,3,FALSE),"N/A!")</f>
        <v>0</v>
      </c>
      <c r="P375" s="716">
        <f>IFERROR(VLOOKUP(C375,[3]List1!$A:$D,2,FALSE),"N/A!")</f>
        <v>34</v>
      </c>
      <c r="Q375" s="716" t="s">
        <v>24</v>
      </c>
      <c r="R375" s="716" t="s">
        <v>24</v>
      </c>
      <c r="S375" s="716"/>
      <c r="T375" s="716"/>
      <c r="U375" s="716"/>
      <c r="V375" s="716"/>
      <c r="W375" s="716" t="str">
        <f>IFERROR(VLOOKUP('General price list'!$C375,Popisy!A:P,MATCH($W$17,Popisy!$A$7:$P$7,0),FALSE),"---------------")</f>
        <v>podložka pod myš Dumbum</v>
      </c>
      <c r="X375" s="716" t="str">
        <f t="shared" si="728"/>
        <v/>
      </c>
      <c r="Y375" s="716" t="str">
        <f t="shared" si="729"/>
        <v/>
      </c>
      <c r="Z375" s="716" t="str">
        <f>HYPERLINK("https://www.klasekpyrotechnics.cz/ppmd1")</f>
        <v>https://www.klasekpyrotechnics.cz/ppmd1</v>
      </c>
      <c r="AA375" s="716" t="str">
        <f>IFERROR(IF(VLOOKUP(C375,[4]List1!$A:$D,4,FALSE)=0,"",VLOOKUP(C375,[4]List1!$A:$D,4,FALSE)),"")</f>
        <v/>
      </c>
      <c r="AB375" s="720"/>
      <c r="AC375" s="747" t="str">
        <f>IFERROR(IF(VLOOKUP(C375,[1]List1!$A:$D,2,FALSE)="VYPRODÁNO",$V$9,IF(VLOOKUP(C375,[1]List1!$A:$D,2,FALSE)="DOCHÁZÍ",$V$3,VLOOKUP(C375,[1]List1!$A:$D,2,FALSE))),"OFFLINE!")</f>
        <v>DOCHÁZÍ</v>
      </c>
      <c r="AD375" s="748" t="str">
        <f ca="1">IF(AP375="NE",$V$10,IF(AC375=$V$3,IF(AQ375&lt;1,$V$8,$V$2&amp;" "&amp;AQ375&amp;" "&amp;$V$1),IF(AC375="SKLADEM",$V$6,IFERROR(IF(OR(AC375-TODAY()&gt;45,VLOOKUP(C375,[1]List1!$A:$E,4,FALSE)=0),AC375,DAY(AC375)&amp;"."&amp;MONTH(AC375)&amp;"."&amp;YEAR(AC375)&amp;" "&amp;$V$4&amp;VLOOKUP(C375,[1]List1!$A:$E,4,FALSE)&amp;" "&amp;$V$1),AC375))))</f>
        <v>POSLEDNÍCH 5 VK</v>
      </c>
      <c r="AE375" s="716" t="str">
        <f t="shared" ca="1" si="730"/>
        <v>POSLEDNÍCH 5 VK</v>
      </c>
      <c r="AF375" s="723">
        <f t="shared" si="731"/>
        <v>0</v>
      </c>
      <c r="AG375" s="723">
        <f t="shared" si="732"/>
        <v>0</v>
      </c>
      <c r="AH375" s="724">
        <f t="shared" si="733"/>
        <v>0</v>
      </c>
      <c r="AI375" s="716">
        <f t="shared" si="734"/>
        <v>0</v>
      </c>
      <c r="AJ375" s="716">
        <f t="shared" si="735"/>
        <v>0</v>
      </c>
      <c r="AK375" s="716" t="str">
        <f t="shared" si="736"/>
        <v/>
      </c>
      <c r="AL375" s="716" t="str">
        <f t="shared" si="737"/>
        <v/>
      </c>
      <c r="AM375" s="716" t="str">
        <f t="shared" si="738"/>
        <v/>
      </c>
      <c r="AN375" s="716">
        <f t="shared" si="739"/>
        <v>0</v>
      </c>
      <c r="AO375" s="380"/>
      <c r="AP375" s="322" t="str">
        <f t="shared" si="662"/>
        <v/>
      </c>
      <c r="AQ375" s="323">
        <f>IF(AC375=$V$3,IF(VLOOKUP(C375,[1]List1!$A:$E,5,FALSE)=0,1,VLOOKUP(C375,[1]List1!$A:$E,5,FALSE)),"")</f>
        <v>5</v>
      </c>
      <c r="AR375" s="304" t="str">
        <f t="shared" si="663"/>
        <v/>
      </c>
      <c r="AS375" s="423" t="str">
        <f t="shared" si="664"/>
        <v/>
      </c>
      <c r="AT375" s="304" t="str">
        <f t="shared" si="665"/>
        <v/>
      </c>
      <c r="AU375" s="342" t="e">
        <f t="shared" si="666"/>
        <v>#N/A</v>
      </c>
      <c r="AV375" s="304" t="e">
        <f t="shared" si="667"/>
        <v>#N/A</v>
      </c>
      <c r="AX375" s="304">
        <f>IF(AND('General price list'!$J375="F4",'General price list'!$AB375+0&gt;0),1,0)</f>
        <v>0</v>
      </c>
      <c r="AY375" s="304">
        <f t="shared" si="668"/>
        <v>0</v>
      </c>
      <c r="AZ375" s="304">
        <f t="shared" si="669"/>
        <v>0</v>
      </c>
    </row>
    <row r="376" spans="1:53" ht="15" customHeight="1">
      <c r="A376" s="725" t="str">
        <f>Kat.!C373</f>
        <v>×</v>
      </c>
      <c r="B376" s="749">
        <f>IF(AND('General price list'!$J376="F4",$AI$1=FALSE),0,IF(AC376="SKLADEM",1,IF(AC376=$V$3,1,0)))</f>
        <v>1</v>
      </c>
      <c r="C376" s="727" t="s">
        <v>1056</v>
      </c>
      <c r="D376" s="728" t="s">
        <v>1057</v>
      </c>
      <c r="E376" s="729" t="s">
        <v>136</v>
      </c>
      <c r="F376" s="725">
        <f>IFERROR(ROUND(IF($AL$3=2,VLOOKUP(C376,[2]List1!$A:$D,2,FALSE)*1.08,VLOOKUP(C376,[2]List1!$A:$D,2,FALSE)),0),"NEUVEDENO!")</f>
        <v>1071</v>
      </c>
      <c r="G376" s="730">
        <f t="shared" si="726"/>
        <v>1071</v>
      </c>
      <c r="H376" s="731">
        <f t="shared" si="727"/>
        <v>43.520840021293111</v>
      </c>
      <c r="I376" s="750">
        <v>1</v>
      </c>
      <c r="J376" s="729"/>
      <c r="K376" s="729"/>
      <c r="L376" s="729" t="s">
        <v>14464</v>
      </c>
      <c r="M376" s="729"/>
      <c r="N376" s="729">
        <f>IFERROR(VLOOKUP(C376,[3]List1!$A:$D,4,FALSE),"N/A!")</f>
        <v>0</v>
      </c>
      <c r="O376" s="729">
        <f>IFERROR(VLOOKUP(C376,[3]List1!$A:$D,3,FALSE),"N/A!")</f>
        <v>0</v>
      </c>
      <c r="P376" s="729">
        <f>IFERROR(VLOOKUP(C376,[3]List1!$A:$D,2,FALSE),"N/A!")</f>
        <v>354</v>
      </c>
      <c r="Q376" s="729" t="s">
        <v>24</v>
      </c>
      <c r="R376" s="729" t="s">
        <v>24</v>
      </c>
      <c r="S376" s="729"/>
      <c r="T376" s="729"/>
      <c r="U376" s="729"/>
      <c r="V376" s="729"/>
      <c r="W376" s="729" t="str">
        <f>IFERROR(VLOOKUP('General price list'!$C376,Popisy!A:P,MATCH($W$17,Popisy!$A$7:$P$7,0),FALSE),"---------------")</f>
        <v>deštník Dumbum</v>
      </c>
      <c r="X376" s="729" t="str">
        <f t="shared" si="728"/>
        <v/>
      </c>
      <c r="Y376" s="729" t="str">
        <f t="shared" si="729"/>
        <v/>
      </c>
      <c r="Z376" s="729" t="str">
        <f>HYPERLINK("https://www.klasekpyrotechnics.cz/dd1")</f>
        <v>https://www.klasekpyrotechnics.cz/dd1</v>
      </c>
      <c r="AA376" s="729" t="str">
        <f>IFERROR(IF(VLOOKUP(C376,[4]List1!$A:$D,4,FALSE)=0,"",VLOOKUP(C376,[4]List1!$A:$D,4,FALSE)),"")</f>
        <v/>
      </c>
      <c r="AB376" s="720"/>
      <c r="AC376" s="751" t="str">
        <f>IFERROR(IF(VLOOKUP(C376,[1]List1!$A:$D,2,FALSE)="VYPRODÁNO",$V$9,IF(VLOOKUP(C376,[1]List1!$A:$D,2,FALSE)="DOCHÁZÍ",$V$3,VLOOKUP(C376,[1]List1!$A:$D,2,FALSE))),"OFFLINE!")</f>
        <v>SKLADEM</v>
      </c>
      <c r="AD376" s="752" t="str">
        <f ca="1">IF(AP376="NE",$V$10,IF(AC376=$V$3,IF(AQ376&lt;1,$V$8,$V$2&amp;" "&amp;AQ376&amp;" "&amp;$V$1),IF(AC376="SKLADEM",$V$6,IFERROR(IF(OR(AC376-TODAY()&gt;45,VLOOKUP(C376,[1]List1!$A:$E,4,FALSE)=0),AC376,DAY(AC376)&amp;"."&amp;MONTH(AC376)&amp;"."&amp;YEAR(AC376)&amp;" "&amp;$V$4&amp;VLOOKUP(C376,[1]List1!$A:$E,4,FALSE)&amp;" "&amp;$V$1),AC376))))</f>
        <v>SKLADEM</v>
      </c>
      <c r="AE376" s="729" t="str">
        <f t="shared" ca="1" si="730"/>
        <v>SKLADEM</v>
      </c>
      <c r="AF376" s="735">
        <f t="shared" si="731"/>
        <v>0</v>
      </c>
      <c r="AG376" s="735">
        <f t="shared" si="732"/>
        <v>0</v>
      </c>
      <c r="AH376" s="736">
        <f t="shared" si="733"/>
        <v>0</v>
      </c>
      <c r="AI376" s="729">
        <f t="shared" si="734"/>
        <v>0</v>
      </c>
      <c r="AJ376" s="729">
        <f t="shared" si="735"/>
        <v>0</v>
      </c>
      <c r="AK376" s="729" t="str">
        <f t="shared" si="736"/>
        <v/>
      </c>
      <c r="AL376" s="729" t="str">
        <f t="shared" si="737"/>
        <v/>
      </c>
      <c r="AM376" s="729" t="str">
        <f t="shared" si="738"/>
        <v/>
      </c>
      <c r="AN376" s="729">
        <f t="shared" si="739"/>
        <v>0</v>
      </c>
      <c r="AO376" s="380"/>
      <c r="AP376" s="322" t="str">
        <f t="shared" si="662"/>
        <v/>
      </c>
      <c r="AQ376" s="323" t="str">
        <f>IF(AC376=$V$3,IF(VLOOKUP(C376,[1]List1!$A:$E,5,FALSE)=0,1,VLOOKUP(C376,[1]List1!$A:$E,5,FALSE)),"")</f>
        <v/>
      </c>
      <c r="AR376" s="304" t="str">
        <f t="shared" si="663"/>
        <v/>
      </c>
      <c r="AS376" s="423" t="str">
        <f t="shared" si="664"/>
        <v/>
      </c>
      <c r="AT376" s="304" t="str">
        <f t="shared" si="665"/>
        <v/>
      </c>
      <c r="AU376" s="342" t="e">
        <f t="shared" si="666"/>
        <v>#N/A</v>
      </c>
      <c r="AV376" s="304" t="e">
        <f t="shared" si="667"/>
        <v>#N/A</v>
      </c>
      <c r="AX376" s="304">
        <f>IF(AND('General price list'!$J376="F4",'General price list'!$AB376+0&gt;0),1,0)</f>
        <v>0</v>
      </c>
      <c r="AY376" s="304">
        <f t="shared" si="668"/>
        <v>0</v>
      </c>
      <c r="AZ376" s="304">
        <f t="shared" si="669"/>
        <v>0</v>
      </c>
    </row>
    <row r="377" spans="1:53" ht="15" customHeight="1">
      <c r="A377" s="712" t="str">
        <f>Kat.!C374</f>
        <v/>
      </c>
      <c r="B377" s="745">
        <f>IF(AND('General price list'!$J377="F4",$AI$1=FALSE),0,IF(AC377="SKLADEM",1,IF(AC377=$V$3,1,0)))</f>
        <v>1</v>
      </c>
      <c r="C377" s="714" t="s">
        <v>13473</v>
      </c>
      <c r="D377" s="715" t="s">
        <v>13474</v>
      </c>
      <c r="E377" s="716" t="s">
        <v>136</v>
      </c>
      <c r="F377" s="712">
        <f>IFERROR(ROUND(IF($AL$3=2,VLOOKUP(C377,[2]List1!$A:$D,2,FALSE)*1.08,VLOOKUP(C377,[2]List1!$A:$D,2,FALSE)),0),"NEUVEDENO!")</f>
        <v>88</v>
      </c>
      <c r="G377" s="717">
        <f t="shared" si="726"/>
        <v>88</v>
      </c>
      <c r="H377" s="718">
        <f t="shared" si="727"/>
        <v>3.5759420372304329</v>
      </c>
      <c r="I377" s="746">
        <v>1</v>
      </c>
      <c r="J377" s="716"/>
      <c r="K377" s="716"/>
      <c r="L377" s="716" t="s">
        <v>14464</v>
      </c>
      <c r="M377" s="716"/>
      <c r="N377" s="716">
        <f>IFERROR(VLOOKUP(C377,[3]List1!$A:$D,4,FALSE),"N/A!")</f>
        <v>0</v>
      </c>
      <c r="O377" s="716">
        <f>IFERROR(VLOOKUP(C377,[3]List1!$A:$D,3,FALSE),"N/A!")</f>
        <v>0</v>
      </c>
      <c r="P377" s="716">
        <f>IFERROR(VLOOKUP(C377,[3]List1!$A:$D,2,FALSE),"N/A!")</f>
        <v>10</v>
      </c>
      <c r="Q377" s="716"/>
      <c r="R377" s="716"/>
      <c r="S377" s="716"/>
      <c r="T377" s="716"/>
      <c r="U377" s="716"/>
      <c r="V377" s="716"/>
      <c r="W377" s="716" t="str">
        <f>IFERROR(VLOOKUP('General price list'!$C377,Popisy!A:P,MATCH($W$17,Popisy!$A$7:$P$7,0),FALSE),"---------------")</f>
        <v>klíčenka na krk Dumbum</v>
      </c>
      <c r="X377" s="716" t="str">
        <f t="shared" si="728"/>
        <v/>
      </c>
      <c r="Y377" s="716" t="str">
        <f t="shared" si="729"/>
        <v/>
      </c>
      <c r="Z377" s="716" t="str">
        <f>HYPERLINK("https://www.klasekpyrotechnics.cz/KKD1")</f>
        <v>https://www.klasekpyrotechnics.cz/KKD1</v>
      </c>
      <c r="AA377" s="716" t="str">
        <f>IFERROR(IF(VLOOKUP(C377,[4]List1!$A:$D,4,FALSE)=0,"",VLOOKUP(C377,[4]List1!$A:$D,4,FALSE)),"")</f>
        <v/>
      </c>
      <c r="AB377" s="720"/>
      <c r="AC377" s="747" t="str">
        <f>IFERROR(IF(VLOOKUP(C377,[1]List1!$A:$D,2,FALSE)="VYPRODÁNO",$V$9,IF(VLOOKUP(C377,[1]List1!$A:$D,2,FALSE)="DOCHÁZÍ",$V$3,VLOOKUP(C377,[1]List1!$A:$D,2,FALSE))),"OFFLINE!")</f>
        <v>SKLADEM</v>
      </c>
      <c r="AD377" s="748" t="str">
        <f ca="1">IF(AP377="NE",$V$10,IF(AC377=$V$3,IF(AQ377&lt;1,$V$8,$V$2&amp;" "&amp;AQ377&amp;" "&amp;$V$1),IF(AC377="SKLADEM",$V$6,IFERROR(IF(OR(AC377-TODAY()&gt;45,VLOOKUP(C377,[1]List1!$A:$E,4,FALSE)=0),AC377,DAY(AC377)&amp;"."&amp;MONTH(AC377)&amp;"."&amp;YEAR(AC377)&amp;" "&amp;$V$4&amp;VLOOKUP(C377,[1]List1!$A:$E,4,FALSE)&amp;" "&amp;$V$1),AC377))))</f>
        <v>SKLADEM</v>
      </c>
      <c r="AE377" s="716" t="str">
        <f t="shared" ca="1" si="730"/>
        <v>SKLADEM</v>
      </c>
      <c r="AF377" s="723">
        <f t="shared" si="731"/>
        <v>0</v>
      </c>
      <c r="AG377" s="723">
        <f t="shared" si="732"/>
        <v>0</v>
      </c>
      <c r="AH377" s="724">
        <f t="shared" si="733"/>
        <v>0</v>
      </c>
      <c r="AI377" s="716">
        <f t="shared" si="734"/>
        <v>0</v>
      </c>
      <c r="AJ377" s="716">
        <f t="shared" si="735"/>
        <v>0</v>
      </c>
      <c r="AK377" s="716" t="str">
        <f t="shared" si="736"/>
        <v/>
      </c>
      <c r="AL377" s="716" t="str">
        <f t="shared" si="737"/>
        <v/>
      </c>
      <c r="AM377" s="716" t="str">
        <f t="shared" si="738"/>
        <v/>
      </c>
      <c r="AN377" s="716">
        <f t="shared" si="739"/>
        <v>0</v>
      </c>
      <c r="AO377" s="380"/>
      <c r="AP377" s="322" t="str">
        <f t="shared" si="662"/>
        <v/>
      </c>
      <c r="AQ377" s="323" t="str">
        <f>IF(AC377=$V$3,IF(VLOOKUP(C377,[1]List1!$A:$E,5,FALSE)=0,1,VLOOKUP(C377,[1]List1!$A:$E,5,FALSE)),"")</f>
        <v/>
      </c>
      <c r="AR377" s="304" t="str">
        <f t="shared" si="663"/>
        <v/>
      </c>
      <c r="AS377" s="423" t="str">
        <f t="shared" si="664"/>
        <v/>
      </c>
      <c r="AT377" s="304" t="str">
        <f t="shared" si="665"/>
        <v/>
      </c>
      <c r="AU377" s="342" t="e">
        <f t="shared" si="666"/>
        <v>#N/A</v>
      </c>
      <c r="AV377" s="304" t="e">
        <f t="shared" si="667"/>
        <v>#N/A</v>
      </c>
      <c r="AX377" s="304">
        <f>IF(AND('General price list'!$J377="F4",'General price list'!$AB377+0&gt;0),1,0)</f>
        <v>0</v>
      </c>
      <c r="AY377" s="304">
        <f t="shared" si="668"/>
        <v>0</v>
      </c>
      <c r="AZ377" s="304">
        <f t="shared" si="669"/>
        <v>0</v>
      </c>
    </row>
    <row r="378" spans="1:53" ht="15" customHeight="1">
      <c r="A378" s="773" t="str">
        <f>Kat.!C375</f>
        <v xml:space="preserve">                                                               Ostatní</v>
      </c>
      <c r="B378" s="774"/>
      <c r="C378" s="774"/>
      <c r="D378" s="774"/>
      <c r="E378" s="774"/>
      <c r="F378" s="774"/>
      <c r="G378" s="774"/>
      <c r="H378" s="774"/>
      <c r="I378" s="774"/>
      <c r="J378" s="774"/>
      <c r="K378" s="774"/>
      <c r="L378" s="774"/>
      <c r="M378" s="774"/>
      <c r="N378" s="774"/>
      <c r="O378" s="774"/>
      <c r="P378" s="774"/>
      <c r="Q378" s="774"/>
      <c r="R378" s="774"/>
      <c r="S378" s="774"/>
      <c r="T378" s="774"/>
      <c r="U378" s="774"/>
      <c r="V378" s="774"/>
      <c r="W378" s="774"/>
      <c r="X378" s="774"/>
      <c r="Y378" s="774"/>
      <c r="Z378" s="774"/>
      <c r="AA378" s="774" t="str">
        <f>IFERROR(IF(VLOOKUP(C378,[4]List1!$A:$D,4,FALSE)=0,"",VLOOKUP(C378,[4]List1!$A:$D,4,FALSE)),"")</f>
        <v/>
      </c>
      <c r="AB378" s="774"/>
      <c r="AC378" s="775" t="str">
        <f>IFERROR(IF(VLOOKUP(C378,[1]List1!$A:$D,2,FALSE)="VYPRODÁNO",$V$9,IF(VLOOKUP(C378,[1]List1!$A:$D,2,FALSE)="DOCHÁZÍ",$V$3,VLOOKUP(C378,[1]List1!$A:$D,2,FALSE))),"OFFLINE!")</f>
        <v>OFFLINE!</v>
      </c>
      <c r="AD378" s="774"/>
      <c r="AE378" s="774"/>
      <c r="AF378" s="774"/>
      <c r="AG378" s="774"/>
      <c r="AH378" s="774"/>
      <c r="AI378" s="774"/>
      <c r="AJ378" s="774"/>
      <c r="AK378" s="774"/>
      <c r="AL378" s="774"/>
      <c r="AM378" s="774"/>
      <c r="AN378" s="774"/>
      <c r="AO378" s="380"/>
      <c r="AP378" s="322" t="str">
        <f t="shared" si="662"/>
        <v/>
      </c>
      <c r="AQ378" s="323" t="str">
        <f>IF(AC378=$V$3,IF(VLOOKUP(C378,[1]List1!$A:$E,5,FALSE)=0,1,VLOOKUP(C378,[1]List1!$A:$E,5,FALSE)),"")</f>
        <v/>
      </c>
      <c r="AR378" s="304" t="str">
        <f t="shared" si="663"/>
        <v/>
      </c>
      <c r="AS378" s="423" t="str">
        <f t="shared" si="664"/>
        <v/>
      </c>
      <c r="AT378" s="304" t="str">
        <f t="shared" si="665"/>
        <v/>
      </c>
      <c r="AU378" s="342" t="e">
        <f t="shared" si="666"/>
        <v>#N/A</v>
      </c>
      <c r="AV378" s="304" t="e">
        <f t="shared" si="667"/>
        <v>#N/A</v>
      </c>
      <c r="AX378" s="304">
        <f>IF(AND('General price list'!$J378="F4",'General price list'!$AB378+0&gt;0),1,0)</f>
        <v>0</v>
      </c>
      <c r="AY378" s="304">
        <f t="shared" si="668"/>
        <v>0</v>
      </c>
      <c r="AZ378" s="304">
        <f t="shared" si="669"/>
        <v>0</v>
      </c>
    </row>
    <row r="379" spans="1:53" ht="15" customHeight="1">
      <c r="A379" s="712" t="str">
        <f>Kat.!C376</f>
        <v/>
      </c>
      <c r="B379" s="713">
        <f>IF(AND('General price list'!$J379="F4",$AI$1=FALSE),0,IF(AC379="SKLADEM",1,IF(AC379=$V$3,1,0)))</f>
        <v>1</v>
      </c>
      <c r="C379" s="714" t="s">
        <v>1064</v>
      </c>
      <c r="D379" s="715" t="s">
        <v>1065</v>
      </c>
      <c r="E379" s="716" t="s">
        <v>136</v>
      </c>
      <c r="F379" s="712">
        <f>IFERROR(ROUND(IF($AL$3=2,VLOOKUP(C379,[2]List1!$A:$D,2,FALSE)*1.08,VLOOKUP(C379,[2]List1!$A:$D,2,FALSE)),0),"NEUVEDENO!")</f>
        <v>992</v>
      </c>
      <c r="G379" s="717">
        <f t="shared" ref="G379:G380" si="740">(F379)*$B$19</f>
        <v>992</v>
      </c>
      <c r="H379" s="718">
        <f t="shared" ref="H379:H380" si="741">G379/$F$19</f>
        <v>40.310619328779431</v>
      </c>
      <c r="I379" s="719">
        <v>1</v>
      </c>
      <c r="J379" s="716"/>
      <c r="K379" s="716"/>
      <c r="L379" s="716" t="s">
        <v>14464</v>
      </c>
      <c r="M379" s="716"/>
      <c r="N379" s="716">
        <f>IFERROR(VLOOKUP(C379,[3]List1!$A:$D,4,FALSE),"N/A!")</f>
        <v>1.9843999999999997E-2</v>
      </c>
      <c r="O379" s="716">
        <f>IFERROR(VLOOKUP(C379,[3]List1!$A:$D,3,FALSE),"N/A!")</f>
        <v>0</v>
      </c>
      <c r="P379" s="716">
        <f>IFERROR(VLOOKUP(C379,[3]List1!$A:$D,2,FALSE),"N/A!")</f>
        <v>138</v>
      </c>
      <c r="Q379" s="716" t="s">
        <v>18</v>
      </c>
      <c r="R379" s="716" t="s">
        <v>24</v>
      </c>
      <c r="S379" s="716"/>
      <c r="T379" s="716"/>
      <c r="U379" s="716"/>
      <c r="V379" s="716"/>
      <c r="W379" s="716" t="str">
        <f>IFERROR(VLOOKUP('General price list'!$C379,Popisy!A:P,MATCH($W$17,Popisy!$A$7:$P$7,0),FALSE),"---------------")</f>
        <v>odpalovací zařízení na dálkový odpal(4 pozice)+ dálkový ovladač+4ks el.palníku</v>
      </c>
      <c r="X379" s="716" t="str">
        <f t="shared" ref="X379:X380" si="742">IF(AB379&lt;0.0001,"",AB379)</f>
        <v/>
      </c>
      <c r="Y379" s="716" t="str">
        <f t="shared" ref="Y379:Y380" si="743">IF($AL$3=2,IF(OR(AB379&lt;&gt;"",AB379&lt;&gt;0),AU379,""),IF(C379="","",IF(AB379&lt;0.0001,"",IF(B379=0,"",IF(AQ379&lt;AB379,"",AB379)))))</f>
        <v/>
      </c>
      <c r="Z379" s="716" t="str">
        <f>HYPERLINK("https://www.klasekpyrotechnics.cz/oz4")</f>
        <v>https://www.klasekpyrotechnics.cz/oz4</v>
      </c>
      <c r="AA379" s="716" t="str">
        <f>IFERROR(IF(VLOOKUP(C379,[4]List1!$A:$D,4,FALSE)=0,"",VLOOKUP(C379,[4]List1!$A:$D,4,FALSE)),"")</f>
        <v/>
      </c>
      <c r="AB379" s="720"/>
      <c r="AC379" s="721" t="str">
        <f>IFERROR(IF(VLOOKUP(C379,[1]List1!$A:$D,2,FALSE)="VYPRODÁNO",$V$9,IF(VLOOKUP(C379,[1]List1!$A:$D,2,FALSE)="DOCHÁZÍ",$V$3,VLOOKUP(C379,[1]List1!$A:$D,2,FALSE))),"OFFLINE!")</f>
        <v>SKLADEM</v>
      </c>
      <c r="AD379" s="722" t="str">
        <f ca="1">IF(AP379="NE",$V$10,IF(AC379=$V$3,IF(AQ379&lt;1,$V$8,$V$2&amp;" "&amp;AQ379&amp;" "&amp;$V$1),IF(AC379="SKLADEM",$V$6,IFERROR(IF(OR(AC379-TODAY()&gt;45,VLOOKUP(C379,[1]List1!$A:$E,4,FALSE)=0),AC379,DAY(AC379)&amp;"."&amp;MONTH(AC379)&amp;"."&amp;YEAR(AC379)&amp;" "&amp;$V$4&amp;VLOOKUP(C379,[1]List1!$A:$E,4,FALSE)&amp;" "&amp;$V$1),AC379))))</f>
        <v>SKLADEM</v>
      </c>
      <c r="AE379" s="716" t="str">
        <f t="shared" ref="AE379:AE380" ca="1" si="744">IFERROR(IF(AV379&lt;&gt;"",AV379,AD379),AD379)</f>
        <v>SKLADEM</v>
      </c>
      <c r="AF379" s="723">
        <f t="shared" ref="AF379:AF380" si="745">IFERROR(IF(AB379=Y379,G379*I379*Y379,0),0)</f>
        <v>0</v>
      </c>
      <c r="AG379" s="723">
        <f t="shared" ref="AG379:AG380" si="746">IF($W$17=$AF$8,AH379*1.23,AF379*1.21)</f>
        <v>0</v>
      </c>
      <c r="AH379" s="724">
        <f t="shared" ref="AH379:AH380" si="747">IFERROR(IF(Y379=AB379,H379*I379*Y379,0),0)</f>
        <v>0</v>
      </c>
      <c r="AI379" s="716">
        <f t="shared" ref="AI379:AI380" si="748">IFERROR(IF(Y379=AB379,(P379*Y379)/1000,1),0)</f>
        <v>0</v>
      </c>
      <c r="AJ379" s="716">
        <f t="shared" ref="AJ379:AJ380" si="749">IFERROR(IF(Y379=AB379,N379*Y379,0.1),0)</f>
        <v>0</v>
      </c>
      <c r="AK379" s="716" t="str">
        <f t="shared" ref="AK379:AK380" si="750">IFERROR(IF(Y379=AB379,IF(M379="1.1G",(O379/1000)*Y379,""),""),0)</f>
        <v/>
      </c>
      <c r="AL379" s="716" t="str">
        <f t="shared" ref="AL379:AL380" si="751">IFERROR(IF(Y379=AB379,IF(M379="1.3G",(O379/1000)*AB379,""),""),0)</f>
        <v/>
      </c>
      <c r="AM379" s="716" t="str">
        <f t="shared" ref="AM379:AM380" si="752">IFERROR(IF(Y379=AB379,IF(M379="1.4G",(O379/1000)*AB379,""),""),0)</f>
        <v/>
      </c>
      <c r="AN379" s="716">
        <f t="shared" ref="AN379:AN380" si="753">SUM(AK379:AM379)</f>
        <v>0</v>
      </c>
      <c r="AO379" s="380"/>
      <c r="AP379" s="322" t="str">
        <f t="shared" si="662"/>
        <v/>
      </c>
      <c r="AQ379" s="323" t="str">
        <f>IF(AC379=$V$3,IF(VLOOKUP(C379,[1]List1!$A:$E,5,FALSE)=0,1,VLOOKUP(C379,[1]List1!$A:$E,5,FALSE)),"")</f>
        <v/>
      </c>
      <c r="AR379" s="304" t="str">
        <f t="shared" si="663"/>
        <v/>
      </c>
      <c r="AS379" s="423" t="str">
        <f t="shared" si="664"/>
        <v/>
      </c>
      <c r="AT379" s="304" t="str">
        <f t="shared" si="665"/>
        <v/>
      </c>
      <c r="AU379" s="342" t="e">
        <f t="shared" si="666"/>
        <v>#N/A</v>
      </c>
      <c r="AV379" s="304" t="e">
        <f t="shared" si="667"/>
        <v>#N/A</v>
      </c>
      <c r="AX379" s="304">
        <f>IF(AND('General price list'!$J379="F4",'General price list'!$AB379+0&gt;0),1,0)</f>
        <v>0</v>
      </c>
      <c r="AY379" s="304">
        <f t="shared" si="668"/>
        <v>1</v>
      </c>
      <c r="AZ379" s="304">
        <f t="shared" si="669"/>
        <v>0</v>
      </c>
    </row>
    <row r="380" spans="1:53" ht="15" customHeight="1">
      <c r="A380" s="725" t="str">
        <f>Kat.!C377</f>
        <v/>
      </c>
      <c r="B380" s="726">
        <f>IF(AND('General price list'!$J380="F4",$AI$1=FALSE),0,IF(AC380="SKLADEM",1,IF(AC380=$V$3,1,0)))</f>
        <v>1</v>
      </c>
      <c r="C380" s="727" t="s">
        <v>1069</v>
      </c>
      <c r="D380" s="728" t="s">
        <v>1070</v>
      </c>
      <c r="E380" s="729" t="s">
        <v>2656</v>
      </c>
      <c r="F380" s="725">
        <f>IFERROR(ROUND(IF($AL$3=2,VLOOKUP(C380,[2]List1!$A:$D,2,FALSE)*1.08,VLOOKUP(C380,[2]List1!$A:$D,2,FALSE)),0),"NEUVEDENO!")</f>
        <v>70</v>
      </c>
      <c r="G380" s="730">
        <f t="shared" si="740"/>
        <v>70</v>
      </c>
      <c r="H380" s="731">
        <f t="shared" si="741"/>
        <v>2.8444993477969356</v>
      </c>
      <c r="I380" s="732">
        <v>100</v>
      </c>
      <c r="J380" s="729" t="s">
        <v>257</v>
      </c>
      <c r="K380" s="729"/>
      <c r="L380" s="729" t="s">
        <v>24</v>
      </c>
      <c r="M380" s="729" t="s">
        <v>25</v>
      </c>
      <c r="N380" s="729">
        <f>IFERROR(VLOOKUP(C380,[3]List1!$A:$D,4,FALSE),"N/A!")</f>
        <v>2.0299999999999995E-2</v>
      </c>
      <c r="O380" s="729">
        <f>IFERROR(VLOOKUP(C380,[3]List1!$A:$D,3,FALSE),"N/A!")</f>
        <v>1250</v>
      </c>
      <c r="P380" s="729">
        <f>IFERROR(VLOOKUP(C380,[3]List1!$A:$D,2,FALSE),"N/A!")</f>
        <v>7000</v>
      </c>
      <c r="Q380" s="729" t="s">
        <v>217</v>
      </c>
      <c r="R380" s="729" t="s">
        <v>24</v>
      </c>
      <c r="S380" s="729"/>
      <c r="T380" s="729">
        <v>400</v>
      </c>
      <c r="U380" s="729"/>
      <c r="V380" s="729"/>
      <c r="W380" s="729" t="str">
        <f>IFERROR(VLOOKUP('General price list'!$C380,Popisy!A:P,MATCH($W$17,Popisy!$A$7:$P$7,0),FALSE),"---------------")</f>
        <v>2mm zelená zápalná šnůra, baleno po 5m</v>
      </c>
      <c r="X380" s="729" t="str">
        <f t="shared" si="742"/>
        <v/>
      </c>
      <c r="Y380" s="729" t="str">
        <f t="shared" si="743"/>
        <v/>
      </c>
      <c r="Z380" s="729" t="str">
        <f>HYPERLINK("https://www.klasekpyrotechnics.cz/zs5m")</f>
        <v>https://www.klasekpyrotechnics.cz/zs5m</v>
      </c>
      <c r="AA380" s="729">
        <f>IFERROR(IF(VLOOKUP(C380,[4]List1!$A:$D,4,FALSE)=0,"",VLOOKUP(C380,[4]List1!$A:$D,4,FALSE)),"")</f>
        <v>36</v>
      </c>
      <c r="AB380" s="720"/>
      <c r="AC380" s="733" t="str">
        <f>IFERROR(IF(VLOOKUP(C380,[1]List1!$A:$D,2,FALSE)="VYPRODÁNO",$V$9,IF(VLOOKUP(C380,[1]List1!$A:$D,2,FALSE)="DOCHÁZÍ",$V$3,VLOOKUP(C380,[1]List1!$A:$D,2,FALSE))),"OFFLINE!")</f>
        <v>SKLADEM</v>
      </c>
      <c r="AD380" s="734" t="str">
        <f ca="1">IF(AP380="NE",$V$10,IF(AC380=$V$3,IF(AQ380&lt;1,$V$8,$V$2&amp;" "&amp;AQ380&amp;" "&amp;$V$1),IF(AC380="SKLADEM",$V$6,IFERROR(IF(OR(AC380-TODAY()&gt;45,VLOOKUP(C380,[1]List1!$A:$E,4,FALSE)=0),AC380,DAY(AC380)&amp;"."&amp;MONTH(AC380)&amp;"."&amp;YEAR(AC380)&amp;" "&amp;$V$4&amp;VLOOKUP(C380,[1]List1!$A:$E,4,FALSE)&amp;" "&amp;$V$1),AC380))))</f>
        <v>SKLADEM</v>
      </c>
      <c r="AE380" s="729" t="str">
        <f t="shared" ca="1" si="744"/>
        <v>SKLADEM</v>
      </c>
      <c r="AF380" s="735">
        <f t="shared" si="745"/>
        <v>0</v>
      </c>
      <c r="AG380" s="735">
        <f t="shared" si="746"/>
        <v>0</v>
      </c>
      <c r="AH380" s="736">
        <f t="shared" si="747"/>
        <v>0</v>
      </c>
      <c r="AI380" s="729">
        <f t="shared" si="748"/>
        <v>0</v>
      </c>
      <c r="AJ380" s="729">
        <f t="shared" si="749"/>
        <v>0</v>
      </c>
      <c r="AK380" s="729" t="str">
        <f t="shared" si="750"/>
        <v/>
      </c>
      <c r="AL380" s="729" t="str">
        <f t="shared" si="751"/>
        <v/>
      </c>
      <c r="AM380" s="729">
        <f t="shared" si="752"/>
        <v>0</v>
      </c>
      <c r="AN380" s="729">
        <f t="shared" si="753"/>
        <v>0</v>
      </c>
      <c r="AO380" s="380"/>
      <c r="AP380" s="322" t="str">
        <f t="shared" si="662"/>
        <v/>
      </c>
      <c r="AQ380" s="323" t="str">
        <f>IF(AC380=$V$3,IF(VLOOKUP(C380,[1]List1!$A:$E,5,FALSE)=0,1,VLOOKUP(C380,[1]List1!$A:$E,5,FALSE)),"")</f>
        <v/>
      </c>
      <c r="AR380" s="304" t="str">
        <f t="shared" si="663"/>
        <v/>
      </c>
      <c r="AS380" s="423" t="str">
        <f t="shared" si="664"/>
        <v/>
      </c>
      <c r="AT380" s="304" t="str">
        <f t="shared" si="665"/>
        <v/>
      </c>
      <c r="AU380" s="342" t="e">
        <f t="shared" si="666"/>
        <v>#N/A</v>
      </c>
      <c r="AV380" s="304" t="e">
        <f t="shared" si="667"/>
        <v>#N/A</v>
      </c>
      <c r="AX380" s="304">
        <f>IF(AND('General price list'!$J380="F4",'General price list'!$AB380+0&gt;0),1,0)</f>
        <v>0</v>
      </c>
      <c r="AY380" s="304">
        <f t="shared" si="668"/>
        <v>1</v>
      </c>
      <c r="AZ380" s="304">
        <f t="shared" si="669"/>
        <v>0</v>
      </c>
    </row>
    <row r="381" spans="1:53" ht="15" customHeight="1">
      <c r="A381" s="773" t="str">
        <f>Kat.!C378</f>
        <v xml:space="preserve">                                                               Baterie raket 25-1000ran, 8mm moždíř-1.4G</v>
      </c>
      <c r="B381" s="774"/>
      <c r="C381" s="774"/>
      <c r="D381" s="774"/>
      <c r="E381" s="774"/>
      <c r="F381" s="774"/>
      <c r="G381" s="774"/>
      <c r="H381" s="774"/>
      <c r="I381" s="774"/>
      <c r="J381" s="774"/>
      <c r="K381" s="774"/>
      <c r="L381" s="774"/>
      <c r="M381" s="774"/>
      <c r="N381" s="774"/>
      <c r="O381" s="774"/>
      <c r="P381" s="774"/>
      <c r="Q381" s="774"/>
      <c r="R381" s="774"/>
      <c r="S381" s="774"/>
      <c r="T381" s="774"/>
      <c r="U381" s="774"/>
      <c r="V381" s="774"/>
      <c r="W381" s="774"/>
      <c r="X381" s="774"/>
      <c r="Y381" s="774"/>
      <c r="Z381" s="774"/>
      <c r="AA381" s="774" t="str">
        <f>IFERROR(IF(VLOOKUP(C381,[4]List1!$A:$D,4,FALSE)=0,"",VLOOKUP(C381,[4]List1!$A:$D,4,FALSE)),"")</f>
        <v/>
      </c>
      <c r="AB381" s="774"/>
      <c r="AC381" s="775" t="str">
        <f>IFERROR(IF(VLOOKUP(C381,[1]List1!$A:$D,2,FALSE)="VYPRODÁNO",$V$9,IF(VLOOKUP(C381,[1]List1!$A:$D,2,FALSE)="DOCHÁZÍ",$V$3,VLOOKUP(C381,[1]List1!$A:$D,2,FALSE))),"OFFLINE!")</f>
        <v>OFFLINE!</v>
      </c>
      <c r="AD381" s="774"/>
      <c r="AE381" s="774"/>
      <c r="AF381" s="774"/>
      <c r="AG381" s="774"/>
      <c r="AH381" s="774"/>
      <c r="AI381" s="774"/>
      <c r="AJ381" s="774"/>
      <c r="AK381" s="774"/>
      <c r="AL381" s="774"/>
      <c r="AM381" s="774"/>
      <c r="AN381" s="774"/>
      <c r="AO381" s="380"/>
      <c r="AP381" s="322" t="str">
        <f t="shared" si="662"/>
        <v/>
      </c>
      <c r="AQ381" s="323" t="str">
        <f>IF(AC381=$V$3,IF(VLOOKUP(C381,[1]List1!$A:$E,5,FALSE)=0,1,VLOOKUP(C381,[1]List1!$A:$E,5,FALSE)),"")</f>
        <v/>
      </c>
      <c r="AR381" s="304" t="str">
        <f t="shared" si="663"/>
        <v/>
      </c>
      <c r="AS381" s="423" t="str">
        <f t="shared" si="664"/>
        <v/>
      </c>
      <c r="AT381" s="304" t="str">
        <f t="shared" si="665"/>
        <v/>
      </c>
      <c r="AU381" s="342" t="e">
        <f t="shared" si="666"/>
        <v>#N/A</v>
      </c>
      <c r="AV381" s="304" t="e">
        <f t="shared" si="667"/>
        <v>#N/A</v>
      </c>
      <c r="AX381" s="304">
        <f>IF(AND('General price list'!$J381="F4",'General price list'!$AB381+0&gt;0),1,0)</f>
        <v>0</v>
      </c>
      <c r="AY381" s="304">
        <f t="shared" si="668"/>
        <v>0</v>
      </c>
      <c r="AZ381" s="304">
        <f t="shared" si="669"/>
        <v>0</v>
      </c>
    </row>
    <row r="382" spans="1:53" ht="15" customHeight="1">
      <c r="A382" s="725" t="str">
        <f>Kat.!C379</f>
        <v/>
      </c>
      <c r="B382" s="741">
        <f>IF(AND('General price list'!$J382="F4",$AI$1=FALSE),0,IF(AC382="SKLADEM",1,IF(AC382=$V$3,1,0)))</f>
        <v>1</v>
      </c>
      <c r="C382" s="727" t="s">
        <v>1079</v>
      </c>
      <c r="D382" s="728" t="s">
        <v>14555</v>
      </c>
      <c r="E382" s="729" t="s">
        <v>689</v>
      </c>
      <c r="F382" s="725">
        <f>IFERROR(ROUND(IF($AL$3=2,VLOOKUP(C382,[2]List1!$A:$D,2,FALSE)*1.08,VLOOKUP(C382,[2]List1!$A:$D,2,FALSE)),0),"NEUVEDENO!")</f>
        <v>134</v>
      </c>
      <c r="G382" s="730">
        <f t="shared" ref="G382:G385" si="754">(F382)*$B$19</f>
        <v>134</v>
      </c>
      <c r="H382" s="731">
        <f t="shared" ref="H382:H385" si="755">G382/$F$19</f>
        <v>5.4451844657827051</v>
      </c>
      <c r="I382" s="742">
        <v>30</v>
      </c>
      <c r="J382" s="729" t="s">
        <v>46</v>
      </c>
      <c r="K382" s="729"/>
      <c r="L382" s="729" t="s">
        <v>14365</v>
      </c>
      <c r="M382" s="729" t="s">
        <v>25</v>
      </c>
      <c r="N382" s="729">
        <f>IFERROR(VLOOKUP(C382,[3]List1!$A:$D,4,FALSE),"N/A!")</f>
        <v>2.8424000000000001E-2</v>
      </c>
      <c r="O382" s="729">
        <f>IFERROR(VLOOKUP(C382,[3]List1!$A:$D,3,FALSE),"N/A!")</f>
        <v>1920</v>
      </c>
      <c r="P382" s="729">
        <f>IFERROR(VLOOKUP(C382,[3]List1!$A:$D,2,FALSE),"N/A!")</f>
        <v>11300</v>
      </c>
      <c r="Q382" s="729" t="s">
        <v>14147</v>
      </c>
      <c r="R382" s="729" t="s">
        <v>24</v>
      </c>
      <c r="S382" s="729" t="str">
        <f>IF($W$17=$AF$1,"červená fólie",IFERROR(VLOOKUP("červená fólie",Jazyky_ceník!$A:$Q,MATCH($W$17,Jazyky_ceník!$A$1:$Q$1,0),FALSE),"!!!"))</f>
        <v>červená fólie</v>
      </c>
      <c r="T382" s="729">
        <v>20</v>
      </c>
      <c r="U382" s="729"/>
      <c r="V382" s="729"/>
      <c r="W382" s="729" t="str">
        <f>IFERROR(VLOOKUP('General price list'!$C382,Popisy!A:P,MATCH($W$17,Popisy!$A$7:$P$7,0),FALSE),"---------------")</f>
        <v>stříbrné pískající komety s explozí</v>
      </c>
      <c r="X382" s="729" t="str">
        <f t="shared" ref="X382:X385" si="756">IF(AB382&lt;0.0001,"",AB382)</f>
        <v/>
      </c>
      <c r="Y382" s="729" t="str">
        <f t="shared" ref="Y382:Y385" si="757">IF($AL$3=2,IF(OR(AB382&lt;&gt;"",AB382&lt;&gt;0),AU382,""),IF(C382="","",IF(AB382&lt;0.0001,"",IF(B382=0,"",IF(AQ382&lt;AB382,"",AB382)))))</f>
        <v/>
      </c>
      <c r="Z382" s="729" t="str">
        <f>HYPERLINK("https://www.klasekpyrotechnics.cz/c2508r")</f>
        <v>https://www.klasekpyrotechnics.cz/c2508r</v>
      </c>
      <c r="AA382" s="729">
        <f>IFERROR(IF(VLOOKUP(C382,[4]List1!$A:$D,4,FALSE)=0,"",VLOOKUP(C382,[4]List1!$A:$D,4,FALSE)),"")</f>
        <v>40</v>
      </c>
      <c r="AB382" s="720"/>
      <c r="AC382" s="743" t="str">
        <f>IFERROR(IF(VLOOKUP(C382,[1]List1!$A:$D,2,FALSE)="VYPRODÁNO",$V$9,IF(VLOOKUP(C382,[1]List1!$A:$D,2,FALSE)="DOCHÁZÍ",$V$3,VLOOKUP(C382,[1]List1!$A:$D,2,FALSE))),"OFFLINE!")</f>
        <v>SKLADEM</v>
      </c>
      <c r="AD382" s="744" t="str">
        <f ca="1">IF(AP382="NE",$V$10,IF(AC382=$V$3,IF(AQ382&lt;1,$V$8,$V$2&amp;" "&amp;AQ382&amp;" "&amp;$V$1),IF(AC382="SKLADEM",$V$6,IFERROR(IF(OR(AC382-TODAY()&gt;45,VLOOKUP(C382,[1]List1!$A:$E,4,FALSE)=0),AC382,DAY(AC382)&amp;"."&amp;MONTH(AC382)&amp;"."&amp;YEAR(AC382)&amp;" "&amp;$V$4&amp;VLOOKUP(C382,[1]List1!$A:$E,4,FALSE)&amp;" "&amp;$V$1),AC382))))</f>
        <v>SKLADEM</v>
      </c>
      <c r="AE382" s="729" t="str">
        <f t="shared" ref="AE382:AE385" ca="1" si="758">IFERROR(IF(AV382&lt;&gt;"",AV382,AD382),AD382)</f>
        <v>SKLADEM</v>
      </c>
      <c r="AF382" s="735">
        <f t="shared" ref="AF382:AF385" si="759">IFERROR(IF(AB382=Y382,G382*I382*Y382,0),0)</f>
        <v>0</v>
      </c>
      <c r="AG382" s="735">
        <f t="shared" ref="AG382:AG385" si="760">IF($W$17=$AF$8,AH382*1.23,AF382*1.21)</f>
        <v>0</v>
      </c>
      <c r="AH382" s="736">
        <f t="shared" ref="AH382:AH385" si="761">IFERROR(IF(Y382=AB382,H382*I382*Y382,0),0)</f>
        <v>0</v>
      </c>
      <c r="AI382" s="729">
        <f t="shared" ref="AI382:AI385" si="762">IFERROR(IF(Y382=AB382,(P382*Y382)/1000,1),0)</f>
        <v>0</v>
      </c>
      <c r="AJ382" s="729">
        <f t="shared" ref="AJ382:AJ385" si="763">IFERROR(IF(Y382=AB382,N382*Y382,0.1),0)</f>
        <v>0</v>
      </c>
      <c r="AK382" s="729" t="str">
        <f t="shared" ref="AK382:AK385" si="764">IFERROR(IF(Y382=AB382,IF(M382="1.1G",(O382/1000)*Y382,""),""),0)</f>
        <v/>
      </c>
      <c r="AL382" s="729" t="str">
        <f t="shared" ref="AL382:AL385" si="765">IFERROR(IF(Y382=AB382,IF(M382="1.3G",(O382/1000)*AB382,""),""),0)</f>
        <v/>
      </c>
      <c r="AM382" s="729">
        <f t="shared" ref="AM382:AM385" si="766">IFERROR(IF(Y382=AB382,IF(M382="1.4G",(O382/1000)*AB382,""),""),0)</f>
        <v>0</v>
      </c>
      <c r="AN382" s="729">
        <f t="shared" ref="AN382:AN385" si="767">SUM(AK382:AM382)</f>
        <v>0</v>
      </c>
      <c r="AO382" s="380"/>
      <c r="AP382" s="322" t="str">
        <f t="shared" si="662"/>
        <v/>
      </c>
      <c r="AQ382" s="323" t="str">
        <f>IF(AC382=$V$3,IF(VLOOKUP(C382,[1]List1!$A:$E,5,FALSE)=0,1,VLOOKUP(C382,[1]List1!$A:$E,5,FALSE)),"")</f>
        <v/>
      </c>
      <c r="AR382" s="304" t="str">
        <f t="shared" si="663"/>
        <v/>
      </c>
      <c r="AS382" s="423" t="str">
        <f t="shared" si="664"/>
        <v/>
      </c>
      <c r="AT382" s="304" t="str">
        <f t="shared" si="665"/>
        <v/>
      </c>
      <c r="AU382" s="342" t="e">
        <f t="shared" si="666"/>
        <v>#N/A</v>
      </c>
      <c r="AV382" s="304" t="e">
        <f t="shared" si="667"/>
        <v>#N/A</v>
      </c>
      <c r="AX382" s="304">
        <f>IF(AND('General price list'!$J382="F4",'General price list'!$AB382+0&gt;0),1,0)</f>
        <v>0</v>
      </c>
      <c r="AY382" s="304">
        <f t="shared" si="668"/>
        <v>1</v>
      </c>
      <c r="AZ382" s="304">
        <f t="shared" si="669"/>
        <v>0</v>
      </c>
    </row>
    <row r="383" spans="1:53" s="596" customFormat="1" ht="15" customHeight="1">
      <c r="A383" s="712" t="str">
        <f>Kat.!C380</f>
        <v/>
      </c>
      <c r="B383" s="745">
        <f>IF(AND('General price list'!$J383="F4",$AI$1=FALSE),0,IF(AC383="SKLADEM",1,IF(AC383=$V$3,1,0)))</f>
        <v>1</v>
      </c>
      <c r="C383" s="714" t="s">
        <v>1083</v>
      </c>
      <c r="D383" s="715" t="s">
        <v>14556</v>
      </c>
      <c r="E383" s="716" t="s">
        <v>1084</v>
      </c>
      <c r="F383" s="712">
        <f>IFERROR(ROUND(IF($AL$3=2,VLOOKUP(C383,[2]List1!$A:$D,2,FALSE)*1.08,VLOOKUP(C383,[2]List1!$A:$D,2,FALSE)),0),"NEUVEDENO!")</f>
        <v>132</v>
      </c>
      <c r="G383" s="717">
        <f t="shared" si="754"/>
        <v>132</v>
      </c>
      <c r="H383" s="718">
        <f t="shared" si="755"/>
        <v>5.36391305584565</v>
      </c>
      <c r="I383" s="746">
        <v>60</v>
      </c>
      <c r="J383" s="716" t="s">
        <v>46</v>
      </c>
      <c r="K383" s="716"/>
      <c r="L383" s="716" t="s">
        <v>14384</v>
      </c>
      <c r="M383" s="716" t="s">
        <v>25</v>
      </c>
      <c r="N383" s="716">
        <f>IFERROR(VLOOKUP(C383,[3]List1!$A:$D,4,FALSE),"N/A!")</f>
        <v>5.4450000000000005E-2</v>
      </c>
      <c r="O383" s="716">
        <f>IFERROR(VLOOKUP(C383,[3]List1!$A:$D,3,FALSE),"N/A!")</f>
        <v>3840</v>
      </c>
      <c r="P383" s="716">
        <f>IFERROR(VLOOKUP(C383,[3]List1!$A:$D,2,FALSE),"N/A!")</f>
        <v>22000</v>
      </c>
      <c r="Q383" s="716" t="s">
        <v>1283</v>
      </c>
      <c r="R383" s="716" t="s">
        <v>24</v>
      </c>
      <c r="S383" s="716" t="str">
        <f>IF($W$17=$AF$1,"červená fólie",IFERROR(VLOOKUP("červená fólie",Jazyky_ceník!$A:$Q,MATCH($W$17,Jazyky_ceník!$A$1:$Q$1,0),FALSE),"!!!"))</f>
        <v>červená fólie</v>
      </c>
      <c r="T383" s="716">
        <v>50</v>
      </c>
      <c r="U383" s="716"/>
      <c r="V383" s="716"/>
      <c r="W383" s="716" t="str">
        <f>IFERROR(VLOOKUP('General price list'!$C383,Popisy!A:P,MATCH($W$17,Popisy!$A$7:$P$7,0),FALSE),"---------------")</f>
        <v>stříbrné pískající komety s explozí</v>
      </c>
      <c r="X383" s="716" t="str">
        <f t="shared" si="756"/>
        <v/>
      </c>
      <c r="Y383" s="716" t="str">
        <f t="shared" si="757"/>
        <v/>
      </c>
      <c r="Z383" s="716" t="str">
        <f>HYPERLINK("https://www.klasekpyrotechnics.cz/c10008r")</f>
        <v>https://www.klasekpyrotechnics.cz/c10008r</v>
      </c>
      <c r="AA383" s="716" t="str">
        <f>IFERROR(IF(VLOOKUP(C383,[4]List1!$A:$D,4,FALSE)=0,"",VLOOKUP(C383,[4]List1!$A:$D,4,FALSE)),"")</f>
        <v>21</v>
      </c>
      <c r="AB383" s="720"/>
      <c r="AC383" s="747" t="str">
        <f>IFERROR(IF(VLOOKUP(C383,[1]List1!$A:$D,2,FALSE)="VYPRODÁNO",$V$9,IF(VLOOKUP(C383,[1]List1!$A:$D,2,FALSE)="DOCHÁZÍ",$V$3,VLOOKUP(C383,[1]List1!$A:$D,2,FALSE))),"OFFLINE!")</f>
        <v>SKLADEM</v>
      </c>
      <c r="AD383" s="748" t="str">
        <f ca="1">IF(AP383="NE",$V$10,IF(AC383=$V$3,IF(AQ383&lt;1,$V$8,$V$2&amp;" "&amp;AQ383&amp;" "&amp;$V$1),IF(AC383="SKLADEM",$V$6,IFERROR(IF(OR(AC383-TODAY()&gt;45,VLOOKUP(C383,[1]List1!$A:$E,4,FALSE)=0),AC383,DAY(AC383)&amp;"."&amp;MONTH(AC383)&amp;"."&amp;YEAR(AC383)&amp;" "&amp;$V$4&amp;VLOOKUP(C383,[1]List1!$A:$E,4,FALSE)&amp;" "&amp;$V$1),AC383))))</f>
        <v>SKLADEM</v>
      </c>
      <c r="AE383" s="716" t="str">
        <f t="shared" ca="1" si="758"/>
        <v>SKLADEM</v>
      </c>
      <c r="AF383" s="723">
        <f t="shared" si="759"/>
        <v>0</v>
      </c>
      <c r="AG383" s="723">
        <f t="shared" si="760"/>
        <v>0</v>
      </c>
      <c r="AH383" s="724">
        <f t="shared" si="761"/>
        <v>0</v>
      </c>
      <c r="AI383" s="716">
        <f t="shared" si="762"/>
        <v>0</v>
      </c>
      <c r="AJ383" s="716">
        <f t="shared" si="763"/>
        <v>0</v>
      </c>
      <c r="AK383" s="716" t="str">
        <f t="shared" si="764"/>
        <v/>
      </c>
      <c r="AL383" s="716" t="str">
        <f t="shared" si="765"/>
        <v/>
      </c>
      <c r="AM383" s="716">
        <f t="shared" si="766"/>
        <v>0</v>
      </c>
      <c r="AN383" s="716">
        <f t="shared" si="767"/>
        <v>0</v>
      </c>
      <c r="AO383" s="380"/>
      <c r="AP383" s="304" t="str">
        <f t="shared" si="662"/>
        <v/>
      </c>
      <c r="AQ383" s="304" t="str">
        <f>IF(AC383=$V$3,IF(VLOOKUP(C383,[1]List1!$A:$E,5,FALSE)=0,1,VLOOKUP(C383,[1]List1!$A:$E,5,FALSE)),"")</f>
        <v/>
      </c>
      <c r="AR383" s="304" t="str">
        <f t="shared" si="663"/>
        <v/>
      </c>
      <c r="AS383" s="304" t="str">
        <f t="shared" si="664"/>
        <v/>
      </c>
      <c r="AT383" s="304" t="str">
        <f t="shared" si="665"/>
        <v/>
      </c>
      <c r="AU383" s="304" t="e">
        <f t="shared" si="666"/>
        <v>#N/A</v>
      </c>
      <c r="AV383" s="304" t="e">
        <f t="shared" si="667"/>
        <v>#N/A</v>
      </c>
      <c r="AW383" s="304"/>
      <c r="AX383" s="304">
        <f>IF(AND('General price list'!$J383="F4",'General price list'!$AB383+0&gt;0),1,0)</f>
        <v>0</v>
      </c>
      <c r="AY383" s="304">
        <f t="shared" si="668"/>
        <v>1</v>
      </c>
      <c r="AZ383" s="304">
        <f t="shared" si="669"/>
        <v>0</v>
      </c>
      <c r="BA383" s="304"/>
    </row>
    <row r="384" spans="1:53" ht="15" customHeight="1">
      <c r="A384" s="725" t="str">
        <f>Kat.!C381</f>
        <v/>
      </c>
      <c r="B384" s="749">
        <f>IF(AND('General price list'!$J384="F4",$AI$1=FALSE),0,IF(AC384="SKLADEM",1,IF(AC384=$V$3,1,0)))</f>
        <v>1</v>
      </c>
      <c r="C384" s="727" t="s">
        <v>1086</v>
      </c>
      <c r="D384" s="728" t="s">
        <v>14557</v>
      </c>
      <c r="E384" s="729" t="s">
        <v>411</v>
      </c>
      <c r="F384" s="725">
        <f>IFERROR(ROUND(IF($AL$3=2,VLOOKUP(C384,[2]List1!$A:$D,2,FALSE)*1.08,VLOOKUP(C384,[2]List1!$A:$D,2,FALSE)),0),"NEUVEDENO!")</f>
        <v>363</v>
      </c>
      <c r="G384" s="730">
        <f t="shared" si="754"/>
        <v>363</v>
      </c>
      <c r="H384" s="731">
        <f t="shared" si="755"/>
        <v>14.750760903575536</v>
      </c>
      <c r="I384" s="750">
        <v>12</v>
      </c>
      <c r="J384" s="729" t="s">
        <v>46</v>
      </c>
      <c r="K384" s="729"/>
      <c r="L384" s="729" t="s">
        <v>14385</v>
      </c>
      <c r="M384" s="729" t="s">
        <v>25</v>
      </c>
      <c r="N384" s="729">
        <f>IFERROR(VLOOKUP(C384,[3]List1!$A:$D,4,FALSE),"N/A!")</f>
        <v>3.3599999999999998E-2</v>
      </c>
      <c r="O384" s="729">
        <f>IFERROR(VLOOKUP(C384,[3]List1!$A:$D,3,FALSE),"N/A!")</f>
        <v>2304</v>
      </c>
      <c r="P384" s="729">
        <f>IFERROR(VLOOKUP(C384,[3]List1!$A:$D,2,FALSE),"N/A!")</f>
        <v>15000</v>
      </c>
      <c r="Q384" s="729" t="s">
        <v>45</v>
      </c>
      <c r="R384" s="729" t="s">
        <v>24</v>
      </c>
      <c r="S384" s="729" t="str">
        <f>IF($W$17=$AF$1,"červená fólie",IFERROR(VLOOKUP("červená fólie",Jazyky_ceník!$A:$Q,MATCH($W$17,Jazyky_ceník!$A$1:$Q$1,0),FALSE),"!!!"))</f>
        <v>červená fólie</v>
      </c>
      <c r="T384" s="729">
        <v>80</v>
      </c>
      <c r="U384" s="729"/>
      <c r="V384" s="729"/>
      <c r="W384" s="729" t="str">
        <f>IFERROR(VLOOKUP('General price list'!$C384,Popisy!A:P,MATCH($W$17,Popisy!$A$7:$P$7,0),FALSE),"---------------")</f>
        <v>stříbrné pískající komety s explozí</v>
      </c>
      <c r="X384" s="729" t="str">
        <f t="shared" si="756"/>
        <v/>
      </c>
      <c r="Y384" s="729" t="str">
        <f t="shared" si="757"/>
        <v/>
      </c>
      <c r="Z384" s="729" t="str">
        <f>HYPERLINK("https://www.klasekpyrotechnics.cz/c30008r")</f>
        <v>https://www.klasekpyrotechnics.cz/c30008r</v>
      </c>
      <c r="AA384" s="729" t="str">
        <f>IFERROR(IF(VLOOKUP(C384,[4]List1!$A:$D,4,FALSE)=0,"",VLOOKUP(C384,[4]List1!$A:$D,4,FALSE)),"")</f>
        <v>40</v>
      </c>
      <c r="AB384" s="720"/>
      <c r="AC384" s="751" t="str">
        <f>IFERROR(IF(VLOOKUP(C384,[1]List1!$A:$D,2,FALSE)="VYPRODÁNO",$V$9,IF(VLOOKUP(C384,[1]List1!$A:$D,2,FALSE)="DOCHÁZÍ",$V$3,VLOOKUP(C384,[1]List1!$A:$D,2,FALSE))),"OFFLINE!")</f>
        <v>SKLADEM</v>
      </c>
      <c r="AD384" s="752" t="str">
        <f ca="1">IF(AP384="NE",$V$10,IF(AC384=$V$3,IF(AQ384&lt;1,$V$8,$V$2&amp;" "&amp;AQ384&amp;" "&amp;$V$1),IF(AC384="SKLADEM",$V$6,IFERROR(IF(OR(AC384-TODAY()&gt;45,VLOOKUP(C384,[1]List1!$A:$E,4,FALSE)=0),AC384,DAY(AC384)&amp;"."&amp;MONTH(AC384)&amp;"."&amp;YEAR(AC384)&amp;" "&amp;$V$4&amp;VLOOKUP(C384,[1]List1!$A:$E,4,FALSE)&amp;" "&amp;$V$1),AC384))))</f>
        <v>SKLADEM</v>
      </c>
      <c r="AE384" s="729" t="str">
        <f t="shared" ca="1" si="758"/>
        <v>SKLADEM</v>
      </c>
      <c r="AF384" s="735">
        <f t="shared" si="759"/>
        <v>0</v>
      </c>
      <c r="AG384" s="735">
        <f t="shared" si="760"/>
        <v>0</v>
      </c>
      <c r="AH384" s="736">
        <f t="shared" si="761"/>
        <v>0</v>
      </c>
      <c r="AI384" s="729">
        <f t="shared" si="762"/>
        <v>0</v>
      </c>
      <c r="AJ384" s="729">
        <f t="shared" si="763"/>
        <v>0</v>
      </c>
      <c r="AK384" s="729" t="str">
        <f t="shared" si="764"/>
        <v/>
      </c>
      <c r="AL384" s="729" t="str">
        <f t="shared" si="765"/>
        <v/>
      </c>
      <c r="AM384" s="729">
        <f t="shared" si="766"/>
        <v>0</v>
      </c>
      <c r="AN384" s="729">
        <f t="shared" si="767"/>
        <v>0</v>
      </c>
      <c r="AO384" s="380"/>
      <c r="AP384" s="322" t="str">
        <f t="shared" si="662"/>
        <v/>
      </c>
      <c r="AQ384" s="323" t="str">
        <f>IF(AC384=$V$3,IF(VLOOKUP(C384,[1]List1!$A:$E,5,FALSE)=0,1,VLOOKUP(C384,[1]List1!$A:$E,5,FALSE)),"")</f>
        <v/>
      </c>
      <c r="AR384" s="304" t="str">
        <f t="shared" si="663"/>
        <v/>
      </c>
      <c r="AS384" s="423" t="str">
        <f t="shared" si="664"/>
        <v/>
      </c>
      <c r="AT384" s="304" t="str">
        <f t="shared" si="665"/>
        <v/>
      </c>
      <c r="AU384" s="342" t="e">
        <f t="shared" si="666"/>
        <v>#N/A</v>
      </c>
      <c r="AV384" s="304" t="e">
        <f t="shared" si="667"/>
        <v>#N/A</v>
      </c>
      <c r="AX384" s="304">
        <f>IF(AND('General price list'!$J384="F4",'General price list'!$AB384+0&gt;0),1,0)</f>
        <v>0</v>
      </c>
      <c r="AY384" s="304">
        <f t="shared" si="668"/>
        <v>1</v>
      </c>
      <c r="AZ384" s="304">
        <f t="shared" si="669"/>
        <v>0</v>
      </c>
    </row>
    <row r="385" spans="1:52" ht="15" customHeight="1">
      <c r="A385" s="712" t="str">
        <f>Kat.!C382</f>
        <v/>
      </c>
      <c r="B385" s="745">
        <f>IF(AND('General price list'!$J385="F4",$AI$1=FALSE),0,IF(AC385="SKLADEM",1,IF(AC385=$V$3,1,0)))</f>
        <v>0</v>
      </c>
      <c r="C385" s="714" t="s">
        <v>1087</v>
      </c>
      <c r="D385" s="715" t="s">
        <v>14558</v>
      </c>
      <c r="E385" s="716" t="s">
        <v>810</v>
      </c>
      <c r="F385" s="712">
        <f>IFERROR(ROUND(IF($AL$3=2,VLOOKUP(C385,[2]List1!$A:$D,2,FALSE)*1.08,VLOOKUP(C385,[2]List1!$A:$D,2,FALSE)),0),"NEUVEDENO!")</f>
        <v>1299</v>
      </c>
      <c r="G385" s="717">
        <f t="shared" si="754"/>
        <v>1299</v>
      </c>
      <c r="H385" s="718">
        <f t="shared" si="755"/>
        <v>52.785780754117418</v>
      </c>
      <c r="I385" s="746">
        <v>3</v>
      </c>
      <c r="J385" s="716" t="s">
        <v>46</v>
      </c>
      <c r="K385" s="716"/>
      <c r="L385" s="716" t="s">
        <v>14385</v>
      </c>
      <c r="M385" s="716" t="s">
        <v>25</v>
      </c>
      <c r="N385" s="716">
        <f>IFERROR(VLOOKUP(C385,[3]List1!$A:$D,4,FALSE),"N/A!")</f>
        <v>2.4840000000000004E-2</v>
      </c>
      <c r="O385" s="716">
        <f>IFERROR(VLOOKUP(C385,[3]List1!$A:$D,3,FALSE),"N/A!")</f>
        <v>1494</v>
      </c>
      <c r="P385" s="716">
        <f>IFERROR(VLOOKUP(C385,[3]List1!$A:$D,2,FALSE),"N/A!")</f>
        <v>13000</v>
      </c>
      <c r="Q385" s="716" t="s">
        <v>14148</v>
      </c>
      <c r="R385" s="716" t="s">
        <v>24</v>
      </c>
      <c r="S385" s="716" t="str">
        <f>IF($W$17=$AF$1,"červená fólie",IFERROR(VLOOKUP("červená fólie",Jazyky_ceník!$A:$Q,MATCH($W$17,Jazyky_ceník!$A$1:$Q$1,0),FALSE),"!!!"))</f>
        <v>červená fólie</v>
      </c>
      <c r="T385" s="716">
        <v>100</v>
      </c>
      <c r="U385" s="716"/>
      <c r="V385" s="716"/>
      <c r="W385" s="716" t="str">
        <f>IFERROR(VLOOKUP('General price list'!$C385,Popisy!A:P,MATCH($W$17,Popisy!$A$7:$P$7,0),FALSE),"---------------")</f>
        <v>stříbrné pískající komety s explozí</v>
      </c>
      <c r="X385" s="716" t="str">
        <f t="shared" si="756"/>
        <v/>
      </c>
      <c r="Y385" s="716" t="str">
        <f t="shared" si="757"/>
        <v/>
      </c>
      <c r="Z385" s="716" t="str">
        <f>HYPERLINK("https://www.klasekpyrotechnics.cz/c100008r")</f>
        <v>https://www.klasekpyrotechnics.cz/c100008r</v>
      </c>
      <c r="AA385" s="716">
        <f>IFERROR(IF(VLOOKUP(C385,[4]List1!$A:$D,4,FALSE)=0,"",VLOOKUP(C385,[4]List1!$A:$D,4,FALSE)),"")</f>
        <v>63</v>
      </c>
      <c r="AB385" s="720"/>
      <c r="AC385" s="747" t="str">
        <f>IFERROR(IF(VLOOKUP(C385,[1]List1!$A:$D,2,FALSE)="VYPRODÁNO",$V$9,IF(VLOOKUP(C385,[1]List1!$A:$D,2,FALSE)="DOCHÁZÍ",$V$3,VLOOKUP(C385,[1]List1!$A:$D,2,FALSE))),"OFFLINE!")</f>
        <v>15.05.2024</v>
      </c>
      <c r="AD385" s="748" t="str">
        <f ca="1">IF(AP385="NE",$V$10,IF(AC385=$V$3,IF(AQ385&lt;1,$V$8,$V$2&amp;" "&amp;AQ385&amp;" "&amp;$V$1),IF(AC385="SKLADEM",$V$6,IFERROR(IF(OR(AC385-TODAY()&gt;45,VLOOKUP(C385,[1]List1!$A:$E,4,FALSE)=0),AC385,DAY(AC385)&amp;"."&amp;MONTH(AC385)&amp;"."&amp;YEAR(AC385)&amp;" "&amp;$V$4&amp;VLOOKUP(C385,[1]List1!$A:$E,4,FALSE)&amp;" "&amp;$V$1),AC385))))</f>
        <v>15.05.2024</v>
      </c>
      <c r="AE385" s="716" t="str">
        <f t="shared" ca="1" si="758"/>
        <v>15.05.2024</v>
      </c>
      <c r="AF385" s="723">
        <f t="shared" si="759"/>
        <v>0</v>
      </c>
      <c r="AG385" s="723">
        <f t="shared" si="760"/>
        <v>0</v>
      </c>
      <c r="AH385" s="724">
        <f t="shared" si="761"/>
        <v>0</v>
      </c>
      <c r="AI385" s="716">
        <f t="shared" si="762"/>
        <v>0</v>
      </c>
      <c r="AJ385" s="716">
        <f t="shared" si="763"/>
        <v>0</v>
      </c>
      <c r="AK385" s="716" t="str">
        <f t="shared" si="764"/>
        <v/>
      </c>
      <c r="AL385" s="716" t="str">
        <f t="shared" si="765"/>
        <v/>
      </c>
      <c r="AM385" s="716">
        <f t="shared" si="766"/>
        <v>0</v>
      </c>
      <c r="AN385" s="716">
        <f t="shared" si="767"/>
        <v>0</v>
      </c>
      <c r="AO385" s="380"/>
      <c r="AP385" s="322" t="str">
        <f t="shared" si="662"/>
        <v/>
      </c>
      <c r="AQ385" s="323" t="str">
        <f>IF(AC385=$V$3,IF(VLOOKUP(C385,[1]List1!$A:$E,5,FALSE)=0,1,VLOOKUP(C385,[1]List1!$A:$E,5,FALSE)),"")</f>
        <v/>
      </c>
      <c r="AR385" s="304" t="str">
        <f t="shared" si="663"/>
        <v/>
      </c>
      <c r="AS385" s="423" t="str">
        <f t="shared" si="664"/>
        <v/>
      </c>
      <c r="AT385" s="304" t="str">
        <f t="shared" si="665"/>
        <v/>
      </c>
      <c r="AU385" s="342" t="e">
        <f t="shared" si="666"/>
        <v>#N/A</v>
      </c>
      <c r="AV385" s="304" t="e">
        <f t="shared" si="667"/>
        <v>#N/A</v>
      </c>
      <c r="AX385" s="304">
        <f>IF(AND('General price list'!$J385="F4",'General price list'!$AB385+0&gt;0),1,0)</f>
        <v>0</v>
      </c>
      <c r="AY385" s="304">
        <f t="shared" si="668"/>
        <v>1</v>
      </c>
      <c r="AZ385" s="304">
        <f t="shared" si="669"/>
        <v>0</v>
      </c>
    </row>
    <row r="386" spans="1:52" ht="15" customHeight="1">
      <c r="A386" s="773" t="str">
        <f>Kat.!C383</f>
        <v xml:space="preserve">                                                               Baterie 100ran, 8mm moždíř-1.4G</v>
      </c>
      <c r="B386" s="774"/>
      <c r="C386" s="774"/>
      <c r="D386" s="774"/>
      <c r="E386" s="774"/>
      <c r="F386" s="774"/>
      <c r="G386" s="774"/>
      <c r="H386" s="774"/>
      <c r="I386" s="774"/>
      <c r="J386" s="774"/>
      <c r="K386" s="774"/>
      <c r="L386" s="774"/>
      <c r="M386" s="774"/>
      <c r="N386" s="774"/>
      <c r="O386" s="774"/>
      <c r="P386" s="774"/>
      <c r="Q386" s="774"/>
      <c r="R386" s="774"/>
      <c r="S386" s="774"/>
      <c r="T386" s="774"/>
      <c r="U386" s="774"/>
      <c r="V386" s="774"/>
      <c r="W386" s="774"/>
      <c r="X386" s="774"/>
      <c r="Y386" s="774"/>
      <c r="Z386" s="774"/>
      <c r="AA386" s="774" t="str">
        <f>IFERROR(IF(VLOOKUP(C386,[4]List1!$A:$D,4,FALSE)=0,"",VLOOKUP(C386,[4]List1!$A:$D,4,FALSE)),"")</f>
        <v/>
      </c>
      <c r="AB386" s="774"/>
      <c r="AC386" s="775" t="str">
        <f>IFERROR(IF(VLOOKUP(C386,[1]List1!$A:$D,2,FALSE)="VYPRODÁNO",$V$9,IF(VLOOKUP(C386,[1]List1!$A:$D,2,FALSE)="DOCHÁZÍ",$V$3,VLOOKUP(C386,[1]List1!$A:$D,2,FALSE))),"OFFLINE!")</f>
        <v>OFFLINE!</v>
      </c>
      <c r="AD386" s="774"/>
      <c r="AE386" s="774"/>
      <c r="AF386" s="774"/>
      <c r="AG386" s="774"/>
      <c r="AH386" s="774"/>
      <c r="AI386" s="774"/>
      <c r="AJ386" s="774"/>
      <c r="AK386" s="774"/>
      <c r="AL386" s="774"/>
      <c r="AM386" s="774"/>
      <c r="AN386" s="774"/>
      <c r="AO386" s="380"/>
      <c r="AP386" s="322" t="str">
        <f t="shared" si="662"/>
        <v/>
      </c>
      <c r="AQ386" s="323" t="str">
        <f>IF(AC386=$V$3,IF(VLOOKUP(C386,[1]List1!$A:$E,5,FALSE)=0,1,VLOOKUP(C386,[1]List1!$A:$E,5,FALSE)),"")</f>
        <v/>
      </c>
      <c r="AR386" s="304" t="str">
        <f t="shared" si="663"/>
        <v/>
      </c>
      <c r="AS386" s="423" t="str">
        <f t="shared" si="664"/>
        <v/>
      </c>
      <c r="AT386" s="304" t="str">
        <f t="shared" si="665"/>
        <v/>
      </c>
      <c r="AU386" s="342" t="e">
        <f t="shared" si="666"/>
        <v>#N/A</v>
      </c>
      <c r="AV386" s="304" t="e">
        <f t="shared" si="667"/>
        <v>#N/A</v>
      </c>
      <c r="AX386" s="304">
        <f>IF(AND('General price list'!$J386="F4",'General price list'!$AB386+0&gt;0),1,0)</f>
        <v>0</v>
      </c>
      <c r="AY386" s="304">
        <f t="shared" si="668"/>
        <v>0</v>
      </c>
      <c r="AZ386" s="304">
        <f t="shared" si="669"/>
        <v>0</v>
      </c>
    </row>
    <row r="387" spans="1:52" ht="15" customHeight="1">
      <c r="A387" s="712" t="str">
        <f>Kat.!C384</f>
        <v/>
      </c>
      <c r="B387" s="713">
        <f>IF(AND('General price list'!$J387="F4",$AI$1=FALSE),0,IF(AC387="SKLADEM",1,IF(AC387=$V$3,1,0)))</f>
        <v>1</v>
      </c>
      <c r="C387" s="714" t="s">
        <v>5061</v>
      </c>
      <c r="D387" s="715" t="s">
        <v>5062</v>
      </c>
      <c r="E387" s="716" t="s">
        <v>432</v>
      </c>
      <c r="F387" s="712">
        <f>IFERROR(ROUND(IF($AL$3=2,VLOOKUP(C387,[2]List1!$A:$D,2,FALSE)*1.08,VLOOKUP(C387,[2]List1!$A:$D,2,FALSE)),0),"NEUVEDENO!")</f>
        <v>128</v>
      </c>
      <c r="G387" s="717">
        <f>(F387)*$B$19</f>
        <v>128</v>
      </c>
      <c r="H387" s="718">
        <f>G387/$F$19</f>
        <v>5.201370235971539</v>
      </c>
      <c r="I387" s="719">
        <v>24</v>
      </c>
      <c r="J387" s="716" t="s">
        <v>46</v>
      </c>
      <c r="K387" s="716"/>
      <c r="L387" s="716" t="s">
        <v>14365</v>
      </c>
      <c r="M387" s="716" t="s">
        <v>25</v>
      </c>
      <c r="N387" s="716">
        <f>IFERROR(VLOOKUP(C387,[3]List1!$A:$D,4,FALSE),"N/A!")</f>
        <v>2.6533499999999998E-2</v>
      </c>
      <c r="O387" s="716">
        <f>IFERROR(VLOOKUP(C387,[3]List1!$A:$D,3,FALSE),"N/A!")</f>
        <v>1368</v>
      </c>
      <c r="P387" s="716">
        <f>IFERROR(VLOOKUP(C387,[3]List1!$A:$D,2,FALSE),"N/A!")</f>
        <v>13500</v>
      </c>
      <c r="Q387" s="716" t="s">
        <v>14098</v>
      </c>
      <c r="R387" s="716" t="s">
        <v>24</v>
      </c>
      <c r="S387" s="716" t="str">
        <f>IF($W$17=$AF$1,"design",IFERROR(VLOOKUP("design",Jazyky_ceník!$A:$Q,MATCH($W$17,Jazyky_ceník!$A$1:$Q$1,0),FALSE),"!!!"))</f>
        <v>design</v>
      </c>
      <c r="T387" s="716">
        <v>30</v>
      </c>
      <c r="U387" s="716"/>
      <c r="V387" s="716"/>
      <c r="W387" s="716" t="str">
        <f>IFERROR(VLOOKUP('General price list'!$C387,Popisy!A:P,MATCH($W$17,Popisy!$A$7:$P$7,0),FALSE),"---------------")</f>
        <v>barevné a práskající komety</v>
      </c>
      <c r="X387" s="716" t="str">
        <f>IF(AB387&lt;0.0001,"",AB387)</f>
        <v/>
      </c>
      <c r="Y387" s="716" t="str">
        <f>IF($AL$3=2,IF(OR(AB387&lt;&gt;"",AB387&lt;&gt;0),AU387,""),IF(C387="","",IF(AB387&lt;0.0001,"",IF(B387=0,"",IF(AQ387&lt;AB387,"",AB387)))))</f>
        <v/>
      </c>
      <c r="Z387" s="716" t="str">
        <f>HYPERLINK("https://www.klasekpyrotechnics.cz/c1008cc")</f>
        <v>https://www.klasekpyrotechnics.cz/c1008cc</v>
      </c>
      <c r="AA387" s="716">
        <f>IFERROR(IF(VLOOKUP(C387,[4]List1!$A:$D,4,FALSE)=0,"",VLOOKUP(C387,[4]List1!$A:$D,4,FALSE)),"")</f>
        <v>42</v>
      </c>
      <c r="AB387" s="720"/>
      <c r="AC387" s="721" t="str">
        <f>IFERROR(IF(VLOOKUP(C387,[1]List1!$A:$D,2,FALSE)="VYPRODÁNO",$V$9,IF(VLOOKUP(C387,[1]List1!$A:$D,2,FALSE)="DOCHÁZÍ",$V$3,VLOOKUP(C387,[1]List1!$A:$D,2,FALSE))),"OFFLINE!")</f>
        <v>SKLADEM</v>
      </c>
      <c r="AD387" s="722" t="str">
        <f ca="1">IF(AP387="NE",$V$10,IF(AC387=$V$3,IF(AQ387&lt;1,$V$8,$V$2&amp;" "&amp;AQ387&amp;" "&amp;$V$1),IF(AC387="SKLADEM",$V$6,IFERROR(IF(OR(AC387-TODAY()&gt;45,VLOOKUP(C387,[1]List1!$A:$E,4,FALSE)=0),AC387,DAY(AC387)&amp;"."&amp;MONTH(AC387)&amp;"."&amp;YEAR(AC387)&amp;" "&amp;$V$4&amp;VLOOKUP(C387,[1]List1!$A:$E,4,FALSE)&amp;" "&amp;$V$1),AC387))))</f>
        <v>SKLADEM</v>
      </c>
      <c r="AE387" s="716" t="str">
        <f t="shared" ref="AE387" ca="1" si="768">IFERROR(IF(AV387&lt;&gt;"",AV387,AD387),AD387)</f>
        <v>SKLADEM</v>
      </c>
      <c r="AF387" s="723">
        <f t="shared" ref="AF387" si="769">IFERROR(IF(AB387=Y387,G387*I387*Y387,0),0)</f>
        <v>0</v>
      </c>
      <c r="AG387" s="723">
        <f t="shared" ref="AG387" si="770">IF($W$17=$AF$8,AH387*1.23,AF387*1.21)</f>
        <v>0</v>
      </c>
      <c r="AH387" s="724">
        <f t="shared" ref="AH387" si="771">IFERROR(IF(Y387=AB387,H387*I387*Y387,0),0)</f>
        <v>0</v>
      </c>
      <c r="AI387" s="716">
        <f t="shared" ref="AI387" si="772">IFERROR(IF(Y387=AB387,(P387*Y387)/1000,1),0)</f>
        <v>0</v>
      </c>
      <c r="AJ387" s="716">
        <f t="shared" ref="AJ387" si="773">IFERROR(IF(Y387=AB387,N387*Y387,0.1),0)</f>
        <v>0</v>
      </c>
      <c r="AK387" s="716" t="str">
        <f t="shared" ref="AK387" si="774">IFERROR(IF(Y387=AB387,IF(M387="1.1G",(O387/1000)*Y387,""),""),0)</f>
        <v/>
      </c>
      <c r="AL387" s="716" t="str">
        <f t="shared" ref="AL387" si="775">IFERROR(IF(Y387=AB387,IF(M387="1.3G",(O387/1000)*AB387,""),""),0)</f>
        <v/>
      </c>
      <c r="AM387" s="716">
        <f t="shared" ref="AM387" si="776">IFERROR(IF(Y387=AB387,IF(M387="1.4G",(O387/1000)*AB387,""),""),0)</f>
        <v>0</v>
      </c>
      <c r="AN387" s="716">
        <f t="shared" ref="AN387" si="777">SUM(AK387:AM387)</f>
        <v>0</v>
      </c>
      <c r="AO387" s="380"/>
      <c r="AP387" s="322" t="str">
        <f t="shared" si="662"/>
        <v/>
      </c>
      <c r="AQ387" s="323" t="str">
        <f>IF(AC387=$V$3,IF(VLOOKUP(C387,[1]List1!$A:$E,5,FALSE)=0,1,VLOOKUP(C387,[1]List1!$A:$E,5,FALSE)),"")</f>
        <v/>
      </c>
      <c r="AR387" s="304" t="str">
        <f t="shared" si="663"/>
        <v/>
      </c>
      <c r="AS387" s="423" t="str">
        <f t="shared" si="664"/>
        <v/>
      </c>
      <c r="AT387" s="304" t="str">
        <f t="shared" si="665"/>
        <v/>
      </c>
      <c r="AU387" s="342" t="e">
        <f t="shared" si="666"/>
        <v>#N/A</v>
      </c>
      <c r="AV387" s="304" t="e">
        <f t="shared" si="667"/>
        <v>#N/A</v>
      </c>
      <c r="AX387" s="304">
        <f>IF(AND('General price list'!$J387="F4",'General price list'!$AB387+0&gt;0),1,0)</f>
        <v>0</v>
      </c>
      <c r="AY387" s="304">
        <f t="shared" si="668"/>
        <v>1</v>
      </c>
      <c r="AZ387" s="304">
        <f t="shared" si="669"/>
        <v>0</v>
      </c>
    </row>
    <row r="388" spans="1:52" ht="15" customHeight="1">
      <c r="A388" s="773" t="str">
        <f>Kat.!C385</f>
        <v xml:space="preserve">                                                               Baterie 16ran, 14mm moždíř-1.4G</v>
      </c>
      <c r="B388" s="774"/>
      <c r="C388" s="774"/>
      <c r="D388" s="774"/>
      <c r="E388" s="774"/>
      <c r="F388" s="774"/>
      <c r="G388" s="774"/>
      <c r="H388" s="774"/>
      <c r="I388" s="774"/>
      <c r="J388" s="774"/>
      <c r="K388" s="774"/>
      <c r="L388" s="774"/>
      <c r="M388" s="774"/>
      <c r="N388" s="774"/>
      <c r="O388" s="774"/>
      <c r="P388" s="774"/>
      <c r="Q388" s="774"/>
      <c r="R388" s="774"/>
      <c r="S388" s="774"/>
      <c r="T388" s="774"/>
      <c r="U388" s="774"/>
      <c r="V388" s="774"/>
      <c r="W388" s="774"/>
      <c r="X388" s="774"/>
      <c r="Y388" s="774"/>
      <c r="Z388" s="774"/>
      <c r="AA388" s="774" t="str">
        <f>IFERROR(IF(VLOOKUP(C388,[4]List1!$A:$D,4,FALSE)=0,"",VLOOKUP(C388,[4]List1!$A:$D,4,FALSE)),"")</f>
        <v/>
      </c>
      <c r="AB388" s="774"/>
      <c r="AC388" s="775" t="str">
        <f>IFERROR(IF(VLOOKUP(C388,[1]List1!$A:$D,2,FALSE)="VYPRODÁNO",$V$9,IF(VLOOKUP(C388,[1]List1!$A:$D,2,FALSE)="DOCHÁZÍ",$V$3,VLOOKUP(C388,[1]List1!$A:$D,2,FALSE))),"OFFLINE!")</f>
        <v>OFFLINE!</v>
      </c>
      <c r="AD388" s="774"/>
      <c r="AE388" s="774"/>
      <c r="AF388" s="774"/>
      <c r="AG388" s="774"/>
      <c r="AH388" s="774"/>
      <c r="AI388" s="774"/>
      <c r="AJ388" s="774"/>
      <c r="AK388" s="774"/>
      <c r="AL388" s="774"/>
      <c r="AM388" s="774"/>
      <c r="AN388" s="774"/>
      <c r="AO388" s="380"/>
      <c r="AP388" s="322" t="str">
        <f t="shared" si="662"/>
        <v/>
      </c>
      <c r="AQ388" s="323" t="str">
        <f>IF(AC388=$V$3,IF(VLOOKUP(C388,[1]List1!$A:$E,5,FALSE)=0,1,VLOOKUP(C388,[1]List1!$A:$E,5,FALSE)),"")</f>
        <v/>
      </c>
      <c r="AR388" s="304" t="str">
        <f t="shared" si="663"/>
        <v/>
      </c>
      <c r="AS388" s="423" t="str">
        <f t="shared" si="664"/>
        <v/>
      </c>
      <c r="AT388" s="304" t="str">
        <f t="shared" si="665"/>
        <v/>
      </c>
      <c r="AU388" s="342" t="e">
        <f t="shared" si="666"/>
        <v>#N/A</v>
      </c>
      <c r="AV388" s="304" t="e">
        <f t="shared" si="667"/>
        <v>#N/A</v>
      </c>
      <c r="AX388" s="304">
        <f>IF(AND('General price list'!$J388="F4",'General price list'!$AB388+0&gt;0),1,0)</f>
        <v>0</v>
      </c>
      <c r="AY388" s="304">
        <f t="shared" si="668"/>
        <v>0</v>
      </c>
      <c r="AZ388" s="304">
        <f t="shared" si="669"/>
        <v>0</v>
      </c>
    </row>
    <row r="389" spans="1:52" ht="15" customHeight="1">
      <c r="A389" s="712" t="str">
        <f>Kat.!C386</f>
        <v/>
      </c>
      <c r="B389" s="713">
        <f>IF(AND('General price list'!$J389="F4",$AI$1=FALSE),0,IF(AC389="SKLADEM",1,IF(AC389=$V$3,1,0)))</f>
        <v>0</v>
      </c>
      <c r="C389" s="714" t="s">
        <v>1089</v>
      </c>
      <c r="D389" s="715" t="s">
        <v>1088</v>
      </c>
      <c r="E389" s="716" t="s">
        <v>256</v>
      </c>
      <c r="F389" s="712">
        <f>IFERROR(ROUND(IF($AL$3=2,VLOOKUP(C389,[2]List1!$A:$D,2,FALSE)*1.08,VLOOKUP(C389,[2]List1!$A:$D,2,FALSE)),0),"NEUVEDENO!")</f>
        <v>106</v>
      </c>
      <c r="G389" s="717">
        <f>(F389)*$B$19</f>
        <v>106</v>
      </c>
      <c r="H389" s="718">
        <f>G389/$F$19</f>
        <v>4.3073847266639307</v>
      </c>
      <c r="I389" s="719">
        <v>50</v>
      </c>
      <c r="J389" s="716" t="s">
        <v>46</v>
      </c>
      <c r="K389" s="716">
        <v>5</v>
      </c>
      <c r="L389" s="716" t="s">
        <v>14369</v>
      </c>
      <c r="M389" s="716" t="s">
        <v>25</v>
      </c>
      <c r="N389" s="716">
        <f>IFERROR(VLOOKUP(C389,[3]List1!$A:$D,4,FALSE),"N/A!")</f>
        <v>2.7436000000000002E-2</v>
      </c>
      <c r="O389" s="716">
        <f>IFERROR(VLOOKUP(C389,[3]List1!$A:$D,3,FALSE),"N/A!")</f>
        <v>2100</v>
      </c>
      <c r="P389" s="716">
        <f>IFERROR(VLOOKUP(C389,[3]List1!$A:$D,2,FALSE),"N/A!")</f>
        <v>14500</v>
      </c>
      <c r="Q389" s="716" t="s">
        <v>217</v>
      </c>
      <c r="R389" s="716" t="s">
        <v>24</v>
      </c>
      <c r="S389" s="716" t="str">
        <f>IF($W$17=$AF$1,"design",IFERROR(VLOOKUP("design",Jazyky_ceník!$A:$Q,MATCH($W$17,Jazyky_ceník!$A$1:$Q$1,0),FALSE),"!!!"))</f>
        <v>design</v>
      </c>
      <c r="T389" s="716">
        <v>15</v>
      </c>
      <c r="U389" s="716">
        <v>18</v>
      </c>
      <c r="V389" s="716">
        <v>11</v>
      </c>
      <c r="W389" s="716" t="str">
        <f>IFERROR(VLOOKUP('General price list'!$C389,Popisy!A:P,MATCH($W$17,Popisy!$A$7:$P$7,0),FALSE),"---------------")</f>
        <v>4 různobarevné efekty</v>
      </c>
      <c r="X389" s="716" t="str">
        <f>IF(AB389&lt;0.0001,"",AB389)</f>
        <v/>
      </c>
      <c r="Y389" s="716" t="str">
        <f>IF($AL$3=2,IF(OR(AB389&lt;&gt;"",AB389&lt;&gt;0),AU389,""),IF(C389="","",IF(AB389&lt;0.0001,"",IF(B389=0,"",IF(AQ389&lt;AB389,"",AB389)))))</f>
        <v/>
      </c>
      <c r="Z389" s="716" t="str">
        <f>HYPERLINK("https://www.klasekpyrotechnics.cz/c1614e14")</f>
        <v>https://www.klasekpyrotechnics.cz/c1614e14</v>
      </c>
      <c r="AA389" s="716">
        <f>IFERROR(IF(VLOOKUP(C389,[4]List1!$A:$D,4,FALSE)=0,"",VLOOKUP(C389,[4]List1!$A:$D,4,FALSE)),"")</f>
        <v>48</v>
      </c>
      <c r="AB389" s="720"/>
      <c r="AC389" s="721" t="str">
        <f>IFERROR(IF(VLOOKUP(C389,[1]List1!$A:$D,2,FALSE)="VYPRODÁNO",$V$9,IF(VLOOKUP(C389,[1]List1!$A:$D,2,FALSE)="DOCHÁZÍ",$V$3,VLOOKUP(C389,[1]List1!$A:$D,2,FALSE))),"OFFLINE!")</f>
        <v>30.09.2024</v>
      </c>
      <c r="AD389" s="722" t="str">
        <f ca="1">IF(AP389="NE",$V$10,IF(AC389=$V$3,IF(AQ389&lt;1,$V$8,$V$2&amp;" "&amp;AQ389&amp;" "&amp;$V$1),IF(AC389="SKLADEM",$V$6,IFERROR(IF(OR(AC389-TODAY()&gt;45,VLOOKUP(C389,[1]List1!$A:$E,4,FALSE)=0),AC389,DAY(AC389)&amp;"."&amp;MONTH(AC389)&amp;"."&amp;YEAR(AC389)&amp;" "&amp;$V$4&amp;VLOOKUP(C389,[1]List1!$A:$E,4,FALSE)&amp;" "&amp;$V$1),AC389))))</f>
        <v>30.09.2024</v>
      </c>
      <c r="AE389" s="716" t="str">
        <f t="shared" ref="AE389" ca="1" si="778">IFERROR(IF(AV389&lt;&gt;"",AV389,AD389),AD389)</f>
        <v>30.09.2024</v>
      </c>
      <c r="AF389" s="723">
        <f t="shared" ref="AF389" si="779">IFERROR(IF(AB389=Y389,G389*I389*Y389,0),0)</f>
        <v>0</v>
      </c>
      <c r="AG389" s="723">
        <f t="shared" ref="AG389" si="780">IF($W$17=$AF$8,AH389*1.23,AF389*1.21)</f>
        <v>0</v>
      </c>
      <c r="AH389" s="724">
        <f t="shared" ref="AH389" si="781">IFERROR(IF(Y389=AB389,H389*I389*Y389,0),0)</f>
        <v>0</v>
      </c>
      <c r="AI389" s="716">
        <f t="shared" ref="AI389" si="782">IFERROR(IF(Y389=AB389,(P389*Y389)/1000,1),0)</f>
        <v>0</v>
      </c>
      <c r="AJ389" s="716">
        <f t="shared" ref="AJ389" si="783">IFERROR(IF(Y389=AB389,N389*Y389,0.1),0)</f>
        <v>0</v>
      </c>
      <c r="AK389" s="716" t="str">
        <f t="shared" ref="AK389" si="784">IFERROR(IF(Y389=AB389,IF(M389="1.1G",(O389/1000)*Y389,""),""),0)</f>
        <v/>
      </c>
      <c r="AL389" s="716" t="str">
        <f t="shared" ref="AL389" si="785">IFERROR(IF(Y389=AB389,IF(M389="1.3G",(O389/1000)*AB389,""),""),0)</f>
        <v/>
      </c>
      <c r="AM389" s="716">
        <f t="shared" ref="AM389" si="786">IFERROR(IF(Y389=AB389,IF(M389="1.4G",(O389/1000)*AB389,""),""),0)</f>
        <v>0</v>
      </c>
      <c r="AN389" s="716">
        <f t="shared" ref="AN389" si="787">SUM(AK389:AM389)</f>
        <v>0</v>
      </c>
      <c r="AO389" s="380"/>
      <c r="AP389" s="322" t="str">
        <f t="shared" si="662"/>
        <v/>
      </c>
      <c r="AQ389" s="323" t="str">
        <f>IF(AC389=$V$3,IF(VLOOKUP(C389,[1]List1!$A:$E,5,FALSE)=0,1,VLOOKUP(C389,[1]List1!$A:$E,5,FALSE)),"")</f>
        <v/>
      </c>
      <c r="AR389" s="304" t="str">
        <f t="shared" si="663"/>
        <v/>
      </c>
      <c r="AS389" s="423" t="str">
        <f t="shared" si="664"/>
        <v/>
      </c>
      <c r="AT389" s="304" t="str">
        <f t="shared" si="665"/>
        <v/>
      </c>
      <c r="AU389" s="342" t="e">
        <f t="shared" si="666"/>
        <v>#N/A</v>
      </c>
      <c r="AV389" s="304" t="e">
        <f t="shared" si="667"/>
        <v>#N/A</v>
      </c>
      <c r="AX389" s="304">
        <f>IF(AND('General price list'!$J389="F4",'General price list'!$AB389+0&gt;0),1,0)</f>
        <v>0</v>
      </c>
      <c r="AY389" s="304">
        <f t="shared" si="668"/>
        <v>1</v>
      </c>
      <c r="AZ389" s="304">
        <f t="shared" si="669"/>
        <v>0</v>
      </c>
    </row>
    <row r="390" spans="1:52" ht="15" customHeight="1">
      <c r="A390" s="773" t="str">
        <f>Kat.!C387</f>
        <v xml:space="preserve">                                                               Baterie 100ran, 14mm moždíř-1.3G</v>
      </c>
      <c r="B390" s="774"/>
      <c r="C390" s="774"/>
      <c r="D390" s="774"/>
      <c r="E390" s="774"/>
      <c r="F390" s="774"/>
      <c r="G390" s="774"/>
      <c r="H390" s="774"/>
      <c r="I390" s="774"/>
      <c r="J390" s="774"/>
      <c r="K390" s="774"/>
      <c r="L390" s="774"/>
      <c r="M390" s="774"/>
      <c r="N390" s="774"/>
      <c r="O390" s="774"/>
      <c r="P390" s="774"/>
      <c r="Q390" s="774"/>
      <c r="R390" s="774"/>
      <c r="S390" s="774"/>
      <c r="T390" s="774"/>
      <c r="U390" s="774"/>
      <c r="V390" s="774"/>
      <c r="W390" s="774"/>
      <c r="X390" s="774"/>
      <c r="Y390" s="774"/>
      <c r="Z390" s="774"/>
      <c r="AA390" s="774" t="str">
        <f>IFERROR(IF(VLOOKUP(C390,[4]List1!$A:$D,4,FALSE)=0,"",VLOOKUP(C390,[4]List1!$A:$D,4,FALSE)),"")</f>
        <v/>
      </c>
      <c r="AB390" s="774"/>
      <c r="AC390" s="775" t="str">
        <f>IFERROR(IF(VLOOKUP(C390,[1]List1!$A:$D,2,FALSE)="VYPRODÁNO",$V$9,IF(VLOOKUP(C390,[1]List1!$A:$D,2,FALSE)="DOCHÁZÍ",$V$3,VLOOKUP(C390,[1]List1!$A:$D,2,FALSE))),"OFFLINE!")</f>
        <v>OFFLINE!</v>
      </c>
      <c r="AD390" s="774"/>
      <c r="AE390" s="774"/>
      <c r="AF390" s="774"/>
      <c r="AG390" s="774"/>
      <c r="AH390" s="774"/>
      <c r="AI390" s="774"/>
      <c r="AJ390" s="774"/>
      <c r="AK390" s="774"/>
      <c r="AL390" s="774"/>
      <c r="AM390" s="774"/>
      <c r="AN390" s="774"/>
      <c r="AO390" s="380"/>
      <c r="AP390" s="322" t="str">
        <f t="shared" si="662"/>
        <v/>
      </c>
      <c r="AQ390" s="323" t="str">
        <f>IF(AC390=$V$3,IF(VLOOKUP(C390,[1]List1!$A:$E,5,FALSE)=0,1,VLOOKUP(C390,[1]List1!$A:$E,5,FALSE)),"")</f>
        <v/>
      </c>
      <c r="AR390" s="304" t="str">
        <f t="shared" si="663"/>
        <v/>
      </c>
      <c r="AS390" s="423" t="str">
        <f t="shared" si="664"/>
        <v/>
      </c>
      <c r="AT390" s="304" t="str">
        <f t="shared" si="665"/>
        <v/>
      </c>
      <c r="AU390" s="342" t="e">
        <f t="shared" si="666"/>
        <v>#N/A</v>
      </c>
      <c r="AV390" s="304" t="e">
        <f t="shared" si="667"/>
        <v>#N/A</v>
      </c>
      <c r="AX390" s="304">
        <f>IF(AND('General price list'!$J390="F4",'General price list'!$AB390+0&gt;0),1,0)</f>
        <v>0</v>
      </c>
      <c r="AY390" s="304">
        <f t="shared" si="668"/>
        <v>0</v>
      </c>
      <c r="AZ390" s="304">
        <f t="shared" si="669"/>
        <v>0</v>
      </c>
    </row>
    <row r="391" spans="1:52" ht="15" customHeight="1">
      <c r="A391" s="712" t="str">
        <f>Kat.!C388</f>
        <v/>
      </c>
      <c r="B391" s="713">
        <f>IF(AND('General price list'!$J391="F4",$AI$1=FALSE),0,IF(AC391="SKLADEM",1,IF(AC391=$V$3,1,0)))</f>
        <v>1</v>
      </c>
      <c r="C391" s="714" t="s">
        <v>1090</v>
      </c>
      <c r="D391" s="715" t="s">
        <v>1091</v>
      </c>
      <c r="E391" s="716" t="s">
        <v>411</v>
      </c>
      <c r="F391" s="712">
        <f>IFERROR(ROUND(IF($AL$3=2,VLOOKUP(C391,[2]List1!$A:$D,2,FALSE)*1.08,VLOOKUP(C391,[2]List1!$A:$D,2,FALSE)),0),"NEUVEDENO!")</f>
        <v>592</v>
      </c>
      <c r="G391" s="717">
        <f>(F391)*$B$19</f>
        <v>592</v>
      </c>
      <c r="H391" s="718">
        <f>G391/$F$19</f>
        <v>24.056337341368369</v>
      </c>
      <c r="I391" s="719">
        <v>12</v>
      </c>
      <c r="J391" s="716" t="s">
        <v>46</v>
      </c>
      <c r="K391" s="716"/>
      <c r="L391" s="716" t="s">
        <v>24</v>
      </c>
      <c r="M391" s="716" t="s">
        <v>138</v>
      </c>
      <c r="N391" s="716">
        <f>IFERROR(VLOOKUP(C391,[3]List1!$A:$D,4,FALSE),"N/A!")</f>
        <v>4.1496000000000005E-2</v>
      </c>
      <c r="O391" s="716">
        <f>IFERROR(VLOOKUP(C391,[3]List1!$A:$D,3,FALSE),"N/A!")</f>
        <v>3360</v>
      </c>
      <c r="P391" s="716">
        <f>IFERROR(VLOOKUP(C391,[3]List1!$A:$D,2,FALSE),"N/A!")</f>
        <v>21000</v>
      </c>
      <c r="Q391" s="716" t="s">
        <v>45</v>
      </c>
      <c r="R391" s="716" t="s">
        <v>24</v>
      </c>
      <c r="S391" s="716" t="str">
        <f>IF($W$17=$AF$1,"design",IFERROR(VLOOKUP("design",Jazyky_ceník!$A:$Q,MATCH($W$17,Jazyky_ceník!$A$1:$Q$1,0),FALSE),"!!!"))</f>
        <v>design</v>
      </c>
      <c r="T391" s="716">
        <v>60</v>
      </c>
      <c r="U391" s="716">
        <v>18</v>
      </c>
      <c r="V391" s="716">
        <v>13</v>
      </c>
      <c r="W391" s="716" t="str">
        <f>IFERROR(VLOOKUP('General price list'!$C391,Popisy!A:P,MATCH($W$17,Popisy!$A$7:$P$7,0),FALSE),"---------------")</f>
        <v>10 různobarevných efektů</v>
      </c>
      <c r="X391" s="716" t="str">
        <f>IF(AB391&lt;0.0001,"",AB391)</f>
        <v/>
      </c>
      <c r="Y391" s="716" t="str">
        <f>IF($AL$3=2,IF(OR(AB391&lt;&gt;"",AB391&lt;&gt;0),AU391,""),IF(C391="","",IF(AB391&lt;0.0001,"",IF(B391=0,"",IF(AQ391&lt;AB391,"",AB391)))))</f>
        <v/>
      </c>
      <c r="Z391" s="716" t="str">
        <f>HYPERLINK("https://www.klasekpyrotechnics.cz/c10014a")</f>
        <v>https://www.klasekpyrotechnics.cz/c10014a</v>
      </c>
      <c r="AA391" s="716">
        <f>IFERROR(IF(VLOOKUP(C391,[4]List1!$A:$D,4,FALSE)=0,"",VLOOKUP(C391,[4]List1!$A:$D,4,FALSE)),"")</f>
        <v>32</v>
      </c>
      <c r="AB391" s="720"/>
      <c r="AC391" s="721" t="str">
        <f>IFERROR(IF(VLOOKUP(C391,[1]List1!$A:$D,2,FALSE)="VYPRODÁNO",$V$9,IF(VLOOKUP(C391,[1]List1!$A:$D,2,FALSE)="DOCHÁZÍ",$V$3,VLOOKUP(C391,[1]List1!$A:$D,2,FALSE))),"OFFLINE!")</f>
        <v>SKLADEM</v>
      </c>
      <c r="AD391" s="722" t="str">
        <f ca="1">IF(AP391="NE",$V$10,IF(AC391=$V$3,IF(AQ391&lt;1,$V$8,$V$2&amp;" "&amp;AQ391&amp;" "&amp;$V$1),IF(AC391="SKLADEM",$V$6,IFERROR(IF(OR(AC391-TODAY()&gt;45,VLOOKUP(C391,[1]List1!$A:$E,4,FALSE)=0),AC391,DAY(AC391)&amp;"."&amp;MONTH(AC391)&amp;"."&amp;YEAR(AC391)&amp;" "&amp;$V$4&amp;VLOOKUP(C391,[1]List1!$A:$E,4,FALSE)&amp;" "&amp;$V$1),AC391))))</f>
        <v>SKLADEM</v>
      </c>
      <c r="AE391" s="716" t="str">
        <f t="shared" ref="AE391" ca="1" si="788">IFERROR(IF(AV391&lt;&gt;"",AV391,AD391),AD391)</f>
        <v>SKLADEM</v>
      </c>
      <c r="AF391" s="723">
        <f t="shared" ref="AF391" si="789">IFERROR(IF(AB391=Y391,G391*I391*Y391,0),0)</f>
        <v>0</v>
      </c>
      <c r="AG391" s="723">
        <f t="shared" ref="AG391" si="790">IF($W$17=$AF$8,AH391*1.23,AF391*1.21)</f>
        <v>0</v>
      </c>
      <c r="AH391" s="724">
        <f t="shared" ref="AH391" si="791">IFERROR(IF(Y391=AB391,H391*I391*Y391,0),0)</f>
        <v>0</v>
      </c>
      <c r="AI391" s="716">
        <f t="shared" ref="AI391" si="792">IFERROR(IF(Y391=AB391,(P391*Y391)/1000,1),0)</f>
        <v>0</v>
      </c>
      <c r="AJ391" s="716">
        <f t="shared" ref="AJ391" si="793">IFERROR(IF(Y391=AB391,N391*Y391,0.1),0)</f>
        <v>0</v>
      </c>
      <c r="AK391" s="716" t="str">
        <f t="shared" ref="AK391" si="794">IFERROR(IF(Y391=AB391,IF(M391="1.1G",(O391/1000)*Y391,""),""),0)</f>
        <v/>
      </c>
      <c r="AL391" s="716">
        <f t="shared" ref="AL391" si="795">IFERROR(IF(Y391=AB391,IF(M391="1.3G",(O391/1000)*AB391,""),""),0)</f>
        <v>0</v>
      </c>
      <c r="AM391" s="716" t="str">
        <f t="shared" ref="AM391" si="796">IFERROR(IF(Y391=AB391,IF(M391="1.4G",(O391/1000)*AB391,""),""),0)</f>
        <v/>
      </c>
      <c r="AN391" s="716">
        <f t="shared" ref="AN391" si="797">SUM(AK391:AM391)</f>
        <v>0</v>
      </c>
      <c r="AO391" s="380"/>
      <c r="AP391" s="322" t="str">
        <f t="shared" si="662"/>
        <v/>
      </c>
      <c r="AQ391" s="323" t="str">
        <f>IF(AC391=$V$3,IF(VLOOKUP(C391,[1]List1!$A:$E,5,FALSE)=0,1,VLOOKUP(C391,[1]List1!$A:$E,5,FALSE)),"")</f>
        <v/>
      </c>
      <c r="AR391" s="304" t="str">
        <f t="shared" si="663"/>
        <v/>
      </c>
      <c r="AS391" s="423" t="str">
        <f t="shared" si="664"/>
        <v/>
      </c>
      <c r="AT391" s="304" t="str">
        <f t="shared" si="665"/>
        <v/>
      </c>
      <c r="AU391" s="342" t="e">
        <f t="shared" si="666"/>
        <v>#N/A</v>
      </c>
      <c r="AV391" s="304" t="e">
        <f t="shared" si="667"/>
        <v>#N/A</v>
      </c>
      <c r="AX391" s="304">
        <f>IF(AND('General price list'!$J391="F4",'General price list'!$AB391+0&gt;0),1,0)</f>
        <v>0</v>
      </c>
      <c r="AY391" s="304">
        <f t="shared" si="668"/>
        <v>1</v>
      </c>
      <c r="AZ391" s="304">
        <f t="shared" si="669"/>
        <v>0</v>
      </c>
    </row>
    <row r="392" spans="1:52" ht="15" customHeight="1">
      <c r="A392" s="773" t="str">
        <f>Kat.!C389</f>
        <v xml:space="preserve">                                                               Baterie 208ran, 14mm rovný+šikmý moždíř-1.4G</v>
      </c>
      <c r="B392" s="774"/>
      <c r="C392" s="774"/>
      <c r="D392" s="774"/>
      <c r="E392" s="774"/>
      <c r="F392" s="774"/>
      <c r="G392" s="774"/>
      <c r="H392" s="774"/>
      <c r="I392" s="774"/>
      <c r="J392" s="774"/>
      <c r="K392" s="774"/>
      <c r="L392" s="774"/>
      <c r="M392" s="774"/>
      <c r="N392" s="774"/>
      <c r="O392" s="774"/>
      <c r="P392" s="774"/>
      <c r="Q392" s="774"/>
      <c r="R392" s="774"/>
      <c r="S392" s="774"/>
      <c r="T392" s="774"/>
      <c r="U392" s="774"/>
      <c r="V392" s="774"/>
      <c r="W392" s="774"/>
      <c r="X392" s="774"/>
      <c r="Y392" s="774"/>
      <c r="Z392" s="774"/>
      <c r="AA392" s="774" t="str">
        <f>IFERROR(IF(VLOOKUP(C392,[4]List1!$A:$D,4,FALSE)=0,"",VLOOKUP(C392,[4]List1!$A:$D,4,FALSE)),"")</f>
        <v/>
      </c>
      <c r="AB392" s="774"/>
      <c r="AC392" s="775" t="str">
        <f>IFERROR(IF(VLOOKUP(C392,[1]List1!$A:$D,2,FALSE)="VYPRODÁNO",$V$9,IF(VLOOKUP(C392,[1]List1!$A:$D,2,FALSE)="DOCHÁZÍ",$V$3,VLOOKUP(C392,[1]List1!$A:$D,2,FALSE))),"OFFLINE!")</f>
        <v>OFFLINE!</v>
      </c>
      <c r="AD392" s="774"/>
      <c r="AE392" s="774"/>
      <c r="AF392" s="774"/>
      <c r="AG392" s="774"/>
      <c r="AH392" s="774"/>
      <c r="AI392" s="774"/>
      <c r="AJ392" s="774"/>
      <c r="AK392" s="774"/>
      <c r="AL392" s="774"/>
      <c r="AM392" s="774"/>
      <c r="AN392" s="774"/>
      <c r="AO392" s="380"/>
      <c r="AP392" s="322" t="str">
        <f t="shared" si="662"/>
        <v/>
      </c>
      <c r="AQ392" s="323" t="str">
        <f>IF(AC392=$V$3,IF(VLOOKUP(C392,[1]List1!$A:$E,5,FALSE)=0,1,VLOOKUP(C392,[1]List1!$A:$E,5,FALSE)),"")</f>
        <v/>
      </c>
      <c r="AR392" s="304" t="str">
        <f t="shared" si="663"/>
        <v/>
      </c>
      <c r="AS392" s="423" t="str">
        <f t="shared" si="664"/>
        <v/>
      </c>
      <c r="AT392" s="304" t="str">
        <f t="shared" si="665"/>
        <v/>
      </c>
      <c r="AU392" s="342" t="e">
        <f t="shared" si="666"/>
        <v>#N/A</v>
      </c>
      <c r="AV392" s="304" t="e">
        <f t="shared" si="667"/>
        <v>#N/A</v>
      </c>
      <c r="AX392" s="304">
        <f>IF(AND('General price list'!$J392="F4",'General price list'!$AB392+0&gt;0),1,0)</f>
        <v>0</v>
      </c>
      <c r="AY392" s="304">
        <f t="shared" si="668"/>
        <v>0</v>
      </c>
      <c r="AZ392" s="304">
        <f t="shared" si="669"/>
        <v>0</v>
      </c>
    </row>
    <row r="393" spans="1:52" ht="15" customHeight="1">
      <c r="A393" s="712" t="str">
        <f>Kat.!C390</f>
        <v/>
      </c>
      <c r="B393" s="713">
        <f>IF(AND('General price list'!$J393="F4",$AI$1=FALSE),0,IF(AC393="SKLADEM",1,IF(AC393=$V$3,1,0)))</f>
        <v>0</v>
      </c>
      <c r="C393" s="714" t="s">
        <v>2523</v>
      </c>
      <c r="D393" s="715" t="s">
        <v>2522</v>
      </c>
      <c r="E393" s="716" t="s">
        <v>1074</v>
      </c>
      <c r="F393" s="712">
        <f>IFERROR(ROUND(IF($AL$3=2,VLOOKUP(C393,[2]List1!$A:$D,2,FALSE)*1.08,VLOOKUP(C393,[2]List1!$A:$D,2,FALSE)),0),"NEUVEDENO!")</f>
        <v>1628</v>
      </c>
      <c r="G393" s="717">
        <f>(F393)*$B$19</f>
        <v>1628</v>
      </c>
      <c r="H393" s="718">
        <f>G393/$F$19</f>
        <v>66.15492768876301</v>
      </c>
      <c r="I393" s="719">
        <v>4</v>
      </c>
      <c r="J393" s="716" t="s">
        <v>46</v>
      </c>
      <c r="K393" s="716" t="s">
        <v>12734</v>
      </c>
      <c r="L393" s="716" t="s">
        <v>14365</v>
      </c>
      <c r="M393" s="716" t="s">
        <v>25</v>
      </c>
      <c r="N393" s="716">
        <f>IFERROR(VLOOKUP(C393,[3]List1!$A:$D,4,FALSE),"N/A!")</f>
        <v>5.0760000000000007E-2</v>
      </c>
      <c r="O393" s="716">
        <f>IFERROR(VLOOKUP(C393,[3]List1!$A:$D,3,FALSE),"N/A!")</f>
        <v>1992</v>
      </c>
      <c r="P393" s="716">
        <f>IFERROR(VLOOKUP(C393,[3]List1!$A:$D,2,FALSE),"N/A!")</f>
        <v>18000</v>
      </c>
      <c r="Q393" s="716" t="s">
        <v>14149</v>
      </c>
      <c r="R393" s="716" t="s">
        <v>24</v>
      </c>
      <c r="S393" s="716" t="str">
        <f>IF($W$17=$AF$1,"design",IFERROR(VLOOKUP("design",Jazyky_ceník!$A:$Q,MATCH($W$17,Jazyky_ceník!$A$1:$Q$1,0),FALSE),"!!!"))</f>
        <v>design</v>
      </c>
      <c r="T393" s="716">
        <v>90</v>
      </c>
      <c r="U393" s="716">
        <v>18</v>
      </c>
      <c r="V393" s="716">
        <v>11</v>
      </c>
      <c r="W393" s="716" t="str">
        <f>IFERROR(VLOOKUP('General price list'!$C393,Popisy!A:P,MATCH($W$17,Popisy!$A$7:$P$7,0),FALSE),"---------------")</f>
        <v>20 různobarevných efektů</v>
      </c>
      <c r="X393" s="716" t="str">
        <f>IF(AB393&lt;0.0001,"",AB393)</f>
        <v/>
      </c>
      <c r="Y393" s="716" t="str">
        <f>IF($AL$3=2,IF(OR(AB393&lt;&gt;"",AB393&lt;&gt;0),AU393,""),IF(C393="","",IF(AB393&lt;0.0001,"",IF(B393=0,"",IF(AQ393&lt;AB393,"",AB393)))))</f>
        <v/>
      </c>
      <c r="Z393" s="716" t="str">
        <f>HYPERLINK("https://www.klasekpyrotechnics.cz/c20814xpr14")</f>
        <v>https://www.klasekpyrotechnics.cz/c20814xpr14</v>
      </c>
      <c r="AA393" s="716">
        <f>IFERROR(IF(VLOOKUP(C393,[4]List1!$A:$D,4,FALSE)=0,"",VLOOKUP(C393,[4]List1!$A:$D,4,FALSE)),"")</f>
        <v>24</v>
      </c>
      <c r="AB393" s="720"/>
      <c r="AC393" s="721" t="str">
        <f>IFERROR(IF(VLOOKUP(C393,[1]List1!$A:$D,2,FALSE)="VYPRODÁNO",$V$9,IF(VLOOKUP(C393,[1]List1!$A:$D,2,FALSE)="DOCHÁZÍ",$V$3,VLOOKUP(C393,[1]List1!$A:$D,2,FALSE))),"OFFLINE!")</f>
        <v>30.09.2024</v>
      </c>
      <c r="AD393" s="722" t="str">
        <f ca="1">IF(AP393="NE",$V$10,IF(AC393=$V$3,IF(AQ393&lt;1,$V$8,$V$2&amp;" "&amp;AQ393&amp;" "&amp;$V$1),IF(AC393="SKLADEM",$V$6,IFERROR(IF(OR(AC393-TODAY()&gt;45,VLOOKUP(C393,[1]List1!$A:$E,4,FALSE)=0),AC393,DAY(AC393)&amp;"."&amp;MONTH(AC393)&amp;"."&amp;YEAR(AC393)&amp;" "&amp;$V$4&amp;VLOOKUP(C393,[1]List1!$A:$E,4,FALSE)&amp;" "&amp;$V$1),AC393))))</f>
        <v>30.09.2024</v>
      </c>
      <c r="AE393" s="716" t="str">
        <f t="shared" ref="AE393" ca="1" si="798">IFERROR(IF(AV393&lt;&gt;"",AV393,AD393),AD393)</f>
        <v>30.09.2024</v>
      </c>
      <c r="AF393" s="723">
        <f t="shared" ref="AF393" si="799">IFERROR(IF(AB393=Y393,G393*I393*Y393,0),0)</f>
        <v>0</v>
      </c>
      <c r="AG393" s="723">
        <f t="shared" ref="AG393" si="800">IF($W$17=$AF$8,AH393*1.23,AF393*1.21)</f>
        <v>0</v>
      </c>
      <c r="AH393" s="724">
        <f t="shared" ref="AH393" si="801">IFERROR(IF(Y393=AB393,H393*I393*Y393,0),0)</f>
        <v>0</v>
      </c>
      <c r="AI393" s="716">
        <f t="shared" ref="AI393" si="802">IFERROR(IF(Y393=AB393,(P393*Y393)/1000,1),0)</f>
        <v>0</v>
      </c>
      <c r="AJ393" s="716">
        <f t="shared" ref="AJ393" si="803">IFERROR(IF(Y393=AB393,N393*Y393,0.1),0)</f>
        <v>0</v>
      </c>
      <c r="AK393" s="716" t="str">
        <f t="shared" ref="AK393" si="804">IFERROR(IF(Y393=AB393,IF(M393="1.1G",(O393/1000)*Y393,""),""),0)</f>
        <v/>
      </c>
      <c r="AL393" s="716" t="str">
        <f t="shared" ref="AL393" si="805">IFERROR(IF(Y393=AB393,IF(M393="1.3G",(O393/1000)*AB393,""),""),0)</f>
        <v/>
      </c>
      <c r="AM393" s="716">
        <f t="shared" ref="AM393" si="806">IFERROR(IF(Y393=AB393,IF(M393="1.4G",(O393/1000)*AB393,""),""),0)</f>
        <v>0</v>
      </c>
      <c r="AN393" s="716">
        <f t="shared" ref="AN393" si="807">SUM(AK393:AM393)</f>
        <v>0</v>
      </c>
      <c r="AO393" s="380"/>
      <c r="AP393" s="322" t="str">
        <f t="shared" si="662"/>
        <v/>
      </c>
      <c r="AQ393" s="323" t="str">
        <f>IF(AC393=$V$3,IF(VLOOKUP(C393,[1]List1!$A:$E,5,FALSE)=0,1,VLOOKUP(C393,[1]List1!$A:$E,5,FALSE)),"")</f>
        <v/>
      </c>
      <c r="AR393" s="304" t="str">
        <f t="shared" si="663"/>
        <v/>
      </c>
      <c r="AS393" s="423" t="str">
        <f t="shared" si="664"/>
        <v/>
      </c>
      <c r="AT393" s="304" t="str">
        <f t="shared" si="665"/>
        <v/>
      </c>
      <c r="AU393" s="342" t="e">
        <f t="shared" si="666"/>
        <v>#N/A</v>
      </c>
      <c r="AV393" s="304" t="e">
        <f t="shared" si="667"/>
        <v>#N/A</v>
      </c>
      <c r="AX393" s="304">
        <f>IF(AND('General price list'!$J393="F4",'General price list'!$AB393+0&gt;0),1,0)</f>
        <v>0</v>
      </c>
      <c r="AY393" s="304">
        <f t="shared" si="668"/>
        <v>1</v>
      </c>
      <c r="AZ393" s="304">
        <f t="shared" si="669"/>
        <v>0</v>
      </c>
    </row>
    <row r="394" spans="1:52" ht="15" customHeight="1">
      <c r="A394" s="773" t="str">
        <f>Kat.!C391</f>
        <v xml:space="preserve">                                                               Baterie 9ran, 20mm moždíř-1.3G</v>
      </c>
      <c r="B394" s="774"/>
      <c r="C394" s="774"/>
      <c r="D394" s="774"/>
      <c r="E394" s="774"/>
      <c r="F394" s="774"/>
      <c r="G394" s="774"/>
      <c r="H394" s="774"/>
      <c r="I394" s="774"/>
      <c r="J394" s="774"/>
      <c r="K394" s="774"/>
      <c r="L394" s="774"/>
      <c r="M394" s="774"/>
      <c r="N394" s="774"/>
      <c r="O394" s="774"/>
      <c r="P394" s="774"/>
      <c r="Q394" s="774"/>
      <c r="R394" s="774"/>
      <c r="S394" s="774"/>
      <c r="T394" s="774"/>
      <c r="U394" s="774"/>
      <c r="V394" s="774"/>
      <c r="W394" s="774"/>
      <c r="X394" s="774"/>
      <c r="Y394" s="774"/>
      <c r="Z394" s="774"/>
      <c r="AA394" s="774" t="str">
        <f>IFERROR(IF(VLOOKUP(C394,[4]List1!$A:$D,4,FALSE)=0,"",VLOOKUP(C394,[4]List1!$A:$D,4,FALSE)),"")</f>
        <v/>
      </c>
      <c r="AB394" s="774"/>
      <c r="AC394" s="775" t="str">
        <f>IFERROR(IF(VLOOKUP(C394,[1]List1!$A:$D,2,FALSE)="VYPRODÁNO",$V$9,IF(VLOOKUP(C394,[1]List1!$A:$D,2,FALSE)="DOCHÁZÍ",$V$3,VLOOKUP(C394,[1]List1!$A:$D,2,FALSE))),"OFFLINE!")</f>
        <v>OFFLINE!</v>
      </c>
      <c r="AD394" s="774"/>
      <c r="AE394" s="774"/>
      <c r="AF394" s="774"/>
      <c r="AG394" s="774"/>
      <c r="AH394" s="774"/>
      <c r="AI394" s="774"/>
      <c r="AJ394" s="774"/>
      <c r="AK394" s="774"/>
      <c r="AL394" s="774"/>
      <c r="AM394" s="774"/>
      <c r="AN394" s="774"/>
      <c r="AO394" s="380"/>
      <c r="AP394" s="322" t="str">
        <f t="shared" si="662"/>
        <v/>
      </c>
      <c r="AQ394" s="323" t="str">
        <f>IF(AC394=$V$3,IF(VLOOKUP(C394,[1]List1!$A:$E,5,FALSE)=0,1,VLOOKUP(C394,[1]List1!$A:$E,5,FALSE)),"")</f>
        <v/>
      </c>
      <c r="AR394" s="304" t="str">
        <f t="shared" si="663"/>
        <v/>
      </c>
      <c r="AS394" s="423" t="str">
        <f t="shared" si="664"/>
        <v/>
      </c>
      <c r="AT394" s="304" t="str">
        <f t="shared" si="665"/>
        <v/>
      </c>
      <c r="AU394" s="342" t="e">
        <f t="shared" si="666"/>
        <v>#N/A</v>
      </c>
      <c r="AV394" s="304" t="e">
        <f t="shared" si="667"/>
        <v>#N/A</v>
      </c>
      <c r="AX394" s="304">
        <f>IF(AND('General price list'!$J394="F4",'General price list'!$AB394+0&gt;0),1,0)</f>
        <v>0</v>
      </c>
      <c r="AY394" s="304">
        <f t="shared" si="668"/>
        <v>0</v>
      </c>
      <c r="AZ394" s="304">
        <f t="shared" si="669"/>
        <v>0</v>
      </c>
    </row>
    <row r="395" spans="1:52" ht="15" customHeight="1">
      <c r="A395" s="712" t="str">
        <f>Kat.!C392</f>
        <v/>
      </c>
      <c r="B395" s="713">
        <f>IF(AND('General price list'!$J395="F4",$AI$1=FALSE),0,IF(AC395="SKLADEM",1,IF(AC395=$V$3,1,0)))</f>
        <v>0</v>
      </c>
      <c r="C395" s="714" t="s">
        <v>1094</v>
      </c>
      <c r="D395" s="715" t="s">
        <v>1095</v>
      </c>
      <c r="E395" s="716" t="s">
        <v>141</v>
      </c>
      <c r="F395" s="712">
        <f>IFERROR(ROUND(IF($AL$3=2,VLOOKUP(C395,[2]List1!$A:$D,2,FALSE)*1.08,VLOOKUP(C395,[2]List1!$A:$D,2,FALSE)),0),"NEUVEDENO!")</f>
        <v>83</v>
      </c>
      <c r="G395" s="717">
        <f t="shared" ref="G395:G396" si="808">(F395)*$B$19</f>
        <v>83</v>
      </c>
      <c r="H395" s="718">
        <f t="shared" ref="H395:H396" si="809">G395/$F$19</f>
        <v>3.3727635123877948</v>
      </c>
      <c r="I395" s="719">
        <v>40</v>
      </c>
      <c r="J395" s="716" t="s">
        <v>46</v>
      </c>
      <c r="K395" s="716" t="s">
        <v>14734</v>
      </c>
      <c r="L395" s="716" t="s">
        <v>14386</v>
      </c>
      <c r="M395" s="716" t="s">
        <v>138</v>
      </c>
      <c r="N395" s="716">
        <f>IFERROR(VLOOKUP(C395,[3]List1!$A:$D,4,FALSE),"N/A!")</f>
        <v>3.6196875000000003E-2</v>
      </c>
      <c r="O395" s="716">
        <f>IFERROR(VLOOKUP(C395,[3]List1!$A:$D,3,FALSE),"N/A!")</f>
        <v>2880</v>
      </c>
      <c r="P395" s="716">
        <f>IFERROR(VLOOKUP(C395,[3]List1!$A:$D,2,FALSE),"N/A!")</f>
        <v>14500</v>
      </c>
      <c r="Q395" s="716" t="s">
        <v>739</v>
      </c>
      <c r="R395" s="716" t="s">
        <v>24</v>
      </c>
      <c r="S395" s="716" t="str">
        <f>IF($W$17=$AF$1,"červená fólie",IFERROR(VLOOKUP("červená fólie",Jazyky_ceník!$A:$Q,MATCH($W$17,Jazyky_ceník!$A$1:$Q$1,0),FALSE),"!!!"))</f>
        <v>červená fólie</v>
      </c>
      <c r="T395" s="716">
        <v>15</v>
      </c>
      <c r="U395" s="716">
        <v>25</v>
      </c>
      <c r="V395" s="716">
        <v>16</v>
      </c>
      <c r="W395" s="716" t="str">
        <f>IFERROR(VLOOKUP('General price list'!$C395,Popisy!A:P,MATCH($W$17,Popisy!$A$7:$P$7,0),FALSE),"---------------")</f>
        <v>3 různobarevné efekty</v>
      </c>
      <c r="X395" s="716" t="str">
        <f t="shared" ref="X395:X396" si="810">IF(AB395&lt;0.0001,"",AB395)</f>
        <v/>
      </c>
      <c r="Y395" s="716" t="str">
        <f t="shared" ref="Y395:Y396" si="811">IF($AL$3=2,IF(OR(AB395&lt;&gt;"",AB395&lt;&gt;0),AU395,""),IF(C395="","",IF(AB395&lt;0.0001,"",IF(B395=0,"",IF(AQ395&lt;AB395,"",AB395)))))</f>
        <v/>
      </c>
      <c r="Z395" s="716" t="str">
        <f>HYPERLINK("https://www.klasekpyrotechnics.cz/c920l")</f>
        <v>https://www.klasekpyrotechnics.cz/c920l</v>
      </c>
      <c r="AA395" s="716">
        <f>IFERROR(IF(VLOOKUP(C395,[4]List1!$A:$D,4,FALSE)=0,"",VLOOKUP(C395,[4]List1!$A:$D,4,FALSE)),"")</f>
        <v>36</v>
      </c>
      <c r="AB395" s="720"/>
      <c r="AC395" s="721" t="str">
        <f>IFERROR(IF(VLOOKUP(C395,[1]List1!$A:$D,2,FALSE)="VYPRODÁNO",$V$9,IF(VLOOKUP(C395,[1]List1!$A:$D,2,FALSE)="DOCHÁZÍ",$V$3,VLOOKUP(C395,[1]List1!$A:$D,2,FALSE))),"OFFLINE!")</f>
        <v>15.06.2024</v>
      </c>
      <c r="AD395" s="722" t="str">
        <f ca="1">IF(AP395="NE",$V$10,IF(AC395=$V$3,IF(AQ395&lt;1,$V$8,$V$2&amp;" "&amp;AQ395&amp;" "&amp;$V$1),IF(AC395="SKLADEM",$V$6,IFERROR(IF(OR(AC395-TODAY()&gt;45,VLOOKUP(C395,[1]List1!$A:$E,4,FALSE)=0),AC395,DAY(AC395)&amp;"."&amp;MONTH(AC395)&amp;"."&amp;YEAR(AC395)&amp;" "&amp;$V$4&amp;VLOOKUP(C395,[1]List1!$A:$E,4,FALSE)&amp;" "&amp;$V$1),AC395))))</f>
        <v>15.06.2024</v>
      </c>
      <c r="AE395" s="716" t="str">
        <f t="shared" ref="AE395:AE396" ca="1" si="812">IFERROR(IF(AV395&lt;&gt;"",AV395,AD395),AD395)</f>
        <v>15.06.2024</v>
      </c>
      <c r="AF395" s="723">
        <f t="shared" ref="AF395:AF396" si="813">IFERROR(IF(AB395=Y395,G395*I395*Y395,0),0)</f>
        <v>0</v>
      </c>
      <c r="AG395" s="723">
        <f t="shared" ref="AG395:AG396" si="814">IF($W$17=$AF$8,AH395*1.23,AF395*1.21)</f>
        <v>0</v>
      </c>
      <c r="AH395" s="724">
        <f t="shared" ref="AH395:AH396" si="815">IFERROR(IF(Y395=AB395,H395*I395*Y395,0),0)</f>
        <v>0</v>
      </c>
      <c r="AI395" s="716">
        <f t="shared" ref="AI395:AI396" si="816">IFERROR(IF(Y395=AB395,(P395*Y395)/1000,1),0)</f>
        <v>0</v>
      </c>
      <c r="AJ395" s="716">
        <f t="shared" ref="AJ395:AJ396" si="817">IFERROR(IF(Y395=AB395,N395*Y395,0.1),0)</f>
        <v>0</v>
      </c>
      <c r="AK395" s="716" t="str">
        <f t="shared" ref="AK395:AK396" si="818">IFERROR(IF(Y395=AB395,IF(M395="1.1G",(O395/1000)*Y395,""),""),0)</f>
        <v/>
      </c>
      <c r="AL395" s="716">
        <f t="shared" ref="AL395:AL396" si="819">IFERROR(IF(Y395=AB395,IF(M395="1.3G",(O395/1000)*AB395,""),""),0)</f>
        <v>0</v>
      </c>
      <c r="AM395" s="716" t="str">
        <f t="shared" ref="AM395:AM396" si="820">IFERROR(IF(Y395=AB395,IF(M395="1.4G",(O395/1000)*AB395,""),""),0)</f>
        <v/>
      </c>
      <c r="AN395" s="716">
        <f t="shared" ref="AN395:AN396" si="821">SUM(AK395:AM395)</f>
        <v>0</v>
      </c>
      <c r="AO395" s="380"/>
      <c r="AP395" s="322" t="str">
        <f t="shared" si="662"/>
        <v/>
      </c>
      <c r="AQ395" s="323" t="str">
        <f>IF(AC395=$V$3,IF(VLOOKUP(C395,[1]List1!$A:$E,5,FALSE)=0,1,VLOOKUP(C395,[1]List1!$A:$E,5,FALSE)),"")</f>
        <v/>
      </c>
      <c r="AR395" s="304" t="str">
        <f t="shared" si="663"/>
        <v/>
      </c>
      <c r="AS395" s="423" t="str">
        <f t="shared" si="664"/>
        <v/>
      </c>
      <c r="AT395" s="304" t="str">
        <f t="shared" si="665"/>
        <v/>
      </c>
      <c r="AU395" s="342" t="e">
        <f t="shared" si="666"/>
        <v>#N/A</v>
      </c>
      <c r="AV395" s="304" t="e">
        <f t="shared" si="667"/>
        <v>#N/A</v>
      </c>
      <c r="AX395" s="304">
        <f>IF(AND('General price list'!$J395="F4",'General price list'!$AB395+0&gt;0),1,0)</f>
        <v>0</v>
      </c>
      <c r="AY395" s="304">
        <f t="shared" si="668"/>
        <v>1</v>
      </c>
      <c r="AZ395" s="304">
        <f t="shared" si="669"/>
        <v>0</v>
      </c>
    </row>
    <row r="396" spans="1:52" ht="15" customHeight="1">
      <c r="A396" s="725" t="str">
        <f>Kat.!C393</f>
        <v/>
      </c>
      <c r="B396" s="726">
        <f>IF(AND('General price list'!$J396="F4",$AI$1=FALSE),0,IF(AC396="SKLADEM",1,IF(AC396=$V$3,1,0)))</f>
        <v>1</v>
      </c>
      <c r="C396" s="727" t="s">
        <v>1099</v>
      </c>
      <c r="D396" s="728" t="s">
        <v>1100</v>
      </c>
      <c r="E396" s="729" t="s">
        <v>141</v>
      </c>
      <c r="F396" s="725">
        <f>IFERROR(ROUND(IF($AL$3=2,VLOOKUP(C396,[2]List1!$A:$D,2,FALSE)*1.08,VLOOKUP(C396,[2]List1!$A:$D,2,FALSE)),0),"NEUVEDENO!")</f>
        <v>83</v>
      </c>
      <c r="G396" s="730">
        <f t="shared" si="808"/>
        <v>83</v>
      </c>
      <c r="H396" s="731">
        <f t="shared" si="809"/>
        <v>3.3727635123877948</v>
      </c>
      <c r="I396" s="732">
        <v>40</v>
      </c>
      <c r="J396" s="729" t="s">
        <v>46</v>
      </c>
      <c r="K396" s="729" t="s">
        <v>14734</v>
      </c>
      <c r="L396" s="729" t="s">
        <v>14386</v>
      </c>
      <c r="M396" s="729" t="s">
        <v>138</v>
      </c>
      <c r="N396" s="729">
        <f>IFERROR(VLOOKUP(C396,[3]List1!$A:$D,4,FALSE),"N/A!")</f>
        <v>3.6196875000000003E-2</v>
      </c>
      <c r="O396" s="729">
        <f>IFERROR(VLOOKUP(C396,[3]List1!$A:$D,3,FALSE),"N/A!")</f>
        <v>2880</v>
      </c>
      <c r="P396" s="729">
        <f>IFERROR(VLOOKUP(C396,[3]List1!$A:$D,2,FALSE),"N/A!")</f>
        <v>14500</v>
      </c>
      <c r="Q396" s="729" t="s">
        <v>739</v>
      </c>
      <c r="R396" s="729" t="s">
        <v>24</v>
      </c>
      <c r="S396" s="729" t="str">
        <f>IF($W$17=$AF$1,"červená fólie",IFERROR(VLOOKUP("červená fólie",Jazyky_ceník!$A:$Q,MATCH($W$17,Jazyky_ceník!$A$1:$Q$1,0),FALSE),"!!!"))</f>
        <v>červená fólie</v>
      </c>
      <c r="T396" s="729">
        <v>15</v>
      </c>
      <c r="U396" s="729">
        <v>25</v>
      </c>
      <c r="V396" s="729">
        <v>16</v>
      </c>
      <c r="W396" s="729" t="str">
        <f>IFERROR(VLOOKUP('General price list'!$C396,Popisy!A:P,MATCH($W$17,Popisy!$A$7:$P$7,0),FALSE),"---------------")</f>
        <v>3 různobarevné efekty</v>
      </c>
      <c r="X396" s="729" t="str">
        <f t="shared" si="810"/>
        <v/>
      </c>
      <c r="Y396" s="729" t="str">
        <f t="shared" si="811"/>
        <v/>
      </c>
      <c r="Z396" s="729" t="str">
        <f>HYPERLINK("https://www.klasekpyrotechnics.cz/c920m")</f>
        <v>https://www.klasekpyrotechnics.cz/c920m</v>
      </c>
      <c r="AA396" s="729">
        <f>IFERROR(IF(VLOOKUP(C396,[4]List1!$A:$D,4,FALSE)=0,"",VLOOKUP(C396,[4]List1!$A:$D,4,FALSE)),"")</f>
        <v>36</v>
      </c>
      <c r="AB396" s="720"/>
      <c r="AC396" s="733" t="str">
        <f>IFERROR(IF(VLOOKUP(C396,[1]List1!$A:$D,2,FALSE)="VYPRODÁNO",$V$9,IF(VLOOKUP(C396,[1]List1!$A:$D,2,FALSE)="DOCHÁZÍ",$V$3,VLOOKUP(C396,[1]List1!$A:$D,2,FALSE))),"OFFLINE!")</f>
        <v>SKLADEM</v>
      </c>
      <c r="AD396" s="734" t="str">
        <f ca="1">IF(AP396="NE",$V$10,IF(AC396=$V$3,IF(AQ396&lt;1,$V$8,$V$2&amp;" "&amp;AQ396&amp;" "&amp;$V$1),IF(AC396="SKLADEM",$V$6,IFERROR(IF(OR(AC396-TODAY()&gt;45,VLOOKUP(C396,[1]List1!$A:$E,4,FALSE)=0),AC396,DAY(AC396)&amp;"."&amp;MONTH(AC396)&amp;"."&amp;YEAR(AC396)&amp;" "&amp;$V$4&amp;VLOOKUP(C396,[1]List1!$A:$E,4,FALSE)&amp;" "&amp;$V$1),AC396))))</f>
        <v>SKLADEM</v>
      </c>
      <c r="AE396" s="729" t="str">
        <f t="shared" ca="1" si="812"/>
        <v>SKLADEM</v>
      </c>
      <c r="AF396" s="735">
        <f t="shared" si="813"/>
        <v>0</v>
      </c>
      <c r="AG396" s="735">
        <f t="shared" si="814"/>
        <v>0</v>
      </c>
      <c r="AH396" s="736">
        <f t="shared" si="815"/>
        <v>0</v>
      </c>
      <c r="AI396" s="729">
        <f t="shared" si="816"/>
        <v>0</v>
      </c>
      <c r="AJ396" s="729">
        <f t="shared" si="817"/>
        <v>0</v>
      </c>
      <c r="AK396" s="729" t="str">
        <f t="shared" si="818"/>
        <v/>
      </c>
      <c r="AL396" s="729">
        <f t="shared" si="819"/>
        <v>0</v>
      </c>
      <c r="AM396" s="729" t="str">
        <f t="shared" si="820"/>
        <v/>
      </c>
      <c r="AN396" s="729">
        <f t="shared" si="821"/>
        <v>0</v>
      </c>
      <c r="AO396" s="380"/>
      <c r="AP396" s="322" t="str">
        <f t="shared" si="662"/>
        <v/>
      </c>
      <c r="AQ396" s="323" t="str">
        <f>IF(AC396=$V$3,IF(VLOOKUP(C396,[1]List1!$A:$E,5,FALSE)=0,1,VLOOKUP(C396,[1]List1!$A:$E,5,FALSE)),"")</f>
        <v/>
      </c>
      <c r="AR396" s="304" t="str">
        <f t="shared" si="663"/>
        <v/>
      </c>
      <c r="AS396" s="423" t="str">
        <f t="shared" si="664"/>
        <v/>
      </c>
      <c r="AT396" s="304" t="str">
        <f t="shared" si="665"/>
        <v/>
      </c>
      <c r="AU396" s="342" t="e">
        <f t="shared" si="666"/>
        <v>#N/A</v>
      </c>
      <c r="AV396" s="304" t="e">
        <f t="shared" si="667"/>
        <v>#N/A</v>
      </c>
      <c r="AX396" s="304">
        <f>IF(AND('General price list'!$J396="F4",'General price list'!$AB396+0&gt;0),1,0)</f>
        <v>0</v>
      </c>
      <c r="AY396" s="304">
        <f t="shared" si="668"/>
        <v>1</v>
      </c>
      <c r="AZ396" s="304">
        <f t="shared" si="669"/>
        <v>0</v>
      </c>
    </row>
    <row r="397" spans="1:52" ht="15" customHeight="1">
      <c r="A397" s="773" t="str">
        <f>Kat.!C394</f>
        <v xml:space="preserve">                                                               Baterie 16ran, 20mm moždíř-1.3G</v>
      </c>
      <c r="B397" s="774"/>
      <c r="C397" s="774"/>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t="str">
        <f>IFERROR(IF(VLOOKUP(C397,[4]List1!$A:$D,4,FALSE)=0,"",VLOOKUP(C397,[4]List1!$A:$D,4,FALSE)),"")</f>
        <v/>
      </c>
      <c r="AB397" s="774"/>
      <c r="AC397" s="775" t="str">
        <f>IFERROR(IF(VLOOKUP(C397,[1]List1!$A:$D,2,FALSE)="VYPRODÁNO",$V$9,IF(VLOOKUP(C397,[1]List1!$A:$D,2,FALSE)="DOCHÁZÍ",$V$3,VLOOKUP(C397,[1]List1!$A:$D,2,FALSE))),"OFFLINE!")</f>
        <v>OFFLINE!</v>
      </c>
      <c r="AD397" s="774"/>
      <c r="AE397" s="774"/>
      <c r="AF397" s="774"/>
      <c r="AG397" s="774"/>
      <c r="AH397" s="774"/>
      <c r="AI397" s="774"/>
      <c r="AJ397" s="774"/>
      <c r="AK397" s="774"/>
      <c r="AL397" s="774"/>
      <c r="AM397" s="774"/>
      <c r="AN397" s="774"/>
      <c r="AO397" s="380"/>
      <c r="AP397" s="322" t="str">
        <f t="shared" si="662"/>
        <v/>
      </c>
      <c r="AQ397" s="323" t="str">
        <f>IF(AC397=$V$3,IF(VLOOKUP(C397,[1]List1!$A:$E,5,FALSE)=0,1,VLOOKUP(C397,[1]List1!$A:$E,5,FALSE)),"")</f>
        <v/>
      </c>
      <c r="AR397" s="304" t="str">
        <f t="shared" si="663"/>
        <v/>
      </c>
      <c r="AS397" s="423" t="str">
        <f t="shared" si="664"/>
        <v/>
      </c>
      <c r="AT397" s="304" t="str">
        <f t="shared" si="665"/>
        <v/>
      </c>
      <c r="AU397" s="342" t="e">
        <f t="shared" si="666"/>
        <v>#N/A</v>
      </c>
      <c r="AV397" s="304" t="e">
        <f t="shared" si="667"/>
        <v>#N/A</v>
      </c>
      <c r="AX397" s="304">
        <f>IF(AND('General price list'!$J397="F4",'General price list'!$AB397+0&gt;0),1,0)</f>
        <v>0</v>
      </c>
      <c r="AY397" s="304">
        <f t="shared" si="668"/>
        <v>0</v>
      </c>
      <c r="AZ397" s="304">
        <f t="shared" si="669"/>
        <v>0</v>
      </c>
    </row>
    <row r="398" spans="1:52" ht="15" customHeight="1">
      <c r="A398" s="725" t="str">
        <f>Kat.!C395</f>
        <v/>
      </c>
      <c r="B398" s="741">
        <f>IF(AND('General price list'!$J398="F4",$AI$1=FALSE),0,IF(AC398="SKLADEM",1,IF(AC398=$V$3,1,0)))</f>
        <v>0</v>
      </c>
      <c r="C398" s="727" t="s">
        <v>1101</v>
      </c>
      <c r="D398" s="728" t="s">
        <v>14559</v>
      </c>
      <c r="E398" s="729" t="s">
        <v>432</v>
      </c>
      <c r="F398" s="725">
        <f>IFERROR(ROUND(IF($AL$3=2,VLOOKUP(C398,[2]List1!$A:$D,2,FALSE)*1.08,VLOOKUP(C398,[2]List1!$A:$D,2,FALSE)),0),"NEUVEDENO!")</f>
        <v>141</v>
      </c>
      <c r="G398" s="730">
        <f t="shared" ref="G398:G405" si="822">(F398)*$B$19</f>
        <v>141</v>
      </c>
      <c r="H398" s="731">
        <f t="shared" ref="H398:H405" si="823">G398/$F$19</f>
        <v>5.7296344005623983</v>
      </c>
      <c r="I398" s="742">
        <v>24</v>
      </c>
      <c r="J398" s="729" t="s">
        <v>46</v>
      </c>
      <c r="K398" s="729" t="s">
        <v>12734</v>
      </c>
      <c r="L398" s="729" t="s">
        <v>14387</v>
      </c>
      <c r="M398" s="729" t="s">
        <v>138</v>
      </c>
      <c r="N398" s="729">
        <f>IFERROR(VLOOKUP(C398,[3]List1!$A:$D,4,FALSE),"N/A!")</f>
        <v>3.6861500000000005E-2</v>
      </c>
      <c r="O398" s="729">
        <f>IFERROR(VLOOKUP(C398,[3]List1!$A:$D,3,FALSE),"N/A!")</f>
        <v>3072</v>
      </c>
      <c r="P398" s="729">
        <f>IFERROR(VLOOKUP(C398,[3]List1!$A:$D,2,FALSE),"N/A!")</f>
        <v>17500</v>
      </c>
      <c r="Q398" s="729" t="s">
        <v>14150</v>
      </c>
      <c r="R398" s="729" t="s">
        <v>24</v>
      </c>
      <c r="S398" s="729" t="str">
        <f>IF($W$17=$AF$1,"design",IFERROR(VLOOKUP("design",Jazyky_ceník!$A:$Q,MATCH($W$17,Jazyky_ceník!$A$1:$Q$1,0),FALSE),"!!!"))</f>
        <v>design</v>
      </c>
      <c r="T398" s="729">
        <v>15</v>
      </c>
      <c r="U398" s="729"/>
      <c r="V398" s="729"/>
      <c r="W398" s="729" t="str">
        <f>IFERROR(VLOOKUP('General price list'!$C398,Popisy!A:P,MATCH($W$17,Popisy!$A$7:$P$7,0),FALSE),"---------------")</f>
        <v>stříbrná mina s červenou stopou a titanovou detonací</v>
      </c>
      <c r="X398" s="729" t="str">
        <f t="shared" ref="X398:X405" si="824">IF(AB398&lt;0.0001,"",AB398)</f>
        <v/>
      </c>
      <c r="Y398" s="729" t="str">
        <f t="shared" ref="Y398:Y405" si="825">IF($AL$3=2,IF(OR(AB398&lt;&gt;"",AB398&lt;&gt;0),AU398,""),IF(C398="","",IF(AB398&lt;0.0001,"",IF(B398=0,"",IF(AQ398&lt;AB398,"",AB398)))))</f>
        <v/>
      </c>
      <c r="Z398" s="729" t="str">
        <f>HYPERLINK("https://www.klasekpyrotechnics.cz/c1620du")</f>
        <v>https://www.klasekpyrotechnics.cz/c1620du</v>
      </c>
      <c r="AA398" s="729">
        <f>IFERROR(IF(VLOOKUP(C398,[4]List1!$A:$D,4,FALSE)=0,"",VLOOKUP(C398,[4]List1!$A:$D,4,FALSE)),"")</f>
        <v>36</v>
      </c>
      <c r="AB398" s="720"/>
      <c r="AC398" s="743" t="str">
        <f>IFERROR(IF(VLOOKUP(C398,[1]List1!$A:$D,2,FALSE)="VYPRODÁNO",$V$9,IF(VLOOKUP(C398,[1]List1!$A:$D,2,FALSE)="DOCHÁZÍ",$V$3,VLOOKUP(C398,[1]List1!$A:$D,2,FALSE))),"OFFLINE!")</f>
        <v>15.06.2024</v>
      </c>
      <c r="AD398" s="744" t="str">
        <f ca="1">IF(AP398="NE",$V$10,IF(AC398=$V$3,IF(AQ398&lt;1,$V$8,$V$2&amp;" "&amp;AQ398&amp;" "&amp;$V$1),IF(AC398="SKLADEM",$V$6,IFERROR(IF(OR(AC398-TODAY()&gt;45,VLOOKUP(C398,[1]List1!$A:$E,4,FALSE)=0),AC398,DAY(AC398)&amp;"."&amp;MONTH(AC398)&amp;"."&amp;YEAR(AC398)&amp;" "&amp;$V$4&amp;VLOOKUP(C398,[1]List1!$A:$E,4,FALSE)&amp;" "&amp;$V$1),AC398))))</f>
        <v>15.06.2024</v>
      </c>
      <c r="AE398" s="729" t="str">
        <f t="shared" ref="AE398:AE405" ca="1" si="826">IFERROR(IF(AV398&lt;&gt;"",AV398,AD398),AD398)</f>
        <v>15.06.2024</v>
      </c>
      <c r="AF398" s="735">
        <f t="shared" ref="AF398:AF405" si="827">IFERROR(IF(AB398=Y398,G398*I398*Y398,0),0)</f>
        <v>0</v>
      </c>
      <c r="AG398" s="735">
        <f t="shared" ref="AG398:AG405" si="828">IF($W$17=$AF$8,AH398*1.23,AF398*1.21)</f>
        <v>0</v>
      </c>
      <c r="AH398" s="736">
        <f t="shared" ref="AH398:AH405" si="829">IFERROR(IF(Y398=AB398,H398*I398*Y398,0),0)</f>
        <v>0</v>
      </c>
      <c r="AI398" s="729">
        <f t="shared" ref="AI398:AI405" si="830">IFERROR(IF(Y398=AB398,(P398*Y398)/1000,1),0)</f>
        <v>0</v>
      </c>
      <c r="AJ398" s="729">
        <f t="shared" ref="AJ398:AJ405" si="831">IFERROR(IF(Y398=AB398,N398*Y398,0.1),0)</f>
        <v>0</v>
      </c>
      <c r="AK398" s="729" t="str">
        <f t="shared" ref="AK398:AK405" si="832">IFERROR(IF(Y398=AB398,IF(M398="1.1G",(O398/1000)*Y398,""),""),0)</f>
        <v/>
      </c>
      <c r="AL398" s="729">
        <f t="shared" ref="AL398:AL405" si="833">IFERROR(IF(Y398=AB398,IF(M398="1.3G",(O398/1000)*AB398,""),""),0)</f>
        <v>0</v>
      </c>
      <c r="AM398" s="729" t="str">
        <f t="shared" ref="AM398:AM405" si="834">IFERROR(IF(Y398=AB398,IF(M398="1.4G",(O398/1000)*AB398,""),""),0)</f>
        <v/>
      </c>
      <c r="AN398" s="729">
        <f t="shared" ref="AN398:AN405" si="835">SUM(AK398:AM398)</f>
        <v>0</v>
      </c>
      <c r="AO398" s="380"/>
      <c r="AP398" s="322" t="str">
        <f t="shared" si="662"/>
        <v/>
      </c>
      <c r="AQ398" s="323" t="str">
        <f>IF(AC398=$V$3,IF(VLOOKUP(C398,[1]List1!$A:$E,5,FALSE)=0,1,VLOOKUP(C398,[1]List1!$A:$E,5,FALSE)),"")</f>
        <v/>
      </c>
      <c r="AR398" s="304" t="str">
        <f t="shared" si="663"/>
        <v/>
      </c>
      <c r="AS398" s="423" t="str">
        <f t="shared" si="664"/>
        <v/>
      </c>
      <c r="AT398" s="304" t="str">
        <f t="shared" si="665"/>
        <v/>
      </c>
      <c r="AU398" s="342" t="e">
        <f t="shared" si="666"/>
        <v>#N/A</v>
      </c>
      <c r="AV398" s="304" t="e">
        <f t="shared" si="667"/>
        <v>#N/A</v>
      </c>
      <c r="AX398" s="304">
        <f>IF(AND('General price list'!$J398="F4",'General price list'!$AB398+0&gt;0),1,0)</f>
        <v>0</v>
      </c>
      <c r="AY398" s="304">
        <f t="shared" si="668"/>
        <v>1</v>
      </c>
      <c r="AZ398" s="304">
        <f t="shared" si="669"/>
        <v>0</v>
      </c>
    </row>
    <row r="399" spans="1:52" ht="15" customHeight="1">
      <c r="A399" s="712" t="str">
        <f>Kat.!C396</f>
        <v/>
      </c>
      <c r="B399" s="745">
        <f>IF(AND('General price list'!$J399="F4",$AI$1=FALSE),0,IF(AC399="SKLADEM",1,IF(AC399=$V$3,1,0)))</f>
        <v>1</v>
      </c>
      <c r="C399" s="714" t="s">
        <v>5092</v>
      </c>
      <c r="D399" s="715" t="s">
        <v>14560</v>
      </c>
      <c r="E399" s="716" t="s">
        <v>432</v>
      </c>
      <c r="F399" s="712">
        <f>IFERROR(ROUND(IF($AL$3=2,VLOOKUP(C399,[2]List1!$A:$D,2,FALSE)*1.08,VLOOKUP(C399,[2]List1!$A:$D,2,FALSE)),0),"NEUVEDENO!")</f>
        <v>149</v>
      </c>
      <c r="G399" s="717">
        <f t="shared" si="822"/>
        <v>149</v>
      </c>
      <c r="H399" s="718">
        <f t="shared" si="823"/>
        <v>6.0547200403106194</v>
      </c>
      <c r="I399" s="746">
        <v>24</v>
      </c>
      <c r="J399" s="716" t="s">
        <v>46</v>
      </c>
      <c r="K399" s="716"/>
      <c r="L399" s="716" t="s">
        <v>14387</v>
      </c>
      <c r="M399" s="716" t="s">
        <v>138</v>
      </c>
      <c r="N399" s="716">
        <f>IFERROR(VLOOKUP(C399,[3]List1!$A:$D,4,FALSE),"N/A!")</f>
        <v>3.6861500000000005E-2</v>
      </c>
      <c r="O399" s="716">
        <f>IFERROR(VLOOKUP(C399,[3]List1!$A:$D,3,FALSE),"N/A!")</f>
        <v>3072</v>
      </c>
      <c r="P399" s="716">
        <f>IFERROR(VLOOKUP(C399,[3]List1!$A:$D,2,FALSE),"N/A!")</f>
        <v>17500</v>
      </c>
      <c r="Q399" s="716" t="s">
        <v>12730</v>
      </c>
      <c r="R399" s="716" t="s">
        <v>24</v>
      </c>
      <c r="S399" s="716" t="str">
        <f>IF($W$17=$AF$1,"design",IFERROR(VLOOKUP("design",Jazyky_ceník!$A:$Q,MATCH($W$17,Jazyky_ceník!$A$1:$Q$1,0),FALSE),"!!!"))</f>
        <v>design</v>
      </c>
      <c r="T399" s="716">
        <v>15</v>
      </c>
      <c r="U399" s="716"/>
      <c r="V399" s="716"/>
      <c r="W399" s="716" t="str">
        <f>IFERROR(VLOOKUP('General price list'!$C399,Popisy!A:P,MATCH($W$17,Popisy!$A$7:$P$7,0),FALSE),"---------------")</f>
        <v>stříbrná mina s červenou stopou a titanovou detonací(strong edition)</v>
      </c>
      <c r="X399" s="716" t="str">
        <f t="shared" si="824"/>
        <v/>
      </c>
      <c r="Y399" s="716" t="str">
        <f t="shared" si="825"/>
        <v/>
      </c>
      <c r="Z399" s="716" t="str">
        <f>HYPERLINK("https://www.klasekpyrotechnics.cz/c1620du_s")</f>
        <v>https://www.klasekpyrotechnics.cz/c1620du_s</v>
      </c>
      <c r="AA399" s="716">
        <f>IFERROR(IF(VLOOKUP(C399,[4]List1!$A:$D,4,FALSE)=0,"",VLOOKUP(C399,[4]List1!$A:$D,4,FALSE)),"")</f>
        <v>36</v>
      </c>
      <c r="AB399" s="720"/>
      <c r="AC399" s="747" t="str">
        <f>IFERROR(IF(VLOOKUP(C399,[1]List1!$A:$D,2,FALSE)="VYPRODÁNO",$V$9,IF(VLOOKUP(C399,[1]List1!$A:$D,2,FALSE)="DOCHÁZÍ",$V$3,VLOOKUP(C399,[1]List1!$A:$D,2,FALSE))),"OFFLINE!")</f>
        <v>SKLADEM</v>
      </c>
      <c r="AD399" s="748" t="str">
        <f ca="1">IF(AP399="NE",$V$10,IF(AC399=$V$3,IF(AQ399&lt;1,$V$8,$V$2&amp;" "&amp;AQ399&amp;" "&amp;$V$1),IF(AC399="SKLADEM",$V$6,IFERROR(IF(OR(AC399-TODAY()&gt;45,VLOOKUP(C399,[1]List1!$A:$E,4,FALSE)=0),AC399,DAY(AC399)&amp;"."&amp;MONTH(AC399)&amp;"."&amp;YEAR(AC399)&amp;" "&amp;$V$4&amp;VLOOKUP(C399,[1]List1!$A:$E,4,FALSE)&amp;" "&amp;$V$1),AC399))))</f>
        <v>SKLADEM</v>
      </c>
      <c r="AE399" s="716" t="str">
        <f t="shared" ca="1" si="826"/>
        <v>SKLADEM</v>
      </c>
      <c r="AF399" s="723">
        <f t="shared" si="827"/>
        <v>0</v>
      </c>
      <c r="AG399" s="723">
        <f t="shared" si="828"/>
        <v>0</v>
      </c>
      <c r="AH399" s="724">
        <f t="shared" si="829"/>
        <v>0</v>
      </c>
      <c r="AI399" s="716">
        <f t="shared" si="830"/>
        <v>0</v>
      </c>
      <c r="AJ399" s="716">
        <f t="shared" si="831"/>
        <v>0</v>
      </c>
      <c r="AK399" s="716" t="str">
        <f t="shared" si="832"/>
        <v/>
      </c>
      <c r="AL399" s="716">
        <f t="shared" si="833"/>
        <v>0</v>
      </c>
      <c r="AM399" s="716" t="str">
        <f t="shared" si="834"/>
        <v/>
      </c>
      <c r="AN399" s="716">
        <f t="shared" si="835"/>
        <v>0</v>
      </c>
      <c r="AO399" s="380"/>
      <c r="AP399" s="322" t="str">
        <f t="shared" si="662"/>
        <v/>
      </c>
      <c r="AQ399" s="323" t="str">
        <f>IF(AC399=$V$3,IF(VLOOKUP(C399,[1]List1!$A:$E,5,FALSE)=0,1,VLOOKUP(C399,[1]List1!$A:$E,5,FALSE)),"")</f>
        <v/>
      </c>
      <c r="AR399" s="304" t="str">
        <f t="shared" si="663"/>
        <v/>
      </c>
      <c r="AS399" s="423" t="str">
        <f t="shared" si="664"/>
        <v/>
      </c>
      <c r="AT399" s="304" t="str">
        <f t="shared" si="665"/>
        <v/>
      </c>
      <c r="AU399" s="342" t="e">
        <f t="shared" si="666"/>
        <v>#N/A</v>
      </c>
      <c r="AV399" s="304" t="e">
        <f t="shared" si="667"/>
        <v>#N/A</v>
      </c>
      <c r="AX399" s="304">
        <f>IF(AND('General price list'!$J399="F4",'General price list'!$AB399+0&gt;0),1,0)</f>
        <v>0</v>
      </c>
      <c r="AY399" s="304">
        <f t="shared" si="668"/>
        <v>1</v>
      </c>
      <c r="AZ399" s="304">
        <f t="shared" si="669"/>
        <v>0</v>
      </c>
    </row>
    <row r="400" spans="1:52" ht="15" customHeight="1">
      <c r="A400" s="725" t="str">
        <f>Kat.!C397</f>
        <v/>
      </c>
      <c r="B400" s="749">
        <f>IF(AND('General price list'!$J400="F4",$AI$1=FALSE),0,IF(AC400="SKLADEM",1,IF(AC400=$V$3,1,0)))</f>
        <v>1</v>
      </c>
      <c r="C400" s="727" t="s">
        <v>5102</v>
      </c>
      <c r="D400" s="728" t="s">
        <v>14561</v>
      </c>
      <c r="E400" s="729" t="s">
        <v>432</v>
      </c>
      <c r="F400" s="725">
        <f>IFERROR(ROUND(IF($AL$3=2,VLOOKUP(C400,[2]List1!$A:$D,2,FALSE)*1.08,VLOOKUP(C400,[2]List1!$A:$D,2,FALSE)),0),"NEUVEDENO!")</f>
        <v>141</v>
      </c>
      <c r="G400" s="730">
        <f t="shared" si="822"/>
        <v>141</v>
      </c>
      <c r="H400" s="731">
        <f t="shared" si="823"/>
        <v>5.7296344005623983</v>
      </c>
      <c r="I400" s="750">
        <v>24</v>
      </c>
      <c r="J400" s="729" t="s">
        <v>46</v>
      </c>
      <c r="K400" s="729"/>
      <c r="L400" s="729" t="s">
        <v>14387</v>
      </c>
      <c r="M400" s="729" t="s">
        <v>138</v>
      </c>
      <c r="N400" s="729">
        <f>IFERROR(VLOOKUP(C400,[3]List1!$A:$D,4,FALSE),"N/A!")</f>
        <v>3.6861500000000005E-2</v>
      </c>
      <c r="O400" s="729">
        <f>IFERROR(VLOOKUP(C400,[3]List1!$A:$D,3,FALSE),"N/A!")</f>
        <v>3072</v>
      </c>
      <c r="P400" s="729">
        <f>IFERROR(VLOOKUP(C400,[3]List1!$A:$D,2,FALSE),"N/A!")</f>
        <v>17500</v>
      </c>
      <c r="Q400" s="729" t="s">
        <v>12730</v>
      </c>
      <c r="R400" s="729" t="s">
        <v>24</v>
      </c>
      <c r="S400" s="729" t="str">
        <f>IF($W$17=$AF$1,"design",IFERROR(VLOOKUP("design",Jazyky_ceník!$A:$Q,MATCH($W$17,Jazyky_ceník!$A$1:$Q$1,0),FALSE),"!!!"))</f>
        <v>design</v>
      </c>
      <c r="T400" s="729">
        <v>5</v>
      </c>
      <c r="U400" s="729"/>
      <c r="V400" s="729"/>
      <c r="W400" s="729" t="str">
        <f>IFERROR(VLOOKUP('General price list'!$C400,Popisy!A:P,MATCH($W$17,Popisy!$A$7:$P$7,0),FALSE),"---------------")</f>
        <v>stříbrná mina s červenou stopou a titanovou detonací</v>
      </c>
      <c r="X400" s="729" t="str">
        <f t="shared" si="824"/>
        <v/>
      </c>
      <c r="Y400" s="729" t="str">
        <f t="shared" si="825"/>
        <v/>
      </c>
      <c r="Z400" s="729" t="str">
        <f>HYPERLINK("https://www.klasekpyrotechnics.cz/c1620du_5")</f>
        <v>https://www.klasekpyrotechnics.cz/c1620du_5</v>
      </c>
      <c r="AA400" s="729">
        <f>IFERROR(IF(VLOOKUP(C400,[4]List1!$A:$D,4,FALSE)=0,"",VLOOKUP(C400,[4]List1!$A:$D,4,FALSE)),"")</f>
        <v>36</v>
      </c>
      <c r="AB400" s="720"/>
      <c r="AC400" s="751" t="str">
        <f>IFERROR(IF(VLOOKUP(C400,[1]List1!$A:$D,2,FALSE)="VYPRODÁNO",$V$9,IF(VLOOKUP(C400,[1]List1!$A:$D,2,FALSE)="DOCHÁZÍ",$V$3,VLOOKUP(C400,[1]List1!$A:$D,2,FALSE))),"OFFLINE!")</f>
        <v>SKLADEM</v>
      </c>
      <c r="AD400" s="752" t="str">
        <f ca="1">IF(AP400="NE",$V$10,IF(AC400=$V$3,IF(AQ400&lt;1,$V$8,$V$2&amp;" "&amp;AQ400&amp;" "&amp;$V$1),IF(AC400="SKLADEM",$V$6,IFERROR(IF(OR(AC400-TODAY()&gt;45,VLOOKUP(C400,[1]List1!$A:$E,4,FALSE)=0),AC400,DAY(AC400)&amp;"."&amp;MONTH(AC400)&amp;"."&amp;YEAR(AC400)&amp;" "&amp;$V$4&amp;VLOOKUP(C400,[1]List1!$A:$E,4,FALSE)&amp;" "&amp;$V$1),AC400))))</f>
        <v>SKLADEM</v>
      </c>
      <c r="AE400" s="729" t="str">
        <f t="shared" ca="1" si="826"/>
        <v>SKLADEM</v>
      </c>
      <c r="AF400" s="735">
        <f t="shared" si="827"/>
        <v>0</v>
      </c>
      <c r="AG400" s="735">
        <f t="shared" si="828"/>
        <v>0</v>
      </c>
      <c r="AH400" s="736">
        <f t="shared" si="829"/>
        <v>0</v>
      </c>
      <c r="AI400" s="729">
        <f t="shared" si="830"/>
        <v>0</v>
      </c>
      <c r="AJ400" s="729">
        <f t="shared" si="831"/>
        <v>0</v>
      </c>
      <c r="AK400" s="729" t="str">
        <f t="shared" si="832"/>
        <v/>
      </c>
      <c r="AL400" s="729">
        <f t="shared" si="833"/>
        <v>0</v>
      </c>
      <c r="AM400" s="729" t="str">
        <f t="shared" si="834"/>
        <v/>
      </c>
      <c r="AN400" s="729">
        <f t="shared" si="835"/>
        <v>0</v>
      </c>
      <c r="AO400" s="380"/>
      <c r="AP400" s="322" t="str">
        <f t="shared" si="662"/>
        <v/>
      </c>
      <c r="AQ400" s="323" t="str">
        <f>IF(AC400=$V$3,IF(VLOOKUP(C400,[1]List1!$A:$E,5,FALSE)=0,1,VLOOKUP(C400,[1]List1!$A:$E,5,FALSE)),"")</f>
        <v/>
      </c>
      <c r="AR400" s="304" t="str">
        <f t="shared" si="663"/>
        <v/>
      </c>
      <c r="AS400" s="423" t="str">
        <f t="shared" si="664"/>
        <v/>
      </c>
      <c r="AT400" s="304" t="str">
        <f t="shared" si="665"/>
        <v/>
      </c>
      <c r="AU400" s="342" t="e">
        <f t="shared" si="666"/>
        <v>#N/A</v>
      </c>
      <c r="AV400" s="304" t="e">
        <f t="shared" si="667"/>
        <v>#N/A</v>
      </c>
      <c r="AX400" s="304">
        <f>IF(AND('General price list'!$J400="F4",'General price list'!$AB400+0&gt;0),1,0)</f>
        <v>0</v>
      </c>
      <c r="AY400" s="304">
        <f t="shared" si="668"/>
        <v>1</v>
      </c>
      <c r="AZ400" s="304">
        <f t="shared" si="669"/>
        <v>0</v>
      </c>
    </row>
    <row r="401" spans="1:52" ht="15" customHeight="1">
      <c r="A401" s="712" t="str">
        <f>Kat.!C398</f>
        <v/>
      </c>
      <c r="B401" s="745">
        <f>IF(AND('General price list'!$J401="F4",$AI$1=FALSE),0,IF(AC401="SKLADEM",1,IF(AC401=$V$3,1,0)))</f>
        <v>1</v>
      </c>
      <c r="C401" s="714" t="s">
        <v>1105</v>
      </c>
      <c r="D401" s="715" t="s">
        <v>14562</v>
      </c>
      <c r="E401" s="716" t="s">
        <v>432</v>
      </c>
      <c r="F401" s="712">
        <f>IFERROR(ROUND(IF($AL$3=2,VLOOKUP(C401,[2]List1!$A:$D,2,FALSE)*1.08,VLOOKUP(C401,[2]List1!$A:$D,2,FALSE)),0),"NEUVEDENO!")</f>
        <v>125</v>
      </c>
      <c r="G401" s="717">
        <f t="shared" si="822"/>
        <v>125</v>
      </c>
      <c r="H401" s="718">
        <f t="shared" si="823"/>
        <v>5.079463121065956</v>
      </c>
      <c r="I401" s="746">
        <v>24</v>
      </c>
      <c r="J401" s="716" t="s">
        <v>46</v>
      </c>
      <c r="K401" s="716" t="s">
        <v>14820</v>
      </c>
      <c r="L401" s="716" t="s">
        <v>14355</v>
      </c>
      <c r="M401" s="716" t="s">
        <v>138</v>
      </c>
      <c r="N401" s="716">
        <f>IFERROR(VLOOKUP(C401,[3]List1!$A:$D,4,FALSE),"N/A!")</f>
        <v>3.6861500000000005E-2</v>
      </c>
      <c r="O401" s="716">
        <f>IFERROR(VLOOKUP(C401,[3]List1!$A:$D,3,FALSE),"N/A!")</f>
        <v>2640</v>
      </c>
      <c r="P401" s="716">
        <f>IFERROR(VLOOKUP(C401,[3]List1!$A:$D,2,FALSE),"N/A!")</f>
        <v>17796</v>
      </c>
      <c r="Q401" s="716" t="s">
        <v>632</v>
      </c>
      <c r="R401" s="716" t="s">
        <v>24</v>
      </c>
      <c r="S401" s="716" t="str">
        <f>IF($W$17=$AF$1,"design",IFERROR(VLOOKUP("design",Jazyky_ceník!$A:$Q,MATCH($W$17,Jazyky_ceník!$A$1:$Q$1,0),FALSE),"!!!"))</f>
        <v>design</v>
      </c>
      <c r="T401" s="716">
        <v>20</v>
      </c>
      <c r="U401" s="716">
        <v>25</v>
      </c>
      <c r="V401" s="716">
        <v>15</v>
      </c>
      <c r="W401" s="716" t="str">
        <f>IFERROR(VLOOKUP('General price list'!$C401,Popisy!A:P,MATCH($W$17,Popisy!$A$7:$P$7,0),FALSE),"---------------")</f>
        <v>4 různobarevné efekty</v>
      </c>
      <c r="X401" s="716" t="str">
        <f t="shared" si="824"/>
        <v/>
      </c>
      <c r="Y401" s="716" t="str">
        <f t="shared" si="825"/>
        <v/>
      </c>
      <c r="Z401" s="716" t="str">
        <f>HYPERLINK("https://www.klasekpyrotechnics.cz/c1620bpf")</f>
        <v>https://www.klasekpyrotechnics.cz/c1620bpf</v>
      </c>
      <c r="AA401" s="716">
        <f>IFERROR(IF(VLOOKUP(C401,[4]List1!$A:$D,4,FALSE)=0,"",VLOOKUP(C401,[4]List1!$A:$D,4,FALSE)),"")</f>
        <v>36</v>
      </c>
      <c r="AB401" s="720"/>
      <c r="AC401" s="747" t="str">
        <f>IFERROR(IF(VLOOKUP(C401,[1]List1!$A:$D,2,FALSE)="VYPRODÁNO",$V$9,IF(VLOOKUP(C401,[1]List1!$A:$D,2,FALSE)="DOCHÁZÍ",$V$3,VLOOKUP(C401,[1]List1!$A:$D,2,FALSE))),"OFFLINE!")</f>
        <v>SKLADEM</v>
      </c>
      <c r="AD401" s="748" t="str">
        <f ca="1">IF(AP401="NE",$V$10,IF(AC401=$V$3,IF(AQ401&lt;1,$V$8,$V$2&amp;" "&amp;AQ401&amp;" "&amp;$V$1),IF(AC401="SKLADEM",$V$6,IFERROR(IF(OR(AC401-TODAY()&gt;45,VLOOKUP(C401,[1]List1!$A:$E,4,FALSE)=0),AC401,DAY(AC401)&amp;"."&amp;MONTH(AC401)&amp;"."&amp;YEAR(AC401)&amp;" "&amp;$V$4&amp;VLOOKUP(C401,[1]List1!$A:$E,4,FALSE)&amp;" "&amp;$V$1),AC401))))</f>
        <v>SKLADEM</v>
      </c>
      <c r="AE401" s="716" t="str">
        <f t="shared" ca="1" si="826"/>
        <v>SKLADEM</v>
      </c>
      <c r="AF401" s="723">
        <f t="shared" si="827"/>
        <v>0</v>
      </c>
      <c r="AG401" s="723">
        <f t="shared" si="828"/>
        <v>0</v>
      </c>
      <c r="AH401" s="724">
        <f t="shared" si="829"/>
        <v>0</v>
      </c>
      <c r="AI401" s="716">
        <f t="shared" si="830"/>
        <v>0</v>
      </c>
      <c r="AJ401" s="716">
        <f t="shared" si="831"/>
        <v>0</v>
      </c>
      <c r="AK401" s="716" t="str">
        <f t="shared" si="832"/>
        <v/>
      </c>
      <c r="AL401" s="716">
        <f t="shared" si="833"/>
        <v>0</v>
      </c>
      <c r="AM401" s="716" t="str">
        <f t="shared" si="834"/>
        <v/>
      </c>
      <c r="AN401" s="716">
        <f t="shared" si="835"/>
        <v>0</v>
      </c>
      <c r="AO401" s="380"/>
      <c r="AP401" s="322" t="str">
        <f t="shared" si="662"/>
        <v/>
      </c>
      <c r="AQ401" s="323" t="str">
        <f>IF(AC401=$V$3,IF(VLOOKUP(C401,[1]List1!$A:$E,5,FALSE)=0,1,VLOOKUP(C401,[1]List1!$A:$E,5,FALSE)),"")</f>
        <v/>
      </c>
      <c r="AR401" s="304" t="str">
        <f t="shared" si="663"/>
        <v/>
      </c>
      <c r="AS401" s="423" t="str">
        <f t="shared" si="664"/>
        <v/>
      </c>
      <c r="AT401" s="304" t="str">
        <f t="shared" si="665"/>
        <v/>
      </c>
      <c r="AU401" s="342" t="e">
        <f t="shared" si="666"/>
        <v>#N/A</v>
      </c>
      <c r="AV401" s="304" t="e">
        <f t="shared" si="667"/>
        <v>#N/A</v>
      </c>
      <c r="AX401" s="304">
        <f>IF(AND('General price list'!$J401="F4",'General price list'!$AB401+0&gt;0),1,0)</f>
        <v>0</v>
      </c>
      <c r="AY401" s="304">
        <f t="shared" si="668"/>
        <v>1</v>
      </c>
      <c r="AZ401" s="304">
        <f t="shared" si="669"/>
        <v>0</v>
      </c>
    </row>
    <row r="402" spans="1:52" ht="15" customHeight="1">
      <c r="A402" s="725" t="str">
        <f>Kat.!C399</f>
        <v/>
      </c>
      <c r="B402" s="749">
        <f>IF(AND('General price list'!$J402="F4",$AI$1=FALSE),0,IF(AC402="SKLADEM",1,IF(AC402=$V$3,1,0)))</f>
        <v>1</v>
      </c>
      <c r="C402" s="727" t="s">
        <v>1106</v>
      </c>
      <c r="D402" s="728" t="s">
        <v>1107</v>
      </c>
      <c r="E402" s="729" t="s">
        <v>432</v>
      </c>
      <c r="F402" s="725">
        <f>IFERROR(ROUND(IF($AL$3=2,VLOOKUP(C402,[2]List1!$A:$D,2,FALSE)*1.08,VLOOKUP(C402,[2]List1!$A:$D,2,FALSE)),0),"NEUVEDENO!")</f>
        <v>135</v>
      </c>
      <c r="G402" s="730">
        <f t="shared" si="822"/>
        <v>135</v>
      </c>
      <c r="H402" s="731">
        <f t="shared" si="823"/>
        <v>5.4858201707512322</v>
      </c>
      <c r="I402" s="750">
        <v>24</v>
      </c>
      <c r="J402" s="729" t="s">
        <v>46</v>
      </c>
      <c r="K402" s="729" t="s">
        <v>14734</v>
      </c>
      <c r="L402" s="729" t="s">
        <v>14386</v>
      </c>
      <c r="M402" s="729" t="s">
        <v>138</v>
      </c>
      <c r="N402" s="729">
        <f>IFERROR(VLOOKUP(C402,[3]List1!$A:$D,4,FALSE),"N/A!")</f>
        <v>3.6861500000000005E-2</v>
      </c>
      <c r="O402" s="729">
        <f>IFERROR(VLOOKUP(C402,[3]List1!$A:$D,3,FALSE),"N/A!")</f>
        <v>3072</v>
      </c>
      <c r="P402" s="729">
        <f>IFERROR(VLOOKUP(C402,[3]List1!$A:$D,2,FALSE),"N/A!")</f>
        <v>16000</v>
      </c>
      <c r="Q402" s="729" t="s">
        <v>14151</v>
      </c>
      <c r="R402" s="729" t="s">
        <v>24</v>
      </c>
      <c r="S402" s="729" t="str">
        <f>IF($W$17=$AF$1,"design",IFERROR(VLOOKUP("design",Jazyky_ceník!$A:$Q,MATCH($W$17,Jazyky_ceník!$A$1:$Q$1,0),FALSE),"!!!"))</f>
        <v>design</v>
      </c>
      <c r="T402" s="729">
        <v>20</v>
      </c>
      <c r="U402" s="729">
        <v>25</v>
      </c>
      <c r="V402" s="729">
        <v>16</v>
      </c>
      <c r="W402" s="729" t="str">
        <f>IFERROR(VLOOKUP('General price list'!$C402,Popisy!A:P,MATCH($W$17,Popisy!$A$7:$P$7,0),FALSE),"---------------")</f>
        <v>4 různobarevné efekty</v>
      </c>
      <c r="X402" s="729" t="str">
        <f t="shared" si="824"/>
        <v/>
      </c>
      <c r="Y402" s="729" t="str">
        <f t="shared" si="825"/>
        <v/>
      </c>
      <c r="Z402" s="729" t="str">
        <f>HYPERLINK("https://www.klasekpyrotechnics.cz/c1620h")</f>
        <v>https://www.klasekpyrotechnics.cz/c1620h</v>
      </c>
      <c r="AA402" s="729">
        <f>IFERROR(IF(VLOOKUP(C402,[4]List1!$A:$D,4,FALSE)=0,"",VLOOKUP(C402,[4]List1!$A:$D,4,FALSE)),"")</f>
        <v>36</v>
      </c>
      <c r="AB402" s="720"/>
      <c r="AC402" s="751" t="str">
        <f>IFERROR(IF(VLOOKUP(C402,[1]List1!$A:$D,2,FALSE)="VYPRODÁNO",$V$9,IF(VLOOKUP(C402,[1]List1!$A:$D,2,FALSE)="DOCHÁZÍ",$V$3,VLOOKUP(C402,[1]List1!$A:$D,2,FALSE))),"OFFLINE!")</f>
        <v>SKLADEM</v>
      </c>
      <c r="AD402" s="752" t="str">
        <f ca="1">IF(AP402="NE",$V$10,IF(AC402=$V$3,IF(AQ402&lt;1,$V$8,$V$2&amp;" "&amp;AQ402&amp;" "&amp;$V$1),IF(AC402="SKLADEM",$V$6,IFERROR(IF(OR(AC402-TODAY()&gt;45,VLOOKUP(C402,[1]List1!$A:$E,4,FALSE)=0),AC402,DAY(AC402)&amp;"."&amp;MONTH(AC402)&amp;"."&amp;YEAR(AC402)&amp;" "&amp;$V$4&amp;VLOOKUP(C402,[1]List1!$A:$E,4,FALSE)&amp;" "&amp;$V$1),AC402))))</f>
        <v>SKLADEM</v>
      </c>
      <c r="AE402" s="729" t="str">
        <f t="shared" ca="1" si="826"/>
        <v>SKLADEM</v>
      </c>
      <c r="AF402" s="735">
        <f t="shared" si="827"/>
        <v>0</v>
      </c>
      <c r="AG402" s="735">
        <f t="shared" si="828"/>
        <v>0</v>
      </c>
      <c r="AH402" s="736">
        <f t="shared" si="829"/>
        <v>0</v>
      </c>
      <c r="AI402" s="729">
        <f t="shared" si="830"/>
        <v>0</v>
      </c>
      <c r="AJ402" s="729">
        <f t="shared" si="831"/>
        <v>0</v>
      </c>
      <c r="AK402" s="729" t="str">
        <f t="shared" si="832"/>
        <v/>
      </c>
      <c r="AL402" s="729">
        <f t="shared" si="833"/>
        <v>0</v>
      </c>
      <c r="AM402" s="729" t="str">
        <f t="shared" si="834"/>
        <v/>
      </c>
      <c r="AN402" s="729">
        <f t="shared" si="835"/>
        <v>0</v>
      </c>
      <c r="AO402" s="380"/>
      <c r="AP402" s="322" t="str">
        <f t="shared" ref="AP402:AP405" si="836">IF($AL$3=1,IF(Y402=AB402,"","NE"),IF(AR402=$V$10,"NE",""))</f>
        <v/>
      </c>
      <c r="AQ402" s="323" t="str">
        <f>IF(AC402=$V$3,IF(VLOOKUP(C402,[1]List1!$A:$E,5,FALSE)=0,1,VLOOKUP(C402,[1]List1!$A:$E,5,FALSE)),"")</f>
        <v/>
      </c>
      <c r="AR402" s="304" t="str">
        <f t="shared" ref="AR402:AR405" si="837">IF($AL$3=1,"",IF(OR(AB402&lt;&gt;"",AB402&lt;&gt;0),IF(OR(AC402=$V$6,AC402=$V$3,AC402=$V$9),$V$10,""),""))</f>
        <v/>
      </c>
      <c r="AS402" s="423" t="str">
        <f t="shared" ref="AS402:AS405" si="838">IF(AT402&lt;&gt;"","X","")</f>
        <v/>
      </c>
      <c r="AT402" s="304" t="str">
        <f t="shared" ref="AT402:AT405" si="839">IF(AND($AL$3=2,AR402="",AB402&lt;&gt;""),AD402,"")</f>
        <v/>
      </c>
      <c r="AU402" s="342" t="e">
        <f t="shared" ref="AU402:AU405" si="840">IF(AT402=$AS$21,AB402,"")</f>
        <v>#N/A</v>
      </c>
      <c r="AV402" s="304" t="e">
        <f t="shared" ref="AV402:AV405" si="841">IF(OR(AB402="",AND(AT402&lt;&gt;"",AU402&lt;&gt;"")),"",$V$10)</f>
        <v>#N/A</v>
      </c>
      <c r="AX402" s="304">
        <f>IF(AND('General price list'!$J402="F4",'General price list'!$AB402+0&gt;0),1,0)</f>
        <v>0</v>
      </c>
      <c r="AY402" s="304">
        <f t="shared" ref="AY402:AY405" si="842">IFERROR(FIND(VLOOKUP($AC$7,$AD$1:$AE$12,2,FALSE),Q402,1),0)</f>
        <v>1</v>
      </c>
      <c r="AZ402" s="304">
        <f t="shared" ref="AZ402:AZ405" si="843">IFERROR(FIND(VLOOKUP($AC$7,$AD$1:$AE$12,2,FALSE),R402,1),0)</f>
        <v>0</v>
      </c>
    </row>
    <row r="403" spans="1:52" ht="15" customHeight="1">
      <c r="A403" s="712" t="str">
        <f>Kat.!C400</f>
        <v/>
      </c>
      <c r="B403" s="745">
        <f>IF(AND('General price list'!$J403="F4",$AI$1=FALSE),0,IF(AC403="SKLADEM",1,IF(AC403=$V$3,1,0)))</f>
        <v>1</v>
      </c>
      <c r="C403" s="714" t="s">
        <v>1108</v>
      </c>
      <c r="D403" s="715" t="s">
        <v>1109</v>
      </c>
      <c r="E403" s="716" t="s">
        <v>432</v>
      </c>
      <c r="F403" s="712">
        <f>IFERROR(ROUND(IF($AL$3=2,VLOOKUP(C403,[2]List1!$A:$D,2,FALSE)*1.08,VLOOKUP(C403,[2]List1!$A:$D,2,FALSE)),0),"NEUVEDENO!")</f>
        <v>135</v>
      </c>
      <c r="G403" s="717">
        <f t="shared" si="822"/>
        <v>135</v>
      </c>
      <c r="H403" s="718">
        <f t="shared" si="823"/>
        <v>5.4858201707512322</v>
      </c>
      <c r="I403" s="746">
        <v>24</v>
      </c>
      <c r="J403" s="716" t="s">
        <v>46</v>
      </c>
      <c r="K403" s="716" t="s">
        <v>14734</v>
      </c>
      <c r="L403" s="716" t="s">
        <v>14386</v>
      </c>
      <c r="M403" s="716" t="s">
        <v>138</v>
      </c>
      <c r="N403" s="716">
        <f>IFERROR(VLOOKUP(C403,[3]List1!$A:$D,4,FALSE),"N/A!")</f>
        <v>3.6861500000000005E-2</v>
      </c>
      <c r="O403" s="716">
        <f>IFERROR(VLOOKUP(C403,[3]List1!$A:$D,3,FALSE),"N/A!")</f>
        <v>3072</v>
      </c>
      <c r="P403" s="716">
        <f>IFERROR(VLOOKUP(C403,[3]List1!$A:$D,2,FALSE),"N/A!")</f>
        <v>17000</v>
      </c>
      <c r="Q403" s="716" t="s">
        <v>14150</v>
      </c>
      <c r="R403" s="716" t="s">
        <v>24</v>
      </c>
      <c r="S403" s="716" t="str">
        <f>IF($W$17=$AF$1,"design",IFERROR(VLOOKUP("design",Jazyky_ceník!$A:$Q,MATCH($W$17,Jazyky_ceník!$A$1:$Q$1,0),FALSE),"!!!"))</f>
        <v>design</v>
      </c>
      <c r="T403" s="716">
        <v>20</v>
      </c>
      <c r="U403" s="716">
        <v>25</v>
      </c>
      <c r="V403" s="716">
        <v>16</v>
      </c>
      <c r="W403" s="716" t="str">
        <f>IFERROR(VLOOKUP('General price list'!$C403,Popisy!A:P,MATCH($W$17,Popisy!$A$7:$P$7,0),FALSE),"---------------")</f>
        <v>4 různobarevné efekty</v>
      </c>
      <c r="X403" s="716" t="str">
        <f t="shared" si="824"/>
        <v/>
      </c>
      <c r="Y403" s="716" t="str">
        <f t="shared" si="825"/>
        <v/>
      </c>
      <c r="Z403" s="716" t="str">
        <f>HYPERLINK("https://www.klasekpyrotechnics.cz/c1620n")</f>
        <v>https://www.klasekpyrotechnics.cz/c1620n</v>
      </c>
      <c r="AA403" s="716">
        <f>IFERROR(IF(VLOOKUP(C403,[4]List1!$A:$D,4,FALSE)=0,"",VLOOKUP(C403,[4]List1!$A:$D,4,FALSE)),"")</f>
        <v>36</v>
      </c>
      <c r="AB403" s="720"/>
      <c r="AC403" s="747" t="str">
        <f>IFERROR(IF(VLOOKUP(C403,[1]List1!$A:$D,2,FALSE)="VYPRODÁNO",$V$9,IF(VLOOKUP(C403,[1]List1!$A:$D,2,FALSE)="DOCHÁZÍ",$V$3,VLOOKUP(C403,[1]List1!$A:$D,2,FALSE))),"OFFLINE!")</f>
        <v>SKLADEM</v>
      </c>
      <c r="AD403" s="748" t="str">
        <f ca="1">IF(AP403="NE",$V$10,IF(AC403=$V$3,IF(AQ403&lt;1,$V$8,$V$2&amp;" "&amp;AQ403&amp;" "&amp;$V$1),IF(AC403="SKLADEM",$V$6,IFERROR(IF(OR(AC403-TODAY()&gt;45,VLOOKUP(C403,[1]List1!$A:$E,4,FALSE)=0),AC403,DAY(AC403)&amp;"."&amp;MONTH(AC403)&amp;"."&amp;YEAR(AC403)&amp;" "&amp;$V$4&amp;VLOOKUP(C403,[1]List1!$A:$E,4,FALSE)&amp;" "&amp;$V$1),AC403))))</f>
        <v>SKLADEM</v>
      </c>
      <c r="AE403" s="716" t="str">
        <f t="shared" ca="1" si="826"/>
        <v>SKLADEM</v>
      </c>
      <c r="AF403" s="723">
        <f t="shared" si="827"/>
        <v>0</v>
      </c>
      <c r="AG403" s="723">
        <f t="shared" si="828"/>
        <v>0</v>
      </c>
      <c r="AH403" s="724">
        <f t="shared" si="829"/>
        <v>0</v>
      </c>
      <c r="AI403" s="716">
        <f t="shared" si="830"/>
        <v>0</v>
      </c>
      <c r="AJ403" s="716">
        <f t="shared" si="831"/>
        <v>0</v>
      </c>
      <c r="AK403" s="716" t="str">
        <f t="shared" si="832"/>
        <v/>
      </c>
      <c r="AL403" s="716">
        <f t="shared" si="833"/>
        <v>0</v>
      </c>
      <c r="AM403" s="716" t="str">
        <f t="shared" si="834"/>
        <v/>
      </c>
      <c r="AN403" s="716">
        <f t="shared" si="835"/>
        <v>0</v>
      </c>
      <c r="AO403" s="380"/>
      <c r="AP403" s="322" t="str">
        <f t="shared" si="836"/>
        <v/>
      </c>
      <c r="AQ403" s="323" t="str">
        <f>IF(AC403=$V$3,IF(VLOOKUP(C403,[1]List1!$A:$E,5,FALSE)=0,1,VLOOKUP(C403,[1]List1!$A:$E,5,FALSE)),"")</f>
        <v/>
      </c>
      <c r="AR403" s="304" t="str">
        <f t="shared" si="837"/>
        <v/>
      </c>
      <c r="AS403" s="423" t="str">
        <f t="shared" si="838"/>
        <v/>
      </c>
      <c r="AT403" s="304" t="str">
        <f t="shared" si="839"/>
        <v/>
      </c>
      <c r="AU403" s="342" t="e">
        <f t="shared" si="840"/>
        <v>#N/A</v>
      </c>
      <c r="AV403" s="304" t="e">
        <f t="shared" si="841"/>
        <v>#N/A</v>
      </c>
      <c r="AX403" s="304">
        <f>IF(AND('General price list'!$J403="F4",'General price list'!$AB403+0&gt;0),1,0)</f>
        <v>0</v>
      </c>
      <c r="AY403" s="304">
        <f t="shared" si="842"/>
        <v>1</v>
      </c>
      <c r="AZ403" s="304">
        <f t="shared" si="843"/>
        <v>0</v>
      </c>
    </row>
    <row r="404" spans="1:52" ht="15" customHeight="1">
      <c r="A404" s="725" t="str">
        <f>Kat.!C401</f>
        <v/>
      </c>
      <c r="B404" s="749">
        <f>IF(AND('General price list'!$J404="F4",$AI$1=FALSE),0,IF(AC404="SKLADEM",1,IF(AC404=$V$3,1,0)))</f>
        <v>0</v>
      </c>
      <c r="C404" s="727" t="s">
        <v>1111</v>
      </c>
      <c r="D404" s="728" t="s">
        <v>1112</v>
      </c>
      <c r="E404" s="729" t="s">
        <v>432</v>
      </c>
      <c r="F404" s="725">
        <f>IFERROR(ROUND(IF($AL$3=2,VLOOKUP(C404,[2]List1!$A:$D,2,FALSE)*1.08,VLOOKUP(C404,[2]List1!$A:$D,2,FALSE)),0),"NEUVEDENO!")</f>
        <v>135</v>
      </c>
      <c r="G404" s="730">
        <f t="shared" si="822"/>
        <v>135</v>
      </c>
      <c r="H404" s="731">
        <f t="shared" si="823"/>
        <v>5.4858201707512322</v>
      </c>
      <c r="I404" s="750">
        <v>24</v>
      </c>
      <c r="J404" s="729" t="s">
        <v>46</v>
      </c>
      <c r="K404" s="729" t="s">
        <v>14734</v>
      </c>
      <c r="L404" s="729" t="s">
        <v>14386</v>
      </c>
      <c r="M404" s="729" t="s">
        <v>138</v>
      </c>
      <c r="N404" s="729">
        <f>IFERROR(VLOOKUP(C404,[3]List1!$A:$D,4,FALSE),"N/A!")</f>
        <v>3.6861500000000005E-2</v>
      </c>
      <c r="O404" s="729">
        <f>IFERROR(VLOOKUP(C404,[3]List1!$A:$D,3,FALSE),"N/A!")</f>
        <v>3072</v>
      </c>
      <c r="P404" s="729">
        <f>IFERROR(VLOOKUP(C404,[3]List1!$A:$D,2,FALSE),"N/A!")</f>
        <v>18500</v>
      </c>
      <c r="Q404" s="729" t="s">
        <v>14150</v>
      </c>
      <c r="R404" s="729" t="s">
        <v>24</v>
      </c>
      <c r="S404" s="729" t="str">
        <f>IF($W$17=$AF$1,"design",IFERROR(VLOOKUP("design",Jazyky_ceník!$A:$Q,MATCH($W$17,Jazyky_ceník!$A$1:$Q$1,0),FALSE),"!!!"))</f>
        <v>design</v>
      </c>
      <c r="T404" s="729">
        <v>20</v>
      </c>
      <c r="U404" s="729">
        <v>25</v>
      </c>
      <c r="V404" s="729">
        <v>16</v>
      </c>
      <c r="W404" s="729" t="str">
        <f>IFERROR(VLOOKUP('General price list'!$C404,Popisy!A:P,MATCH($W$17,Popisy!$A$7:$P$7,0),FALSE),"---------------")</f>
        <v>4 různobarevné efekty</v>
      </c>
      <c r="X404" s="729" t="str">
        <f t="shared" si="824"/>
        <v/>
      </c>
      <c r="Y404" s="729" t="str">
        <f t="shared" si="825"/>
        <v/>
      </c>
      <c r="Z404" s="729" t="str">
        <f>HYPERLINK("https://www.klasekpyrotechnics.cz/c1620m")</f>
        <v>https://www.klasekpyrotechnics.cz/c1620m</v>
      </c>
      <c r="AA404" s="729">
        <f>IFERROR(IF(VLOOKUP(C404,[4]List1!$A:$D,4,FALSE)=0,"",VLOOKUP(C404,[4]List1!$A:$D,4,FALSE)),"")</f>
        <v>36</v>
      </c>
      <c r="AB404" s="720"/>
      <c r="AC404" s="751" t="str">
        <f>IFERROR(IF(VLOOKUP(C404,[1]List1!$A:$D,2,FALSE)="VYPRODÁNO",$V$9,IF(VLOOKUP(C404,[1]List1!$A:$D,2,FALSE)="DOCHÁZÍ",$V$3,VLOOKUP(C404,[1]List1!$A:$D,2,FALSE))),"OFFLINE!")</f>
        <v>15.09.2024</v>
      </c>
      <c r="AD404" s="752" t="str">
        <f ca="1">IF(AP404="NE",$V$10,IF(AC404=$V$3,IF(AQ404&lt;1,$V$8,$V$2&amp;" "&amp;AQ404&amp;" "&amp;$V$1),IF(AC404="SKLADEM",$V$6,IFERROR(IF(OR(AC404-TODAY()&gt;45,VLOOKUP(C404,[1]List1!$A:$E,4,FALSE)=0),AC404,DAY(AC404)&amp;"."&amp;MONTH(AC404)&amp;"."&amp;YEAR(AC404)&amp;" "&amp;$V$4&amp;VLOOKUP(C404,[1]List1!$A:$E,4,FALSE)&amp;" "&amp;$V$1),AC404))))</f>
        <v>15.09.2024</v>
      </c>
      <c r="AE404" s="729" t="str">
        <f t="shared" ca="1" si="826"/>
        <v>15.09.2024</v>
      </c>
      <c r="AF404" s="735">
        <f t="shared" si="827"/>
        <v>0</v>
      </c>
      <c r="AG404" s="735">
        <f t="shared" si="828"/>
        <v>0</v>
      </c>
      <c r="AH404" s="736">
        <f t="shared" si="829"/>
        <v>0</v>
      </c>
      <c r="AI404" s="729">
        <f t="shared" si="830"/>
        <v>0</v>
      </c>
      <c r="AJ404" s="729">
        <f t="shared" si="831"/>
        <v>0</v>
      </c>
      <c r="AK404" s="729" t="str">
        <f t="shared" si="832"/>
        <v/>
      </c>
      <c r="AL404" s="729">
        <f t="shared" si="833"/>
        <v>0</v>
      </c>
      <c r="AM404" s="729" t="str">
        <f t="shared" si="834"/>
        <v/>
      </c>
      <c r="AN404" s="729">
        <f t="shared" si="835"/>
        <v>0</v>
      </c>
      <c r="AO404" s="380"/>
      <c r="AP404" s="322" t="str">
        <f t="shared" si="836"/>
        <v/>
      </c>
      <c r="AQ404" s="323" t="str">
        <f>IF(AC404=$V$3,IF(VLOOKUP(C404,[1]List1!$A:$E,5,FALSE)=0,1,VLOOKUP(C404,[1]List1!$A:$E,5,FALSE)),"")</f>
        <v/>
      </c>
      <c r="AR404" s="304" t="str">
        <f t="shared" si="837"/>
        <v/>
      </c>
      <c r="AS404" s="423" t="str">
        <f t="shared" si="838"/>
        <v/>
      </c>
      <c r="AT404" s="304" t="str">
        <f t="shared" si="839"/>
        <v/>
      </c>
      <c r="AU404" s="342" t="e">
        <f t="shared" si="840"/>
        <v>#N/A</v>
      </c>
      <c r="AV404" s="304" t="e">
        <f t="shared" si="841"/>
        <v>#N/A</v>
      </c>
      <c r="AX404" s="304">
        <f>IF(AND('General price list'!$J404="F4",'General price list'!$AB404+0&gt;0),1,0)</f>
        <v>0</v>
      </c>
      <c r="AY404" s="304">
        <f t="shared" si="842"/>
        <v>1</v>
      </c>
      <c r="AZ404" s="304">
        <f t="shared" si="843"/>
        <v>0</v>
      </c>
    </row>
    <row r="405" spans="1:52" ht="15" customHeight="1">
      <c r="A405" s="712" t="str">
        <f>Kat.!C402</f>
        <v/>
      </c>
      <c r="B405" s="745">
        <f>IF(AND('General price list'!$J405="F4",$AI$1=FALSE),0,IF(AC405="SKLADEM",1,IF(AC405=$V$3,1,0)))</f>
        <v>1</v>
      </c>
      <c r="C405" s="714" t="s">
        <v>1113</v>
      </c>
      <c r="D405" s="715" t="s">
        <v>1114</v>
      </c>
      <c r="E405" s="716" t="s">
        <v>432</v>
      </c>
      <c r="F405" s="712">
        <f>IFERROR(ROUND(IF($AL$3=2,VLOOKUP(C405,[2]List1!$A:$D,2,FALSE)*1.08,VLOOKUP(C405,[2]List1!$A:$D,2,FALSE)),0),"NEUVEDENO!")</f>
        <v>135</v>
      </c>
      <c r="G405" s="717">
        <f t="shared" si="822"/>
        <v>135</v>
      </c>
      <c r="H405" s="718">
        <f t="shared" si="823"/>
        <v>5.4858201707512322</v>
      </c>
      <c r="I405" s="746">
        <v>24</v>
      </c>
      <c r="J405" s="716" t="s">
        <v>46</v>
      </c>
      <c r="K405" s="716" t="s">
        <v>14734</v>
      </c>
      <c r="L405" s="716" t="s">
        <v>14386</v>
      </c>
      <c r="M405" s="716" t="s">
        <v>138</v>
      </c>
      <c r="N405" s="716">
        <f>IFERROR(VLOOKUP(C405,[3]List1!$A:$D,4,FALSE),"N/A!")</f>
        <v>3.6861500000000005E-2</v>
      </c>
      <c r="O405" s="716">
        <f>IFERROR(VLOOKUP(C405,[3]List1!$A:$D,3,FALSE),"N/A!")</f>
        <v>3072</v>
      </c>
      <c r="P405" s="716">
        <f>IFERROR(VLOOKUP(C405,[3]List1!$A:$D,2,FALSE),"N/A!")</f>
        <v>18500</v>
      </c>
      <c r="Q405" s="716" t="s">
        <v>14150</v>
      </c>
      <c r="R405" s="716" t="s">
        <v>24</v>
      </c>
      <c r="S405" s="716" t="str">
        <f>IF($W$17=$AF$1,"design",IFERROR(VLOOKUP("design",Jazyky_ceník!$A:$Q,MATCH($W$17,Jazyky_ceník!$A$1:$Q$1,0),FALSE),"!!!"))</f>
        <v>design</v>
      </c>
      <c r="T405" s="716">
        <v>20</v>
      </c>
      <c r="U405" s="716">
        <v>25</v>
      </c>
      <c r="V405" s="716">
        <v>16</v>
      </c>
      <c r="W405" s="716" t="str">
        <f>IFERROR(VLOOKUP('General price list'!$C405,Popisy!A:P,MATCH($W$17,Popisy!$A$7:$P$7,0),FALSE),"---------------")</f>
        <v>4 různobarevné efekty</v>
      </c>
      <c r="X405" s="716" t="str">
        <f t="shared" si="824"/>
        <v/>
      </c>
      <c r="Y405" s="716" t="str">
        <f t="shared" si="825"/>
        <v/>
      </c>
      <c r="Z405" s="716" t="str">
        <f>HYPERLINK("https://www.klasekpyrotechnics.cz/c1620f")</f>
        <v>https://www.klasekpyrotechnics.cz/c1620f</v>
      </c>
      <c r="AA405" s="716">
        <f>IFERROR(IF(VLOOKUP(C405,[4]List1!$A:$D,4,FALSE)=0,"",VLOOKUP(C405,[4]List1!$A:$D,4,FALSE)),"")</f>
        <v>36</v>
      </c>
      <c r="AB405" s="720"/>
      <c r="AC405" s="747" t="str">
        <f>IFERROR(IF(VLOOKUP(C405,[1]List1!$A:$D,2,FALSE)="VYPRODÁNO",$V$9,IF(VLOOKUP(C405,[1]List1!$A:$D,2,FALSE)="DOCHÁZÍ",$V$3,VLOOKUP(C405,[1]List1!$A:$D,2,FALSE))),"OFFLINE!")</f>
        <v>SKLADEM</v>
      </c>
      <c r="AD405" s="748" t="str">
        <f ca="1">IF(AP405="NE",$V$10,IF(AC405=$V$3,IF(AQ405&lt;1,$V$8,$V$2&amp;" "&amp;AQ405&amp;" "&amp;$V$1),IF(AC405="SKLADEM",$V$6,IFERROR(IF(OR(AC405-TODAY()&gt;45,VLOOKUP(C405,[1]List1!$A:$E,4,FALSE)=0),AC405,DAY(AC405)&amp;"."&amp;MONTH(AC405)&amp;"."&amp;YEAR(AC405)&amp;" "&amp;$V$4&amp;VLOOKUP(C405,[1]List1!$A:$E,4,FALSE)&amp;" "&amp;$V$1),AC405))))</f>
        <v>SKLADEM</v>
      </c>
      <c r="AE405" s="716" t="str">
        <f t="shared" ca="1" si="826"/>
        <v>SKLADEM</v>
      </c>
      <c r="AF405" s="723">
        <f t="shared" si="827"/>
        <v>0</v>
      </c>
      <c r="AG405" s="723">
        <f t="shared" si="828"/>
        <v>0</v>
      </c>
      <c r="AH405" s="724">
        <f t="shared" si="829"/>
        <v>0</v>
      </c>
      <c r="AI405" s="716">
        <f t="shared" si="830"/>
        <v>0</v>
      </c>
      <c r="AJ405" s="716">
        <f t="shared" si="831"/>
        <v>0</v>
      </c>
      <c r="AK405" s="716" t="str">
        <f t="shared" si="832"/>
        <v/>
      </c>
      <c r="AL405" s="716">
        <f t="shared" si="833"/>
        <v>0</v>
      </c>
      <c r="AM405" s="716" t="str">
        <f t="shared" si="834"/>
        <v/>
      </c>
      <c r="AN405" s="716">
        <f t="shared" si="835"/>
        <v>0</v>
      </c>
      <c r="AO405" s="380"/>
      <c r="AP405" s="322" t="str">
        <f t="shared" si="836"/>
        <v/>
      </c>
      <c r="AQ405" s="323" t="str">
        <f>IF(AC405=$V$3,IF(VLOOKUP(C405,[1]List1!$A:$E,5,FALSE)=0,1,VLOOKUP(C405,[1]List1!$A:$E,5,FALSE)),"")</f>
        <v/>
      </c>
      <c r="AR405" s="304" t="str">
        <f t="shared" si="837"/>
        <v/>
      </c>
      <c r="AS405" s="423" t="str">
        <f t="shared" si="838"/>
        <v/>
      </c>
      <c r="AT405" s="304" t="str">
        <f t="shared" si="839"/>
        <v/>
      </c>
      <c r="AU405" s="342" t="e">
        <f t="shared" si="840"/>
        <v>#N/A</v>
      </c>
      <c r="AV405" s="304" t="e">
        <f t="shared" si="841"/>
        <v>#N/A</v>
      </c>
      <c r="AX405" s="304">
        <f>IF(AND('General price list'!$J405="F4",'General price list'!$AB405+0&gt;0),1,0)</f>
        <v>0</v>
      </c>
      <c r="AY405" s="304">
        <f t="shared" si="842"/>
        <v>1</v>
      </c>
      <c r="AZ405" s="304">
        <f t="shared" si="843"/>
        <v>0</v>
      </c>
    </row>
    <row r="406" spans="1:52" ht="15" customHeight="1">
      <c r="A406" s="773" t="str">
        <f>Kat.!C403</f>
        <v xml:space="preserve">                                                               Baterie 16ran, 20mm moždíř-1.4G</v>
      </c>
      <c r="B406" s="774"/>
      <c r="C406" s="774"/>
      <c r="D406" s="774"/>
      <c r="E406" s="774"/>
      <c r="F406" s="774"/>
      <c r="G406" s="774"/>
      <c r="H406" s="774"/>
      <c r="I406" s="774"/>
      <c r="J406" s="774"/>
      <c r="K406" s="774"/>
      <c r="L406" s="774"/>
      <c r="M406" s="774"/>
      <c r="N406" s="774"/>
      <c r="O406" s="774"/>
      <c r="P406" s="774"/>
      <c r="Q406" s="774"/>
      <c r="R406" s="774"/>
      <c r="S406" s="774"/>
      <c r="T406" s="774"/>
      <c r="U406" s="774"/>
      <c r="V406" s="774"/>
      <c r="W406" s="774"/>
      <c r="X406" s="774"/>
      <c r="Y406" s="774"/>
      <c r="Z406" s="774"/>
      <c r="AA406" s="774" t="str">
        <f>IFERROR(IF(VLOOKUP(C406,[4]List1!$A:$D,4,FALSE)=0,"",VLOOKUP(C406,[4]List1!$A:$D,4,FALSE)),"")</f>
        <v/>
      </c>
      <c r="AB406" s="774"/>
      <c r="AC406" s="775" t="str">
        <f>IFERROR(IF(VLOOKUP(C406,[1]List1!$A:$D,2,FALSE)="VYPRODÁNO",$V$9,IF(VLOOKUP(C406,[1]List1!$A:$D,2,FALSE)="DOCHÁZÍ",$V$3,VLOOKUP(C406,[1]List1!$A:$D,2,FALSE))),"OFFLINE!")</f>
        <v>OFFLINE!</v>
      </c>
      <c r="AD406" s="774"/>
      <c r="AE406" s="774"/>
      <c r="AF406" s="774"/>
      <c r="AG406" s="774"/>
      <c r="AH406" s="774"/>
      <c r="AI406" s="774"/>
      <c r="AJ406" s="774"/>
      <c r="AK406" s="774"/>
      <c r="AL406" s="774"/>
      <c r="AM406" s="774"/>
      <c r="AN406" s="774"/>
      <c r="AO406" s="380"/>
      <c r="AP406" s="322" t="str">
        <f t="shared" ref="AP406:AP465" si="844">IF($AL$3=1,IF(Y406=AB406,"","NE"),IF(AR406=$V$10,"NE",""))</f>
        <v/>
      </c>
      <c r="AQ406" s="323" t="str">
        <f>IF(AC406=$V$3,IF(VLOOKUP(C406,[1]List1!$A:$E,5,FALSE)=0,1,VLOOKUP(C406,[1]List1!$A:$E,5,FALSE)),"")</f>
        <v/>
      </c>
      <c r="AR406" s="304" t="str">
        <f t="shared" ref="AR406:AR465" si="845">IF($AL$3=1,"",IF(OR(AB406&lt;&gt;"",AB406&lt;&gt;0),IF(OR(AC406=$V$6,AC406=$V$3,AC406=$V$9),$V$10,""),""))</f>
        <v/>
      </c>
      <c r="AS406" s="423" t="str">
        <f t="shared" ref="AS406:AS465" si="846">IF(AT406&lt;&gt;"","X","")</f>
        <v/>
      </c>
      <c r="AT406" s="304" t="str">
        <f t="shared" ref="AT406:AT465" si="847">IF(AND($AL$3=2,AR406="",AB406&lt;&gt;""),AD406,"")</f>
        <v/>
      </c>
      <c r="AU406" s="342" t="e">
        <f t="shared" ref="AU406:AU465" si="848">IF(AT406=$AS$21,AB406,"")</f>
        <v>#N/A</v>
      </c>
      <c r="AV406" s="304" t="e">
        <f t="shared" ref="AV406:AV465" si="849">IF(OR(AB406="",AND(AT406&lt;&gt;"",AU406&lt;&gt;"")),"",$V$10)</f>
        <v>#N/A</v>
      </c>
      <c r="AX406" s="304">
        <f>IF(AND('General price list'!$J406="F4",'General price list'!$AB406+0&gt;0),1,0)</f>
        <v>0</v>
      </c>
      <c r="AY406" s="304">
        <f t="shared" ref="AY406:AY465" si="850">IFERROR(FIND(VLOOKUP($AC$7,$AD$1:$AE$12,2,FALSE),Q406,1),0)</f>
        <v>0</v>
      </c>
      <c r="AZ406" s="304">
        <f t="shared" ref="AZ406:AZ465" si="851">IFERROR(FIND(VLOOKUP($AC$7,$AD$1:$AE$12,2,FALSE),R406,1),0)</f>
        <v>0</v>
      </c>
    </row>
    <row r="407" spans="1:52" ht="15" customHeight="1">
      <c r="A407" s="712" t="str">
        <f>Kat.!C404</f>
        <v/>
      </c>
      <c r="B407" s="713">
        <f>IF(AND('General price list'!$J407="F4",$AI$1=FALSE),0,IF(AC407="SKLADEM",1,IF(AC407=$V$3,1,0)))</f>
        <v>1</v>
      </c>
      <c r="C407" s="714" t="s">
        <v>1116</v>
      </c>
      <c r="D407" s="715" t="s">
        <v>1107</v>
      </c>
      <c r="E407" s="716" t="s">
        <v>432</v>
      </c>
      <c r="F407" s="712">
        <f>IFERROR(ROUND(IF($AL$3=2,VLOOKUP(C407,[2]List1!$A:$D,2,FALSE)*1.08,VLOOKUP(C407,[2]List1!$A:$D,2,FALSE)),0),"NEUVEDENO!")</f>
        <v>135</v>
      </c>
      <c r="G407" s="717">
        <f t="shared" ref="G407:G410" si="852">(F407)*$B$19</f>
        <v>135</v>
      </c>
      <c r="H407" s="718">
        <f t="shared" ref="H407:H410" si="853">G407/$F$19</f>
        <v>5.4858201707512322</v>
      </c>
      <c r="I407" s="719">
        <v>24</v>
      </c>
      <c r="J407" s="716" t="s">
        <v>46</v>
      </c>
      <c r="K407" s="716" t="s">
        <v>14734</v>
      </c>
      <c r="L407" s="716" t="s">
        <v>14388</v>
      </c>
      <c r="M407" s="716" t="s">
        <v>25</v>
      </c>
      <c r="N407" s="716">
        <f>IFERROR(VLOOKUP(C407,[3]List1!$A:$D,4,FALSE),"N/A!")</f>
        <v>3.6861500000000005E-2</v>
      </c>
      <c r="O407" s="716">
        <f>IFERROR(VLOOKUP(C407,[3]List1!$A:$D,3,FALSE),"N/A!")</f>
        <v>3072</v>
      </c>
      <c r="P407" s="716">
        <f>IFERROR(VLOOKUP(C407,[3]List1!$A:$D,2,FALSE),"N/A!")</f>
        <v>18300</v>
      </c>
      <c r="Q407" s="716" t="s">
        <v>2791</v>
      </c>
      <c r="R407" s="716" t="s">
        <v>24</v>
      </c>
      <c r="S407" s="716" t="str">
        <f>IF($W$17=$AF$1,"design",IFERROR(VLOOKUP("design",Jazyky_ceník!$A:$Q,MATCH($W$17,Jazyky_ceník!$A$1:$Q$1,0),FALSE),"!!!"))</f>
        <v>design</v>
      </c>
      <c r="T407" s="716">
        <v>20</v>
      </c>
      <c r="U407" s="716">
        <v>25</v>
      </c>
      <c r="V407" s="716">
        <v>13</v>
      </c>
      <c r="W407" s="716" t="str">
        <f>IFERROR(VLOOKUP('General price list'!$C407,Popisy!A:P,MATCH($W$17,Popisy!$A$7:$P$7,0),FALSE),"---------------")</f>
        <v>4 různobarevné efekty</v>
      </c>
      <c r="X407" s="716" t="str">
        <f t="shared" ref="X407:X410" si="854">IF(AB407&lt;0.0001,"",AB407)</f>
        <v/>
      </c>
      <c r="Y407" s="716" t="str">
        <f t="shared" ref="Y407:Y410" si="855">IF($AL$3=2,IF(OR(AB407&lt;&gt;"",AB407&lt;&gt;0),AU407,""),IF(C407="","",IF(AB407&lt;0.0001,"",IF(B407=0,"",IF(AQ407&lt;AB407,"",AB407)))))</f>
        <v/>
      </c>
      <c r="Z407" s="716" t="str">
        <f>HYPERLINK("https://www.klasekpyrotechnics.cz/c1620h14")</f>
        <v>https://www.klasekpyrotechnics.cz/c1620h14</v>
      </c>
      <c r="AA407" s="716">
        <f>IFERROR(IF(VLOOKUP(C407,[4]List1!$A:$D,4,FALSE)=0,"",VLOOKUP(C407,[4]List1!$A:$D,4,FALSE)),"")</f>
        <v>36</v>
      </c>
      <c r="AB407" s="720"/>
      <c r="AC407" s="721" t="str">
        <f>IFERROR(IF(VLOOKUP(C407,[1]List1!$A:$D,2,FALSE)="VYPRODÁNO",$V$9,IF(VLOOKUP(C407,[1]List1!$A:$D,2,FALSE)="DOCHÁZÍ",$V$3,VLOOKUP(C407,[1]List1!$A:$D,2,FALSE))),"OFFLINE!")</f>
        <v>SKLADEM</v>
      </c>
      <c r="AD407" s="722" t="str">
        <f ca="1">IF(AP407="NE",$V$10,IF(AC407=$V$3,IF(AQ407&lt;1,$V$8,$V$2&amp;" "&amp;AQ407&amp;" "&amp;$V$1),IF(AC407="SKLADEM",$V$6,IFERROR(IF(OR(AC407-TODAY()&gt;45,VLOOKUP(C407,[1]List1!$A:$E,4,FALSE)=0),AC407,DAY(AC407)&amp;"."&amp;MONTH(AC407)&amp;"."&amp;YEAR(AC407)&amp;" "&amp;$V$4&amp;VLOOKUP(C407,[1]List1!$A:$E,4,FALSE)&amp;" "&amp;$V$1),AC407))))</f>
        <v>SKLADEM</v>
      </c>
      <c r="AE407" s="716" t="str">
        <f t="shared" ref="AE407:AE410" ca="1" si="856">IFERROR(IF(AV407&lt;&gt;"",AV407,AD407),AD407)</f>
        <v>SKLADEM</v>
      </c>
      <c r="AF407" s="723">
        <f t="shared" ref="AF407:AF410" si="857">IFERROR(IF(AB407=Y407,G407*I407*Y407,0),0)</f>
        <v>0</v>
      </c>
      <c r="AG407" s="723">
        <f t="shared" ref="AG407:AG410" si="858">IF($W$17=$AF$8,AH407*1.23,AF407*1.21)</f>
        <v>0</v>
      </c>
      <c r="AH407" s="724">
        <f t="shared" ref="AH407:AH410" si="859">IFERROR(IF(Y407=AB407,H407*I407*Y407,0),0)</f>
        <v>0</v>
      </c>
      <c r="AI407" s="716">
        <f t="shared" ref="AI407:AI410" si="860">IFERROR(IF(Y407=AB407,(P407*Y407)/1000,1),0)</f>
        <v>0</v>
      </c>
      <c r="AJ407" s="716">
        <f t="shared" ref="AJ407:AJ410" si="861">IFERROR(IF(Y407=AB407,N407*Y407,0.1),0)</f>
        <v>0</v>
      </c>
      <c r="AK407" s="716" t="str">
        <f t="shared" ref="AK407:AK410" si="862">IFERROR(IF(Y407=AB407,IF(M407="1.1G",(O407/1000)*Y407,""),""),0)</f>
        <v/>
      </c>
      <c r="AL407" s="716" t="str">
        <f t="shared" ref="AL407:AL410" si="863">IFERROR(IF(Y407=AB407,IF(M407="1.3G",(O407/1000)*AB407,""),""),0)</f>
        <v/>
      </c>
      <c r="AM407" s="716">
        <f t="shared" ref="AM407:AM410" si="864">IFERROR(IF(Y407=AB407,IF(M407="1.4G",(O407/1000)*AB407,""),""),0)</f>
        <v>0</v>
      </c>
      <c r="AN407" s="716">
        <f t="shared" ref="AN407:AN410" si="865">SUM(AK407:AM407)</f>
        <v>0</v>
      </c>
      <c r="AO407" s="380"/>
      <c r="AP407" s="322" t="str">
        <f t="shared" si="844"/>
        <v/>
      </c>
      <c r="AQ407" s="323" t="str">
        <f>IF(AC407=$V$3,IF(VLOOKUP(C407,[1]List1!$A:$E,5,FALSE)=0,1,VLOOKUP(C407,[1]List1!$A:$E,5,FALSE)),"")</f>
        <v/>
      </c>
      <c r="AR407" s="304" t="str">
        <f t="shared" si="845"/>
        <v/>
      </c>
      <c r="AS407" s="423" t="str">
        <f t="shared" si="846"/>
        <v/>
      </c>
      <c r="AT407" s="304" t="str">
        <f t="shared" si="847"/>
        <v/>
      </c>
      <c r="AU407" s="342" t="e">
        <f t="shared" si="848"/>
        <v>#N/A</v>
      </c>
      <c r="AV407" s="304" t="e">
        <f t="shared" si="849"/>
        <v>#N/A</v>
      </c>
      <c r="AX407" s="304">
        <f>IF(AND('General price list'!$J407="F4",'General price list'!$AB407+0&gt;0),1,0)</f>
        <v>0</v>
      </c>
      <c r="AY407" s="304">
        <f t="shared" si="850"/>
        <v>1</v>
      </c>
      <c r="AZ407" s="304">
        <f t="shared" si="851"/>
        <v>0</v>
      </c>
    </row>
    <row r="408" spans="1:52" ht="15" customHeight="1">
      <c r="A408" s="725" t="str">
        <f>Kat.!C405</f>
        <v/>
      </c>
      <c r="B408" s="726">
        <f>IF(AND('General price list'!$J408="F4",$AI$1=FALSE),0,IF(AC408="SKLADEM",1,IF(AC408=$V$3,1,0)))</f>
        <v>1</v>
      </c>
      <c r="C408" s="727" t="s">
        <v>1117</v>
      </c>
      <c r="D408" s="728" t="s">
        <v>1109</v>
      </c>
      <c r="E408" s="729" t="s">
        <v>432</v>
      </c>
      <c r="F408" s="725">
        <f>IFERROR(ROUND(IF($AL$3=2,VLOOKUP(C408,[2]List1!$A:$D,2,FALSE)*1.08,VLOOKUP(C408,[2]List1!$A:$D,2,FALSE)),0),"NEUVEDENO!")</f>
        <v>135</v>
      </c>
      <c r="G408" s="730">
        <f t="shared" si="852"/>
        <v>135</v>
      </c>
      <c r="H408" s="731">
        <f t="shared" si="853"/>
        <v>5.4858201707512322</v>
      </c>
      <c r="I408" s="732">
        <v>24</v>
      </c>
      <c r="J408" s="729" t="s">
        <v>46</v>
      </c>
      <c r="K408" s="729" t="s">
        <v>14734</v>
      </c>
      <c r="L408" s="729" t="s">
        <v>14369</v>
      </c>
      <c r="M408" s="729" t="s">
        <v>25</v>
      </c>
      <c r="N408" s="729">
        <f>IFERROR(VLOOKUP(C408,[3]List1!$A:$D,4,FALSE),"N/A!")</f>
        <v>3.6861500000000005E-2</v>
      </c>
      <c r="O408" s="729">
        <f>IFERROR(VLOOKUP(C408,[3]List1!$A:$D,3,FALSE),"N/A!")</f>
        <v>3072</v>
      </c>
      <c r="P408" s="729">
        <f>IFERROR(VLOOKUP(C408,[3]List1!$A:$D,2,FALSE),"N/A!")</f>
        <v>18300</v>
      </c>
      <c r="Q408" s="729" t="s">
        <v>1102</v>
      </c>
      <c r="R408" s="729" t="s">
        <v>24</v>
      </c>
      <c r="S408" s="729" t="str">
        <f>IF($W$17=$AF$1,"design",IFERROR(VLOOKUP("design",Jazyky_ceník!$A:$Q,MATCH($W$17,Jazyky_ceník!$A$1:$Q$1,0),FALSE),"!!!"))</f>
        <v>design</v>
      </c>
      <c r="T408" s="729">
        <v>20</v>
      </c>
      <c r="U408" s="729">
        <v>25</v>
      </c>
      <c r="V408" s="729">
        <v>13</v>
      </c>
      <c r="W408" s="729" t="str">
        <f>IFERROR(VLOOKUP('General price list'!$C408,Popisy!A:P,MATCH($W$17,Popisy!$A$7:$P$7,0),FALSE),"---------------")</f>
        <v>4 různobarevné efekty</v>
      </c>
      <c r="X408" s="729" t="str">
        <f t="shared" si="854"/>
        <v/>
      </c>
      <c r="Y408" s="729" t="str">
        <f t="shared" si="855"/>
        <v/>
      </c>
      <c r="Z408" s="729" t="str">
        <f>HYPERLINK("https://www.klasekpyrotechnics.cz/c1620n14")</f>
        <v>https://www.klasekpyrotechnics.cz/c1620n14</v>
      </c>
      <c r="AA408" s="729">
        <f>IFERROR(IF(VLOOKUP(C408,[4]List1!$A:$D,4,FALSE)=0,"",VLOOKUP(C408,[4]List1!$A:$D,4,FALSE)),"")</f>
        <v>36</v>
      </c>
      <c r="AB408" s="720"/>
      <c r="AC408" s="733" t="str">
        <f>IFERROR(IF(VLOOKUP(C408,[1]List1!$A:$D,2,FALSE)="VYPRODÁNO",$V$9,IF(VLOOKUP(C408,[1]List1!$A:$D,2,FALSE)="DOCHÁZÍ",$V$3,VLOOKUP(C408,[1]List1!$A:$D,2,FALSE))),"OFFLINE!")</f>
        <v>SKLADEM</v>
      </c>
      <c r="AD408" s="734" t="str">
        <f ca="1">IF(AP408="NE",$V$10,IF(AC408=$V$3,IF(AQ408&lt;1,$V$8,$V$2&amp;" "&amp;AQ408&amp;" "&amp;$V$1),IF(AC408="SKLADEM",$V$6,IFERROR(IF(OR(AC408-TODAY()&gt;45,VLOOKUP(C408,[1]List1!$A:$E,4,FALSE)=0),AC408,DAY(AC408)&amp;"."&amp;MONTH(AC408)&amp;"."&amp;YEAR(AC408)&amp;" "&amp;$V$4&amp;VLOOKUP(C408,[1]List1!$A:$E,4,FALSE)&amp;" "&amp;$V$1),AC408))))</f>
        <v>SKLADEM</v>
      </c>
      <c r="AE408" s="729" t="str">
        <f t="shared" ca="1" si="856"/>
        <v>SKLADEM</v>
      </c>
      <c r="AF408" s="735">
        <f t="shared" si="857"/>
        <v>0</v>
      </c>
      <c r="AG408" s="735">
        <f t="shared" si="858"/>
        <v>0</v>
      </c>
      <c r="AH408" s="736">
        <f t="shared" si="859"/>
        <v>0</v>
      </c>
      <c r="AI408" s="729">
        <f t="shared" si="860"/>
        <v>0</v>
      </c>
      <c r="AJ408" s="729">
        <f t="shared" si="861"/>
        <v>0</v>
      </c>
      <c r="AK408" s="729" t="str">
        <f t="shared" si="862"/>
        <v/>
      </c>
      <c r="AL408" s="729" t="str">
        <f t="shared" si="863"/>
        <v/>
      </c>
      <c r="AM408" s="729">
        <f t="shared" si="864"/>
        <v>0</v>
      </c>
      <c r="AN408" s="729">
        <f t="shared" si="865"/>
        <v>0</v>
      </c>
      <c r="AO408" s="380"/>
      <c r="AP408" s="322" t="str">
        <f t="shared" si="844"/>
        <v/>
      </c>
      <c r="AQ408" s="323" t="str">
        <f>IF(AC408=$V$3,IF(VLOOKUP(C408,[1]List1!$A:$E,5,FALSE)=0,1,VLOOKUP(C408,[1]List1!$A:$E,5,FALSE)),"")</f>
        <v/>
      </c>
      <c r="AR408" s="304" t="str">
        <f t="shared" si="845"/>
        <v/>
      </c>
      <c r="AS408" s="423" t="str">
        <f t="shared" si="846"/>
        <v/>
      </c>
      <c r="AT408" s="304" t="str">
        <f t="shared" si="847"/>
        <v/>
      </c>
      <c r="AU408" s="342" t="e">
        <f t="shared" si="848"/>
        <v>#N/A</v>
      </c>
      <c r="AV408" s="304" t="e">
        <f t="shared" si="849"/>
        <v>#N/A</v>
      </c>
      <c r="AX408" s="304">
        <f>IF(AND('General price list'!$J408="F4",'General price list'!$AB408+0&gt;0),1,0)</f>
        <v>0</v>
      </c>
      <c r="AY408" s="304">
        <f t="shared" si="850"/>
        <v>1</v>
      </c>
      <c r="AZ408" s="304">
        <f t="shared" si="851"/>
        <v>0</v>
      </c>
    </row>
    <row r="409" spans="1:52" ht="15" customHeight="1">
      <c r="A409" s="712" t="str">
        <f>Kat.!C406</f>
        <v/>
      </c>
      <c r="B409" s="737">
        <f>IF(AND('General price list'!$J409="F4",$AI$1=FALSE),0,IF(AC409="SKLADEM",1,IF(AC409=$V$3,1,0)))</f>
        <v>1</v>
      </c>
      <c r="C409" s="714" t="s">
        <v>1118</v>
      </c>
      <c r="D409" s="715" t="s">
        <v>1112</v>
      </c>
      <c r="E409" s="716" t="s">
        <v>432</v>
      </c>
      <c r="F409" s="712">
        <f>IFERROR(ROUND(IF($AL$3=2,VLOOKUP(C409,[2]List1!$A:$D,2,FALSE)*1.08,VLOOKUP(C409,[2]List1!$A:$D,2,FALSE)),0),"NEUVEDENO!")</f>
        <v>135</v>
      </c>
      <c r="G409" s="717">
        <f t="shared" si="852"/>
        <v>135</v>
      </c>
      <c r="H409" s="718">
        <f t="shared" si="853"/>
        <v>5.4858201707512322</v>
      </c>
      <c r="I409" s="738">
        <v>24</v>
      </c>
      <c r="J409" s="716" t="s">
        <v>46</v>
      </c>
      <c r="K409" s="716" t="s">
        <v>14734</v>
      </c>
      <c r="L409" s="716" t="s">
        <v>14388</v>
      </c>
      <c r="M409" s="716" t="s">
        <v>25</v>
      </c>
      <c r="N409" s="716">
        <f>IFERROR(VLOOKUP(C409,[3]List1!$A:$D,4,FALSE),"N/A!")</f>
        <v>3.6861500000000005E-2</v>
      </c>
      <c r="O409" s="716">
        <f>IFERROR(VLOOKUP(C409,[3]List1!$A:$D,3,FALSE),"N/A!")</f>
        <v>3072</v>
      </c>
      <c r="P409" s="716">
        <f>IFERROR(VLOOKUP(C409,[3]List1!$A:$D,2,FALSE),"N/A!")</f>
        <v>17916</v>
      </c>
      <c r="Q409" s="716" t="s">
        <v>14150</v>
      </c>
      <c r="R409" s="716" t="s">
        <v>24</v>
      </c>
      <c r="S409" s="716" t="str">
        <f>IF($W$17=$AF$1,"červená fólie",IFERROR(VLOOKUP("červená fólie",Jazyky_ceník!$A:$Q,MATCH($W$17,Jazyky_ceník!$A$1:$Q$1,0),FALSE),"!!!"))</f>
        <v>červená fólie</v>
      </c>
      <c r="T409" s="716">
        <v>20</v>
      </c>
      <c r="U409" s="716">
        <v>25</v>
      </c>
      <c r="V409" s="716">
        <v>13</v>
      </c>
      <c r="W409" s="716" t="str">
        <f>IFERROR(VLOOKUP('General price list'!$C409,Popisy!A:P,MATCH($W$17,Popisy!$A$7:$P$7,0),FALSE),"---------------")</f>
        <v>4 různobarevné efekty</v>
      </c>
      <c r="X409" s="716" t="str">
        <f t="shared" si="854"/>
        <v/>
      </c>
      <c r="Y409" s="716" t="str">
        <f t="shared" si="855"/>
        <v/>
      </c>
      <c r="Z409" s="716" t="str">
        <f>HYPERLINK("https://www.klasekpyrotechnics.cz/c1620m14")</f>
        <v>https://www.klasekpyrotechnics.cz/c1620m14</v>
      </c>
      <c r="AA409" s="716">
        <f>IFERROR(IF(VLOOKUP(C409,[4]List1!$A:$D,4,FALSE)=0,"",VLOOKUP(C409,[4]List1!$A:$D,4,FALSE)),"")</f>
        <v>36</v>
      </c>
      <c r="AB409" s="720"/>
      <c r="AC409" s="739" t="str">
        <f>IFERROR(IF(VLOOKUP(C409,[1]List1!$A:$D,2,FALSE)="VYPRODÁNO",$V$9,IF(VLOOKUP(C409,[1]List1!$A:$D,2,FALSE)="DOCHÁZÍ",$V$3,VLOOKUP(C409,[1]List1!$A:$D,2,FALSE))),"OFFLINE!")</f>
        <v>SKLADEM</v>
      </c>
      <c r="AD409" s="740" t="str">
        <f ca="1">IF(AP409="NE",$V$10,IF(AC409=$V$3,IF(AQ409&lt;1,$V$8,$V$2&amp;" "&amp;AQ409&amp;" "&amp;$V$1),IF(AC409="SKLADEM",$V$6,IFERROR(IF(OR(AC409-TODAY()&gt;45,VLOOKUP(C409,[1]List1!$A:$E,4,FALSE)=0),AC409,DAY(AC409)&amp;"."&amp;MONTH(AC409)&amp;"."&amp;YEAR(AC409)&amp;" "&amp;$V$4&amp;VLOOKUP(C409,[1]List1!$A:$E,4,FALSE)&amp;" "&amp;$V$1),AC409))))</f>
        <v>SKLADEM</v>
      </c>
      <c r="AE409" s="716" t="str">
        <f t="shared" ca="1" si="856"/>
        <v>SKLADEM</v>
      </c>
      <c r="AF409" s="723">
        <f t="shared" si="857"/>
        <v>0</v>
      </c>
      <c r="AG409" s="723">
        <f t="shared" si="858"/>
        <v>0</v>
      </c>
      <c r="AH409" s="724">
        <f t="shared" si="859"/>
        <v>0</v>
      </c>
      <c r="AI409" s="716">
        <f t="shared" si="860"/>
        <v>0</v>
      </c>
      <c r="AJ409" s="716">
        <f t="shared" si="861"/>
        <v>0</v>
      </c>
      <c r="AK409" s="716" t="str">
        <f t="shared" si="862"/>
        <v/>
      </c>
      <c r="AL409" s="716" t="str">
        <f t="shared" si="863"/>
        <v/>
      </c>
      <c r="AM409" s="716">
        <f t="shared" si="864"/>
        <v>0</v>
      </c>
      <c r="AN409" s="716">
        <f t="shared" si="865"/>
        <v>0</v>
      </c>
      <c r="AO409" s="380"/>
      <c r="AP409" s="322" t="str">
        <f t="shared" si="844"/>
        <v/>
      </c>
      <c r="AQ409" s="323" t="str">
        <f>IF(AC409=$V$3,IF(VLOOKUP(C409,[1]List1!$A:$E,5,FALSE)=0,1,VLOOKUP(C409,[1]List1!$A:$E,5,FALSE)),"")</f>
        <v/>
      </c>
      <c r="AR409" s="304" t="str">
        <f t="shared" si="845"/>
        <v/>
      </c>
      <c r="AS409" s="423" t="str">
        <f t="shared" si="846"/>
        <v/>
      </c>
      <c r="AT409" s="304" t="str">
        <f t="shared" si="847"/>
        <v/>
      </c>
      <c r="AU409" s="342" t="e">
        <f t="shared" si="848"/>
        <v>#N/A</v>
      </c>
      <c r="AV409" s="304" t="e">
        <f t="shared" si="849"/>
        <v>#N/A</v>
      </c>
      <c r="AX409" s="304">
        <f>IF(AND('General price list'!$J409="F4",'General price list'!$AB409+0&gt;0),1,0)</f>
        <v>0</v>
      </c>
      <c r="AY409" s="304">
        <f t="shared" si="850"/>
        <v>1</v>
      </c>
      <c r="AZ409" s="304">
        <f t="shared" si="851"/>
        <v>0</v>
      </c>
    </row>
    <row r="410" spans="1:52" ht="15" customHeight="1">
      <c r="A410" s="725" t="str">
        <f>Kat.!C407</f>
        <v/>
      </c>
      <c r="B410" s="726">
        <f>IF(AND('General price list'!$J410="F4",$AI$1=FALSE),0,IF(AC410="SKLADEM",1,IF(AC410=$V$3,1,0)))</f>
        <v>1</v>
      </c>
      <c r="C410" s="727" t="s">
        <v>1119</v>
      </c>
      <c r="D410" s="728" t="s">
        <v>1114</v>
      </c>
      <c r="E410" s="729" t="s">
        <v>432</v>
      </c>
      <c r="F410" s="725">
        <f>IFERROR(ROUND(IF($AL$3=2,VLOOKUP(C410,[2]List1!$A:$D,2,FALSE)*1.08,VLOOKUP(C410,[2]List1!$A:$D,2,FALSE)),0),"NEUVEDENO!")</f>
        <v>135</v>
      </c>
      <c r="G410" s="730">
        <f t="shared" si="852"/>
        <v>135</v>
      </c>
      <c r="H410" s="731">
        <f t="shared" si="853"/>
        <v>5.4858201707512322</v>
      </c>
      <c r="I410" s="732">
        <v>24</v>
      </c>
      <c r="J410" s="729" t="s">
        <v>46</v>
      </c>
      <c r="K410" s="729" t="s">
        <v>14734</v>
      </c>
      <c r="L410" s="729" t="s">
        <v>14388</v>
      </c>
      <c r="M410" s="729" t="s">
        <v>25</v>
      </c>
      <c r="N410" s="729">
        <f>IFERROR(VLOOKUP(C410,[3]List1!$A:$D,4,FALSE),"N/A!")</f>
        <v>3.6861500000000005E-2</v>
      </c>
      <c r="O410" s="729">
        <f>IFERROR(VLOOKUP(C410,[3]List1!$A:$D,3,FALSE),"N/A!")</f>
        <v>3072</v>
      </c>
      <c r="P410" s="729">
        <f>IFERROR(VLOOKUP(C410,[3]List1!$A:$D,2,FALSE),"N/A!")</f>
        <v>17800</v>
      </c>
      <c r="Q410" s="729" t="s">
        <v>2791</v>
      </c>
      <c r="R410" s="729" t="s">
        <v>24</v>
      </c>
      <c r="S410" s="729" t="str">
        <f>IF($W$17=$AF$1,"design",IFERROR(VLOOKUP("design",Jazyky_ceník!$A:$Q,MATCH($W$17,Jazyky_ceník!$A$1:$Q$1,0),FALSE),"!!!"))</f>
        <v>design</v>
      </c>
      <c r="T410" s="729">
        <v>20</v>
      </c>
      <c r="U410" s="729">
        <v>25</v>
      </c>
      <c r="V410" s="729">
        <v>13</v>
      </c>
      <c r="W410" s="729" t="str">
        <f>IFERROR(VLOOKUP('General price list'!$C410,Popisy!A:P,MATCH($W$17,Popisy!$A$7:$P$7,0),FALSE),"---------------")</f>
        <v>4 různobarevné efekty</v>
      </c>
      <c r="X410" s="729" t="str">
        <f t="shared" si="854"/>
        <v/>
      </c>
      <c r="Y410" s="729" t="str">
        <f t="shared" si="855"/>
        <v/>
      </c>
      <c r="Z410" s="729" t="str">
        <f>HYPERLINK("https://www.klasekpyrotechnics.cz/c1620f14")</f>
        <v>https://www.klasekpyrotechnics.cz/c1620f14</v>
      </c>
      <c r="AA410" s="729">
        <f>IFERROR(IF(VLOOKUP(C410,[4]List1!$A:$D,4,FALSE)=0,"",VLOOKUP(C410,[4]List1!$A:$D,4,FALSE)),"")</f>
        <v>36</v>
      </c>
      <c r="AB410" s="720"/>
      <c r="AC410" s="733" t="str">
        <f>IFERROR(IF(VLOOKUP(C410,[1]List1!$A:$D,2,FALSE)="VYPRODÁNO",$V$9,IF(VLOOKUP(C410,[1]List1!$A:$D,2,FALSE)="DOCHÁZÍ",$V$3,VLOOKUP(C410,[1]List1!$A:$D,2,FALSE))),"OFFLINE!")</f>
        <v>SKLADEM</v>
      </c>
      <c r="AD410" s="734" t="str">
        <f ca="1">IF(AP410="NE",$V$10,IF(AC410=$V$3,IF(AQ410&lt;1,$V$8,$V$2&amp;" "&amp;AQ410&amp;" "&amp;$V$1),IF(AC410="SKLADEM",$V$6,IFERROR(IF(OR(AC410-TODAY()&gt;45,VLOOKUP(C410,[1]List1!$A:$E,4,FALSE)=0),AC410,DAY(AC410)&amp;"."&amp;MONTH(AC410)&amp;"."&amp;YEAR(AC410)&amp;" "&amp;$V$4&amp;VLOOKUP(C410,[1]List1!$A:$E,4,FALSE)&amp;" "&amp;$V$1),AC410))))</f>
        <v>SKLADEM</v>
      </c>
      <c r="AE410" s="729" t="str">
        <f t="shared" ca="1" si="856"/>
        <v>SKLADEM</v>
      </c>
      <c r="AF410" s="735">
        <f t="shared" si="857"/>
        <v>0</v>
      </c>
      <c r="AG410" s="735">
        <f t="shared" si="858"/>
        <v>0</v>
      </c>
      <c r="AH410" s="736">
        <f t="shared" si="859"/>
        <v>0</v>
      </c>
      <c r="AI410" s="729">
        <f t="shared" si="860"/>
        <v>0</v>
      </c>
      <c r="AJ410" s="729">
        <f t="shared" si="861"/>
        <v>0</v>
      </c>
      <c r="AK410" s="729" t="str">
        <f t="shared" si="862"/>
        <v/>
      </c>
      <c r="AL410" s="729" t="str">
        <f t="shared" si="863"/>
        <v/>
      </c>
      <c r="AM410" s="729">
        <f t="shared" si="864"/>
        <v>0</v>
      </c>
      <c r="AN410" s="729">
        <f t="shared" si="865"/>
        <v>0</v>
      </c>
      <c r="AO410" s="380"/>
      <c r="AP410" s="322" t="str">
        <f t="shared" si="844"/>
        <v/>
      </c>
      <c r="AQ410" s="323" t="str">
        <f>IF(AC410=$V$3,IF(VLOOKUP(C410,[1]List1!$A:$E,5,FALSE)=0,1,VLOOKUP(C410,[1]List1!$A:$E,5,FALSE)),"")</f>
        <v/>
      </c>
      <c r="AR410" s="304" t="str">
        <f t="shared" si="845"/>
        <v/>
      </c>
      <c r="AS410" s="423" t="str">
        <f t="shared" si="846"/>
        <v/>
      </c>
      <c r="AT410" s="304" t="str">
        <f t="shared" si="847"/>
        <v/>
      </c>
      <c r="AU410" s="342" t="e">
        <f t="shared" si="848"/>
        <v>#N/A</v>
      </c>
      <c r="AV410" s="304" t="e">
        <f t="shared" si="849"/>
        <v>#N/A</v>
      </c>
      <c r="AX410" s="304">
        <f>IF(AND('General price list'!$J410="F4",'General price list'!$AB410+0&gt;0),1,0)</f>
        <v>0</v>
      </c>
      <c r="AY410" s="304">
        <f t="shared" si="850"/>
        <v>1</v>
      </c>
      <c r="AZ410" s="304">
        <f t="shared" si="851"/>
        <v>0</v>
      </c>
    </row>
    <row r="411" spans="1:52" ht="15" customHeight="1">
      <c r="A411" s="773" t="str">
        <f>Kat.!C408</f>
        <v xml:space="preserve">                                                               Baterie 16ran, 20mm šikmý moždíř-1.3G</v>
      </c>
      <c r="B411" s="774"/>
      <c r="C411" s="774"/>
      <c r="D411" s="774"/>
      <c r="E411" s="774"/>
      <c r="F411" s="774"/>
      <c r="G411" s="774"/>
      <c r="H411" s="774"/>
      <c r="I411" s="774"/>
      <c r="J411" s="774"/>
      <c r="K411" s="774"/>
      <c r="L411" s="774"/>
      <c r="M411" s="774"/>
      <c r="N411" s="774"/>
      <c r="O411" s="774"/>
      <c r="P411" s="774"/>
      <c r="Q411" s="774"/>
      <c r="R411" s="774"/>
      <c r="S411" s="774"/>
      <c r="T411" s="774"/>
      <c r="U411" s="774"/>
      <c r="V411" s="774"/>
      <c r="W411" s="774"/>
      <c r="X411" s="774"/>
      <c r="Y411" s="774"/>
      <c r="Z411" s="774"/>
      <c r="AA411" s="774" t="str">
        <f>IFERROR(IF(VLOOKUP(C411,[4]List1!$A:$D,4,FALSE)=0,"",VLOOKUP(C411,[4]List1!$A:$D,4,FALSE)),"")</f>
        <v/>
      </c>
      <c r="AB411" s="774"/>
      <c r="AC411" s="775" t="str">
        <f>IFERROR(IF(VLOOKUP(C411,[1]List1!$A:$D,2,FALSE)="VYPRODÁNO",$V$9,IF(VLOOKUP(C411,[1]List1!$A:$D,2,FALSE)="DOCHÁZÍ",$V$3,VLOOKUP(C411,[1]List1!$A:$D,2,FALSE))),"OFFLINE!")</f>
        <v>OFFLINE!</v>
      </c>
      <c r="AD411" s="774"/>
      <c r="AE411" s="774"/>
      <c r="AF411" s="774"/>
      <c r="AG411" s="774"/>
      <c r="AH411" s="774"/>
      <c r="AI411" s="774"/>
      <c r="AJ411" s="774"/>
      <c r="AK411" s="774"/>
      <c r="AL411" s="774"/>
      <c r="AM411" s="774"/>
      <c r="AN411" s="774"/>
      <c r="AO411" s="380"/>
      <c r="AP411" s="322" t="str">
        <f t="shared" si="844"/>
        <v/>
      </c>
      <c r="AQ411" s="323" t="str">
        <f>IF(AC411=$V$3,IF(VLOOKUP(C411,[1]List1!$A:$E,5,FALSE)=0,1,VLOOKUP(C411,[1]List1!$A:$E,5,FALSE)),"")</f>
        <v/>
      </c>
      <c r="AR411" s="304" t="str">
        <f t="shared" si="845"/>
        <v/>
      </c>
      <c r="AS411" s="423" t="str">
        <f t="shared" si="846"/>
        <v/>
      </c>
      <c r="AT411" s="304" t="str">
        <f t="shared" si="847"/>
        <v/>
      </c>
      <c r="AU411" s="342" t="e">
        <f t="shared" si="848"/>
        <v>#N/A</v>
      </c>
      <c r="AV411" s="304" t="e">
        <f t="shared" si="849"/>
        <v>#N/A</v>
      </c>
      <c r="AX411" s="304">
        <f>IF(AND('General price list'!$J411="F4",'General price list'!$AB411+0&gt;0),1,0)</f>
        <v>0</v>
      </c>
      <c r="AY411" s="304">
        <f t="shared" si="850"/>
        <v>0</v>
      </c>
      <c r="AZ411" s="304">
        <f t="shared" si="851"/>
        <v>0</v>
      </c>
    </row>
    <row r="412" spans="1:52" ht="15" customHeight="1">
      <c r="A412" s="725" t="str">
        <f>Kat.!C409</f>
        <v/>
      </c>
      <c r="B412" s="741">
        <f>IF(AND('General price list'!$J412="F4",$AI$1=FALSE),0,IF(AC412="SKLADEM",1,IF(AC412=$V$3,1,0)))</f>
        <v>1</v>
      </c>
      <c r="C412" s="727" t="s">
        <v>2526</v>
      </c>
      <c r="D412" s="728" t="s">
        <v>2527</v>
      </c>
      <c r="E412" s="729" t="s">
        <v>806</v>
      </c>
      <c r="F412" s="725">
        <f>IFERROR(ROUND(IF($AL$3=2,VLOOKUP(C412,[2]List1!$A:$D,2,FALSE)*1.08,VLOOKUP(C412,[2]List1!$A:$D,2,FALSE)),0),"NEUVEDENO!")</f>
        <v>177</v>
      </c>
      <c r="G412" s="730">
        <f t="shared" ref="G412:G413" si="866">(F412)*$B$19</f>
        <v>177</v>
      </c>
      <c r="H412" s="731">
        <f t="shared" ref="H412:H413" si="867">G412/$F$19</f>
        <v>7.1925197794293938</v>
      </c>
      <c r="I412" s="742">
        <v>16</v>
      </c>
      <c r="J412" s="729" t="s">
        <v>46</v>
      </c>
      <c r="K412" s="729"/>
      <c r="L412" s="729" t="s">
        <v>24</v>
      </c>
      <c r="M412" s="729" t="s">
        <v>138</v>
      </c>
      <c r="N412" s="729">
        <f>IFERROR(VLOOKUP(C412,[3]List1!$A:$D,4,FALSE),"N/A!")</f>
        <v>3.8272000000000007E-2</v>
      </c>
      <c r="O412" s="729">
        <f>IFERROR(VLOOKUP(C412,[3]List1!$A:$D,3,FALSE),"N/A!")</f>
        <v>2048</v>
      </c>
      <c r="P412" s="729">
        <f>IFERROR(VLOOKUP(C412,[3]List1!$A:$D,2,FALSE),"N/A!")</f>
        <v>13000</v>
      </c>
      <c r="Q412" s="729" t="s">
        <v>14152</v>
      </c>
      <c r="R412" s="729" t="s">
        <v>24</v>
      </c>
      <c r="S412" s="729" t="str">
        <f>IF($W$17=$AF$1,"design",IFERROR(VLOOKUP("design",Jazyky_ceník!$A:$Q,MATCH($W$17,Jazyky_ceník!$A$1:$Q$1,0),FALSE),"!!!"))</f>
        <v>design</v>
      </c>
      <c r="T412" s="729">
        <v>8</v>
      </c>
      <c r="U412" s="729"/>
      <c r="V412" s="729"/>
      <c r="W412" s="729" t="str">
        <f>IFERROR(VLOOKUP('General price list'!$C412,Popisy!A:P,MATCH($W$17,Popisy!$A$7:$P$7,0),FALSE),"---------------")</f>
        <v>stříbrná mina s červenou stopou a titanovou detonací</v>
      </c>
      <c r="X412" s="729" t="str">
        <f t="shared" ref="X412:X413" si="868">IF(AB412&lt;0.0001,"",AB412)</f>
        <v/>
      </c>
      <c r="Y412" s="729" t="str">
        <f t="shared" ref="Y412:Y413" si="869">IF($AL$3=2,IF(OR(AB412&lt;&gt;"",AB412&lt;&gt;0),AU412,""),IF(C412="","",IF(AB412&lt;0.0001,"",IF(B412=0,"",IF(AQ412&lt;AB412,"",AB412)))))</f>
        <v/>
      </c>
      <c r="Z412" s="729" t="str">
        <f>HYPERLINK("https://www.klasekpyrotechnics.cz/cx1620d")</f>
        <v>https://www.klasekpyrotechnics.cz/cx1620d</v>
      </c>
      <c r="AA412" s="729">
        <f>IFERROR(IF(VLOOKUP(C412,[4]List1!$A:$D,4,FALSE)=0,"",VLOOKUP(C412,[4]List1!$A:$D,4,FALSE)),"")</f>
        <v>36</v>
      </c>
      <c r="AB412" s="720"/>
      <c r="AC412" s="743" t="str">
        <f>IFERROR(IF(VLOOKUP(C412,[1]List1!$A:$D,2,FALSE)="VYPRODÁNO",$V$9,IF(VLOOKUP(C412,[1]List1!$A:$D,2,FALSE)="DOCHÁZÍ",$V$3,VLOOKUP(C412,[1]List1!$A:$D,2,FALSE))),"OFFLINE!")</f>
        <v>SKLADEM</v>
      </c>
      <c r="AD412" s="744" t="str">
        <f ca="1">IF(AP412="NE",$V$10,IF(AC412=$V$3,IF(AQ412&lt;1,$V$8,$V$2&amp;" "&amp;AQ412&amp;" "&amp;$V$1),IF(AC412="SKLADEM",$V$6,IFERROR(IF(OR(AC412-TODAY()&gt;45,VLOOKUP(C412,[1]List1!$A:$E,4,FALSE)=0),AC412,DAY(AC412)&amp;"."&amp;MONTH(AC412)&amp;"."&amp;YEAR(AC412)&amp;" "&amp;$V$4&amp;VLOOKUP(C412,[1]List1!$A:$E,4,FALSE)&amp;" "&amp;$V$1),AC412))))</f>
        <v>SKLADEM</v>
      </c>
      <c r="AE412" s="729" t="str">
        <f t="shared" ref="AE412:AE413" ca="1" si="870">IFERROR(IF(AV412&lt;&gt;"",AV412,AD412),AD412)</f>
        <v>SKLADEM</v>
      </c>
      <c r="AF412" s="735">
        <f t="shared" ref="AF412:AF413" si="871">IFERROR(IF(AB412=Y412,G412*I412*Y412,0),0)</f>
        <v>0</v>
      </c>
      <c r="AG412" s="735">
        <f t="shared" ref="AG412:AG413" si="872">IF($W$17=$AF$8,AH412*1.23,AF412*1.21)</f>
        <v>0</v>
      </c>
      <c r="AH412" s="736">
        <f t="shared" ref="AH412:AH413" si="873">IFERROR(IF(Y412=AB412,H412*I412*Y412,0),0)</f>
        <v>0</v>
      </c>
      <c r="AI412" s="729">
        <f t="shared" ref="AI412:AI413" si="874">IFERROR(IF(Y412=AB412,(P412*Y412)/1000,1),0)</f>
        <v>0</v>
      </c>
      <c r="AJ412" s="729">
        <f t="shared" ref="AJ412:AJ413" si="875">IFERROR(IF(Y412=AB412,N412*Y412,0.1),0)</f>
        <v>0</v>
      </c>
      <c r="AK412" s="729" t="str">
        <f t="shared" ref="AK412:AK413" si="876">IFERROR(IF(Y412=AB412,IF(M412="1.1G",(O412/1000)*Y412,""),""),0)</f>
        <v/>
      </c>
      <c r="AL412" s="729">
        <f t="shared" ref="AL412:AL413" si="877">IFERROR(IF(Y412=AB412,IF(M412="1.3G",(O412/1000)*AB412,""),""),0)</f>
        <v>0</v>
      </c>
      <c r="AM412" s="729" t="str">
        <f t="shared" ref="AM412:AM413" si="878">IFERROR(IF(Y412=AB412,IF(M412="1.4G",(O412/1000)*AB412,""),""),0)</f>
        <v/>
      </c>
      <c r="AN412" s="729">
        <f t="shared" ref="AN412:AN413" si="879">SUM(AK412:AM412)</f>
        <v>0</v>
      </c>
      <c r="AO412" s="380"/>
      <c r="AP412" s="322" t="str">
        <f t="shared" si="844"/>
        <v/>
      </c>
      <c r="AQ412" s="323" t="str">
        <f>IF(AC412=$V$3,IF(VLOOKUP(C412,[1]List1!$A:$E,5,FALSE)=0,1,VLOOKUP(C412,[1]List1!$A:$E,5,FALSE)),"")</f>
        <v/>
      </c>
      <c r="AR412" s="304" t="str">
        <f t="shared" si="845"/>
        <v/>
      </c>
      <c r="AS412" s="423" t="str">
        <f t="shared" si="846"/>
        <v/>
      </c>
      <c r="AT412" s="304" t="str">
        <f t="shared" si="847"/>
        <v/>
      </c>
      <c r="AU412" s="342" t="e">
        <f t="shared" si="848"/>
        <v>#N/A</v>
      </c>
      <c r="AV412" s="304" t="e">
        <f t="shared" si="849"/>
        <v>#N/A</v>
      </c>
      <c r="AX412" s="304">
        <f>IF(AND('General price list'!$J412="F4",'General price list'!$AB412+0&gt;0),1,0)</f>
        <v>0</v>
      </c>
      <c r="AY412" s="304">
        <f t="shared" si="850"/>
        <v>1</v>
      </c>
      <c r="AZ412" s="304">
        <f t="shared" si="851"/>
        <v>0</v>
      </c>
    </row>
    <row r="413" spans="1:52" ht="15" customHeight="1">
      <c r="A413" s="712" t="str">
        <f>Kat.!C410</f>
        <v/>
      </c>
      <c r="B413" s="745">
        <f>IF(AND('General price list'!$J413="F4",$AI$1=FALSE),0,IF(AC413="SKLADEM",1,IF(AC413=$V$3,1,0)))</f>
        <v>0</v>
      </c>
      <c r="C413" s="714" t="s">
        <v>2528</v>
      </c>
      <c r="D413" s="715" t="s">
        <v>2529</v>
      </c>
      <c r="E413" s="716" t="s">
        <v>806</v>
      </c>
      <c r="F413" s="712">
        <f>IFERROR(ROUND(IF($AL$3=2,VLOOKUP(C413,[2]List1!$A:$D,2,FALSE)*1.08,VLOOKUP(C413,[2]List1!$A:$D,2,FALSE)),0),"NEUVEDENO!")</f>
        <v>177</v>
      </c>
      <c r="G413" s="717">
        <f t="shared" si="866"/>
        <v>177</v>
      </c>
      <c r="H413" s="718">
        <f t="shared" si="867"/>
        <v>7.1925197794293938</v>
      </c>
      <c r="I413" s="746">
        <v>16</v>
      </c>
      <c r="J413" s="716" t="s">
        <v>46</v>
      </c>
      <c r="K413" s="716"/>
      <c r="L413" s="716" t="s">
        <v>24</v>
      </c>
      <c r="M413" s="716" t="s">
        <v>138</v>
      </c>
      <c r="N413" s="716">
        <f>IFERROR(VLOOKUP(C413,[3]List1!$A:$D,4,FALSE),"N/A!")</f>
        <v>3.8272000000000007E-2</v>
      </c>
      <c r="O413" s="716">
        <f>IFERROR(VLOOKUP(C413,[3]List1!$A:$D,3,FALSE),"N/A!")</f>
        <v>2048</v>
      </c>
      <c r="P413" s="716">
        <f>IFERROR(VLOOKUP(C413,[3]List1!$A:$D,2,FALSE),"N/A!")</f>
        <v>13000</v>
      </c>
      <c r="Q413" s="716" t="s">
        <v>14152</v>
      </c>
      <c r="R413" s="716" t="s">
        <v>24</v>
      </c>
      <c r="S413" s="716" t="str">
        <f>IF($W$17=$AF$1,"červená fólie",IFERROR(VLOOKUP("červená fólie",Jazyky_ceník!$A:$Q,MATCH($W$17,Jazyky_ceník!$A$1:$Q$1,0),FALSE),"!!!"))</f>
        <v>červená fólie</v>
      </c>
      <c r="T413" s="716">
        <v>15</v>
      </c>
      <c r="U413" s="716">
        <v>25</v>
      </c>
      <c r="V413" s="716">
        <v>16</v>
      </c>
      <c r="W413" s="716" t="str">
        <f>IFERROR(VLOOKUP('General price list'!$C413,Popisy!A:P,MATCH($W$17,Popisy!$A$7:$P$7,0),FALSE),"---------------")</f>
        <v>4 různobarevných efektů</v>
      </c>
      <c r="X413" s="716" t="str">
        <f t="shared" si="868"/>
        <v/>
      </c>
      <c r="Y413" s="716" t="str">
        <f t="shared" si="869"/>
        <v/>
      </c>
      <c r="Z413" s="716" t="str">
        <f>HYPERLINK("https://www.klasekpyrotechnics.cz/cx1620x")</f>
        <v>https://www.klasekpyrotechnics.cz/cx1620x</v>
      </c>
      <c r="AA413" s="716">
        <f>IFERROR(IF(VLOOKUP(C413,[4]List1!$A:$D,4,FALSE)=0,"",VLOOKUP(C413,[4]List1!$A:$D,4,FALSE)),"")</f>
        <v>36</v>
      </c>
      <c r="AB413" s="720"/>
      <c r="AC413" s="747" t="str">
        <f>IFERROR(IF(VLOOKUP(C413,[1]List1!$A:$D,2,FALSE)="VYPRODÁNO",$V$9,IF(VLOOKUP(C413,[1]List1!$A:$D,2,FALSE)="DOCHÁZÍ",$V$3,VLOOKUP(C413,[1]List1!$A:$D,2,FALSE))),"OFFLINE!")</f>
        <v>15.08.2024</v>
      </c>
      <c r="AD413" s="748" t="str">
        <f ca="1">IF(AP413="NE",$V$10,IF(AC413=$V$3,IF(AQ413&lt;1,$V$8,$V$2&amp;" "&amp;AQ413&amp;" "&amp;$V$1),IF(AC413="SKLADEM",$V$6,IFERROR(IF(OR(AC413-TODAY()&gt;45,VLOOKUP(C413,[1]List1!$A:$E,4,FALSE)=0),AC413,DAY(AC413)&amp;"."&amp;MONTH(AC413)&amp;"."&amp;YEAR(AC413)&amp;" "&amp;$V$4&amp;VLOOKUP(C413,[1]List1!$A:$E,4,FALSE)&amp;" "&amp;$V$1),AC413))))</f>
        <v>15.08.2024</v>
      </c>
      <c r="AE413" s="716" t="str">
        <f t="shared" ca="1" si="870"/>
        <v>15.08.2024</v>
      </c>
      <c r="AF413" s="723">
        <f t="shared" si="871"/>
        <v>0</v>
      </c>
      <c r="AG413" s="723">
        <f t="shared" si="872"/>
        <v>0</v>
      </c>
      <c r="AH413" s="724">
        <f t="shared" si="873"/>
        <v>0</v>
      </c>
      <c r="AI413" s="716">
        <f t="shared" si="874"/>
        <v>0</v>
      </c>
      <c r="AJ413" s="716">
        <f t="shared" si="875"/>
        <v>0</v>
      </c>
      <c r="AK413" s="716" t="str">
        <f t="shared" si="876"/>
        <v/>
      </c>
      <c r="AL413" s="716">
        <f t="shared" si="877"/>
        <v>0</v>
      </c>
      <c r="AM413" s="716" t="str">
        <f t="shared" si="878"/>
        <v/>
      </c>
      <c r="AN413" s="716">
        <f t="shared" si="879"/>
        <v>0</v>
      </c>
      <c r="AO413" s="380"/>
      <c r="AP413" s="322" t="str">
        <f t="shared" si="844"/>
        <v/>
      </c>
      <c r="AQ413" s="323" t="str">
        <f>IF(AC413=$V$3,IF(VLOOKUP(C413,[1]List1!$A:$E,5,FALSE)=0,1,VLOOKUP(C413,[1]List1!$A:$E,5,FALSE)),"")</f>
        <v/>
      </c>
      <c r="AR413" s="304" t="str">
        <f t="shared" si="845"/>
        <v/>
      </c>
      <c r="AS413" s="423" t="str">
        <f t="shared" si="846"/>
        <v/>
      </c>
      <c r="AT413" s="304" t="str">
        <f t="shared" si="847"/>
        <v/>
      </c>
      <c r="AU413" s="342" t="e">
        <f t="shared" si="848"/>
        <v>#N/A</v>
      </c>
      <c r="AV413" s="304" t="e">
        <f t="shared" si="849"/>
        <v>#N/A</v>
      </c>
      <c r="AX413" s="304">
        <f>IF(AND('General price list'!$J413="F4",'General price list'!$AB413+0&gt;0),1,0)</f>
        <v>0</v>
      </c>
      <c r="AY413" s="304">
        <f t="shared" si="850"/>
        <v>1</v>
      </c>
      <c r="AZ413" s="304">
        <f t="shared" si="851"/>
        <v>0</v>
      </c>
    </row>
    <row r="414" spans="1:52" ht="15" customHeight="1">
      <c r="A414" s="773" t="str">
        <f>Kat.!C411</f>
        <v xml:space="preserve">                                                               Baterie 25ran, 20mm moždíř-1.3G</v>
      </c>
      <c r="B414" s="774"/>
      <c r="C414" s="774"/>
      <c r="D414" s="774"/>
      <c r="E414" s="774"/>
      <c r="F414" s="774"/>
      <c r="G414" s="774"/>
      <c r="H414" s="774"/>
      <c r="I414" s="774"/>
      <c r="J414" s="774"/>
      <c r="K414" s="774"/>
      <c r="L414" s="774"/>
      <c r="M414" s="774"/>
      <c r="N414" s="774"/>
      <c r="O414" s="774"/>
      <c r="P414" s="774"/>
      <c r="Q414" s="774"/>
      <c r="R414" s="774"/>
      <c r="S414" s="774"/>
      <c r="T414" s="774"/>
      <c r="U414" s="774"/>
      <c r="V414" s="774"/>
      <c r="W414" s="774"/>
      <c r="X414" s="774"/>
      <c r="Y414" s="774"/>
      <c r="Z414" s="774"/>
      <c r="AA414" s="774" t="str">
        <f>IFERROR(IF(VLOOKUP(C414,[4]List1!$A:$D,4,FALSE)=0,"",VLOOKUP(C414,[4]List1!$A:$D,4,FALSE)),"")</f>
        <v/>
      </c>
      <c r="AB414" s="774"/>
      <c r="AC414" s="775" t="str">
        <f>IFERROR(IF(VLOOKUP(C414,[1]List1!$A:$D,2,FALSE)="VYPRODÁNO",$V$9,IF(VLOOKUP(C414,[1]List1!$A:$D,2,FALSE)="DOCHÁZÍ",$V$3,VLOOKUP(C414,[1]List1!$A:$D,2,FALSE))),"OFFLINE!")</f>
        <v>OFFLINE!</v>
      </c>
      <c r="AD414" s="774"/>
      <c r="AE414" s="774"/>
      <c r="AF414" s="774"/>
      <c r="AG414" s="774"/>
      <c r="AH414" s="774"/>
      <c r="AI414" s="774"/>
      <c r="AJ414" s="774"/>
      <c r="AK414" s="774"/>
      <c r="AL414" s="774"/>
      <c r="AM414" s="774"/>
      <c r="AN414" s="774"/>
      <c r="AO414" s="380"/>
      <c r="AP414" s="322" t="str">
        <f t="shared" si="844"/>
        <v/>
      </c>
      <c r="AQ414" s="323" t="str">
        <f>IF(AC414=$V$3,IF(VLOOKUP(C414,[1]List1!$A:$E,5,FALSE)=0,1,VLOOKUP(C414,[1]List1!$A:$E,5,FALSE)),"")</f>
        <v/>
      </c>
      <c r="AR414" s="304" t="str">
        <f t="shared" si="845"/>
        <v/>
      </c>
      <c r="AS414" s="423" t="str">
        <f t="shared" si="846"/>
        <v/>
      </c>
      <c r="AT414" s="304" t="str">
        <f t="shared" si="847"/>
        <v/>
      </c>
      <c r="AU414" s="342" t="e">
        <f t="shared" si="848"/>
        <v>#N/A</v>
      </c>
      <c r="AV414" s="304" t="e">
        <f t="shared" si="849"/>
        <v>#N/A</v>
      </c>
      <c r="AX414" s="304">
        <f>IF(AND('General price list'!$J414="F4",'General price list'!$AB414+0&gt;0),1,0)</f>
        <v>0</v>
      </c>
      <c r="AY414" s="304">
        <f t="shared" si="850"/>
        <v>0</v>
      </c>
      <c r="AZ414" s="304">
        <f t="shared" si="851"/>
        <v>0</v>
      </c>
    </row>
    <row r="415" spans="1:52" ht="15" customHeight="1">
      <c r="A415" s="712" t="str">
        <f>Kat.!C412</f>
        <v/>
      </c>
      <c r="B415" s="713">
        <f>IF(AND('General price list'!$J415="F4",$AI$1=FALSE),0,IF(AC415="SKLADEM",1,IF(AC415=$V$3,1,0)))</f>
        <v>1</v>
      </c>
      <c r="C415" s="714" t="s">
        <v>1120</v>
      </c>
      <c r="D415" s="715" t="s">
        <v>14563</v>
      </c>
      <c r="E415" s="716" t="s">
        <v>411</v>
      </c>
      <c r="F415" s="712">
        <f>IFERROR(ROUND(IF($AL$3=2,VLOOKUP(C415,[2]List1!$A:$D,2,FALSE)*1.08,VLOOKUP(C415,[2]List1!$A:$D,2,FALSE)),0),"NEUVEDENO!")</f>
        <v>199</v>
      </c>
      <c r="G415" s="717">
        <f t="shared" ref="G415:G424" si="880">(F415)*$B$19</f>
        <v>199</v>
      </c>
      <c r="H415" s="718">
        <f t="shared" ref="H415:H424" si="881">G415/$F$19</f>
        <v>8.086505288737003</v>
      </c>
      <c r="I415" s="719">
        <v>12</v>
      </c>
      <c r="J415" s="716" t="s">
        <v>46</v>
      </c>
      <c r="K415" s="716" t="s">
        <v>14820</v>
      </c>
      <c r="L415" s="716" t="s">
        <v>24</v>
      </c>
      <c r="M415" s="716" t="s">
        <v>138</v>
      </c>
      <c r="N415" s="716">
        <f>IFERROR(VLOOKUP(C415,[3]List1!$A:$D,4,FALSE),"N/A!")</f>
        <v>2.6871000000000003E-2</v>
      </c>
      <c r="O415" s="716">
        <f>IFERROR(VLOOKUP(C415,[3]List1!$A:$D,3,FALSE),"N/A!")</f>
        <v>2100</v>
      </c>
      <c r="P415" s="716">
        <f>IFERROR(VLOOKUP(C415,[3]List1!$A:$D,2,FALSE),"N/A!")</f>
        <v>13000</v>
      </c>
      <c r="Q415" s="716" t="s">
        <v>14326</v>
      </c>
      <c r="R415" s="716" t="s">
        <v>24</v>
      </c>
      <c r="S415" s="716" t="str">
        <f>IF($W$17=$AF$1,"design",IFERROR(VLOOKUP("design",Jazyky_ceník!$A:$Q,MATCH($W$17,Jazyky_ceník!$A$1:$Q$1,0),FALSE),"!!!"))</f>
        <v>design</v>
      </c>
      <c r="T415" s="716">
        <v>25</v>
      </c>
      <c r="U415" s="716">
        <v>25</v>
      </c>
      <c r="V415" s="716">
        <v>15</v>
      </c>
      <c r="W415" s="716" t="str">
        <f>IFERROR(VLOOKUP('General price list'!$C415,Popisy!A:P,MATCH($W$17,Popisy!$A$7:$P$7,0),FALSE),"---------------")</f>
        <v>5 různobarevných efektů</v>
      </c>
      <c r="X415" s="716" t="str">
        <f t="shared" ref="X415:X424" si="882">IF(AB415&lt;0.0001,"",AB415)</f>
        <v/>
      </c>
      <c r="Y415" s="716" t="str">
        <f t="shared" ref="Y415:Y424" si="883">IF($AL$3=2,IF(OR(AB415&lt;&gt;"",AB415&lt;&gt;0),AU415,""),IF(C415="","",IF(AB415&lt;0.0001,"",IF(B415=0,"",IF(AQ415&lt;AB415,"",AB415)))))</f>
        <v/>
      </c>
      <c r="Z415" s="716" t="str">
        <f>HYPERLINK("https://www.klasekpyrotechnics.cz/c2520bp")</f>
        <v>https://www.klasekpyrotechnics.cz/c2520bp</v>
      </c>
      <c r="AA415" s="716">
        <f>IFERROR(IF(VLOOKUP(C415,[4]List1!$A:$D,4,FALSE)=0,"",VLOOKUP(C415,[4]List1!$A:$D,4,FALSE)),"")</f>
        <v>54</v>
      </c>
      <c r="AB415" s="720"/>
      <c r="AC415" s="721" t="str">
        <f>IFERROR(IF(VLOOKUP(C415,[1]List1!$A:$D,2,FALSE)="VYPRODÁNO",$V$9,IF(VLOOKUP(C415,[1]List1!$A:$D,2,FALSE)="DOCHÁZÍ",$V$3,VLOOKUP(C415,[1]List1!$A:$D,2,FALSE))),"OFFLINE!")</f>
        <v>SKLADEM</v>
      </c>
      <c r="AD415" s="722" t="str">
        <f ca="1">IF(AP415="NE",$V$10,IF(AC415=$V$3,IF(AQ415&lt;1,$V$8,$V$2&amp;" "&amp;AQ415&amp;" "&amp;$V$1),IF(AC415="SKLADEM",$V$6,IFERROR(IF(OR(AC415-TODAY()&gt;45,VLOOKUP(C415,[1]List1!$A:$E,4,FALSE)=0),AC415,DAY(AC415)&amp;"."&amp;MONTH(AC415)&amp;"."&amp;YEAR(AC415)&amp;" "&amp;$V$4&amp;VLOOKUP(C415,[1]List1!$A:$E,4,FALSE)&amp;" "&amp;$V$1),AC415))))</f>
        <v>SKLADEM</v>
      </c>
      <c r="AE415" s="716" t="str">
        <f t="shared" ref="AE415:AE424" ca="1" si="884">IFERROR(IF(AV415&lt;&gt;"",AV415,AD415),AD415)</f>
        <v>SKLADEM</v>
      </c>
      <c r="AF415" s="723">
        <f t="shared" ref="AF415:AF424" si="885">IFERROR(IF(AB415=Y415,G415*I415*Y415,0),0)</f>
        <v>0</v>
      </c>
      <c r="AG415" s="723">
        <f t="shared" ref="AG415:AG424" si="886">IF($W$17=$AF$8,AH415*1.23,AF415*1.21)</f>
        <v>0</v>
      </c>
      <c r="AH415" s="724">
        <f t="shared" ref="AH415:AH424" si="887">IFERROR(IF(Y415=AB415,H415*I415*Y415,0),0)</f>
        <v>0</v>
      </c>
      <c r="AI415" s="716">
        <f t="shared" ref="AI415:AI424" si="888">IFERROR(IF(Y415=AB415,(P415*Y415)/1000,1),0)</f>
        <v>0</v>
      </c>
      <c r="AJ415" s="716">
        <f t="shared" ref="AJ415:AJ424" si="889">IFERROR(IF(Y415=AB415,N415*Y415,0.1),0)</f>
        <v>0</v>
      </c>
      <c r="AK415" s="716" t="str">
        <f t="shared" ref="AK415:AK424" si="890">IFERROR(IF(Y415=AB415,IF(M415="1.1G",(O415/1000)*Y415,""),""),0)</f>
        <v/>
      </c>
      <c r="AL415" s="716">
        <f t="shared" ref="AL415:AL424" si="891">IFERROR(IF(Y415=AB415,IF(M415="1.3G",(O415/1000)*AB415,""),""),0)</f>
        <v>0</v>
      </c>
      <c r="AM415" s="716" t="str">
        <f t="shared" ref="AM415:AM424" si="892">IFERROR(IF(Y415=AB415,IF(M415="1.4G",(O415/1000)*AB415,""),""),0)</f>
        <v/>
      </c>
      <c r="AN415" s="716">
        <f t="shared" ref="AN415:AN424" si="893">SUM(AK415:AM415)</f>
        <v>0</v>
      </c>
      <c r="AO415" s="380"/>
      <c r="AP415" s="322" t="str">
        <f t="shared" si="844"/>
        <v/>
      </c>
      <c r="AQ415" s="323" t="str">
        <f>IF(AC415=$V$3,IF(VLOOKUP(C415,[1]List1!$A:$E,5,FALSE)=0,1,VLOOKUP(C415,[1]List1!$A:$E,5,FALSE)),"")</f>
        <v/>
      </c>
      <c r="AR415" s="304" t="str">
        <f t="shared" si="845"/>
        <v/>
      </c>
      <c r="AS415" s="423" t="str">
        <f t="shared" si="846"/>
        <v/>
      </c>
      <c r="AT415" s="304" t="str">
        <f t="shared" si="847"/>
        <v/>
      </c>
      <c r="AU415" s="342" t="e">
        <f t="shared" si="848"/>
        <v>#N/A</v>
      </c>
      <c r="AV415" s="304" t="e">
        <f t="shared" si="849"/>
        <v>#N/A</v>
      </c>
      <c r="AX415" s="304">
        <f>IF(AND('General price list'!$J415="F4",'General price list'!$AB415+0&gt;0),1,0)</f>
        <v>0</v>
      </c>
      <c r="AY415" s="304">
        <f t="shared" si="850"/>
        <v>1</v>
      </c>
      <c r="AZ415" s="304">
        <f t="shared" si="851"/>
        <v>0</v>
      </c>
    </row>
    <row r="416" spans="1:52" ht="15" customHeight="1">
      <c r="A416" s="725" t="str">
        <f>Kat.!C413</f>
        <v/>
      </c>
      <c r="B416" s="726">
        <f>IF(AND('General price list'!$J416="F4",$AI$1=FALSE),0,IF(AC416="SKLADEM",1,IF(AC416=$V$3,1,0)))</f>
        <v>1</v>
      </c>
      <c r="C416" s="727" t="s">
        <v>1122</v>
      </c>
      <c r="D416" s="728" t="s">
        <v>14564</v>
      </c>
      <c r="E416" s="729" t="s">
        <v>411</v>
      </c>
      <c r="F416" s="725">
        <f>IFERROR(ROUND(IF($AL$3=2,VLOOKUP(C416,[2]List1!$A:$D,2,FALSE)*1.08,VLOOKUP(C416,[2]List1!$A:$D,2,FALSE)),0),"NEUVEDENO!")</f>
        <v>312</v>
      </c>
      <c r="G416" s="730">
        <f t="shared" si="880"/>
        <v>312</v>
      </c>
      <c r="H416" s="731">
        <f t="shared" si="881"/>
        <v>12.678339950180627</v>
      </c>
      <c r="I416" s="732">
        <v>12</v>
      </c>
      <c r="J416" s="729" t="s">
        <v>46</v>
      </c>
      <c r="K416" s="729"/>
      <c r="L416" s="729" t="s">
        <v>24</v>
      </c>
      <c r="M416" s="729" t="s">
        <v>138</v>
      </c>
      <c r="N416" s="729">
        <f>IFERROR(VLOOKUP(C416,[3]List1!$A:$D,4,FALSE),"N/A!")</f>
        <v>3.604000000000001E-2</v>
      </c>
      <c r="O416" s="729">
        <f>IFERROR(VLOOKUP(C416,[3]List1!$A:$D,3,FALSE),"N/A!")</f>
        <v>3900</v>
      </c>
      <c r="P416" s="729">
        <f>IFERROR(VLOOKUP(C416,[3]List1!$A:$D,2,FALSE),"N/A!")</f>
        <v>15000</v>
      </c>
      <c r="Q416" s="729" t="s">
        <v>45</v>
      </c>
      <c r="R416" s="729" t="s">
        <v>24</v>
      </c>
      <c r="S416" s="729" t="str">
        <f>IF($W$17=$AF$1,"design",IFERROR(VLOOKUP("design",Jazyky_ceník!$A:$Q,MATCH($W$17,Jazyky_ceník!$A$1:$Q$1,0),FALSE),"!!!"))</f>
        <v>design</v>
      </c>
      <c r="T416" s="729">
        <v>25</v>
      </c>
      <c r="U416" s="729">
        <v>27</v>
      </c>
      <c r="V416" s="729">
        <v>18</v>
      </c>
      <c r="W416" s="729" t="str">
        <f>IFERROR(VLOOKUP('General price list'!$C416,Popisy!A:P,MATCH($W$17,Popisy!$A$7:$P$7,0),FALSE),"---------------")</f>
        <v>5 různobarevných efektů</v>
      </c>
      <c r="X416" s="729" t="str">
        <f t="shared" si="882"/>
        <v/>
      </c>
      <c r="Y416" s="729" t="str">
        <f t="shared" si="883"/>
        <v/>
      </c>
      <c r="Z416" s="729" t="str">
        <f>HYPERLINK("https://www.klasekpyrotechnics.cz/c2520sig")</f>
        <v>https://www.klasekpyrotechnics.cz/c2520sig</v>
      </c>
      <c r="AA416" s="729">
        <f>IFERROR(IF(VLOOKUP(C416,[4]List1!$A:$D,4,FALSE)=0,"",VLOOKUP(C416,[4]List1!$A:$D,4,FALSE)),"")</f>
        <v>40</v>
      </c>
      <c r="AB416" s="720"/>
      <c r="AC416" s="733" t="str">
        <f>IFERROR(IF(VLOOKUP(C416,[1]List1!$A:$D,2,FALSE)="VYPRODÁNO",$V$9,IF(VLOOKUP(C416,[1]List1!$A:$D,2,FALSE)="DOCHÁZÍ",$V$3,VLOOKUP(C416,[1]List1!$A:$D,2,FALSE))),"OFFLINE!")</f>
        <v>SKLADEM</v>
      </c>
      <c r="AD416" s="734" t="str">
        <f ca="1">IF(AP416="NE",$V$10,IF(AC416=$V$3,IF(AQ416&lt;1,$V$8,$V$2&amp;" "&amp;AQ416&amp;" "&amp;$V$1),IF(AC416="SKLADEM",$V$6,IFERROR(IF(OR(AC416-TODAY()&gt;45,VLOOKUP(C416,[1]List1!$A:$E,4,FALSE)=0),AC416,DAY(AC416)&amp;"."&amp;MONTH(AC416)&amp;"."&amp;YEAR(AC416)&amp;" "&amp;$V$4&amp;VLOOKUP(C416,[1]List1!$A:$E,4,FALSE)&amp;" "&amp;$V$1),AC416))))</f>
        <v>SKLADEM</v>
      </c>
      <c r="AE416" s="729" t="str">
        <f t="shared" ca="1" si="884"/>
        <v>SKLADEM</v>
      </c>
      <c r="AF416" s="735">
        <f t="shared" si="885"/>
        <v>0</v>
      </c>
      <c r="AG416" s="735">
        <f t="shared" si="886"/>
        <v>0</v>
      </c>
      <c r="AH416" s="736">
        <f t="shared" si="887"/>
        <v>0</v>
      </c>
      <c r="AI416" s="729">
        <f t="shared" si="888"/>
        <v>0</v>
      </c>
      <c r="AJ416" s="729">
        <f t="shared" si="889"/>
        <v>0</v>
      </c>
      <c r="AK416" s="729" t="str">
        <f t="shared" si="890"/>
        <v/>
      </c>
      <c r="AL416" s="729">
        <f t="shared" si="891"/>
        <v>0</v>
      </c>
      <c r="AM416" s="729" t="str">
        <f t="shared" si="892"/>
        <v/>
      </c>
      <c r="AN416" s="729">
        <f t="shared" si="893"/>
        <v>0</v>
      </c>
      <c r="AO416" s="380"/>
      <c r="AP416" s="322" t="str">
        <f t="shared" si="844"/>
        <v/>
      </c>
      <c r="AQ416" s="323" t="str">
        <f>IF(AC416=$V$3,IF(VLOOKUP(C416,[1]List1!$A:$E,5,FALSE)=0,1,VLOOKUP(C416,[1]List1!$A:$E,5,FALSE)),"")</f>
        <v/>
      </c>
      <c r="AR416" s="304" t="str">
        <f t="shared" si="845"/>
        <v/>
      </c>
      <c r="AS416" s="423" t="str">
        <f t="shared" si="846"/>
        <v/>
      </c>
      <c r="AT416" s="304" t="str">
        <f t="shared" si="847"/>
        <v/>
      </c>
      <c r="AU416" s="342" t="e">
        <f t="shared" si="848"/>
        <v>#N/A</v>
      </c>
      <c r="AV416" s="304" t="e">
        <f t="shared" si="849"/>
        <v>#N/A</v>
      </c>
      <c r="AX416" s="304">
        <f>IF(AND('General price list'!$J416="F4",'General price list'!$AB416+0&gt;0),1,0)</f>
        <v>0</v>
      </c>
      <c r="AY416" s="304">
        <f t="shared" si="850"/>
        <v>1</v>
      </c>
      <c r="AZ416" s="304">
        <f t="shared" si="851"/>
        <v>0</v>
      </c>
    </row>
    <row r="417" spans="1:52" ht="15" customHeight="1">
      <c r="A417" s="712" t="str">
        <f>Kat.!C414</f>
        <v/>
      </c>
      <c r="B417" s="737">
        <f>IF(AND('General price list'!$J417="F4",$AI$1=FALSE),0,IF(AC417="SKLADEM",1,IF(AC417=$V$3,1,0)))</f>
        <v>1</v>
      </c>
      <c r="C417" s="714" t="s">
        <v>1123</v>
      </c>
      <c r="D417" s="715" t="s">
        <v>1124</v>
      </c>
      <c r="E417" s="716" t="s">
        <v>411</v>
      </c>
      <c r="F417" s="712">
        <f>IFERROR(ROUND(IF($AL$3=2,VLOOKUP(C417,[2]List1!$A:$D,2,FALSE)*1.08,VLOOKUP(C417,[2]List1!$A:$D,2,FALSE)),0),"NEUVEDENO!")</f>
        <v>206</v>
      </c>
      <c r="G417" s="717">
        <f t="shared" si="880"/>
        <v>206</v>
      </c>
      <c r="H417" s="718">
        <f t="shared" si="881"/>
        <v>8.3709552235166953</v>
      </c>
      <c r="I417" s="738">
        <v>12</v>
      </c>
      <c r="J417" s="716" t="s">
        <v>46</v>
      </c>
      <c r="K417" s="716" t="s">
        <v>14734</v>
      </c>
      <c r="L417" s="716" t="s">
        <v>14386</v>
      </c>
      <c r="M417" s="716" t="s">
        <v>138</v>
      </c>
      <c r="N417" s="716">
        <f>IFERROR(VLOOKUP(C417,[3]List1!$A:$D,4,FALSE),"N/A!")</f>
        <v>2.6871000000000003E-2</v>
      </c>
      <c r="O417" s="716">
        <f>IFERROR(VLOOKUP(C417,[3]List1!$A:$D,3,FALSE),"N/A!")</f>
        <v>2400</v>
      </c>
      <c r="P417" s="716">
        <f>IFERROR(VLOOKUP(C417,[3]List1!$A:$D,2,FALSE),"N/A!")</f>
        <v>13000</v>
      </c>
      <c r="Q417" s="716" t="s">
        <v>45</v>
      </c>
      <c r="R417" s="716" t="s">
        <v>24</v>
      </c>
      <c r="S417" s="716" t="str">
        <f>IF($W$17=$AF$1,"design",IFERROR(VLOOKUP("design",Jazyky_ceník!$A:$Q,MATCH($W$17,Jazyky_ceník!$A$1:$Q$1,0),FALSE),"!!!"))</f>
        <v>design</v>
      </c>
      <c r="T417" s="716">
        <v>30</v>
      </c>
      <c r="U417" s="716">
        <v>25</v>
      </c>
      <c r="V417" s="716">
        <v>16</v>
      </c>
      <c r="W417" s="716" t="str">
        <f>IFERROR(VLOOKUP('General price list'!$C417,Popisy!A:P,MATCH($W$17,Popisy!$A$7:$P$7,0),FALSE),"---------------")</f>
        <v>5 různobarevných efektů</v>
      </c>
      <c r="X417" s="716" t="str">
        <f t="shared" si="882"/>
        <v/>
      </c>
      <c r="Y417" s="716" t="str">
        <f t="shared" si="883"/>
        <v/>
      </c>
      <c r="Z417" s="716" t="str">
        <f>HYPERLINK("https://www.klasekpyrotechnics.cz/c2520z")</f>
        <v>https://www.klasekpyrotechnics.cz/c2520z</v>
      </c>
      <c r="AA417" s="716">
        <f>IFERROR(IF(VLOOKUP(C417,[4]List1!$A:$D,4,FALSE)=0,"",VLOOKUP(C417,[4]List1!$A:$D,4,FALSE)),"")</f>
        <v>54</v>
      </c>
      <c r="AB417" s="720"/>
      <c r="AC417" s="739" t="str">
        <f>IFERROR(IF(VLOOKUP(C417,[1]List1!$A:$D,2,FALSE)="VYPRODÁNO",$V$9,IF(VLOOKUP(C417,[1]List1!$A:$D,2,FALSE)="DOCHÁZÍ",$V$3,VLOOKUP(C417,[1]List1!$A:$D,2,FALSE))),"OFFLINE!")</f>
        <v>SKLADEM</v>
      </c>
      <c r="AD417" s="740" t="str">
        <f ca="1">IF(AP417="NE",$V$10,IF(AC417=$V$3,IF(AQ417&lt;1,$V$8,$V$2&amp;" "&amp;AQ417&amp;" "&amp;$V$1),IF(AC417="SKLADEM",$V$6,IFERROR(IF(OR(AC417-TODAY()&gt;45,VLOOKUP(C417,[1]List1!$A:$E,4,FALSE)=0),AC417,DAY(AC417)&amp;"."&amp;MONTH(AC417)&amp;"."&amp;YEAR(AC417)&amp;" "&amp;$V$4&amp;VLOOKUP(C417,[1]List1!$A:$E,4,FALSE)&amp;" "&amp;$V$1),AC417))))</f>
        <v>SKLADEM</v>
      </c>
      <c r="AE417" s="716" t="str">
        <f t="shared" ca="1" si="884"/>
        <v>SKLADEM</v>
      </c>
      <c r="AF417" s="723">
        <f t="shared" si="885"/>
        <v>0</v>
      </c>
      <c r="AG417" s="723">
        <f t="shared" si="886"/>
        <v>0</v>
      </c>
      <c r="AH417" s="724">
        <f t="shared" si="887"/>
        <v>0</v>
      </c>
      <c r="AI417" s="716">
        <f t="shared" si="888"/>
        <v>0</v>
      </c>
      <c r="AJ417" s="716">
        <f t="shared" si="889"/>
        <v>0</v>
      </c>
      <c r="AK417" s="716" t="str">
        <f t="shared" si="890"/>
        <v/>
      </c>
      <c r="AL417" s="716">
        <f t="shared" si="891"/>
        <v>0</v>
      </c>
      <c r="AM417" s="716" t="str">
        <f t="shared" si="892"/>
        <v/>
      </c>
      <c r="AN417" s="716">
        <f t="shared" si="893"/>
        <v>0</v>
      </c>
      <c r="AO417" s="380"/>
      <c r="AP417" s="322" t="str">
        <f t="shared" si="844"/>
        <v/>
      </c>
      <c r="AQ417" s="323" t="str">
        <f>IF(AC417=$V$3,IF(VLOOKUP(C417,[1]List1!$A:$E,5,FALSE)=0,1,VLOOKUP(C417,[1]List1!$A:$E,5,FALSE)),"")</f>
        <v/>
      </c>
      <c r="AR417" s="304" t="str">
        <f t="shared" si="845"/>
        <v/>
      </c>
      <c r="AS417" s="423" t="str">
        <f t="shared" si="846"/>
        <v/>
      </c>
      <c r="AT417" s="304" t="str">
        <f t="shared" si="847"/>
        <v/>
      </c>
      <c r="AU417" s="342" t="e">
        <f t="shared" si="848"/>
        <v>#N/A</v>
      </c>
      <c r="AV417" s="304" t="e">
        <f t="shared" si="849"/>
        <v>#N/A</v>
      </c>
      <c r="AX417" s="304">
        <f>IF(AND('General price list'!$J417="F4",'General price list'!$AB417+0&gt;0),1,0)</f>
        <v>0</v>
      </c>
      <c r="AY417" s="304">
        <f t="shared" si="850"/>
        <v>1</v>
      </c>
      <c r="AZ417" s="304">
        <f t="shared" si="851"/>
        <v>0</v>
      </c>
    </row>
    <row r="418" spans="1:52" ht="15" customHeight="1">
      <c r="A418" s="725" t="str">
        <f>Kat.!C415</f>
        <v/>
      </c>
      <c r="B418" s="726">
        <f>IF(AND('General price list'!$J418="F4",$AI$1=FALSE),0,IF(AC418="SKLADEM",1,IF(AC418=$V$3,1,0)))</f>
        <v>0</v>
      </c>
      <c r="C418" s="727" t="s">
        <v>1126</v>
      </c>
      <c r="D418" s="728" t="s">
        <v>1127</v>
      </c>
      <c r="E418" s="729" t="s">
        <v>411</v>
      </c>
      <c r="F418" s="725">
        <f>IFERROR(ROUND(IF($AL$3=2,VLOOKUP(C418,[2]List1!$A:$D,2,FALSE)*1.08,VLOOKUP(C418,[2]List1!$A:$D,2,FALSE)),0),"NEUVEDENO!")</f>
        <v>206</v>
      </c>
      <c r="G418" s="730">
        <f t="shared" si="880"/>
        <v>206</v>
      </c>
      <c r="H418" s="731">
        <f t="shared" si="881"/>
        <v>8.3709552235166953</v>
      </c>
      <c r="I418" s="732">
        <v>12</v>
      </c>
      <c r="J418" s="729" t="s">
        <v>46</v>
      </c>
      <c r="K418" s="729" t="s">
        <v>14734</v>
      </c>
      <c r="L418" s="729" t="s">
        <v>14386</v>
      </c>
      <c r="M418" s="729" t="s">
        <v>138</v>
      </c>
      <c r="N418" s="729">
        <f>IFERROR(VLOOKUP(C418,[3]List1!$A:$D,4,FALSE),"N/A!")</f>
        <v>2.6871000000000003E-2</v>
      </c>
      <c r="O418" s="729">
        <f>IFERROR(VLOOKUP(C418,[3]List1!$A:$D,3,FALSE),"N/A!")</f>
        <v>2400</v>
      </c>
      <c r="P418" s="729">
        <f>IFERROR(VLOOKUP(C418,[3]List1!$A:$D,2,FALSE),"N/A!")</f>
        <v>13000</v>
      </c>
      <c r="Q418" s="729" t="s">
        <v>14153</v>
      </c>
      <c r="R418" s="729" t="s">
        <v>24</v>
      </c>
      <c r="S418" s="729" t="str">
        <f>IF($W$17=$AF$1,"design",IFERROR(VLOOKUP("design",Jazyky_ceník!$A:$Q,MATCH($W$17,Jazyky_ceník!$A$1:$Q$1,0),FALSE),"!!!"))</f>
        <v>design</v>
      </c>
      <c r="T418" s="729">
        <v>30</v>
      </c>
      <c r="U418" s="729">
        <v>25</v>
      </c>
      <c r="V418" s="729">
        <v>16</v>
      </c>
      <c r="W418" s="729" t="str">
        <f>IFERROR(VLOOKUP('General price list'!$C418,Popisy!A:P,MATCH($W$17,Popisy!$A$7:$P$7,0),FALSE),"---------------")</f>
        <v>5 různobarevných efektů</v>
      </c>
      <c r="X418" s="729" t="str">
        <f t="shared" si="882"/>
        <v/>
      </c>
      <c r="Y418" s="729" t="str">
        <f t="shared" si="883"/>
        <v/>
      </c>
      <c r="Z418" s="729" t="str">
        <f>HYPERLINK("https://www.klasekpyrotechnics.cz/c2520di")</f>
        <v>https://www.klasekpyrotechnics.cz/c2520di</v>
      </c>
      <c r="AA418" s="729">
        <f>IFERROR(IF(VLOOKUP(C418,[4]List1!$A:$D,4,FALSE)=0,"",VLOOKUP(C418,[4]List1!$A:$D,4,FALSE)),"")</f>
        <v>54</v>
      </c>
      <c r="AB418" s="720"/>
      <c r="AC418" s="733" t="str">
        <f>IFERROR(IF(VLOOKUP(C418,[1]List1!$A:$D,2,FALSE)="VYPRODÁNO",$V$9,IF(VLOOKUP(C418,[1]List1!$A:$D,2,FALSE)="DOCHÁZÍ",$V$3,VLOOKUP(C418,[1]List1!$A:$D,2,FALSE))),"OFFLINE!")</f>
        <v>30.09.2024</v>
      </c>
      <c r="AD418" s="734" t="str">
        <f ca="1">IF(AP418="NE",$V$10,IF(AC418=$V$3,IF(AQ418&lt;1,$V$8,$V$2&amp;" "&amp;AQ418&amp;" "&amp;$V$1),IF(AC418="SKLADEM",$V$6,IFERROR(IF(OR(AC418-TODAY()&gt;45,VLOOKUP(C418,[1]List1!$A:$E,4,FALSE)=0),AC418,DAY(AC418)&amp;"."&amp;MONTH(AC418)&amp;"."&amp;YEAR(AC418)&amp;" "&amp;$V$4&amp;VLOOKUP(C418,[1]List1!$A:$E,4,FALSE)&amp;" "&amp;$V$1),AC418))))</f>
        <v>30.09.2024</v>
      </c>
      <c r="AE418" s="729" t="str">
        <f t="shared" ca="1" si="884"/>
        <v>30.09.2024</v>
      </c>
      <c r="AF418" s="735">
        <f t="shared" si="885"/>
        <v>0</v>
      </c>
      <c r="AG418" s="735">
        <f t="shared" si="886"/>
        <v>0</v>
      </c>
      <c r="AH418" s="736">
        <f t="shared" si="887"/>
        <v>0</v>
      </c>
      <c r="AI418" s="729">
        <f t="shared" si="888"/>
        <v>0</v>
      </c>
      <c r="AJ418" s="729">
        <f t="shared" si="889"/>
        <v>0</v>
      </c>
      <c r="AK418" s="729" t="str">
        <f t="shared" si="890"/>
        <v/>
      </c>
      <c r="AL418" s="729">
        <f t="shared" si="891"/>
        <v>0</v>
      </c>
      <c r="AM418" s="729" t="str">
        <f t="shared" si="892"/>
        <v/>
      </c>
      <c r="AN418" s="729">
        <f t="shared" si="893"/>
        <v>0</v>
      </c>
      <c r="AO418" s="380"/>
      <c r="AP418" s="322" t="str">
        <f t="shared" si="844"/>
        <v/>
      </c>
      <c r="AQ418" s="323" t="str">
        <f>IF(AC418=$V$3,IF(VLOOKUP(C418,[1]List1!$A:$E,5,FALSE)=0,1,VLOOKUP(C418,[1]List1!$A:$E,5,FALSE)),"")</f>
        <v/>
      </c>
      <c r="AR418" s="304" t="str">
        <f t="shared" si="845"/>
        <v/>
      </c>
      <c r="AS418" s="423" t="str">
        <f t="shared" si="846"/>
        <v/>
      </c>
      <c r="AT418" s="304" t="str">
        <f t="shared" si="847"/>
        <v/>
      </c>
      <c r="AU418" s="342" t="e">
        <f t="shared" si="848"/>
        <v>#N/A</v>
      </c>
      <c r="AV418" s="304" t="e">
        <f t="shared" si="849"/>
        <v>#N/A</v>
      </c>
      <c r="AX418" s="304">
        <f>IF(AND('General price list'!$J418="F4",'General price list'!$AB418+0&gt;0),1,0)</f>
        <v>0</v>
      </c>
      <c r="AY418" s="304">
        <f t="shared" si="850"/>
        <v>1</v>
      </c>
      <c r="AZ418" s="304">
        <f t="shared" si="851"/>
        <v>0</v>
      </c>
    </row>
    <row r="419" spans="1:52" ht="15" customHeight="1">
      <c r="A419" s="712" t="str">
        <f>Kat.!C416</f>
        <v/>
      </c>
      <c r="B419" s="737">
        <f>IF(AND('General price list'!$J419="F4",$AI$1=FALSE),0,IF(AC419="SKLADEM",1,IF(AC419=$V$3,1,0)))</f>
        <v>1</v>
      </c>
      <c r="C419" s="714" t="s">
        <v>1128</v>
      </c>
      <c r="D419" s="715" t="s">
        <v>1129</v>
      </c>
      <c r="E419" s="716" t="s">
        <v>411</v>
      </c>
      <c r="F419" s="712">
        <f>IFERROR(ROUND(IF($AL$3=2,VLOOKUP(C419,[2]List1!$A:$D,2,FALSE)*1.08,VLOOKUP(C419,[2]List1!$A:$D,2,FALSE)),0),"NEUVEDENO!")</f>
        <v>206</v>
      </c>
      <c r="G419" s="717">
        <f t="shared" si="880"/>
        <v>206</v>
      </c>
      <c r="H419" s="718">
        <f t="shared" si="881"/>
        <v>8.3709552235166953</v>
      </c>
      <c r="I419" s="738">
        <v>12</v>
      </c>
      <c r="J419" s="716" t="s">
        <v>46</v>
      </c>
      <c r="K419" s="716" t="s">
        <v>14734</v>
      </c>
      <c r="L419" s="716" t="s">
        <v>14386</v>
      </c>
      <c r="M419" s="716" t="s">
        <v>138</v>
      </c>
      <c r="N419" s="716">
        <f>IFERROR(VLOOKUP(C419,[3]List1!$A:$D,4,FALSE),"N/A!")</f>
        <v>2.6871000000000003E-2</v>
      </c>
      <c r="O419" s="716">
        <f>IFERROR(VLOOKUP(C419,[3]List1!$A:$D,3,FALSE),"N/A!")</f>
        <v>2400</v>
      </c>
      <c r="P419" s="716">
        <f>IFERROR(VLOOKUP(C419,[3]List1!$A:$D,2,FALSE),"N/A!")</f>
        <v>11600</v>
      </c>
      <c r="Q419" s="716" t="s">
        <v>45</v>
      </c>
      <c r="R419" s="716" t="s">
        <v>24</v>
      </c>
      <c r="S419" s="716" t="str">
        <f>IF($W$17=$AF$1,"design",IFERROR(VLOOKUP("design",Jazyky_ceník!$A:$Q,MATCH($W$17,Jazyky_ceník!$A$1:$Q$1,0),FALSE),"!!!"))</f>
        <v>design</v>
      </c>
      <c r="T419" s="716">
        <v>30</v>
      </c>
      <c r="U419" s="716">
        <v>25</v>
      </c>
      <c r="V419" s="716">
        <v>16</v>
      </c>
      <c r="W419" s="716" t="str">
        <f>IFERROR(VLOOKUP('General price list'!$C419,Popisy!A:P,MATCH($W$17,Popisy!$A$7:$P$7,0),FALSE),"---------------")</f>
        <v>5 různobarevných efektů</v>
      </c>
      <c r="X419" s="716" t="str">
        <f t="shared" si="882"/>
        <v/>
      </c>
      <c r="Y419" s="716" t="str">
        <f t="shared" si="883"/>
        <v/>
      </c>
      <c r="Z419" s="716" t="str">
        <f>HYPERLINK("https://www.klasekpyrotechnics.cz/c2520t")</f>
        <v>https://www.klasekpyrotechnics.cz/c2520t</v>
      </c>
      <c r="AA419" s="716">
        <f>IFERROR(IF(VLOOKUP(C419,[4]List1!$A:$D,4,FALSE)=0,"",VLOOKUP(C419,[4]List1!$A:$D,4,FALSE)),"")</f>
        <v>54</v>
      </c>
      <c r="AB419" s="720"/>
      <c r="AC419" s="739" t="str">
        <f>IFERROR(IF(VLOOKUP(C419,[1]List1!$A:$D,2,FALSE)="VYPRODÁNO",$V$9,IF(VLOOKUP(C419,[1]List1!$A:$D,2,FALSE)="DOCHÁZÍ",$V$3,VLOOKUP(C419,[1]List1!$A:$D,2,FALSE))),"OFFLINE!")</f>
        <v>SKLADEM</v>
      </c>
      <c r="AD419" s="740" t="str">
        <f ca="1">IF(AP419="NE",$V$10,IF(AC419=$V$3,IF(AQ419&lt;1,$V$8,$V$2&amp;" "&amp;AQ419&amp;" "&amp;$V$1),IF(AC419="SKLADEM",$V$6,IFERROR(IF(OR(AC419-TODAY()&gt;45,VLOOKUP(C419,[1]List1!$A:$E,4,FALSE)=0),AC419,DAY(AC419)&amp;"."&amp;MONTH(AC419)&amp;"."&amp;YEAR(AC419)&amp;" "&amp;$V$4&amp;VLOOKUP(C419,[1]List1!$A:$E,4,FALSE)&amp;" "&amp;$V$1),AC419))))</f>
        <v>SKLADEM</v>
      </c>
      <c r="AE419" s="716" t="str">
        <f t="shared" ca="1" si="884"/>
        <v>SKLADEM</v>
      </c>
      <c r="AF419" s="723">
        <f t="shared" si="885"/>
        <v>0</v>
      </c>
      <c r="AG419" s="723">
        <f t="shared" si="886"/>
        <v>0</v>
      </c>
      <c r="AH419" s="724">
        <f t="shared" si="887"/>
        <v>0</v>
      </c>
      <c r="AI419" s="716">
        <f t="shared" si="888"/>
        <v>0</v>
      </c>
      <c r="AJ419" s="716">
        <f t="shared" si="889"/>
        <v>0</v>
      </c>
      <c r="AK419" s="716" t="str">
        <f t="shared" si="890"/>
        <v/>
      </c>
      <c r="AL419" s="716">
        <f t="shared" si="891"/>
        <v>0</v>
      </c>
      <c r="AM419" s="716" t="str">
        <f t="shared" si="892"/>
        <v/>
      </c>
      <c r="AN419" s="716">
        <f t="shared" si="893"/>
        <v>0</v>
      </c>
      <c r="AO419" s="380"/>
      <c r="AP419" s="322" t="str">
        <f t="shared" si="844"/>
        <v/>
      </c>
      <c r="AQ419" s="323" t="str">
        <f>IF(AC419=$V$3,IF(VLOOKUP(C419,[1]List1!$A:$E,5,FALSE)=0,1,VLOOKUP(C419,[1]List1!$A:$E,5,FALSE)),"")</f>
        <v/>
      </c>
      <c r="AR419" s="304" t="str">
        <f t="shared" si="845"/>
        <v/>
      </c>
      <c r="AS419" s="423" t="str">
        <f t="shared" si="846"/>
        <v/>
      </c>
      <c r="AT419" s="304" t="str">
        <f t="shared" si="847"/>
        <v/>
      </c>
      <c r="AU419" s="342" t="e">
        <f t="shared" si="848"/>
        <v>#N/A</v>
      </c>
      <c r="AV419" s="304" t="e">
        <f t="shared" si="849"/>
        <v>#N/A</v>
      </c>
      <c r="AX419" s="304">
        <f>IF(AND('General price list'!$J419="F4",'General price list'!$AB419+0&gt;0),1,0)</f>
        <v>0</v>
      </c>
      <c r="AY419" s="304">
        <f t="shared" si="850"/>
        <v>1</v>
      </c>
      <c r="AZ419" s="304">
        <f t="shared" si="851"/>
        <v>0</v>
      </c>
    </row>
    <row r="420" spans="1:52" ht="15" customHeight="1">
      <c r="A420" s="725" t="str">
        <f>Kat.!C417</f>
        <v/>
      </c>
      <c r="B420" s="726">
        <f>IF(AND('General price list'!$J420="F4",$AI$1=FALSE),0,IF(AC420="SKLADEM",1,IF(AC420=$V$3,1,0)))</f>
        <v>1</v>
      </c>
      <c r="C420" s="727" t="s">
        <v>1130</v>
      </c>
      <c r="D420" s="728" t="s">
        <v>1131</v>
      </c>
      <c r="E420" s="729" t="s">
        <v>411</v>
      </c>
      <c r="F420" s="725">
        <f>IFERROR(ROUND(IF($AL$3=2,VLOOKUP(C420,[2]List1!$A:$D,2,FALSE)*1.08,VLOOKUP(C420,[2]List1!$A:$D,2,FALSE)),0),"NEUVEDENO!")</f>
        <v>206</v>
      </c>
      <c r="G420" s="730">
        <f t="shared" si="880"/>
        <v>206</v>
      </c>
      <c r="H420" s="731">
        <f t="shared" si="881"/>
        <v>8.3709552235166953</v>
      </c>
      <c r="I420" s="732">
        <v>12</v>
      </c>
      <c r="J420" s="729" t="s">
        <v>46</v>
      </c>
      <c r="K420" s="729" t="s">
        <v>14734</v>
      </c>
      <c r="L420" s="729" t="s">
        <v>14386</v>
      </c>
      <c r="M420" s="729" t="s">
        <v>138</v>
      </c>
      <c r="N420" s="729">
        <f>IFERROR(VLOOKUP(C420,[3]List1!$A:$D,4,FALSE),"N/A!")</f>
        <v>2.6871000000000003E-2</v>
      </c>
      <c r="O420" s="729">
        <f>IFERROR(VLOOKUP(C420,[3]List1!$A:$D,3,FALSE),"N/A!")</f>
        <v>2400</v>
      </c>
      <c r="P420" s="729">
        <f>IFERROR(VLOOKUP(C420,[3]List1!$A:$D,2,FALSE),"N/A!")</f>
        <v>11600</v>
      </c>
      <c r="Q420" s="729" t="s">
        <v>45</v>
      </c>
      <c r="R420" s="729" t="s">
        <v>24</v>
      </c>
      <c r="S420" s="729" t="str">
        <f>IF($W$17=$AF$1,"design",IFERROR(VLOOKUP("design",Jazyky_ceník!$A:$Q,MATCH($W$17,Jazyky_ceník!$A$1:$Q$1,0),FALSE),"!!!"))</f>
        <v>design</v>
      </c>
      <c r="T420" s="729">
        <v>30</v>
      </c>
      <c r="U420" s="729">
        <v>25</v>
      </c>
      <c r="V420" s="729">
        <v>16</v>
      </c>
      <c r="W420" s="729" t="str">
        <f>IFERROR(VLOOKUP('General price list'!$C420,Popisy!A:P,MATCH($W$17,Popisy!$A$7:$P$7,0),FALSE),"---------------")</f>
        <v>5 různobarevných efektů</v>
      </c>
      <c r="X420" s="729" t="str">
        <f t="shared" si="882"/>
        <v/>
      </c>
      <c r="Y420" s="729" t="str">
        <f t="shared" si="883"/>
        <v/>
      </c>
      <c r="Z420" s="729" t="str">
        <f>HYPERLINK("https://www.klasekpyrotechnics.cz/c2520se")</f>
        <v>https://www.klasekpyrotechnics.cz/c2520se</v>
      </c>
      <c r="AA420" s="729">
        <f>IFERROR(IF(VLOOKUP(C420,[4]List1!$A:$D,4,FALSE)=0,"",VLOOKUP(C420,[4]List1!$A:$D,4,FALSE)),"")</f>
        <v>54</v>
      </c>
      <c r="AB420" s="720"/>
      <c r="AC420" s="733" t="str">
        <f>IFERROR(IF(VLOOKUP(C420,[1]List1!$A:$D,2,FALSE)="VYPRODÁNO",$V$9,IF(VLOOKUP(C420,[1]List1!$A:$D,2,FALSE)="DOCHÁZÍ",$V$3,VLOOKUP(C420,[1]List1!$A:$D,2,FALSE))),"OFFLINE!")</f>
        <v>SKLADEM</v>
      </c>
      <c r="AD420" s="734" t="str">
        <f ca="1">IF(AP420="NE",$V$10,IF(AC420=$V$3,IF(AQ420&lt;1,$V$8,$V$2&amp;" "&amp;AQ420&amp;" "&amp;$V$1),IF(AC420="SKLADEM",$V$6,IFERROR(IF(OR(AC420-TODAY()&gt;45,VLOOKUP(C420,[1]List1!$A:$E,4,FALSE)=0),AC420,DAY(AC420)&amp;"."&amp;MONTH(AC420)&amp;"."&amp;YEAR(AC420)&amp;" "&amp;$V$4&amp;VLOOKUP(C420,[1]List1!$A:$E,4,FALSE)&amp;" "&amp;$V$1),AC420))))</f>
        <v>SKLADEM</v>
      </c>
      <c r="AE420" s="729" t="str">
        <f t="shared" ca="1" si="884"/>
        <v>SKLADEM</v>
      </c>
      <c r="AF420" s="735">
        <f t="shared" si="885"/>
        <v>0</v>
      </c>
      <c r="AG420" s="735">
        <f t="shared" si="886"/>
        <v>0</v>
      </c>
      <c r="AH420" s="736">
        <f t="shared" si="887"/>
        <v>0</v>
      </c>
      <c r="AI420" s="729">
        <f t="shared" si="888"/>
        <v>0</v>
      </c>
      <c r="AJ420" s="729">
        <f t="shared" si="889"/>
        <v>0</v>
      </c>
      <c r="AK420" s="729" t="str">
        <f t="shared" si="890"/>
        <v/>
      </c>
      <c r="AL420" s="729">
        <f t="shared" si="891"/>
        <v>0</v>
      </c>
      <c r="AM420" s="729" t="str">
        <f t="shared" si="892"/>
        <v/>
      </c>
      <c r="AN420" s="729">
        <f t="shared" si="893"/>
        <v>0</v>
      </c>
      <c r="AO420" s="380"/>
      <c r="AP420" s="322" t="str">
        <f t="shared" si="844"/>
        <v/>
      </c>
      <c r="AQ420" s="323" t="str">
        <f>IF(AC420=$V$3,IF(VLOOKUP(C420,[1]List1!$A:$E,5,FALSE)=0,1,VLOOKUP(C420,[1]List1!$A:$E,5,FALSE)),"")</f>
        <v/>
      </c>
      <c r="AR420" s="304" t="str">
        <f t="shared" si="845"/>
        <v/>
      </c>
      <c r="AS420" s="423" t="str">
        <f t="shared" si="846"/>
        <v/>
      </c>
      <c r="AT420" s="304" t="str">
        <f t="shared" si="847"/>
        <v/>
      </c>
      <c r="AU420" s="342" t="e">
        <f t="shared" si="848"/>
        <v>#N/A</v>
      </c>
      <c r="AV420" s="304" t="e">
        <f t="shared" si="849"/>
        <v>#N/A</v>
      </c>
      <c r="AX420" s="304">
        <f>IF(AND('General price list'!$J420="F4",'General price list'!$AB420+0&gt;0),1,0)</f>
        <v>0</v>
      </c>
      <c r="AY420" s="304">
        <f t="shared" si="850"/>
        <v>1</v>
      </c>
      <c r="AZ420" s="304">
        <f t="shared" si="851"/>
        <v>0</v>
      </c>
    </row>
    <row r="421" spans="1:52" ht="15" customHeight="1">
      <c r="A421" s="712" t="str">
        <f>Kat.!C418</f>
        <v/>
      </c>
      <c r="B421" s="737">
        <f>IF(AND('General price list'!$J421="F4",$AI$1=FALSE),0,IF(AC421="SKLADEM",1,IF(AC421=$V$3,1,0)))</f>
        <v>0</v>
      </c>
      <c r="C421" s="714" t="s">
        <v>1135</v>
      </c>
      <c r="D421" s="715" t="s">
        <v>1136</v>
      </c>
      <c r="E421" s="716" t="s">
        <v>411</v>
      </c>
      <c r="F421" s="712">
        <f>IFERROR(ROUND(IF($AL$3=2,VLOOKUP(C421,[2]List1!$A:$D,2,FALSE)*1.08,VLOOKUP(C421,[2]List1!$A:$D,2,FALSE)),0),"NEUVEDENO!")</f>
        <v>206</v>
      </c>
      <c r="G421" s="717">
        <f t="shared" si="880"/>
        <v>206</v>
      </c>
      <c r="H421" s="718">
        <f t="shared" si="881"/>
        <v>8.3709552235166953</v>
      </c>
      <c r="I421" s="738">
        <v>12</v>
      </c>
      <c r="J421" s="716" t="s">
        <v>46</v>
      </c>
      <c r="K421" s="716" t="s">
        <v>14734</v>
      </c>
      <c r="L421" s="716" t="s">
        <v>14386</v>
      </c>
      <c r="M421" s="716" t="s">
        <v>138</v>
      </c>
      <c r="N421" s="716">
        <f>IFERROR(VLOOKUP(C421,[3]List1!$A:$D,4,FALSE),"N/A!")</f>
        <v>2.6871000000000003E-2</v>
      </c>
      <c r="O421" s="716">
        <f>IFERROR(VLOOKUP(C421,[3]List1!$A:$D,3,FALSE),"N/A!")</f>
        <v>2400</v>
      </c>
      <c r="P421" s="716">
        <f>IFERROR(VLOOKUP(C421,[3]List1!$A:$D,2,FALSE),"N/A!")</f>
        <v>12300</v>
      </c>
      <c r="Q421" s="716" t="s">
        <v>14327</v>
      </c>
      <c r="R421" s="716" t="s">
        <v>24</v>
      </c>
      <c r="S421" s="716" t="str">
        <f>IF($W$17=$AF$1,"červená fólie",IFERROR(VLOOKUP("červená fólie",Jazyky_ceník!$A:$Q,MATCH($W$17,Jazyky_ceník!$A$1:$Q$1,0),FALSE),"!!!"))</f>
        <v>červená fólie</v>
      </c>
      <c r="T421" s="716">
        <v>30</v>
      </c>
      <c r="U421" s="716">
        <v>25</v>
      </c>
      <c r="V421" s="716">
        <v>16</v>
      </c>
      <c r="W421" s="716" t="str">
        <f>IFERROR(VLOOKUP('General price list'!$C421,Popisy!A:P,MATCH($W$17,Popisy!$A$7:$P$7,0),FALSE),"---------------")</f>
        <v>červená vlna s práskajícím středem, stříbrná mina s červenou stopou a titanovou detonací</v>
      </c>
      <c r="X421" s="716" t="str">
        <f t="shared" si="882"/>
        <v/>
      </c>
      <c r="Y421" s="716" t="str">
        <f t="shared" si="883"/>
        <v/>
      </c>
      <c r="Z421" s="716" t="str">
        <f>HYPERLINK("https://www.klasekpyrotechnics.cz/c2520st")</f>
        <v>https://www.klasekpyrotechnics.cz/c2520st</v>
      </c>
      <c r="AA421" s="716">
        <f>IFERROR(IF(VLOOKUP(C421,[4]List1!$A:$D,4,FALSE)=0,"",VLOOKUP(C421,[4]List1!$A:$D,4,FALSE)),"")</f>
        <v>54</v>
      </c>
      <c r="AB421" s="720"/>
      <c r="AC421" s="739" t="str">
        <f>IFERROR(IF(VLOOKUP(C421,[1]List1!$A:$D,2,FALSE)="VYPRODÁNO",$V$9,IF(VLOOKUP(C421,[1]List1!$A:$D,2,FALSE)="DOCHÁZÍ",$V$3,VLOOKUP(C421,[1]List1!$A:$D,2,FALSE))),"OFFLINE!")</f>
        <v>15.09.2024</v>
      </c>
      <c r="AD421" s="740" t="str">
        <f ca="1">IF(AP421="NE",$V$10,IF(AC421=$V$3,IF(AQ421&lt;1,$V$8,$V$2&amp;" "&amp;AQ421&amp;" "&amp;$V$1),IF(AC421="SKLADEM",$V$6,IFERROR(IF(OR(AC421-TODAY()&gt;45,VLOOKUP(C421,[1]List1!$A:$E,4,FALSE)=0),AC421,DAY(AC421)&amp;"."&amp;MONTH(AC421)&amp;"."&amp;YEAR(AC421)&amp;" "&amp;$V$4&amp;VLOOKUP(C421,[1]List1!$A:$E,4,FALSE)&amp;" "&amp;$V$1),AC421))))</f>
        <v>15.09.2024</v>
      </c>
      <c r="AE421" s="716" t="str">
        <f t="shared" ca="1" si="884"/>
        <v>15.09.2024</v>
      </c>
      <c r="AF421" s="723">
        <f t="shared" si="885"/>
        <v>0</v>
      </c>
      <c r="AG421" s="723">
        <f t="shared" si="886"/>
        <v>0</v>
      </c>
      <c r="AH421" s="724">
        <f t="shared" si="887"/>
        <v>0</v>
      </c>
      <c r="AI421" s="716">
        <f t="shared" si="888"/>
        <v>0</v>
      </c>
      <c r="AJ421" s="716">
        <f t="shared" si="889"/>
        <v>0</v>
      </c>
      <c r="AK421" s="716" t="str">
        <f t="shared" si="890"/>
        <v/>
      </c>
      <c r="AL421" s="716">
        <f t="shared" si="891"/>
        <v>0</v>
      </c>
      <c r="AM421" s="716" t="str">
        <f t="shared" si="892"/>
        <v/>
      </c>
      <c r="AN421" s="716">
        <f t="shared" si="893"/>
        <v>0</v>
      </c>
      <c r="AO421" s="380"/>
      <c r="AP421" s="322" t="str">
        <f t="shared" si="844"/>
        <v/>
      </c>
      <c r="AQ421" s="323" t="str">
        <f>IF(AC421=$V$3,IF(VLOOKUP(C421,[1]List1!$A:$E,5,FALSE)=0,1,VLOOKUP(C421,[1]List1!$A:$E,5,FALSE)),"")</f>
        <v/>
      </c>
      <c r="AR421" s="304" t="str">
        <f t="shared" si="845"/>
        <v/>
      </c>
      <c r="AS421" s="423" t="str">
        <f t="shared" si="846"/>
        <v/>
      </c>
      <c r="AT421" s="304" t="str">
        <f t="shared" si="847"/>
        <v/>
      </c>
      <c r="AU421" s="342" t="e">
        <f t="shared" si="848"/>
        <v>#N/A</v>
      </c>
      <c r="AV421" s="304" t="e">
        <f t="shared" si="849"/>
        <v>#N/A</v>
      </c>
      <c r="AX421" s="304">
        <f>IF(AND('General price list'!$J421="F4",'General price list'!$AB421+0&gt;0),1,0)</f>
        <v>0</v>
      </c>
      <c r="AY421" s="304">
        <f t="shared" si="850"/>
        <v>1</v>
      </c>
      <c r="AZ421" s="304">
        <f t="shared" si="851"/>
        <v>0</v>
      </c>
    </row>
    <row r="422" spans="1:52" ht="15" customHeight="1">
      <c r="A422" s="725" t="str">
        <f>Kat.!C419</f>
        <v/>
      </c>
      <c r="B422" s="726">
        <f>IF(AND('General price list'!$J422="F4",$AI$1=FALSE),0,IF(AC422="SKLADEM",1,IF(AC422=$V$3,1,0)))</f>
        <v>1</v>
      </c>
      <c r="C422" s="727" t="s">
        <v>1140</v>
      </c>
      <c r="D422" s="728" t="s">
        <v>1141</v>
      </c>
      <c r="E422" s="729" t="s">
        <v>411</v>
      </c>
      <c r="F422" s="725">
        <f>IFERROR(ROUND(IF($AL$3=2,VLOOKUP(C422,[2]List1!$A:$D,2,FALSE)*1.08,VLOOKUP(C422,[2]List1!$A:$D,2,FALSE)),0),"NEUVEDENO!")</f>
        <v>206</v>
      </c>
      <c r="G422" s="730">
        <f t="shared" si="880"/>
        <v>206</v>
      </c>
      <c r="H422" s="731">
        <f t="shared" si="881"/>
        <v>8.3709552235166953</v>
      </c>
      <c r="I422" s="732">
        <v>12</v>
      </c>
      <c r="J422" s="729" t="s">
        <v>46</v>
      </c>
      <c r="K422" s="729" t="s">
        <v>14734</v>
      </c>
      <c r="L422" s="729" t="s">
        <v>14386</v>
      </c>
      <c r="M422" s="729" t="s">
        <v>138</v>
      </c>
      <c r="N422" s="729">
        <f>IFERROR(VLOOKUP(C422,[3]List1!$A:$D,4,FALSE),"N/A!")</f>
        <v>2.6871000000000003E-2</v>
      </c>
      <c r="O422" s="729">
        <f>IFERROR(VLOOKUP(C422,[3]List1!$A:$D,3,FALSE),"N/A!")</f>
        <v>2400</v>
      </c>
      <c r="P422" s="729">
        <f>IFERROR(VLOOKUP(C422,[3]List1!$A:$D,2,FALSE),"N/A!")</f>
        <v>11600</v>
      </c>
      <c r="Q422" s="729" t="s">
        <v>14328</v>
      </c>
      <c r="R422" s="729" t="s">
        <v>24</v>
      </c>
      <c r="S422" s="729" t="str">
        <f>IF($W$17=$AF$1,"design",IFERROR(VLOOKUP("design",Jazyky_ceník!$A:$Q,MATCH($W$17,Jazyky_ceník!$A$1:$Q$1,0),FALSE),"!!!"))</f>
        <v>design</v>
      </c>
      <c r="T422" s="729">
        <v>30</v>
      </c>
      <c r="U422" s="729">
        <v>25</v>
      </c>
      <c r="V422" s="729">
        <v>16</v>
      </c>
      <c r="W422" s="729" t="str">
        <f>IFERROR(VLOOKUP('General price list'!$C422,Popisy!A:P,MATCH($W$17,Popisy!$A$7:$P$7,0),FALSE),"---------------")</f>
        <v>stříbrná vlna se zelenými konci a blikajícím středem, oranžová stopa s oranžovými perlami s práskajícími hvězdami</v>
      </c>
      <c r="X422" s="729" t="str">
        <f t="shared" si="882"/>
        <v/>
      </c>
      <c r="Y422" s="729" t="str">
        <f t="shared" si="883"/>
        <v/>
      </c>
      <c r="Z422" s="729" t="str">
        <f>HYPERLINK("https://www.klasekpyrotechnics.cz/c2520sl")</f>
        <v>https://www.klasekpyrotechnics.cz/c2520sl</v>
      </c>
      <c r="AA422" s="729">
        <f>IFERROR(IF(VLOOKUP(C422,[4]List1!$A:$D,4,FALSE)=0,"",VLOOKUP(C422,[4]List1!$A:$D,4,FALSE)),"")</f>
        <v>54</v>
      </c>
      <c r="AB422" s="720"/>
      <c r="AC422" s="733" t="str">
        <f>IFERROR(IF(VLOOKUP(C422,[1]List1!$A:$D,2,FALSE)="VYPRODÁNO",$V$9,IF(VLOOKUP(C422,[1]List1!$A:$D,2,FALSE)="DOCHÁZÍ",$V$3,VLOOKUP(C422,[1]List1!$A:$D,2,FALSE))),"OFFLINE!")</f>
        <v>SKLADEM</v>
      </c>
      <c r="AD422" s="734" t="str">
        <f ca="1">IF(AP422="NE",$V$10,IF(AC422=$V$3,IF(AQ422&lt;1,$V$8,$V$2&amp;" "&amp;AQ422&amp;" "&amp;$V$1),IF(AC422="SKLADEM",$V$6,IFERROR(IF(OR(AC422-TODAY()&gt;45,VLOOKUP(C422,[1]List1!$A:$E,4,FALSE)=0),AC422,DAY(AC422)&amp;"."&amp;MONTH(AC422)&amp;"."&amp;YEAR(AC422)&amp;" "&amp;$V$4&amp;VLOOKUP(C422,[1]List1!$A:$E,4,FALSE)&amp;" "&amp;$V$1),AC422))))</f>
        <v>SKLADEM</v>
      </c>
      <c r="AE422" s="729" t="str">
        <f t="shared" ca="1" si="884"/>
        <v>SKLADEM</v>
      </c>
      <c r="AF422" s="735">
        <f t="shared" si="885"/>
        <v>0</v>
      </c>
      <c r="AG422" s="735">
        <f t="shared" si="886"/>
        <v>0</v>
      </c>
      <c r="AH422" s="736">
        <f t="shared" si="887"/>
        <v>0</v>
      </c>
      <c r="AI422" s="729">
        <f t="shared" si="888"/>
        <v>0</v>
      </c>
      <c r="AJ422" s="729">
        <f t="shared" si="889"/>
        <v>0</v>
      </c>
      <c r="AK422" s="729" t="str">
        <f t="shared" si="890"/>
        <v/>
      </c>
      <c r="AL422" s="729">
        <f t="shared" si="891"/>
        <v>0</v>
      </c>
      <c r="AM422" s="729" t="str">
        <f t="shared" si="892"/>
        <v/>
      </c>
      <c r="AN422" s="729">
        <f t="shared" si="893"/>
        <v>0</v>
      </c>
      <c r="AO422" s="380"/>
      <c r="AP422" s="322" t="str">
        <f t="shared" si="844"/>
        <v/>
      </c>
      <c r="AQ422" s="323" t="str">
        <f>IF(AC422=$V$3,IF(VLOOKUP(C422,[1]List1!$A:$E,5,FALSE)=0,1,VLOOKUP(C422,[1]List1!$A:$E,5,FALSE)),"")</f>
        <v/>
      </c>
      <c r="AR422" s="304" t="str">
        <f t="shared" si="845"/>
        <v/>
      </c>
      <c r="AS422" s="423" t="str">
        <f t="shared" si="846"/>
        <v/>
      </c>
      <c r="AT422" s="304" t="str">
        <f t="shared" si="847"/>
        <v/>
      </c>
      <c r="AU422" s="342" t="e">
        <f t="shared" si="848"/>
        <v>#N/A</v>
      </c>
      <c r="AV422" s="304" t="e">
        <f t="shared" si="849"/>
        <v>#N/A</v>
      </c>
      <c r="AX422" s="304">
        <f>IF(AND('General price list'!$J422="F4",'General price list'!$AB422+0&gt;0),1,0)</f>
        <v>0</v>
      </c>
      <c r="AY422" s="304">
        <f t="shared" si="850"/>
        <v>1</v>
      </c>
      <c r="AZ422" s="304">
        <f t="shared" si="851"/>
        <v>0</v>
      </c>
    </row>
    <row r="423" spans="1:52" ht="15" customHeight="1">
      <c r="A423" s="712" t="str">
        <f>Kat.!C420</f>
        <v/>
      </c>
      <c r="B423" s="737">
        <f>IF(AND('General price list'!$J423="F4",$AI$1=FALSE),0,IF(AC423="SKLADEM",1,IF(AC423=$V$3,1,0)))</f>
        <v>0</v>
      </c>
      <c r="C423" s="714" t="s">
        <v>1145</v>
      </c>
      <c r="D423" s="715" t="s">
        <v>1146</v>
      </c>
      <c r="E423" s="716" t="s">
        <v>411</v>
      </c>
      <c r="F423" s="712">
        <f>IFERROR(ROUND(IF($AL$3=2,VLOOKUP(C423,[2]List1!$A:$D,2,FALSE)*1.08,VLOOKUP(C423,[2]List1!$A:$D,2,FALSE)),0),"NEUVEDENO!")</f>
        <v>206</v>
      </c>
      <c r="G423" s="717">
        <f t="shared" si="880"/>
        <v>206</v>
      </c>
      <c r="H423" s="718">
        <f t="shared" si="881"/>
        <v>8.3709552235166953</v>
      </c>
      <c r="I423" s="738">
        <v>12</v>
      </c>
      <c r="J423" s="716" t="s">
        <v>46</v>
      </c>
      <c r="K423" s="716" t="s">
        <v>14734</v>
      </c>
      <c r="L423" s="716" t="s">
        <v>14386</v>
      </c>
      <c r="M423" s="716" t="s">
        <v>138</v>
      </c>
      <c r="N423" s="716">
        <f>IFERROR(VLOOKUP(C423,[3]List1!$A:$D,4,FALSE),"N/A!")</f>
        <v>2.6871000000000003E-2</v>
      </c>
      <c r="O423" s="716">
        <f>IFERROR(VLOOKUP(C423,[3]List1!$A:$D,3,FALSE),"N/A!")</f>
        <v>2400</v>
      </c>
      <c r="P423" s="716">
        <f>IFERROR(VLOOKUP(C423,[3]List1!$A:$D,2,FALSE),"N/A!")</f>
        <v>13440</v>
      </c>
      <c r="Q423" s="716" t="s">
        <v>14153</v>
      </c>
      <c r="R423" s="716" t="s">
        <v>24</v>
      </c>
      <c r="S423" s="716" t="str">
        <f>IF($W$17=$AF$1,"design",IFERROR(VLOOKUP("design",Jazyky_ceník!$A:$Q,MATCH($W$17,Jazyky_ceník!$A$1:$Q$1,0),FALSE),"!!!"))</f>
        <v>design</v>
      </c>
      <c r="T423" s="716">
        <v>25</v>
      </c>
      <c r="U423" s="716">
        <v>25</v>
      </c>
      <c r="V423" s="716">
        <v>16</v>
      </c>
      <c r="W423" s="716" t="str">
        <f>IFERROR(VLOOKUP('General price list'!$C423,Popisy!A:P,MATCH($W$17,Popisy!$A$7:$P$7,0),FALSE),"---------------")</f>
        <v>brokátová koruna s fialovými konci</v>
      </c>
      <c r="X423" s="716" t="str">
        <f t="shared" si="882"/>
        <v/>
      </c>
      <c r="Y423" s="716" t="str">
        <f t="shared" si="883"/>
        <v/>
      </c>
      <c r="Z423" s="716" t="str">
        <f>HYPERLINK("https://www.klasekpyrotechnics.cz/c2520r")</f>
        <v>https://www.klasekpyrotechnics.cz/c2520r</v>
      </c>
      <c r="AA423" s="716">
        <f>IFERROR(IF(VLOOKUP(C423,[4]List1!$A:$D,4,FALSE)=0,"",VLOOKUP(C423,[4]List1!$A:$D,4,FALSE)),"")</f>
        <v>54</v>
      </c>
      <c r="AB423" s="720"/>
      <c r="AC423" s="739" t="str">
        <f>IFERROR(IF(VLOOKUP(C423,[1]List1!$A:$D,2,FALSE)="VYPRODÁNO",$V$9,IF(VLOOKUP(C423,[1]List1!$A:$D,2,FALSE)="DOCHÁZÍ",$V$3,VLOOKUP(C423,[1]List1!$A:$D,2,FALSE))),"OFFLINE!")</f>
        <v>15.09.2024</v>
      </c>
      <c r="AD423" s="740" t="str">
        <f ca="1">IF(AP423="NE",$V$10,IF(AC423=$V$3,IF(AQ423&lt;1,$V$8,$V$2&amp;" "&amp;AQ423&amp;" "&amp;$V$1),IF(AC423="SKLADEM",$V$6,IFERROR(IF(OR(AC423-TODAY()&gt;45,VLOOKUP(C423,[1]List1!$A:$E,4,FALSE)=0),AC423,DAY(AC423)&amp;"."&amp;MONTH(AC423)&amp;"."&amp;YEAR(AC423)&amp;" "&amp;$V$4&amp;VLOOKUP(C423,[1]List1!$A:$E,4,FALSE)&amp;" "&amp;$V$1),AC423))))</f>
        <v>15.09.2024</v>
      </c>
      <c r="AE423" s="716" t="str">
        <f t="shared" ca="1" si="884"/>
        <v>15.09.2024</v>
      </c>
      <c r="AF423" s="723">
        <f t="shared" si="885"/>
        <v>0</v>
      </c>
      <c r="AG423" s="723">
        <f t="shared" si="886"/>
        <v>0</v>
      </c>
      <c r="AH423" s="724">
        <f t="shared" si="887"/>
        <v>0</v>
      </c>
      <c r="AI423" s="716">
        <f t="shared" si="888"/>
        <v>0</v>
      </c>
      <c r="AJ423" s="716">
        <f t="shared" si="889"/>
        <v>0</v>
      </c>
      <c r="AK423" s="716" t="str">
        <f t="shared" si="890"/>
        <v/>
      </c>
      <c r="AL423" s="716">
        <f t="shared" si="891"/>
        <v>0</v>
      </c>
      <c r="AM423" s="716" t="str">
        <f t="shared" si="892"/>
        <v/>
      </c>
      <c r="AN423" s="716">
        <f t="shared" si="893"/>
        <v>0</v>
      </c>
      <c r="AO423" s="380"/>
      <c r="AP423" s="322" t="str">
        <f t="shared" si="844"/>
        <v/>
      </c>
      <c r="AQ423" s="323" t="str">
        <f>IF(AC423=$V$3,IF(VLOOKUP(C423,[1]List1!$A:$E,5,FALSE)=0,1,VLOOKUP(C423,[1]List1!$A:$E,5,FALSE)),"")</f>
        <v/>
      </c>
      <c r="AR423" s="304" t="str">
        <f t="shared" si="845"/>
        <v/>
      </c>
      <c r="AS423" s="423" t="str">
        <f t="shared" si="846"/>
        <v/>
      </c>
      <c r="AT423" s="304" t="str">
        <f t="shared" si="847"/>
        <v/>
      </c>
      <c r="AU423" s="342" t="e">
        <f t="shared" si="848"/>
        <v>#N/A</v>
      </c>
      <c r="AV423" s="304" t="e">
        <f t="shared" si="849"/>
        <v>#N/A</v>
      </c>
      <c r="AX423" s="304">
        <f>IF(AND('General price list'!$J423="F4",'General price list'!$AB423+0&gt;0),1,0)</f>
        <v>0</v>
      </c>
      <c r="AY423" s="304">
        <f t="shared" si="850"/>
        <v>1</v>
      </c>
      <c r="AZ423" s="304">
        <f t="shared" si="851"/>
        <v>0</v>
      </c>
    </row>
    <row r="424" spans="1:52" ht="15" customHeight="1">
      <c r="A424" s="725" t="str">
        <f>Kat.!C421</f>
        <v/>
      </c>
      <c r="B424" s="726">
        <f>IF(AND('General price list'!$J424="F4",$AI$1=FALSE),0,IF(AC424="SKLADEM",1,IF(AC424=$V$3,1,0)))</f>
        <v>0</v>
      </c>
      <c r="C424" s="727" t="s">
        <v>1154</v>
      </c>
      <c r="D424" s="728" t="s">
        <v>1150</v>
      </c>
      <c r="E424" s="729" t="s">
        <v>411</v>
      </c>
      <c r="F424" s="725">
        <f>IFERROR(ROUND(IF($AL$3=2,VLOOKUP(C424,[2]List1!$A:$D,2,FALSE)*1.08,VLOOKUP(C424,[2]List1!$A:$D,2,FALSE)),0),"NEUVEDENO!")</f>
        <v>206</v>
      </c>
      <c r="G424" s="730">
        <f t="shared" si="880"/>
        <v>206</v>
      </c>
      <c r="H424" s="731">
        <f t="shared" si="881"/>
        <v>8.3709552235166953</v>
      </c>
      <c r="I424" s="732">
        <v>12</v>
      </c>
      <c r="J424" s="729" t="s">
        <v>46</v>
      </c>
      <c r="K424" s="729" t="s">
        <v>14734</v>
      </c>
      <c r="L424" s="729" t="s">
        <v>14386</v>
      </c>
      <c r="M424" s="729" t="s">
        <v>138</v>
      </c>
      <c r="N424" s="729">
        <f>IFERROR(VLOOKUP(C424,[3]List1!$A:$D,4,FALSE),"N/A!")</f>
        <v>2.6871000000000003E-2</v>
      </c>
      <c r="O424" s="729">
        <f>IFERROR(VLOOKUP(C424,[3]List1!$A:$D,3,FALSE),"N/A!")</f>
        <v>2400</v>
      </c>
      <c r="P424" s="729">
        <f>IFERROR(VLOOKUP(C424,[3]List1!$A:$D,2,FALSE),"N/A!")</f>
        <v>13000</v>
      </c>
      <c r="Q424" s="729" t="s">
        <v>14327</v>
      </c>
      <c r="R424" s="729" t="s">
        <v>24</v>
      </c>
      <c r="S424" s="729" t="str">
        <f>IF($W$17=$AF$1,"design",IFERROR(VLOOKUP("design",Jazyky_ceník!$A:$Q,MATCH($W$17,Jazyky_ceník!$A$1:$Q$1,0),FALSE),"!!!"))</f>
        <v>design</v>
      </c>
      <c r="T424" s="729">
        <v>25</v>
      </c>
      <c r="U424" s="729">
        <v>25</v>
      </c>
      <c r="V424" s="729">
        <v>16</v>
      </c>
      <c r="W424" s="729" t="str">
        <f>IFERROR(VLOOKUP('General price list'!$C424,Popisy!A:P,MATCH($W$17,Popisy!$A$7:$P$7,0),FALSE),"---------------")</f>
        <v>modrá palma se zlatým blikajícím středem</v>
      </c>
      <c r="X424" s="729" t="str">
        <f t="shared" si="882"/>
        <v/>
      </c>
      <c r="Y424" s="729" t="str">
        <f t="shared" si="883"/>
        <v/>
      </c>
      <c r="Z424" s="729" t="str">
        <f>HYPERLINK("https://www.klasekpyrotechnics.cz/c2520vi")</f>
        <v>https://www.klasekpyrotechnics.cz/c2520vi</v>
      </c>
      <c r="AA424" s="729">
        <f>IFERROR(IF(VLOOKUP(C424,[4]List1!$A:$D,4,FALSE)=0,"",VLOOKUP(C424,[4]List1!$A:$D,4,FALSE)),"")</f>
        <v>42</v>
      </c>
      <c r="AB424" s="720"/>
      <c r="AC424" s="733" t="str">
        <f>IFERROR(IF(VLOOKUP(C424,[1]List1!$A:$D,2,FALSE)="VYPRODÁNO",$V$9,IF(VLOOKUP(C424,[1]List1!$A:$D,2,FALSE)="DOCHÁZÍ",$V$3,VLOOKUP(C424,[1]List1!$A:$D,2,FALSE))),"OFFLINE!")</f>
        <v>15.09.2024</v>
      </c>
      <c r="AD424" s="734" t="str">
        <f ca="1">IF(AP424="NE",$V$10,IF(AC424=$V$3,IF(AQ424&lt;1,$V$8,$V$2&amp;" "&amp;AQ424&amp;" "&amp;$V$1),IF(AC424="SKLADEM",$V$6,IFERROR(IF(OR(AC424-TODAY()&gt;45,VLOOKUP(C424,[1]List1!$A:$E,4,FALSE)=0),AC424,DAY(AC424)&amp;"."&amp;MONTH(AC424)&amp;"."&amp;YEAR(AC424)&amp;" "&amp;$V$4&amp;VLOOKUP(C424,[1]List1!$A:$E,4,FALSE)&amp;" "&amp;$V$1),AC424))))</f>
        <v>15.09.2024</v>
      </c>
      <c r="AE424" s="729" t="str">
        <f t="shared" ca="1" si="884"/>
        <v>15.09.2024</v>
      </c>
      <c r="AF424" s="735">
        <f t="shared" si="885"/>
        <v>0</v>
      </c>
      <c r="AG424" s="735">
        <f t="shared" si="886"/>
        <v>0</v>
      </c>
      <c r="AH424" s="736">
        <f t="shared" si="887"/>
        <v>0</v>
      </c>
      <c r="AI424" s="729">
        <f t="shared" si="888"/>
        <v>0</v>
      </c>
      <c r="AJ424" s="729">
        <f t="shared" si="889"/>
        <v>0</v>
      </c>
      <c r="AK424" s="729" t="str">
        <f t="shared" si="890"/>
        <v/>
      </c>
      <c r="AL424" s="729">
        <f t="shared" si="891"/>
        <v>0</v>
      </c>
      <c r="AM424" s="729" t="str">
        <f t="shared" si="892"/>
        <v/>
      </c>
      <c r="AN424" s="729">
        <f t="shared" si="893"/>
        <v>0</v>
      </c>
      <c r="AO424" s="380"/>
      <c r="AP424" s="322" t="str">
        <f t="shared" si="844"/>
        <v/>
      </c>
      <c r="AQ424" s="323" t="str">
        <f>IF(AC424=$V$3,IF(VLOOKUP(C424,[1]List1!$A:$E,5,FALSE)=0,1,VLOOKUP(C424,[1]List1!$A:$E,5,FALSE)),"")</f>
        <v/>
      </c>
      <c r="AR424" s="304" t="str">
        <f t="shared" si="845"/>
        <v/>
      </c>
      <c r="AS424" s="423" t="str">
        <f t="shared" si="846"/>
        <v/>
      </c>
      <c r="AT424" s="304" t="str">
        <f t="shared" si="847"/>
        <v/>
      </c>
      <c r="AU424" s="342" t="e">
        <f t="shared" si="848"/>
        <v>#N/A</v>
      </c>
      <c r="AV424" s="304" t="e">
        <f t="shared" si="849"/>
        <v>#N/A</v>
      </c>
      <c r="AX424" s="304">
        <f>IF(AND('General price list'!$J424="F4",'General price list'!$AB424+0&gt;0),1,0)</f>
        <v>0</v>
      </c>
      <c r="AY424" s="304">
        <f t="shared" si="850"/>
        <v>1</v>
      </c>
      <c r="AZ424" s="304">
        <f t="shared" si="851"/>
        <v>0</v>
      </c>
    </row>
    <row r="425" spans="1:52" ht="15" customHeight="1">
      <c r="A425" s="773" t="str">
        <f>Kat.!C422</f>
        <v xml:space="preserve">                                                               Baterie 25ran, 20mm moždíř-1.4G</v>
      </c>
      <c r="B425" s="774"/>
      <c r="C425" s="774"/>
      <c r="D425" s="774"/>
      <c r="E425" s="774"/>
      <c r="F425" s="774"/>
      <c r="G425" s="774"/>
      <c r="H425" s="774"/>
      <c r="I425" s="774"/>
      <c r="J425" s="774"/>
      <c r="K425" s="774"/>
      <c r="L425" s="774"/>
      <c r="M425" s="774"/>
      <c r="N425" s="774"/>
      <c r="O425" s="774"/>
      <c r="P425" s="774"/>
      <c r="Q425" s="774"/>
      <c r="R425" s="774"/>
      <c r="S425" s="774"/>
      <c r="T425" s="774"/>
      <c r="U425" s="774"/>
      <c r="V425" s="774"/>
      <c r="W425" s="774"/>
      <c r="X425" s="774"/>
      <c r="Y425" s="774"/>
      <c r="Z425" s="774"/>
      <c r="AA425" s="774" t="str">
        <f>IFERROR(IF(VLOOKUP(C425,[4]List1!$A:$D,4,FALSE)=0,"",VLOOKUP(C425,[4]List1!$A:$D,4,FALSE)),"")</f>
        <v/>
      </c>
      <c r="AB425" s="774"/>
      <c r="AC425" s="775" t="str">
        <f>IFERROR(IF(VLOOKUP(C425,[1]List1!$A:$D,2,FALSE)="VYPRODÁNO",$V$9,IF(VLOOKUP(C425,[1]List1!$A:$D,2,FALSE)="DOCHÁZÍ",$V$3,VLOOKUP(C425,[1]List1!$A:$D,2,FALSE))),"OFFLINE!")</f>
        <v>OFFLINE!</v>
      </c>
      <c r="AD425" s="774"/>
      <c r="AE425" s="774"/>
      <c r="AF425" s="774"/>
      <c r="AG425" s="774"/>
      <c r="AH425" s="774"/>
      <c r="AI425" s="774"/>
      <c r="AJ425" s="774"/>
      <c r="AK425" s="774"/>
      <c r="AL425" s="774"/>
      <c r="AM425" s="774"/>
      <c r="AN425" s="774"/>
      <c r="AO425" s="380"/>
      <c r="AP425" s="322" t="str">
        <f t="shared" si="844"/>
        <v/>
      </c>
      <c r="AQ425" s="323" t="str">
        <f>IF(AC425=$V$3,IF(VLOOKUP(C425,[1]List1!$A:$E,5,FALSE)=0,1,VLOOKUP(C425,[1]List1!$A:$E,5,FALSE)),"")</f>
        <v/>
      </c>
      <c r="AR425" s="304" t="str">
        <f t="shared" si="845"/>
        <v/>
      </c>
      <c r="AS425" s="423" t="str">
        <f t="shared" si="846"/>
        <v/>
      </c>
      <c r="AT425" s="304" t="str">
        <f t="shared" si="847"/>
        <v/>
      </c>
      <c r="AU425" s="342" t="e">
        <f t="shared" si="848"/>
        <v>#N/A</v>
      </c>
      <c r="AV425" s="304" t="e">
        <f t="shared" si="849"/>
        <v>#N/A</v>
      </c>
      <c r="AX425" s="304">
        <f>IF(AND('General price list'!$J425="F4",'General price list'!$AB425+0&gt;0),1,0)</f>
        <v>0</v>
      </c>
      <c r="AY425" s="304">
        <f t="shared" si="850"/>
        <v>0</v>
      </c>
      <c r="AZ425" s="304">
        <f t="shared" si="851"/>
        <v>0</v>
      </c>
    </row>
    <row r="426" spans="1:52" ht="15" customHeight="1">
      <c r="A426" s="725" t="str">
        <f>Kat.!C423</f>
        <v/>
      </c>
      <c r="B426" s="741">
        <f>IF(AND('General price list'!$J426="F4",$AI$1=FALSE),0,IF(AC426="SKLADEM",1,IF(AC426=$V$3,1,0)))</f>
        <v>0</v>
      </c>
      <c r="C426" s="727" t="s">
        <v>1132</v>
      </c>
      <c r="D426" s="728" t="s">
        <v>1127</v>
      </c>
      <c r="E426" s="729" t="s">
        <v>411</v>
      </c>
      <c r="F426" s="725">
        <f>IFERROR(ROUND(IF($AL$3=2,VLOOKUP(C426,[2]List1!$A:$D,2,FALSE)*1.08,VLOOKUP(C426,[2]List1!$A:$D,2,FALSE)),0),"NEUVEDENO!")</f>
        <v>206</v>
      </c>
      <c r="G426" s="730">
        <f t="shared" ref="G426:G428" si="894">(F426)*$B$19</f>
        <v>206</v>
      </c>
      <c r="H426" s="731">
        <f t="shared" ref="H426:H428" si="895">G426/$F$19</f>
        <v>8.3709552235166953</v>
      </c>
      <c r="I426" s="742">
        <v>12</v>
      </c>
      <c r="J426" s="729" t="s">
        <v>46</v>
      </c>
      <c r="K426" s="729" t="s">
        <v>14734</v>
      </c>
      <c r="L426" s="729" t="s">
        <v>14389</v>
      </c>
      <c r="M426" s="729" t="s">
        <v>25</v>
      </c>
      <c r="N426" s="729">
        <f>IFERROR(VLOOKUP(C426,[3]List1!$A:$D,4,FALSE),"N/A!")</f>
        <v>2.6871000000000003E-2</v>
      </c>
      <c r="O426" s="729">
        <f>IFERROR(VLOOKUP(C426,[3]List1!$A:$D,3,FALSE),"N/A!")</f>
        <v>2400</v>
      </c>
      <c r="P426" s="729">
        <f>IFERROR(VLOOKUP(C426,[3]List1!$A:$D,2,FALSE),"N/A!")</f>
        <v>13100</v>
      </c>
      <c r="Q426" s="729" t="s">
        <v>14097</v>
      </c>
      <c r="R426" s="729" t="s">
        <v>24</v>
      </c>
      <c r="S426" s="729" t="str">
        <f>IF($W$17=$AF$1,"design",IFERROR(VLOOKUP("design",Jazyky_ceník!$A:$Q,MATCH($W$17,Jazyky_ceník!$A$1:$Q$1,0),FALSE),"!!!"))</f>
        <v>design</v>
      </c>
      <c r="T426" s="729">
        <v>30</v>
      </c>
      <c r="U426" s="729">
        <v>25</v>
      </c>
      <c r="V426" s="729">
        <v>13</v>
      </c>
      <c r="W426" s="729" t="str">
        <f>IFERROR(VLOOKUP('General price list'!$C426,Popisy!A:P,MATCH($W$17,Popisy!$A$7:$P$7,0),FALSE),"---------------")</f>
        <v>5 různobarevných efektů</v>
      </c>
      <c r="X426" s="729" t="str">
        <f t="shared" ref="X426:X428" si="896">IF(AB426&lt;0.0001,"",AB426)</f>
        <v/>
      </c>
      <c r="Y426" s="729" t="str">
        <f t="shared" ref="Y426:Y428" si="897">IF($AL$3=2,IF(OR(AB426&lt;&gt;"",AB426&lt;&gt;0),AU426,""),IF(C426="","",IF(AB426&lt;0.0001,"",IF(B426=0,"",IF(AQ426&lt;AB426,"",AB426)))))</f>
        <v/>
      </c>
      <c r="Z426" s="729" t="str">
        <f>HYPERLINK("https://www.klasekpyrotechnics.cz/c2520di14")</f>
        <v>https://www.klasekpyrotechnics.cz/c2520di14</v>
      </c>
      <c r="AA426" s="729">
        <f>IFERROR(IF(VLOOKUP(C426,[4]List1!$A:$D,4,FALSE)=0,"",VLOOKUP(C426,[4]List1!$A:$D,4,FALSE)),"")</f>
        <v>54</v>
      </c>
      <c r="AB426" s="720"/>
      <c r="AC426" s="743" t="str">
        <f>IFERROR(IF(VLOOKUP(C426,[1]List1!$A:$D,2,FALSE)="VYPRODÁNO",$V$9,IF(VLOOKUP(C426,[1]List1!$A:$D,2,FALSE)="DOCHÁZÍ",$V$3,VLOOKUP(C426,[1]List1!$A:$D,2,FALSE))),"OFFLINE!")</f>
        <v>20.03.2024</v>
      </c>
      <c r="AD426" s="744" t="str">
        <f ca="1">IF(AP426="NE",$V$10,IF(AC426=$V$3,IF(AQ426&lt;1,$V$8,$V$2&amp;" "&amp;AQ426&amp;" "&amp;$V$1),IF(AC426="SKLADEM",$V$6,IFERROR(IF(OR(AC426-TODAY()&gt;45,VLOOKUP(C426,[1]List1!$A:$E,4,FALSE)=0),AC426,DAY(AC426)&amp;"."&amp;MONTH(AC426)&amp;"."&amp;YEAR(AC426)&amp;" "&amp;$V$4&amp;VLOOKUP(C426,[1]List1!$A:$E,4,FALSE)&amp;" "&amp;$V$1),AC426))))</f>
        <v>20.3.2024 DORAZÍ 100+ VK</v>
      </c>
      <c r="AE426" s="729" t="str">
        <f t="shared" ref="AE426:AE428" ca="1" si="898">IFERROR(IF(AV426&lt;&gt;"",AV426,AD426),AD426)</f>
        <v>20.3.2024 DORAZÍ 100+ VK</v>
      </c>
      <c r="AF426" s="735">
        <f t="shared" ref="AF426:AF428" si="899">IFERROR(IF(AB426=Y426,G426*I426*Y426,0),0)</f>
        <v>0</v>
      </c>
      <c r="AG426" s="735">
        <f t="shared" ref="AG426:AG428" si="900">IF($W$17=$AF$8,AH426*1.23,AF426*1.21)</f>
        <v>0</v>
      </c>
      <c r="AH426" s="736">
        <f t="shared" ref="AH426:AH428" si="901">IFERROR(IF(Y426=AB426,H426*I426*Y426,0),0)</f>
        <v>0</v>
      </c>
      <c r="AI426" s="729">
        <f t="shared" ref="AI426:AI428" si="902">IFERROR(IF(Y426=AB426,(P426*Y426)/1000,1),0)</f>
        <v>0</v>
      </c>
      <c r="AJ426" s="729">
        <f t="shared" ref="AJ426:AJ428" si="903">IFERROR(IF(Y426=AB426,N426*Y426,0.1),0)</f>
        <v>0</v>
      </c>
      <c r="AK426" s="729" t="str">
        <f t="shared" ref="AK426:AK428" si="904">IFERROR(IF(Y426=AB426,IF(M426="1.1G",(O426/1000)*Y426,""),""),0)</f>
        <v/>
      </c>
      <c r="AL426" s="729" t="str">
        <f t="shared" ref="AL426:AL428" si="905">IFERROR(IF(Y426=AB426,IF(M426="1.3G",(O426/1000)*AB426,""),""),0)</f>
        <v/>
      </c>
      <c r="AM426" s="729">
        <f t="shared" ref="AM426:AM428" si="906">IFERROR(IF(Y426=AB426,IF(M426="1.4G",(O426/1000)*AB426,""),""),0)</f>
        <v>0</v>
      </c>
      <c r="AN426" s="729">
        <f t="shared" ref="AN426:AN428" si="907">SUM(AK426:AM426)</f>
        <v>0</v>
      </c>
      <c r="AO426" s="380"/>
      <c r="AP426" s="322" t="str">
        <f t="shared" si="844"/>
        <v/>
      </c>
      <c r="AQ426" s="323" t="str">
        <f>IF(AC426=$V$3,IF(VLOOKUP(C426,[1]List1!$A:$E,5,FALSE)=0,1,VLOOKUP(C426,[1]List1!$A:$E,5,FALSE)),"")</f>
        <v/>
      </c>
      <c r="AR426" s="304" t="str">
        <f t="shared" si="845"/>
        <v/>
      </c>
      <c r="AS426" s="423" t="str">
        <f t="shared" si="846"/>
        <v/>
      </c>
      <c r="AT426" s="304" t="str">
        <f t="shared" si="847"/>
        <v/>
      </c>
      <c r="AU426" s="342" t="e">
        <f t="shared" si="848"/>
        <v>#N/A</v>
      </c>
      <c r="AV426" s="304" t="e">
        <f t="shared" si="849"/>
        <v>#N/A</v>
      </c>
      <c r="AX426" s="304">
        <f>IF(AND('General price list'!$J426="F4",'General price list'!$AB426+0&gt;0),1,0)</f>
        <v>0</v>
      </c>
      <c r="AY426" s="304">
        <f t="shared" si="850"/>
        <v>1</v>
      </c>
      <c r="AZ426" s="304">
        <f t="shared" si="851"/>
        <v>0</v>
      </c>
    </row>
    <row r="427" spans="1:52" ht="15" customHeight="1">
      <c r="A427" s="712" t="str">
        <f>Kat.!C424</f>
        <v/>
      </c>
      <c r="B427" s="745">
        <f>IF(AND('General price list'!$J427="F4",$AI$1=FALSE),0,IF(AC427="SKLADEM",1,IF(AC427=$V$3,1,0)))</f>
        <v>0</v>
      </c>
      <c r="C427" s="714" t="s">
        <v>1133</v>
      </c>
      <c r="D427" s="715" t="s">
        <v>1129</v>
      </c>
      <c r="E427" s="716" t="s">
        <v>411</v>
      </c>
      <c r="F427" s="712">
        <f>IFERROR(ROUND(IF($AL$3=2,VLOOKUP(C427,[2]List1!$A:$D,2,FALSE)*1.08,VLOOKUP(C427,[2]List1!$A:$D,2,FALSE)),0),"NEUVEDENO!")</f>
        <v>206</v>
      </c>
      <c r="G427" s="717">
        <f t="shared" si="894"/>
        <v>206</v>
      </c>
      <c r="H427" s="718">
        <f t="shared" si="895"/>
        <v>8.3709552235166953</v>
      </c>
      <c r="I427" s="746">
        <v>12</v>
      </c>
      <c r="J427" s="716" t="s">
        <v>46</v>
      </c>
      <c r="K427" s="716" t="s">
        <v>14734</v>
      </c>
      <c r="L427" s="716" t="s">
        <v>14389</v>
      </c>
      <c r="M427" s="716" t="s">
        <v>25</v>
      </c>
      <c r="N427" s="716">
        <f>IFERROR(VLOOKUP(C427,[3]List1!$A:$D,4,FALSE),"N/A!")</f>
        <v>2.6871000000000003E-2</v>
      </c>
      <c r="O427" s="716">
        <f>IFERROR(VLOOKUP(C427,[3]List1!$A:$D,3,FALSE),"N/A!")</f>
        <v>2400</v>
      </c>
      <c r="P427" s="716">
        <f>IFERROR(VLOOKUP(C427,[3]List1!$A:$D,2,FALSE),"N/A!")</f>
        <v>13800</v>
      </c>
      <c r="Q427" s="716" t="s">
        <v>14329</v>
      </c>
      <c r="R427" s="716" t="s">
        <v>24</v>
      </c>
      <c r="S427" s="716" t="str">
        <f>IF($W$17=$AF$1,"červená fólie",IFERROR(VLOOKUP("červená fólie",Jazyky_ceník!$A:$Q,MATCH($W$17,Jazyky_ceník!$A$1:$Q$1,0),FALSE),"!!!"))</f>
        <v>červená fólie</v>
      </c>
      <c r="T427" s="716">
        <v>30</v>
      </c>
      <c r="U427" s="716">
        <v>25</v>
      </c>
      <c r="V427" s="716">
        <v>13</v>
      </c>
      <c r="W427" s="716" t="str">
        <f>IFERROR(VLOOKUP('General price list'!$C427,Popisy!A:P,MATCH($W$17,Popisy!$A$7:$P$7,0),FALSE),"---------------")</f>
        <v>5 různobarevných efektů</v>
      </c>
      <c r="X427" s="716" t="str">
        <f t="shared" si="896"/>
        <v/>
      </c>
      <c r="Y427" s="716" t="str">
        <f t="shared" si="897"/>
        <v/>
      </c>
      <c r="Z427" s="716" t="str">
        <f>HYPERLINK("https://www.klasekpyrotechnics.cz/c2520t14")</f>
        <v>https://www.klasekpyrotechnics.cz/c2520t14</v>
      </c>
      <c r="AA427" s="716">
        <f>IFERROR(IF(VLOOKUP(C427,[4]List1!$A:$D,4,FALSE)=0,"",VLOOKUP(C427,[4]List1!$A:$D,4,FALSE)),"")</f>
        <v>54</v>
      </c>
      <c r="AB427" s="720"/>
      <c r="AC427" s="747" t="str">
        <f>IFERROR(IF(VLOOKUP(C427,[1]List1!$A:$D,2,FALSE)="VYPRODÁNO",$V$9,IF(VLOOKUP(C427,[1]List1!$A:$D,2,FALSE)="DOCHÁZÍ",$V$3,VLOOKUP(C427,[1]List1!$A:$D,2,FALSE))),"OFFLINE!")</f>
        <v>15.09.2024</v>
      </c>
      <c r="AD427" s="748" t="str">
        <f ca="1">IF(AP427="NE",$V$10,IF(AC427=$V$3,IF(AQ427&lt;1,$V$8,$V$2&amp;" "&amp;AQ427&amp;" "&amp;$V$1),IF(AC427="SKLADEM",$V$6,IFERROR(IF(OR(AC427-TODAY()&gt;45,VLOOKUP(C427,[1]List1!$A:$E,4,FALSE)=0),AC427,DAY(AC427)&amp;"."&amp;MONTH(AC427)&amp;"."&amp;YEAR(AC427)&amp;" "&amp;$V$4&amp;VLOOKUP(C427,[1]List1!$A:$E,4,FALSE)&amp;" "&amp;$V$1),AC427))))</f>
        <v>15.09.2024</v>
      </c>
      <c r="AE427" s="716" t="str">
        <f t="shared" ca="1" si="898"/>
        <v>15.09.2024</v>
      </c>
      <c r="AF427" s="723">
        <f t="shared" si="899"/>
        <v>0</v>
      </c>
      <c r="AG427" s="723">
        <f t="shared" si="900"/>
        <v>0</v>
      </c>
      <c r="AH427" s="724">
        <f t="shared" si="901"/>
        <v>0</v>
      </c>
      <c r="AI427" s="716">
        <f t="shared" si="902"/>
        <v>0</v>
      </c>
      <c r="AJ427" s="716">
        <f t="shared" si="903"/>
        <v>0</v>
      </c>
      <c r="AK427" s="716" t="str">
        <f t="shared" si="904"/>
        <v/>
      </c>
      <c r="AL427" s="716" t="str">
        <f t="shared" si="905"/>
        <v/>
      </c>
      <c r="AM427" s="716">
        <f t="shared" si="906"/>
        <v>0</v>
      </c>
      <c r="AN427" s="716">
        <f t="shared" si="907"/>
        <v>0</v>
      </c>
      <c r="AO427" s="380"/>
      <c r="AP427" s="322" t="str">
        <f t="shared" si="844"/>
        <v/>
      </c>
      <c r="AQ427" s="323" t="str">
        <f>IF(AC427=$V$3,IF(VLOOKUP(C427,[1]List1!$A:$E,5,FALSE)=0,1,VLOOKUP(C427,[1]List1!$A:$E,5,FALSE)),"")</f>
        <v/>
      </c>
      <c r="AR427" s="304" t="str">
        <f t="shared" si="845"/>
        <v/>
      </c>
      <c r="AS427" s="423" t="str">
        <f t="shared" si="846"/>
        <v/>
      </c>
      <c r="AT427" s="304" t="str">
        <f t="shared" si="847"/>
        <v/>
      </c>
      <c r="AU427" s="342" t="e">
        <f t="shared" si="848"/>
        <v>#N/A</v>
      </c>
      <c r="AV427" s="304" t="e">
        <f t="shared" si="849"/>
        <v>#N/A</v>
      </c>
      <c r="AX427" s="304">
        <f>IF(AND('General price list'!$J427="F4",'General price list'!$AB427+0&gt;0),1,0)</f>
        <v>0</v>
      </c>
      <c r="AY427" s="304">
        <f t="shared" si="850"/>
        <v>1</v>
      </c>
      <c r="AZ427" s="304">
        <f t="shared" si="851"/>
        <v>0</v>
      </c>
    </row>
    <row r="428" spans="1:52" ht="15" customHeight="1">
      <c r="A428" s="725" t="str">
        <f>Kat.!C425</f>
        <v/>
      </c>
      <c r="B428" s="749">
        <f>IF(AND('General price list'!$J428="F4",$AI$1=FALSE),0,IF(AC428="SKLADEM",1,IF(AC428=$V$3,1,0)))</f>
        <v>1</v>
      </c>
      <c r="C428" s="727" t="s">
        <v>1134</v>
      </c>
      <c r="D428" s="728" t="s">
        <v>1131</v>
      </c>
      <c r="E428" s="729" t="s">
        <v>411</v>
      </c>
      <c r="F428" s="725">
        <f>IFERROR(ROUND(IF($AL$3=2,VLOOKUP(C428,[2]List1!$A:$D,2,FALSE)*1.08,VLOOKUP(C428,[2]List1!$A:$D,2,FALSE)),0),"NEUVEDENO!")</f>
        <v>206</v>
      </c>
      <c r="G428" s="730">
        <f t="shared" si="894"/>
        <v>206</v>
      </c>
      <c r="H428" s="731">
        <f t="shared" si="895"/>
        <v>8.3709552235166953</v>
      </c>
      <c r="I428" s="750">
        <v>12</v>
      </c>
      <c r="J428" s="729" t="s">
        <v>46</v>
      </c>
      <c r="K428" s="729" t="s">
        <v>14734</v>
      </c>
      <c r="L428" s="729" t="s">
        <v>14389</v>
      </c>
      <c r="M428" s="729" t="s">
        <v>25</v>
      </c>
      <c r="N428" s="729">
        <f>IFERROR(VLOOKUP(C428,[3]List1!$A:$D,4,FALSE),"N/A!")</f>
        <v>2.6871000000000003E-2</v>
      </c>
      <c r="O428" s="729">
        <f>IFERROR(VLOOKUP(C428,[3]List1!$A:$D,3,FALSE),"N/A!")</f>
        <v>2400</v>
      </c>
      <c r="P428" s="729">
        <f>IFERROR(VLOOKUP(C428,[3]List1!$A:$D,2,FALSE),"N/A!")</f>
        <v>11600</v>
      </c>
      <c r="Q428" s="729" t="s">
        <v>14097</v>
      </c>
      <c r="R428" s="729" t="s">
        <v>24</v>
      </c>
      <c r="S428" s="729" t="str">
        <f>IF($W$17=$AF$1,"červená fólie",IFERROR(VLOOKUP("červená fólie",Jazyky_ceník!$A:$Q,MATCH($W$17,Jazyky_ceník!$A$1:$Q$1,0),FALSE),"!!!"))</f>
        <v>červená fólie</v>
      </c>
      <c r="T428" s="729">
        <v>30</v>
      </c>
      <c r="U428" s="729">
        <v>25</v>
      </c>
      <c r="V428" s="729">
        <v>13</v>
      </c>
      <c r="W428" s="729" t="str">
        <f>IFERROR(VLOOKUP('General price list'!$C428,Popisy!A:P,MATCH($W$17,Popisy!$A$7:$P$7,0),FALSE),"---------------")</f>
        <v>5 různobarevných efektů</v>
      </c>
      <c r="X428" s="729" t="str">
        <f t="shared" si="896"/>
        <v/>
      </c>
      <c r="Y428" s="729" t="str">
        <f t="shared" si="897"/>
        <v/>
      </c>
      <c r="Z428" s="729" t="str">
        <f>HYPERLINK("https://www.klasekpyrotechnics.cz/c2520se14")</f>
        <v>https://www.klasekpyrotechnics.cz/c2520se14</v>
      </c>
      <c r="AA428" s="729">
        <f>IFERROR(IF(VLOOKUP(C428,[4]List1!$A:$D,4,FALSE)=0,"",VLOOKUP(C428,[4]List1!$A:$D,4,FALSE)),"")</f>
        <v>54</v>
      </c>
      <c r="AB428" s="720"/>
      <c r="AC428" s="751" t="str">
        <f>IFERROR(IF(VLOOKUP(C428,[1]List1!$A:$D,2,FALSE)="VYPRODÁNO",$V$9,IF(VLOOKUP(C428,[1]List1!$A:$D,2,FALSE)="DOCHÁZÍ",$V$3,VLOOKUP(C428,[1]List1!$A:$D,2,FALSE))),"OFFLINE!")</f>
        <v>SKLADEM</v>
      </c>
      <c r="AD428" s="752" t="str">
        <f ca="1">IF(AP428="NE",$V$10,IF(AC428=$V$3,IF(AQ428&lt;1,$V$8,$V$2&amp;" "&amp;AQ428&amp;" "&amp;$V$1),IF(AC428="SKLADEM",$V$6,IFERROR(IF(OR(AC428-TODAY()&gt;45,VLOOKUP(C428,[1]List1!$A:$E,4,FALSE)=0),AC428,DAY(AC428)&amp;"."&amp;MONTH(AC428)&amp;"."&amp;YEAR(AC428)&amp;" "&amp;$V$4&amp;VLOOKUP(C428,[1]List1!$A:$E,4,FALSE)&amp;" "&amp;$V$1),AC428))))</f>
        <v>SKLADEM</v>
      </c>
      <c r="AE428" s="729" t="str">
        <f t="shared" ca="1" si="898"/>
        <v>SKLADEM</v>
      </c>
      <c r="AF428" s="735">
        <f t="shared" si="899"/>
        <v>0</v>
      </c>
      <c r="AG428" s="735">
        <f t="shared" si="900"/>
        <v>0</v>
      </c>
      <c r="AH428" s="736">
        <f t="shared" si="901"/>
        <v>0</v>
      </c>
      <c r="AI428" s="729">
        <f t="shared" si="902"/>
        <v>0</v>
      </c>
      <c r="AJ428" s="729">
        <f t="shared" si="903"/>
        <v>0</v>
      </c>
      <c r="AK428" s="729" t="str">
        <f t="shared" si="904"/>
        <v/>
      </c>
      <c r="AL428" s="729" t="str">
        <f t="shared" si="905"/>
        <v/>
      </c>
      <c r="AM428" s="729">
        <f t="shared" si="906"/>
        <v>0</v>
      </c>
      <c r="AN428" s="729">
        <f t="shared" si="907"/>
        <v>0</v>
      </c>
      <c r="AO428" s="380"/>
      <c r="AP428" s="322" t="str">
        <f t="shared" si="844"/>
        <v/>
      </c>
      <c r="AQ428" s="323" t="str">
        <f>IF(AC428=$V$3,IF(VLOOKUP(C428,[1]List1!$A:$E,5,FALSE)=0,1,VLOOKUP(C428,[1]List1!$A:$E,5,FALSE)),"")</f>
        <v/>
      </c>
      <c r="AR428" s="304" t="str">
        <f t="shared" si="845"/>
        <v/>
      </c>
      <c r="AS428" s="423" t="str">
        <f t="shared" si="846"/>
        <v/>
      </c>
      <c r="AT428" s="304" t="str">
        <f t="shared" si="847"/>
        <v/>
      </c>
      <c r="AU428" s="342" t="e">
        <f t="shared" si="848"/>
        <v>#N/A</v>
      </c>
      <c r="AV428" s="304" t="e">
        <f t="shared" si="849"/>
        <v>#N/A</v>
      </c>
      <c r="AX428" s="304">
        <f>IF(AND('General price list'!$J428="F4",'General price list'!$AB428+0&gt;0),1,0)</f>
        <v>0</v>
      </c>
      <c r="AY428" s="304">
        <f t="shared" si="850"/>
        <v>1</v>
      </c>
      <c r="AZ428" s="304">
        <f t="shared" si="851"/>
        <v>0</v>
      </c>
    </row>
    <row r="429" spans="1:52" ht="15" customHeight="1">
      <c r="A429" s="773" t="str">
        <f>Kat.!C426</f>
        <v xml:space="preserve">                                                               Baterie 49ran, 20mm moždíř-1.3G</v>
      </c>
      <c r="B429" s="774"/>
      <c r="C429" s="774"/>
      <c r="D429" s="774"/>
      <c r="E429" s="774"/>
      <c r="F429" s="774"/>
      <c r="G429" s="774"/>
      <c r="H429" s="774"/>
      <c r="I429" s="774"/>
      <c r="J429" s="774"/>
      <c r="K429" s="774"/>
      <c r="L429" s="774"/>
      <c r="M429" s="774"/>
      <c r="N429" s="774"/>
      <c r="O429" s="774"/>
      <c r="P429" s="774"/>
      <c r="Q429" s="774"/>
      <c r="R429" s="774"/>
      <c r="S429" s="774"/>
      <c r="T429" s="774"/>
      <c r="U429" s="774"/>
      <c r="V429" s="774"/>
      <c r="W429" s="774"/>
      <c r="X429" s="774"/>
      <c r="Y429" s="774"/>
      <c r="Z429" s="774"/>
      <c r="AA429" s="774" t="str">
        <f>IFERROR(IF(VLOOKUP(C429,[4]List1!$A:$D,4,FALSE)=0,"",VLOOKUP(C429,[4]List1!$A:$D,4,FALSE)),"")</f>
        <v/>
      </c>
      <c r="AB429" s="774"/>
      <c r="AC429" s="775" t="str">
        <f>IFERROR(IF(VLOOKUP(C429,[1]List1!$A:$D,2,FALSE)="VYPRODÁNO",$V$9,IF(VLOOKUP(C429,[1]List1!$A:$D,2,FALSE)="DOCHÁZÍ",$V$3,VLOOKUP(C429,[1]List1!$A:$D,2,FALSE))),"OFFLINE!")</f>
        <v>OFFLINE!</v>
      </c>
      <c r="AD429" s="774"/>
      <c r="AE429" s="774"/>
      <c r="AF429" s="774"/>
      <c r="AG429" s="774"/>
      <c r="AH429" s="774"/>
      <c r="AI429" s="774"/>
      <c r="AJ429" s="774"/>
      <c r="AK429" s="774"/>
      <c r="AL429" s="774"/>
      <c r="AM429" s="774"/>
      <c r="AN429" s="774"/>
      <c r="AO429" s="380"/>
      <c r="AP429" s="322" t="str">
        <f t="shared" si="844"/>
        <v/>
      </c>
      <c r="AQ429" s="323" t="str">
        <f>IF(AC429=$V$3,IF(VLOOKUP(C429,[1]List1!$A:$E,5,FALSE)=0,1,VLOOKUP(C429,[1]List1!$A:$E,5,FALSE)),"")</f>
        <v/>
      </c>
      <c r="AR429" s="304" t="str">
        <f t="shared" si="845"/>
        <v/>
      </c>
      <c r="AS429" s="423" t="str">
        <f t="shared" si="846"/>
        <v/>
      </c>
      <c r="AT429" s="304" t="str">
        <f t="shared" si="847"/>
        <v/>
      </c>
      <c r="AU429" s="342" t="e">
        <f t="shared" si="848"/>
        <v>#N/A</v>
      </c>
      <c r="AV429" s="304" t="e">
        <f t="shared" si="849"/>
        <v>#N/A</v>
      </c>
      <c r="AX429" s="304">
        <f>IF(AND('General price list'!$J429="F4",'General price list'!$AB429+0&gt;0),1,0)</f>
        <v>0</v>
      </c>
      <c r="AY429" s="304">
        <f t="shared" si="850"/>
        <v>0</v>
      </c>
      <c r="AZ429" s="304">
        <f t="shared" si="851"/>
        <v>0</v>
      </c>
    </row>
    <row r="430" spans="1:52" ht="15" customHeight="1">
      <c r="A430" s="725" t="str">
        <f>Kat.!C427</f>
        <v/>
      </c>
      <c r="B430" s="741">
        <f>IF(AND('General price list'!$J430="F4",$AI$1=FALSE),0,IF(AC430="SKLADEM",1,IF(AC430=$V$3,1,0)))</f>
        <v>1</v>
      </c>
      <c r="C430" s="727" t="s">
        <v>1156</v>
      </c>
      <c r="D430" s="728" t="s">
        <v>14565</v>
      </c>
      <c r="E430" s="729" t="s">
        <v>435</v>
      </c>
      <c r="F430" s="725">
        <f>IFERROR(ROUND(IF($AL$3=2,VLOOKUP(C430,[2]List1!$A:$D,2,FALSE)*1.08,VLOOKUP(C430,[2]List1!$A:$D,2,FALSE)),0),"NEUVEDENO!")</f>
        <v>379</v>
      </c>
      <c r="G430" s="730">
        <f t="shared" ref="G430:G435" si="908">(F430)*$B$19</f>
        <v>379</v>
      </c>
      <c r="H430" s="731">
        <f t="shared" ref="H430:H435" si="909">G430/$F$19</f>
        <v>15.40093218307198</v>
      </c>
      <c r="I430" s="742">
        <v>8</v>
      </c>
      <c r="J430" s="729" t="s">
        <v>46</v>
      </c>
      <c r="K430" s="729" t="s">
        <v>14820</v>
      </c>
      <c r="L430" s="729" t="s">
        <v>24</v>
      </c>
      <c r="M430" s="729" t="s">
        <v>138</v>
      </c>
      <c r="N430" s="729">
        <f>IFERROR(VLOOKUP(C430,[3]List1!$A:$D,4,FALSE),"N/A!")</f>
        <v>3.4985250000000002E-2</v>
      </c>
      <c r="O430" s="729">
        <f>IFERROR(VLOOKUP(C430,[3]List1!$A:$D,3,FALSE),"N/A!")</f>
        <v>2744</v>
      </c>
      <c r="P430" s="729">
        <f>IFERROR(VLOOKUP(C430,[3]List1!$A:$D,2,FALSE),"N/A!")</f>
        <v>17500</v>
      </c>
      <c r="Q430" s="729" t="s">
        <v>160</v>
      </c>
      <c r="R430" s="729" t="s">
        <v>24</v>
      </c>
      <c r="S430" s="729" t="str">
        <f>IF($W$17=$AF$1,"design",IFERROR(VLOOKUP("design",Jazyky_ceník!$A:$Q,MATCH($W$17,Jazyky_ceník!$A$1:$Q$1,0),FALSE),"!!!"))</f>
        <v>design</v>
      </c>
      <c r="T430" s="729">
        <v>40</v>
      </c>
      <c r="U430" s="729">
        <v>25</v>
      </c>
      <c r="V430" s="729">
        <v>15</v>
      </c>
      <c r="W430" s="729" t="str">
        <f>IFERROR(VLOOKUP('General price list'!$C430,Popisy!A:P,MATCH($W$17,Popisy!$A$7:$P$7,0),FALSE),"---------------")</f>
        <v>7 různobarevných efektů</v>
      </c>
      <c r="X430" s="729" t="str">
        <f t="shared" ref="X430:X435" si="910">IF(AB430&lt;0.0001,"",AB430)</f>
        <v/>
      </c>
      <c r="Y430" s="729" t="str">
        <f t="shared" ref="Y430:Y435" si="911">IF($AL$3=2,IF(OR(AB430&lt;&gt;"",AB430&lt;&gt;0),AU430,""),IF(C430="","",IF(AB430&lt;0.0001,"",IF(B430=0,"",IF(AQ430&lt;AB430,"",AB430)))))</f>
        <v/>
      </c>
      <c r="Z430" s="729" t="str">
        <f>HYPERLINK("https://www.klasekpyrotechnics.cz/c4920bpf")</f>
        <v>https://www.klasekpyrotechnics.cz/c4920bpf</v>
      </c>
      <c r="AA430" s="729">
        <f>IFERROR(IF(VLOOKUP(C430,[4]List1!$A:$D,4,FALSE)=0,"",VLOOKUP(C430,[4]List1!$A:$D,4,FALSE)),"")</f>
        <v>36</v>
      </c>
      <c r="AB430" s="720"/>
      <c r="AC430" s="743" t="str">
        <f>IFERROR(IF(VLOOKUP(C430,[1]List1!$A:$D,2,FALSE)="VYPRODÁNO",$V$9,IF(VLOOKUP(C430,[1]List1!$A:$D,2,FALSE)="DOCHÁZÍ",$V$3,VLOOKUP(C430,[1]List1!$A:$D,2,FALSE))),"OFFLINE!")</f>
        <v>SKLADEM</v>
      </c>
      <c r="AD430" s="744" t="str">
        <f ca="1">IF(AP430="NE",$V$10,IF(AC430=$V$3,IF(AQ430&lt;1,$V$8,$V$2&amp;" "&amp;AQ430&amp;" "&amp;$V$1),IF(AC430="SKLADEM",$V$6,IFERROR(IF(OR(AC430-TODAY()&gt;45,VLOOKUP(C430,[1]List1!$A:$E,4,FALSE)=0),AC430,DAY(AC430)&amp;"."&amp;MONTH(AC430)&amp;"."&amp;YEAR(AC430)&amp;" "&amp;$V$4&amp;VLOOKUP(C430,[1]List1!$A:$E,4,FALSE)&amp;" "&amp;$V$1),AC430))))</f>
        <v>SKLADEM</v>
      </c>
      <c r="AE430" s="729" t="str">
        <f t="shared" ref="AE430:AE435" ca="1" si="912">IFERROR(IF(AV430&lt;&gt;"",AV430,AD430),AD430)</f>
        <v>SKLADEM</v>
      </c>
      <c r="AF430" s="735">
        <f t="shared" ref="AF430:AF435" si="913">IFERROR(IF(AB430=Y430,G430*I430*Y430,0),0)</f>
        <v>0</v>
      </c>
      <c r="AG430" s="735">
        <f t="shared" ref="AG430:AG435" si="914">IF($W$17=$AF$8,AH430*1.23,AF430*1.21)</f>
        <v>0</v>
      </c>
      <c r="AH430" s="736">
        <f t="shared" ref="AH430:AH435" si="915">IFERROR(IF(Y430=AB430,H430*I430*Y430,0),0)</f>
        <v>0</v>
      </c>
      <c r="AI430" s="729">
        <f t="shared" ref="AI430:AI435" si="916">IFERROR(IF(Y430=AB430,(P430*Y430)/1000,1),0)</f>
        <v>0</v>
      </c>
      <c r="AJ430" s="729">
        <f t="shared" ref="AJ430:AJ435" si="917">IFERROR(IF(Y430=AB430,N430*Y430,0.1),0)</f>
        <v>0</v>
      </c>
      <c r="AK430" s="729" t="str">
        <f t="shared" ref="AK430:AK435" si="918">IFERROR(IF(Y430=AB430,IF(M430="1.1G",(O430/1000)*Y430,""),""),0)</f>
        <v/>
      </c>
      <c r="AL430" s="729">
        <f t="shared" ref="AL430:AL435" si="919">IFERROR(IF(Y430=AB430,IF(M430="1.3G",(O430/1000)*AB430,""),""),0)</f>
        <v>0</v>
      </c>
      <c r="AM430" s="729" t="str">
        <f t="shared" ref="AM430:AM435" si="920">IFERROR(IF(Y430=AB430,IF(M430="1.4G",(O430/1000)*AB430,""),""),0)</f>
        <v/>
      </c>
      <c r="AN430" s="729">
        <f t="shared" ref="AN430:AN435" si="921">SUM(AK430:AM430)</f>
        <v>0</v>
      </c>
      <c r="AO430" s="380"/>
      <c r="AP430" s="322" t="str">
        <f t="shared" si="844"/>
        <v/>
      </c>
      <c r="AQ430" s="323" t="str">
        <f>IF(AC430=$V$3,IF(VLOOKUP(C430,[1]List1!$A:$E,5,FALSE)=0,1,VLOOKUP(C430,[1]List1!$A:$E,5,FALSE)),"")</f>
        <v/>
      </c>
      <c r="AR430" s="304" t="str">
        <f t="shared" si="845"/>
        <v/>
      </c>
      <c r="AS430" s="423" t="str">
        <f t="shared" si="846"/>
        <v/>
      </c>
      <c r="AT430" s="304" t="str">
        <f t="shared" si="847"/>
        <v/>
      </c>
      <c r="AU430" s="342" t="e">
        <f t="shared" si="848"/>
        <v>#N/A</v>
      </c>
      <c r="AV430" s="304" t="e">
        <f t="shared" si="849"/>
        <v>#N/A</v>
      </c>
      <c r="AX430" s="304">
        <f>IF(AND('General price list'!$J430="F4",'General price list'!$AB430+0&gt;0),1,0)</f>
        <v>0</v>
      </c>
      <c r="AY430" s="304">
        <f t="shared" si="850"/>
        <v>1</v>
      </c>
      <c r="AZ430" s="304">
        <f t="shared" si="851"/>
        <v>0</v>
      </c>
    </row>
    <row r="431" spans="1:52" ht="15" customHeight="1">
      <c r="A431" s="712" t="str">
        <f>Kat.!C428</f>
        <v/>
      </c>
      <c r="B431" s="745">
        <f>IF(AND('General price list'!$J431="F4",$AI$1=FALSE),0,IF(AC431="SKLADEM",1,IF(AC431=$V$3,1,0)))</f>
        <v>1</v>
      </c>
      <c r="C431" s="714" t="s">
        <v>1158</v>
      </c>
      <c r="D431" s="715" t="s">
        <v>1159</v>
      </c>
      <c r="E431" s="716" t="s">
        <v>435</v>
      </c>
      <c r="F431" s="712">
        <f>IFERROR(ROUND(IF($AL$3=2,VLOOKUP(C431,[2]List1!$A:$D,2,FALSE)*1.08,VLOOKUP(C431,[2]List1!$A:$D,2,FALSE)),0),"NEUVEDENO!")</f>
        <v>399</v>
      </c>
      <c r="G431" s="717">
        <f t="shared" si="908"/>
        <v>399</v>
      </c>
      <c r="H431" s="718">
        <f t="shared" si="909"/>
        <v>16.213646282442532</v>
      </c>
      <c r="I431" s="746">
        <v>8</v>
      </c>
      <c r="J431" s="716" t="s">
        <v>46</v>
      </c>
      <c r="K431" s="716" t="s">
        <v>14734</v>
      </c>
      <c r="L431" s="716" t="s">
        <v>24</v>
      </c>
      <c r="M431" s="716" t="s">
        <v>138</v>
      </c>
      <c r="N431" s="716">
        <f>IFERROR(VLOOKUP(C431,[3]List1!$A:$D,4,FALSE),"N/A!")</f>
        <v>3.4985250000000002E-2</v>
      </c>
      <c r="O431" s="716">
        <f>IFERROR(VLOOKUP(C431,[3]List1!$A:$D,3,FALSE),"N/A!")</f>
        <v>3136</v>
      </c>
      <c r="P431" s="716">
        <f>IFERROR(VLOOKUP(C431,[3]List1!$A:$D,2,FALSE),"N/A!")</f>
        <v>17500</v>
      </c>
      <c r="Q431" s="716" t="s">
        <v>160</v>
      </c>
      <c r="R431" s="716" t="s">
        <v>24</v>
      </c>
      <c r="S431" s="716" t="str">
        <f>IF($W$17=$AF$1,"design",IFERROR(VLOOKUP("design",Jazyky_ceník!$A:$Q,MATCH($W$17,Jazyky_ceník!$A$1:$Q$1,0),FALSE),"!!!"))</f>
        <v>design</v>
      </c>
      <c r="T431" s="716">
        <v>40</v>
      </c>
      <c r="U431" s="716">
        <v>25</v>
      </c>
      <c r="V431" s="716">
        <v>16</v>
      </c>
      <c r="W431" s="716" t="str">
        <f>IFERROR(VLOOKUP('General price list'!$C431,Popisy!A:P,MATCH($W$17,Popisy!$A$7:$P$7,0),FALSE),"---------------")</f>
        <v>7 různobarevných efektů</v>
      </c>
      <c r="X431" s="716" t="str">
        <f t="shared" si="910"/>
        <v/>
      </c>
      <c r="Y431" s="716" t="str">
        <f t="shared" si="911"/>
        <v/>
      </c>
      <c r="Z431" s="716" t="str">
        <f>HYPERLINK("https://www.klasekpyrotechnics.cz/c4920nid")</f>
        <v>https://www.klasekpyrotechnics.cz/c4920nid</v>
      </c>
      <c r="AA431" s="716">
        <f>IFERROR(IF(VLOOKUP(C431,[4]List1!$A:$D,4,FALSE)=0,"",VLOOKUP(C431,[4]List1!$A:$D,4,FALSE)),"")</f>
        <v>36</v>
      </c>
      <c r="AB431" s="720"/>
      <c r="AC431" s="747" t="str">
        <f>IFERROR(IF(VLOOKUP(C431,[1]List1!$A:$D,2,FALSE)="VYPRODÁNO",$V$9,IF(VLOOKUP(C431,[1]List1!$A:$D,2,FALSE)="DOCHÁZÍ",$V$3,VLOOKUP(C431,[1]List1!$A:$D,2,FALSE))),"OFFLINE!")</f>
        <v>SKLADEM</v>
      </c>
      <c r="AD431" s="748" t="str">
        <f ca="1">IF(AP431="NE",$V$10,IF(AC431=$V$3,IF(AQ431&lt;1,$V$8,$V$2&amp;" "&amp;AQ431&amp;" "&amp;$V$1),IF(AC431="SKLADEM",$V$6,IFERROR(IF(OR(AC431-TODAY()&gt;45,VLOOKUP(C431,[1]List1!$A:$E,4,FALSE)=0),AC431,DAY(AC431)&amp;"."&amp;MONTH(AC431)&amp;"."&amp;YEAR(AC431)&amp;" "&amp;$V$4&amp;VLOOKUP(C431,[1]List1!$A:$E,4,FALSE)&amp;" "&amp;$V$1),AC431))))</f>
        <v>SKLADEM</v>
      </c>
      <c r="AE431" s="716" t="str">
        <f t="shared" ca="1" si="912"/>
        <v>SKLADEM</v>
      </c>
      <c r="AF431" s="723">
        <f t="shared" si="913"/>
        <v>0</v>
      </c>
      <c r="AG431" s="723">
        <f t="shared" si="914"/>
        <v>0</v>
      </c>
      <c r="AH431" s="724">
        <f t="shared" si="915"/>
        <v>0</v>
      </c>
      <c r="AI431" s="716">
        <f t="shared" si="916"/>
        <v>0</v>
      </c>
      <c r="AJ431" s="716">
        <f t="shared" si="917"/>
        <v>0</v>
      </c>
      <c r="AK431" s="716" t="str">
        <f t="shared" si="918"/>
        <v/>
      </c>
      <c r="AL431" s="716">
        <f t="shared" si="919"/>
        <v>0</v>
      </c>
      <c r="AM431" s="716" t="str">
        <f t="shared" si="920"/>
        <v/>
      </c>
      <c r="AN431" s="716">
        <f t="shared" si="921"/>
        <v>0</v>
      </c>
      <c r="AO431" s="380"/>
      <c r="AP431" s="322" t="str">
        <f t="shared" si="844"/>
        <v/>
      </c>
      <c r="AQ431" s="323" t="str">
        <f>IF(AC431=$V$3,IF(VLOOKUP(C431,[1]List1!$A:$E,5,FALSE)=0,1,VLOOKUP(C431,[1]List1!$A:$E,5,FALSE)),"")</f>
        <v/>
      </c>
      <c r="AR431" s="304" t="str">
        <f t="shared" si="845"/>
        <v/>
      </c>
      <c r="AS431" s="423" t="str">
        <f t="shared" si="846"/>
        <v/>
      </c>
      <c r="AT431" s="304" t="str">
        <f t="shared" si="847"/>
        <v/>
      </c>
      <c r="AU431" s="342" t="e">
        <f t="shared" si="848"/>
        <v>#N/A</v>
      </c>
      <c r="AV431" s="304" t="e">
        <f t="shared" si="849"/>
        <v>#N/A</v>
      </c>
      <c r="AX431" s="304">
        <f>IF(AND('General price list'!$J431="F4",'General price list'!$AB431+0&gt;0),1,0)</f>
        <v>0</v>
      </c>
      <c r="AY431" s="304">
        <f t="shared" si="850"/>
        <v>1</v>
      </c>
      <c r="AZ431" s="304">
        <f t="shared" si="851"/>
        <v>0</v>
      </c>
    </row>
    <row r="432" spans="1:52" ht="15" customHeight="1">
      <c r="A432" s="725" t="str">
        <f>Kat.!C429</f>
        <v/>
      </c>
      <c r="B432" s="749">
        <f>IF(AND('General price list'!$J432="F4",$AI$1=FALSE),0,IF(AC432="SKLADEM",1,IF(AC432=$V$3,1,0)))</f>
        <v>0</v>
      </c>
      <c r="C432" s="727" t="s">
        <v>1160</v>
      </c>
      <c r="D432" s="728" t="s">
        <v>14566</v>
      </c>
      <c r="E432" s="729" t="s">
        <v>435</v>
      </c>
      <c r="F432" s="725">
        <f>IFERROR(ROUND(IF($AL$3=2,VLOOKUP(C432,[2]List1!$A:$D,2,FALSE)*1.08,VLOOKUP(C432,[2]List1!$A:$D,2,FALSE)),0),"NEUVEDENO!")</f>
        <v>522</v>
      </c>
      <c r="G432" s="730">
        <f t="shared" si="908"/>
        <v>522</v>
      </c>
      <c r="H432" s="731">
        <f t="shared" si="909"/>
        <v>21.211837993571432</v>
      </c>
      <c r="I432" s="750">
        <v>8</v>
      </c>
      <c r="J432" s="729" t="s">
        <v>46</v>
      </c>
      <c r="K432" s="729"/>
      <c r="L432" s="729" t="s">
        <v>24</v>
      </c>
      <c r="M432" s="729" t="s">
        <v>138</v>
      </c>
      <c r="N432" s="729">
        <f>IFERROR(VLOOKUP(C432,[3]List1!$A:$D,4,FALSE),"N/A!")</f>
        <v>3.4985250000000002E-2</v>
      </c>
      <c r="O432" s="729">
        <f>IFERROR(VLOOKUP(C432,[3]List1!$A:$D,3,FALSE),"N/A!")</f>
        <v>3992</v>
      </c>
      <c r="P432" s="729">
        <f>IFERROR(VLOOKUP(C432,[3]List1!$A:$D,2,FALSE),"N/A!")</f>
        <v>18500</v>
      </c>
      <c r="Q432" s="729" t="s">
        <v>160</v>
      </c>
      <c r="R432" s="729" t="s">
        <v>24</v>
      </c>
      <c r="S432" s="729" t="str">
        <f>IF($W$17=$AF$1,"design",IFERROR(VLOOKUP("design",Jazyky_ceník!$A:$Q,MATCH($W$17,Jazyky_ceník!$A$1:$Q$1,0),FALSE),"!!!"))</f>
        <v>design</v>
      </c>
      <c r="T432" s="729">
        <v>40</v>
      </c>
      <c r="U432" s="729">
        <v>27</v>
      </c>
      <c r="V432" s="729">
        <v>18</v>
      </c>
      <c r="W432" s="729" t="str">
        <f>IFERROR(VLOOKUP('General price list'!$C432,Popisy!A:P,MATCH($W$17,Popisy!$A$7:$P$7,0),FALSE),"---------------")</f>
        <v>7 různobarevných efektů</v>
      </c>
      <c r="X432" s="729" t="str">
        <f t="shared" si="910"/>
        <v/>
      </c>
      <c r="Y432" s="729" t="str">
        <f t="shared" si="911"/>
        <v/>
      </c>
      <c r="Z432" s="729" t="str">
        <f>HYPERLINK("https://www.klasekpyrotechnics.cz/c4920sig")</f>
        <v>https://www.klasekpyrotechnics.cz/c4920sig</v>
      </c>
      <c r="AA432" s="729">
        <f>IFERROR(IF(VLOOKUP(C432,[4]List1!$A:$D,4,FALSE)=0,"",VLOOKUP(C432,[4]List1!$A:$D,4,FALSE)),"")</f>
        <v>36</v>
      </c>
      <c r="AB432" s="720"/>
      <c r="AC432" s="751" t="str">
        <f>IFERROR(IF(VLOOKUP(C432,[1]List1!$A:$D,2,FALSE)="VYPRODÁNO",$V$9,IF(VLOOKUP(C432,[1]List1!$A:$D,2,FALSE)="DOCHÁZÍ",$V$3,VLOOKUP(C432,[1]List1!$A:$D,2,FALSE))),"OFFLINE!")</f>
        <v>20.06.2024</v>
      </c>
      <c r="AD432" s="752" t="str">
        <f ca="1">IF(AP432="NE",$V$10,IF(AC432=$V$3,IF(AQ432&lt;1,$V$8,$V$2&amp;" "&amp;AQ432&amp;" "&amp;$V$1),IF(AC432="SKLADEM",$V$6,IFERROR(IF(OR(AC432-TODAY()&gt;45,VLOOKUP(C432,[1]List1!$A:$E,4,FALSE)=0),AC432,DAY(AC432)&amp;"."&amp;MONTH(AC432)&amp;"."&amp;YEAR(AC432)&amp;" "&amp;$V$4&amp;VLOOKUP(C432,[1]List1!$A:$E,4,FALSE)&amp;" "&amp;$V$1),AC432))))</f>
        <v>20.06.2024</v>
      </c>
      <c r="AE432" s="729" t="str">
        <f t="shared" ca="1" si="912"/>
        <v>20.06.2024</v>
      </c>
      <c r="AF432" s="735">
        <f t="shared" si="913"/>
        <v>0</v>
      </c>
      <c r="AG432" s="735">
        <f t="shared" si="914"/>
        <v>0</v>
      </c>
      <c r="AH432" s="736">
        <f t="shared" si="915"/>
        <v>0</v>
      </c>
      <c r="AI432" s="729">
        <f t="shared" si="916"/>
        <v>0</v>
      </c>
      <c r="AJ432" s="729">
        <f t="shared" si="917"/>
        <v>0</v>
      </c>
      <c r="AK432" s="729" t="str">
        <f t="shared" si="918"/>
        <v/>
      </c>
      <c r="AL432" s="729">
        <f t="shared" si="919"/>
        <v>0</v>
      </c>
      <c r="AM432" s="729" t="str">
        <f t="shared" si="920"/>
        <v/>
      </c>
      <c r="AN432" s="729">
        <f t="shared" si="921"/>
        <v>0</v>
      </c>
      <c r="AO432" s="380"/>
      <c r="AP432" s="322" t="str">
        <f t="shared" si="844"/>
        <v/>
      </c>
      <c r="AQ432" s="323" t="str">
        <f>IF(AC432=$V$3,IF(VLOOKUP(C432,[1]List1!$A:$E,5,FALSE)=0,1,VLOOKUP(C432,[1]List1!$A:$E,5,FALSE)),"")</f>
        <v/>
      </c>
      <c r="AR432" s="304" t="str">
        <f t="shared" si="845"/>
        <v/>
      </c>
      <c r="AS432" s="423" t="str">
        <f t="shared" si="846"/>
        <v/>
      </c>
      <c r="AT432" s="304" t="str">
        <f t="shared" si="847"/>
        <v/>
      </c>
      <c r="AU432" s="342" t="e">
        <f t="shared" si="848"/>
        <v>#N/A</v>
      </c>
      <c r="AV432" s="304" t="e">
        <f t="shared" si="849"/>
        <v>#N/A</v>
      </c>
      <c r="AX432" s="304">
        <f>IF(AND('General price list'!$J432="F4",'General price list'!$AB432+0&gt;0),1,0)</f>
        <v>0</v>
      </c>
      <c r="AY432" s="304">
        <f t="shared" si="850"/>
        <v>1</v>
      </c>
      <c r="AZ432" s="304">
        <f t="shared" si="851"/>
        <v>0</v>
      </c>
    </row>
    <row r="433" spans="1:52" ht="15" customHeight="1">
      <c r="A433" s="712" t="str">
        <f>Kat.!C430</f>
        <v/>
      </c>
      <c r="B433" s="745">
        <f>IF(AND('General price list'!$J433="F4",$AI$1=FALSE),0,IF(AC433="SKLADEM",1,IF(AC433=$V$3,1,0)))</f>
        <v>1</v>
      </c>
      <c r="C433" s="714" t="s">
        <v>1161</v>
      </c>
      <c r="D433" s="715" t="s">
        <v>1162</v>
      </c>
      <c r="E433" s="716" t="s">
        <v>435</v>
      </c>
      <c r="F433" s="712">
        <f>IFERROR(ROUND(IF($AL$3=2,VLOOKUP(C433,[2]List1!$A:$D,2,FALSE)*1.08,VLOOKUP(C433,[2]List1!$A:$D,2,FALSE)),0),"NEUVEDENO!")</f>
        <v>399</v>
      </c>
      <c r="G433" s="717">
        <f t="shared" si="908"/>
        <v>399</v>
      </c>
      <c r="H433" s="718">
        <f t="shared" si="909"/>
        <v>16.213646282442532</v>
      </c>
      <c r="I433" s="746">
        <v>8</v>
      </c>
      <c r="J433" s="716" t="s">
        <v>46</v>
      </c>
      <c r="K433" s="716" t="s">
        <v>14734</v>
      </c>
      <c r="L433" s="716" t="s">
        <v>14386</v>
      </c>
      <c r="M433" s="716" t="s">
        <v>138</v>
      </c>
      <c r="N433" s="716">
        <f>IFERROR(VLOOKUP(C433,[3]List1!$A:$D,4,FALSE),"N/A!")</f>
        <v>3.4985250000000002E-2</v>
      </c>
      <c r="O433" s="716">
        <f>IFERROR(VLOOKUP(C433,[3]List1!$A:$D,3,FALSE),"N/A!")</f>
        <v>3136</v>
      </c>
      <c r="P433" s="716">
        <f>IFERROR(VLOOKUP(C433,[3]List1!$A:$D,2,FALSE),"N/A!")</f>
        <v>18400</v>
      </c>
      <c r="Q433" s="716" t="s">
        <v>1110</v>
      </c>
      <c r="R433" s="716" t="s">
        <v>24</v>
      </c>
      <c r="S433" s="716" t="str">
        <f>IF($W$17=$AF$1,"design",IFERROR(VLOOKUP("design",Jazyky_ceník!$A:$Q,MATCH($W$17,Jazyky_ceník!$A$1:$Q$1,0),FALSE),"!!!"))</f>
        <v>design</v>
      </c>
      <c r="T433" s="716">
        <v>40</v>
      </c>
      <c r="U433" s="716">
        <v>25</v>
      </c>
      <c r="V433" s="716">
        <v>16</v>
      </c>
      <c r="W433" s="716" t="str">
        <f>IFERROR(VLOOKUP('General price list'!$C433,Popisy!A:P,MATCH($W$17,Popisy!$A$7:$P$7,0),FALSE),"---------------")</f>
        <v>7 různobarevných efektů</v>
      </c>
      <c r="X433" s="716" t="str">
        <f t="shared" si="910"/>
        <v/>
      </c>
      <c r="Y433" s="716" t="str">
        <f t="shared" si="911"/>
        <v/>
      </c>
      <c r="Z433" s="716" t="str">
        <f>HYPERLINK("https://www.klasekpyrotechnics.cz/c4920dr")</f>
        <v>https://www.klasekpyrotechnics.cz/c4920dr</v>
      </c>
      <c r="AA433" s="716">
        <f>IFERROR(IF(VLOOKUP(C433,[4]List1!$A:$D,4,FALSE)=0,"",VLOOKUP(C433,[4]List1!$A:$D,4,FALSE)),"")</f>
        <v>36</v>
      </c>
      <c r="AB433" s="720"/>
      <c r="AC433" s="747" t="str">
        <f>IFERROR(IF(VLOOKUP(C433,[1]List1!$A:$D,2,FALSE)="VYPRODÁNO",$V$9,IF(VLOOKUP(C433,[1]List1!$A:$D,2,FALSE)="DOCHÁZÍ",$V$3,VLOOKUP(C433,[1]List1!$A:$D,2,FALSE))),"OFFLINE!")</f>
        <v>SKLADEM</v>
      </c>
      <c r="AD433" s="748" t="str">
        <f ca="1">IF(AP433="NE",$V$10,IF(AC433=$V$3,IF(AQ433&lt;1,$V$8,$V$2&amp;" "&amp;AQ433&amp;" "&amp;$V$1),IF(AC433="SKLADEM",$V$6,IFERROR(IF(OR(AC433-TODAY()&gt;45,VLOOKUP(C433,[1]List1!$A:$E,4,FALSE)=0),AC433,DAY(AC433)&amp;"."&amp;MONTH(AC433)&amp;"."&amp;YEAR(AC433)&amp;" "&amp;$V$4&amp;VLOOKUP(C433,[1]List1!$A:$E,4,FALSE)&amp;" "&amp;$V$1),AC433))))</f>
        <v>SKLADEM</v>
      </c>
      <c r="AE433" s="716" t="str">
        <f t="shared" ca="1" si="912"/>
        <v>SKLADEM</v>
      </c>
      <c r="AF433" s="723">
        <f t="shared" si="913"/>
        <v>0</v>
      </c>
      <c r="AG433" s="723">
        <f t="shared" si="914"/>
        <v>0</v>
      </c>
      <c r="AH433" s="724">
        <f t="shared" si="915"/>
        <v>0</v>
      </c>
      <c r="AI433" s="716">
        <f t="shared" si="916"/>
        <v>0</v>
      </c>
      <c r="AJ433" s="716">
        <f t="shared" si="917"/>
        <v>0</v>
      </c>
      <c r="AK433" s="716" t="str">
        <f t="shared" si="918"/>
        <v/>
      </c>
      <c r="AL433" s="716">
        <f t="shared" si="919"/>
        <v>0</v>
      </c>
      <c r="AM433" s="716" t="str">
        <f t="shared" si="920"/>
        <v/>
      </c>
      <c r="AN433" s="716">
        <f t="shared" si="921"/>
        <v>0</v>
      </c>
      <c r="AO433" s="380"/>
      <c r="AP433" s="322" t="str">
        <f t="shared" si="844"/>
        <v/>
      </c>
      <c r="AQ433" s="323" t="str">
        <f>IF(AC433=$V$3,IF(VLOOKUP(C433,[1]List1!$A:$E,5,FALSE)=0,1,VLOOKUP(C433,[1]List1!$A:$E,5,FALSE)),"")</f>
        <v/>
      </c>
      <c r="AR433" s="304" t="str">
        <f t="shared" si="845"/>
        <v/>
      </c>
      <c r="AS433" s="423" t="str">
        <f t="shared" si="846"/>
        <v/>
      </c>
      <c r="AT433" s="304" t="str">
        <f t="shared" si="847"/>
        <v/>
      </c>
      <c r="AU433" s="342" t="e">
        <f t="shared" si="848"/>
        <v>#N/A</v>
      </c>
      <c r="AV433" s="304" t="e">
        <f t="shared" si="849"/>
        <v>#N/A</v>
      </c>
      <c r="AX433" s="304">
        <f>IF(AND('General price list'!$J433="F4",'General price list'!$AB433+0&gt;0),1,0)</f>
        <v>0</v>
      </c>
      <c r="AY433" s="304">
        <f t="shared" si="850"/>
        <v>1</v>
      </c>
      <c r="AZ433" s="304">
        <f t="shared" si="851"/>
        <v>0</v>
      </c>
    </row>
    <row r="434" spans="1:52" ht="15" customHeight="1">
      <c r="A434" s="725" t="str">
        <f>Kat.!C431</f>
        <v/>
      </c>
      <c r="B434" s="749">
        <f>IF(AND('General price list'!$J434="F4",$AI$1=FALSE),0,IF(AC434="SKLADEM",1,IF(AC434=$V$3,1,0)))</f>
        <v>1</v>
      </c>
      <c r="C434" s="727" t="s">
        <v>1163</v>
      </c>
      <c r="D434" s="728" t="s">
        <v>1164</v>
      </c>
      <c r="E434" s="729" t="s">
        <v>435</v>
      </c>
      <c r="F434" s="725">
        <f>IFERROR(ROUND(IF($AL$3=2,VLOOKUP(C434,[2]List1!$A:$D,2,FALSE)*1.08,VLOOKUP(C434,[2]List1!$A:$D,2,FALSE)),0),"NEUVEDENO!")</f>
        <v>399</v>
      </c>
      <c r="G434" s="730">
        <f t="shared" si="908"/>
        <v>399</v>
      </c>
      <c r="H434" s="731">
        <f t="shared" si="909"/>
        <v>16.213646282442532</v>
      </c>
      <c r="I434" s="750">
        <v>8</v>
      </c>
      <c r="J434" s="729" t="s">
        <v>46</v>
      </c>
      <c r="K434" s="729" t="s">
        <v>14734</v>
      </c>
      <c r="L434" s="729" t="s">
        <v>14386</v>
      </c>
      <c r="M434" s="729" t="s">
        <v>138</v>
      </c>
      <c r="N434" s="729">
        <f>IFERROR(VLOOKUP(C434,[3]List1!$A:$D,4,FALSE),"N/A!")</f>
        <v>3.4985250000000002E-2</v>
      </c>
      <c r="O434" s="729">
        <f>IFERROR(VLOOKUP(C434,[3]List1!$A:$D,3,FALSE),"N/A!")</f>
        <v>3136</v>
      </c>
      <c r="P434" s="729">
        <f>IFERROR(VLOOKUP(C434,[3]List1!$A:$D,2,FALSE),"N/A!")</f>
        <v>17000</v>
      </c>
      <c r="Q434" s="729" t="s">
        <v>1110</v>
      </c>
      <c r="R434" s="729" t="s">
        <v>24</v>
      </c>
      <c r="S434" s="729" t="str">
        <f>IF($W$17=$AF$1,"design",IFERROR(VLOOKUP("design",Jazyky_ceník!$A:$Q,MATCH($W$17,Jazyky_ceník!$A$1:$Q$1,0),FALSE),"!!!"))</f>
        <v>design</v>
      </c>
      <c r="T434" s="729">
        <v>40</v>
      </c>
      <c r="U434" s="729">
        <v>25</v>
      </c>
      <c r="V434" s="729">
        <v>16</v>
      </c>
      <c r="W434" s="729" t="str">
        <f>IFERROR(VLOOKUP('General price list'!$C434,Popisy!A:P,MATCH($W$17,Popisy!$A$7:$P$7,0),FALSE),"---------------")</f>
        <v>7 různobarevných efektů</v>
      </c>
      <c r="X434" s="729" t="str">
        <f t="shared" si="910"/>
        <v/>
      </c>
      <c r="Y434" s="729" t="str">
        <f t="shared" si="911"/>
        <v/>
      </c>
      <c r="Z434" s="729" t="str">
        <f>HYPERLINK("https://www.klasekpyrotechnics.cz/c4920k")</f>
        <v>https://www.klasekpyrotechnics.cz/c4920k</v>
      </c>
      <c r="AA434" s="729">
        <f>IFERROR(IF(VLOOKUP(C434,[4]List1!$A:$D,4,FALSE)=0,"",VLOOKUP(C434,[4]List1!$A:$D,4,FALSE)),"")</f>
        <v>36</v>
      </c>
      <c r="AB434" s="720"/>
      <c r="AC434" s="751" t="str">
        <f>IFERROR(IF(VLOOKUP(C434,[1]List1!$A:$D,2,FALSE)="VYPRODÁNO",$V$9,IF(VLOOKUP(C434,[1]List1!$A:$D,2,FALSE)="DOCHÁZÍ",$V$3,VLOOKUP(C434,[1]List1!$A:$D,2,FALSE))),"OFFLINE!")</f>
        <v>SKLADEM</v>
      </c>
      <c r="AD434" s="752" t="str">
        <f ca="1">IF(AP434="NE",$V$10,IF(AC434=$V$3,IF(AQ434&lt;1,$V$8,$V$2&amp;" "&amp;AQ434&amp;" "&amp;$V$1),IF(AC434="SKLADEM",$V$6,IFERROR(IF(OR(AC434-TODAY()&gt;45,VLOOKUP(C434,[1]List1!$A:$E,4,FALSE)=0),AC434,DAY(AC434)&amp;"."&amp;MONTH(AC434)&amp;"."&amp;YEAR(AC434)&amp;" "&amp;$V$4&amp;VLOOKUP(C434,[1]List1!$A:$E,4,FALSE)&amp;" "&amp;$V$1),AC434))))</f>
        <v>SKLADEM</v>
      </c>
      <c r="AE434" s="729" t="str">
        <f t="shared" ca="1" si="912"/>
        <v>SKLADEM</v>
      </c>
      <c r="AF434" s="735">
        <f t="shared" si="913"/>
        <v>0</v>
      </c>
      <c r="AG434" s="735">
        <f t="shared" si="914"/>
        <v>0</v>
      </c>
      <c r="AH434" s="736">
        <f t="shared" si="915"/>
        <v>0</v>
      </c>
      <c r="AI434" s="729">
        <f t="shared" si="916"/>
        <v>0</v>
      </c>
      <c r="AJ434" s="729">
        <f t="shared" si="917"/>
        <v>0</v>
      </c>
      <c r="AK434" s="729" t="str">
        <f t="shared" si="918"/>
        <v/>
      </c>
      <c r="AL434" s="729">
        <f t="shared" si="919"/>
        <v>0</v>
      </c>
      <c r="AM434" s="729" t="str">
        <f t="shared" si="920"/>
        <v/>
      </c>
      <c r="AN434" s="729">
        <f t="shared" si="921"/>
        <v>0</v>
      </c>
      <c r="AO434" s="380"/>
      <c r="AP434" s="322" t="str">
        <f t="shared" si="844"/>
        <v/>
      </c>
      <c r="AQ434" s="323" t="str">
        <f>IF(AC434=$V$3,IF(VLOOKUP(C434,[1]List1!$A:$E,5,FALSE)=0,1,VLOOKUP(C434,[1]List1!$A:$E,5,FALSE)),"")</f>
        <v/>
      </c>
      <c r="AR434" s="304" t="str">
        <f t="shared" si="845"/>
        <v/>
      </c>
      <c r="AS434" s="423" t="str">
        <f t="shared" si="846"/>
        <v/>
      </c>
      <c r="AT434" s="304" t="str">
        <f t="shared" si="847"/>
        <v/>
      </c>
      <c r="AU434" s="342" t="e">
        <f t="shared" si="848"/>
        <v>#N/A</v>
      </c>
      <c r="AV434" s="304" t="e">
        <f t="shared" si="849"/>
        <v>#N/A</v>
      </c>
      <c r="AX434" s="304">
        <f>IF(AND('General price list'!$J434="F4",'General price list'!$AB434+0&gt;0),1,0)</f>
        <v>0</v>
      </c>
      <c r="AY434" s="304">
        <f t="shared" si="850"/>
        <v>1</v>
      </c>
      <c r="AZ434" s="304">
        <f t="shared" si="851"/>
        <v>0</v>
      </c>
    </row>
    <row r="435" spans="1:52" ht="15" customHeight="1">
      <c r="A435" s="712" t="str">
        <f>Kat.!C432</f>
        <v/>
      </c>
      <c r="B435" s="745">
        <f>IF(AND('General price list'!$J435="F4",$AI$1=FALSE),0,IF(AC435="SKLADEM",1,IF(AC435=$V$3,1,0)))</f>
        <v>1</v>
      </c>
      <c r="C435" s="714" t="s">
        <v>1166</v>
      </c>
      <c r="D435" s="715" t="s">
        <v>1167</v>
      </c>
      <c r="E435" s="716" t="s">
        <v>435</v>
      </c>
      <c r="F435" s="712">
        <f>IFERROR(ROUND(IF($AL$3=2,VLOOKUP(C435,[2]List1!$A:$D,2,FALSE)*1.08,VLOOKUP(C435,[2]List1!$A:$D,2,FALSE)),0),"NEUVEDENO!")</f>
        <v>399</v>
      </c>
      <c r="G435" s="717">
        <f t="shared" si="908"/>
        <v>399</v>
      </c>
      <c r="H435" s="718">
        <f t="shared" si="909"/>
        <v>16.213646282442532</v>
      </c>
      <c r="I435" s="746">
        <v>8</v>
      </c>
      <c r="J435" s="716" t="s">
        <v>46</v>
      </c>
      <c r="K435" s="716" t="s">
        <v>14821</v>
      </c>
      <c r="L435" s="716" t="s">
        <v>14386</v>
      </c>
      <c r="M435" s="716" t="s">
        <v>138</v>
      </c>
      <c r="N435" s="716">
        <f>IFERROR(VLOOKUP(C435,[3]List1!$A:$D,4,FALSE),"N/A!")</f>
        <v>3.4985250000000002E-2</v>
      </c>
      <c r="O435" s="716">
        <f>IFERROR(VLOOKUP(C435,[3]List1!$A:$D,3,FALSE),"N/A!")</f>
        <v>3136</v>
      </c>
      <c r="P435" s="716">
        <f>IFERROR(VLOOKUP(C435,[3]List1!$A:$D,2,FALSE),"N/A!")</f>
        <v>17000</v>
      </c>
      <c r="Q435" s="716" t="s">
        <v>1110</v>
      </c>
      <c r="R435" s="716" t="s">
        <v>24</v>
      </c>
      <c r="S435" s="716" t="str">
        <f>IF($W$17=$AF$1,"design",IFERROR(VLOOKUP("design",Jazyky_ceník!$A:$Q,MATCH($W$17,Jazyky_ceník!$A$1:$Q$1,0),FALSE),"!!!"))</f>
        <v>design</v>
      </c>
      <c r="T435" s="716">
        <v>40</v>
      </c>
      <c r="U435" s="716">
        <v>25</v>
      </c>
      <c r="V435" s="716">
        <v>16</v>
      </c>
      <c r="W435" s="716" t="str">
        <f>IFERROR(VLOOKUP('General price list'!$C435,Popisy!A:P,MATCH($W$17,Popisy!$A$7:$P$7,0),FALSE),"---------------")</f>
        <v>7 různobarevných efektů</v>
      </c>
      <c r="X435" s="716" t="str">
        <f t="shared" si="910"/>
        <v/>
      </c>
      <c r="Y435" s="716" t="str">
        <f t="shared" si="911"/>
        <v/>
      </c>
      <c r="Z435" s="716" t="str">
        <f>HYPERLINK("https://www.klasekpyrotechnics.cz/c4920s")</f>
        <v>https://www.klasekpyrotechnics.cz/c4920s</v>
      </c>
      <c r="AA435" s="716">
        <f>IFERROR(IF(VLOOKUP(C435,[4]List1!$A:$D,4,FALSE)=0,"",VLOOKUP(C435,[4]List1!$A:$D,4,FALSE)),"")</f>
        <v>36</v>
      </c>
      <c r="AB435" s="720"/>
      <c r="AC435" s="747" t="str">
        <f>IFERROR(IF(VLOOKUP(C435,[1]List1!$A:$D,2,FALSE)="VYPRODÁNO",$V$9,IF(VLOOKUP(C435,[1]List1!$A:$D,2,FALSE)="DOCHÁZÍ",$V$3,VLOOKUP(C435,[1]List1!$A:$D,2,FALSE))),"OFFLINE!")</f>
        <v>SKLADEM</v>
      </c>
      <c r="AD435" s="748" t="str">
        <f ca="1">IF(AP435="NE",$V$10,IF(AC435=$V$3,IF(AQ435&lt;1,$V$8,$V$2&amp;" "&amp;AQ435&amp;" "&amp;$V$1),IF(AC435="SKLADEM",$V$6,IFERROR(IF(OR(AC435-TODAY()&gt;45,VLOOKUP(C435,[1]List1!$A:$E,4,FALSE)=0),AC435,DAY(AC435)&amp;"."&amp;MONTH(AC435)&amp;"."&amp;YEAR(AC435)&amp;" "&amp;$V$4&amp;VLOOKUP(C435,[1]List1!$A:$E,4,FALSE)&amp;" "&amp;$V$1),AC435))))</f>
        <v>SKLADEM</v>
      </c>
      <c r="AE435" s="716" t="str">
        <f t="shared" ca="1" si="912"/>
        <v>SKLADEM</v>
      </c>
      <c r="AF435" s="723">
        <f t="shared" si="913"/>
        <v>0</v>
      </c>
      <c r="AG435" s="723">
        <f t="shared" si="914"/>
        <v>0</v>
      </c>
      <c r="AH435" s="724">
        <f t="shared" si="915"/>
        <v>0</v>
      </c>
      <c r="AI435" s="716">
        <f t="shared" si="916"/>
        <v>0</v>
      </c>
      <c r="AJ435" s="716">
        <f t="shared" si="917"/>
        <v>0</v>
      </c>
      <c r="AK435" s="716" t="str">
        <f t="shared" si="918"/>
        <v/>
      </c>
      <c r="AL435" s="716">
        <f t="shared" si="919"/>
        <v>0</v>
      </c>
      <c r="AM435" s="716" t="str">
        <f t="shared" si="920"/>
        <v/>
      </c>
      <c r="AN435" s="716">
        <f t="shared" si="921"/>
        <v>0</v>
      </c>
      <c r="AO435" s="380"/>
      <c r="AP435" s="322" t="str">
        <f t="shared" si="844"/>
        <v/>
      </c>
      <c r="AQ435" s="323" t="str">
        <f>IF(AC435=$V$3,IF(VLOOKUP(C435,[1]List1!$A:$E,5,FALSE)=0,1,VLOOKUP(C435,[1]List1!$A:$E,5,FALSE)),"")</f>
        <v/>
      </c>
      <c r="AR435" s="304" t="str">
        <f t="shared" si="845"/>
        <v/>
      </c>
      <c r="AS435" s="423" t="str">
        <f t="shared" si="846"/>
        <v/>
      </c>
      <c r="AT435" s="304" t="str">
        <f t="shared" si="847"/>
        <v/>
      </c>
      <c r="AU435" s="342" t="e">
        <f t="shared" si="848"/>
        <v>#N/A</v>
      </c>
      <c r="AV435" s="304" t="e">
        <f t="shared" si="849"/>
        <v>#N/A</v>
      </c>
      <c r="AX435" s="304">
        <f>IF(AND('General price list'!$J435="F4",'General price list'!$AB435+0&gt;0),1,0)</f>
        <v>0</v>
      </c>
      <c r="AY435" s="304">
        <f t="shared" si="850"/>
        <v>1</v>
      </c>
      <c r="AZ435" s="304">
        <f t="shared" si="851"/>
        <v>0</v>
      </c>
    </row>
    <row r="436" spans="1:52" ht="15" customHeight="1">
      <c r="A436" s="773" t="str">
        <f>Kat.!C433</f>
        <v xml:space="preserve">                                                               Baterie 49ran, 20mm moždíř-1.4G</v>
      </c>
      <c r="B436" s="774"/>
      <c r="C436" s="774"/>
      <c r="D436" s="774"/>
      <c r="E436" s="774"/>
      <c r="F436" s="774"/>
      <c r="G436" s="774"/>
      <c r="H436" s="774"/>
      <c r="I436" s="774"/>
      <c r="J436" s="774"/>
      <c r="K436" s="774"/>
      <c r="L436" s="774"/>
      <c r="M436" s="774"/>
      <c r="N436" s="774"/>
      <c r="O436" s="774"/>
      <c r="P436" s="774"/>
      <c r="Q436" s="774"/>
      <c r="R436" s="774"/>
      <c r="S436" s="774"/>
      <c r="T436" s="774"/>
      <c r="U436" s="774"/>
      <c r="V436" s="774"/>
      <c r="W436" s="774"/>
      <c r="X436" s="774"/>
      <c r="Y436" s="774"/>
      <c r="Z436" s="774"/>
      <c r="AA436" s="774" t="str">
        <f>IFERROR(IF(VLOOKUP(C436,[4]List1!$A:$D,4,FALSE)=0,"",VLOOKUP(C436,[4]List1!$A:$D,4,FALSE)),"")</f>
        <v/>
      </c>
      <c r="AB436" s="774"/>
      <c r="AC436" s="775" t="str">
        <f>IFERROR(IF(VLOOKUP(C436,[1]List1!$A:$D,2,FALSE)="VYPRODÁNO",$V$9,IF(VLOOKUP(C436,[1]List1!$A:$D,2,FALSE)="DOCHÁZÍ",$V$3,VLOOKUP(C436,[1]List1!$A:$D,2,FALSE))),"OFFLINE!")</f>
        <v>OFFLINE!</v>
      </c>
      <c r="AD436" s="774"/>
      <c r="AE436" s="774"/>
      <c r="AF436" s="774"/>
      <c r="AG436" s="774"/>
      <c r="AH436" s="774"/>
      <c r="AI436" s="774"/>
      <c r="AJ436" s="774"/>
      <c r="AK436" s="774"/>
      <c r="AL436" s="774"/>
      <c r="AM436" s="774"/>
      <c r="AN436" s="774"/>
      <c r="AO436" s="380"/>
      <c r="AP436" s="322" t="str">
        <f t="shared" si="844"/>
        <v/>
      </c>
      <c r="AQ436" s="323" t="str">
        <f>IF(AC436=$V$3,IF(VLOOKUP(C436,[1]List1!$A:$E,5,FALSE)=0,1,VLOOKUP(C436,[1]List1!$A:$E,5,FALSE)),"")</f>
        <v/>
      </c>
      <c r="AR436" s="304" t="str">
        <f t="shared" si="845"/>
        <v/>
      </c>
      <c r="AS436" s="423" t="str">
        <f t="shared" si="846"/>
        <v/>
      </c>
      <c r="AT436" s="304" t="str">
        <f t="shared" si="847"/>
        <v/>
      </c>
      <c r="AU436" s="342" t="e">
        <f t="shared" si="848"/>
        <v>#N/A</v>
      </c>
      <c r="AV436" s="304" t="e">
        <f t="shared" si="849"/>
        <v>#N/A</v>
      </c>
      <c r="AX436" s="304">
        <f>IF(AND('General price list'!$J436="F4",'General price list'!$AB436+0&gt;0),1,0)</f>
        <v>0</v>
      </c>
      <c r="AY436" s="304">
        <f t="shared" si="850"/>
        <v>0</v>
      </c>
      <c r="AZ436" s="304">
        <f t="shared" si="851"/>
        <v>0</v>
      </c>
    </row>
    <row r="437" spans="1:52" ht="15" customHeight="1">
      <c r="A437" s="712" t="str">
        <f>Kat.!C434</f>
        <v/>
      </c>
      <c r="B437" s="713">
        <f>IF(AND('General price list'!$J437="F4",$AI$1=FALSE),0,IF(AC437="SKLADEM",1,IF(AC437=$V$3,1,0)))</f>
        <v>1</v>
      </c>
      <c r="C437" s="714" t="s">
        <v>1168</v>
      </c>
      <c r="D437" s="715" t="s">
        <v>14566</v>
      </c>
      <c r="E437" s="716" t="s">
        <v>435</v>
      </c>
      <c r="F437" s="712">
        <f>IFERROR(ROUND(IF($AL$3=2,VLOOKUP(C437,[2]List1!$A:$D,2,FALSE)*1.08,VLOOKUP(C437,[2]List1!$A:$D,2,FALSE)),0),"NEUVEDENO!")</f>
        <v>522</v>
      </c>
      <c r="G437" s="717">
        <f t="shared" ref="G437:G439" si="922">(F437)*$B$19</f>
        <v>522</v>
      </c>
      <c r="H437" s="718">
        <f t="shared" ref="H437:H439" si="923">G437/$F$19</f>
        <v>21.211837993571432</v>
      </c>
      <c r="I437" s="719">
        <v>8</v>
      </c>
      <c r="J437" s="716" t="s">
        <v>46</v>
      </c>
      <c r="K437" s="716"/>
      <c r="L437" s="716" t="s">
        <v>14365</v>
      </c>
      <c r="M437" s="716" t="s">
        <v>25</v>
      </c>
      <c r="N437" s="716">
        <f>IFERROR(VLOOKUP(C437,[3]List1!$A:$D,4,FALSE),"N/A!")</f>
        <v>3.4985250000000002E-2</v>
      </c>
      <c r="O437" s="716">
        <f>IFERROR(VLOOKUP(C437,[3]List1!$A:$D,3,FALSE),"N/A!")</f>
        <v>3992</v>
      </c>
      <c r="P437" s="716">
        <f>IFERROR(VLOOKUP(C437,[3]List1!$A:$D,2,FALSE),"N/A!")</f>
        <v>19000</v>
      </c>
      <c r="Q437" s="716" t="s">
        <v>1165</v>
      </c>
      <c r="R437" s="716" t="s">
        <v>24</v>
      </c>
      <c r="S437" s="716" t="str">
        <f>IF($W$17=$AF$1,"design",IFERROR(VLOOKUP("design",Jazyky_ceník!$A:$Q,MATCH($W$17,Jazyky_ceník!$A$1:$Q$1,0),FALSE),"!!!"))</f>
        <v>design</v>
      </c>
      <c r="T437" s="716">
        <v>45</v>
      </c>
      <c r="U437" s="716">
        <v>27</v>
      </c>
      <c r="V437" s="716">
        <v>15</v>
      </c>
      <c r="W437" s="716" t="str">
        <f>IFERROR(VLOOKUP('General price list'!$C437,Popisy!A:P,MATCH($W$17,Popisy!$A$7:$P$7,0),FALSE),"---------------")</f>
        <v>7 různobarevných efektů</v>
      </c>
      <c r="X437" s="716" t="str">
        <f t="shared" ref="X437:X439" si="924">IF(AB437&lt;0.0001,"",AB437)</f>
        <v/>
      </c>
      <c r="Y437" s="716" t="str">
        <f t="shared" ref="Y437:Y439" si="925">IF($AL$3=2,IF(OR(AB437&lt;&gt;"",AB437&lt;&gt;0),AU437,""),IF(C437="","",IF(AB437&lt;0.0001,"",IF(B437=0,"",IF(AQ437&lt;AB437,"",AB437)))))</f>
        <v/>
      </c>
      <c r="Z437" s="716" t="str">
        <f>HYPERLINK("https://www.klasekpyrotechnics.cz/c4920sig14")</f>
        <v>https://www.klasekpyrotechnics.cz/c4920sig14</v>
      </c>
      <c r="AA437" s="716">
        <f>IFERROR(IF(VLOOKUP(C437,[4]List1!$A:$D,4,FALSE)=0,"",VLOOKUP(C437,[4]List1!$A:$D,4,FALSE)),"")</f>
        <v>36</v>
      </c>
      <c r="AB437" s="720"/>
      <c r="AC437" s="721" t="str">
        <f>IFERROR(IF(VLOOKUP(C437,[1]List1!$A:$D,2,FALSE)="VYPRODÁNO",$V$9,IF(VLOOKUP(C437,[1]List1!$A:$D,2,FALSE)="DOCHÁZÍ",$V$3,VLOOKUP(C437,[1]List1!$A:$D,2,FALSE))),"OFFLINE!")</f>
        <v>SKLADEM</v>
      </c>
      <c r="AD437" s="722" t="str">
        <f ca="1">IF(AP437="NE",$V$10,IF(AC437=$V$3,IF(AQ437&lt;1,$V$8,$V$2&amp;" "&amp;AQ437&amp;" "&amp;$V$1),IF(AC437="SKLADEM",$V$6,IFERROR(IF(OR(AC437-TODAY()&gt;45,VLOOKUP(C437,[1]List1!$A:$E,4,FALSE)=0),AC437,DAY(AC437)&amp;"."&amp;MONTH(AC437)&amp;"."&amp;YEAR(AC437)&amp;" "&amp;$V$4&amp;VLOOKUP(C437,[1]List1!$A:$E,4,FALSE)&amp;" "&amp;$V$1),AC437))))</f>
        <v>SKLADEM</v>
      </c>
      <c r="AE437" s="716" t="str">
        <f t="shared" ref="AE437:AE439" ca="1" si="926">IFERROR(IF(AV437&lt;&gt;"",AV437,AD437),AD437)</f>
        <v>SKLADEM</v>
      </c>
      <c r="AF437" s="723">
        <f t="shared" ref="AF437:AF439" si="927">IFERROR(IF(AB437=Y437,G437*I437*Y437,0),0)</f>
        <v>0</v>
      </c>
      <c r="AG437" s="723">
        <f t="shared" ref="AG437:AG439" si="928">IF($W$17=$AF$8,AH437*1.23,AF437*1.21)</f>
        <v>0</v>
      </c>
      <c r="AH437" s="724">
        <f t="shared" ref="AH437:AH439" si="929">IFERROR(IF(Y437=AB437,H437*I437*Y437,0),0)</f>
        <v>0</v>
      </c>
      <c r="AI437" s="716">
        <f t="shared" ref="AI437:AI439" si="930">IFERROR(IF(Y437=AB437,(P437*Y437)/1000,1),0)</f>
        <v>0</v>
      </c>
      <c r="AJ437" s="716">
        <f t="shared" ref="AJ437:AJ439" si="931">IFERROR(IF(Y437=AB437,N437*Y437,0.1),0)</f>
        <v>0</v>
      </c>
      <c r="AK437" s="716" t="str">
        <f t="shared" ref="AK437:AK439" si="932">IFERROR(IF(Y437=AB437,IF(M437="1.1G",(O437/1000)*Y437,""),""),0)</f>
        <v/>
      </c>
      <c r="AL437" s="716" t="str">
        <f t="shared" ref="AL437:AL439" si="933">IFERROR(IF(Y437=AB437,IF(M437="1.3G",(O437/1000)*AB437,""),""),0)</f>
        <v/>
      </c>
      <c r="AM437" s="716">
        <f t="shared" ref="AM437:AM439" si="934">IFERROR(IF(Y437=AB437,IF(M437="1.4G",(O437/1000)*AB437,""),""),0)</f>
        <v>0</v>
      </c>
      <c r="AN437" s="716">
        <f t="shared" ref="AN437:AN439" si="935">SUM(AK437:AM437)</f>
        <v>0</v>
      </c>
      <c r="AO437" s="380"/>
      <c r="AP437" s="322" t="str">
        <f t="shared" si="844"/>
        <v/>
      </c>
      <c r="AQ437" s="323" t="str">
        <f>IF(AC437=$V$3,IF(VLOOKUP(C437,[1]List1!$A:$E,5,FALSE)=0,1,VLOOKUP(C437,[1]List1!$A:$E,5,FALSE)),"")</f>
        <v/>
      </c>
      <c r="AR437" s="304" t="str">
        <f t="shared" si="845"/>
        <v/>
      </c>
      <c r="AS437" s="423" t="str">
        <f t="shared" si="846"/>
        <v/>
      </c>
      <c r="AT437" s="304" t="str">
        <f t="shared" si="847"/>
        <v/>
      </c>
      <c r="AU437" s="342" t="e">
        <f t="shared" si="848"/>
        <v>#N/A</v>
      </c>
      <c r="AV437" s="304" t="e">
        <f t="shared" si="849"/>
        <v>#N/A</v>
      </c>
      <c r="AX437" s="304">
        <f>IF(AND('General price list'!$J437="F4",'General price list'!$AB437+0&gt;0),1,0)</f>
        <v>0</v>
      </c>
      <c r="AY437" s="304">
        <f t="shared" si="850"/>
        <v>1</v>
      </c>
      <c r="AZ437" s="304">
        <f t="shared" si="851"/>
        <v>0</v>
      </c>
    </row>
    <row r="438" spans="1:52" ht="15" customHeight="1">
      <c r="A438" s="725" t="str">
        <f>Kat.!C435</f>
        <v/>
      </c>
      <c r="B438" s="726">
        <f>IF(AND('General price list'!$J438="F4",$AI$1=FALSE),0,IF(AC438="SKLADEM",1,IF(AC438=$V$3,1,0)))</f>
        <v>1</v>
      </c>
      <c r="C438" s="727" t="s">
        <v>1169</v>
      </c>
      <c r="D438" s="728" t="s">
        <v>1162</v>
      </c>
      <c r="E438" s="729" t="s">
        <v>435</v>
      </c>
      <c r="F438" s="725">
        <f>IFERROR(ROUND(IF($AL$3=2,VLOOKUP(C438,[2]List1!$A:$D,2,FALSE)*1.08,VLOOKUP(C438,[2]List1!$A:$D,2,FALSE)),0),"NEUVEDENO!")</f>
        <v>399</v>
      </c>
      <c r="G438" s="730">
        <f t="shared" si="922"/>
        <v>399</v>
      </c>
      <c r="H438" s="731">
        <f t="shared" si="923"/>
        <v>16.213646282442532</v>
      </c>
      <c r="I438" s="732">
        <v>8</v>
      </c>
      <c r="J438" s="729" t="s">
        <v>46</v>
      </c>
      <c r="K438" s="729" t="s">
        <v>14734</v>
      </c>
      <c r="L438" s="729" t="s">
        <v>14369</v>
      </c>
      <c r="M438" s="729" t="s">
        <v>25</v>
      </c>
      <c r="N438" s="729">
        <f>IFERROR(VLOOKUP(C438,[3]List1!$A:$D,4,FALSE),"N/A!")</f>
        <v>3.4985250000000002E-2</v>
      </c>
      <c r="O438" s="729">
        <f>IFERROR(VLOOKUP(C438,[3]List1!$A:$D,3,FALSE),"N/A!")</f>
        <v>3136</v>
      </c>
      <c r="P438" s="729">
        <f>IFERROR(VLOOKUP(C438,[3]List1!$A:$D,2,FALSE),"N/A!")</f>
        <v>17700</v>
      </c>
      <c r="Q438" s="729" t="s">
        <v>160</v>
      </c>
      <c r="R438" s="729" t="s">
        <v>24</v>
      </c>
      <c r="S438" s="729" t="str">
        <f>IF($W$17=$AF$1,"design",IFERROR(VLOOKUP("design",Jazyky_ceník!$A:$Q,MATCH($W$17,Jazyky_ceník!$A$1:$Q$1,0),FALSE),"!!!"))</f>
        <v>design</v>
      </c>
      <c r="T438" s="729">
        <v>45</v>
      </c>
      <c r="U438" s="729">
        <v>25</v>
      </c>
      <c r="V438" s="729">
        <v>13</v>
      </c>
      <c r="W438" s="729" t="str">
        <f>IFERROR(VLOOKUP('General price list'!$C438,Popisy!A:P,MATCH($W$17,Popisy!$A$7:$P$7,0),FALSE),"---------------")</f>
        <v>7 různobarevných efektů</v>
      </c>
      <c r="X438" s="729" t="str">
        <f t="shared" si="924"/>
        <v/>
      </c>
      <c r="Y438" s="729" t="str">
        <f t="shared" si="925"/>
        <v/>
      </c>
      <c r="Z438" s="729" t="str">
        <f>HYPERLINK("https://www.klasekpyrotechnics.cz/c4920dr14")</f>
        <v>https://www.klasekpyrotechnics.cz/c4920dr14</v>
      </c>
      <c r="AA438" s="729">
        <f>IFERROR(IF(VLOOKUP(C438,[4]List1!$A:$D,4,FALSE)=0,"",VLOOKUP(C438,[4]List1!$A:$D,4,FALSE)),"")</f>
        <v>36</v>
      </c>
      <c r="AB438" s="720"/>
      <c r="AC438" s="733" t="str">
        <f>IFERROR(IF(VLOOKUP(C438,[1]List1!$A:$D,2,FALSE)="VYPRODÁNO",$V$9,IF(VLOOKUP(C438,[1]List1!$A:$D,2,FALSE)="DOCHÁZÍ",$V$3,VLOOKUP(C438,[1]List1!$A:$D,2,FALSE))),"OFFLINE!")</f>
        <v>SKLADEM</v>
      </c>
      <c r="AD438" s="734" t="str">
        <f ca="1">IF(AP438="NE",$V$10,IF(AC438=$V$3,IF(AQ438&lt;1,$V$8,$V$2&amp;" "&amp;AQ438&amp;" "&amp;$V$1),IF(AC438="SKLADEM",$V$6,IFERROR(IF(OR(AC438-TODAY()&gt;45,VLOOKUP(C438,[1]List1!$A:$E,4,FALSE)=0),AC438,DAY(AC438)&amp;"."&amp;MONTH(AC438)&amp;"."&amp;YEAR(AC438)&amp;" "&amp;$V$4&amp;VLOOKUP(C438,[1]List1!$A:$E,4,FALSE)&amp;" "&amp;$V$1),AC438))))</f>
        <v>SKLADEM</v>
      </c>
      <c r="AE438" s="729" t="str">
        <f t="shared" ca="1" si="926"/>
        <v>SKLADEM</v>
      </c>
      <c r="AF438" s="735">
        <f t="shared" si="927"/>
        <v>0</v>
      </c>
      <c r="AG438" s="735">
        <f t="shared" si="928"/>
        <v>0</v>
      </c>
      <c r="AH438" s="736">
        <f t="shared" si="929"/>
        <v>0</v>
      </c>
      <c r="AI438" s="729">
        <f t="shared" si="930"/>
        <v>0</v>
      </c>
      <c r="AJ438" s="729">
        <f t="shared" si="931"/>
        <v>0</v>
      </c>
      <c r="AK438" s="729" t="str">
        <f t="shared" si="932"/>
        <v/>
      </c>
      <c r="AL438" s="729" t="str">
        <f t="shared" si="933"/>
        <v/>
      </c>
      <c r="AM438" s="729">
        <f t="shared" si="934"/>
        <v>0</v>
      </c>
      <c r="AN438" s="729">
        <f t="shared" si="935"/>
        <v>0</v>
      </c>
      <c r="AO438" s="380"/>
      <c r="AP438" s="322" t="str">
        <f t="shared" si="844"/>
        <v/>
      </c>
      <c r="AQ438" s="323" t="str">
        <f>IF(AC438=$V$3,IF(VLOOKUP(C438,[1]List1!$A:$E,5,FALSE)=0,1,VLOOKUP(C438,[1]List1!$A:$E,5,FALSE)),"")</f>
        <v/>
      </c>
      <c r="AR438" s="304" t="str">
        <f t="shared" si="845"/>
        <v/>
      </c>
      <c r="AS438" s="423" t="str">
        <f t="shared" si="846"/>
        <v/>
      </c>
      <c r="AT438" s="304" t="str">
        <f t="shared" si="847"/>
        <v/>
      </c>
      <c r="AU438" s="342" t="e">
        <f t="shared" si="848"/>
        <v>#N/A</v>
      </c>
      <c r="AV438" s="304" t="e">
        <f t="shared" si="849"/>
        <v>#N/A</v>
      </c>
      <c r="AX438" s="304">
        <f>IF(AND('General price list'!$J438="F4",'General price list'!$AB438+0&gt;0),1,0)</f>
        <v>0</v>
      </c>
      <c r="AY438" s="304">
        <f t="shared" si="850"/>
        <v>1</v>
      </c>
      <c r="AZ438" s="304">
        <f t="shared" si="851"/>
        <v>0</v>
      </c>
    </row>
    <row r="439" spans="1:52" ht="15" customHeight="1">
      <c r="A439" s="712" t="str">
        <f>Kat.!C436</f>
        <v/>
      </c>
      <c r="B439" s="737">
        <f>IF(AND('General price list'!$J439="F4",$AI$1=FALSE),0,IF(AC439="SKLADEM",1,IF(AC439=$V$3,1,0)))</f>
        <v>0</v>
      </c>
      <c r="C439" s="714" t="s">
        <v>1171</v>
      </c>
      <c r="D439" s="715" t="s">
        <v>1167</v>
      </c>
      <c r="E439" s="716" t="s">
        <v>435</v>
      </c>
      <c r="F439" s="712">
        <f>IFERROR(ROUND(IF($AL$3=2,VLOOKUP(C439,[2]List1!$A:$D,2,FALSE)*1.08,VLOOKUP(C439,[2]List1!$A:$D,2,FALSE)),0),"NEUVEDENO!")</f>
        <v>399</v>
      </c>
      <c r="G439" s="717">
        <f t="shared" si="922"/>
        <v>399</v>
      </c>
      <c r="H439" s="718">
        <f t="shared" si="923"/>
        <v>16.213646282442532</v>
      </c>
      <c r="I439" s="738">
        <v>8</v>
      </c>
      <c r="J439" s="716" t="s">
        <v>46</v>
      </c>
      <c r="K439" s="716" t="s">
        <v>14821</v>
      </c>
      <c r="L439" s="716" t="s">
        <v>14390</v>
      </c>
      <c r="M439" s="716" t="s">
        <v>25</v>
      </c>
      <c r="N439" s="716">
        <f>IFERROR(VLOOKUP(C439,[3]List1!$A:$D,4,FALSE),"N/A!")</f>
        <v>3.4985250000000002E-2</v>
      </c>
      <c r="O439" s="716">
        <f>IFERROR(VLOOKUP(C439,[3]List1!$A:$D,3,FALSE),"N/A!")</f>
        <v>3136</v>
      </c>
      <c r="P439" s="716">
        <f>IFERROR(VLOOKUP(C439,[3]List1!$A:$D,2,FALSE),"N/A!")</f>
        <v>16500</v>
      </c>
      <c r="Q439" s="716" t="s">
        <v>160</v>
      </c>
      <c r="R439" s="716" t="s">
        <v>24</v>
      </c>
      <c r="S439" s="716" t="str">
        <f>IF($W$17=$AF$1,"design",IFERROR(VLOOKUP("design",Jazyky_ceník!$A:$Q,MATCH($W$17,Jazyky_ceník!$A$1:$Q$1,0),FALSE),"!!!"))</f>
        <v>design</v>
      </c>
      <c r="T439" s="716">
        <v>40</v>
      </c>
      <c r="U439" s="716">
        <v>25</v>
      </c>
      <c r="V439" s="716">
        <v>13</v>
      </c>
      <c r="W439" s="716" t="str">
        <f>IFERROR(VLOOKUP('General price list'!$C439,Popisy!A:P,MATCH($W$17,Popisy!$A$7:$P$7,0),FALSE),"---------------")</f>
        <v>7 různobarevných efektů</v>
      </c>
      <c r="X439" s="716" t="str">
        <f t="shared" si="924"/>
        <v/>
      </c>
      <c r="Y439" s="716" t="str">
        <f t="shared" si="925"/>
        <v/>
      </c>
      <c r="Z439" s="716" t="str">
        <f>HYPERLINK("https://www.klasekpyrotechnics.cz/c4920s14")</f>
        <v>https://www.klasekpyrotechnics.cz/c4920s14</v>
      </c>
      <c r="AA439" s="716">
        <f>IFERROR(IF(VLOOKUP(C439,[4]List1!$A:$D,4,FALSE)=0,"",VLOOKUP(C439,[4]List1!$A:$D,4,FALSE)),"")</f>
        <v>36</v>
      </c>
      <c r="AB439" s="720"/>
      <c r="AC439" s="739" t="str">
        <f>IFERROR(IF(VLOOKUP(C439,[1]List1!$A:$D,2,FALSE)="VYPRODÁNO",$V$9,IF(VLOOKUP(C439,[1]List1!$A:$D,2,FALSE)="DOCHÁZÍ",$V$3,VLOOKUP(C439,[1]List1!$A:$D,2,FALSE))),"OFFLINE!")</f>
        <v>20.06.2024</v>
      </c>
      <c r="AD439" s="740" t="str">
        <f ca="1">IF(AP439="NE",$V$10,IF(AC439=$V$3,IF(AQ439&lt;1,$V$8,$V$2&amp;" "&amp;AQ439&amp;" "&amp;$V$1),IF(AC439="SKLADEM",$V$6,IFERROR(IF(OR(AC439-TODAY()&gt;45,VLOOKUP(C439,[1]List1!$A:$E,4,FALSE)=0),AC439,DAY(AC439)&amp;"."&amp;MONTH(AC439)&amp;"."&amp;YEAR(AC439)&amp;" "&amp;$V$4&amp;VLOOKUP(C439,[1]List1!$A:$E,4,FALSE)&amp;" "&amp;$V$1),AC439))))</f>
        <v>20.06.2024</v>
      </c>
      <c r="AE439" s="716" t="str">
        <f t="shared" ca="1" si="926"/>
        <v>20.06.2024</v>
      </c>
      <c r="AF439" s="723">
        <f t="shared" si="927"/>
        <v>0</v>
      </c>
      <c r="AG439" s="723">
        <f t="shared" si="928"/>
        <v>0</v>
      </c>
      <c r="AH439" s="724">
        <f t="shared" si="929"/>
        <v>0</v>
      </c>
      <c r="AI439" s="716">
        <f t="shared" si="930"/>
        <v>0</v>
      </c>
      <c r="AJ439" s="716">
        <f t="shared" si="931"/>
        <v>0</v>
      </c>
      <c r="AK439" s="716" t="str">
        <f t="shared" si="932"/>
        <v/>
      </c>
      <c r="AL439" s="716" t="str">
        <f t="shared" si="933"/>
        <v/>
      </c>
      <c r="AM439" s="716">
        <f t="shared" si="934"/>
        <v>0</v>
      </c>
      <c r="AN439" s="716">
        <f t="shared" si="935"/>
        <v>0</v>
      </c>
      <c r="AO439" s="380"/>
      <c r="AP439" s="322" t="str">
        <f t="shared" si="844"/>
        <v/>
      </c>
      <c r="AQ439" s="323" t="str">
        <f>IF(AC439=$V$3,IF(VLOOKUP(C439,[1]List1!$A:$E,5,FALSE)=0,1,VLOOKUP(C439,[1]List1!$A:$E,5,FALSE)),"")</f>
        <v/>
      </c>
      <c r="AR439" s="304" t="str">
        <f t="shared" si="845"/>
        <v/>
      </c>
      <c r="AS439" s="423" t="str">
        <f t="shared" si="846"/>
        <v/>
      </c>
      <c r="AT439" s="304" t="str">
        <f t="shared" si="847"/>
        <v/>
      </c>
      <c r="AU439" s="342" t="e">
        <f t="shared" si="848"/>
        <v>#N/A</v>
      </c>
      <c r="AV439" s="304" t="e">
        <f t="shared" si="849"/>
        <v>#N/A</v>
      </c>
      <c r="AX439" s="304">
        <f>IF(AND('General price list'!$J439="F4",'General price list'!$AB439+0&gt;0),1,0)</f>
        <v>0</v>
      </c>
      <c r="AY439" s="304">
        <f t="shared" si="850"/>
        <v>1</v>
      </c>
      <c r="AZ439" s="304">
        <f t="shared" si="851"/>
        <v>0</v>
      </c>
    </row>
    <row r="440" spans="1:52" ht="15" customHeight="1">
      <c r="A440" s="773" t="str">
        <f>Kat.!C437</f>
        <v xml:space="preserve">                                                               Baterie 49ran, 20mm šikmý moždíř-1.3G</v>
      </c>
      <c r="B440" s="774"/>
      <c r="C440" s="774"/>
      <c r="D440" s="774"/>
      <c r="E440" s="774"/>
      <c r="F440" s="774"/>
      <c r="G440" s="774"/>
      <c r="H440" s="774"/>
      <c r="I440" s="774"/>
      <c r="J440" s="774"/>
      <c r="K440" s="774"/>
      <c r="L440" s="774"/>
      <c r="M440" s="774"/>
      <c r="N440" s="774"/>
      <c r="O440" s="774"/>
      <c r="P440" s="774"/>
      <c r="Q440" s="774"/>
      <c r="R440" s="774"/>
      <c r="S440" s="774"/>
      <c r="T440" s="774"/>
      <c r="U440" s="774"/>
      <c r="V440" s="774"/>
      <c r="W440" s="774"/>
      <c r="X440" s="774"/>
      <c r="Y440" s="774"/>
      <c r="Z440" s="774"/>
      <c r="AA440" s="774" t="str">
        <f>IFERROR(IF(VLOOKUP(C440,[4]List1!$A:$D,4,FALSE)=0,"",VLOOKUP(C440,[4]List1!$A:$D,4,FALSE)),"")</f>
        <v/>
      </c>
      <c r="AB440" s="774"/>
      <c r="AC440" s="775" t="str">
        <f>IFERROR(IF(VLOOKUP(C440,[1]List1!$A:$D,2,FALSE)="VYPRODÁNO",$V$9,IF(VLOOKUP(C440,[1]List1!$A:$D,2,FALSE)="DOCHÁZÍ",$V$3,VLOOKUP(C440,[1]List1!$A:$D,2,FALSE))),"OFFLINE!")</f>
        <v>OFFLINE!</v>
      </c>
      <c r="AD440" s="774"/>
      <c r="AE440" s="774"/>
      <c r="AF440" s="774"/>
      <c r="AG440" s="774"/>
      <c r="AH440" s="774"/>
      <c r="AI440" s="774"/>
      <c r="AJ440" s="774"/>
      <c r="AK440" s="774"/>
      <c r="AL440" s="774"/>
      <c r="AM440" s="774"/>
      <c r="AN440" s="774"/>
      <c r="AO440" s="380"/>
      <c r="AP440" s="322" t="str">
        <f t="shared" si="844"/>
        <v/>
      </c>
      <c r="AQ440" s="323" t="str">
        <f>IF(AC440=$V$3,IF(VLOOKUP(C440,[1]List1!$A:$E,5,FALSE)=0,1,VLOOKUP(C440,[1]List1!$A:$E,5,FALSE)),"")</f>
        <v/>
      </c>
      <c r="AR440" s="304" t="str">
        <f t="shared" si="845"/>
        <v/>
      </c>
      <c r="AS440" s="423" t="str">
        <f t="shared" si="846"/>
        <v/>
      </c>
      <c r="AT440" s="304" t="str">
        <f t="shared" si="847"/>
        <v/>
      </c>
      <c r="AU440" s="342" t="e">
        <f t="shared" si="848"/>
        <v>#N/A</v>
      </c>
      <c r="AV440" s="304" t="e">
        <f t="shared" si="849"/>
        <v>#N/A</v>
      </c>
      <c r="AX440" s="304">
        <f>IF(AND('General price list'!$J440="F4",'General price list'!$AB440+0&gt;0),1,0)</f>
        <v>0</v>
      </c>
      <c r="AY440" s="304">
        <f t="shared" si="850"/>
        <v>0</v>
      </c>
      <c r="AZ440" s="304">
        <f t="shared" si="851"/>
        <v>0</v>
      </c>
    </row>
    <row r="441" spans="1:52" ht="15" customHeight="1">
      <c r="A441" s="712" t="str">
        <f>Kat.!C438</f>
        <v/>
      </c>
      <c r="B441" s="713">
        <f>IF(AND('General price list'!$J441="F4",$AI$1=FALSE),0,IF(AC441="SKLADEM",1,IF(AC441=$V$3,1,0)))</f>
        <v>1</v>
      </c>
      <c r="C441" s="714" t="s">
        <v>1172</v>
      </c>
      <c r="D441" s="715" t="s">
        <v>1173</v>
      </c>
      <c r="E441" s="716" t="s">
        <v>1077</v>
      </c>
      <c r="F441" s="712">
        <f>IFERROR(ROUND(IF($AL$3=2,VLOOKUP(C441,[2]List1!$A:$D,2,FALSE)*1.08,VLOOKUP(C441,[2]List1!$A:$D,2,FALSE)),0),"NEUVEDENO!")</f>
        <v>479</v>
      </c>
      <c r="G441" s="717">
        <f t="shared" ref="G441:G444" si="936">(F441)*$B$19</f>
        <v>479</v>
      </c>
      <c r="H441" s="718">
        <f t="shared" ref="H441:H444" si="937">G441/$F$19</f>
        <v>19.464502679924745</v>
      </c>
      <c r="I441" s="719">
        <v>6</v>
      </c>
      <c r="J441" s="716" t="s">
        <v>46</v>
      </c>
      <c r="K441" s="716" t="s">
        <v>14734</v>
      </c>
      <c r="L441" s="716" t="s">
        <v>14386</v>
      </c>
      <c r="M441" s="716" t="s">
        <v>138</v>
      </c>
      <c r="N441" s="716">
        <f>IFERROR(VLOOKUP(C441,[3]List1!$A:$D,4,FALSE),"N/A!")</f>
        <v>4.2600999999999993E-2</v>
      </c>
      <c r="O441" s="716">
        <f>IFERROR(VLOOKUP(C441,[3]List1!$A:$D,3,FALSE),"N/A!")</f>
        <v>2352</v>
      </c>
      <c r="P441" s="716">
        <f>IFERROR(VLOOKUP(C441,[3]List1!$A:$D,2,FALSE),"N/A!")</f>
        <v>15500</v>
      </c>
      <c r="Q441" s="716" t="s">
        <v>14110</v>
      </c>
      <c r="R441" s="716" t="s">
        <v>24</v>
      </c>
      <c r="S441" s="716" t="str">
        <f>IF($W$17=$AF$1,"design",IFERROR(VLOOKUP("design",Jazyky_ceník!$A:$Q,MATCH($W$17,Jazyky_ceník!$A$1:$Q$1,0),FALSE),"!!!"))</f>
        <v>design</v>
      </c>
      <c r="T441" s="716">
        <v>40</v>
      </c>
      <c r="U441" s="716">
        <v>25</v>
      </c>
      <c r="V441" s="716">
        <v>16</v>
      </c>
      <c r="W441" s="716" t="str">
        <f>IFERROR(VLOOKUP('General price list'!$C441,Popisy!A:P,MATCH($W$17,Popisy!$A$7:$P$7,0),FALSE),"---------------")</f>
        <v>7 různobarevných efektů</v>
      </c>
      <c r="X441" s="716" t="str">
        <f t="shared" ref="X441:X444" si="938">IF(AB441&lt;0.0001,"",AB441)</f>
        <v/>
      </c>
      <c r="Y441" s="716" t="str">
        <f t="shared" ref="Y441:Y444" si="939">IF($AL$3=2,IF(OR(AB441&lt;&gt;"",AB441&lt;&gt;0),AU441,""),IF(C441="","",IF(AB441&lt;0.0001,"",IF(B441=0,"",IF(AQ441&lt;AB441,"",AB441)))))</f>
        <v/>
      </c>
      <c r="Z441" s="716" t="str">
        <f>HYPERLINK("https://www.klasekpyrotechnics.cz/cf4920g")</f>
        <v>https://www.klasekpyrotechnics.cz/cf4920g</v>
      </c>
      <c r="AA441" s="716">
        <f>IFERROR(IF(VLOOKUP(C441,[4]List1!$A:$D,4,FALSE)=0,"",VLOOKUP(C441,[4]List1!$A:$D,4,FALSE)),"")</f>
        <v>24</v>
      </c>
      <c r="AB441" s="720"/>
      <c r="AC441" s="721" t="str">
        <f>IFERROR(IF(VLOOKUP(C441,[1]List1!$A:$D,2,FALSE)="VYPRODÁNO",$V$9,IF(VLOOKUP(C441,[1]List1!$A:$D,2,FALSE)="DOCHÁZÍ",$V$3,VLOOKUP(C441,[1]List1!$A:$D,2,FALSE))),"OFFLINE!")</f>
        <v>SKLADEM</v>
      </c>
      <c r="AD441" s="722" t="str">
        <f ca="1">IF(AP441="NE",$V$10,IF(AC441=$V$3,IF(AQ441&lt;1,$V$8,$V$2&amp;" "&amp;AQ441&amp;" "&amp;$V$1),IF(AC441="SKLADEM",$V$6,IFERROR(IF(OR(AC441-TODAY()&gt;45,VLOOKUP(C441,[1]List1!$A:$E,4,FALSE)=0),AC441,DAY(AC441)&amp;"."&amp;MONTH(AC441)&amp;"."&amp;YEAR(AC441)&amp;" "&amp;$V$4&amp;VLOOKUP(C441,[1]List1!$A:$E,4,FALSE)&amp;" "&amp;$V$1),AC441))))</f>
        <v>SKLADEM</v>
      </c>
      <c r="AE441" s="716" t="str">
        <f t="shared" ref="AE441:AE444" ca="1" si="940">IFERROR(IF(AV441&lt;&gt;"",AV441,AD441),AD441)</f>
        <v>SKLADEM</v>
      </c>
      <c r="AF441" s="723">
        <f t="shared" ref="AF441:AF444" si="941">IFERROR(IF(AB441=Y441,G441*I441*Y441,0),0)</f>
        <v>0</v>
      </c>
      <c r="AG441" s="723">
        <f t="shared" ref="AG441:AG444" si="942">IF($W$17=$AF$8,AH441*1.23,AF441*1.21)</f>
        <v>0</v>
      </c>
      <c r="AH441" s="724">
        <f t="shared" ref="AH441:AH444" si="943">IFERROR(IF(Y441=AB441,H441*I441*Y441,0),0)</f>
        <v>0</v>
      </c>
      <c r="AI441" s="716">
        <f t="shared" ref="AI441:AI444" si="944">IFERROR(IF(Y441=AB441,(P441*Y441)/1000,1),0)</f>
        <v>0</v>
      </c>
      <c r="AJ441" s="716">
        <f t="shared" ref="AJ441:AJ444" si="945">IFERROR(IF(Y441=AB441,N441*Y441,0.1),0)</f>
        <v>0</v>
      </c>
      <c r="AK441" s="716" t="str">
        <f t="shared" ref="AK441:AK444" si="946">IFERROR(IF(Y441=AB441,IF(M441="1.1G",(O441/1000)*Y441,""),""),0)</f>
        <v/>
      </c>
      <c r="AL441" s="716">
        <f t="shared" ref="AL441:AL444" si="947">IFERROR(IF(Y441=AB441,IF(M441="1.3G",(O441/1000)*AB441,""),""),0)</f>
        <v>0</v>
      </c>
      <c r="AM441" s="716" t="str">
        <f t="shared" ref="AM441:AM444" si="948">IFERROR(IF(Y441=AB441,IF(M441="1.4G",(O441/1000)*AB441,""),""),0)</f>
        <v/>
      </c>
      <c r="AN441" s="716">
        <f t="shared" ref="AN441:AN444" si="949">SUM(AK441:AM441)</f>
        <v>0</v>
      </c>
      <c r="AO441" s="380"/>
      <c r="AP441" s="322" t="str">
        <f t="shared" si="844"/>
        <v/>
      </c>
      <c r="AQ441" s="323" t="str">
        <f>IF(AC441=$V$3,IF(VLOOKUP(C441,[1]List1!$A:$E,5,FALSE)=0,1,VLOOKUP(C441,[1]List1!$A:$E,5,FALSE)),"")</f>
        <v/>
      </c>
      <c r="AR441" s="304" t="str">
        <f t="shared" si="845"/>
        <v/>
      </c>
      <c r="AS441" s="423" t="str">
        <f t="shared" si="846"/>
        <v/>
      </c>
      <c r="AT441" s="304" t="str">
        <f t="shared" si="847"/>
        <v/>
      </c>
      <c r="AU441" s="342" t="e">
        <f t="shared" si="848"/>
        <v>#N/A</v>
      </c>
      <c r="AV441" s="304" t="e">
        <f t="shared" si="849"/>
        <v>#N/A</v>
      </c>
      <c r="AX441" s="304">
        <f>IF(AND('General price list'!$J441="F4",'General price list'!$AB441+0&gt;0),1,0)</f>
        <v>0</v>
      </c>
      <c r="AY441" s="304">
        <f t="shared" si="850"/>
        <v>1</v>
      </c>
      <c r="AZ441" s="304">
        <f t="shared" si="851"/>
        <v>0</v>
      </c>
    </row>
    <row r="442" spans="1:52" ht="15" customHeight="1">
      <c r="A442" s="725" t="str">
        <f>Kat.!C439</f>
        <v/>
      </c>
      <c r="B442" s="726">
        <f>IF(AND('General price list'!$J442="F4",$AI$1=FALSE),0,IF(AC442="SKLADEM",1,IF(AC442=$V$3,1,0)))</f>
        <v>0</v>
      </c>
      <c r="C442" s="727" t="s">
        <v>1174</v>
      </c>
      <c r="D442" s="728" t="s">
        <v>1175</v>
      </c>
      <c r="E442" s="729" t="s">
        <v>1077</v>
      </c>
      <c r="F442" s="725">
        <f>IFERROR(ROUND(IF($AL$3=2,VLOOKUP(C442,[2]List1!$A:$D,2,FALSE)*1.08,VLOOKUP(C442,[2]List1!$A:$D,2,FALSE)),0),"NEUVEDENO!")</f>
        <v>479</v>
      </c>
      <c r="G442" s="730">
        <f t="shared" si="936"/>
        <v>479</v>
      </c>
      <c r="H442" s="731">
        <f t="shared" si="937"/>
        <v>19.464502679924745</v>
      </c>
      <c r="I442" s="732">
        <v>6</v>
      </c>
      <c r="J442" s="729" t="s">
        <v>46</v>
      </c>
      <c r="K442" s="729" t="s">
        <v>14734</v>
      </c>
      <c r="L442" s="729" t="s">
        <v>14386</v>
      </c>
      <c r="M442" s="729" t="s">
        <v>138</v>
      </c>
      <c r="N442" s="729">
        <f>IFERROR(VLOOKUP(C442,[3]List1!$A:$D,4,FALSE),"N/A!")</f>
        <v>4.2600999999999993E-2</v>
      </c>
      <c r="O442" s="729">
        <f>IFERROR(VLOOKUP(C442,[3]List1!$A:$D,3,FALSE),"N/A!")</f>
        <v>2352</v>
      </c>
      <c r="P442" s="729">
        <f>IFERROR(VLOOKUP(C442,[3]List1!$A:$D,2,FALSE),"N/A!")</f>
        <v>15500</v>
      </c>
      <c r="Q442" s="729" t="s">
        <v>14110</v>
      </c>
      <c r="R442" s="729" t="s">
        <v>24</v>
      </c>
      <c r="S442" s="729" t="str">
        <f>IF($W$17=$AF$1,"design",IFERROR(VLOOKUP("design",Jazyky_ceník!$A:$Q,MATCH($W$17,Jazyky_ceník!$A$1:$Q$1,0),FALSE),"!!!"))</f>
        <v>design</v>
      </c>
      <c r="T442" s="729">
        <v>40</v>
      </c>
      <c r="U442" s="729">
        <v>25</v>
      </c>
      <c r="V442" s="729">
        <v>16</v>
      </c>
      <c r="W442" s="729" t="str">
        <f>IFERROR(VLOOKUP('General price list'!$C442,Popisy!A:P,MATCH($W$17,Popisy!$A$7:$P$7,0),FALSE),"---------------")</f>
        <v>7 různobarevných efektů</v>
      </c>
      <c r="X442" s="729" t="str">
        <f t="shared" si="938"/>
        <v/>
      </c>
      <c r="Y442" s="729" t="str">
        <f t="shared" si="939"/>
        <v/>
      </c>
      <c r="Z442" s="729" t="str">
        <f>HYPERLINK("https://www.klasekpyrotechnics.cz/cf4920j")</f>
        <v>https://www.klasekpyrotechnics.cz/cf4920j</v>
      </c>
      <c r="AA442" s="729">
        <f>IFERROR(IF(VLOOKUP(C442,[4]List1!$A:$D,4,FALSE)=0,"",VLOOKUP(C442,[4]List1!$A:$D,4,FALSE)),"")</f>
        <v>24</v>
      </c>
      <c r="AB442" s="720"/>
      <c r="AC442" s="733" t="str">
        <f>IFERROR(IF(VLOOKUP(C442,[1]List1!$A:$D,2,FALSE)="VYPRODÁNO",$V$9,IF(VLOOKUP(C442,[1]List1!$A:$D,2,FALSE)="DOCHÁZÍ",$V$3,VLOOKUP(C442,[1]List1!$A:$D,2,FALSE))),"OFFLINE!")</f>
        <v>30.09.2024</v>
      </c>
      <c r="AD442" s="734" t="str">
        <f ca="1">IF(AP442="NE",$V$10,IF(AC442=$V$3,IF(AQ442&lt;1,$V$8,$V$2&amp;" "&amp;AQ442&amp;" "&amp;$V$1),IF(AC442="SKLADEM",$V$6,IFERROR(IF(OR(AC442-TODAY()&gt;45,VLOOKUP(C442,[1]List1!$A:$E,4,FALSE)=0),AC442,DAY(AC442)&amp;"."&amp;MONTH(AC442)&amp;"."&amp;YEAR(AC442)&amp;" "&amp;$V$4&amp;VLOOKUP(C442,[1]List1!$A:$E,4,FALSE)&amp;" "&amp;$V$1),AC442))))</f>
        <v>30.09.2024</v>
      </c>
      <c r="AE442" s="729" t="str">
        <f t="shared" ca="1" si="940"/>
        <v>30.09.2024</v>
      </c>
      <c r="AF442" s="735">
        <f t="shared" si="941"/>
        <v>0</v>
      </c>
      <c r="AG442" s="735">
        <f t="shared" si="942"/>
        <v>0</v>
      </c>
      <c r="AH442" s="736">
        <f t="shared" si="943"/>
        <v>0</v>
      </c>
      <c r="AI442" s="729">
        <f t="shared" si="944"/>
        <v>0</v>
      </c>
      <c r="AJ442" s="729">
        <f t="shared" si="945"/>
        <v>0</v>
      </c>
      <c r="AK442" s="729" t="str">
        <f t="shared" si="946"/>
        <v/>
      </c>
      <c r="AL442" s="729">
        <f t="shared" si="947"/>
        <v>0</v>
      </c>
      <c r="AM442" s="729" t="str">
        <f t="shared" si="948"/>
        <v/>
      </c>
      <c r="AN442" s="729">
        <f t="shared" si="949"/>
        <v>0</v>
      </c>
      <c r="AO442" s="380"/>
      <c r="AP442" s="322" t="str">
        <f t="shared" si="844"/>
        <v/>
      </c>
      <c r="AQ442" s="323" t="str">
        <f>IF(AC442=$V$3,IF(VLOOKUP(C442,[1]List1!$A:$E,5,FALSE)=0,1,VLOOKUP(C442,[1]List1!$A:$E,5,FALSE)),"")</f>
        <v/>
      </c>
      <c r="AR442" s="304" t="str">
        <f t="shared" si="845"/>
        <v/>
      </c>
      <c r="AS442" s="423" t="str">
        <f t="shared" si="846"/>
        <v/>
      </c>
      <c r="AT442" s="304" t="str">
        <f t="shared" si="847"/>
        <v/>
      </c>
      <c r="AU442" s="342" t="e">
        <f t="shared" si="848"/>
        <v>#N/A</v>
      </c>
      <c r="AV442" s="304" t="e">
        <f t="shared" si="849"/>
        <v>#N/A</v>
      </c>
      <c r="AX442" s="304">
        <f>IF(AND('General price list'!$J442="F4",'General price list'!$AB442+0&gt;0),1,0)</f>
        <v>0</v>
      </c>
      <c r="AY442" s="304">
        <f t="shared" si="850"/>
        <v>1</v>
      </c>
      <c r="AZ442" s="304">
        <f t="shared" si="851"/>
        <v>0</v>
      </c>
    </row>
    <row r="443" spans="1:52" ht="15" customHeight="1">
      <c r="A443" s="712" t="str">
        <f>Kat.!C440</f>
        <v>×</v>
      </c>
      <c r="B443" s="737">
        <f>IF(AND('General price list'!$J443="F4",$AI$1=FALSE),0,IF(AC443="SKLADEM",1,IF(AC443=$V$3,1,0)))</f>
        <v>1</v>
      </c>
      <c r="C443" s="714" t="s">
        <v>1176</v>
      </c>
      <c r="D443" s="715" t="s">
        <v>1177</v>
      </c>
      <c r="E443" s="716" t="s">
        <v>1077</v>
      </c>
      <c r="F443" s="712">
        <f>IFERROR(ROUND(IF($AL$3=2,VLOOKUP(C443,[2]List1!$A:$D,2,FALSE)*1.08,VLOOKUP(C443,[2]List1!$A:$D,2,FALSE)),0),"NEUVEDENO!")</f>
        <v>479</v>
      </c>
      <c r="G443" s="717">
        <f t="shared" si="936"/>
        <v>479</v>
      </c>
      <c r="H443" s="718">
        <f t="shared" si="937"/>
        <v>19.464502679924745</v>
      </c>
      <c r="I443" s="738">
        <v>6</v>
      </c>
      <c r="J443" s="716" t="s">
        <v>46</v>
      </c>
      <c r="K443" s="716" t="s">
        <v>14734</v>
      </c>
      <c r="L443" s="716" t="s">
        <v>14386</v>
      </c>
      <c r="M443" s="716" t="s">
        <v>138</v>
      </c>
      <c r="N443" s="716">
        <f>IFERROR(VLOOKUP(C443,[3]List1!$A:$D,4,FALSE),"N/A!")</f>
        <v>4.2600999999999993E-2</v>
      </c>
      <c r="O443" s="716">
        <f>IFERROR(VLOOKUP(C443,[3]List1!$A:$D,3,FALSE),"N/A!")</f>
        <v>2352</v>
      </c>
      <c r="P443" s="716">
        <f>IFERROR(VLOOKUP(C443,[3]List1!$A:$D,2,FALSE),"N/A!")</f>
        <v>15500</v>
      </c>
      <c r="Q443" s="716" t="s">
        <v>14110</v>
      </c>
      <c r="R443" s="716" t="s">
        <v>24</v>
      </c>
      <c r="S443" s="716" t="str">
        <f>IF($W$17=$AF$1,"design",IFERROR(VLOOKUP("design",Jazyky_ceník!$A:$Q,MATCH($W$17,Jazyky_ceník!$A$1:$Q$1,0),FALSE),"!!!"))</f>
        <v>design</v>
      </c>
      <c r="T443" s="716">
        <v>30</v>
      </c>
      <c r="U443" s="716">
        <v>25</v>
      </c>
      <c r="V443" s="716">
        <v>16</v>
      </c>
      <c r="W443" s="716" t="str">
        <f>IFERROR(VLOOKUP('General price list'!$C443,Popisy!A:P,MATCH($W$17,Popisy!$A$7:$P$7,0),FALSE),"---------------")</f>
        <v>7 různobarevných efektů</v>
      </c>
      <c r="X443" s="716" t="str">
        <f t="shared" si="938"/>
        <v/>
      </c>
      <c r="Y443" s="716" t="str">
        <f t="shared" si="939"/>
        <v/>
      </c>
      <c r="Z443" s="716" t="str">
        <f>HYPERLINK("https://www.klasekpyrotechnics.cz/cf4920a")</f>
        <v>https://www.klasekpyrotechnics.cz/cf4920a</v>
      </c>
      <c r="AA443" s="716">
        <f>IFERROR(IF(VLOOKUP(C443,[4]List1!$A:$D,4,FALSE)=0,"",VLOOKUP(C443,[4]List1!$A:$D,4,FALSE)),"")</f>
        <v>24</v>
      </c>
      <c r="AB443" s="720"/>
      <c r="AC443" s="739" t="str">
        <f>IFERROR(IF(VLOOKUP(C443,[1]List1!$A:$D,2,FALSE)="VYPRODÁNO",$V$9,IF(VLOOKUP(C443,[1]List1!$A:$D,2,FALSE)="DOCHÁZÍ",$V$3,VLOOKUP(C443,[1]List1!$A:$D,2,FALSE))),"OFFLINE!")</f>
        <v>SKLADEM</v>
      </c>
      <c r="AD443" s="740" t="str">
        <f ca="1">IF(AP443="NE",$V$10,IF(AC443=$V$3,IF(AQ443&lt;1,$V$8,$V$2&amp;" "&amp;AQ443&amp;" "&amp;$V$1),IF(AC443="SKLADEM",$V$6,IFERROR(IF(OR(AC443-TODAY()&gt;45,VLOOKUP(C443,[1]List1!$A:$E,4,FALSE)=0),AC443,DAY(AC443)&amp;"."&amp;MONTH(AC443)&amp;"."&amp;YEAR(AC443)&amp;" "&amp;$V$4&amp;VLOOKUP(C443,[1]List1!$A:$E,4,FALSE)&amp;" "&amp;$V$1),AC443))))</f>
        <v>SKLADEM</v>
      </c>
      <c r="AE443" s="716" t="str">
        <f t="shared" ca="1" si="940"/>
        <v>SKLADEM</v>
      </c>
      <c r="AF443" s="723">
        <f t="shared" si="941"/>
        <v>0</v>
      </c>
      <c r="AG443" s="723">
        <f t="shared" si="942"/>
        <v>0</v>
      </c>
      <c r="AH443" s="724">
        <f t="shared" si="943"/>
        <v>0</v>
      </c>
      <c r="AI443" s="716">
        <f t="shared" si="944"/>
        <v>0</v>
      </c>
      <c r="AJ443" s="716">
        <f t="shared" si="945"/>
        <v>0</v>
      </c>
      <c r="AK443" s="716" t="str">
        <f t="shared" si="946"/>
        <v/>
      </c>
      <c r="AL443" s="716">
        <f t="shared" si="947"/>
        <v>0</v>
      </c>
      <c r="AM443" s="716" t="str">
        <f t="shared" si="948"/>
        <v/>
      </c>
      <c r="AN443" s="716">
        <f t="shared" si="949"/>
        <v>0</v>
      </c>
      <c r="AO443" s="380"/>
      <c r="AP443" s="322" t="str">
        <f t="shared" si="844"/>
        <v/>
      </c>
      <c r="AQ443" s="323" t="str">
        <f>IF(AC443=$V$3,IF(VLOOKUP(C443,[1]List1!$A:$E,5,FALSE)=0,1,VLOOKUP(C443,[1]List1!$A:$E,5,FALSE)),"")</f>
        <v/>
      </c>
      <c r="AR443" s="304" t="str">
        <f t="shared" si="845"/>
        <v/>
      </c>
      <c r="AS443" s="423" t="str">
        <f t="shared" si="846"/>
        <v/>
      </c>
      <c r="AT443" s="304" t="str">
        <f t="shared" si="847"/>
        <v/>
      </c>
      <c r="AU443" s="342" t="e">
        <f t="shared" si="848"/>
        <v>#N/A</v>
      </c>
      <c r="AV443" s="304" t="e">
        <f t="shared" si="849"/>
        <v>#N/A</v>
      </c>
      <c r="AX443" s="304">
        <f>IF(AND('General price list'!$J443="F4",'General price list'!$AB443+0&gt;0),1,0)</f>
        <v>0</v>
      </c>
      <c r="AY443" s="304">
        <f t="shared" si="850"/>
        <v>1</v>
      </c>
      <c r="AZ443" s="304">
        <f t="shared" si="851"/>
        <v>0</v>
      </c>
    </row>
    <row r="444" spans="1:52" ht="15" customHeight="1">
      <c r="A444" s="725" t="str">
        <f>Kat.!C441</f>
        <v/>
      </c>
      <c r="B444" s="726">
        <f>IF(AND('General price list'!$J444="F4",$AI$1=FALSE),0,IF(AC444="SKLADEM",1,IF(AC444=$V$3,1,0)))</f>
        <v>1</v>
      </c>
      <c r="C444" s="727" t="s">
        <v>1179</v>
      </c>
      <c r="D444" s="728" t="s">
        <v>1180</v>
      </c>
      <c r="E444" s="729" t="s">
        <v>1077</v>
      </c>
      <c r="F444" s="725">
        <f>IFERROR(ROUND(IF($AL$3=2,VLOOKUP(C444,[2]List1!$A:$D,2,FALSE)*1.08,VLOOKUP(C444,[2]List1!$A:$D,2,FALSE)),0),"NEUVEDENO!")</f>
        <v>479</v>
      </c>
      <c r="G444" s="730">
        <f t="shared" si="936"/>
        <v>479</v>
      </c>
      <c r="H444" s="731">
        <f t="shared" si="937"/>
        <v>19.464502679924745</v>
      </c>
      <c r="I444" s="732">
        <v>6</v>
      </c>
      <c r="J444" s="729" t="s">
        <v>46</v>
      </c>
      <c r="K444" s="729" t="s">
        <v>14734</v>
      </c>
      <c r="L444" s="729" t="s">
        <v>14386</v>
      </c>
      <c r="M444" s="729" t="s">
        <v>138</v>
      </c>
      <c r="N444" s="729">
        <f>IFERROR(VLOOKUP(C444,[3]List1!$A:$D,4,FALSE),"N/A!")</f>
        <v>4.2600999999999993E-2</v>
      </c>
      <c r="O444" s="729">
        <f>IFERROR(VLOOKUP(C444,[3]List1!$A:$D,3,FALSE),"N/A!")</f>
        <v>2352</v>
      </c>
      <c r="P444" s="729">
        <f>IFERROR(VLOOKUP(C444,[3]List1!$A:$D,2,FALSE),"N/A!")</f>
        <v>15500</v>
      </c>
      <c r="Q444" s="729" t="s">
        <v>14154</v>
      </c>
      <c r="R444" s="729" t="s">
        <v>24</v>
      </c>
      <c r="S444" s="729" t="str">
        <f>IF($W$17=$AF$1,"design",IFERROR(VLOOKUP("design",Jazyky_ceník!$A:$Q,MATCH($W$17,Jazyky_ceník!$A$1:$Q$1,0),FALSE),"!!!"))</f>
        <v>design</v>
      </c>
      <c r="T444" s="729">
        <v>30</v>
      </c>
      <c r="U444" s="729">
        <v>25</v>
      </c>
      <c r="V444" s="729">
        <v>16</v>
      </c>
      <c r="W444" s="729" t="str">
        <f>IFERROR(VLOOKUP('General price list'!$C444,Popisy!A:P,MATCH($W$17,Popisy!$A$7:$P$7,0),FALSE),"---------------")</f>
        <v>brokátová koruna s fialovými konci</v>
      </c>
      <c r="X444" s="729" t="str">
        <f t="shared" si="938"/>
        <v/>
      </c>
      <c r="Y444" s="729" t="str">
        <f t="shared" si="939"/>
        <v/>
      </c>
      <c r="Z444" s="729" t="str">
        <f>HYPERLINK("https://www.klasekpyrotechnics.cz/cf4920vip")</f>
        <v>https://www.klasekpyrotechnics.cz/cf4920vip</v>
      </c>
      <c r="AA444" s="729">
        <f>IFERROR(IF(VLOOKUP(C444,[4]List1!$A:$D,4,FALSE)=0,"",VLOOKUP(C444,[4]List1!$A:$D,4,FALSE)),"")</f>
        <v>24</v>
      </c>
      <c r="AB444" s="720"/>
      <c r="AC444" s="733" t="str">
        <f>IFERROR(IF(VLOOKUP(C444,[1]List1!$A:$D,2,FALSE)="VYPRODÁNO",$V$9,IF(VLOOKUP(C444,[1]List1!$A:$D,2,FALSE)="DOCHÁZÍ",$V$3,VLOOKUP(C444,[1]List1!$A:$D,2,FALSE))),"OFFLINE!")</f>
        <v>SKLADEM</v>
      </c>
      <c r="AD444" s="734" t="str">
        <f ca="1">IF(AP444="NE",$V$10,IF(AC444=$V$3,IF(AQ444&lt;1,$V$8,$V$2&amp;" "&amp;AQ444&amp;" "&amp;$V$1),IF(AC444="SKLADEM",$V$6,IFERROR(IF(OR(AC444-TODAY()&gt;45,VLOOKUP(C444,[1]List1!$A:$E,4,FALSE)=0),AC444,DAY(AC444)&amp;"."&amp;MONTH(AC444)&amp;"."&amp;YEAR(AC444)&amp;" "&amp;$V$4&amp;VLOOKUP(C444,[1]List1!$A:$E,4,FALSE)&amp;" "&amp;$V$1),AC444))))</f>
        <v>SKLADEM</v>
      </c>
      <c r="AE444" s="729" t="str">
        <f t="shared" ca="1" si="940"/>
        <v>SKLADEM</v>
      </c>
      <c r="AF444" s="735">
        <f t="shared" si="941"/>
        <v>0</v>
      </c>
      <c r="AG444" s="735">
        <f t="shared" si="942"/>
        <v>0</v>
      </c>
      <c r="AH444" s="736">
        <f t="shared" si="943"/>
        <v>0</v>
      </c>
      <c r="AI444" s="729">
        <f t="shared" si="944"/>
        <v>0</v>
      </c>
      <c r="AJ444" s="729">
        <f t="shared" si="945"/>
        <v>0</v>
      </c>
      <c r="AK444" s="729" t="str">
        <f t="shared" si="946"/>
        <v/>
      </c>
      <c r="AL444" s="729">
        <f t="shared" si="947"/>
        <v>0</v>
      </c>
      <c r="AM444" s="729" t="str">
        <f t="shared" si="948"/>
        <v/>
      </c>
      <c r="AN444" s="729">
        <f t="shared" si="949"/>
        <v>0</v>
      </c>
      <c r="AO444" s="380"/>
      <c r="AP444" s="322" t="str">
        <f t="shared" si="844"/>
        <v/>
      </c>
      <c r="AQ444" s="323" t="str">
        <f>IF(AC444=$V$3,IF(VLOOKUP(C444,[1]List1!$A:$E,5,FALSE)=0,1,VLOOKUP(C444,[1]List1!$A:$E,5,FALSE)),"")</f>
        <v/>
      </c>
      <c r="AR444" s="304" t="str">
        <f t="shared" si="845"/>
        <v/>
      </c>
      <c r="AS444" s="423" t="str">
        <f t="shared" si="846"/>
        <v/>
      </c>
      <c r="AT444" s="304" t="str">
        <f t="shared" si="847"/>
        <v/>
      </c>
      <c r="AU444" s="342" t="e">
        <f t="shared" si="848"/>
        <v>#N/A</v>
      </c>
      <c r="AV444" s="304" t="e">
        <f t="shared" si="849"/>
        <v>#N/A</v>
      </c>
      <c r="AX444" s="304">
        <f>IF(AND('General price list'!$J444="F4",'General price list'!$AB444+0&gt;0),1,0)</f>
        <v>0</v>
      </c>
      <c r="AY444" s="304">
        <f t="shared" si="850"/>
        <v>1</v>
      </c>
      <c r="AZ444" s="304">
        <f t="shared" si="851"/>
        <v>0</v>
      </c>
    </row>
    <row r="445" spans="1:52" ht="15" customHeight="1">
      <c r="A445" s="773" t="str">
        <f>Kat.!C442</f>
        <v xml:space="preserve">                                                               Baterie 49ran, 20mm šikmý moždíř-1.4G</v>
      </c>
      <c r="B445" s="774"/>
      <c r="C445" s="774"/>
      <c r="D445" s="774"/>
      <c r="E445" s="774"/>
      <c r="F445" s="774"/>
      <c r="G445" s="774"/>
      <c r="H445" s="774"/>
      <c r="I445" s="774"/>
      <c r="J445" s="774"/>
      <c r="K445" s="774"/>
      <c r="L445" s="774"/>
      <c r="M445" s="774"/>
      <c r="N445" s="774"/>
      <c r="O445" s="774"/>
      <c r="P445" s="774"/>
      <c r="Q445" s="774"/>
      <c r="R445" s="774"/>
      <c r="S445" s="774"/>
      <c r="T445" s="774"/>
      <c r="U445" s="774"/>
      <c r="V445" s="774"/>
      <c r="W445" s="774"/>
      <c r="X445" s="774"/>
      <c r="Y445" s="774"/>
      <c r="Z445" s="774"/>
      <c r="AA445" s="774" t="str">
        <f>IFERROR(IF(VLOOKUP(C445,[4]List1!$A:$D,4,FALSE)=0,"",VLOOKUP(C445,[4]List1!$A:$D,4,FALSE)),"")</f>
        <v/>
      </c>
      <c r="AB445" s="774"/>
      <c r="AC445" s="775" t="str">
        <f>IFERROR(IF(VLOOKUP(C445,[1]List1!$A:$D,2,FALSE)="VYPRODÁNO",$V$9,IF(VLOOKUP(C445,[1]List1!$A:$D,2,FALSE)="DOCHÁZÍ",$V$3,VLOOKUP(C445,[1]List1!$A:$D,2,FALSE))),"OFFLINE!")</f>
        <v>OFFLINE!</v>
      </c>
      <c r="AD445" s="774"/>
      <c r="AE445" s="774"/>
      <c r="AF445" s="774"/>
      <c r="AG445" s="774"/>
      <c r="AH445" s="774"/>
      <c r="AI445" s="774"/>
      <c r="AJ445" s="774"/>
      <c r="AK445" s="774"/>
      <c r="AL445" s="774"/>
      <c r="AM445" s="774"/>
      <c r="AN445" s="774"/>
      <c r="AO445" s="380"/>
      <c r="AP445" s="322" t="str">
        <f t="shared" si="844"/>
        <v/>
      </c>
      <c r="AQ445" s="323" t="str">
        <f>IF(AC445=$V$3,IF(VLOOKUP(C445,[1]List1!$A:$E,5,FALSE)=0,1,VLOOKUP(C445,[1]List1!$A:$E,5,FALSE)),"")</f>
        <v/>
      </c>
      <c r="AR445" s="304" t="str">
        <f t="shared" si="845"/>
        <v/>
      </c>
      <c r="AS445" s="423" t="str">
        <f t="shared" si="846"/>
        <v/>
      </c>
      <c r="AT445" s="304" t="str">
        <f t="shared" si="847"/>
        <v/>
      </c>
      <c r="AU445" s="342" t="e">
        <f t="shared" si="848"/>
        <v>#N/A</v>
      </c>
      <c r="AV445" s="304" t="e">
        <f t="shared" si="849"/>
        <v>#N/A</v>
      </c>
      <c r="AX445" s="304">
        <f>IF(AND('General price list'!$J445="F4",'General price list'!$AB445+0&gt;0),1,0)</f>
        <v>0</v>
      </c>
      <c r="AY445" s="304">
        <f t="shared" si="850"/>
        <v>0</v>
      </c>
      <c r="AZ445" s="304">
        <f t="shared" si="851"/>
        <v>0</v>
      </c>
    </row>
    <row r="446" spans="1:52" ht="15" customHeight="1">
      <c r="A446" s="725" t="str">
        <f>Kat.!C443</f>
        <v/>
      </c>
      <c r="B446" s="741">
        <f>IF(AND('General price list'!$J446="F4",$AI$1=FALSE),0,IF(AC446="SKLADEM",1,IF(AC446=$V$3,1,0)))</f>
        <v>0</v>
      </c>
      <c r="C446" s="727" t="s">
        <v>1178</v>
      </c>
      <c r="D446" s="728" t="s">
        <v>1173</v>
      </c>
      <c r="E446" s="729" t="s">
        <v>1077</v>
      </c>
      <c r="F446" s="725">
        <f>IFERROR(ROUND(IF($AL$3=2,VLOOKUP(C446,[2]List1!$A:$D,2,FALSE)*1.08,VLOOKUP(C446,[2]List1!$A:$D,2,FALSE)),0),"NEUVEDENO!")</f>
        <v>479</v>
      </c>
      <c r="G446" s="730">
        <f>(F446)*$B$19</f>
        <v>479</v>
      </c>
      <c r="H446" s="731">
        <f>G446/$F$19</f>
        <v>19.464502679924745</v>
      </c>
      <c r="I446" s="742">
        <v>6</v>
      </c>
      <c r="J446" s="729" t="s">
        <v>46</v>
      </c>
      <c r="K446" s="729" t="s">
        <v>14734</v>
      </c>
      <c r="L446" s="729" t="s">
        <v>14391</v>
      </c>
      <c r="M446" s="729" t="s">
        <v>25</v>
      </c>
      <c r="N446" s="729">
        <f>IFERROR(VLOOKUP(C446,[3]List1!$A:$D,4,FALSE),"N/A!")</f>
        <v>4.2600999999999993E-2</v>
      </c>
      <c r="O446" s="729">
        <f>IFERROR(VLOOKUP(C446,[3]List1!$A:$D,3,FALSE),"N/A!")</f>
        <v>2352</v>
      </c>
      <c r="P446" s="729">
        <f>IFERROR(VLOOKUP(C446,[3]List1!$A:$D,2,FALSE),"N/A!")</f>
        <v>15500</v>
      </c>
      <c r="Q446" s="729" t="s">
        <v>1165</v>
      </c>
      <c r="R446" s="729" t="s">
        <v>24</v>
      </c>
      <c r="S446" s="729" t="str">
        <f>IF($W$17=$AF$1,"design",IFERROR(VLOOKUP("design",Jazyky_ceník!$A:$Q,MATCH($W$17,Jazyky_ceník!$A$1:$Q$1,0),FALSE),"!!!"))</f>
        <v>design</v>
      </c>
      <c r="T446" s="729">
        <v>45</v>
      </c>
      <c r="U446" s="729">
        <v>25</v>
      </c>
      <c r="V446" s="729">
        <v>13</v>
      </c>
      <c r="W446" s="729" t="str">
        <f>IFERROR(VLOOKUP('General price list'!$C446,Popisy!A:P,MATCH($W$17,Popisy!$A$7:$P$7,0),FALSE),"---------------")</f>
        <v>7 různobarevných efektů</v>
      </c>
      <c r="X446" s="729" t="str">
        <f>IF(AB446&lt;0.0001,"",AB446)</f>
        <v/>
      </c>
      <c r="Y446" s="729" t="str">
        <f>IF($AL$3=2,IF(OR(AB446&lt;&gt;"",AB446&lt;&gt;0),AU446,""),IF(C446="","",IF(AB446&lt;0.0001,"",IF(B446=0,"",IF(AQ446&lt;AB446,"",AB446)))))</f>
        <v/>
      </c>
      <c r="Z446" s="729" t="str">
        <f>HYPERLINK("https://www.klasekpyrotechnics.cz/cf4920g14")</f>
        <v>https://www.klasekpyrotechnics.cz/cf4920g14</v>
      </c>
      <c r="AA446" s="729">
        <f>IFERROR(IF(VLOOKUP(C446,[4]List1!$A:$D,4,FALSE)=0,"",VLOOKUP(C446,[4]List1!$A:$D,4,FALSE)),"")</f>
        <v>24</v>
      </c>
      <c r="AB446" s="720"/>
      <c r="AC446" s="743" t="str">
        <f>IFERROR(IF(VLOOKUP(C446,[1]List1!$A:$D,2,FALSE)="VYPRODÁNO",$V$9,IF(VLOOKUP(C446,[1]List1!$A:$D,2,FALSE)="DOCHÁZÍ",$V$3,VLOOKUP(C446,[1]List1!$A:$D,2,FALSE))),"OFFLINE!")</f>
        <v>30.09.2024</v>
      </c>
      <c r="AD446" s="744" t="str">
        <f ca="1">IF(AP446="NE",$V$10,IF(AC446=$V$3,IF(AQ446&lt;1,$V$8,$V$2&amp;" "&amp;AQ446&amp;" "&amp;$V$1),IF(AC446="SKLADEM",$V$6,IFERROR(IF(OR(AC446-TODAY()&gt;45,VLOOKUP(C446,[1]List1!$A:$E,4,FALSE)=0),AC446,DAY(AC446)&amp;"."&amp;MONTH(AC446)&amp;"."&amp;YEAR(AC446)&amp;" "&amp;$V$4&amp;VLOOKUP(C446,[1]List1!$A:$E,4,FALSE)&amp;" "&amp;$V$1),AC446))))</f>
        <v>30.09.2024</v>
      </c>
      <c r="AE446" s="729" t="str">
        <f t="shared" ref="AE446" ca="1" si="950">IFERROR(IF(AV446&lt;&gt;"",AV446,AD446),AD446)</f>
        <v>30.09.2024</v>
      </c>
      <c r="AF446" s="735">
        <f t="shared" ref="AF446" si="951">IFERROR(IF(AB446=Y446,G446*I446*Y446,0),0)</f>
        <v>0</v>
      </c>
      <c r="AG446" s="735">
        <f t="shared" ref="AG446" si="952">IF($W$17=$AF$8,AH446*1.23,AF446*1.21)</f>
        <v>0</v>
      </c>
      <c r="AH446" s="736">
        <f t="shared" ref="AH446" si="953">IFERROR(IF(Y446=AB446,H446*I446*Y446,0),0)</f>
        <v>0</v>
      </c>
      <c r="AI446" s="729">
        <f t="shared" ref="AI446" si="954">IFERROR(IF(Y446=AB446,(P446*Y446)/1000,1),0)</f>
        <v>0</v>
      </c>
      <c r="AJ446" s="729">
        <f t="shared" ref="AJ446" si="955">IFERROR(IF(Y446=AB446,N446*Y446,0.1),0)</f>
        <v>0</v>
      </c>
      <c r="AK446" s="729" t="str">
        <f t="shared" ref="AK446" si="956">IFERROR(IF(Y446=AB446,IF(M446="1.1G",(O446/1000)*Y446,""),""),0)</f>
        <v/>
      </c>
      <c r="AL446" s="729" t="str">
        <f t="shared" ref="AL446" si="957">IFERROR(IF(Y446=AB446,IF(M446="1.3G",(O446/1000)*AB446,""),""),0)</f>
        <v/>
      </c>
      <c r="AM446" s="729">
        <f t="shared" ref="AM446" si="958">IFERROR(IF(Y446=AB446,IF(M446="1.4G",(O446/1000)*AB446,""),""),0)</f>
        <v>0</v>
      </c>
      <c r="AN446" s="729">
        <f t="shared" ref="AN446" si="959">SUM(AK446:AM446)</f>
        <v>0</v>
      </c>
      <c r="AO446" s="380"/>
      <c r="AP446" s="322" t="str">
        <f t="shared" si="844"/>
        <v/>
      </c>
      <c r="AQ446" s="323" t="str">
        <f>IF(AC446=$V$3,IF(VLOOKUP(C446,[1]List1!$A:$E,5,FALSE)=0,1,VLOOKUP(C446,[1]List1!$A:$E,5,FALSE)),"")</f>
        <v/>
      </c>
      <c r="AR446" s="304" t="str">
        <f t="shared" si="845"/>
        <v/>
      </c>
      <c r="AS446" s="423" t="str">
        <f t="shared" si="846"/>
        <v/>
      </c>
      <c r="AT446" s="304" t="str">
        <f t="shared" si="847"/>
        <v/>
      </c>
      <c r="AU446" s="342" t="e">
        <f t="shared" si="848"/>
        <v>#N/A</v>
      </c>
      <c r="AV446" s="304" t="e">
        <f t="shared" si="849"/>
        <v>#N/A</v>
      </c>
      <c r="AX446" s="304">
        <f>IF(AND('General price list'!$J446="F4",'General price list'!$AB446+0&gt;0),1,0)</f>
        <v>0</v>
      </c>
      <c r="AY446" s="304">
        <f t="shared" si="850"/>
        <v>1</v>
      </c>
      <c r="AZ446" s="304">
        <f t="shared" si="851"/>
        <v>0</v>
      </c>
    </row>
    <row r="447" spans="1:52" ht="15" customHeight="1">
      <c r="A447" s="773" t="str">
        <f>Kat.!C444</f>
        <v xml:space="preserve">                                                               Baterie 64ran, 20mm moždíř-1.3G</v>
      </c>
      <c r="B447" s="774"/>
      <c r="C447" s="774"/>
      <c r="D447" s="774"/>
      <c r="E447" s="774"/>
      <c r="F447" s="774"/>
      <c r="G447" s="774"/>
      <c r="H447" s="774"/>
      <c r="I447" s="774"/>
      <c r="J447" s="774"/>
      <c r="K447" s="774"/>
      <c r="L447" s="774"/>
      <c r="M447" s="774"/>
      <c r="N447" s="774"/>
      <c r="O447" s="774"/>
      <c r="P447" s="774"/>
      <c r="Q447" s="774"/>
      <c r="R447" s="774"/>
      <c r="S447" s="774"/>
      <c r="T447" s="774"/>
      <c r="U447" s="774"/>
      <c r="V447" s="774"/>
      <c r="W447" s="774"/>
      <c r="X447" s="774"/>
      <c r="Y447" s="774"/>
      <c r="Z447" s="774"/>
      <c r="AA447" s="774" t="str">
        <f>IFERROR(IF(VLOOKUP(C447,[4]List1!$A:$D,4,FALSE)=0,"",VLOOKUP(C447,[4]List1!$A:$D,4,FALSE)),"")</f>
        <v/>
      </c>
      <c r="AB447" s="774"/>
      <c r="AC447" s="775" t="str">
        <f>IFERROR(IF(VLOOKUP(C447,[1]List1!$A:$D,2,FALSE)="VYPRODÁNO",$V$9,IF(VLOOKUP(C447,[1]List1!$A:$D,2,FALSE)="DOCHÁZÍ",$V$3,VLOOKUP(C447,[1]List1!$A:$D,2,FALSE))),"OFFLINE!")</f>
        <v>OFFLINE!</v>
      </c>
      <c r="AD447" s="774"/>
      <c r="AE447" s="774"/>
      <c r="AF447" s="774"/>
      <c r="AG447" s="774"/>
      <c r="AH447" s="774"/>
      <c r="AI447" s="774"/>
      <c r="AJ447" s="774"/>
      <c r="AK447" s="774"/>
      <c r="AL447" s="774"/>
      <c r="AM447" s="774"/>
      <c r="AN447" s="774"/>
      <c r="AO447" s="380"/>
      <c r="AP447" s="322" t="str">
        <f t="shared" si="844"/>
        <v/>
      </c>
      <c r="AQ447" s="323" t="str">
        <f>IF(AC447=$V$3,IF(VLOOKUP(C447,[1]List1!$A:$E,5,FALSE)=0,1,VLOOKUP(C447,[1]List1!$A:$E,5,FALSE)),"")</f>
        <v/>
      </c>
      <c r="AR447" s="304" t="str">
        <f t="shared" si="845"/>
        <v/>
      </c>
      <c r="AS447" s="423" t="str">
        <f t="shared" si="846"/>
        <v/>
      </c>
      <c r="AT447" s="304" t="str">
        <f t="shared" si="847"/>
        <v/>
      </c>
      <c r="AU447" s="342" t="e">
        <f t="shared" si="848"/>
        <v>#N/A</v>
      </c>
      <c r="AV447" s="304" t="e">
        <f t="shared" si="849"/>
        <v>#N/A</v>
      </c>
      <c r="AX447" s="304">
        <f>IF(AND('General price list'!$J447="F4",'General price list'!$AB447+0&gt;0),1,0)</f>
        <v>0</v>
      </c>
      <c r="AY447" s="304">
        <f t="shared" si="850"/>
        <v>0</v>
      </c>
      <c r="AZ447" s="304">
        <f t="shared" si="851"/>
        <v>0</v>
      </c>
    </row>
    <row r="448" spans="1:52" ht="15" customHeight="1">
      <c r="A448" s="725" t="str">
        <f>Kat.!C445</f>
        <v>×</v>
      </c>
      <c r="B448" s="741">
        <f>IF(AND('General price list'!$J448="F4",$AI$1=FALSE),0,IF(AC448="SKLADEM",1,IF(AC448=$V$3,1,0)))</f>
        <v>1</v>
      </c>
      <c r="C448" s="727" t="s">
        <v>2530</v>
      </c>
      <c r="D448" s="728" t="s">
        <v>14567</v>
      </c>
      <c r="E448" s="729" t="s">
        <v>1077</v>
      </c>
      <c r="F448" s="725">
        <f>IFERROR(ROUND(IF($AL$3=2,VLOOKUP(C448,[2]List1!$A:$D,2,FALSE)*1.08,VLOOKUP(C448,[2]List1!$A:$D,2,FALSE)),0),"NEUVEDENO!")</f>
        <v>499</v>
      </c>
      <c r="G448" s="730">
        <f t="shared" ref="G448:G451" si="960">(F448)*$B$19</f>
        <v>499</v>
      </c>
      <c r="H448" s="731">
        <f t="shared" ref="H448:H451" si="961">G448/$F$19</f>
        <v>20.277216779295298</v>
      </c>
      <c r="I448" s="742">
        <v>6</v>
      </c>
      <c r="J448" s="729" t="s">
        <v>46</v>
      </c>
      <c r="K448" s="729" t="s">
        <v>14734</v>
      </c>
      <c r="L448" s="729" t="s">
        <v>24</v>
      </c>
      <c r="M448" s="729" t="s">
        <v>138</v>
      </c>
      <c r="N448" s="729">
        <f>IFERROR(VLOOKUP(C448,[3]List1!$A:$D,4,FALSE),"N/A!")</f>
        <v>3.6456000000000002E-2</v>
      </c>
      <c r="O448" s="729">
        <f>IFERROR(VLOOKUP(C448,[3]List1!$A:$D,3,FALSE),"N/A!")</f>
        <v>2688</v>
      </c>
      <c r="P448" s="729">
        <f>IFERROR(VLOOKUP(C448,[3]List1!$A:$D,2,FALSE),"N/A!")</f>
        <v>16000</v>
      </c>
      <c r="Q448" s="729" t="s">
        <v>1283</v>
      </c>
      <c r="R448" s="729" t="s">
        <v>24</v>
      </c>
      <c r="S448" s="729" t="str">
        <f>IF($W$17=$AF$1,"design",IFERROR(VLOOKUP("design",Jazyky_ceník!$A:$Q,MATCH($W$17,Jazyky_ceník!$A$1:$Q$1,0),FALSE),"!!!"))</f>
        <v>design</v>
      </c>
      <c r="T448" s="729">
        <v>55</v>
      </c>
      <c r="U448" s="729">
        <v>25</v>
      </c>
      <c r="V448" s="729">
        <v>15</v>
      </c>
      <c r="W448" s="729" t="str">
        <f>IFERROR(VLOOKUP('General price list'!$C448,Popisy!A:P,MATCH($W$17,Popisy!$A$7:$P$7,0),FALSE),"---------------")</f>
        <v>8 různobarevných efektů</v>
      </c>
      <c r="X448" s="729" t="str">
        <f t="shared" ref="X448:X451" si="962">IF(AB448&lt;0.0001,"",AB448)</f>
        <v/>
      </c>
      <c r="Y448" s="729" t="str">
        <f t="shared" ref="Y448:Y451" si="963">IF($AL$3=2,IF(OR(AB448&lt;&gt;"",AB448&lt;&gt;0),AU448,""),IF(C448="","",IF(AB448&lt;0.0001,"",IF(B448=0,"",IF(AQ448&lt;AB448,"",AB448)))))</f>
        <v/>
      </c>
      <c r="Z448" s="729" t="str">
        <f>HYPERLINK("https://www.klasekpyrotechnics.cz/c6420bpw")</f>
        <v>https://www.klasekpyrotechnics.cz/c6420bpw</v>
      </c>
      <c r="AA448" s="729">
        <f>IFERROR(IF(VLOOKUP(C448,[4]List1!$A:$D,4,FALSE)=0,"",VLOOKUP(C448,[4]List1!$A:$D,4,FALSE)),"")</f>
        <v>48</v>
      </c>
      <c r="AB448" s="720"/>
      <c r="AC448" s="743" t="str">
        <f>IFERROR(IF(VLOOKUP(C448,[1]List1!$A:$D,2,FALSE)="VYPRODÁNO",$V$9,IF(VLOOKUP(C448,[1]List1!$A:$D,2,FALSE)="DOCHÁZÍ",$V$3,VLOOKUP(C448,[1]List1!$A:$D,2,FALSE))),"OFFLINE!")</f>
        <v>SKLADEM</v>
      </c>
      <c r="AD448" s="744" t="str">
        <f ca="1">IF(AP448="NE",$V$10,IF(AC448=$V$3,IF(AQ448&lt;1,$V$8,$V$2&amp;" "&amp;AQ448&amp;" "&amp;$V$1),IF(AC448="SKLADEM",$V$6,IFERROR(IF(OR(AC448-TODAY()&gt;45,VLOOKUP(C448,[1]List1!$A:$E,4,FALSE)=0),AC448,DAY(AC448)&amp;"."&amp;MONTH(AC448)&amp;"."&amp;YEAR(AC448)&amp;" "&amp;$V$4&amp;VLOOKUP(C448,[1]List1!$A:$E,4,FALSE)&amp;" "&amp;$V$1),AC448))))</f>
        <v>SKLADEM</v>
      </c>
      <c r="AE448" s="729" t="str">
        <f t="shared" ref="AE448:AE451" ca="1" si="964">IFERROR(IF(AV448&lt;&gt;"",AV448,AD448),AD448)</f>
        <v>SKLADEM</v>
      </c>
      <c r="AF448" s="735">
        <f t="shared" ref="AF448:AF451" si="965">IFERROR(IF(AB448=Y448,G448*I448*Y448,0),0)</f>
        <v>0</v>
      </c>
      <c r="AG448" s="735">
        <f t="shared" ref="AG448:AG451" si="966">IF($W$17=$AF$8,AH448*1.23,AF448*1.21)</f>
        <v>0</v>
      </c>
      <c r="AH448" s="736">
        <f t="shared" ref="AH448:AH451" si="967">IFERROR(IF(Y448=AB448,H448*I448*Y448,0),0)</f>
        <v>0</v>
      </c>
      <c r="AI448" s="729">
        <f t="shared" ref="AI448:AI451" si="968">IFERROR(IF(Y448=AB448,(P448*Y448)/1000,1),0)</f>
        <v>0</v>
      </c>
      <c r="AJ448" s="729">
        <f t="shared" ref="AJ448:AJ451" si="969">IFERROR(IF(Y448=AB448,N448*Y448,0.1),0)</f>
        <v>0</v>
      </c>
      <c r="AK448" s="729" t="str">
        <f t="shared" ref="AK448:AK451" si="970">IFERROR(IF(Y448=AB448,IF(M448="1.1G",(O448/1000)*Y448,""),""),0)</f>
        <v/>
      </c>
      <c r="AL448" s="729">
        <f t="shared" ref="AL448:AL451" si="971">IFERROR(IF(Y448=AB448,IF(M448="1.3G",(O448/1000)*AB448,""),""),0)</f>
        <v>0</v>
      </c>
      <c r="AM448" s="729" t="str">
        <f t="shared" ref="AM448:AM451" si="972">IFERROR(IF(Y448=AB448,IF(M448="1.4G",(O448/1000)*AB448,""),""),0)</f>
        <v/>
      </c>
      <c r="AN448" s="729">
        <f t="shared" ref="AN448:AN451" si="973">SUM(AK448:AM448)</f>
        <v>0</v>
      </c>
      <c r="AO448" s="380"/>
      <c r="AP448" s="322" t="str">
        <f t="shared" si="844"/>
        <v/>
      </c>
      <c r="AQ448" s="323" t="str">
        <f>IF(AC448=$V$3,IF(VLOOKUP(C448,[1]List1!$A:$E,5,FALSE)=0,1,VLOOKUP(C448,[1]List1!$A:$E,5,FALSE)),"")</f>
        <v/>
      </c>
      <c r="AR448" s="304" t="str">
        <f t="shared" si="845"/>
        <v/>
      </c>
      <c r="AS448" s="423" t="str">
        <f t="shared" si="846"/>
        <v/>
      </c>
      <c r="AT448" s="304" t="str">
        <f t="shared" si="847"/>
        <v/>
      </c>
      <c r="AU448" s="342" t="e">
        <f t="shared" si="848"/>
        <v>#N/A</v>
      </c>
      <c r="AV448" s="304" t="e">
        <f t="shared" si="849"/>
        <v>#N/A</v>
      </c>
      <c r="AX448" s="304">
        <f>IF(AND('General price list'!$J448="F4",'General price list'!$AB448+0&gt;0),1,0)</f>
        <v>0</v>
      </c>
      <c r="AY448" s="304">
        <f t="shared" si="850"/>
        <v>1</v>
      </c>
      <c r="AZ448" s="304">
        <f t="shared" si="851"/>
        <v>0</v>
      </c>
    </row>
    <row r="449" spans="1:52" ht="15" customHeight="1">
      <c r="A449" s="712" t="str">
        <f>Kat.!C446</f>
        <v/>
      </c>
      <c r="B449" s="745">
        <f>IF(AND('General price list'!$J449="F4",$AI$1=FALSE),0,IF(AC449="SKLADEM",1,IF(AC449=$V$3,1,0)))</f>
        <v>1</v>
      </c>
      <c r="C449" s="714" t="s">
        <v>1182</v>
      </c>
      <c r="D449" s="715" t="s">
        <v>1183</v>
      </c>
      <c r="E449" s="716" t="s">
        <v>1077</v>
      </c>
      <c r="F449" s="712">
        <f>IFERROR(ROUND(IF($AL$3=2,VLOOKUP(C449,[2]List1!$A:$D,2,FALSE)*1.08,VLOOKUP(C449,[2]List1!$A:$D,2,FALSE)),0),"NEUVEDENO!")</f>
        <v>509</v>
      </c>
      <c r="G449" s="717">
        <f t="shared" si="960"/>
        <v>509</v>
      </c>
      <c r="H449" s="718">
        <f t="shared" si="961"/>
        <v>20.683573828980574</v>
      </c>
      <c r="I449" s="746">
        <v>6</v>
      </c>
      <c r="J449" s="716" t="s">
        <v>46</v>
      </c>
      <c r="K449" s="716" t="s">
        <v>14734</v>
      </c>
      <c r="L449" s="716" t="s">
        <v>14386</v>
      </c>
      <c r="M449" s="716" t="s">
        <v>138</v>
      </c>
      <c r="N449" s="716">
        <f>IFERROR(VLOOKUP(C449,[3]List1!$A:$D,4,FALSE),"N/A!")</f>
        <v>3.6456000000000002E-2</v>
      </c>
      <c r="O449" s="716">
        <f>IFERROR(VLOOKUP(C449,[3]List1!$A:$D,3,FALSE),"N/A!")</f>
        <v>2988</v>
      </c>
      <c r="P449" s="716">
        <f>IFERROR(VLOOKUP(C449,[3]List1!$A:$D,2,FALSE),"N/A!")</f>
        <v>16500</v>
      </c>
      <c r="Q449" s="716" t="s">
        <v>1283</v>
      </c>
      <c r="R449" s="716" t="s">
        <v>24</v>
      </c>
      <c r="S449" s="716" t="str">
        <f>IF($W$17=$AF$1,"design",IFERROR(VLOOKUP("design",Jazyky_ceník!$A:$Q,MATCH($W$17,Jazyky_ceník!$A$1:$Q$1,0),FALSE),"!!!"))</f>
        <v>design</v>
      </c>
      <c r="T449" s="716">
        <v>55</v>
      </c>
      <c r="U449" s="716">
        <v>25</v>
      </c>
      <c r="V449" s="716">
        <v>16</v>
      </c>
      <c r="W449" s="716" t="str">
        <f>IFERROR(VLOOKUP('General price list'!$C449,Popisy!A:P,MATCH($W$17,Popisy!$A$7:$P$7,0),FALSE),"---------------")</f>
        <v>8 různobarevných efektů</v>
      </c>
      <c r="X449" s="716" t="str">
        <f t="shared" si="962"/>
        <v/>
      </c>
      <c r="Y449" s="716" t="str">
        <f t="shared" si="963"/>
        <v/>
      </c>
      <c r="Z449" s="716" t="str">
        <f>HYPERLINK("https://www.klasekpyrotechnics.cz/c6420b")</f>
        <v>https://www.klasekpyrotechnics.cz/c6420b</v>
      </c>
      <c r="AA449" s="716">
        <f>IFERROR(IF(VLOOKUP(C449,[4]List1!$A:$D,4,FALSE)=0,"",VLOOKUP(C449,[4]List1!$A:$D,4,FALSE)),"")</f>
        <v>48</v>
      </c>
      <c r="AB449" s="720"/>
      <c r="AC449" s="747" t="str">
        <f>IFERROR(IF(VLOOKUP(C449,[1]List1!$A:$D,2,FALSE)="VYPRODÁNO",$V$9,IF(VLOOKUP(C449,[1]List1!$A:$D,2,FALSE)="DOCHÁZÍ",$V$3,VLOOKUP(C449,[1]List1!$A:$D,2,FALSE))),"OFFLINE!")</f>
        <v>SKLADEM</v>
      </c>
      <c r="AD449" s="748" t="str">
        <f ca="1">IF(AP449="NE",$V$10,IF(AC449=$V$3,IF(AQ449&lt;1,$V$8,$V$2&amp;" "&amp;AQ449&amp;" "&amp;$V$1),IF(AC449="SKLADEM",$V$6,IFERROR(IF(OR(AC449-TODAY()&gt;45,VLOOKUP(C449,[1]List1!$A:$E,4,FALSE)=0),AC449,DAY(AC449)&amp;"."&amp;MONTH(AC449)&amp;"."&amp;YEAR(AC449)&amp;" "&amp;$V$4&amp;VLOOKUP(C449,[1]List1!$A:$E,4,FALSE)&amp;" "&amp;$V$1),AC449))))</f>
        <v>SKLADEM</v>
      </c>
      <c r="AE449" s="716" t="str">
        <f t="shared" ca="1" si="964"/>
        <v>SKLADEM</v>
      </c>
      <c r="AF449" s="723">
        <f t="shared" si="965"/>
        <v>0</v>
      </c>
      <c r="AG449" s="723">
        <f t="shared" si="966"/>
        <v>0</v>
      </c>
      <c r="AH449" s="724">
        <f t="shared" si="967"/>
        <v>0</v>
      </c>
      <c r="AI449" s="716">
        <f t="shared" si="968"/>
        <v>0</v>
      </c>
      <c r="AJ449" s="716">
        <f t="shared" si="969"/>
        <v>0</v>
      </c>
      <c r="AK449" s="716" t="str">
        <f t="shared" si="970"/>
        <v/>
      </c>
      <c r="AL449" s="716">
        <f t="shared" si="971"/>
        <v>0</v>
      </c>
      <c r="AM449" s="716" t="str">
        <f t="shared" si="972"/>
        <v/>
      </c>
      <c r="AN449" s="716">
        <f t="shared" si="973"/>
        <v>0</v>
      </c>
      <c r="AO449" s="380"/>
      <c r="AP449" s="322" t="str">
        <f t="shared" si="844"/>
        <v/>
      </c>
      <c r="AQ449" s="323" t="str">
        <f>IF(AC449=$V$3,IF(VLOOKUP(C449,[1]List1!$A:$E,5,FALSE)=0,1,VLOOKUP(C449,[1]List1!$A:$E,5,FALSE)),"")</f>
        <v/>
      </c>
      <c r="AR449" s="304" t="str">
        <f t="shared" si="845"/>
        <v/>
      </c>
      <c r="AS449" s="423" t="str">
        <f t="shared" si="846"/>
        <v/>
      </c>
      <c r="AT449" s="304" t="str">
        <f t="shared" si="847"/>
        <v/>
      </c>
      <c r="AU449" s="342" t="e">
        <f t="shared" si="848"/>
        <v>#N/A</v>
      </c>
      <c r="AV449" s="304" t="e">
        <f t="shared" si="849"/>
        <v>#N/A</v>
      </c>
      <c r="AX449" s="304">
        <f>IF(AND('General price list'!$J449="F4",'General price list'!$AB449+0&gt;0),1,0)</f>
        <v>0</v>
      </c>
      <c r="AY449" s="304">
        <f t="shared" si="850"/>
        <v>1</v>
      </c>
      <c r="AZ449" s="304">
        <f t="shared" si="851"/>
        <v>0</v>
      </c>
    </row>
    <row r="450" spans="1:52" ht="15" customHeight="1">
      <c r="A450" s="725" t="str">
        <f>Kat.!C447</f>
        <v/>
      </c>
      <c r="B450" s="749">
        <f>IF(AND('General price list'!$J450="F4",$AI$1=FALSE),0,IF(AC450="SKLADEM",1,IF(AC450=$V$3,1,0)))</f>
        <v>1</v>
      </c>
      <c r="C450" s="727" t="s">
        <v>1187</v>
      </c>
      <c r="D450" s="728" t="s">
        <v>1188</v>
      </c>
      <c r="E450" s="729" t="s">
        <v>1077</v>
      </c>
      <c r="F450" s="725">
        <f>IFERROR(ROUND(IF($AL$3=2,VLOOKUP(C450,[2]List1!$A:$D,2,FALSE)*1.08,VLOOKUP(C450,[2]List1!$A:$D,2,FALSE)),0),"NEUVEDENO!")</f>
        <v>509</v>
      </c>
      <c r="G450" s="730">
        <f t="shared" si="960"/>
        <v>509</v>
      </c>
      <c r="H450" s="731">
        <f t="shared" si="961"/>
        <v>20.683573828980574</v>
      </c>
      <c r="I450" s="750">
        <v>6</v>
      </c>
      <c r="J450" s="729" t="s">
        <v>46</v>
      </c>
      <c r="K450" s="729" t="s">
        <v>14734</v>
      </c>
      <c r="L450" s="729" t="s">
        <v>14386</v>
      </c>
      <c r="M450" s="729" t="s">
        <v>138</v>
      </c>
      <c r="N450" s="729">
        <f>IFERROR(VLOOKUP(C450,[3]List1!$A:$D,4,FALSE),"N/A!")</f>
        <v>3.6456000000000002E-2</v>
      </c>
      <c r="O450" s="729">
        <f>IFERROR(VLOOKUP(C450,[3]List1!$A:$D,3,FALSE),"N/A!")</f>
        <v>2988</v>
      </c>
      <c r="P450" s="729">
        <f>IFERROR(VLOOKUP(C450,[3]List1!$A:$D,2,FALSE),"N/A!")</f>
        <v>17100</v>
      </c>
      <c r="Q450" s="729" t="s">
        <v>1283</v>
      </c>
      <c r="R450" s="729" t="s">
        <v>24</v>
      </c>
      <c r="S450" s="729" t="str">
        <f>IF($W$17=$AF$1,"červená fólie",IFERROR(VLOOKUP("červená fólie",Jazyky_ceník!$A:$Q,MATCH($W$17,Jazyky_ceník!$A$1:$Q$1,0),FALSE),"!!!"))</f>
        <v>červená fólie</v>
      </c>
      <c r="T450" s="729">
        <v>55</v>
      </c>
      <c r="U450" s="729">
        <v>25</v>
      </c>
      <c r="V450" s="729">
        <v>16</v>
      </c>
      <c r="W450" s="729" t="str">
        <f>IFERROR(VLOOKUP('General price list'!$C450,Popisy!A:P,MATCH($W$17,Popisy!$A$7:$P$7,0),FALSE),"---------------")</f>
        <v>8 různobarevných efektů</v>
      </c>
      <c r="X450" s="729" t="str">
        <f t="shared" si="962"/>
        <v/>
      </c>
      <c r="Y450" s="729" t="str">
        <f t="shared" si="963"/>
        <v/>
      </c>
      <c r="Z450" s="729" t="str">
        <f>HYPERLINK("https://www.klasekpyrotechnics.cz/c6420g")</f>
        <v>https://www.klasekpyrotechnics.cz/c6420g</v>
      </c>
      <c r="AA450" s="729">
        <f>IFERROR(IF(VLOOKUP(C450,[4]List1!$A:$D,4,FALSE)=0,"",VLOOKUP(C450,[4]List1!$A:$D,4,FALSE)),"")</f>
        <v>48</v>
      </c>
      <c r="AB450" s="720"/>
      <c r="AC450" s="751" t="str">
        <f>IFERROR(IF(VLOOKUP(C450,[1]List1!$A:$D,2,FALSE)="VYPRODÁNO",$V$9,IF(VLOOKUP(C450,[1]List1!$A:$D,2,FALSE)="DOCHÁZÍ",$V$3,VLOOKUP(C450,[1]List1!$A:$D,2,FALSE))),"OFFLINE!")</f>
        <v>SKLADEM</v>
      </c>
      <c r="AD450" s="752" t="str">
        <f ca="1">IF(AP450="NE",$V$10,IF(AC450=$V$3,IF(AQ450&lt;1,$V$8,$V$2&amp;" "&amp;AQ450&amp;" "&amp;$V$1),IF(AC450="SKLADEM",$V$6,IFERROR(IF(OR(AC450-TODAY()&gt;45,VLOOKUP(C450,[1]List1!$A:$E,4,FALSE)=0),AC450,DAY(AC450)&amp;"."&amp;MONTH(AC450)&amp;"."&amp;YEAR(AC450)&amp;" "&amp;$V$4&amp;VLOOKUP(C450,[1]List1!$A:$E,4,FALSE)&amp;" "&amp;$V$1),AC450))))</f>
        <v>SKLADEM</v>
      </c>
      <c r="AE450" s="729" t="str">
        <f t="shared" ca="1" si="964"/>
        <v>SKLADEM</v>
      </c>
      <c r="AF450" s="735">
        <f t="shared" si="965"/>
        <v>0</v>
      </c>
      <c r="AG450" s="735">
        <f t="shared" si="966"/>
        <v>0</v>
      </c>
      <c r="AH450" s="736">
        <f t="shared" si="967"/>
        <v>0</v>
      </c>
      <c r="AI450" s="729">
        <f t="shared" si="968"/>
        <v>0</v>
      </c>
      <c r="AJ450" s="729">
        <f t="shared" si="969"/>
        <v>0</v>
      </c>
      <c r="AK450" s="729" t="str">
        <f t="shared" si="970"/>
        <v/>
      </c>
      <c r="AL450" s="729">
        <f t="shared" si="971"/>
        <v>0</v>
      </c>
      <c r="AM450" s="729" t="str">
        <f t="shared" si="972"/>
        <v/>
      </c>
      <c r="AN450" s="729">
        <f t="shared" si="973"/>
        <v>0</v>
      </c>
      <c r="AO450" s="380"/>
      <c r="AP450" s="322" t="str">
        <f t="shared" si="844"/>
        <v/>
      </c>
      <c r="AQ450" s="323" t="str">
        <f>IF(AC450=$V$3,IF(VLOOKUP(C450,[1]List1!$A:$E,5,FALSE)=0,1,VLOOKUP(C450,[1]List1!$A:$E,5,FALSE)),"")</f>
        <v/>
      </c>
      <c r="AR450" s="304" t="str">
        <f t="shared" si="845"/>
        <v/>
      </c>
      <c r="AS450" s="423" t="str">
        <f t="shared" si="846"/>
        <v/>
      </c>
      <c r="AT450" s="304" t="str">
        <f t="shared" si="847"/>
        <v/>
      </c>
      <c r="AU450" s="342" t="e">
        <f t="shared" si="848"/>
        <v>#N/A</v>
      </c>
      <c r="AV450" s="304" t="e">
        <f t="shared" si="849"/>
        <v>#N/A</v>
      </c>
      <c r="AX450" s="304">
        <f>IF(AND('General price list'!$J450="F4",'General price list'!$AB450+0&gt;0),1,0)</f>
        <v>0</v>
      </c>
      <c r="AY450" s="304">
        <f t="shared" si="850"/>
        <v>1</v>
      </c>
      <c r="AZ450" s="304">
        <f t="shared" si="851"/>
        <v>0</v>
      </c>
    </row>
    <row r="451" spans="1:52" ht="15" customHeight="1">
      <c r="A451" s="712" t="str">
        <f>Kat.!C448</f>
        <v/>
      </c>
      <c r="B451" s="745">
        <f>IF(AND('General price list'!$J451="F4",$AI$1=FALSE),0,IF(AC451="SKLADEM",1,IF(AC451=$V$3,1,0)))</f>
        <v>1</v>
      </c>
      <c r="C451" s="714" t="s">
        <v>1189</v>
      </c>
      <c r="D451" s="715" t="s">
        <v>1190</v>
      </c>
      <c r="E451" s="716" t="s">
        <v>1077</v>
      </c>
      <c r="F451" s="712">
        <f>IFERROR(ROUND(IF($AL$3=2,VLOOKUP(C451,[2]List1!$A:$D,2,FALSE)*1.08,VLOOKUP(C451,[2]List1!$A:$D,2,FALSE)),0),"NEUVEDENO!")</f>
        <v>509</v>
      </c>
      <c r="G451" s="717">
        <f t="shared" si="960"/>
        <v>509</v>
      </c>
      <c r="H451" s="718">
        <f t="shared" si="961"/>
        <v>20.683573828980574</v>
      </c>
      <c r="I451" s="746">
        <v>6</v>
      </c>
      <c r="J451" s="716" t="s">
        <v>46</v>
      </c>
      <c r="K451" s="716" t="s">
        <v>14821</v>
      </c>
      <c r="L451" s="716" t="s">
        <v>14386</v>
      </c>
      <c r="M451" s="716" t="s">
        <v>138</v>
      </c>
      <c r="N451" s="716">
        <f>IFERROR(VLOOKUP(C451,[3]List1!$A:$D,4,FALSE),"N/A!")</f>
        <v>3.6456000000000002E-2</v>
      </c>
      <c r="O451" s="716">
        <f>IFERROR(VLOOKUP(C451,[3]List1!$A:$D,3,FALSE),"N/A!")</f>
        <v>2988</v>
      </c>
      <c r="P451" s="716">
        <f>IFERROR(VLOOKUP(C451,[3]List1!$A:$D,2,FALSE),"N/A!")</f>
        <v>16968</v>
      </c>
      <c r="Q451" s="716" t="s">
        <v>1283</v>
      </c>
      <c r="R451" s="716" t="s">
        <v>24</v>
      </c>
      <c r="S451" s="716" t="str">
        <f>IF($W$17=$AF$1,"červená fólie",IFERROR(VLOOKUP("červená fólie",Jazyky_ceník!$A:$Q,MATCH($W$17,Jazyky_ceník!$A$1:$Q$1,0),FALSE),"!!!"))</f>
        <v>červená fólie</v>
      </c>
      <c r="T451" s="716">
        <v>55</v>
      </c>
      <c r="U451" s="716">
        <v>25</v>
      </c>
      <c r="V451" s="716">
        <v>16</v>
      </c>
      <c r="W451" s="716" t="str">
        <f>IFERROR(VLOOKUP('General price list'!$C451,Popisy!A:P,MATCH($W$17,Popisy!$A$7:$P$7,0),FALSE),"---------------")</f>
        <v>8 různobarevných efektů</v>
      </c>
      <c r="X451" s="716" t="str">
        <f t="shared" si="962"/>
        <v/>
      </c>
      <c r="Y451" s="716" t="str">
        <f t="shared" si="963"/>
        <v/>
      </c>
      <c r="Z451" s="716" t="str">
        <f>HYPERLINK("https://www.klasekpyrotechnics.cz/c6420d")</f>
        <v>https://www.klasekpyrotechnics.cz/c6420d</v>
      </c>
      <c r="AA451" s="716">
        <f>IFERROR(IF(VLOOKUP(C451,[4]List1!$A:$D,4,FALSE)=0,"",VLOOKUP(C451,[4]List1!$A:$D,4,FALSE)),"")</f>
        <v>48</v>
      </c>
      <c r="AB451" s="720"/>
      <c r="AC451" s="747" t="str">
        <f>IFERROR(IF(VLOOKUP(C451,[1]List1!$A:$D,2,FALSE)="VYPRODÁNO",$V$9,IF(VLOOKUP(C451,[1]List1!$A:$D,2,FALSE)="DOCHÁZÍ",$V$3,VLOOKUP(C451,[1]List1!$A:$D,2,FALSE))),"OFFLINE!")</f>
        <v>SKLADEM</v>
      </c>
      <c r="AD451" s="748" t="str">
        <f ca="1">IF(AP451="NE",$V$10,IF(AC451=$V$3,IF(AQ451&lt;1,$V$8,$V$2&amp;" "&amp;AQ451&amp;" "&amp;$V$1),IF(AC451="SKLADEM",$V$6,IFERROR(IF(OR(AC451-TODAY()&gt;45,VLOOKUP(C451,[1]List1!$A:$E,4,FALSE)=0),AC451,DAY(AC451)&amp;"."&amp;MONTH(AC451)&amp;"."&amp;YEAR(AC451)&amp;" "&amp;$V$4&amp;VLOOKUP(C451,[1]List1!$A:$E,4,FALSE)&amp;" "&amp;$V$1),AC451))))</f>
        <v>SKLADEM</v>
      </c>
      <c r="AE451" s="716" t="str">
        <f t="shared" ca="1" si="964"/>
        <v>SKLADEM</v>
      </c>
      <c r="AF451" s="723">
        <f t="shared" si="965"/>
        <v>0</v>
      </c>
      <c r="AG451" s="723">
        <f t="shared" si="966"/>
        <v>0</v>
      </c>
      <c r="AH451" s="724">
        <f t="shared" si="967"/>
        <v>0</v>
      </c>
      <c r="AI451" s="716">
        <f t="shared" si="968"/>
        <v>0</v>
      </c>
      <c r="AJ451" s="716">
        <f t="shared" si="969"/>
        <v>0</v>
      </c>
      <c r="AK451" s="716" t="str">
        <f t="shared" si="970"/>
        <v/>
      </c>
      <c r="AL451" s="716">
        <f t="shared" si="971"/>
        <v>0</v>
      </c>
      <c r="AM451" s="716" t="str">
        <f t="shared" si="972"/>
        <v/>
      </c>
      <c r="AN451" s="716">
        <f t="shared" si="973"/>
        <v>0</v>
      </c>
      <c r="AO451" s="380"/>
      <c r="AP451" s="322" t="str">
        <f t="shared" si="844"/>
        <v/>
      </c>
      <c r="AQ451" s="323" t="str">
        <f>IF(AC451=$V$3,IF(VLOOKUP(C451,[1]List1!$A:$E,5,FALSE)=0,1,VLOOKUP(C451,[1]List1!$A:$E,5,FALSE)),"")</f>
        <v/>
      </c>
      <c r="AR451" s="304" t="str">
        <f t="shared" si="845"/>
        <v/>
      </c>
      <c r="AS451" s="423" t="str">
        <f t="shared" si="846"/>
        <v/>
      </c>
      <c r="AT451" s="304" t="str">
        <f t="shared" si="847"/>
        <v/>
      </c>
      <c r="AU451" s="342" t="e">
        <f t="shared" si="848"/>
        <v>#N/A</v>
      </c>
      <c r="AV451" s="304" t="e">
        <f t="shared" si="849"/>
        <v>#N/A</v>
      </c>
      <c r="AX451" s="304">
        <f>IF(AND('General price list'!$J451="F4",'General price list'!$AB451+0&gt;0),1,0)</f>
        <v>0</v>
      </c>
      <c r="AY451" s="304">
        <f t="shared" si="850"/>
        <v>1</v>
      </c>
      <c r="AZ451" s="304">
        <f t="shared" si="851"/>
        <v>0</v>
      </c>
    </row>
    <row r="452" spans="1:52" ht="15" customHeight="1">
      <c r="A452" s="773" t="str">
        <f>Kat.!C449</f>
        <v xml:space="preserve">                                                               Baterie 64ran, 20mm moždíř-1.4G</v>
      </c>
      <c r="B452" s="774"/>
      <c r="C452" s="774"/>
      <c r="D452" s="774"/>
      <c r="E452" s="774"/>
      <c r="F452" s="774"/>
      <c r="G452" s="774"/>
      <c r="H452" s="774"/>
      <c r="I452" s="774"/>
      <c r="J452" s="774"/>
      <c r="K452" s="774"/>
      <c r="L452" s="774"/>
      <c r="M452" s="774"/>
      <c r="N452" s="774"/>
      <c r="O452" s="774"/>
      <c r="P452" s="774"/>
      <c r="Q452" s="774"/>
      <c r="R452" s="774"/>
      <c r="S452" s="774"/>
      <c r="T452" s="774"/>
      <c r="U452" s="774"/>
      <c r="V452" s="774"/>
      <c r="W452" s="774"/>
      <c r="X452" s="774"/>
      <c r="Y452" s="774"/>
      <c r="Z452" s="774"/>
      <c r="AA452" s="774" t="str">
        <f>IFERROR(IF(VLOOKUP(C452,[4]List1!$A:$D,4,FALSE)=0,"",VLOOKUP(C452,[4]List1!$A:$D,4,FALSE)),"")</f>
        <v/>
      </c>
      <c r="AB452" s="774"/>
      <c r="AC452" s="775" t="str">
        <f>IFERROR(IF(VLOOKUP(C452,[1]List1!$A:$D,2,FALSE)="VYPRODÁNO",$V$9,IF(VLOOKUP(C452,[1]List1!$A:$D,2,FALSE)="DOCHÁZÍ",$V$3,VLOOKUP(C452,[1]List1!$A:$D,2,FALSE))),"OFFLINE!")</f>
        <v>OFFLINE!</v>
      </c>
      <c r="AD452" s="774"/>
      <c r="AE452" s="774"/>
      <c r="AF452" s="774"/>
      <c r="AG452" s="774"/>
      <c r="AH452" s="774"/>
      <c r="AI452" s="774"/>
      <c r="AJ452" s="774"/>
      <c r="AK452" s="774"/>
      <c r="AL452" s="774"/>
      <c r="AM452" s="774"/>
      <c r="AN452" s="774"/>
      <c r="AO452" s="380"/>
      <c r="AP452" s="322" t="str">
        <f t="shared" si="844"/>
        <v/>
      </c>
      <c r="AQ452" s="323" t="str">
        <f>IF(AC452=$V$3,IF(VLOOKUP(C452,[1]List1!$A:$E,5,FALSE)=0,1,VLOOKUP(C452,[1]List1!$A:$E,5,FALSE)),"")</f>
        <v/>
      </c>
      <c r="AR452" s="304" t="str">
        <f t="shared" si="845"/>
        <v/>
      </c>
      <c r="AS452" s="423" t="str">
        <f t="shared" si="846"/>
        <v/>
      </c>
      <c r="AT452" s="304" t="str">
        <f t="shared" si="847"/>
        <v/>
      </c>
      <c r="AU452" s="342" t="e">
        <f t="shared" si="848"/>
        <v>#N/A</v>
      </c>
      <c r="AV452" s="304" t="e">
        <f t="shared" si="849"/>
        <v>#N/A</v>
      </c>
      <c r="AX452" s="304">
        <f>IF(AND('General price list'!$J452="F4",'General price list'!$AB452+0&gt;0),1,0)</f>
        <v>0</v>
      </c>
      <c r="AY452" s="304">
        <f t="shared" si="850"/>
        <v>0</v>
      </c>
      <c r="AZ452" s="304">
        <f t="shared" si="851"/>
        <v>0</v>
      </c>
    </row>
    <row r="453" spans="1:52" ht="15" customHeight="1">
      <c r="A453" s="712" t="str">
        <f>Kat.!C450</f>
        <v/>
      </c>
      <c r="B453" s="713">
        <f>IF(AND('General price list'!$J453="F4",$AI$1=FALSE),0,IF(AC453="SKLADEM",1,IF(AC453=$V$3,1,0)))</f>
        <v>1</v>
      </c>
      <c r="C453" s="714" t="s">
        <v>1191</v>
      </c>
      <c r="D453" s="715" t="s">
        <v>1188</v>
      </c>
      <c r="E453" s="716" t="s">
        <v>1077</v>
      </c>
      <c r="F453" s="712">
        <f>IFERROR(ROUND(IF($AL$3=2,VLOOKUP(C453,[2]List1!$A:$D,2,FALSE)*1.08,VLOOKUP(C453,[2]List1!$A:$D,2,FALSE)),0),"NEUVEDENO!")</f>
        <v>509</v>
      </c>
      <c r="G453" s="717">
        <f t="shared" ref="G453:G454" si="974">(F453)*$B$19</f>
        <v>509</v>
      </c>
      <c r="H453" s="718">
        <f t="shared" ref="H453:H454" si="975">G453/$F$19</f>
        <v>20.683573828980574</v>
      </c>
      <c r="I453" s="719">
        <v>6</v>
      </c>
      <c r="J453" s="716" t="s">
        <v>46</v>
      </c>
      <c r="K453" s="716" t="s">
        <v>14734</v>
      </c>
      <c r="L453" s="716" t="s">
        <v>14392</v>
      </c>
      <c r="M453" s="716" t="s">
        <v>25</v>
      </c>
      <c r="N453" s="716">
        <f>IFERROR(VLOOKUP(C453,[3]List1!$A:$D,4,FALSE),"N/A!")</f>
        <v>3.6456000000000002E-2</v>
      </c>
      <c r="O453" s="716">
        <f>IFERROR(VLOOKUP(C453,[3]List1!$A:$D,3,FALSE),"N/A!")</f>
        <v>2988</v>
      </c>
      <c r="P453" s="716">
        <f>IFERROR(VLOOKUP(C453,[3]List1!$A:$D,2,FALSE),"N/A!")</f>
        <v>16500</v>
      </c>
      <c r="Q453" s="716" t="s">
        <v>14155</v>
      </c>
      <c r="R453" s="716" t="s">
        <v>24</v>
      </c>
      <c r="S453" s="716" t="str">
        <f>IF($W$17=$AF$1,"design",IFERROR(VLOOKUP("design",Jazyky_ceník!$A:$Q,MATCH($W$17,Jazyky_ceník!$A$1:$Q$1,0),FALSE),"!!!"))</f>
        <v>design</v>
      </c>
      <c r="T453" s="716">
        <v>55</v>
      </c>
      <c r="U453" s="716">
        <v>25</v>
      </c>
      <c r="V453" s="716">
        <v>13</v>
      </c>
      <c r="W453" s="716" t="str">
        <f>IFERROR(VLOOKUP('General price list'!$C453,Popisy!A:P,MATCH($W$17,Popisy!$A$7:$P$7,0),FALSE),"---------------")</f>
        <v>8 různobarevných efektů</v>
      </c>
      <c r="X453" s="716" t="str">
        <f t="shared" ref="X453:X454" si="976">IF(AB453&lt;0.0001,"",AB453)</f>
        <v/>
      </c>
      <c r="Y453" s="716" t="str">
        <f t="shared" ref="Y453:Y454" si="977">IF($AL$3=2,IF(OR(AB453&lt;&gt;"",AB453&lt;&gt;0),AU453,""),IF(C453="","",IF(AB453&lt;0.0001,"",IF(B453=0,"",IF(AQ453&lt;AB453,"",AB453)))))</f>
        <v/>
      </c>
      <c r="Z453" s="716" t="str">
        <f>HYPERLINK("https://www.klasekpyrotechnics.cz/c6420g14")</f>
        <v>https://www.klasekpyrotechnics.cz/c6420g14</v>
      </c>
      <c r="AA453" s="716">
        <f>IFERROR(IF(VLOOKUP(C453,[4]List1!$A:$D,4,FALSE)=0,"",VLOOKUP(C453,[4]List1!$A:$D,4,FALSE)),"")</f>
        <v>48</v>
      </c>
      <c r="AB453" s="720"/>
      <c r="AC453" s="721" t="str">
        <f>IFERROR(IF(VLOOKUP(C453,[1]List1!$A:$D,2,FALSE)="VYPRODÁNO",$V$9,IF(VLOOKUP(C453,[1]List1!$A:$D,2,FALSE)="DOCHÁZÍ",$V$3,VLOOKUP(C453,[1]List1!$A:$D,2,FALSE))),"OFFLINE!")</f>
        <v>SKLADEM</v>
      </c>
      <c r="AD453" s="722" t="str">
        <f ca="1">IF(AP453="NE",$V$10,IF(AC453=$V$3,IF(AQ453&lt;1,$V$8,$V$2&amp;" "&amp;AQ453&amp;" "&amp;$V$1),IF(AC453="SKLADEM",$V$6,IFERROR(IF(OR(AC453-TODAY()&gt;45,VLOOKUP(C453,[1]List1!$A:$E,4,FALSE)=0),AC453,DAY(AC453)&amp;"."&amp;MONTH(AC453)&amp;"."&amp;YEAR(AC453)&amp;" "&amp;$V$4&amp;VLOOKUP(C453,[1]List1!$A:$E,4,FALSE)&amp;" "&amp;$V$1),AC453))))</f>
        <v>SKLADEM</v>
      </c>
      <c r="AE453" s="716" t="str">
        <f t="shared" ref="AE453:AE454" ca="1" si="978">IFERROR(IF(AV453&lt;&gt;"",AV453,AD453),AD453)</f>
        <v>SKLADEM</v>
      </c>
      <c r="AF453" s="723">
        <f t="shared" ref="AF453:AF454" si="979">IFERROR(IF(AB453=Y453,G453*I453*Y453,0),0)</f>
        <v>0</v>
      </c>
      <c r="AG453" s="723">
        <f t="shared" ref="AG453:AG454" si="980">IF($W$17=$AF$8,AH453*1.23,AF453*1.21)</f>
        <v>0</v>
      </c>
      <c r="AH453" s="724">
        <f t="shared" ref="AH453:AH454" si="981">IFERROR(IF(Y453=AB453,H453*I453*Y453,0),0)</f>
        <v>0</v>
      </c>
      <c r="AI453" s="716">
        <f t="shared" ref="AI453:AI454" si="982">IFERROR(IF(Y453=AB453,(P453*Y453)/1000,1),0)</f>
        <v>0</v>
      </c>
      <c r="AJ453" s="716">
        <f t="shared" ref="AJ453:AJ454" si="983">IFERROR(IF(Y453=AB453,N453*Y453,0.1),0)</f>
        <v>0</v>
      </c>
      <c r="AK453" s="716" t="str">
        <f t="shared" ref="AK453:AK454" si="984">IFERROR(IF(Y453=AB453,IF(M453="1.1G",(O453/1000)*Y453,""),""),0)</f>
        <v/>
      </c>
      <c r="AL453" s="716" t="str">
        <f t="shared" ref="AL453:AL454" si="985">IFERROR(IF(Y453=AB453,IF(M453="1.3G",(O453/1000)*AB453,""),""),0)</f>
        <v/>
      </c>
      <c r="AM453" s="716">
        <f t="shared" ref="AM453:AM454" si="986">IFERROR(IF(Y453=AB453,IF(M453="1.4G",(O453/1000)*AB453,""),""),0)</f>
        <v>0</v>
      </c>
      <c r="AN453" s="716">
        <f t="shared" ref="AN453:AN454" si="987">SUM(AK453:AM453)</f>
        <v>0</v>
      </c>
      <c r="AO453" s="380"/>
      <c r="AP453" s="322" t="str">
        <f t="shared" si="844"/>
        <v/>
      </c>
      <c r="AQ453" s="323" t="str">
        <f>IF(AC453=$V$3,IF(VLOOKUP(C453,[1]List1!$A:$E,5,FALSE)=0,1,VLOOKUP(C453,[1]List1!$A:$E,5,FALSE)),"")</f>
        <v/>
      </c>
      <c r="AR453" s="304" t="str">
        <f t="shared" si="845"/>
        <v/>
      </c>
      <c r="AS453" s="423" t="str">
        <f t="shared" si="846"/>
        <v/>
      </c>
      <c r="AT453" s="304" t="str">
        <f t="shared" si="847"/>
        <v/>
      </c>
      <c r="AU453" s="342" t="e">
        <f t="shared" si="848"/>
        <v>#N/A</v>
      </c>
      <c r="AV453" s="304" t="e">
        <f t="shared" si="849"/>
        <v>#N/A</v>
      </c>
      <c r="AX453" s="304">
        <f>IF(AND('General price list'!$J453="F4",'General price list'!$AB453+0&gt;0),1,0)</f>
        <v>0</v>
      </c>
      <c r="AY453" s="304">
        <f t="shared" si="850"/>
        <v>1</v>
      </c>
      <c r="AZ453" s="304">
        <f t="shared" si="851"/>
        <v>0</v>
      </c>
    </row>
    <row r="454" spans="1:52" ht="15" customHeight="1">
      <c r="A454" s="725" t="str">
        <f>Kat.!C451</f>
        <v/>
      </c>
      <c r="B454" s="726">
        <f>IF(AND('General price list'!$J454="F4",$AI$1=FALSE),0,IF(AC454="SKLADEM",1,IF(AC454=$V$3,1,0)))</f>
        <v>0</v>
      </c>
      <c r="C454" s="727" t="s">
        <v>1192</v>
      </c>
      <c r="D454" s="728" t="s">
        <v>1190</v>
      </c>
      <c r="E454" s="729" t="s">
        <v>1077</v>
      </c>
      <c r="F454" s="725">
        <f>IFERROR(ROUND(IF($AL$3=2,VLOOKUP(C454,[2]List1!$A:$D,2,FALSE)*1.08,VLOOKUP(C454,[2]List1!$A:$D,2,FALSE)),0),"NEUVEDENO!")</f>
        <v>509</v>
      </c>
      <c r="G454" s="730">
        <f t="shared" si="974"/>
        <v>509</v>
      </c>
      <c r="H454" s="731">
        <f t="shared" si="975"/>
        <v>20.683573828980574</v>
      </c>
      <c r="I454" s="732">
        <v>6</v>
      </c>
      <c r="J454" s="729" t="s">
        <v>46</v>
      </c>
      <c r="K454" s="729" t="s">
        <v>14821</v>
      </c>
      <c r="L454" s="729" t="s">
        <v>14392</v>
      </c>
      <c r="M454" s="729" t="s">
        <v>25</v>
      </c>
      <c r="N454" s="729">
        <f>IFERROR(VLOOKUP(C454,[3]List1!$A:$D,4,FALSE),"N/A!")</f>
        <v>3.6456000000000002E-2</v>
      </c>
      <c r="O454" s="729">
        <f>IFERROR(VLOOKUP(C454,[3]List1!$A:$D,3,FALSE),"N/A!")</f>
        <v>2988</v>
      </c>
      <c r="P454" s="729">
        <f>IFERROR(VLOOKUP(C454,[3]List1!$A:$D,2,FALSE),"N/A!")</f>
        <v>18500</v>
      </c>
      <c r="Q454" s="729" t="s">
        <v>14156</v>
      </c>
      <c r="R454" s="729" t="s">
        <v>24</v>
      </c>
      <c r="S454" s="729" t="str">
        <f>IF($W$17=$AF$1,"červená fólie",IFERROR(VLOOKUP("červená fólie",Jazyky_ceník!$A:$Q,MATCH($W$17,Jazyky_ceník!$A$1:$Q$1,0),FALSE),"!!!"))</f>
        <v>červená fólie</v>
      </c>
      <c r="T454" s="729">
        <v>55</v>
      </c>
      <c r="U454" s="729">
        <v>25</v>
      </c>
      <c r="V454" s="729">
        <v>13</v>
      </c>
      <c r="W454" s="729" t="str">
        <f>IFERROR(VLOOKUP('General price list'!$C454,Popisy!A:P,MATCH($W$17,Popisy!$A$7:$P$7,0),FALSE),"---------------")</f>
        <v>8 různobarevných efektů</v>
      </c>
      <c r="X454" s="729" t="str">
        <f t="shared" si="976"/>
        <v/>
      </c>
      <c r="Y454" s="729" t="str">
        <f t="shared" si="977"/>
        <v/>
      </c>
      <c r="Z454" s="729" t="str">
        <f>HYPERLINK("https://www.klasekpyrotechnics.cz/c6420d14")</f>
        <v>https://www.klasekpyrotechnics.cz/c6420d14</v>
      </c>
      <c r="AA454" s="729">
        <f>IFERROR(IF(VLOOKUP(C454,[4]List1!$A:$D,4,FALSE)=0,"",VLOOKUP(C454,[4]List1!$A:$D,4,FALSE)),"")</f>
        <v>48</v>
      </c>
      <c r="AB454" s="720"/>
      <c r="AC454" s="733" t="str">
        <f>IFERROR(IF(VLOOKUP(C454,[1]List1!$A:$D,2,FALSE)="VYPRODÁNO",$V$9,IF(VLOOKUP(C454,[1]List1!$A:$D,2,FALSE)="DOCHÁZÍ",$V$3,VLOOKUP(C454,[1]List1!$A:$D,2,FALSE))),"OFFLINE!")</f>
        <v>30.04.2024</v>
      </c>
      <c r="AD454" s="734" t="str">
        <f ca="1">IF(AP454="NE",$V$10,IF(AC454=$V$3,IF(AQ454&lt;1,$V$8,$V$2&amp;" "&amp;AQ454&amp;" "&amp;$V$1),IF(AC454="SKLADEM",$V$6,IFERROR(IF(OR(AC454-TODAY()&gt;45,VLOOKUP(C454,[1]List1!$A:$E,4,FALSE)=0),AC454,DAY(AC454)&amp;"."&amp;MONTH(AC454)&amp;"."&amp;YEAR(AC454)&amp;" "&amp;$V$4&amp;VLOOKUP(C454,[1]List1!$A:$E,4,FALSE)&amp;" "&amp;$V$1),AC454))))</f>
        <v>30.04.2024</v>
      </c>
      <c r="AE454" s="729" t="str">
        <f t="shared" ca="1" si="978"/>
        <v>30.04.2024</v>
      </c>
      <c r="AF454" s="735">
        <f t="shared" si="979"/>
        <v>0</v>
      </c>
      <c r="AG454" s="735">
        <f t="shared" si="980"/>
        <v>0</v>
      </c>
      <c r="AH454" s="736">
        <f t="shared" si="981"/>
        <v>0</v>
      </c>
      <c r="AI454" s="729">
        <f t="shared" si="982"/>
        <v>0</v>
      </c>
      <c r="AJ454" s="729">
        <f t="shared" si="983"/>
        <v>0</v>
      </c>
      <c r="AK454" s="729" t="str">
        <f t="shared" si="984"/>
        <v/>
      </c>
      <c r="AL454" s="729" t="str">
        <f t="shared" si="985"/>
        <v/>
      </c>
      <c r="AM454" s="729">
        <f t="shared" si="986"/>
        <v>0</v>
      </c>
      <c r="AN454" s="729">
        <f t="shared" si="987"/>
        <v>0</v>
      </c>
      <c r="AO454" s="380"/>
      <c r="AP454" s="322" t="str">
        <f t="shared" si="844"/>
        <v/>
      </c>
      <c r="AQ454" s="323" t="str">
        <f>IF(AC454=$V$3,IF(VLOOKUP(C454,[1]List1!$A:$E,5,FALSE)=0,1,VLOOKUP(C454,[1]List1!$A:$E,5,FALSE)),"")</f>
        <v/>
      </c>
      <c r="AR454" s="304" t="str">
        <f t="shared" si="845"/>
        <v/>
      </c>
      <c r="AS454" s="423" t="str">
        <f t="shared" si="846"/>
        <v/>
      </c>
      <c r="AT454" s="304" t="str">
        <f t="shared" si="847"/>
        <v/>
      </c>
      <c r="AU454" s="342" t="e">
        <f t="shared" si="848"/>
        <v>#N/A</v>
      </c>
      <c r="AV454" s="304" t="e">
        <f t="shared" si="849"/>
        <v>#N/A</v>
      </c>
      <c r="AX454" s="304">
        <f>IF(AND('General price list'!$J454="F4",'General price list'!$AB454+0&gt;0),1,0)</f>
        <v>0</v>
      </c>
      <c r="AY454" s="304">
        <f t="shared" si="850"/>
        <v>1</v>
      </c>
      <c r="AZ454" s="304">
        <f t="shared" si="851"/>
        <v>0</v>
      </c>
    </row>
    <row r="455" spans="1:52" ht="15" customHeight="1">
      <c r="A455" s="773" t="str">
        <f>Kat.!C452</f>
        <v xml:space="preserve">                                                               Baterie 66ran, 20mm I+V+W+šikmý moždíř-1.3G</v>
      </c>
      <c r="B455" s="774"/>
      <c r="C455" s="774"/>
      <c r="D455" s="774"/>
      <c r="E455" s="774"/>
      <c r="F455" s="774"/>
      <c r="G455" s="774"/>
      <c r="H455" s="774"/>
      <c r="I455" s="774"/>
      <c r="J455" s="774"/>
      <c r="K455" s="774"/>
      <c r="L455" s="774"/>
      <c r="M455" s="774"/>
      <c r="N455" s="774"/>
      <c r="O455" s="774"/>
      <c r="P455" s="774"/>
      <c r="Q455" s="774"/>
      <c r="R455" s="774"/>
      <c r="S455" s="774"/>
      <c r="T455" s="774"/>
      <c r="U455" s="774"/>
      <c r="V455" s="774"/>
      <c r="W455" s="774"/>
      <c r="X455" s="774"/>
      <c r="Y455" s="774"/>
      <c r="Z455" s="774"/>
      <c r="AA455" s="774" t="str">
        <f>IFERROR(IF(VLOOKUP(C455,[4]List1!$A:$D,4,FALSE)=0,"",VLOOKUP(C455,[4]List1!$A:$D,4,FALSE)),"")</f>
        <v/>
      </c>
      <c r="AB455" s="774"/>
      <c r="AC455" s="775" t="str">
        <f>IFERROR(IF(VLOOKUP(C455,[1]List1!$A:$D,2,FALSE)="VYPRODÁNO",$V$9,IF(VLOOKUP(C455,[1]List1!$A:$D,2,FALSE)="DOCHÁZÍ",$V$3,VLOOKUP(C455,[1]List1!$A:$D,2,FALSE))),"OFFLINE!")</f>
        <v>OFFLINE!</v>
      </c>
      <c r="AD455" s="774"/>
      <c r="AE455" s="774"/>
      <c r="AF455" s="774"/>
      <c r="AG455" s="774"/>
      <c r="AH455" s="774"/>
      <c r="AI455" s="774"/>
      <c r="AJ455" s="774"/>
      <c r="AK455" s="774"/>
      <c r="AL455" s="774"/>
      <c r="AM455" s="774"/>
      <c r="AN455" s="774"/>
      <c r="AO455" s="380"/>
      <c r="AP455" s="322" t="str">
        <f t="shared" si="844"/>
        <v/>
      </c>
      <c r="AQ455" s="323" t="str">
        <f>IF(AC455=$V$3,IF(VLOOKUP(C455,[1]List1!$A:$E,5,FALSE)=0,1,VLOOKUP(C455,[1]List1!$A:$E,5,FALSE)),"")</f>
        <v/>
      </c>
      <c r="AR455" s="304" t="str">
        <f t="shared" si="845"/>
        <v/>
      </c>
      <c r="AS455" s="423" t="str">
        <f t="shared" si="846"/>
        <v/>
      </c>
      <c r="AT455" s="304" t="str">
        <f t="shared" si="847"/>
        <v/>
      </c>
      <c r="AU455" s="342" t="e">
        <f t="shared" si="848"/>
        <v>#N/A</v>
      </c>
      <c r="AV455" s="304" t="e">
        <f t="shared" si="849"/>
        <v>#N/A</v>
      </c>
      <c r="AX455" s="304">
        <f>IF(AND('General price list'!$J455="F4",'General price list'!$AB455+0&gt;0),1,0)</f>
        <v>0</v>
      </c>
      <c r="AY455" s="304">
        <f t="shared" si="850"/>
        <v>0</v>
      </c>
      <c r="AZ455" s="304">
        <f t="shared" si="851"/>
        <v>0</v>
      </c>
    </row>
    <row r="456" spans="1:52" ht="15" customHeight="1">
      <c r="A456" s="725" t="str">
        <f>Kat.!C453</f>
        <v/>
      </c>
      <c r="B456" s="741">
        <f>IF(AND('General price list'!$J456="F4",$AI$1=FALSE),0,IF(AC456="SKLADEM",1,IF(AC456=$V$3,1,0)))</f>
        <v>1</v>
      </c>
      <c r="C456" s="727" t="s">
        <v>1193</v>
      </c>
      <c r="D456" s="728" t="s">
        <v>14568</v>
      </c>
      <c r="E456" s="729" t="s">
        <v>1074</v>
      </c>
      <c r="F456" s="725">
        <f>IFERROR(ROUND(IF($AL$3=2,VLOOKUP(C456,[2]List1!$A:$D,2,FALSE)*1.08,VLOOKUP(C456,[2]List1!$A:$D,2,FALSE)),0),"NEUVEDENO!")</f>
        <v>788</v>
      </c>
      <c r="G456" s="730">
        <f t="shared" ref="G456:G458" si="988">(F456)*$B$19</f>
        <v>788</v>
      </c>
      <c r="H456" s="731">
        <f t="shared" ref="H456:H458" si="989">G456/$F$19</f>
        <v>32.020935515199788</v>
      </c>
      <c r="I456" s="742">
        <v>4</v>
      </c>
      <c r="J456" s="729" t="s">
        <v>46</v>
      </c>
      <c r="K456" s="729"/>
      <c r="L456" s="729" t="s">
        <v>24</v>
      </c>
      <c r="M456" s="729" t="s">
        <v>138</v>
      </c>
      <c r="N456" s="729">
        <f>IFERROR(VLOOKUP(C456,[3]List1!$A:$D,4,FALSE),"N/A!")</f>
        <v>5.9062499999999997E-2</v>
      </c>
      <c r="O456" s="729">
        <f>IFERROR(VLOOKUP(C456,[3]List1!$A:$D,3,FALSE),"N/A!")</f>
        <v>2000</v>
      </c>
      <c r="P456" s="729">
        <f>IFERROR(VLOOKUP(C456,[3]List1!$A:$D,2,FALSE),"N/A!")</f>
        <v>15500</v>
      </c>
      <c r="Q456" s="729" t="s">
        <v>14157</v>
      </c>
      <c r="R456" s="729" t="s">
        <v>24</v>
      </c>
      <c r="S456" s="729" t="str">
        <f>IF($W$17=$AF$1,"design",IFERROR(VLOOKUP("design",Jazyky_ceník!$A:$Q,MATCH($W$17,Jazyky_ceník!$A$1:$Q$1,0),FALSE),"!!!"))</f>
        <v>design</v>
      </c>
      <c r="T456" s="729">
        <v>45</v>
      </c>
      <c r="U456" s="729">
        <v>27</v>
      </c>
      <c r="V456" s="729">
        <v>18</v>
      </c>
      <c r="W456" s="729" t="str">
        <f>IFERROR(VLOOKUP('General price list'!$C456,Popisy!A:P,MATCH($W$17,Popisy!$A$7:$P$7,0),FALSE),"---------------")</f>
        <v>9 různobarevných efektů se salvou titanium salute na závěr</v>
      </c>
      <c r="X456" s="729" t="str">
        <f t="shared" ref="X456:X458" si="990">IF(AB456&lt;0.0001,"",AB456)</f>
        <v/>
      </c>
      <c r="Y456" s="729" t="str">
        <f t="shared" ref="Y456:Y458" si="991">IF($AL$3=2,IF(OR(AB456&lt;&gt;"",AB456&lt;&gt;0),AU456,""),IF(C456="","",IF(AB456&lt;0.0001,"",IF(B456=0,"",IF(AQ456&lt;AB456,"",AB456)))))</f>
        <v/>
      </c>
      <c r="Z456" s="729" t="str">
        <f>HYPERLINK("https://www.klasekpyrotechnics.cz/c6620sig")</f>
        <v>https://www.klasekpyrotechnics.cz/c6620sig</v>
      </c>
      <c r="AA456" s="729">
        <f>IFERROR(IF(VLOOKUP(C456,[4]List1!$A:$D,4,FALSE)=0,"",VLOOKUP(C456,[4]List1!$A:$D,4,FALSE)),"")</f>
        <v>18</v>
      </c>
      <c r="AB456" s="720"/>
      <c r="AC456" s="743" t="str">
        <f>IFERROR(IF(VLOOKUP(C456,[1]List1!$A:$D,2,FALSE)="VYPRODÁNO",$V$9,IF(VLOOKUP(C456,[1]List1!$A:$D,2,FALSE)="DOCHÁZÍ",$V$3,VLOOKUP(C456,[1]List1!$A:$D,2,FALSE))),"OFFLINE!")</f>
        <v>SKLADEM</v>
      </c>
      <c r="AD456" s="744" t="str">
        <f ca="1">IF(AP456="NE",$V$10,IF(AC456=$V$3,IF(AQ456&lt;1,$V$8,$V$2&amp;" "&amp;AQ456&amp;" "&amp;$V$1),IF(AC456="SKLADEM",$V$6,IFERROR(IF(OR(AC456-TODAY()&gt;45,VLOOKUP(C456,[1]List1!$A:$E,4,FALSE)=0),AC456,DAY(AC456)&amp;"."&amp;MONTH(AC456)&amp;"."&amp;YEAR(AC456)&amp;" "&amp;$V$4&amp;VLOOKUP(C456,[1]List1!$A:$E,4,FALSE)&amp;" "&amp;$V$1),AC456))))</f>
        <v>SKLADEM</v>
      </c>
      <c r="AE456" s="729" t="str">
        <f t="shared" ref="AE456:AE458" ca="1" si="992">IFERROR(IF(AV456&lt;&gt;"",AV456,AD456),AD456)</f>
        <v>SKLADEM</v>
      </c>
      <c r="AF456" s="735">
        <f t="shared" ref="AF456:AF458" si="993">IFERROR(IF(AB456=Y456,G456*I456*Y456,0),0)</f>
        <v>0</v>
      </c>
      <c r="AG456" s="735">
        <f t="shared" ref="AG456:AG458" si="994">IF($W$17=$AF$8,AH456*1.23,AF456*1.21)</f>
        <v>0</v>
      </c>
      <c r="AH456" s="736">
        <f t="shared" ref="AH456:AH458" si="995">IFERROR(IF(Y456=AB456,H456*I456*Y456,0),0)</f>
        <v>0</v>
      </c>
      <c r="AI456" s="729">
        <f t="shared" ref="AI456:AI458" si="996">IFERROR(IF(Y456=AB456,(P456*Y456)/1000,1),0)</f>
        <v>0</v>
      </c>
      <c r="AJ456" s="729">
        <f t="shared" ref="AJ456:AJ458" si="997">IFERROR(IF(Y456=AB456,N456*Y456,0.1),0)</f>
        <v>0</v>
      </c>
      <c r="AK456" s="729" t="str">
        <f t="shared" ref="AK456:AK458" si="998">IFERROR(IF(Y456=AB456,IF(M456="1.1G",(O456/1000)*Y456,""),""),0)</f>
        <v/>
      </c>
      <c r="AL456" s="729">
        <f t="shared" ref="AL456:AL458" si="999">IFERROR(IF(Y456=AB456,IF(M456="1.3G",(O456/1000)*AB456,""),""),0)</f>
        <v>0</v>
      </c>
      <c r="AM456" s="729" t="str">
        <f t="shared" ref="AM456:AM458" si="1000">IFERROR(IF(Y456=AB456,IF(M456="1.4G",(O456/1000)*AB456,""),""),0)</f>
        <v/>
      </c>
      <c r="AN456" s="729">
        <f t="shared" ref="AN456:AN458" si="1001">SUM(AK456:AM456)</f>
        <v>0</v>
      </c>
      <c r="AO456" s="380"/>
      <c r="AP456" s="322" t="str">
        <f t="shared" si="844"/>
        <v/>
      </c>
      <c r="AQ456" s="323" t="str">
        <f>IF(AC456=$V$3,IF(VLOOKUP(C456,[1]List1!$A:$E,5,FALSE)=0,1,VLOOKUP(C456,[1]List1!$A:$E,5,FALSE)),"")</f>
        <v/>
      </c>
      <c r="AR456" s="304" t="str">
        <f t="shared" si="845"/>
        <v/>
      </c>
      <c r="AS456" s="423" t="str">
        <f t="shared" si="846"/>
        <v/>
      </c>
      <c r="AT456" s="304" t="str">
        <f t="shared" si="847"/>
        <v/>
      </c>
      <c r="AU456" s="342" t="e">
        <f t="shared" si="848"/>
        <v>#N/A</v>
      </c>
      <c r="AV456" s="304" t="e">
        <f t="shared" si="849"/>
        <v>#N/A</v>
      </c>
      <c r="AX456" s="304">
        <f>IF(AND('General price list'!$J456="F4",'General price list'!$AB456+0&gt;0),1,0)</f>
        <v>0</v>
      </c>
      <c r="AY456" s="304">
        <f t="shared" si="850"/>
        <v>1</v>
      </c>
      <c r="AZ456" s="304">
        <f t="shared" si="851"/>
        <v>0</v>
      </c>
    </row>
    <row r="457" spans="1:52" ht="15" customHeight="1">
      <c r="A457" s="712" t="str">
        <f>Kat.!C454</f>
        <v/>
      </c>
      <c r="B457" s="745">
        <f>IF(AND('General price list'!$J457="F4",$AI$1=FALSE),0,IF(AC457="SKLADEM",1,IF(AC457=$V$3,1,0)))</f>
        <v>0</v>
      </c>
      <c r="C457" s="714" t="s">
        <v>1197</v>
      </c>
      <c r="D457" s="715" t="s">
        <v>1198</v>
      </c>
      <c r="E457" s="716" t="s">
        <v>1074</v>
      </c>
      <c r="F457" s="712">
        <f>IFERROR(ROUND(IF($AL$3=2,VLOOKUP(C457,[2]List1!$A:$D,2,FALSE)*1.08,VLOOKUP(C457,[2]List1!$A:$D,2,FALSE)),0),"NEUVEDENO!")</f>
        <v>729</v>
      </c>
      <c r="G457" s="717">
        <f t="shared" si="988"/>
        <v>729</v>
      </c>
      <c r="H457" s="718">
        <f t="shared" si="989"/>
        <v>29.623428922056657</v>
      </c>
      <c r="I457" s="746">
        <v>4</v>
      </c>
      <c r="J457" s="716" t="s">
        <v>46</v>
      </c>
      <c r="K457" s="716"/>
      <c r="L457" s="716" t="s">
        <v>24</v>
      </c>
      <c r="M457" s="716" t="s">
        <v>138</v>
      </c>
      <c r="N457" s="716">
        <f>IFERROR(VLOOKUP(C457,[3]List1!$A:$D,4,FALSE),"N/A!")</f>
        <v>5.9062499999999997E-2</v>
      </c>
      <c r="O457" s="716">
        <f>IFERROR(VLOOKUP(C457,[3]List1!$A:$D,3,FALSE),"N/A!")</f>
        <v>1964</v>
      </c>
      <c r="P457" s="716">
        <f>IFERROR(VLOOKUP(C457,[3]List1!$A:$D,2,FALSE),"N/A!")</f>
        <v>13300</v>
      </c>
      <c r="Q457" s="716" t="s">
        <v>14157</v>
      </c>
      <c r="R457" s="716" t="s">
        <v>24</v>
      </c>
      <c r="S457" s="716" t="str">
        <f>IF($W$17=$AF$1,"design",IFERROR(VLOOKUP("design",Jazyky_ceník!$A:$Q,MATCH($W$17,Jazyky_ceník!$A$1:$Q$1,0),FALSE),"!!!"))</f>
        <v>design</v>
      </c>
      <c r="T457" s="716">
        <v>45</v>
      </c>
      <c r="U457" s="716">
        <v>25</v>
      </c>
      <c r="V457" s="716">
        <v>16</v>
      </c>
      <c r="W457" s="716" t="str">
        <f>IFERROR(VLOOKUP('General price list'!$C457,Popisy!A:P,MATCH($W$17,Popisy!$A$7:$P$7,0),FALSE),"---------------")</f>
        <v>9 různobarevných efektů</v>
      </c>
      <c r="X457" s="716" t="str">
        <f t="shared" si="990"/>
        <v/>
      </c>
      <c r="Y457" s="716" t="str">
        <f t="shared" si="991"/>
        <v/>
      </c>
      <c r="Z457" s="716" t="str">
        <f>HYPERLINK("https://www.klasekpyrotechnics.cz/c6620p")</f>
        <v>https://www.klasekpyrotechnics.cz/c6620p</v>
      </c>
      <c r="AA457" s="716">
        <f>IFERROR(IF(VLOOKUP(C457,[4]List1!$A:$D,4,FALSE)=0,"",VLOOKUP(C457,[4]List1!$A:$D,4,FALSE)),"")</f>
        <v>18</v>
      </c>
      <c r="AB457" s="720"/>
      <c r="AC457" s="747" t="str">
        <f>IFERROR(IF(VLOOKUP(C457,[1]List1!$A:$D,2,FALSE)="VYPRODÁNO",$V$9,IF(VLOOKUP(C457,[1]List1!$A:$D,2,FALSE)="DOCHÁZÍ",$V$3,VLOOKUP(C457,[1]List1!$A:$D,2,FALSE))),"OFFLINE!")</f>
        <v>15.06.2024</v>
      </c>
      <c r="AD457" s="748" t="str">
        <f ca="1">IF(AP457="NE",$V$10,IF(AC457=$V$3,IF(AQ457&lt;1,$V$8,$V$2&amp;" "&amp;AQ457&amp;" "&amp;$V$1),IF(AC457="SKLADEM",$V$6,IFERROR(IF(OR(AC457-TODAY()&gt;45,VLOOKUP(C457,[1]List1!$A:$E,4,FALSE)=0),AC457,DAY(AC457)&amp;"."&amp;MONTH(AC457)&amp;"."&amp;YEAR(AC457)&amp;" "&amp;$V$4&amp;VLOOKUP(C457,[1]List1!$A:$E,4,FALSE)&amp;" "&amp;$V$1),AC457))))</f>
        <v>15.06.2024</v>
      </c>
      <c r="AE457" s="716" t="str">
        <f t="shared" ca="1" si="992"/>
        <v>15.06.2024</v>
      </c>
      <c r="AF457" s="723">
        <f t="shared" si="993"/>
        <v>0</v>
      </c>
      <c r="AG457" s="723">
        <f t="shared" si="994"/>
        <v>0</v>
      </c>
      <c r="AH457" s="724">
        <f t="shared" si="995"/>
        <v>0</v>
      </c>
      <c r="AI457" s="716">
        <f t="shared" si="996"/>
        <v>0</v>
      </c>
      <c r="AJ457" s="716">
        <f t="shared" si="997"/>
        <v>0</v>
      </c>
      <c r="AK457" s="716" t="str">
        <f t="shared" si="998"/>
        <v/>
      </c>
      <c r="AL457" s="716">
        <f t="shared" si="999"/>
        <v>0</v>
      </c>
      <c r="AM457" s="716" t="str">
        <f t="shared" si="1000"/>
        <v/>
      </c>
      <c r="AN457" s="716">
        <f t="shared" si="1001"/>
        <v>0</v>
      </c>
      <c r="AO457" s="380"/>
      <c r="AP457" s="322" t="str">
        <f t="shared" si="844"/>
        <v/>
      </c>
      <c r="AQ457" s="323" t="str">
        <f>IF(AC457=$V$3,IF(VLOOKUP(C457,[1]List1!$A:$E,5,FALSE)=0,1,VLOOKUP(C457,[1]List1!$A:$E,5,FALSE)),"")</f>
        <v/>
      </c>
      <c r="AR457" s="304" t="str">
        <f t="shared" si="845"/>
        <v/>
      </c>
      <c r="AS457" s="423" t="str">
        <f t="shared" si="846"/>
        <v/>
      </c>
      <c r="AT457" s="304" t="str">
        <f t="shared" si="847"/>
        <v/>
      </c>
      <c r="AU457" s="342" t="e">
        <f t="shared" si="848"/>
        <v>#N/A</v>
      </c>
      <c r="AV457" s="304" t="e">
        <f t="shared" si="849"/>
        <v>#N/A</v>
      </c>
      <c r="AX457" s="304">
        <f>IF(AND('General price list'!$J457="F4",'General price list'!$AB457+0&gt;0),1,0)</f>
        <v>0</v>
      </c>
      <c r="AY457" s="304">
        <f t="shared" si="850"/>
        <v>1</v>
      </c>
      <c r="AZ457" s="304">
        <f t="shared" si="851"/>
        <v>0</v>
      </c>
    </row>
    <row r="458" spans="1:52" ht="15" customHeight="1">
      <c r="A458" s="725" t="str">
        <f>Kat.!C455</f>
        <v/>
      </c>
      <c r="B458" s="749">
        <f>IF(AND('General price list'!$J458="F4",$AI$1=FALSE),0,IF(AC458="SKLADEM",1,IF(AC458=$V$3,1,0)))</f>
        <v>0</v>
      </c>
      <c r="C458" s="727" t="s">
        <v>1199</v>
      </c>
      <c r="D458" s="728" t="s">
        <v>1200</v>
      </c>
      <c r="E458" s="729" t="s">
        <v>1074</v>
      </c>
      <c r="F458" s="725">
        <f>IFERROR(ROUND(IF($AL$3=2,VLOOKUP(C458,[2]List1!$A:$D,2,FALSE)*1.08,VLOOKUP(C458,[2]List1!$A:$D,2,FALSE)),0),"NEUVEDENO!")</f>
        <v>729</v>
      </c>
      <c r="G458" s="730">
        <f t="shared" si="988"/>
        <v>729</v>
      </c>
      <c r="H458" s="731">
        <f t="shared" si="989"/>
        <v>29.623428922056657</v>
      </c>
      <c r="I458" s="750">
        <v>4</v>
      </c>
      <c r="J458" s="729" t="s">
        <v>46</v>
      </c>
      <c r="K458" s="729"/>
      <c r="L458" s="729" t="s">
        <v>24</v>
      </c>
      <c r="M458" s="729" t="s">
        <v>138</v>
      </c>
      <c r="N458" s="729">
        <f>IFERROR(VLOOKUP(C458,[3]List1!$A:$D,4,FALSE),"N/A!")</f>
        <v>5.9062499999999997E-2</v>
      </c>
      <c r="O458" s="729">
        <f>IFERROR(VLOOKUP(C458,[3]List1!$A:$D,3,FALSE),"N/A!")</f>
        <v>1964</v>
      </c>
      <c r="P458" s="729">
        <f>IFERROR(VLOOKUP(C458,[3]List1!$A:$D,2,FALSE),"N/A!")</f>
        <v>13400</v>
      </c>
      <c r="Q458" s="729" t="s">
        <v>14158</v>
      </c>
      <c r="R458" s="729" t="s">
        <v>24</v>
      </c>
      <c r="S458" s="729" t="str">
        <f>IF($W$17=$AF$1,"design",IFERROR(VLOOKUP("design",Jazyky_ceník!$A:$Q,MATCH($W$17,Jazyky_ceník!$A$1:$Q$1,0),FALSE),"!!!"))</f>
        <v>design</v>
      </c>
      <c r="T458" s="729">
        <v>45</v>
      </c>
      <c r="U458" s="729">
        <v>25</v>
      </c>
      <c r="V458" s="729">
        <v>16</v>
      </c>
      <c r="W458" s="729" t="str">
        <f>IFERROR(VLOOKUP('General price list'!$C458,Popisy!A:P,MATCH($W$17,Popisy!$A$7:$P$7,0),FALSE),"---------------")</f>
        <v>9 různobarevných efektů</v>
      </c>
      <c r="X458" s="729" t="str">
        <f t="shared" si="990"/>
        <v/>
      </c>
      <c r="Y458" s="729" t="str">
        <f t="shared" si="991"/>
        <v/>
      </c>
      <c r="Z458" s="729" t="str">
        <f>HYPERLINK("https://www.klasekpyrotechnics.cz/c6620l")</f>
        <v>https://www.klasekpyrotechnics.cz/c6620l</v>
      </c>
      <c r="AA458" s="729">
        <f>IFERROR(IF(VLOOKUP(C458,[4]List1!$A:$D,4,FALSE)=0,"",VLOOKUP(C458,[4]List1!$A:$D,4,FALSE)),"")</f>
        <v>18</v>
      </c>
      <c r="AB458" s="720"/>
      <c r="AC458" s="751" t="str">
        <f>IFERROR(IF(VLOOKUP(C458,[1]List1!$A:$D,2,FALSE)="VYPRODÁNO",$V$9,IF(VLOOKUP(C458,[1]List1!$A:$D,2,FALSE)="DOCHÁZÍ",$V$3,VLOOKUP(C458,[1]List1!$A:$D,2,FALSE))),"OFFLINE!")</f>
        <v>20.03.2024</v>
      </c>
      <c r="AD458" s="752" t="str">
        <f ca="1">IF(AP458="NE",$V$10,IF(AC458=$V$3,IF(AQ458&lt;1,$V$8,$V$2&amp;" "&amp;AQ458&amp;" "&amp;$V$1),IF(AC458="SKLADEM",$V$6,IFERROR(IF(OR(AC458-TODAY()&gt;45,VLOOKUP(C458,[1]List1!$A:$E,4,FALSE)=0),AC458,DAY(AC458)&amp;"."&amp;MONTH(AC458)&amp;"."&amp;YEAR(AC458)&amp;" "&amp;$V$4&amp;VLOOKUP(C458,[1]List1!$A:$E,4,FALSE)&amp;" "&amp;$V$1),AC458))))</f>
        <v>20.3.2024 DORAZÍ 100+ VK</v>
      </c>
      <c r="AE458" s="729" t="str">
        <f t="shared" ca="1" si="992"/>
        <v>20.3.2024 DORAZÍ 100+ VK</v>
      </c>
      <c r="AF458" s="735">
        <f t="shared" si="993"/>
        <v>0</v>
      </c>
      <c r="AG458" s="735">
        <f t="shared" si="994"/>
        <v>0</v>
      </c>
      <c r="AH458" s="736">
        <f t="shared" si="995"/>
        <v>0</v>
      </c>
      <c r="AI458" s="729">
        <f t="shared" si="996"/>
        <v>0</v>
      </c>
      <c r="AJ458" s="729">
        <f t="shared" si="997"/>
        <v>0</v>
      </c>
      <c r="AK458" s="729" t="str">
        <f t="shared" si="998"/>
        <v/>
      </c>
      <c r="AL458" s="729">
        <f t="shared" si="999"/>
        <v>0</v>
      </c>
      <c r="AM458" s="729" t="str">
        <f t="shared" si="1000"/>
        <v/>
      </c>
      <c r="AN458" s="729">
        <f t="shared" si="1001"/>
        <v>0</v>
      </c>
      <c r="AO458" s="380"/>
      <c r="AP458" s="322" t="str">
        <f t="shared" si="844"/>
        <v/>
      </c>
      <c r="AQ458" s="323" t="str">
        <f>IF(AC458=$V$3,IF(VLOOKUP(C458,[1]List1!$A:$E,5,FALSE)=0,1,VLOOKUP(C458,[1]List1!$A:$E,5,FALSE)),"")</f>
        <v/>
      </c>
      <c r="AR458" s="304" t="str">
        <f t="shared" si="845"/>
        <v/>
      </c>
      <c r="AS458" s="423" t="str">
        <f t="shared" si="846"/>
        <v/>
      </c>
      <c r="AT458" s="304" t="str">
        <f t="shared" si="847"/>
        <v/>
      </c>
      <c r="AU458" s="342" t="e">
        <f t="shared" si="848"/>
        <v>#N/A</v>
      </c>
      <c r="AV458" s="304" t="e">
        <f t="shared" si="849"/>
        <v>#N/A</v>
      </c>
      <c r="AX458" s="304">
        <f>IF(AND('General price list'!$J458="F4",'General price list'!$AB458+0&gt;0),1,0)</f>
        <v>0</v>
      </c>
      <c r="AY458" s="304">
        <f t="shared" si="850"/>
        <v>1</v>
      </c>
      <c r="AZ458" s="304">
        <f t="shared" si="851"/>
        <v>0</v>
      </c>
    </row>
    <row r="459" spans="1:52" ht="15" customHeight="1">
      <c r="A459" s="773" t="str">
        <f>Kat.!C456</f>
        <v xml:space="preserve">                                                               Baterie 66ran, 20mm I+V+W+šikmý moždíř-1.4G</v>
      </c>
      <c r="B459" s="774"/>
      <c r="C459" s="774"/>
      <c r="D459" s="774"/>
      <c r="E459" s="774"/>
      <c r="F459" s="774"/>
      <c r="G459" s="774"/>
      <c r="H459" s="774"/>
      <c r="I459" s="774"/>
      <c r="J459" s="774"/>
      <c r="K459" s="774"/>
      <c r="L459" s="774"/>
      <c r="M459" s="774"/>
      <c r="N459" s="774"/>
      <c r="O459" s="774"/>
      <c r="P459" s="774"/>
      <c r="Q459" s="774"/>
      <c r="R459" s="774"/>
      <c r="S459" s="774"/>
      <c r="T459" s="774"/>
      <c r="U459" s="774"/>
      <c r="V459" s="774"/>
      <c r="W459" s="774"/>
      <c r="X459" s="774"/>
      <c r="Y459" s="774"/>
      <c r="Z459" s="774"/>
      <c r="AA459" s="774" t="str">
        <f>IFERROR(IF(VLOOKUP(C459,[4]List1!$A:$D,4,FALSE)=0,"",VLOOKUP(C459,[4]List1!$A:$D,4,FALSE)),"")</f>
        <v/>
      </c>
      <c r="AB459" s="774"/>
      <c r="AC459" s="775" t="str">
        <f>IFERROR(IF(VLOOKUP(C459,[1]List1!$A:$D,2,FALSE)="VYPRODÁNO",$V$9,IF(VLOOKUP(C459,[1]List1!$A:$D,2,FALSE)="DOCHÁZÍ",$V$3,VLOOKUP(C459,[1]List1!$A:$D,2,FALSE))),"OFFLINE!")</f>
        <v>OFFLINE!</v>
      </c>
      <c r="AD459" s="774"/>
      <c r="AE459" s="774"/>
      <c r="AF459" s="774"/>
      <c r="AG459" s="774"/>
      <c r="AH459" s="774"/>
      <c r="AI459" s="774"/>
      <c r="AJ459" s="774"/>
      <c r="AK459" s="774"/>
      <c r="AL459" s="774"/>
      <c r="AM459" s="774"/>
      <c r="AN459" s="774"/>
      <c r="AO459" s="380"/>
      <c r="AP459" s="322" t="str">
        <f t="shared" si="844"/>
        <v/>
      </c>
      <c r="AQ459" s="323" t="str">
        <f>IF(AC459=$V$3,IF(VLOOKUP(C459,[1]List1!$A:$E,5,FALSE)=0,1,VLOOKUP(C459,[1]List1!$A:$E,5,FALSE)),"")</f>
        <v/>
      </c>
      <c r="AR459" s="304" t="str">
        <f t="shared" si="845"/>
        <v/>
      </c>
      <c r="AS459" s="423" t="str">
        <f t="shared" si="846"/>
        <v/>
      </c>
      <c r="AT459" s="304" t="str">
        <f t="shared" si="847"/>
        <v/>
      </c>
      <c r="AU459" s="342" t="e">
        <f t="shared" si="848"/>
        <v>#N/A</v>
      </c>
      <c r="AV459" s="304" t="e">
        <f t="shared" si="849"/>
        <v>#N/A</v>
      </c>
      <c r="AX459" s="304">
        <f>IF(AND('General price list'!$J459="F4",'General price list'!$AB459+0&gt;0),1,0)</f>
        <v>0</v>
      </c>
      <c r="AY459" s="304">
        <f t="shared" si="850"/>
        <v>0</v>
      </c>
      <c r="AZ459" s="304">
        <f t="shared" si="851"/>
        <v>0</v>
      </c>
    </row>
    <row r="460" spans="1:52" ht="15" customHeight="1">
      <c r="A460" s="725" t="str">
        <f>Kat.!C457</f>
        <v/>
      </c>
      <c r="B460" s="741">
        <f>IF(AND('General price list'!$J460="F4",$AI$1=FALSE),0,IF(AC460="SKLADEM",1,IF(AC460=$V$3,1,0)))</f>
        <v>1</v>
      </c>
      <c r="C460" s="727" t="s">
        <v>1202</v>
      </c>
      <c r="D460" s="728" t="s">
        <v>1198</v>
      </c>
      <c r="E460" s="729" t="s">
        <v>1074</v>
      </c>
      <c r="F460" s="725">
        <f>IFERROR(ROUND(IF($AL$3=2,VLOOKUP(C460,[2]List1!$A:$D,2,FALSE)*1.08,VLOOKUP(C460,[2]List1!$A:$D,2,FALSE)),0),"NEUVEDENO!")</f>
        <v>729</v>
      </c>
      <c r="G460" s="730">
        <f t="shared" ref="G460:G461" si="1002">(F460)*$B$19</f>
        <v>729</v>
      </c>
      <c r="H460" s="731">
        <f t="shared" ref="H460:H461" si="1003">G460/$F$19</f>
        <v>29.623428922056657</v>
      </c>
      <c r="I460" s="742">
        <v>4</v>
      </c>
      <c r="J460" s="729" t="s">
        <v>46</v>
      </c>
      <c r="K460" s="729"/>
      <c r="L460" s="729" t="s">
        <v>14365</v>
      </c>
      <c r="M460" s="729" t="s">
        <v>25</v>
      </c>
      <c r="N460" s="729">
        <f>IFERROR(VLOOKUP(C460,[3]List1!$A:$D,4,FALSE),"N/A!")</f>
        <v>5.9062499999999997E-2</v>
      </c>
      <c r="O460" s="729">
        <f>IFERROR(VLOOKUP(C460,[3]List1!$A:$D,3,FALSE),"N/A!")</f>
        <v>1964</v>
      </c>
      <c r="P460" s="729">
        <f>IFERROR(VLOOKUP(C460,[3]List1!$A:$D,2,FALSE),"N/A!")</f>
        <v>14000</v>
      </c>
      <c r="Q460" s="729" t="s">
        <v>11318</v>
      </c>
      <c r="R460" s="729" t="s">
        <v>24</v>
      </c>
      <c r="S460" s="729" t="str">
        <f>IF($W$17=$AF$1,"design",IFERROR(VLOOKUP("design",Jazyky_ceník!$A:$Q,MATCH($W$17,Jazyky_ceník!$A$1:$Q$1,0),FALSE),"!!!"))</f>
        <v>design</v>
      </c>
      <c r="T460" s="729">
        <v>45</v>
      </c>
      <c r="U460" s="729">
        <v>25</v>
      </c>
      <c r="V460" s="729">
        <v>13</v>
      </c>
      <c r="W460" s="729" t="str">
        <f>IFERROR(VLOOKUP('General price list'!$C460,Popisy!A:P,MATCH($W$17,Popisy!$A$7:$P$7,0),FALSE),"---------------")</f>
        <v>9 různobarevných efektů</v>
      </c>
      <c r="X460" s="729" t="str">
        <f t="shared" ref="X460:X461" si="1004">IF(AB460&lt;0.0001,"",AB460)</f>
        <v/>
      </c>
      <c r="Y460" s="729" t="str">
        <f t="shared" ref="Y460:Y461" si="1005">IF($AL$3=2,IF(OR(AB460&lt;&gt;"",AB460&lt;&gt;0),AU460,""),IF(C460="","",IF(AB460&lt;0.0001,"",IF(B460=0,"",IF(AQ460&lt;AB460,"",AB460)))))</f>
        <v/>
      </c>
      <c r="Z460" s="729" t="str">
        <f>HYPERLINK("https://www.klasekpyrotechnics.cz/c6620p14")</f>
        <v>https://www.klasekpyrotechnics.cz/c6620p14</v>
      </c>
      <c r="AA460" s="729">
        <f>IFERROR(IF(VLOOKUP(C460,[4]List1!$A:$D,4,FALSE)=0,"",VLOOKUP(C460,[4]List1!$A:$D,4,FALSE)),"")</f>
        <v>18</v>
      </c>
      <c r="AB460" s="720"/>
      <c r="AC460" s="743" t="str">
        <f>IFERROR(IF(VLOOKUP(C460,[1]List1!$A:$D,2,FALSE)="VYPRODÁNO",$V$9,IF(VLOOKUP(C460,[1]List1!$A:$D,2,FALSE)="DOCHÁZÍ",$V$3,VLOOKUP(C460,[1]List1!$A:$D,2,FALSE))),"OFFLINE!")</f>
        <v>SKLADEM</v>
      </c>
      <c r="AD460" s="744" t="str">
        <f ca="1">IF(AP460="NE",$V$10,IF(AC460=$V$3,IF(AQ460&lt;1,$V$8,$V$2&amp;" "&amp;AQ460&amp;" "&amp;$V$1),IF(AC460="SKLADEM",$V$6,IFERROR(IF(OR(AC460-TODAY()&gt;45,VLOOKUP(C460,[1]List1!$A:$E,4,FALSE)=0),AC460,DAY(AC460)&amp;"."&amp;MONTH(AC460)&amp;"."&amp;YEAR(AC460)&amp;" "&amp;$V$4&amp;VLOOKUP(C460,[1]List1!$A:$E,4,FALSE)&amp;" "&amp;$V$1),AC460))))</f>
        <v>SKLADEM</v>
      </c>
      <c r="AE460" s="729" t="str">
        <f t="shared" ref="AE460:AE461" ca="1" si="1006">IFERROR(IF(AV460&lt;&gt;"",AV460,AD460),AD460)</f>
        <v>SKLADEM</v>
      </c>
      <c r="AF460" s="735">
        <f t="shared" ref="AF460:AF461" si="1007">IFERROR(IF(AB460=Y460,G460*I460*Y460,0),0)</f>
        <v>0</v>
      </c>
      <c r="AG460" s="735">
        <f t="shared" ref="AG460:AG461" si="1008">IF($W$17=$AF$8,AH460*1.23,AF460*1.21)</f>
        <v>0</v>
      </c>
      <c r="AH460" s="736">
        <f t="shared" ref="AH460:AH461" si="1009">IFERROR(IF(Y460=AB460,H460*I460*Y460,0),0)</f>
        <v>0</v>
      </c>
      <c r="AI460" s="729">
        <f t="shared" ref="AI460:AI461" si="1010">IFERROR(IF(Y460=AB460,(P460*Y460)/1000,1),0)</f>
        <v>0</v>
      </c>
      <c r="AJ460" s="729">
        <f t="shared" ref="AJ460:AJ461" si="1011">IFERROR(IF(Y460=AB460,N460*Y460,0.1),0)</f>
        <v>0</v>
      </c>
      <c r="AK460" s="729" t="str">
        <f t="shared" ref="AK460:AK461" si="1012">IFERROR(IF(Y460=AB460,IF(M460="1.1G",(O460/1000)*Y460,""),""),0)</f>
        <v/>
      </c>
      <c r="AL460" s="729" t="str">
        <f t="shared" ref="AL460:AL461" si="1013">IFERROR(IF(Y460=AB460,IF(M460="1.3G",(O460/1000)*AB460,""),""),0)</f>
        <v/>
      </c>
      <c r="AM460" s="729">
        <f t="shared" ref="AM460:AM461" si="1014">IFERROR(IF(Y460=AB460,IF(M460="1.4G",(O460/1000)*AB460,""),""),0)</f>
        <v>0</v>
      </c>
      <c r="AN460" s="729">
        <f t="shared" ref="AN460:AN461" si="1015">SUM(AK460:AM460)</f>
        <v>0</v>
      </c>
      <c r="AO460" s="380"/>
      <c r="AP460" s="322" t="str">
        <f t="shared" si="844"/>
        <v/>
      </c>
      <c r="AQ460" s="323" t="str">
        <f>IF(AC460=$V$3,IF(VLOOKUP(C460,[1]List1!$A:$E,5,FALSE)=0,1,VLOOKUP(C460,[1]List1!$A:$E,5,FALSE)),"")</f>
        <v/>
      </c>
      <c r="AR460" s="304" t="str">
        <f t="shared" si="845"/>
        <v/>
      </c>
      <c r="AS460" s="423" t="str">
        <f t="shared" si="846"/>
        <v/>
      </c>
      <c r="AT460" s="304" t="str">
        <f t="shared" si="847"/>
        <v/>
      </c>
      <c r="AU460" s="342" t="e">
        <f t="shared" si="848"/>
        <v>#N/A</v>
      </c>
      <c r="AV460" s="304" t="e">
        <f t="shared" si="849"/>
        <v>#N/A</v>
      </c>
      <c r="AX460" s="304">
        <f>IF(AND('General price list'!$J460="F4",'General price list'!$AB460+0&gt;0),1,0)</f>
        <v>0</v>
      </c>
      <c r="AY460" s="304">
        <f t="shared" si="850"/>
        <v>1</v>
      </c>
      <c r="AZ460" s="304">
        <f t="shared" si="851"/>
        <v>0</v>
      </c>
    </row>
    <row r="461" spans="1:52" ht="15" customHeight="1">
      <c r="A461" s="712" t="str">
        <f>Kat.!C458</f>
        <v/>
      </c>
      <c r="B461" s="745">
        <f>IF(AND('General price list'!$J461="F4",$AI$1=FALSE),0,IF(AC461="SKLADEM",1,IF(AC461=$V$3,1,0)))</f>
        <v>1</v>
      </c>
      <c r="C461" s="714" t="s">
        <v>1203</v>
      </c>
      <c r="D461" s="715" t="s">
        <v>1200</v>
      </c>
      <c r="E461" s="716" t="s">
        <v>1074</v>
      </c>
      <c r="F461" s="712">
        <f>IFERROR(ROUND(IF($AL$3=2,VLOOKUP(C461,[2]List1!$A:$D,2,FALSE)*1.08,VLOOKUP(C461,[2]List1!$A:$D,2,FALSE)),0),"NEUVEDENO!")</f>
        <v>729</v>
      </c>
      <c r="G461" s="717">
        <f t="shared" si="1002"/>
        <v>729</v>
      </c>
      <c r="H461" s="718">
        <f t="shared" si="1003"/>
        <v>29.623428922056657</v>
      </c>
      <c r="I461" s="746">
        <v>4</v>
      </c>
      <c r="J461" s="716" t="s">
        <v>46</v>
      </c>
      <c r="K461" s="716"/>
      <c r="L461" s="716" t="s">
        <v>14365</v>
      </c>
      <c r="M461" s="716" t="s">
        <v>25</v>
      </c>
      <c r="N461" s="716">
        <f>IFERROR(VLOOKUP(C461,[3]List1!$A:$D,4,FALSE),"N/A!")</f>
        <v>5.9062499999999997E-2</v>
      </c>
      <c r="O461" s="716">
        <f>IFERROR(VLOOKUP(C461,[3]List1!$A:$D,3,FALSE),"N/A!")</f>
        <v>1964</v>
      </c>
      <c r="P461" s="716">
        <f>IFERROR(VLOOKUP(C461,[3]List1!$A:$D,2,FALSE),"N/A!")</f>
        <v>14000</v>
      </c>
      <c r="Q461" s="716" t="s">
        <v>11318</v>
      </c>
      <c r="R461" s="716" t="s">
        <v>24</v>
      </c>
      <c r="S461" s="716" t="str">
        <f>IF($W$17=$AF$1,"design",IFERROR(VLOOKUP("design",Jazyky_ceník!$A:$Q,MATCH($W$17,Jazyky_ceník!$A$1:$Q$1,0),FALSE),"!!!"))</f>
        <v>design</v>
      </c>
      <c r="T461" s="716">
        <v>45</v>
      </c>
      <c r="U461" s="716">
        <v>25</v>
      </c>
      <c r="V461" s="716">
        <v>13</v>
      </c>
      <c r="W461" s="716" t="str">
        <f>IFERROR(VLOOKUP('General price list'!$C461,Popisy!A:P,MATCH($W$17,Popisy!$A$7:$P$7,0),FALSE),"---------------")</f>
        <v>9 různobarevných efektů</v>
      </c>
      <c r="X461" s="716" t="str">
        <f t="shared" si="1004"/>
        <v/>
      </c>
      <c r="Y461" s="716" t="str">
        <f t="shared" si="1005"/>
        <v/>
      </c>
      <c r="Z461" s="716" t="str">
        <f>HYPERLINK("https://www.klasekpyrotechnics.cz/c6620l14")</f>
        <v>https://www.klasekpyrotechnics.cz/c6620l14</v>
      </c>
      <c r="AA461" s="716">
        <f>IFERROR(IF(VLOOKUP(C461,[4]List1!$A:$D,4,FALSE)=0,"",VLOOKUP(C461,[4]List1!$A:$D,4,FALSE)),"")</f>
        <v>18</v>
      </c>
      <c r="AB461" s="720"/>
      <c r="AC461" s="747" t="str">
        <f>IFERROR(IF(VLOOKUP(C461,[1]List1!$A:$D,2,FALSE)="VYPRODÁNO",$V$9,IF(VLOOKUP(C461,[1]List1!$A:$D,2,FALSE)="DOCHÁZÍ",$V$3,VLOOKUP(C461,[1]List1!$A:$D,2,FALSE))),"OFFLINE!")</f>
        <v>SKLADEM</v>
      </c>
      <c r="AD461" s="748" t="str">
        <f ca="1">IF(AP461="NE",$V$10,IF(AC461=$V$3,IF(AQ461&lt;1,$V$8,$V$2&amp;" "&amp;AQ461&amp;" "&amp;$V$1),IF(AC461="SKLADEM",$V$6,IFERROR(IF(OR(AC461-TODAY()&gt;45,VLOOKUP(C461,[1]List1!$A:$E,4,FALSE)=0),AC461,DAY(AC461)&amp;"."&amp;MONTH(AC461)&amp;"."&amp;YEAR(AC461)&amp;" "&amp;$V$4&amp;VLOOKUP(C461,[1]List1!$A:$E,4,FALSE)&amp;" "&amp;$V$1),AC461))))</f>
        <v>SKLADEM</v>
      </c>
      <c r="AE461" s="716" t="str">
        <f t="shared" ca="1" si="1006"/>
        <v>SKLADEM</v>
      </c>
      <c r="AF461" s="723">
        <f t="shared" si="1007"/>
        <v>0</v>
      </c>
      <c r="AG461" s="723">
        <f t="shared" si="1008"/>
        <v>0</v>
      </c>
      <c r="AH461" s="724">
        <f t="shared" si="1009"/>
        <v>0</v>
      </c>
      <c r="AI461" s="716">
        <f t="shared" si="1010"/>
        <v>0</v>
      </c>
      <c r="AJ461" s="716">
        <f t="shared" si="1011"/>
        <v>0</v>
      </c>
      <c r="AK461" s="716" t="str">
        <f t="shared" si="1012"/>
        <v/>
      </c>
      <c r="AL461" s="716" t="str">
        <f t="shared" si="1013"/>
        <v/>
      </c>
      <c r="AM461" s="716">
        <f t="shared" si="1014"/>
        <v>0</v>
      </c>
      <c r="AN461" s="716">
        <f t="shared" si="1015"/>
        <v>0</v>
      </c>
      <c r="AO461" s="380"/>
      <c r="AP461" s="322" t="str">
        <f t="shared" si="844"/>
        <v/>
      </c>
      <c r="AQ461" s="323" t="str">
        <f>IF(AC461=$V$3,IF(VLOOKUP(C461,[1]List1!$A:$E,5,FALSE)=0,1,VLOOKUP(C461,[1]List1!$A:$E,5,FALSE)),"")</f>
        <v/>
      </c>
      <c r="AR461" s="304" t="str">
        <f t="shared" si="845"/>
        <v/>
      </c>
      <c r="AS461" s="423" t="str">
        <f t="shared" si="846"/>
        <v/>
      </c>
      <c r="AT461" s="304" t="str">
        <f t="shared" si="847"/>
        <v/>
      </c>
      <c r="AU461" s="342" t="e">
        <f t="shared" si="848"/>
        <v>#N/A</v>
      </c>
      <c r="AV461" s="304" t="e">
        <f t="shared" si="849"/>
        <v>#N/A</v>
      </c>
      <c r="AX461" s="304">
        <f>IF(AND('General price list'!$J461="F4",'General price list'!$AB461+0&gt;0),1,0)</f>
        <v>0</v>
      </c>
      <c r="AY461" s="304">
        <f t="shared" si="850"/>
        <v>1</v>
      </c>
      <c r="AZ461" s="304">
        <f t="shared" si="851"/>
        <v>0</v>
      </c>
    </row>
    <row r="462" spans="1:52" ht="15" customHeight="1">
      <c r="A462" s="773" t="str">
        <f>Kat.!C459</f>
        <v xml:space="preserve">                                                               Baterie 90ran, 20mm moždíř-1.3G</v>
      </c>
      <c r="B462" s="774"/>
      <c r="C462" s="774"/>
      <c r="D462" s="774"/>
      <c r="E462" s="774"/>
      <c r="F462" s="774"/>
      <c r="G462" s="774"/>
      <c r="H462" s="774"/>
      <c r="I462" s="774"/>
      <c r="J462" s="774"/>
      <c r="K462" s="774"/>
      <c r="L462" s="774"/>
      <c r="M462" s="774"/>
      <c r="N462" s="774"/>
      <c r="O462" s="774"/>
      <c r="P462" s="774"/>
      <c r="Q462" s="774"/>
      <c r="R462" s="774"/>
      <c r="S462" s="774"/>
      <c r="T462" s="774"/>
      <c r="U462" s="774"/>
      <c r="V462" s="774"/>
      <c r="W462" s="774"/>
      <c r="X462" s="774"/>
      <c r="Y462" s="774"/>
      <c r="Z462" s="774"/>
      <c r="AA462" s="774" t="str">
        <f>IFERROR(IF(VLOOKUP(C462,[4]List1!$A:$D,4,FALSE)=0,"",VLOOKUP(C462,[4]List1!$A:$D,4,FALSE)),"")</f>
        <v/>
      </c>
      <c r="AB462" s="774"/>
      <c r="AC462" s="775" t="str">
        <f>IFERROR(IF(VLOOKUP(C462,[1]List1!$A:$D,2,FALSE)="VYPRODÁNO",$V$9,IF(VLOOKUP(C462,[1]List1!$A:$D,2,FALSE)="DOCHÁZÍ",$V$3,VLOOKUP(C462,[1]List1!$A:$D,2,FALSE))),"OFFLINE!")</f>
        <v>OFFLINE!</v>
      </c>
      <c r="AD462" s="774"/>
      <c r="AE462" s="774"/>
      <c r="AF462" s="774"/>
      <c r="AG462" s="774"/>
      <c r="AH462" s="774"/>
      <c r="AI462" s="774"/>
      <c r="AJ462" s="774"/>
      <c r="AK462" s="774"/>
      <c r="AL462" s="774"/>
      <c r="AM462" s="774"/>
      <c r="AN462" s="774"/>
      <c r="AO462" s="380"/>
      <c r="AP462" s="322" t="str">
        <f t="shared" si="844"/>
        <v/>
      </c>
      <c r="AQ462" s="323" t="str">
        <f>IF(AC462=$V$3,IF(VLOOKUP(C462,[1]List1!$A:$E,5,FALSE)=0,1,VLOOKUP(C462,[1]List1!$A:$E,5,FALSE)),"")</f>
        <v/>
      </c>
      <c r="AR462" s="304" t="str">
        <f t="shared" si="845"/>
        <v/>
      </c>
      <c r="AS462" s="423" t="str">
        <f t="shared" si="846"/>
        <v/>
      </c>
      <c r="AT462" s="304" t="str">
        <f t="shared" si="847"/>
        <v/>
      </c>
      <c r="AU462" s="342" t="e">
        <f t="shared" si="848"/>
        <v>#N/A</v>
      </c>
      <c r="AV462" s="304" t="e">
        <f t="shared" si="849"/>
        <v>#N/A</v>
      </c>
      <c r="AX462" s="304">
        <f>IF(AND('General price list'!$J462="F4",'General price list'!$AB462+0&gt;0),1,0)</f>
        <v>0</v>
      </c>
      <c r="AY462" s="304">
        <f t="shared" si="850"/>
        <v>0</v>
      </c>
      <c r="AZ462" s="304">
        <f t="shared" si="851"/>
        <v>0</v>
      </c>
    </row>
    <row r="463" spans="1:52" ht="15" customHeight="1">
      <c r="A463" s="712" t="str">
        <f>Kat.!C460</f>
        <v/>
      </c>
      <c r="B463" s="713">
        <f>IF(AND('General price list'!$J463="F4",$AI$1=FALSE),0,IF(AC463="SKLADEM",1,IF(AC463=$V$3,1,0)))</f>
        <v>0</v>
      </c>
      <c r="C463" s="714" t="s">
        <v>1204</v>
      </c>
      <c r="D463" s="715" t="s">
        <v>12844</v>
      </c>
      <c r="E463" s="716" t="s">
        <v>1077</v>
      </c>
      <c r="F463" s="712">
        <f>IFERROR(ROUND(IF($AL$3=2,VLOOKUP(C463,[2]List1!$A:$D,2,FALSE)*1.08,VLOOKUP(C463,[2]List1!$A:$D,2,FALSE)),0),"NEUVEDENO!")</f>
        <v>818</v>
      </c>
      <c r="G463" s="717">
        <f t="shared" ref="G463:G465" si="1016">(F463)*$B$19</f>
        <v>818</v>
      </c>
      <c r="H463" s="718">
        <f t="shared" ref="H463:H465" si="1017">G463/$F$19</f>
        <v>33.240006664255617</v>
      </c>
      <c r="I463" s="719">
        <v>6</v>
      </c>
      <c r="J463" s="716" t="s">
        <v>137</v>
      </c>
      <c r="K463" s="716" t="s">
        <v>12734</v>
      </c>
      <c r="L463" s="716" t="s">
        <v>24</v>
      </c>
      <c r="M463" s="716" t="s">
        <v>138</v>
      </c>
      <c r="N463" s="716">
        <f>IFERROR(VLOOKUP(C463,[3]List1!$A:$D,4,FALSE),"N/A!")</f>
        <v>5.0232000000000006E-2</v>
      </c>
      <c r="O463" s="716">
        <f>IFERROR(VLOOKUP(C463,[3]List1!$A:$D,3,FALSE),"N/A!")</f>
        <v>5940</v>
      </c>
      <c r="P463" s="716">
        <f>IFERROR(VLOOKUP(C463,[3]List1!$A:$D,2,FALSE),"N/A!")</f>
        <v>26700</v>
      </c>
      <c r="Q463" s="716" t="s">
        <v>11319</v>
      </c>
      <c r="R463" s="716" t="s">
        <v>24</v>
      </c>
      <c r="S463" s="716" t="str">
        <f>IF($W$17=$AF$1,"design",IFERROR(VLOOKUP("design",Jazyky_ceník!$A:$Q,MATCH($W$17,Jazyky_ceník!$A$1:$Q$1,0),FALSE),"!!!"))</f>
        <v>design</v>
      </c>
      <c r="T463" s="716">
        <v>65</v>
      </c>
      <c r="U463" s="716">
        <v>27</v>
      </c>
      <c r="V463" s="716">
        <v>18</v>
      </c>
      <c r="W463" s="716" t="str">
        <f>IFERROR(VLOOKUP('General price list'!$C463,Popisy!A:P,MATCH($W$17,Popisy!$A$7:$P$7,0),FALSE),"---------------")</f>
        <v>10 různobarevných efektů</v>
      </c>
      <c r="X463" s="716" t="str">
        <f t="shared" ref="X463:X465" si="1018">IF(AB463&lt;0.0001,"",AB463)</f>
        <v/>
      </c>
      <c r="Y463" s="716" t="str">
        <f t="shared" ref="Y463:Y465" si="1019">IF($AL$3=2,IF(OR(AB463&lt;&gt;"",AB463&lt;&gt;0),AU463,""),IF(C463="","",IF(AB463&lt;0.0001,"",IF(B463=0,"",IF(AQ463&lt;AB463,"",AB463)))))</f>
        <v/>
      </c>
      <c r="Z463" s="716" t="str">
        <f>HYPERLINK("https://www.klasekpyrotechnics.cz/c9020sig")</f>
        <v>https://www.klasekpyrotechnics.cz/c9020sig</v>
      </c>
      <c r="AA463" s="716">
        <f>IFERROR(IF(VLOOKUP(C463,[4]List1!$A:$D,4,FALSE)=0,"",VLOOKUP(C463,[4]List1!$A:$D,4,FALSE)),"")</f>
        <v>24</v>
      </c>
      <c r="AB463" s="720"/>
      <c r="AC463" s="721" t="str">
        <f>IFERROR(IF(VLOOKUP(C463,[1]List1!$A:$D,2,FALSE)="VYPRODÁNO",$V$9,IF(VLOOKUP(C463,[1]List1!$A:$D,2,FALSE)="DOCHÁZÍ",$V$3,VLOOKUP(C463,[1]List1!$A:$D,2,FALSE))),"OFFLINE!")</f>
        <v>30.09.2024</v>
      </c>
      <c r="AD463" s="722" t="str">
        <f ca="1">IF(AP463="NE",$V$10,IF(AC463=$V$3,IF(AQ463&lt;1,$V$8,$V$2&amp;" "&amp;AQ463&amp;" "&amp;$V$1),IF(AC463="SKLADEM",$V$6,IFERROR(IF(OR(AC463-TODAY()&gt;45,VLOOKUP(C463,[1]List1!$A:$E,4,FALSE)=0),AC463,DAY(AC463)&amp;"."&amp;MONTH(AC463)&amp;"."&amp;YEAR(AC463)&amp;" "&amp;$V$4&amp;VLOOKUP(C463,[1]List1!$A:$E,4,FALSE)&amp;" "&amp;$V$1),AC463))))</f>
        <v>30.09.2024</v>
      </c>
      <c r="AE463" s="716" t="str">
        <f t="shared" ref="AE463:AE465" ca="1" si="1020">IFERROR(IF(AV463&lt;&gt;"",AV463,AD463),AD463)</f>
        <v>30.09.2024</v>
      </c>
      <c r="AF463" s="723">
        <f t="shared" ref="AF463:AF465" si="1021">IFERROR(IF(AB463=Y463,G463*I463*Y463,0),0)</f>
        <v>0</v>
      </c>
      <c r="AG463" s="723">
        <f t="shared" ref="AG463:AG465" si="1022">IF($W$17=$AF$8,AH463*1.23,AF463*1.21)</f>
        <v>0</v>
      </c>
      <c r="AH463" s="724">
        <f t="shared" ref="AH463:AH465" si="1023">IFERROR(IF(Y463=AB463,H463*I463*Y463,0),0)</f>
        <v>0</v>
      </c>
      <c r="AI463" s="716">
        <f t="shared" ref="AI463:AI465" si="1024">IFERROR(IF(Y463=AB463,(P463*Y463)/1000,1),0)</f>
        <v>0</v>
      </c>
      <c r="AJ463" s="716">
        <f t="shared" ref="AJ463:AJ465" si="1025">IFERROR(IF(Y463=AB463,N463*Y463,0.1),0)</f>
        <v>0</v>
      </c>
      <c r="AK463" s="716" t="str">
        <f t="shared" ref="AK463:AK465" si="1026">IFERROR(IF(Y463=AB463,IF(M463="1.1G",(O463/1000)*Y463,""),""),0)</f>
        <v/>
      </c>
      <c r="AL463" s="716">
        <f t="shared" ref="AL463:AL465" si="1027">IFERROR(IF(Y463=AB463,IF(M463="1.3G",(O463/1000)*AB463,""),""),0)</f>
        <v>0</v>
      </c>
      <c r="AM463" s="716" t="str">
        <f t="shared" ref="AM463:AM465" si="1028">IFERROR(IF(Y463=AB463,IF(M463="1.4G",(O463/1000)*AB463,""),""),0)</f>
        <v/>
      </c>
      <c r="AN463" s="716">
        <f t="shared" ref="AN463:AN465" si="1029">SUM(AK463:AM463)</f>
        <v>0</v>
      </c>
      <c r="AO463" s="380"/>
      <c r="AP463" s="322" t="str">
        <f t="shared" si="844"/>
        <v/>
      </c>
      <c r="AQ463" s="323" t="str">
        <f>IF(AC463=$V$3,IF(VLOOKUP(C463,[1]List1!$A:$E,5,FALSE)=0,1,VLOOKUP(C463,[1]List1!$A:$E,5,FALSE)),"")</f>
        <v/>
      </c>
      <c r="AR463" s="304" t="str">
        <f t="shared" si="845"/>
        <v/>
      </c>
      <c r="AS463" s="423" t="str">
        <f t="shared" si="846"/>
        <v/>
      </c>
      <c r="AT463" s="304" t="str">
        <f t="shared" si="847"/>
        <v/>
      </c>
      <c r="AU463" s="342" t="e">
        <f t="shared" si="848"/>
        <v>#N/A</v>
      </c>
      <c r="AV463" s="304" t="e">
        <f t="shared" si="849"/>
        <v>#N/A</v>
      </c>
      <c r="AX463" s="304">
        <f>IF(AND('General price list'!$J463="F4",'General price list'!$AB463+0&gt;0),1,0)</f>
        <v>0</v>
      </c>
      <c r="AY463" s="304">
        <f t="shared" si="850"/>
        <v>1</v>
      </c>
      <c r="AZ463" s="304">
        <f t="shared" si="851"/>
        <v>0</v>
      </c>
    </row>
    <row r="464" spans="1:52" ht="15" customHeight="1">
      <c r="A464" s="725" t="str">
        <f>Kat.!C461</f>
        <v/>
      </c>
      <c r="B464" s="726">
        <f>IF(AND('General price list'!$J464="F4",$AI$1=FALSE),0,IF(AC464="SKLADEM",1,IF(AC464=$V$3,1,0)))</f>
        <v>1</v>
      </c>
      <c r="C464" s="727" t="s">
        <v>1205</v>
      </c>
      <c r="D464" s="728" t="s">
        <v>1206</v>
      </c>
      <c r="E464" s="729" t="s">
        <v>1077</v>
      </c>
      <c r="F464" s="725">
        <f>IFERROR(ROUND(IF($AL$3=2,VLOOKUP(C464,[2]List1!$A:$D,2,FALSE)*1.08,VLOOKUP(C464,[2]List1!$A:$D,2,FALSE)),0),"NEUVEDENO!")</f>
        <v>699</v>
      </c>
      <c r="G464" s="730">
        <f t="shared" si="1016"/>
        <v>699</v>
      </c>
      <c r="H464" s="731">
        <f t="shared" si="1017"/>
        <v>28.404357773000825</v>
      </c>
      <c r="I464" s="732">
        <v>6</v>
      </c>
      <c r="J464" s="729" t="s">
        <v>137</v>
      </c>
      <c r="K464" s="729" t="s">
        <v>14734</v>
      </c>
      <c r="L464" s="729" t="s">
        <v>14393</v>
      </c>
      <c r="M464" s="729" t="s">
        <v>138</v>
      </c>
      <c r="N464" s="729">
        <f>IFERROR(VLOOKUP(C464,[3]List1!$A:$D,4,FALSE),"N/A!")</f>
        <v>5.0232000000000006E-2</v>
      </c>
      <c r="O464" s="729">
        <f>IFERROR(VLOOKUP(C464,[3]List1!$A:$D,3,FALSE),"N/A!")</f>
        <v>4320</v>
      </c>
      <c r="P464" s="729">
        <f>IFERROR(VLOOKUP(C464,[3]List1!$A:$D,2,FALSE),"N/A!")</f>
        <v>24000</v>
      </c>
      <c r="Q464" s="729" t="s">
        <v>14159</v>
      </c>
      <c r="R464" s="729" t="s">
        <v>24</v>
      </c>
      <c r="S464" s="729" t="str">
        <f>IF($W$17=$AF$1,"design",IFERROR(VLOOKUP("design",Jazyky_ceník!$A:$Q,MATCH($W$17,Jazyky_ceník!$A$1:$Q$1,0),FALSE),"!!!"))</f>
        <v>design</v>
      </c>
      <c r="T464" s="729">
        <v>70</v>
      </c>
      <c r="U464" s="729">
        <v>25</v>
      </c>
      <c r="V464" s="729">
        <v>16</v>
      </c>
      <c r="W464" s="729" t="str">
        <f>IFERROR(VLOOKUP('General price list'!$C464,Popisy!A:P,MATCH($W$17,Popisy!$A$7:$P$7,0),FALSE),"---------------")</f>
        <v>10 různobarevných efektů</v>
      </c>
      <c r="X464" s="729" t="str">
        <f t="shared" si="1018"/>
        <v/>
      </c>
      <c r="Y464" s="729" t="str">
        <f t="shared" si="1019"/>
        <v/>
      </c>
      <c r="Z464" s="729" t="str">
        <f>HYPERLINK("https://www.klasekpyrotechnics.cz/c9020v")</f>
        <v>https://www.klasekpyrotechnics.cz/c9020v</v>
      </c>
      <c r="AA464" s="729">
        <f>IFERROR(IF(VLOOKUP(C464,[4]List1!$A:$D,4,FALSE)=0,"",VLOOKUP(C464,[4]List1!$A:$D,4,FALSE)),"")</f>
        <v>24</v>
      </c>
      <c r="AB464" s="720"/>
      <c r="AC464" s="733" t="str">
        <f>IFERROR(IF(VLOOKUP(C464,[1]List1!$A:$D,2,FALSE)="VYPRODÁNO",$V$9,IF(VLOOKUP(C464,[1]List1!$A:$D,2,FALSE)="DOCHÁZÍ",$V$3,VLOOKUP(C464,[1]List1!$A:$D,2,FALSE))),"OFFLINE!")</f>
        <v>SKLADEM</v>
      </c>
      <c r="AD464" s="734" t="str">
        <f ca="1">IF(AP464="NE",$V$10,IF(AC464=$V$3,IF(AQ464&lt;1,$V$8,$V$2&amp;" "&amp;AQ464&amp;" "&amp;$V$1),IF(AC464="SKLADEM",$V$6,IFERROR(IF(OR(AC464-TODAY()&gt;45,VLOOKUP(C464,[1]List1!$A:$E,4,FALSE)=0),AC464,DAY(AC464)&amp;"."&amp;MONTH(AC464)&amp;"."&amp;YEAR(AC464)&amp;" "&amp;$V$4&amp;VLOOKUP(C464,[1]List1!$A:$E,4,FALSE)&amp;" "&amp;$V$1),AC464))))</f>
        <v>SKLADEM</v>
      </c>
      <c r="AE464" s="729" t="str">
        <f t="shared" ca="1" si="1020"/>
        <v>SKLADEM</v>
      </c>
      <c r="AF464" s="735">
        <f t="shared" si="1021"/>
        <v>0</v>
      </c>
      <c r="AG464" s="735">
        <f t="shared" si="1022"/>
        <v>0</v>
      </c>
      <c r="AH464" s="736">
        <f t="shared" si="1023"/>
        <v>0</v>
      </c>
      <c r="AI464" s="729">
        <f t="shared" si="1024"/>
        <v>0</v>
      </c>
      <c r="AJ464" s="729">
        <f t="shared" si="1025"/>
        <v>0</v>
      </c>
      <c r="AK464" s="729" t="str">
        <f t="shared" si="1026"/>
        <v/>
      </c>
      <c r="AL464" s="729">
        <f t="shared" si="1027"/>
        <v>0</v>
      </c>
      <c r="AM464" s="729" t="str">
        <f t="shared" si="1028"/>
        <v/>
      </c>
      <c r="AN464" s="729">
        <f t="shared" si="1029"/>
        <v>0</v>
      </c>
      <c r="AO464" s="380"/>
      <c r="AP464" s="322" t="str">
        <f t="shared" si="844"/>
        <v/>
      </c>
      <c r="AQ464" s="323" t="str">
        <f>IF(AC464=$V$3,IF(VLOOKUP(C464,[1]List1!$A:$E,5,FALSE)=0,1,VLOOKUP(C464,[1]List1!$A:$E,5,FALSE)),"")</f>
        <v/>
      </c>
      <c r="AR464" s="304" t="str">
        <f t="shared" si="845"/>
        <v/>
      </c>
      <c r="AS464" s="423" t="str">
        <f t="shared" si="846"/>
        <v/>
      </c>
      <c r="AT464" s="304" t="str">
        <f t="shared" si="847"/>
        <v/>
      </c>
      <c r="AU464" s="342" t="e">
        <f t="shared" si="848"/>
        <v>#N/A</v>
      </c>
      <c r="AV464" s="304" t="e">
        <f t="shared" si="849"/>
        <v>#N/A</v>
      </c>
      <c r="AX464" s="304">
        <f>IF(AND('General price list'!$J464="F4",'General price list'!$AB464+0&gt;0),1,0)</f>
        <v>0</v>
      </c>
      <c r="AY464" s="304">
        <f t="shared" si="850"/>
        <v>1</v>
      </c>
      <c r="AZ464" s="304">
        <f t="shared" si="851"/>
        <v>0</v>
      </c>
    </row>
    <row r="465" spans="1:52" ht="15" customHeight="1">
      <c r="A465" s="712" t="str">
        <f>Kat.!C462</f>
        <v/>
      </c>
      <c r="B465" s="737">
        <f>IF(AND('General price list'!$J465="F4",$AI$1=FALSE),0,IF(AC465="SKLADEM",1,IF(AC465=$V$3,1,0)))</f>
        <v>1</v>
      </c>
      <c r="C465" s="714" t="s">
        <v>1207</v>
      </c>
      <c r="D465" s="715" t="s">
        <v>1208</v>
      </c>
      <c r="E465" s="716" t="s">
        <v>1077</v>
      </c>
      <c r="F465" s="712">
        <f>IFERROR(ROUND(IF($AL$3=2,VLOOKUP(C465,[2]List1!$A:$D,2,FALSE)*1.08,VLOOKUP(C465,[2]List1!$A:$D,2,FALSE)),0),"NEUVEDENO!")</f>
        <v>699</v>
      </c>
      <c r="G465" s="717">
        <f t="shared" si="1016"/>
        <v>699</v>
      </c>
      <c r="H465" s="718">
        <f t="shared" si="1017"/>
        <v>28.404357773000825</v>
      </c>
      <c r="I465" s="738">
        <v>6</v>
      </c>
      <c r="J465" s="716" t="s">
        <v>137</v>
      </c>
      <c r="K465" s="716" t="s">
        <v>14734</v>
      </c>
      <c r="L465" s="716" t="s">
        <v>14393</v>
      </c>
      <c r="M465" s="716" t="s">
        <v>138</v>
      </c>
      <c r="N465" s="716">
        <f>IFERROR(VLOOKUP(C465,[3]List1!$A:$D,4,FALSE),"N/A!")</f>
        <v>5.0232000000000006E-2</v>
      </c>
      <c r="O465" s="716">
        <f>IFERROR(VLOOKUP(C465,[3]List1!$A:$D,3,FALSE),"N/A!")</f>
        <v>4320</v>
      </c>
      <c r="P465" s="716">
        <f>IFERROR(VLOOKUP(C465,[3]List1!$A:$D,2,FALSE),"N/A!")</f>
        <v>25300</v>
      </c>
      <c r="Q465" s="716" t="s">
        <v>14159</v>
      </c>
      <c r="R465" s="716" t="s">
        <v>24</v>
      </c>
      <c r="S465" s="716" t="str">
        <f>IF($W$17=$AF$1,"design",IFERROR(VLOOKUP("design",Jazyky_ceník!$A:$Q,MATCH($W$17,Jazyky_ceník!$A$1:$Q$1,0),FALSE),"!!!"))</f>
        <v>design</v>
      </c>
      <c r="T465" s="716">
        <v>65</v>
      </c>
      <c r="U465" s="716">
        <v>25</v>
      </c>
      <c r="V465" s="716">
        <v>16</v>
      </c>
      <c r="W465" s="716" t="str">
        <f>IFERROR(VLOOKUP('General price list'!$C465,Popisy!A:P,MATCH($W$17,Popisy!$A$7:$P$7,0),FALSE),"---------------")</f>
        <v>10 různobarevných efektů</v>
      </c>
      <c r="X465" s="716" t="str">
        <f t="shared" si="1018"/>
        <v/>
      </c>
      <c r="Y465" s="716" t="str">
        <f t="shared" si="1019"/>
        <v/>
      </c>
      <c r="Z465" s="716" t="str">
        <f>HYPERLINK("https://www.klasekpyrotechnics.cz/c9020x")</f>
        <v>https://www.klasekpyrotechnics.cz/c9020x</v>
      </c>
      <c r="AA465" s="716">
        <f>IFERROR(IF(VLOOKUP(C465,[4]List1!$A:$D,4,FALSE)=0,"",VLOOKUP(C465,[4]List1!$A:$D,4,FALSE)),"")</f>
        <v>24</v>
      </c>
      <c r="AB465" s="720"/>
      <c r="AC465" s="739" t="str">
        <f>IFERROR(IF(VLOOKUP(C465,[1]List1!$A:$D,2,FALSE)="VYPRODÁNO",$V$9,IF(VLOOKUP(C465,[1]List1!$A:$D,2,FALSE)="DOCHÁZÍ",$V$3,VLOOKUP(C465,[1]List1!$A:$D,2,FALSE))),"OFFLINE!")</f>
        <v>DOCHÁZÍ</v>
      </c>
      <c r="AD465" s="740" t="str">
        <f ca="1">IF(AP465="NE",$V$10,IF(AC465=$V$3,IF(AQ465&lt;1,$V$8,$V$2&amp;" "&amp;AQ465&amp;" "&amp;$V$1),IF(AC465="SKLADEM",$V$6,IFERROR(IF(OR(AC465-TODAY()&gt;45,VLOOKUP(C465,[1]List1!$A:$E,4,FALSE)=0),AC465,DAY(AC465)&amp;"."&amp;MONTH(AC465)&amp;"."&amp;YEAR(AC465)&amp;" "&amp;$V$4&amp;VLOOKUP(C465,[1]List1!$A:$E,4,FALSE)&amp;" "&amp;$V$1),AC465))))</f>
        <v>POSLEDNÍCH 55 VK</v>
      </c>
      <c r="AE465" s="716" t="str">
        <f t="shared" ca="1" si="1020"/>
        <v>POSLEDNÍCH 55 VK</v>
      </c>
      <c r="AF465" s="723">
        <f t="shared" si="1021"/>
        <v>0</v>
      </c>
      <c r="AG465" s="723">
        <f t="shared" si="1022"/>
        <v>0</v>
      </c>
      <c r="AH465" s="724">
        <f t="shared" si="1023"/>
        <v>0</v>
      </c>
      <c r="AI465" s="716">
        <f t="shared" si="1024"/>
        <v>0</v>
      </c>
      <c r="AJ465" s="716">
        <f t="shared" si="1025"/>
        <v>0</v>
      </c>
      <c r="AK465" s="716" t="str">
        <f t="shared" si="1026"/>
        <v/>
      </c>
      <c r="AL465" s="716">
        <f t="shared" si="1027"/>
        <v>0</v>
      </c>
      <c r="AM465" s="716" t="str">
        <f t="shared" si="1028"/>
        <v/>
      </c>
      <c r="AN465" s="716">
        <f t="shared" si="1029"/>
        <v>0</v>
      </c>
      <c r="AO465" s="380"/>
      <c r="AP465" s="322" t="str">
        <f t="shared" si="844"/>
        <v/>
      </c>
      <c r="AQ465" s="323">
        <f>IF(AC465=$V$3,IF(VLOOKUP(C465,[1]List1!$A:$E,5,FALSE)=0,1,VLOOKUP(C465,[1]List1!$A:$E,5,FALSE)),"")</f>
        <v>55</v>
      </c>
      <c r="AR465" s="304" t="str">
        <f t="shared" si="845"/>
        <v/>
      </c>
      <c r="AS465" s="423" t="str">
        <f t="shared" si="846"/>
        <v/>
      </c>
      <c r="AT465" s="304" t="str">
        <f t="shared" si="847"/>
        <v/>
      </c>
      <c r="AU465" s="342" t="e">
        <f t="shared" si="848"/>
        <v>#N/A</v>
      </c>
      <c r="AV465" s="304" t="e">
        <f t="shared" si="849"/>
        <v>#N/A</v>
      </c>
      <c r="AX465" s="304">
        <f>IF(AND('General price list'!$J465="F4",'General price list'!$AB465+0&gt;0),1,0)</f>
        <v>0</v>
      </c>
      <c r="AY465" s="304">
        <f t="shared" si="850"/>
        <v>1</v>
      </c>
      <c r="AZ465" s="304">
        <f t="shared" si="851"/>
        <v>0</v>
      </c>
    </row>
    <row r="466" spans="1:52" ht="15" customHeight="1">
      <c r="A466" s="773" t="str">
        <f>Kat.!C463</f>
        <v xml:space="preserve">                                                               Baterie 100ran, 20mm moždíř-1.4G</v>
      </c>
      <c r="B466" s="774"/>
      <c r="C466" s="774"/>
      <c r="D466" s="774"/>
      <c r="E466" s="774"/>
      <c r="F466" s="774"/>
      <c r="G466" s="774"/>
      <c r="H466" s="774"/>
      <c r="I466" s="774"/>
      <c r="J466" s="774"/>
      <c r="K466" s="774"/>
      <c r="L466" s="774"/>
      <c r="M466" s="774"/>
      <c r="N466" s="774"/>
      <c r="O466" s="774"/>
      <c r="P466" s="774"/>
      <c r="Q466" s="774"/>
      <c r="R466" s="774"/>
      <c r="S466" s="774"/>
      <c r="T466" s="774"/>
      <c r="U466" s="774"/>
      <c r="V466" s="774"/>
      <c r="W466" s="774"/>
      <c r="X466" s="774"/>
      <c r="Y466" s="774"/>
      <c r="Z466" s="774"/>
      <c r="AA466" s="774" t="str">
        <f>IFERROR(IF(VLOOKUP(C466,[4]List1!$A:$D,4,FALSE)=0,"",VLOOKUP(C466,[4]List1!$A:$D,4,FALSE)),"")</f>
        <v/>
      </c>
      <c r="AB466" s="774"/>
      <c r="AC466" s="775" t="str">
        <f>IFERROR(IF(VLOOKUP(C466,[1]List1!$A:$D,2,FALSE)="VYPRODÁNO",$V$9,IF(VLOOKUP(C466,[1]List1!$A:$D,2,FALSE)="DOCHÁZÍ",$V$3,VLOOKUP(C466,[1]List1!$A:$D,2,FALSE))),"OFFLINE!")</f>
        <v>OFFLINE!</v>
      </c>
      <c r="AD466" s="774"/>
      <c r="AE466" s="774"/>
      <c r="AF466" s="774"/>
      <c r="AG466" s="774"/>
      <c r="AH466" s="774"/>
      <c r="AI466" s="774"/>
      <c r="AJ466" s="774"/>
      <c r="AK466" s="774"/>
      <c r="AL466" s="774"/>
      <c r="AM466" s="774"/>
      <c r="AN466" s="774"/>
      <c r="AO466" s="380"/>
      <c r="AP466" s="322" t="str">
        <f t="shared" ref="AP466:AP529" si="1030">IF($AL$3=1,IF(Y466=AB466,"","NE"),IF(AR466=$V$10,"NE",""))</f>
        <v/>
      </c>
      <c r="AQ466" s="323" t="str">
        <f>IF(AC466=$V$3,IF(VLOOKUP(C466,[1]List1!$A:$E,5,FALSE)=0,1,VLOOKUP(C466,[1]List1!$A:$E,5,FALSE)),"")</f>
        <v/>
      </c>
      <c r="AR466" s="304" t="str">
        <f t="shared" ref="AR466:AR529" si="1031">IF($AL$3=1,"",IF(OR(AB466&lt;&gt;"",AB466&lt;&gt;0),IF(OR(AC466=$V$6,AC466=$V$3,AC466=$V$9),$V$10,""),""))</f>
        <v/>
      </c>
      <c r="AS466" s="423" t="str">
        <f t="shared" ref="AS466:AS529" si="1032">IF(AT466&lt;&gt;"","X","")</f>
        <v/>
      </c>
      <c r="AT466" s="304" t="str">
        <f t="shared" ref="AT466:AT529" si="1033">IF(AND($AL$3=2,AR466="",AB466&lt;&gt;""),AD466,"")</f>
        <v/>
      </c>
      <c r="AU466" s="342" t="e">
        <f t="shared" ref="AU466:AU529" si="1034">IF(AT466=$AS$21,AB466,"")</f>
        <v>#N/A</v>
      </c>
      <c r="AV466" s="304" t="e">
        <f t="shared" ref="AV466:AV529" si="1035">IF(OR(AB466="",AND(AT466&lt;&gt;"",AU466&lt;&gt;"")),"",$V$10)</f>
        <v>#N/A</v>
      </c>
      <c r="AX466" s="304">
        <f>IF(AND('General price list'!$J466="F4",'General price list'!$AB466+0&gt;0),1,0)</f>
        <v>0</v>
      </c>
      <c r="AY466" s="304">
        <f t="shared" ref="AY466:AY529" si="1036">IFERROR(FIND(VLOOKUP($AC$7,$AD$1:$AE$12,2,FALSE),Q466,1),0)</f>
        <v>0</v>
      </c>
      <c r="AZ466" s="304">
        <f t="shared" ref="AZ466:AZ529" si="1037">IFERROR(FIND(VLOOKUP($AC$7,$AD$1:$AE$12,2,FALSE),R466,1),0)</f>
        <v>0</v>
      </c>
    </row>
    <row r="467" spans="1:52" ht="15" customHeight="1">
      <c r="A467" s="712" t="str">
        <f>Kat.!C464</f>
        <v/>
      </c>
      <c r="B467" s="713">
        <f>IF(AND('General price list'!$J467="F4",$AI$1=FALSE),0,IF(AC467="SKLADEM",1,IF(AC467=$V$3,1,0)))</f>
        <v>1</v>
      </c>
      <c r="C467" s="714" t="s">
        <v>1209</v>
      </c>
      <c r="D467" s="715" t="s">
        <v>14569</v>
      </c>
      <c r="E467" s="716" t="s">
        <v>1074</v>
      </c>
      <c r="F467" s="712">
        <f>IFERROR(ROUND(IF($AL$3=2,VLOOKUP(C467,[2]List1!$A:$D,2,FALSE)*1.08,VLOOKUP(C467,[2]List1!$A:$D,2,FALSE)),0),"NEUVEDENO!")</f>
        <v>729</v>
      </c>
      <c r="G467" s="717">
        <f t="shared" ref="G467:G470" si="1038">(F467)*$B$19</f>
        <v>729</v>
      </c>
      <c r="H467" s="718">
        <f t="shared" ref="H467:H470" si="1039">G467/$F$19</f>
        <v>29.623428922056657</v>
      </c>
      <c r="I467" s="719">
        <v>4</v>
      </c>
      <c r="J467" s="716" t="s">
        <v>46</v>
      </c>
      <c r="K467" s="716" t="s">
        <v>14820</v>
      </c>
      <c r="L467" s="716" t="s">
        <v>14394</v>
      </c>
      <c r="M467" s="716" t="s">
        <v>25</v>
      </c>
      <c r="N467" s="716">
        <f>IFERROR(VLOOKUP(C467,[3]List1!$A:$D,4,FALSE),"N/A!")</f>
        <v>3.6414000000000002E-2</v>
      </c>
      <c r="O467" s="716">
        <f>IFERROR(VLOOKUP(C467,[3]List1!$A:$D,3,FALSE),"N/A!")</f>
        <v>2000</v>
      </c>
      <c r="P467" s="716">
        <f>IFERROR(VLOOKUP(C467,[3]List1!$A:$D,2,FALSE),"N/A!")</f>
        <v>17000</v>
      </c>
      <c r="Q467" s="716" t="s">
        <v>14160</v>
      </c>
      <c r="R467" s="716" t="s">
        <v>24</v>
      </c>
      <c r="S467" s="716" t="str">
        <f>IF($W$17=$AF$1,"červená fólie",IFERROR(VLOOKUP("červená fólie",Jazyky_ceník!$A:$Q,MATCH($W$17,Jazyky_ceník!$A$1:$Q$1,0),FALSE),"!!!"))</f>
        <v>červená fólie</v>
      </c>
      <c r="T467" s="716">
        <v>60</v>
      </c>
      <c r="U467" s="716">
        <v>25</v>
      </c>
      <c r="V467" s="716">
        <v>13</v>
      </c>
      <c r="W467" s="716" t="str">
        <f>IFERROR(VLOOKUP('General price list'!$C467,Popisy!A:P,MATCH($W$17,Popisy!$A$7:$P$7,0),FALSE),"---------------")</f>
        <v>10 různobarevných efektů</v>
      </c>
      <c r="X467" s="716" t="str">
        <f t="shared" ref="X467:X470" si="1040">IF(AB467&lt;0.0001,"",AB467)</f>
        <v/>
      </c>
      <c r="Y467" s="716" t="str">
        <f t="shared" ref="Y467:Y470" si="1041">IF($AL$3=2,IF(OR(AB467&lt;&gt;"",AB467&lt;&gt;0),AU467,""),IF(C467="","",IF(AB467&lt;0.0001,"",IF(B467=0,"",IF(AQ467&lt;AB467,"",AB467)))))</f>
        <v/>
      </c>
      <c r="Z467" s="716" t="str">
        <f>HYPERLINK("https://www.klasekpyrotechnics.cz/c10020bp14")</f>
        <v>https://www.klasekpyrotechnics.cz/c10020bp14</v>
      </c>
      <c r="AA467" s="716">
        <f>IFERROR(IF(VLOOKUP(C467,[4]List1!$A:$D,4,FALSE)=0,"",VLOOKUP(C467,[4]List1!$A:$D,4,FALSE)),"")</f>
        <v>24</v>
      </c>
      <c r="AB467" s="720"/>
      <c r="AC467" s="721" t="str">
        <f>IFERROR(IF(VLOOKUP(C467,[1]List1!$A:$D,2,FALSE)="VYPRODÁNO",$V$9,IF(VLOOKUP(C467,[1]List1!$A:$D,2,FALSE)="DOCHÁZÍ",$V$3,VLOOKUP(C467,[1]List1!$A:$D,2,FALSE))),"OFFLINE!")</f>
        <v>SKLADEM</v>
      </c>
      <c r="AD467" s="722" t="str">
        <f ca="1">IF(AP467="NE",$V$10,IF(AC467=$V$3,IF(AQ467&lt;1,$V$8,$V$2&amp;" "&amp;AQ467&amp;" "&amp;$V$1),IF(AC467="SKLADEM",$V$6,IFERROR(IF(OR(AC467-TODAY()&gt;45,VLOOKUP(C467,[1]List1!$A:$E,4,FALSE)=0),AC467,DAY(AC467)&amp;"."&amp;MONTH(AC467)&amp;"."&amp;YEAR(AC467)&amp;" "&amp;$V$4&amp;VLOOKUP(C467,[1]List1!$A:$E,4,FALSE)&amp;" "&amp;$V$1),AC467))))</f>
        <v>SKLADEM</v>
      </c>
      <c r="AE467" s="716" t="str">
        <f t="shared" ref="AE467:AE470" ca="1" si="1042">IFERROR(IF(AV467&lt;&gt;"",AV467,AD467),AD467)</f>
        <v>SKLADEM</v>
      </c>
      <c r="AF467" s="723">
        <f t="shared" ref="AF467:AF470" si="1043">IFERROR(IF(AB467=Y467,G467*I467*Y467,0),0)</f>
        <v>0</v>
      </c>
      <c r="AG467" s="723">
        <f t="shared" ref="AG467:AG470" si="1044">IF($W$17=$AF$8,AH467*1.23,AF467*1.21)</f>
        <v>0</v>
      </c>
      <c r="AH467" s="724">
        <f t="shared" ref="AH467:AH470" si="1045">IFERROR(IF(Y467=AB467,H467*I467*Y467,0),0)</f>
        <v>0</v>
      </c>
      <c r="AI467" s="716">
        <f t="shared" ref="AI467:AI470" si="1046">IFERROR(IF(Y467=AB467,(P467*Y467)/1000,1),0)</f>
        <v>0</v>
      </c>
      <c r="AJ467" s="716">
        <f t="shared" ref="AJ467:AJ470" si="1047">IFERROR(IF(Y467=AB467,N467*Y467,0.1),0)</f>
        <v>0</v>
      </c>
      <c r="AK467" s="716" t="str">
        <f t="shared" ref="AK467:AK470" si="1048">IFERROR(IF(Y467=AB467,IF(M467="1.1G",(O467/1000)*Y467,""),""),0)</f>
        <v/>
      </c>
      <c r="AL467" s="716" t="str">
        <f t="shared" ref="AL467:AL470" si="1049">IFERROR(IF(Y467=AB467,IF(M467="1.3G",(O467/1000)*AB467,""),""),0)</f>
        <v/>
      </c>
      <c r="AM467" s="716">
        <f t="shared" ref="AM467:AM470" si="1050">IFERROR(IF(Y467=AB467,IF(M467="1.4G",(O467/1000)*AB467,""),""),0)</f>
        <v>0</v>
      </c>
      <c r="AN467" s="716">
        <f t="shared" ref="AN467:AN470" si="1051">SUM(AK467:AM467)</f>
        <v>0</v>
      </c>
      <c r="AO467" s="380"/>
      <c r="AP467" s="322" t="str">
        <f t="shared" si="1030"/>
        <v/>
      </c>
      <c r="AQ467" s="323" t="str">
        <f>IF(AC467=$V$3,IF(VLOOKUP(C467,[1]List1!$A:$E,5,FALSE)=0,1,VLOOKUP(C467,[1]List1!$A:$E,5,FALSE)),"")</f>
        <v/>
      </c>
      <c r="AR467" s="304" t="str">
        <f t="shared" si="1031"/>
        <v/>
      </c>
      <c r="AS467" s="423" t="str">
        <f t="shared" si="1032"/>
        <v/>
      </c>
      <c r="AT467" s="304" t="str">
        <f t="shared" si="1033"/>
        <v/>
      </c>
      <c r="AU467" s="342" t="e">
        <f t="shared" si="1034"/>
        <v>#N/A</v>
      </c>
      <c r="AV467" s="304" t="e">
        <f t="shared" si="1035"/>
        <v>#N/A</v>
      </c>
      <c r="AX467" s="304">
        <f>IF(AND('General price list'!$J467="F4",'General price list'!$AB467+0&gt;0),1,0)</f>
        <v>0</v>
      </c>
      <c r="AY467" s="304">
        <f t="shared" si="1036"/>
        <v>1</v>
      </c>
      <c r="AZ467" s="304">
        <f t="shared" si="1037"/>
        <v>0</v>
      </c>
    </row>
    <row r="468" spans="1:52" ht="15" customHeight="1">
      <c r="A468" s="725" t="str">
        <f>Kat.!C465</f>
        <v/>
      </c>
      <c r="B468" s="726">
        <f>IF(AND('General price list'!$J468="F4",$AI$1=FALSE),0,IF(AC468="SKLADEM",1,IF(AC468=$V$3,1,0)))</f>
        <v>1</v>
      </c>
      <c r="C468" s="727" t="s">
        <v>1210</v>
      </c>
      <c r="D468" s="728" t="s">
        <v>14570</v>
      </c>
      <c r="E468" s="729" t="s">
        <v>1074</v>
      </c>
      <c r="F468" s="725">
        <f>IFERROR(ROUND(IF($AL$3=2,VLOOKUP(C468,[2]List1!$A:$D,2,FALSE)*1.08,VLOOKUP(C468,[2]List1!$A:$D,2,FALSE)),0),"NEUVEDENO!")</f>
        <v>729</v>
      </c>
      <c r="G468" s="730">
        <f t="shared" si="1038"/>
        <v>729</v>
      </c>
      <c r="H468" s="731">
        <f t="shared" si="1039"/>
        <v>29.623428922056657</v>
      </c>
      <c r="I468" s="732">
        <v>4</v>
      </c>
      <c r="J468" s="729" t="s">
        <v>46</v>
      </c>
      <c r="K468" s="729" t="s">
        <v>14734</v>
      </c>
      <c r="L468" s="729" t="s">
        <v>14365</v>
      </c>
      <c r="M468" s="729" t="s">
        <v>25</v>
      </c>
      <c r="N468" s="729">
        <f>IFERROR(VLOOKUP(C468,[3]List1!$A:$D,4,FALSE),"N/A!")</f>
        <v>3.6414000000000002E-2</v>
      </c>
      <c r="O468" s="729">
        <f>IFERROR(VLOOKUP(C468,[3]List1!$A:$D,3,FALSE),"N/A!")</f>
        <v>2000</v>
      </c>
      <c r="P468" s="729">
        <f>IFERROR(VLOOKUP(C468,[3]List1!$A:$D,2,FALSE),"N/A!")</f>
        <v>16800</v>
      </c>
      <c r="Q468" s="729" t="s">
        <v>14161</v>
      </c>
      <c r="R468" s="729" t="s">
        <v>24</v>
      </c>
      <c r="S468" s="729" t="str">
        <f>IF($W$17=$AF$1,"design",IFERROR(VLOOKUP("design",Jazyky_ceník!$A:$Q,MATCH($W$17,Jazyky_ceník!$A$1:$Q$1,0),FALSE),"!!!"))</f>
        <v>design</v>
      </c>
      <c r="T468" s="729">
        <v>60</v>
      </c>
      <c r="U468" s="729">
        <v>25</v>
      </c>
      <c r="V468" s="729">
        <v>13</v>
      </c>
      <c r="W468" s="729" t="str">
        <f>IFERROR(VLOOKUP('General price list'!$C468,Popisy!A:P,MATCH($W$17,Popisy!$A$7:$P$7,0),FALSE),"---------------")</f>
        <v>10 různobarevných efektů</v>
      </c>
      <c r="X468" s="729" t="str">
        <f t="shared" si="1040"/>
        <v/>
      </c>
      <c r="Y468" s="729" t="str">
        <f t="shared" si="1041"/>
        <v/>
      </c>
      <c r="Z468" s="729" t="str">
        <f>HYPERLINK("https://www.klasekpyrotechnics.cz/c10020bpf14")</f>
        <v>https://www.klasekpyrotechnics.cz/c10020bpf14</v>
      </c>
      <c r="AA468" s="729">
        <f>IFERROR(IF(VLOOKUP(C468,[4]List1!$A:$D,4,FALSE)=0,"",VLOOKUP(C468,[4]List1!$A:$D,4,FALSE)),"")</f>
        <v>24</v>
      </c>
      <c r="AB468" s="720"/>
      <c r="AC468" s="733" t="str">
        <f>IFERROR(IF(VLOOKUP(C468,[1]List1!$A:$D,2,FALSE)="VYPRODÁNO",$V$9,IF(VLOOKUP(C468,[1]List1!$A:$D,2,FALSE)="DOCHÁZÍ",$V$3,VLOOKUP(C468,[1]List1!$A:$D,2,FALSE))),"OFFLINE!")</f>
        <v>SKLADEM</v>
      </c>
      <c r="AD468" s="734" t="str">
        <f ca="1">IF(AP468="NE",$V$10,IF(AC468=$V$3,IF(AQ468&lt;1,$V$8,$V$2&amp;" "&amp;AQ468&amp;" "&amp;$V$1),IF(AC468="SKLADEM",$V$6,IFERROR(IF(OR(AC468-TODAY()&gt;45,VLOOKUP(C468,[1]List1!$A:$E,4,FALSE)=0),AC468,DAY(AC468)&amp;"."&amp;MONTH(AC468)&amp;"."&amp;YEAR(AC468)&amp;" "&amp;$V$4&amp;VLOOKUP(C468,[1]List1!$A:$E,4,FALSE)&amp;" "&amp;$V$1),AC468))))</f>
        <v>SKLADEM</v>
      </c>
      <c r="AE468" s="729" t="str">
        <f t="shared" ca="1" si="1042"/>
        <v>SKLADEM</v>
      </c>
      <c r="AF468" s="735">
        <f t="shared" si="1043"/>
        <v>0</v>
      </c>
      <c r="AG468" s="735">
        <f t="shared" si="1044"/>
        <v>0</v>
      </c>
      <c r="AH468" s="736">
        <f t="shared" si="1045"/>
        <v>0</v>
      </c>
      <c r="AI468" s="729">
        <f t="shared" si="1046"/>
        <v>0</v>
      </c>
      <c r="AJ468" s="729">
        <f t="shared" si="1047"/>
        <v>0</v>
      </c>
      <c r="AK468" s="729" t="str">
        <f t="shared" si="1048"/>
        <v/>
      </c>
      <c r="AL468" s="729" t="str">
        <f t="shared" si="1049"/>
        <v/>
      </c>
      <c r="AM468" s="729">
        <f t="shared" si="1050"/>
        <v>0</v>
      </c>
      <c r="AN468" s="729">
        <f t="shared" si="1051"/>
        <v>0</v>
      </c>
      <c r="AO468" s="380"/>
      <c r="AP468" s="322" t="str">
        <f t="shared" si="1030"/>
        <v/>
      </c>
      <c r="AQ468" s="305" t="str">
        <f>IF(AC468=$V$3,IF(VLOOKUP(C468,[1]List1!$A:$E,5,FALSE)=0,1,VLOOKUP(C468,[1]List1!$A:$E,5,FALSE)),"")</f>
        <v/>
      </c>
      <c r="AR468" s="304" t="str">
        <f t="shared" si="1031"/>
        <v/>
      </c>
      <c r="AS468" s="423" t="str">
        <f t="shared" si="1032"/>
        <v/>
      </c>
      <c r="AT468" s="304" t="str">
        <f t="shared" si="1033"/>
        <v/>
      </c>
      <c r="AU468" s="342" t="e">
        <f t="shared" si="1034"/>
        <v>#N/A</v>
      </c>
      <c r="AV468" s="304" t="e">
        <f t="shared" si="1035"/>
        <v>#N/A</v>
      </c>
      <c r="AX468" s="304">
        <f>IF(AND('General price list'!$J468="F4",'General price list'!$AB468+0&gt;0),1,0)</f>
        <v>0</v>
      </c>
      <c r="AY468" s="304">
        <f t="shared" si="1036"/>
        <v>1</v>
      </c>
      <c r="AZ468" s="304">
        <f t="shared" si="1037"/>
        <v>0</v>
      </c>
    </row>
    <row r="469" spans="1:52" ht="15" customHeight="1">
      <c r="A469" s="712" t="str">
        <f>Kat.!C466</f>
        <v/>
      </c>
      <c r="B469" s="737">
        <f>IF(AND('General price list'!$J469="F4",$AI$1=FALSE),0,IF(AC469="SKLADEM",1,IF(AC469=$V$3,1,0)))</f>
        <v>1</v>
      </c>
      <c r="C469" s="714" t="s">
        <v>5152</v>
      </c>
      <c r="D469" s="715" t="s">
        <v>14571</v>
      </c>
      <c r="E469" s="716" t="s">
        <v>1074</v>
      </c>
      <c r="F469" s="712">
        <f>IFERROR(ROUND(IF($AL$3=2,VLOOKUP(C469,[2]List1!$A:$D,2,FALSE)*1.08,VLOOKUP(C469,[2]List1!$A:$D,2,FALSE)),0),"NEUVEDENO!")</f>
        <v>729</v>
      </c>
      <c r="G469" s="717">
        <f t="shared" si="1038"/>
        <v>729</v>
      </c>
      <c r="H469" s="718">
        <f t="shared" si="1039"/>
        <v>29.623428922056657</v>
      </c>
      <c r="I469" s="738">
        <v>4</v>
      </c>
      <c r="J469" s="716" t="s">
        <v>46</v>
      </c>
      <c r="K469" s="716" t="s">
        <v>14734</v>
      </c>
      <c r="L469" s="716" t="s">
        <v>14365</v>
      </c>
      <c r="M469" s="716" t="s">
        <v>25</v>
      </c>
      <c r="N469" s="716">
        <f>IFERROR(VLOOKUP(C469,[3]List1!$A:$D,4,FALSE),"N/A!")</f>
        <v>3.6414000000000002E-2</v>
      </c>
      <c r="O469" s="716">
        <f>IFERROR(VLOOKUP(C469,[3]List1!$A:$D,3,FALSE),"N/A!")</f>
        <v>2000</v>
      </c>
      <c r="P469" s="716">
        <f>IFERROR(VLOOKUP(C469,[3]List1!$A:$D,2,FALSE),"N/A!")</f>
        <v>17000</v>
      </c>
      <c r="Q469" s="716" t="s">
        <v>14162</v>
      </c>
      <c r="R469" s="716" t="s">
        <v>24</v>
      </c>
      <c r="S469" s="716" t="str">
        <f>IF($W$17=$AF$1,"design",IFERROR(VLOOKUP("design",Jazyky_ceník!$A:$Q,MATCH($W$17,Jazyky_ceník!$A$1:$Q$1,0),FALSE),"!!!"))</f>
        <v>design</v>
      </c>
      <c r="T469" s="716">
        <v>80</v>
      </c>
      <c r="U469" s="716">
        <v>25</v>
      </c>
      <c r="V469" s="716">
        <v>13</v>
      </c>
      <c r="W469" s="716" t="str">
        <f>IFERROR(VLOOKUP('General price list'!$C469,Popisy!A:P,MATCH($W$17,Popisy!$A$7:$P$7,0),FALSE),"---------------")</f>
        <v>10 různobarevných efektů</v>
      </c>
      <c r="X469" s="716" t="str">
        <f t="shared" si="1040"/>
        <v/>
      </c>
      <c r="Y469" s="716" t="str">
        <f t="shared" si="1041"/>
        <v/>
      </c>
      <c r="Z469" s="716" t="str">
        <f>HYPERLINK("https://www.klasekpyrotechnics.cz/c10020bps14")</f>
        <v>https://www.klasekpyrotechnics.cz/c10020bps14</v>
      </c>
      <c r="AA469" s="716">
        <f>IFERROR(IF(VLOOKUP(C469,[4]List1!$A:$D,4,FALSE)=0,"",VLOOKUP(C469,[4]List1!$A:$D,4,FALSE)),"")</f>
        <v>24</v>
      </c>
      <c r="AB469" s="720"/>
      <c r="AC469" s="739" t="str">
        <f>IFERROR(IF(VLOOKUP(C469,[1]List1!$A:$D,2,FALSE)="VYPRODÁNO",$V$9,IF(VLOOKUP(C469,[1]List1!$A:$D,2,FALSE)="DOCHÁZÍ",$V$3,VLOOKUP(C469,[1]List1!$A:$D,2,FALSE))),"OFFLINE!")</f>
        <v>SKLADEM</v>
      </c>
      <c r="AD469" s="740" t="str">
        <f ca="1">IF(AP469="NE",$V$10,IF(AC469=$V$3,IF(AQ469&lt;1,$V$8,$V$2&amp;" "&amp;AQ469&amp;" "&amp;$V$1),IF(AC469="SKLADEM",$V$6,IFERROR(IF(OR(AC469-TODAY()&gt;45,VLOOKUP(C469,[1]List1!$A:$E,4,FALSE)=0),AC469,DAY(AC469)&amp;"."&amp;MONTH(AC469)&amp;"."&amp;YEAR(AC469)&amp;" "&amp;$V$4&amp;VLOOKUP(C469,[1]List1!$A:$E,4,FALSE)&amp;" "&amp;$V$1),AC469))))</f>
        <v>SKLADEM</v>
      </c>
      <c r="AE469" s="716" t="str">
        <f t="shared" ca="1" si="1042"/>
        <v>SKLADEM</v>
      </c>
      <c r="AF469" s="723">
        <f t="shared" si="1043"/>
        <v>0</v>
      </c>
      <c r="AG469" s="723">
        <f t="shared" si="1044"/>
        <v>0</v>
      </c>
      <c r="AH469" s="724">
        <f t="shared" si="1045"/>
        <v>0</v>
      </c>
      <c r="AI469" s="716">
        <f t="shared" si="1046"/>
        <v>0</v>
      </c>
      <c r="AJ469" s="716">
        <f t="shared" si="1047"/>
        <v>0</v>
      </c>
      <c r="AK469" s="716" t="str">
        <f t="shared" si="1048"/>
        <v/>
      </c>
      <c r="AL469" s="716" t="str">
        <f t="shared" si="1049"/>
        <v/>
      </c>
      <c r="AM469" s="716">
        <f t="shared" si="1050"/>
        <v>0</v>
      </c>
      <c r="AN469" s="716">
        <f t="shared" si="1051"/>
        <v>0</v>
      </c>
      <c r="AO469" s="380"/>
      <c r="AP469" s="322" t="str">
        <f t="shared" si="1030"/>
        <v/>
      </c>
      <c r="AQ469" s="323" t="str">
        <f>IF(AC469=$V$3,IF(VLOOKUP(C469,[1]List1!$A:$E,5,FALSE)=0,1,VLOOKUP(C469,[1]List1!$A:$E,5,FALSE)),"")</f>
        <v/>
      </c>
      <c r="AR469" s="304" t="str">
        <f t="shared" si="1031"/>
        <v/>
      </c>
      <c r="AS469" s="423" t="str">
        <f t="shared" si="1032"/>
        <v/>
      </c>
      <c r="AT469" s="304" t="str">
        <f t="shared" si="1033"/>
        <v/>
      </c>
      <c r="AU469" s="342" t="e">
        <f t="shared" si="1034"/>
        <v>#N/A</v>
      </c>
      <c r="AV469" s="304" t="e">
        <f t="shared" si="1035"/>
        <v>#N/A</v>
      </c>
      <c r="AX469" s="304">
        <f>IF(AND('General price list'!$J469="F4",'General price list'!$AB469+0&gt;0),1,0)</f>
        <v>0</v>
      </c>
      <c r="AY469" s="304">
        <f t="shared" si="1036"/>
        <v>1</v>
      </c>
      <c r="AZ469" s="304">
        <f t="shared" si="1037"/>
        <v>0</v>
      </c>
    </row>
    <row r="470" spans="1:52" ht="15" customHeight="1">
      <c r="A470" s="725" t="str">
        <f>Kat.!C467</f>
        <v/>
      </c>
      <c r="B470" s="726">
        <f>IF(AND('General price list'!$J470="F4",$AI$1=FALSE),0,IF(AC470="SKLADEM",1,IF(AC470=$V$3,1,0)))</f>
        <v>0</v>
      </c>
      <c r="C470" s="727" t="s">
        <v>1211</v>
      </c>
      <c r="D470" s="728" t="s">
        <v>14572</v>
      </c>
      <c r="E470" s="729" t="s">
        <v>1074</v>
      </c>
      <c r="F470" s="725">
        <f>IFERROR(ROUND(IF($AL$3=2,VLOOKUP(C470,[2]List1!$A:$D,2,FALSE)*1.08,VLOOKUP(C470,[2]List1!$A:$D,2,FALSE)),0),"NEUVEDENO!")</f>
        <v>779</v>
      </c>
      <c r="G470" s="730">
        <f t="shared" si="1038"/>
        <v>779</v>
      </c>
      <c r="H470" s="731">
        <f t="shared" si="1039"/>
        <v>31.655214170483038</v>
      </c>
      <c r="I470" s="732">
        <v>4</v>
      </c>
      <c r="J470" s="729" t="s">
        <v>46</v>
      </c>
      <c r="K470" s="729" t="s">
        <v>14734</v>
      </c>
      <c r="L470" s="729" t="s">
        <v>14365</v>
      </c>
      <c r="M470" s="729" t="s">
        <v>25</v>
      </c>
      <c r="N470" s="729">
        <f>IFERROR(VLOOKUP(C470,[3]List1!$A:$D,4,FALSE),"N/A!")</f>
        <v>3.6414000000000002E-2</v>
      </c>
      <c r="O470" s="729">
        <f>IFERROR(VLOOKUP(C470,[3]List1!$A:$D,3,FALSE),"N/A!")</f>
        <v>2000</v>
      </c>
      <c r="P470" s="729">
        <f>IFERROR(VLOOKUP(C470,[3]List1!$A:$D,2,FALSE),"N/A!")</f>
        <v>16800</v>
      </c>
      <c r="Q470" s="729" t="s">
        <v>14162</v>
      </c>
      <c r="R470" s="729" t="s">
        <v>24</v>
      </c>
      <c r="S470" s="729" t="str">
        <f>IF($W$17=$AF$1,"design",IFERROR(VLOOKUP("design",Jazyky_ceník!$A:$Q,MATCH($W$17,Jazyky_ceník!$A$1:$Q$1,0),FALSE),"!!!"))</f>
        <v>design</v>
      </c>
      <c r="T470" s="729">
        <v>60</v>
      </c>
      <c r="U470" s="729">
        <v>25</v>
      </c>
      <c r="V470" s="729">
        <v>13</v>
      </c>
      <c r="W470" s="729" t="str">
        <f>IFERROR(VLOOKUP('General price list'!$C470,Popisy!A:P,MATCH($W$17,Popisy!$A$7:$P$7,0),FALSE),"---------------")</f>
        <v>10 různobarevných efektů</v>
      </c>
      <c r="X470" s="729" t="str">
        <f t="shared" si="1040"/>
        <v/>
      </c>
      <c r="Y470" s="729" t="str">
        <f t="shared" si="1041"/>
        <v/>
      </c>
      <c r="Z470" s="729" t="str">
        <f>HYPERLINK("https://www.klasekpyrotechnics.cz/c10020nid14")</f>
        <v>https://www.klasekpyrotechnics.cz/c10020nid14</v>
      </c>
      <c r="AA470" s="729">
        <f>IFERROR(IF(VLOOKUP(C470,[4]List1!$A:$D,4,FALSE)=0,"",VLOOKUP(C470,[4]List1!$A:$D,4,FALSE)),"")</f>
        <v>24</v>
      </c>
      <c r="AB470" s="720"/>
      <c r="AC470" s="733" t="str">
        <f>IFERROR(IF(VLOOKUP(C470,[1]List1!$A:$D,2,FALSE)="VYPRODÁNO",$V$9,IF(VLOOKUP(C470,[1]List1!$A:$D,2,FALSE)="DOCHÁZÍ",$V$3,VLOOKUP(C470,[1]List1!$A:$D,2,FALSE))),"OFFLINE!")</f>
        <v>30.09.2024</v>
      </c>
      <c r="AD470" s="734" t="str">
        <f ca="1">IF(AP470="NE",$V$10,IF(AC470=$V$3,IF(AQ470&lt;1,$V$8,$V$2&amp;" "&amp;AQ470&amp;" "&amp;$V$1),IF(AC470="SKLADEM",$V$6,IFERROR(IF(OR(AC470-TODAY()&gt;45,VLOOKUP(C470,[1]List1!$A:$E,4,FALSE)=0),AC470,DAY(AC470)&amp;"."&amp;MONTH(AC470)&amp;"."&amp;YEAR(AC470)&amp;" "&amp;$V$4&amp;VLOOKUP(C470,[1]List1!$A:$E,4,FALSE)&amp;" "&amp;$V$1),AC470))))</f>
        <v>30.09.2024</v>
      </c>
      <c r="AE470" s="729" t="str">
        <f t="shared" ca="1" si="1042"/>
        <v>30.09.2024</v>
      </c>
      <c r="AF470" s="735">
        <f t="shared" si="1043"/>
        <v>0</v>
      </c>
      <c r="AG470" s="735">
        <f t="shared" si="1044"/>
        <v>0</v>
      </c>
      <c r="AH470" s="736">
        <f t="shared" si="1045"/>
        <v>0</v>
      </c>
      <c r="AI470" s="729">
        <f t="shared" si="1046"/>
        <v>0</v>
      </c>
      <c r="AJ470" s="729">
        <f t="shared" si="1047"/>
        <v>0</v>
      </c>
      <c r="AK470" s="729" t="str">
        <f t="shared" si="1048"/>
        <v/>
      </c>
      <c r="AL470" s="729" t="str">
        <f t="shared" si="1049"/>
        <v/>
      </c>
      <c r="AM470" s="729">
        <f t="shared" si="1050"/>
        <v>0</v>
      </c>
      <c r="AN470" s="729">
        <f t="shared" si="1051"/>
        <v>0</v>
      </c>
      <c r="AO470" s="380"/>
      <c r="AP470" s="322" t="str">
        <f t="shared" si="1030"/>
        <v/>
      </c>
      <c r="AQ470" s="323" t="str">
        <f>IF(AC470=$V$3,IF(VLOOKUP(C470,[1]List1!$A:$E,5,FALSE)=0,1,VLOOKUP(C470,[1]List1!$A:$E,5,FALSE)),"")</f>
        <v/>
      </c>
      <c r="AR470" s="304" t="str">
        <f t="shared" si="1031"/>
        <v/>
      </c>
      <c r="AS470" s="423" t="str">
        <f t="shared" si="1032"/>
        <v/>
      </c>
      <c r="AT470" s="304" t="str">
        <f t="shared" si="1033"/>
        <v/>
      </c>
      <c r="AU470" s="342" t="e">
        <f t="shared" si="1034"/>
        <v>#N/A</v>
      </c>
      <c r="AV470" s="304" t="e">
        <f t="shared" si="1035"/>
        <v>#N/A</v>
      </c>
      <c r="AX470" s="304">
        <f>IF(AND('General price list'!$J470="F4",'General price list'!$AB470+0&gt;0),1,0)</f>
        <v>0</v>
      </c>
      <c r="AY470" s="304">
        <f t="shared" si="1036"/>
        <v>1</v>
      </c>
      <c r="AZ470" s="304">
        <f t="shared" si="1037"/>
        <v>0</v>
      </c>
    </row>
    <row r="471" spans="1:52" ht="15" customHeight="1">
      <c r="A471" s="773" t="str">
        <f>Kat.!C468</f>
        <v xml:space="preserve">                                                               Baterie 100ran, 20mm moždíř(všechny směry)-1.4G</v>
      </c>
      <c r="B471" s="774"/>
      <c r="C471" s="774"/>
      <c r="D471" s="774"/>
      <c r="E471" s="774"/>
      <c r="F471" s="774"/>
      <c r="G471" s="774"/>
      <c r="H471" s="774"/>
      <c r="I471" s="774"/>
      <c r="J471" s="774"/>
      <c r="K471" s="774"/>
      <c r="L471" s="774"/>
      <c r="M471" s="774"/>
      <c r="N471" s="774"/>
      <c r="O471" s="774"/>
      <c r="P471" s="774"/>
      <c r="Q471" s="774"/>
      <c r="R471" s="774"/>
      <c r="S471" s="774"/>
      <c r="T471" s="774"/>
      <c r="U471" s="774"/>
      <c r="V471" s="774"/>
      <c r="W471" s="774"/>
      <c r="X471" s="774"/>
      <c r="Y471" s="774"/>
      <c r="Z471" s="774"/>
      <c r="AA471" s="774" t="str">
        <f>IFERROR(IF(VLOOKUP(C471,[4]List1!$A:$D,4,FALSE)=0,"",VLOOKUP(C471,[4]List1!$A:$D,4,FALSE)),"")</f>
        <v/>
      </c>
      <c r="AB471" s="774"/>
      <c r="AC471" s="775" t="str">
        <f>IFERROR(IF(VLOOKUP(C471,[1]List1!$A:$D,2,FALSE)="VYPRODÁNO",$V$9,IF(VLOOKUP(C471,[1]List1!$A:$D,2,FALSE)="DOCHÁZÍ",$V$3,VLOOKUP(C471,[1]List1!$A:$D,2,FALSE))),"OFFLINE!")</f>
        <v>OFFLINE!</v>
      </c>
      <c r="AD471" s="774"/>
      <c r="AE471" s="774"/>
      <c r="AF471" s="774"/>
      <c r="AG471" s="774"/>
      <c r="AH471" s="774"/>
      <c r="AI471" s="774"/>
      <c r="AJ471" s="774"/>
      <c r="AK471" s="774"/>
      <c r="AL471" s="774"/>
      <c r="AM471" s="774"/>
      <c r="AN471" s="774"/>
      <c r="AO471" s="380"/>
      <c r="AP471" s="322" t="str">
        <f t="shared" si="1030"/>
        <v/>
      </c>
      <c r="AQ471" s="323" t="str">
        <f>IF(AC471=$V$3,IF(VLOOKUP(C471,[1]List1!$A:$E,5,FALSE)=0,1,VLOOKUP(C471,[1]List1!$A:$E,5,FALSE)),"")</f>
        <v/>
      </c>
      <c r="AR471" s="304" t="str">
        <f t="shared" si="1031"/>
        <v/>
      </c>
      <c r="AS471" s="423" t="str">
        <f t="shared" si="1032"/>
        <v/>
      </c>
      <c r="AT471" s="304" t="str">
        <f t="shared" si="1033"/>
        <v/>
      </c>
      <c r="AU471" s="342" t="e">
        <f t="shared" si="1034"/>
        <v>#N/A</v>
      </c>
      <c r="AV471" s="304" t="e">
        <f t="shared" si="1035"/>
        <v>#N/A</v>
      </c>
      <c r="AX471" s="304">
        <f>IF(AND('General price list'!$J471="F4",'General price list'!$AB471+0&gt;0),1,0)</f>
        <v>0</v>
      </c>
      <c r="AY471" s="304">
        <f t="shared" si="1036"/>
        <v>0</v>
      </c>
      <c r="AZ471" s="304">
        <f t="shared" si="1037"/>
        <v>0</v>
      </c>
    </row>
    <row r="472" spans="1:52" ht="15" customHeight="1">
      <c r="A472" s="725" t="str">
        <f>Kat.!C469</f>
        <v>×</v>
      </c>
      <c r="B472" s="741">
        <f>IF(AND('General price list'!$J472="F4",$AI$1=FALSE),0,IF(AC472="SKLADEM",1,IF(AC472=$V$3,1,0)))</f>
        <v>1</v>
      </c>
      <c r="C472" s="727" t="s">
        <v>2531</v>
      </c>
      <c r="D472" s="728" t="s">
        <v>14573</v>
      </c>
      <c r="E472" s="729" t="s">
        <v>1074</v>
      </c>
      <c r="F472" s="725">
        <f>IFERROR(ROUND(IF($AL$3=2,VLOOKUP(C472,[2]List1!$A:$D,2,FALSE)*1.08,VLOOKUP(C472,[2]List1!$A:$D,2,FALSE)),0),"NEUVEDENO!")</f>
        <v>915</v>
      </c>
      <c r="G472" s="730">
        <f t="shared" ref="G472:G475" si="1052">(F472)*$B$19</f>
        <v>915</v>
      </c>
      <c r="H472" s="731">
        <f t="shared" ref="H472:H475" si="1053">G472/$F$19</f>
        <v>37.181670046202797</v>
      </c>
      <c r="I472" s="742">
        <v>4</v>
      </c>
      <c r="J472" s="729" t="s">
        <v>46</v>
      </c>
      <c r="K472" s="729" t="s">
        <v>12771</v>
      </c>
      <c r="L472" s="729" t="s">
        <v>14395</v>
      </c>
      <c r="M472" s="729" t="s">
        <v>25</v>
      </c>
      <c r="N472" s="729">
        <f>IFERROR(VLOOKUP(C472,[3]List1!$A:$D,4,FALSE),"N/A!")</f>
        <v>4.9492124999999998E-2</v>
      </c>
      <c r="O472" s="729">
        <f>IFERROR(VLOOKUP(C472,[3]List1!$A:$D,3,FALSE),"N/A!")</f>
        <v>2000</v>
      </c>
      <c r="P472" s="729">
        <f>IFERROR(VLOOKUP(C472,[3]List1!$A:$D,2,FALSE),"N/A!")</f>
        <v>18000</v>
      </c>
      <c r="Q472" s="729" t="s">
        <v>14163</v>
      </c>
      <c r="R472" s="729" t="s">
        <v>24</v>
      </c>
      <c r="S472" s="729" t="str">
        <f>IF($W$17=$AF$1,"červená fólie",IFERROR(VLOOKUP("červená fólie",Jazyky_ceník!$A:$Q,MATCH($W$17,Jazyky_ceník!$A$1:$Q$1,0),FALSE),"!!!"))</f>
        <v>červená fólie</v>
      </c>
      <c r="T472" s="729">
        <v>60</v>
      </c>
      <c r="U472" s="729">
        <v>25</v>
      </c>
      <c r="V472" s="729">
        <v>13</v>
      </c>
      <c r="W472" s="729" t="str">
        <f>IFERROR(VLOOKUP('General price list'!$C472,Popisy!A:P,MATCH($W$17,Popisy!$A$7:$P$7,0),FALSE),"---------------")</f>
        <v>10 různobarevných efektů</v>
      </c>
      <c r="X472" s="729" t="str">
        <f t="shared" ref="X472:X475" si="1054">IF(AB472&lt;0.0001,"",AB472)</f>
        <v/>
      </c>
      <c r="Y472" s="729" t="str">
        <f t="shared" ref="Y472:Y475" si="1055">IF($AL$3=2,IF(OR(AB472&lt;&gt;"",AB472&lt;&gt;0),AU472,""),IF(C472="","",IF(AB472&lt;0.0001,"",IF(B472=0,"",IF(AQ472&lt;AB472,"",AB472)))))</f>
        <v/>
      </c>
      <c r="Z472" s="729" t="str">
        <f>HYPERLINK("https://www.klasekpyrotechnics.cz/c10020xbpw14")</f>
        <v>https://www.klasekpyrotechnics.cz/c10020xbpw14</v>
      </c>
      <c r="AA472" s="729">
        <f>IFERROR(IF(VLOOKUP(C472,[4]List1!$A:$D,4,FALSE)=0,"",VLOOKUP(C472,[4]List1!$A:$D,4,FALSE)),"")</f>
        <v>22</v>
      </c>
      <c r="AB472" s="720"/>
      <c r="AC472" s="743" t="str">
        <f>IFERROR(IF(VLOOKUP(C472,[1]List1!$A:$D,2,FALSE)="VYPRODÁNO",$V$9,IF(VLOOKUP(C472,[1]List1!$A:$D,2,FALSE)="DOCHÁZÍ",$V$3,VLOOKUP(C472,[1]List1!$A:$D,2,FALSE))),"OFFLINE!")</f>
        <v>SKLADEM</v>
      </c>
      <c r="AD472" s="744" t="str">
        <f ca="1">IF(AP472="NE",$V$10,IF(AC472=$V$3,IF(AQ472&lt;1,$V$8,$V$2&amp;" "&amp;AQ472&amp;" "&amp;$V$1),IF(AC472="SKLADEM",$V$6,IFERROR(IF(OR(AC472-TODAY()&gt;45,VLOOKUP(C472,[1]List1!$A:$E,4,FALSE)=0),AC472,DAY(AC472)&amp;"."&amp;MONTH(AC472)&amp;"."&amp;YEAR(AC472)&amp;" "&amp;$V$4&amp;VLOOKUP(C472,[1]List1!$A:$E,4,FALSE)&amp;" "&amp;$V$1),AC472))))</f>
        <v>SKLADEM</v>
      </c>
      <c r="AE472" s="729" t="str">
        <f t="shared" ref="AE472:AE475" ca="1" si="1056">IFERROR(IF(AV472&lt;&gt;"",AV472,AD472),AD472)</f>
        <v>SKLADEM</v>
      </c>
      <c r="AF472" s="735">
        <f t="shared" ref="AF472:AF475" si="1057">IFERROR(IF(AB472=Y472,G472*I472*Y472,0),0)</f>
        <v>0</v>
      </c>
      <c r="AG472" s="735">
        <f t="shared" ref="AG472:AG475" si="1058">IF($W$17=$AF$8,AH472*1.23,AF472*1.21)</f>
        <v>0</v>
      </c>
      <c r="AH472" s="736">
        <f t="shared" ref="AH472:AH475" si="1059">IFERROR(IF(Y472=AB472,H472*I472*Y472,0),0)</f>
        <v>0</v>
      </c>
      <c r="AI472" s="729">
        <f t="shared" ref="AI472:AI475" si="1060">IFERROR(IF(Y472=AB472,(P472*Y472)/1000,1),0)</f>
        <v>0</v>
      </c>
      <c r="AJ472" s="729">
        <f t="shared" ref="AJ472:AJ475" si="1061">IFERROR(IF(Y472=AB472,N472*Y472,0.1),0)</f>
        <v>0</v>
      </c>
      <c r="AK472" s="729" t="str">
        <f t="shared" ref="AK472:AK475" si="1062">IFERROR(IF(Y472=AB472,IF(M472="1.1G",(O472/1000)*Y472,""),""),0)</f>
        <v/>
      </c>
      <c r="AL472" s="729" t="str">
        <f t="shared" ref="AL472:AL475" si="1063">IFERROR(IF(Y472=AB472,IF(M472="1.3G",(O472/1000)*AB472,""),""),0)</f>
        <v/>
      </c>
      <c r="AM472" s="729">
        <f t="shared" ref="AM472:AM475" si="1064">IFERROR(IF(Y472=AB472,IF(M472="1.4G",(O472/1000)*AB472,""),""),0)</f>
        <v>0</v>
      </c>
      <c r="AN472" s="729">
        <f t="shared" ref="AN472:AN475" si="1065">SUM(AK472:AM472)</f>
        <v>0</v>
      </c>
      <c r="AO472" s="380"/>
      <c r="AP472" s="322" t="str">
        <f t="shared" si="1030"/>
        <v/>
      </c>
      <c r="AQ472" s="323" t="str">
        <f>IF(AC472=$V$3,IF(VLOOKUP(C472,[1]List1!$A:$E,5,FALSE)=0,1,VLOOKUP(C472,[1]List1!$A:$E,5,FALSE)),"")</f>
        <v/>
      </c>
      <c r="AR472" s="304" t="str">
        <f t="shared" si="1031"/>
        <v/>
      </c>
      <c r="AS472" s="423" t="str">
        <f t="shared" si="1032"/>
        <v/>
      </c>
      <c r="AT472" s="304" t="str">
        <f t="shared" si="1033"/>
        <v/>
      </c>
      <c r="AU472" s="342" t="e">
        <f t="shared" si="1034"/>
        <v>#N/A</v>
      </c>
      <c r="AV472" s="304" t="e">
        <f t="shared" si="1035"/>
        <v>#N/A</v>
      </c>
      <c r="AX472" s="304">
        <f>IF(AND('General price list'!$J472="F4",'General price list'!$AB472+0&gt;0),1,0)</f>
        <v>0</v>
      </c>
      <c r="AY472" s="304">
        <f t="shared" si="1036"/>
        <v>1</v>
      </c>
      <c r="AZ472" s="304">
        <f t="shared" si="1037"/>
        <v>0</v>
      </c>
    </row>
    <row r="473" spans="1:52" ht="15" customHeight="1">
      <c r="A473" s="712" t="str">
        <f>Kat.!C470</f>
        <v/>
      </c>
      <c r="B473" s="745">
        <f>IF(AND('General price list'!$J473="F4",$AI$1=FALSE),0,IF(AC473="SKLADEM",1,IF(AC473=$V$3,1,0)))</f>
        <v>1</v>
      </c>
      <c r="C473" s="714" t="s">
        <v>2532</v>
      </c>
      <c r="D473" s="715" t="s">
        <v>14574</v>
      </c>
      <c r="E473" s="716" t="s">
        <v>1074</v>
      </c>
      <c r="F473" s="712">
        <f>IFERROR(ROUND(IF($AL$3=2,VLOOKUP(C473,[2]List1!$A:$D,2,FALSE)*1.08,VLOOKUP(C473,[2]List1!$A:$D,2,FALSE)),0),"NEUVEDENO!")</f>
        <v>915</v>
      </c>
      <c r="G473" s="717">
        <f t="shared" si="1052"/>
        <v>915</v>
      </c>
      <c r="H473" s="718">
        <f t="shared" si="1053"/>
        <v>37.181670046202797</v>
      </c>
      <c r="I473" s="746">
        <v>4</v>
      </c>
      <c r="J473" s="716" t="s">
        <v>46</v>
      </c>
      <c r="K473" s="716" t="s">
        <v>12771</v>
      </c>
      <c r="L473" s="716" t="s">
        <v>14395</v>
      </c>
      <c r="M473" s="716" t="s">
        <v>25</v>
      </c>
      <c r="N473" s="716">
        <f>IFERROR(VLOOKUP(C473,[3]List1!$A:$D,4,FALSE),"N/A!")</f>
        <v>4.9492124999999998E-2</v>
      </c>
      <c r="O473" s="716">
        <f>IFERROR(VLOOKUP(C473,[3]List1!$A:$D,3,FALSE),"N/A!")</f>
        <v>2000</v>
      </c>
      <c r="P473" s="716">
        <f>IFERROR(VLOOKUP(C473,[3]List1!$A:$D,2,FALSE),"N/A!")</f>
        <v>18000</v>
      </c>
      <c r="Q473" s="716" t="s">
        <v>14163</v>
      </c>
      <c r="R473" s="716" t="s">
        <v>24</v>
      </c>
      <c r="S473" s="716" t="str">
        <f>IF($W$17=$AF$1,"červená fólie",IFERROR(VLOOKUP("červená fólie",Jazyky_ceník!$A:$Q,MATCH($W$17,Jazyky_ceník!$A$1:$Q$1,0),FALSE),"!!!"))</f>
        <v>červená fólie</v>
      </c>
      <c r="T473" s="716">
        <v>60</v>
      </c>
      <c r="U473" s="716">
        <v>25</v>
      </c>
      <c r="V473" s="716">
        <v>13</v>
      </c>
      <c r="W473" s="716" t="str">
        <f>IFERROR(VLOOKUP('General price list'!$C473,Popisy!A:P,MATCH($W$17,Popisy!$A$7:$P$7,0),FALSE),"---------------")</f>
        <v>10 různobarevných efektů</v>
      </c>
      <c r="X473" s="716" t="str">
        <f t="shared" si="1054"/>
        <v/>
      </c>
      <c r="Y473" s="716" t="str">
        <f t="shared" si="1055"/>
        <v/>
      </c>
      <c r="Z473" s="716" t="str">
        <f>HYPERLINK("https://www.klasekpyrotechnics.cz/c10020xbp14")</f>
        <v>https://www.klasekpyrotechnics.cz/c10020xbp14</v>
      </c>
      <c r="AA473" s="716">
        <f>IFERROR(IF(VLOOKUP(C473,[4]List1!$A:$D,4,FALSE)=0,"",VLOOKUP(C473,[4]List1!$A:$D,4,FALSE)),"")</f>
        <v>22</v>
      </c>
      <c r="AB473" s="720"/>
      <c r="AC473" s="747" t="str">
        <f>IFERROR(IF(VLOOKUP(C473,[1]List1!$A:$D,2,FALSE)="VYPRODÁNO",$V$9,IF(VLOOKUP(C473,[1]List1!$A:$D,2,FALSE)="DOCHÁZÍ",$V$3,VLOOKUP(C473,[1]List1!$A:$D,2,FALSE))),"OFFLINE!")</f>
        <v>SKLADEM</v>
      </c>
      <c r="AD473" s="748" t="str">
        <f ca="1">IF(AP473="NE",$V$10,IF(AC473=$V$3,IF(AQ473&lt;1,$V$8,$V$2&amp;" "&amp;AQ473&amp;" "&amp;$V$1),IF(AC473="SKLADEM",$V$6,IFERROR(IF(OR(AC473-TODAY()&gt;45,VLOOKUP(C473,[1]List1!$A:$E,4,FALSE)=0),AC473,DAY(AC473)&amp;"."&amp;MONTH(AC473)&amp;"."&amp;YEAR(AC473)&amp;" "&amp;$V$4&amp;VLOOKUP(C473,[1]List1!$A:$E,4,FALSE)&amp;" "&amp;$V$1),AC473))))</f>
        <v>SKLADEM</v>
      </c>
      <c r="AE473" s="716" t="str">
        <f t="shared" ca="1" si="1056"/>
        <v>SKLADEM</v>
      </c>
      <c r="AF473" s="723">
        <f t="shared" si="1057"/>
        <v>0</v>
      </c>
      <c r="AG473" s="723">
        <f t="shared" si="1058"/>
        <v>0</v>
      </c>
      <c r="AH473" s="724">
        <f t="shared" si="1059"/>
        <v>0</v>
      </c>
      <c r="AI473" s="716">
        <f t="shared" si="1060"/>
        <v>0</v>
      </c>
      <c r="AJ473" s="716">
        <f t="shared" si="1061"/>
        <v>0</v>
      </c>
      <c r="AK473" s="716" t="str">
        <f t="shared" si="1062"/>
        <v/>
      </c>
      <c r="AL473" s="716" t="str">
        <f t="shared" si="1063"/>
        <v/>
      </c>
      <c r="AM473" s="716">
        <f t="shared" si="1064"/>
        <v>0</v>
      </c>
      <c r="AN473" s="716">
        <f t="shared" si="1065"/>
        <v>0</v>
      </c>
      <c r="AO473" s="380"/>
      <c r="AP473" s="322" t="str">
        <f t="shared" si="1030"/>
        <v/>
      </c>
      <c r="AQ473" s="323" t="str">
        <f>IF(AC473=$V$3,IF(VLOOKUP(C473,[1]List1!$A:$E,5,FALSE)=0,1,VLOOKUP(C473,[1]List1!$A:$E,5,FALSE)),"")</f>
        <v/>
      </c>
      <c r="AR473" s="304" t="str">
        <f t="shared" si="1031"/>
        <v/>
      </c>
      <c r="AS473" s="423" t="str">
        <f t="shared" si="1032"/>
        <v/>
      </c>
      <c r="AT473" s="304" t="str">
        <f t="shared" si="1033"/>
        <v/>
      </c>
      <c r="AU473" s="342" t="e">
        <f t="shared" si="1034"/>
        <v>#N/A</v>
      </c>
      <c r="AV473" s="304" t="e">
        <f t="shared" si="1035"/>
        <v>#N/A</v>
      </c>
      <c r="AX473" s="304">
        <f>IF(AND('General price list'!$J473="F4",'General price list'!$AB473+0&gt;0),1,0)</f>
        <v>0</v>
      </c>
      <c r="AY473" s="304">
        <f t="shared" si="1036"/>
        <v>1</v>
      </c>
      <c r="AZ473" s="304">
        <f t="shared" si="1037"/>
        <v>0</v>
      </c>
    </row>
    <row r="474" spans="1:52" ht="15" customHeight="1">
      <c r="A474" s="725" t="str">
        <f>Kat.!C471</f>
        <v/>
      </c>
      <c r="B474" s="749">
        <f>IF(AND('General price list'!$J474="F4",$AI$1=FALSE),0,IF(AC474="SKLADEM",1,IF(AC474=$V$3,1,0)))</f>
        <v>1</v>
      </c>
      <c r="C474" s="727" t="s">
        <v>5154</v>
      </c>
      <c r="D474" s="728" t="s">
        <v>5155</v>
      </c>
      <c r="E474" s="729" t="s">
        <v>1074</v>
      </c>
      <c r="F474" s="725">
        <f>IFERROR(ROUND(IF($AL$3=2,VLOOKUP(C474,[2]List1!$A:$D,2,FALSE)*1.08,VLOOKUP(C474,[2]List1!$A:$D,2,FALSE)),0),"NEUVEDENO!")</f>
        <v>926</v>
      </c>
      <c r="G474" s="730">
        <f t="shared" si="1052"/>
        <v>926</v>
      </c>
      <c r="H474" s="731">
        <f t="shared" si="1053"/>
        <v>37.628662800856603</v>
      </c>
      <c r="I474" s="750">
        <v>4</v>
      </c>
      <c r="J474" s="729" t="s">
        <v>46</v>
      </c>
      <c r="K474" s="729" t="s">
        <v>12771</v>
      </c>
      <c r="L474" s="729" t="s">
        <v>14395</v>
      </c>
      <c r="M474" s="729" t="s">
        <v>25</v>
      </c>
      <c r="N474" s="729">
        <f>IFERROR(VLOOKUP(C474,[3]List1!$A:$D,4,FALSE),"N/A!")</f>
        <v>5.6318625000000011E-2</v>
      </c>
      <c r="O474" s="729">
        <f>IFERROR(VLOOKUP(C474,[3]List1!$A:$D,3,FALSE),"N/A!")</f>
        <v>2000</v>
      </c>
      <c r="P474" s="729">
        <f>IFERROR(VLOOKUP(C474,[3]List1!$A:$D,2,FALSE),"N/A!")</f>
        <v>18000</v>
      </c>
      <c r="Q474" s="729" t="s">
        <v>14163</v>
      </c>
      <c r="R474" s="729" t="s">
        <v>24</v>
      </c>
      <c r="S474" s="729" t="str">
        <f>IF($W$17=$AF$1,"design",IFERROR(VLOOKUP("design",Jazyky_ceník!$A:$Q,MATCH($W$17,Jazyky_ceník!$A$1:$Q$1,0),FALSE),"!!!"))</f>
        <v>design</v>
      </c>
      <c r="T474" s="729">
        <v>40</v>
      </c>
      <c r="U474" s="729">
        <v>25</v>
      </c>
      <c r="V474" s="729">
        <v>13</v>
      </c>
      <c r="W474" s="729" t="str">
        <f>IFERROR(VLOOKUP('General price list'!$C474,Popisy!A:P,MATCH($W$17,Popisy!$A$7:$P$7,0),FALSE),"---------------")</f>
        <v>10 různobarevných efektů</v>
      </c>
      <c r="X474" s="729" t="str">
        <f t="shared" si="1054"/>
        <v/>
      </c>
      <c r="Y474" s="729" t="str">
        <f t="shared" si="1055"/>
        <v/>
      </c>
      <c r="Z474" s="729" t="str">
        <f>HYPERLINK("https://www.klasekpyrotechnics.cz/c10020xts14")</f>
        <v>https://www.klasekpyrotechnics.cz/c10020xts14</v>
      </c>
      <c r="AA474" s="729">
        <f>IFERROR(IF(VLOOKUP(C474,[4]List1!$A:$D,4,FALSE)=0,"",VLOOKUP(C474,[4]List1!$A:$D,4,FALSE)),"")</f>
        <v>22</v>
      </c>
      <c r="AB474" s="720"/>
      <c r="AC474" s="751" t="str">
        <f>IFERROR(IF(VLOOKUP(C474,[1]List1!$A:$D,2,FALSE)="VYPRODÁNO",$V$9,IF(VLOOKUP(C474,[1]List1!$A:$D,2,FALSE)="DOCHÁZÍ",$V$3,VLOOKUP(C474,[1]List1!$A:$D,2,FALSE))),"OFFLINE!")</f>
        <v>SKLADEM</v>
      </c>
      <c r="AD474" s="752" t="str">
        <f ca="1">IF(AP474="NE",$V$10,IF(AC474=$V$3,IF(AQ474&lt;1,$V$8,$V$2&amp;" "&amp;AQ474&amp;" "&amp;$V$1),IF(AC474="SKLADEM",$V$6,IFERROR(IF(OR(AC474-TODAY()&gt;45,VLOOKUP(C474,[1]List1!$A:$E,4,FALSE)=0),AC474,DAY(AC474)&amp;"."&amp;MONTH(AC474)&amp;"."&amp;YEAR(AC474)&amp;" "&amp;$V$4&amp;VLOOKUP(C474,[1]List1!$A:$E,4,FALSE)&amp;" "&amp;$V$1),AC474))))</f>
        <v>SKLADEM</v>
      </c>
      <c r="AE474" s="729" t="str">
        <f t="shared" ca="1" si="1056"/>
        <v>SKLADEM</v>
      </c>
      <c r="AF474" s="735">
        <f t="shared" si="1057"/>
        <v>0</v>
      </c>
      <c r="AG474" s="735">
        <f t="shared" si="1058"/>
        <v>0</v>
      </c>
      <c r="AH474" s="736">
        <f t="shared" si="1059"/>
        <v>0</v>
      </c>
      <c r="AI474" s="729">
        <f t="shared" si="1060"/>
        <v>0</v>
      </c>
      <c r="AJ474" s="729">
        <f t="shared" si="1061"/>
        <v>0</v>
      </c>
      <c r="AK474" s="729" t="str">
        <f t="shared" si="1062"/>
        <v/>
      </c>
      <c r="AL474" s="729" t="str">
        <f t="shared" si="1063"/>
        <v/>
      </c>
      <c r="AM474" s="729">
        <f t="shared" si="1064"/>
        <v>0</v>
      </c>
      <c r="AN474" s="729">
        <f t="shared" si="1065"/>
        <v>0</v>
      </c>
      <c r="AO474" s="380"/>
      <c r="AP474" s="322" t="str">
        <f t="shared" si="1030"/>
        <v/>
      </c>
      <c r="AQ474" s="323" t="str">
        <f>IF(AC474=$V$3,IF(VLOOKUP(C474,[1]List1!$A:$E,5,FALSE)=0,1,VLOOKUP(C474,[1]List1!$A:$E,5,FALSE)),"")</f>
        <v/>
      </c>
      <c r="AR474" s="304" t="str">
        <f t="shared" si="1031"/>
        <v/>
      </c>
      <c r="AS474" s="423" t="str">
        <f t="shared" si="1032"/>
        <v/>
      </c>
      <c r="AT474" s="304" t="str">
        <f t="shared" si="1033"/>
        <v/>
      </c>
      <c r="AU474" s="342" t="e">
        <f t="shared" si="1034"/>
        <v>#N/A</v>
      </c>
      <c r="AV474" s="304" t="e">
        <f t="shared" si="1035"/>
        <v>#N/A</v>
      </c>
      <c r="AX474" s="304">
        <f>IF(AND('General price list'!$J474="F4",'General price list'!$AB474+0&gt;0),1,0)</f>
        <v>0</v>
      </c>
      <c r="AY474" s="304">
        <f t="shared" si="1036"/>
        <v>1</v>
      </c>
      <c r="AZ474" s="304">
        <f t="shared" si="1037"/>
        <v>0</v>
      </c>
    </row>
    <row r="475" spans="1:52" ht="15" customHeight="1">
      <c r="A475" s="712" t="str">
        <f>Kat.!C472</f>
        <v/>
      </c>
      <c r="B475" s="745">
        <f>IF(AND('General price list'!$J475="F4",$AI$1=FALSE),0,IF(AC475="SKLADEM",1,IF(AC475=$V$3,1,0)))</f>
        <v>1</v>
      </c>
      <c r="C475" s="714" t="s">
        <v>2533</v>
      </c>
      <c r="D475" s="715" t="s">
        <v>14575</v>
      </c>
      <c r="E475" s="716" t="s">
        <v>1074</v>
      </c>
      <c r="F475" s="712">
        <f>IFERROR(ROUND(IF($AL$3=2,VLOOKUP(C475,[2]List1!$A:$D,2,FALSE)*1.08,VLOOKUP(C475,[2]List1!$A:$D,2,FALSE)),0),"NEUVEDENO!")</f>
        <v>926</v>
      </c>
      <c r="G475" s="717">
        <f t="shared" si="1052"/>
        <v>926</v>
      </c>
      <c r="H475" s="718">
        <f t="shared" si="1053"/>
        <v>37.628662800856603</v>
      </c>
      <c r="I475" s="746">
        <v>4</v>
      </c>
      <c r="J475" s="716" t="s">
        <v>46</v>
      </c>
      <c r="K475" s="716" t="s">
        <v>12771</v>
      </c>
      <c r="L475" s="716" t="s">
        <v>14395</v>
      </c>
      <c r="M475" s="716" t="s">
        <v>25</v>
      </c>
      <c r="N475" s="716">
        <f>IFERROR(VLOOKUP(C475,[3]List1!$A:$D,4,FALSE),"N/A!")</f>
        <v>5.6318625000000011E-2</v>
      </c>
      <c r="O475" s="716">
        <f>IFERROR(VLOOKUP(C475,[3]List1!$A:$D,3,FALSE),"N/A!")</f>
        <v>2000</v>
      </c>
      <c r="P475" s="716">
        <f>IFERROR(VLOOKUP(C475,[3]List1!$A:$D,2,FALSE),"N/A!")</f>
        <v>18000</v>
      </c>
      <c r="Q475" s="716" t="s">
        <v>14163</v>
      </c>
      <c r="R475" s="716" t="s">
        <v>24</v>
      </c>
      <c r="S475" s="716" t="str">
        <f>IF($W$17=$AF$1,"design",IFERROR(VLOOKUP("design",Jazyky_ceník!$A:$Q,MATCH($W$17,Jazyky_ceník!$A$1:$Q$1,0),FALSE),"!!!"))</f>
        <v>design</v>
      </c>
      <c r="T475" s="716">
        <v>60</v>
      </c>
      <c r="U475" s="716">
        <v>25</v>
      </c>
      <c r="V475" s="716">
        <v>13</v>
      </c>
      <c r="W475" s="716" t="str">
        <f>IFERROR(VLOOKUP('General price list'!$C475,Popisy!A:P,MATCH($W$17,Popisy!$A$7:$P$7,0),FALSE),"---------------")</f>
        <v>10 různobarevných efektů</v>
      </c>
      <c r="X475" s="716" t="str">
        <f t="shared" si="1054"/>
        <v/>
      </c>
      <c r="Y475" s="716" t="str">
        <f t="shared" si="1055"/>
        <v/>
      </c>
      <c r="Z475" s="716" t="str">
        <f>HYPERLINK("https://www.klasekpyrotechnics.cz/c10020xpr14")</f>
        <v>https://www.klasekpyrotechnics.cz/c10020xpr14</v>
      </c>
      <c r="AA475" s="716">
        <f>IFERROR(IF(VLOOKUP(C475,[4]List1!$A:$D,4,FALSE)=0,"",VLOOKUP(C475,[4]List1!$A:$D,4,FALSE)),"")</f>
        <v>22</v>
      </c>
      <c r="AB475" s="720"/>
      <c r="AC475" s="747" t="str">
        <f>IFERROR(IF(VLOOKUP(C475,[1]List1!$A:$D,2,FALSE)="VYPRODÁNO",$V$9,IF(VLOOKUP(C475,[1]List1!$A:$D,2,FALSE)="DOCHÁZÍ",$V$3,VLOOKUP(C475,[1]List1!$A:$D,2,FALSE))),"OFFLINE!")</f>
        <v>SKLADEM</v>
      </c>
      <c r="AD475" s="748" t="str">
        <f ca="1">IF(AP475="NE",$V$10,IF(AC475=$V$3,IF(AQ475&lt;1,$V$8,$V$2&amp;" "&amp;AQ475&amp;" "&amp;$V$1),IF(AC475="SKLADEM",$V$6,IFERROR(IF(OR(AC475-TODAY()&gt;45,VLOOKUP(C475,[1]List1!$A:$E,4,FALSE)=0),AC475,DAY(AC475)&amp;"."&amp;MONTH(AC475)&amp;"."&amp;YEAR(AC475)&amp;" "&amp;$V$4&amp;VLOOKUP(C475,[1]List1!$A:$E,4,FALSE)&amp;" "&amp;$V$1),AC475))))</f>
        <v>SKLADEM</v>
      </c>
      <c r="AE475" s="716" t="str">
        <f t="shared" ca="1" si="1056"/>
        <v>SKLADEM</v>
      </c>
      <c r="AF475" s="723">
        <f t="shared" si="1057"/>
        <v>0</v>
      </c>
      <c r="AG475" s="723">
        <f t="shared" si="1058"/>
        <v>0</v>
      </c>
      <c r="AH475" s="724">
        <f t="shared" si="1059"/>
        <v>0</v>
      </c>
      <c r="AI475" s="716">
        <f t="shared" si="1060"/>
        <v>0</v>
      </c>
      <c r="AJ475" s="716">
        <f t="shared" si="1061"/>
        <v>0</v>
      </c>
      <c r="AK475" s="716" t="str">
        <f t="shared" si="1062"/>
        <v/>
      </c>
      <c r="AL475" s="716" t="str">
        <f t="shared" si="1063"/>
        <v/>
      </c>
      <c r="AM475" s="716">
        <f t="shared" si="1064"/>
        <v>0</v>
      </c>
      <c r="AN475" s="716">
        <f t="shared" si="1065"/>
        <v>0</v>
      </c>
      <c r="AO475" s="380"/>
      <c r="AP475" s="322" t="str">
        <f t="shared" si="1030"/>
        <v/>
      </c>
      <c r="AQ475" s="323" t="str">
        <f>IF(AC475=$V$3,IF(VLOOKUP(C475,[1]List1!$A:$E,5,FALSE)=0,1,VLOOKUP(C475,[1]List1!$A:$E,5,FALSE)),"")</f>
        <v/>
      </c>
      <c r="AR475" s="304" t="str">
        <f t="shared" si="1031"/>
        <v/>
      </c>
      <c r="AS475" s="423" t="str">
        <f t="shared" si="1032"/>
        <v/>
      </c>
      <c r="AT475" s="304" t="str">
        <f t="shared" si="1033"/>
        <v/>
      </c>
      <c r="AU475" s="342" t="e">
        <f t="shared" si="1034"/>
        <v>#N/A</v>
      </c>
      <c r="AV475" s="304" t="e">
        <f t="shared" si="1035"/>
        <v>#N/A</v>
      </c>
      <c r="AX475" s="304">
        <f>IF(AND('General price list'!$J475="F4",'General price list'!$AB475+0&gt;0),1,0)</f>
        <v>0</v>
      </c>
      <c r="AY475" s="304">
        <f t="shared" si="1036"/>
        <v>1</v>
      </c>
      <c r="AZ475" s="304">
        <f t="shared" si="1037"/>
        <v>0</v>
      </c>
    </row>
    <row r="476" spans="1:52" ht="15" customHeight="1">
      <c r="A476" s="773" t="str">
        <f>Kat.!C473</f>
        <v xml:space="preserve">                                                               Baterie 100ran, 20mm šikmý moždíř-1.3G</v>
      </c>
      <c r="B476" s="774"/>
      <c r="C476" s="774"/>
      <c r="D476" s="774"/>
      <c r="E476" s="774"/>
      <c r="F476" s="774"/>
      <c r="G476" s="774"/>
      <c r="H476" s="774"/>
      <c r="I476" s="774"/>
      <c r="J476" s="774"/>
      <c r="K476" s="774"/>
      <c r="L476" s="774"/>
      <c r="M476" s="774"/>
      <c r="N476" s="774"/>
      <c r="O476" s="774"/>
      <c r="P476" s="774"/>
      <c r="Q476" s="774"/>
      <c r="R476" s="774"/>
      <c r="S476" s="774"/>
      <c r="T476" s="774"/>
      <c r="U476" s="774"/>
      <c r="V476" s="774"/>
      <c r="W476" s="774"/>
      <c r="X476" s="774"/>
      <c r="Y476" s="774"/>
      <c r="Z476" s="774"/>
      <c r="AA476" s="774" t="str">
        <f>IFERROR(IF(VLOOKUP(C476,[4]List1!$A:$D,4,FALSE)=0,"",VLOOKUP(C476,[4]List1!$A:$D,4,FALSE)),"")</f>
        <v/>
      </c>
      <c r="AB476" s="774"/>
      <c r="AC476" s="775" t="str">
        <f>IFERROR(IF(VLOOKUP(C476,[1]List1!$A:$D,2,FALSE)="VYPRODÁNO",$V$9,IF(VLOOKUP(C476,[1]List1!$A:$D,2,FALSE)="DOCHÁZÍ",$V$3,VLOOKUP(C476,[1]List1!$A:$D,2,FALSE))),"OFFLINE!")</f>
        <v>OFFLINE!</v>
      </c>
      <c r="AD476" s="774"/>
      <c r="AE476" s="774"/>
      <c r="AF476" s="774"/>
      <c r="AG476" s="774"/>
      <c r="AH476" s="774"/>
      <c r="AI476" s="774"/>
      <c r="AJ476" s="774"/>
      <c r="AK476" s="774"/>
      <c r="AL476" s="774"/>
      <c r="AM476" s="774"/>
      <c r="AN476" s="774"/>
      <c r="AO476" s="380"/>
      <c r="AP476" s="322" t="str">
        <f t="shared" si="1030"/>
        <v/>
      </c>
      <c r="AQ476" s="323" t="str">
        <f>IF(AC476=$V$3,IF(VLOOKUP(C476,[1]List1!$A:$E,5,FALSE)=0,1,VLOOKUP(C476,[1]List1!$A:$E,5,FALSE)),"")</f>
        <v/>
      </c>
      <c r="AR476" s="304" t="str">
        <f t="shared" si="1031"/>
        <v/>
      </c>
      <c r="AS476" s="423" t="str">
        <f t="shared" si="1032"/>
        <v/>
      </c>
      <c r="AT476" s="304" t="str">
        <f t="shared" si="1033"/>
        <v/>
      </c>
      <c r="AU476" s="342" t="e">
        <f t="shared" si="1034"/>
        <v>#N/A</v>
      </c>
      <c r="AV476" s="304" t="e">
        <f t="shared" si="1035"/>
        <v>#N/A</v>
      </c>
      <c r="AX476" s="304">
        <f>IF(AND('General price list'!$J476="F4",'General price list'!$AB476+0&gt;0),1,0)</f>
        <v>0</v>
      </c>
      <c r="AY476" s="304">
        <f t="shared" si="1036"/>
        <v>0</v>
      </c>
      <c r="AZ476" s="304">
        <f t="shared" si="1037"/>
        <v>0</v>
      </c>
    </row>
    <row r="477" spans="1:52" ht="15" customHeight="1">
      <c r="A477" s="712" t="str">
        <f>Kat.!C474</f>
        <v/>
      </c>
      <c r="B477" s="713">
        <f>IF(AND('General price list'!$J477="F4",$AI$1=FALSE),0,IF(AC477="SKLADEM",1,IF(AC477=$V$3,1,0)))</f>
        <v>1</v>
      </c>
      <c r="C477" s="714" t="s">
        <v>1212</v>
      </c>
      <c r="D477" s="715" t="s">
        <v>1213</v>
      </c>
      <c r="E477" s="716" t="s">
        <v>1078</v>
      </c>
      <c r="F477" s="712">
        <f>IFERROR(ROUND(IF($AL$3=2,VLOOKUP(C477,[2]List1!$A:$D,2,FALSE)*1.08,VLOOKUP(C477,[2]List1!$A:$D,2,FALSE)),0),"NEUVEDENO!")</f>
        <v>1039</v>
      </c>
      <c r="G477" s="717">
        <f t="shared" ref="G477:G478" si="1066">(F477)*$B$19</f>
        <v>1039</v>
      </c>
      <c r="H477" s="718">
        <f t="shared" ref="H477:H478" si="1067">G477/$F$19</f>
        <v>42.22049746230023</v>
      </c>
      <c r="I477" s="719">
        <v>2</v>
      </c>
      <c r="J477" s="716" t="s">
        <v>137</v>
      </c>
      <c r="K477" s="716" t="s">
        <v>14734</v>
      </c>
      <c r="L477" s="716" t="s">
        <v>24</v>
      </c>
      <c r="M477" s="716" t="s">
        <v>138</v>
      </c>
      <c r="N477" s="716">
        <f>IFERROR(VLOOKUP(C477,[3]List1!$A:$D,4,FALSE),"N/A!")</f>
        <v>2.9952000000000003E-2</v>
      </c>
      <c r="O477" s="716">
        <f>IFERROR(VLOOKUP(C477,[3]List1!$A:$D,3,FALSE),"N/A!")</f>
        <v>1600</v>
      </c>
      <c r="P477" s="716">
        <f>IFERROR(VLOOKUP(C477,[3]List1!$A:$D,2,FALSE),"N/A!")</f>
        <v>10100</v>
      </c>
      <c r="Q477" s="716" t="s">
        <v>14164</v>
      </c>
      <c r="R477" s="716" t="s">
        <v>24</v>
      </c>
      <c r="S477" s="716" t="str">
        <f>IF($W$17=$AF$1,"červená fólie",IFERROR(VLOOKUP("červená fólie",Jazyky_ceník!$A:$Q,MATCH($W$17,Jazyky_ceník!$A$1:$Q$1,0),FALSE),"!!!"))</f>
        <v>červená fólie</v>
      </c>
      <c r="T477" s="716">
        <v>40</v>
      </c>
      <c r="U477" s="716">
        <v>25</v>
      </c>
      <c r="V477" s="716">
        <v>16</v>
      </c>
      <c r="W477" s="716" t="str">
        <f>IFERROR(VLOOKUP('General price list'!$C477,Popisy!A:P,MATCH($W$17,Popisy!$A$7:$P$7,0),FALSE),"---------------")</f>
        <v>5 různobarevných efektů(salvy po 10ran)</v>
      </c>
      <c r="X477" s="716" t="str">
        <f t="shared" ref="X477:X478" si="1068">IF(AB477&lt;0.0001,"",AB477)</f>
        <v/>
      </c>
      <c r="Y477" s="716" t="str">
        <f t="shared" ref="Y477:Y478" si="1069">IF($AL$3=2,IF(OR(AB477&lt;&gt;"",AB477&lt;&gt;0),AU477,""),IF(C477="","",IF(AB477&lt;0.0001,"",IF(B477=0,"",IF(AQ477&lt;AB477,"",AB477)))))</f>
        <v/>
      </c>
      <c r="Z477" s="716" t="str">
        <f>HYPERLINK("https://www.klasekpyrotechnics.cz/cf10020p")</f>
        <v>https://www.klasekpyrotechnics.cz/cf10020p</v>
      </c>
      <c r="AA477" s="716">
        <f>IFERROR(IF(VLOOKUP(C477,[4]List1!$A:$D,4,FALSE)=0,"",VLOOKUP(C477,[4]List1!$A:$D,4,FALSE)),"")</f>
        <v>45</v>
      </c>
      <c r="AB477" s="720"/>
      <c r="AC477" s="721" t="str">
        <f>IFERROR(IF(VLOOKUP(C477,[1]List1!$A:$D,2,FALSE)="VYPRODÁNO",$V$9,IF(VLOOKUP(C477,[1]List1!$A:$D,2,FALSE)="DOCHÁZÍ",$V$3,VLOOKUP(C477,[1]List1!$A:$D,2,FALSE))),"OFFLINE!")</f>
        <v>SKLADEM</v>
      </c>
      <c r="AD477" s="722" t="str">
        <f ca="1">IF(AP477="NE",$V$10,IF(AC477=$V$3,IF(AQ477&lt;1,$V$8,$V$2&amp;" "&amp;AQ477&amp;" "&amp;$V$1),IF(AC477="SKLADEM",$V$6,IFERROR(IF(OR(AC477-TODAY()&gt;45,VLOOKUP(C477,[1]List1!$A:$E,4,FALSE)=0),AC477,DAY(AC477)&amp;"."&amp;MONTH(AC477)&amp;"."&amp;YEAR(AC477)&amp;" "&amp;$V$4&amp;VLOOKUP(C477,[1]List1!$A:$E,4,FALSE)&amp;" "&amp;$V$1),AC477))))</f>
        <v>SKLADEM</v>
      </c>
      <c r="AE477" s="716" t="str">
        <f t="shared" ref="AE477:AE478" ca="1" si="1070">IFERROR(IF(AV477&lt;&gt;"",AV477,AD477),AD477)</f>
        <v>SKLADEM</v>
      </c>
      <c r="AF477" s="723">
        <f t="shared" ref="AF477:AF478" si="1071">IFERROR(IF(AB477=Y477,G477*I477*Y477,0),0)</f>
        <v>0</v>
      </c>
      <c r="AG477" s="723">
        <f t="shared" ref="AG477:AG478" si="1072">IF($W$17=$AF$8,AH477*1.23,AF477*1.21)</f>
        <v>0</v>
      </c>
      <c r="AH477" s="724">
        <f t="shared" ref="AH477:AH478" si="1073">IFERROR(IF(Y477=AB477,H477*I477*Y477,0),0)</f>
        <v>0</v>
      </c>
      <c r="AI477" s="716">
        <f t="shared" ref="AI477:AI478" si="1074">IFERROR(IF(Y477=AB477,(P477*Y477)/1000,1),0)</f>
        <v>0</v>
      </c>
      <c r="AJ477" s="716">
        <f t="shared" ref="AJ477:AJ478" si="1075">IFERROR(IF(Y477=AB477,N477*Y477,0.1),0)</f>
        <v>0</v>
      </c>
      <c r="AK477" s="716" t="str">
        <f t="shared" ref="AK477:AK478" si="1076">IFERROR(IF(Y477=AB477,IF(M477="1.1G",(O477/1000)*Y477,""),""),0)</f>
        <v/>
      </c>
      <c r="AL477" s="716">
        <f t="shared" ref="AL477:AL478" si="1077">IFERROR(IF(Y477=AB477,IF(M477="1.3G",(O477/1000)*AB477,""),""),0)</f>
        <v>0</v>
      </c>
      <c r="AM477" s="716" t="str">
        <f t="shared" ref="AM477:AM478" si="1078">IFERROR(IF(Y477=AB477,IF(M477="1.4G",(O477/1000)*AB477,""),""),0)</f>
        <v/>
      </c>
      <c r="AN477" s="716">
        <f t="shared" ref="AN477:AN478" si="1079">SUM(AK477:AM477)</f>
        <v>0</v>
      </c>
      <c r="AO477" s="380"/>
      <c r="AP477" s="322" t="str">
        <f t="shared" si="1030"/>
        <v/>
      </c>
      <c r="AQ477" s="323" t="str">
        <f>IF(AC477=$V$3,IF(VLOOKUP(C477,[1]List1!$A:$E,5,FALSE)=0,1,VLOOKUP(C477,[1]List1!$A:$E,5,FALSE)),"")</f>
        <v/>
      </c>
      <c r="AR477" s="304" t="str">
        <f t="shared" si="1031"/>
        <v/>
      </c>
      <c r="AS477" s="423" t="str">
        <f t="shared" si="1032"/>
        <v/>
      </c>
      <c r="AT477" s="304" t="str">
        <f t="shared" si="1033"/>
        <v/>
      </c>
      <c r="AU477" s="342" t="e">
        <f t="shared" si="1034"/>
        <v>#N/A</v>
      </c>
      <c r="AV477" s="304" t="e">
        <f t="shared" si="1035"/>
        <v>#N/A</v>
      </c>
      <c r="AX477" s="304">
        <f>IF(AND('General price list'!$J477="F4",'General price list'!$AB477+0&gt;0),1,0)</f>
        <v>0</v>
      </c>
      <c r="AY477" s="304">
        <f t="shared" si="1036"/>
        <v>1</v>
      </c>
      <c r="AZ477" s="304">
        <f t="shared" si="1037"/>
        <v>0</v>
      </c>
    </row>
    <row r="478" spans="1:52" ht="15" customHeight="1">
      <c r="A478" s="725" t="str">
        <f>Kat.!C475</f>
        <v/>
      </c>
      <c r="B478" s="726">
        <f>IF(AND('General price list'!$J478="F4",$AI$1=FALSE),0,IF(AC478="SKLADEM",1,IF(AC478=$V$3,1,0)))</f>
        <v>1</v>
      </c>
      <c r="C478" s="727" t="s">
        <v>1217</v>
      </c>
      <c r="D478" s="728" t="s">
        <v>1218</v>
      </c>
      <c r="E478" s="729" t="s">
        <v>1078</v>
      </c>
      <c r="F478" s="725">
        <f>IFERROR(ROUND(IF($AL$3=2,VLOOKUP(C478,[2]List1!$A:$D,2,FALSE)*1.08,VLOOKUP(C478,[2]List1!$A:$D,2,FALSE)),0),"NEUVEDENO!")</f>
        <v>1039</v>
      </c>
      <c r="G478" s="730">
        <f t="shared" si="1066"/>
        <v>1039</v>
      </c>
      <c r="H478" s="731">
        <f t="shared" si="1067"/>
        <v>42.22049746230023</v>
      </c>
      <c r="I478" s="732">
        <v>2</v>
      </c>
      <c r="J478" s="729" t="s">
        <v>137</v>
      </c>
      <c r="K478" s="729" t="s">
        <v>14734</v>
      </c>
      <c r="L478" s="729" t="s">
        <v>24</v>
      </c>
      <c r="M478" s="729" t="s">
        <v>138</v>
      </c>
      <c r="N478" s="729">
        <f>IFERROR(VLOOKUP(C478,[3]List1!$A:$D,4,FALSE),"N/A!")</f>
        <v>2.9952000000000003E-2</v>
      </c>
      <c r="O478" s="729">
        <f>IFERROR(VLOOKUP(C478,[3]List1!$A:$D,3,FALSE),"N/A!")</f>
        <v>1600</v>
      </c>
      <c r="P478" s="729">
        <f>IFERROR(VLOOKUP(C478,[3]List1!$A:$D,2,FALSE),"N/A!")</f>
        <v>10200</v>
      </c>
      <c r="Q478" s="729" t="s">
        <v>14164</v>
      </c>
      <c r="R478" s="729" t="s">
        <v>24</v>
      </c>
      <c r="S478" s="729" t="str">
        <f>IF($W$17=$AF$1,"design",IFERROR(VLOOKUP("design",Jazyky_ceník!$A:$Q,MATCH($W$17,Jazyky_ceník!$A$1:$Q$1,0),FALSE),"!!!"))</f>
        <v>design</v>
      </c>
      <c r="T478" s="729">
        <v>50</v>
      </c>
      <c r="U478" s="729">
        <v>25</v>
      </c>
      <c r="V478" s="729">
        <v>16</v>
      </c>
      <c r="W478" s="729" t="str">
        <f>IFERROR(VLOOKUP('General price list'!$C478,Popisy!A:P,MATCH($W$17,Popisy!$A$7:$P$7,0),FALSE),"---------------")</f>
        <v>10 různobarevných efektů</v>
      </c>
      <c r="X478" s="729" t="str">
        <f t="shared" si="1068"/>
        <v/>
      </c>
      <c r="Y478" s="729" t="str">
        <f t="shared" si="1069"/>
        <v/>
      </c>
      <c r="Z478" s="729" t="str">
        <f>HYPERLINK("https://www.klasekpyrotechnics.cz/cf10020g")</f>
        <v>https://www.klasekpyrotechnics.cz/cf10020g</v>
      </c>
      <c r="AA478" s="729">
        <f>IFERROR(IF(VLOOKUP(C478,[4]List1!$A:$D,4,FALSE)=0,"",VLOOKUP(C478,[4]List1!$A:$D,4,FALSE)),"")</f>
        <v>45</v>
      </c>
      <c r="AB478" s="720"/>
      <c r="AC478" s="733" t="str">
        <f>IFERROR(IF(VLOOKUP(C478,[1]List1!$A:$D,2,FALSE)="VYPRODÁNO",$V$9,IF(VLOOKUP(C478,[1]List1!$A:$D,2,FALSE)="DOCHÁZÍ",$V$3,VLOOKUP(C478,[1]List1!$A:$D,2,FALSE))),"OFFLINE!")</f>
        <v>SKLADEM</v>
      </c>
      <c r="AD478" s="734" t="str">
        <f ca="1">IF(AP478="NE",$V$10,IF(AC478=$V$3,IF(AQ478&lt;1,$V$8,$V$2&amp;" "&amp;AQ478&amp;" "&amp;$V$1),IF(AC478="SKLADEM",$V$6,IFERROR(IF(OR(AC478-TODAY()&gt;45,VLOOKUP(C478,[1]List1!$A:$E,4,FALSE)=0),AC478,DAY(AC478)&amp;"."&amp;MONTH(AC478)&amp;"."&amp;YEAR(AC478)&amp;" "&amp;$V$4&amp;VLOOKUP(C478,[1]List1!$A:$E,4,FALSE)&amp;" "&amp;$V$1),AC478))))</f>
        <v>SKLADEM</v>
      </c>
      <c r="AE478" s="729" t="str">
        <f t="shared" ca="1" si="1070"/>
        <v>SKLADEM</v>
      </c>
      <c r="AF478" s="735">
        <f t="shared" si="1071"/>
        <v>0</v>
      </c>
      <c r="AG478" s="735">
        <f t="shared" si="1072"/>
        <v>0</v>
      </c>
      <c r="AH478" s="736">
        <f t="shared" si="1073"/>
        <v>0</v>
      </c>
      <c r="AI478" s="729">
        <f t="shared" si="1074"/>
        <v>0</v>
      </c>
      <c r="AJ478" s="729">
        <f t="shared" si="1075"/>
        <v>0</v>
      </c>
      <c r="AK478" s="729" t="str">
        <f t="shared" si="1076"/>
        <v/>
      </c>
      <c r="AL478" s="729">
        <f t="shared" si="1077"/>
        <v>0</v>
      </c>
      <c r="AM478" s="729" t="str">
        <f t="shared" si="1078"/>
        <v/>
      </c>
      <c r="AN478" s="729">
        <f t="shared" si="1079"/>
        <v>0</v>
      </c>
      <c r="AO478" s="380"/>
      <c r="AP478" s="322" t="str">
        <f t="shared" si="1030"/>
        <v/>
      </c>
      <c r="AQ478" s="323" t="str">
        <f>IF(AC478=$V$3,IF(VLOOKUP(C478,[1]List1!$A:$E,5,FALSE)=0,1,VLOOKUP(C478,[1]List1!$A:$E,5,FALSE)),"")</f>
        <v/>
      </c>
      <c r="AR478" s="304" t="str">
        <f t="shared" si="1031"/>
        <v/>
      </c>
      <c r="AS478" s="423" t="str">
        <f t="shared" si="1032"/>
        <v/>
      </c>
      <c r="AT478" s="304" t="str">
        <f t="shared" si="1033"/>
        <v/>
      </c>
      <c r="AU478" s="342" t="e">
        <f t="shared" si="1034"/>
        <v>#N/A</v>
      </c>
      <c r="AV478" s="304" t="e">
        <f t="shared" si="1035"/>
        <v>#N/A</v>
      </c>
      <c r="AX478" s="304">
        <f>IF(AND('General price list'!$J478="F4",'General price list'!$AB478+0&gt;0),1,0)</f>
        <v>0</v>
      </c>
      <c r="AY478" s="304">
        <f t="shared" si="1036"/>
        <v>1</v>
      </c>
      <c r="AZ478" s="304">
        <f t="shared" si="1037"/>
        <v>0</v>
      </c>
    </row>
    <row r="479" spans="1:52" ht="15" customHeight="1">
      <c r="A479" s="773" t="str">
        <f>Kat.!C476</f>
        <v xml:space="preserve">                                                               Baterie 130ran, 20mm moždíř-1.3G</v>
      </c>
      <c r="B479" s="774"/>
      <c r="C479" s="774"/>
      <c r="D479" s="774"/>
      <c r="E479" s="774"/>
      <c r="F479" s="774"/>
      <c r="G479" s="774"/>
      <c r="H479" s="774"/>
      <c r="I479" s="774"/>
      <c r="J479" s="774"/>
      <c r="K479" s="774"/>
      <c r="L479" s="774"/>
      <c r="M479" s="774"/>
      <c r="N479" s="774"/>
      <c r="O479" s="774"/>
      <c r="P479" s="774"/>
      <c r="Q479" s="774"/>
      <c r="R479" s="774"/>
      <c r="S479" s="774"/>
      <c r="T479" s="774"/>
      <c r="U479" s="774"/>
      <c r="V479" s="774"/>
      <c r="W479" s="774"/>
      <c r="X479" s="774"/>
      <c r="Y479" s="774"/>
      <c r="Z479" s="774"/>
      <c r="AA479" s="774" t="str">
        <f>IFERROR(IF(VLOOKUP(C479,[4]List1!$A:$D,4,FALSE)=0,"",VLOOKUP(C479,[4]List1!$A:$D,4,FALSE)),"")</f>
        <v/>
      </c>
      <c r="AB479" s="774"/>
      <c r="AC479" s="775" t="str">
        <f>IFERROR(IF(VLOOKUP(C479,[1]List1!$A:$D,2,FALSE)="VYPRODÁNO",$V$9,IF(VLOOKUP(C479,[1]List1!$A:$D,2,FALSE)="DOCHÁZÍ",$V$3,VLOOKUP(C479,[1]List1!$A:$D,2,FALSE))),"OFFLINE!")</f>
        <v>OFFLINE!</v>
      </c>
      <c r="AD479" s="774"/>
      <c r="AE479" s="774"/>
      <c r="AF479" s="774"/>
      <c r="AG479" s="774"/>
      <c r="AH479" s="774"/>
      <c r="AI479" s="774"/>
      <c r="AJ479" s="774"/>
      <c r="AK479" s="774"/>
      <c r="AL479" s="774"/>
      <c r="AM479" s="774"/>
      <c r="AN479" s="774"/>
      <c r="AO479" s="380"/>
      <c r="AP479" s="322" t="str">
        <f t="shared" si="1030"/>
        <v/>
      </c>
      <c r="AQ479" s="323" t="str">
        <f>IF(AC479=$V$3,IF(VLOOKUP(C479,[1]List1!$A:$E,5,FALSE)=0,1,VLOOKUP(C479,[1]List1!$A:$E,5,FALSE)),"")</f>
        <v/>
      </c>
      <c r="AR479" s="304" t="str">
        <f t="shared" si="1031"/>
        <v/>
      </c>
      <c r="AS479" s="423" t="str">
        <f t="shared" si="1032"/>
        <v/>
      </c>
      <c r="AT479" s="304" t="str">
        <f t="shared" si="1033"/>
        <v/>
      </c>
      <c r="AU479" s="342" t="e">
        <f t="shared" si="1034"/>
        <v>#N/A</v>
      </c>
      <c r="AV479" s="304" t="e">
        <f t="shared" si="1035"/>
        <v>#N/A</v>
      </c>
      <c r="AX479" s="304">
        <f>IF(AND('General price list'!$J479="F4",'General price list'!$AB479+0&gt;0),1,0)</f>
        <v>0</v>
      </c>
      <c r="AY479" s="304">
        <f t="shared" si="1036"/>
        <v>0</v>
      </c>
      <c r="AZ479" s="304">
        <f t="shared" si="1037"/>
        <v>0</v>
      </c>
    </row>
    <row r="480" spans="1:52" ht="15" customHeight="1">
      <c r="A480" s="725" t="str">
        <f>Kat.!C477</f>
        <v/>
      </c>
      <c r="B480" s="741">
        <f>IF(AND('General price list'!$J480="F4",$AI$1=FALSE),0,IF(AC480="SKLADEM",1,IF(AC480=$V$3,1,0)))</f>
        <v>1</v>
      </c>
      <c r="C480" s="727" t="s">
        <v>2534</v>
      </c>
      <c r="D480" s="728" t="s">
        <v>14576</v>
      </c>
      <c r="E480" s="729" t="s">
        <v>810</v>
      </c>
      <c r="F480" s="725">
        <f>IFERROR(ROUND(IF($AL$3=2,VLOOKUP(C480,[2]List1!$A:$D,2,FALSE)*1.08,VLOOKUP(C480,[2]List1!$A:$D,2,FALSE)),0),"NEUVEDENO!")</f>
        <v>999</v>
      </c>
      <c r="G480" s="730">
        <f t="shared" ref="G480:G482" si="1080">(F480)*$B$19</f>
        <v>999</v>
      </c>
      <c r="H480" s="731">
        <f t="shared" ref="H480:H482" si="1081">G480/$F$19</f>
        <v>40.595069263559118</v>
      </c>
      <c r="I480" s="742">
        <v>3</v>
      </c>
      <c r="J480" s="729" t="s">
        <v>137</v>
      </c>
      <c r="K480" s="729" t="s">
        <v>14820</v>
      </c>
      <c r="L480" s="729" t="s">
        <v>24</v>
      </c>
      <c r="M480" s="729" t="s">
        <v>138</v>
      </c>
      <c r="N480" s="729">
        <f>IFERROR(VLOOKUP(C480,[3]List1!$A:$D,4,FALSE),"N/A!")</f>
        <v>3.8808000000000002E-2</v>
      </c>
      <c r="O480" s="729">
        <f>IFERROR(VLOOKUP(C480,[3]List1!$A:$D,3,FALSE),"N/A!")</f>
        <v>2730</v>
      </c>
      <c r="P480" s="729">
        <f>IFERROR(VLOOKUP(C480,[3]List1!$A:$D,2,FALSE),"N/A!")</f>
        <v>17000</v>
      </c>
      <c r="Q480" s="729" t="s">
        <v>14165</v>
      </c>
      <c r="R480" s="729" t="s">
        <v>24</v>
      </c>
      <c r="S480" s="729" t="str">
        <f>IF($W$17=$AF$1,"design",IFERROR(VLOOKUP("design",Jazyky_ceník!$A:$Q,MATCH($W$17,Jazyky_ceník!$A$1:$Q$1,0),FALSE),"!!!"))</f>
        <v>design</v>
      </c>
      <c r="T480" s="729">
        <v>90</v>
      </c>
      <c r="U480" s="729">
        <v>25</v>
      </c>
      <c r="V480" s="729">
        <v>15</v>
      </c>
      <c r="W480" s="729" t="str">
        <f>IFERROR(VLOOKUP('General price list'!$C480,Popisy!A:P,MATCH($W$17,Popisy!$A$7:$P$7,0),FALSE),"---------------")</f>
        <v>13 různobarevných efektů</v>
      </c>
      <c r="X480" s="729" t="str">
        <f t="shared" ref="X480:X482" si="1082">IF(AB480&lt;0.0001,"",AB480)</f>
        <v/>
      </c>
      <c r="Y480" s="729" t="str">
        <f t="shared" ref="Y480:Y482" si="1083">IF($AL$3=2,IF(OR(AB480&lt;&gt;"",AB480&lt;&gt;0),AU480,""),IF(C480="","",IF(AB480&lt;0.0001,"",IF(B480=0,"",IF(AQ480&lt;AB480,"",AB480)))))</f>
        <v/>
      </c>
      <c r="Z480" s="729" t="str">
        <f>HYPERLINK("https://www.klasekpyrotechnics.cz/c13020bp")</f>
        <v>https://www.klasekpyrotechnics.cz/c13020bp</v>
      </c>
      <c r="AA480" s="729">
        <f>IFERROR(IF(VLOOKUP(C480,[4]List1!$A:$D,4,FALSE)=0,"",VLOOKUP(C480,[4]List1!$A:$D,4,FALSE)),"")</f>
        <v>36</v>
      </c>
      <c r="AB480" s="720"/>
      <c r="AC480" s="743" t="str">
        <f>IFERROR(IF(VLOOKUP(C480,[1]List1!$A:$D,2,FALSE)="VYPRODÁNO",$V$9,IF(VLOOKUP(C480,[1]List1!$A:$D,2,FALSE)="DOCHÁZÍ",$V$3,VLOOKUP(C480,[1]List1!$A:$D,2,FALSE))),"OFFLINE!")</f>
        <v>SKLADEM</v>
      </c>
      <c r="AD480" s="744" t="str">
        <f ca="1">IF(AP480="NE",$V$10,IF(AC480=$V$3,IF(AQ480&lt;1,$V$8,$V$2&amp;" "&amp;AQ480&amp;" "&amp;$V$1),IF(AC480="SKLADEM",$V$6,IFERROR(IF(OR(AC480-TODAY()&gt;45,VLOOKUP(C480,[1]List1!$A:$E,4,FALSE)=0),AC480,DAY(AC480)&amp;"."&amp;MONTH(AC480)&amp;"."&amp;YEAR(AC480)&amp;" "&amp;$V$4&amp;VLOOKUP(C480,[1]List1!$A:$E,4,FALSE)&amp;" "&amp;$V$1),AC480))))</f>
        <v>SKLADEM</v>
      </c>
      <c r="AE480" s="729" t="str">
        <f t="shared" ref="AE480:AE482" ca="1" si="1084">IFERROR(IF(AV480&lt;&gt;"",AV480,AD480),AD480)</f>
        <v>SKLADEM</v>
      </c>
      <c r="AF480" s="735">
        <f t="shared" ref="AF480:AF482" si="1085">IFERROR(IF(AB480=Y480,G480*I480*Y480,0),0)</f>
        <v>0</v>
      </c>
      <c r="AG480" s="735">
        <f t="shared" ref="AG480:AG482" si="1086">IF($W$17=$AF$8,AH480*1.23,AF480*1.21)</f>
        <v>0</v>
      </c>
      <c r="AH480" s="736">
        <f t="shared" ref="AH480:AH482" si="1087">IFERROR(IF(Y480=AB480,H480*I480*Y480,0),0)</f>
        <v>0</v>
      </c>
      <c r="AI480" s="729">
        <f t="shared" ref="AI480:AI482" si="1088">IFERROR(IF(Y480=AB480,(P480*Y480)/1000,1),0)</f>
        <v>0</v>
      </c>
      <c r="AJ480" s="729">
        <f t="shared" ref="AJ480:AJ482" si="1089">IFERROR(IF(Y480=AB480,N480*Y480,0.1),0)</f>
        <v>0</v>
      </c>
      <c r="AK480" s="729" t="str">
        <f t="shared" ref="AK480:AK482" si="1090">IFERROR(IF(Y480=AB480,IF(M480="1.1G",(O480/1000)*Y480,""),""),0)</f>
        <v/>
      </c>
      <c r="AL480" s="729">
        <f t="shared" ref="AL480:AL482" si="1091">IFERROR(IF(Y480=AB480,IF(M480="1.3G",(O480/1000)*AB480,""),""),0)</f>
        <v>0</v>
      </c>
      <c r="AM480" s="729" t="str">
        <f t="shared" ref="AM480:AM482" si="1092">IFERROR(IF(Y480=AB480,IF(M480="1.4G",(O480/1000)*AB480,""),""),0)</f>
        <v/>
      </c>
      <c r="AN480" s="729">
        <f t="shared" ref="AN480:AN482" si="1093">SUM(AK480:AM480)</f>
        <v>0</v>
      </c>
      <c r="AO480" s="380"/>
      <c r="AP480" s="322" t="str">
        <f t="shared" si="1030"/>
        <v/>
      </c>
      <c r="AQ480" s="323" t="str">
        <f>IF(AC480=$V$3,IF(VLOOKUP(C480,[1]List1!$A:$E,5,FALSE)=0,1,VLOOKUP(C480,[1]List1!$A:$E,5,FALSE)),"")</f>
        <v/>
      </c>
      <c r="AR480" s="304" t="str">
        <f t="shared" si="1031"/>
        <v/>
      </c>
      <c r="AS480" s="423" t="str">
        <f t="shared" si="1032"/>
        <v/>
      </c>
      <c r="AT480" s="304" t="str">
        <f t="shared" si="1033"/>
        <v/>
      </c>
      <c r="AU480" s="342" t="e">
        <f t="shared" si="1034"/>
        <v>#N/A</v>
      </c>
      <c r="AV480" s="304" t="e">
        <f t="shared" si="1035"/>
        <v>#N/A</v>
      </c>
      <c r="AX480" s="304">
        <f>IF(AND('General price list'!$J480="F4",'General price list'!$AB480+0&gt;0),1,0)</f>
        <v>0</v>
      </c>
      <c r="AY480" s="304">
        <f t="shared" si="1036"/>
        <v>1</v>
      </c>
      <c r="AZ480" s="304">
        <f t="shared" si="1037"/>
        <v>0</v>
      </c>
    </row>
    <row r="481" spans="1:52" ht="15" customHeight="1">
      <c r="A481" s="712" t="str">
        <f>Kat.!C478</f>
        <v/>
      </c>
      <c r="B481" s="745">
        <f>IF(AND('General price list'!$J481="F4",$AI$1=FALSE),0,IF(AC481="SKLADEM",1,IF(AC481=$V$3,1,0)))</f>
        <v>1</v>
      </c>
      <c r="C481" s="714" t="s">
        <v>1219</v>
      </c>
      <c r="D481" s="715" t="s">
        <v>1220</v>
      </c>
      <c r="E481" s="716" t="s">
        <v>810</v>
      </c>
      <c r="F481" s="712">
        <f>IFERROR(ROUND(IF($AL$3=2,VLOOKUP(C481,[2]List1!$A:$D,2,FALSE)*1.08,VLOOKUP(C481,[2]List1!$A:$D,2,FALSE)),0),"NEUVEDENO!")</f>
        <v>1009</v>
      </c>
      <c r="G481" s="717">
        <f t="shared" si="1080"/>
        <v>1009</v>
      </c>
      <c r="H481" s="718">
        <f t="shared" si="1081"/>
        <v>41.001426313244401</v>
      </c>
      <c r="I481" s="746">
        <v>3</v>
      </c>
      <c r="J481" s="716" t="s">
        <v>137</v>
      </c>
      <c r="K481" s="716" t="s">
        <v>14734</v>
      </c>
      <c r="L481" s="716" t="s">
        <v>14393</v>
      </c>
      <c r="M481" s="716" t="s">
        <v>138</v>
      </c>
      <c r="N481" s="716">
        <f>IFERROR(VLOOKUP(C481,[3]List1!$A:$D,4,FALSE),"N/A!")</f>
        <v>3.8808000000000002E-2</v>
      </c>
      <c r="O481" s="716">
        <f>IFERROR(VLOOKUP(C481,[3]List1!$A:$D,3,FALSE),"N/A!")</f>
        <v>2991</v>
      </c>
      <c r="P481" s="716">
        <f>IFERROR(VLOOKUP(C481,[3]List1!$A:$D,2,FALSE),"N/A!")</f>
        <v>17600</v>
      </c>
      <c r="Q481" s="716" t="s">
        <v>14166</v>
      </c>
      <c r="R481" s="716" t="s">
        <v>24</v>
      </c>
      <c r="S481" s="716" t="str">
        <f>IF($W$17=$AF$1,"design",IFERROR(VLOOKUP("design",Jazyky_ceník!$A:$Q,MATCH($W$17,Jazyky_ceník!$A$1:$Q$1,0),FALSE),"!!!"))</f>
        <v>design</v>
      </c>
      <c r="T481" s="716">
        <v>90</v>
      </c>
      <c r="U481" s="716">
        <v>25</v>
      </c>
      <c r="V481" s="716">
        <v>16</v>
      </c>
      <c r="W481" s="716" t="str">
        <f>IFERROR(VLOOKUP('General price list'!$C481,Popisy!A:P,MATCH($W$17,Popisy!$A$7:$P$7,0),FALSE),"---------------")</f>
        <v>13 různobarevných efektů</v>
      </c>
      <c r="X481" s="716" t="str">
        <f t="shared" si="1082"/>
        <v/>
      </c>
      <c r="Y481" s="716" t="str">
        <f t="shared" si="1083"/>
        <v/>
      </c>
      <c r="Z481" s="716" t="str">
        <f>HYPERLINK("https://www.klasekpyrotechnics.cz/c13020m")</f>
        <v>https://www.klasekpyrotechnics.cz/c13020m</v>
      </c>
      <c r="AA481" s="716">
        <f>IFERROR(IF(VLOOKUP(C481,[4]List1!$A:$D,4,FALSE)=0,"",VLOOKUP(C481,[4]List1!$A:$D,4,FALSE)),"")</f>
        <v>36</v>
      </c>
      <c r="AB481" s="720"/>
      <c r="AC481" s="747" t="str">
        <f>IFERROR(IF(VLOOKUP(C481,[1]List1!$A:$D,2,FALSE)="VYPRODÁNO",$V$9,IF(VLOOKUP(C481,[1]List1!$A:$D,2,FALSE)="DOCHÁZÍ",$V$3,VLOOKUP(C481,[1]List1!$A:$D,2,FALSE))),"OFFLINE!")</f>
        <v>SKLADEM</v>
      </c>
      <c r="AD481" s="748" t="str">
        <f ca="1">IF(AP481="NE",$V$10,IF(AC481=$V$3,IF(AQ481&lt;1,$V$8,$V$2&amp;" "&amp;AQ481&amp;" "&amp;$V$1),IF(AC481="SKLADEM",$V$6,IFERROR(IF(OR(AC481-TODAY()&gt;45,VLOOKUP(C481,[1]List1!$A:$E,4,FALSE)=0),AC481,DAY(AC481)&amp;"."&amp;MONTH(AC481)&amp;"."&amp;YEAR(AC481)&amp;" "&amp;$V$4&amp;VLOOKUP(C481,[1]List1!$A:$E,4,FALSE)&amp;" "&amp;$V$1),AC481))))</f>
        <v>SKLADEM</v>
      </c>
      <c r="AE481" s="716" t="str">
        <f t="shared" ca="1" si="1084"/>
        <v>SKLADEM</v>
      </c>
      <c r="AF481" s="723">
        <f t="shared" si="1085"/>
        <v>0</v>
      </c>
      <c r="AG481" s="723">
        <f t="shared" si="1086"/>
        <v>0</v>
      </c>
      <c r="AH481" s="724">
        <f t="shared" si="1087"/>
        <v>0</v>
      </c>
      <c r="AI481" s="716">
        <f t="shared" si="1088"/>
        <v>0</v>
      </c>
      <c r="AJ481" s="716">
        <f t="shared" si="1089"/>
        <v>0</v>
      </c>
      <c r="AK481" s="716" t="str">
        <f t="shared" si="1090"/>
        <v/>
      </c>
      <c r="AL481" s="716">
        <f t="shared" si="1091"/>
        <v>0</v>
      </c>
      <c r="AM481" s="716" t="str">
        <f t="shared" si="1092"/>
        <v/>
      </c>
      <c r="AN481" s="716">
        <f t="shared" si="1093"/>
        <v>0</v>
      </c>
      <c r="AO481" s="380"/>
      <c r="AP481" s="322" t="str">
        <f t="shared" si="1030"/>
        <v/>
      </c>
      <c r="AQ481" s="323" t="str">
        <f>IF(AC481=$V$3,IF(VLOOKUP(C481,[1]List1!$A:$E,5,FALSE)=0,1,VLOOKUP(C481,[1]List1!$A:$E,5,FALSE)),"")</f>
        <v/>
      </c>
      <c r="AR481" s="304" t="str">
        <f t="shared" si="1031"/>
        <v/>
      </c>
      <c r="AS481" s="423" t="str">
        <f t="shared" si="1032"/>
        <v/>
      </c>
      <c r="AT481" s="304" t="str">
        <f t="shared" si="1033"/>
        <v/>
      </c>
      <c r="AU481" s="342" t="e">
        <f t="shared" si="1034"/>
        <v>#N/A</v>
      </c>
      <c r="AV481" s="304" t="e">
        <f t="shared" si="1035"/>
        <v>#N/A</v>
      </c>
      <c r="AX481" s="304">
        <f>IF(AND('General price list'!$J481="F4",'General price list'!$AB481+0&gt;0),1,0)</f>
        <v>0</v>
      </c>
      <c r="AY481" s="304">
        <f t="shared" si="1036"/>
        <v>1</v>
      </c>
      <c r="AZ481" s="304">
        <f t="shared" si="1037"/>
        <v>0</v>
      </c>
    </row>
    <row r="482" spans="1:52" ht="15" customHeight="1">
      <c r="A482" s="725" t="str">
        <f>Kat.!C479</f>
        <v/>
      </c>
      <c r="B482" s="749">
        <f>IF(AND('General price list'!$J482="F4",$AI$1=FALSE),0,IF(AC482="SKLADEM",1,IF(AC482=$V$3,1,0)))</f>
        <v>1</v>
      </c>
      <c r="C482" s="727" t="s">
        <v>1224</v>
      </c>
      <c r="D482" s="728" t="s">
        <v>14577</v>
      </c>
      <c r="E482" s="729" t="s">
        <v>810</v>
      </c>
      <c r="F482" s="725">
        <f>IFERROR(ROUND(IF($AL$3=2,VLOOKUP(C482,[2]List1!$A:$D,2,FALSE)*1.08,VLOOKUP(C482,[2]List1!$A:$D,2,FALSE)),0),"NEUVEDENO!")</f>
        <v>1009</v>
      </c>
      <c r="G482" s="730">
        <f t="shared" si="1080"/>
        <v>1009</v>
      </c>
      <c r="H482" s="731">
        <f t="shared" si="1081"/>
        <v>41.001426313244401</v>
      </c>
      <c r="I482" s="750">
        <v>3</v>
      </c>
      <c r="J482" s="729" t="s">
        <v>137</v>
      </c>
      <c r="K482" s="729" t="s">
        <v>14820</v>
      </c>
      <c r="L482" s="729" t="s">
        <v>14393</v>
      </c>
      <c r="M482" s="729" t="s">
        <v>138</v>
      </c>
      <c r="N482" s="729">
        <f>IFERROR(VLOOKUP(C482,[3]List1!$A:$D,4,FALSE),"N/A!")</f>
        <v>3.8808000000000002E-2</v>
      </c>
      <c r="O482" s="729">
        <f>IFERROR(VLOOKUP(C482,[3]List1!$A:$D,3,FALSE),"N/A!")</f>
        <v>2991</v>
      </c>
      <c r="P482" s="729">
        <f>IFERROR(VLOOKUP(C482,[3]List1!$A:$D,2,FALSE),"N/A!")</f>
        <v>17200</v>
      </c>
      <c r="Q482" s="729" t="s">
        <v>14167</v>
      </c>
      <c r="R482" s="729" t="s">
        <v>24</v>
      </c>
      <c r="S482" s="729" t="str">
        <f>IF($W$17=$AF$1,"červená fólie",IFERROR(VLOOKUP("červená fólie",Jazyky_ceník!$A:$Q,MATCH($W$17,Jazyky_ceník!$A$1:$Q$1,0),FALSE),"!!!"))</f>
        <v>červená fólie</v>
      </c>
      <c r="T482" s="729">
        <v>80</v>
      </c>
      <c r="U482" s="729">
        <v>25</v>
      </c>
      <c r="V482" s="729">
        <v>16</v>
      </c>
      <c r="W482" s="729" t="str">
        <f>IFERROR(VLOOKUP('General price list'!$C482,Popisy!A:P,MATCH($W$17,Popisy!$A$7:$P$7,0),FALSE),"---------------")</f>
        <v>13 různobarevných efektů</v>
      </c>
      <c r="X482" s="729" t="str">
        <f t="shared" si="1082"/>
        <v/>
      </c>
      <c r="Y482" s="729" t="str">
        <f t="shared" si="1083"/>
        <v/>
      </c>
      <c r="Z482" s="729" t="str">
        <f>HYPERLINK("https://www.klasekpyrotechnics.cz/c13020b")</f>
        <v>https://www.klasekpyrotechnics.cz/c13020b</v>
      </c>
      <c r="AA482" s="729">
        <f>IFERROR(IF(VLOOKUP(C482,[4]List1!$A:$D,4,FALSE)=0,"",VLOOKUP(C482,[4]List1!$A:$D,4,FALSE)),"")</f>
        <v>36</v>
      </c>
      <c r="AB482" s="720"/>
      <c r="AC482" s="751" t="str">
        <f>IFERROR(IF(VLOOKUP(C482,[1]List1!$A:$D,2,FALSE)="VYPRODÁNO",$V$9,IF(VLOOKUP(C482,[1]List1!$A:$D,2,FALSE)="DOCHÁZÍ",$V$3,VLOOKUP(C482,[1]List1!$A:$D,2,FALSE))),"OFFLINE!")</f>
        <v>SKLADEM</v>
      </c>
      <c r="AD482" s="752" t="str">
        <f ca="1">IF(AP482="NE",$V$10,IF(AC482=$V$3,IF(AQ482&lt;1,$V$8,$V$2&amp;" "&amp;AQ482&amp;" "&amp;$V$1),IF(AC482="SKLADEM",$V$6,IFERROR(IF(OR(AC482-TODAY()&gt;45,VLOOKUP(C482,[1]List1!$A:$E,4,FALSE)=0),AC482,DAY(AC482)&amp;"."&amp;MONTH(AC482)&amp;"."&amp;YEAR(AC482)&amp;" "&amp;$V$4&amp;VLOOKUP(C482,[1]List1!$A:$E,4,FALSE)&amp;" "&amp;$V$1),AC482))))</f>
        <v>SKLADEM</v>
      </c>
      <c r="AE482" s="729" t="str">
        <f t="shared" ca="1" si="1084"/>
        <v>SKLADEM</v>
      </c>
      <c r="AF482" s="735">
        <f t="shared" si="1085"/>
        <v>0</v>
      </c>
      <c r="AG482" s="735">
        <f t="shared" si="1086"/>
        <v>0</v>
      </c>
      <c r="AH482" s="736">
        <f t="shared" si="1087"/>
        <v>0</v>
      </c>
      <c r="AI482" s="729">
        <f t="shared" si="1088"/>
        <v>0</v>
      </c>
      <c r="AJ482" s="729">
        <f t="shared" si="1089"/>
        <v>0</v>
      </c>
      <c r="AK482" s="729" t="str">
        <f t="shared" si="1090"/>
        <v/>
      </c>
      <c r="AL482" s="729">
        <f t="shared" si="1091"/>
        <v>0</v>
      </c>
      <c r="AM482" s="729" t="str">
        <f t="shared" si="1092"/>
        <v/>
      </c>
      <c r="AN482" s="729">
        <f t="shared" si="1093"/>
        <v>0</v>
      </c>
      <c r="AO482" s="380"/>
      <c r="AP482" s="322" t="str">
        <f t="shared" si="1030"/>
        <v/>
      </c>
      <c r="AQ482" s="323" t="str">
        <f>IF(AC482=$V$3,IF(VLOOKUP(C482,[1]List1!$A:$E,5,FALSE)=0,1,VLOOKUP(C482,[1]List1!$A:$E,5,FALSE)),"")</f>
        <v/>
      </c>
      <c r="AR482" s="304" t="str">
        <f t="shared" si="1031"/>
        <v/>
      </c>
      <c r="AS482" s="423" t="str">
        <f t="shared" si="1032"/>
        <v/>
      </c>
      <c r="AT482" s="304" t="str">
        <f t="shared" si="1033"/>
        <v/>
      </c>
      <c r="AU482" s="342" t="e">
        <f t="shared" si="1034"/>
        <v>#N/A</v>
      </c>
      <c r="AV482" s="304" t="e">
        <f t="shared" si="1035"/>
        <v>#N/A</v>
      </c>
      <c r="AX482" s="304">
        <f>IF(AND('General price list'!$J482="F4",'General price list'!$AB482+0&gt;0),1,0)</f>
        <v>0</v>
      </c>
      <c r="AY482" s="304">
        <f t="shared" si="1036"/>
        <v>1</v>
      </c>
      <c r="AZ482" s="304">
        <f t="shared" si="1037"/>
        <v>0</v>
      </c>
    </row>
    <row r="483" spans="1:52" ht="15" customHeight="1">
      <c r="A483" s="773" t="str">
        <f>Kat.!C480</f>
        <v xml:space="preserve">                                                               Baterie 134ran, 20mm I+V+W+šikmý moždíř-1.3G</v>
      </c>
      <c r="B483" s="774"/>
      <c r="C483" s="774"/>
      <c r="D483" s="774"/>
      <c r="E483" s="774"/>
      <c r="F483" s="774"/>
      <c r="G483" s="774"/>
      <c r="H483" s="774"/>
      <c r="I483" s="774"/>
      <c r="J483" s="774"/>
      <c r="K483" s="774"/>
      <c r="L483" s="774"/>
      <c r="M483" s="774"/>
      <c r="N483" s="774"/>
      <c r="O483" s="774"/>
      <c r="P483" s="774"/>
      <c r="Q483" s="774"/>
      <c r="R483" s="774"/>
      <c r="S483" s="774"/>
      <c r="T483" s="774"/>
      <c r="U483" s="774"/>
      <c r="V483" s="774"/>
      <c r="W483" s="774"/>
      <c r="X483" s="774"/>
      <c r="Y483" s="774"/>
      <c r="Z483" s="774"/>
      <c r="AA483" s="774" t="str">
        <f>IFERROR(IF(VLOOKUP(C483,[4]List1!$A:$D,4,FALSE)=0,"",VLOOKUP(C483,[4]List1!$A:$D,4,FALSE)),"")</f>
        <v/>
      </c>
      <c r="AB483" s="774"/>
      <c r="AC483" s="775" t="str">
        <f>IFERROR(IF(VLOOKUP(C483,[1]List1!$A:$D,2,FALSE)="VYPRODÁNO",$V$9,IF(VLOOKUP(C483,[1]List1!$A:$D,2,FALSE)="DOCHÁZÍ",$V$3,VLOOKUP(C483,[1]List1!$A:$D,2,FALSE))),"OFFLINE!")</f>
        <v>OFFLINE!</v>
      </c>
      <c r="AD483" s="774"/>
      <c r="AE483" s="774"/>
      <c r="AF483" s="774"/>
      <c r="AG483" s="774"/>
      <c r="AH483" s="774"/>
      <c r="AI483" s="774"/>
      <c r="AJ483" s="774"/>
      <c r="AK483" s="774"/>
      <c r="AL483" s="774"/>
      <c r="AM483" s="774"/>
      <c r="AN483" s="774"/>
      <c r="AO483" s="380"/>
      <c r="AP483" s="322" t="str">
        <f t="shared" si="1030"/>
        <v/>
      </c>
      <c r="AQ483" s="323" t="str">
        <f>IF(AC483=$V$3,IF(VLOOKUP(C483,[1]List1!$A:$E,5,FALSE)=0,1,VLOOKUP(C483,[1]List1!$A:$E,5,FALSE)),"")</f>
        <v/>
      </c>
      <c r="AR483" s="304" t="str">
        <f t="shared" si="1031"/>
        <v/>
      </c>
      <c r="AS483" s="423" t="str">
        <f t="shared" si="1032"/>
        <v/>
      </c>
      <c r="AT483" s="304" t="str">
        <f t="shared" si="1033"/>
        <v/>
      </c>
      <c r="AU483" s="342" t="e">
        <f t="shared" si="1034"/>
        <v>#N/A</v>
      </c>
      <c r="AV483" s="304" t="e">
        <f t="shared" si="1035"/>
        <v>#N/A</v>
      </c>
      <c r="AX483" s="304">
        <f>IF(AND('General price list'!$J483="F4",'General price list'!$AB483+0&gt;0),1,0)</f>
        <v>0</v>
      </c>
      <c r="AY483" s="304">
        <f t="shared" si="1036"/>
        <v>0</v>
      </c>
      <c r="AZ483" s="304">
        <f t="shared" si="1037"/>
        <v>0</v>
      </c>
    </row>
    <row r="484" spans="1:52" ht="15" customHeight="1">
      <c r="A484" s="725" t="str">
        <f>Kat.!C481</f>
        <v/>
      </c>
      <c r="B484" s="741">
        <f>IF(AND('General price list'!$J484="F4",$AI$1=FALSE),0,IF(AC484="SKLADEM",1,IF(AC484=$V$3,1,0)))</f>
        <v>1</v>
      </c>
      <c r="C484" s="727" t="s">
        <v>1225</v>
      </c>
      <c r="D484" s="728" t="s">
        <v>14578</v>
      </c>
      <c r="E484" s="729" t="s">
        <v>1078</v>
      </c>
      <c r="F484" s="725">
        <f>IFERROR(ROUND(IF($AL$3=2,VLOOKUP(C484,[2]List1!$A:$D,2,FALSE)*1.08,VLOOKUP(C484,[2]List1!$A:$D,2,FALSE)),0),"NEUVEDENO!")</f>
        <v>1545</v>
      </c>
      <c r="G484" s="730">
        <f t="shared" ref="G484:G485" si="1094">(F484)*$B$19</f>
        <v>1545</v>
      </c>
      <c r="H484" s="731">
        <f t="shared" ref="H484:H485" si="1095">G484/$F$19</f>
        <v>62.782164176375218</v>
      </c>
      <c r="I484" s="742">
        <v>2</v>
      </c>
      <c r="J484" s="729" t="s">
        <v>137</v>
      </c>
      <c r="K484" s="729"/>
      <c r="L484" s="729" t="s">
        <v>24</v>
      </c>
      <c r="M484" s="729" t="s">
        <v>138</v>
      </c>
      <c r="N484" s="729">
        <f>IFERROR(VLOOKUP(C484,[3]List1!$A:$D,4,FALSE),"N/A!")</f>
        <v>4.6479999999999994E-2</v>
      </c>
      <c r="O484" s="729">
        <f>IFERROR(VLOOKUP(C484,[3]List1!$A:$D,3,FALSE),"N/A!")</f>
        <v>1998</v>
      </c>
      <c r="P484" s="729">
        <f>IFERROR(VLOOKUP(C484,[3]List1!$A:$D,2,FALSE),"N/A!")</f>
        <v>13500</v>
      </c>
      <c r="Q484" s="729" t="s">
        <v>14168</v>
      </c>
      <c r="R484" s="729" t="s">
        <v>24</v>
      </c>
      <c r="S484" s="729" t="str">
        <f>IF($W$17=$AF$1,"design",IFERROR(VLOOKUP("design",Jazyky_ceník!$A:$Q,MATCH($W$17,Jazyky_ceník!$A$1:$Q$1,0),FALSE),"!!!"))</f>
        <v>design</v>
      </c>
      <c r="T484" s="729">
        <v>70</v>
      </c>
      <c r="U484" s="729">
        <v>25</v>
      </c>
      <c r="V484" s="729">
        <v>16</v>
      </c>
      <c r="W484" s="729" t="str">
        <f>IFERROR(VLOOKUP('General price list'!$C484,Popisy!A:P,MATCH($W$17,Popisy!$A$7:$P$7,0),FALSE),"---------------")</f>
        <v>16 různobarevných efektů, 64ran(rovný moždíř), 40ran(šikmý moždíř), 18ran(W moždíř), 12ran(v moždíř)</v>
      </c>
      <c r="X484" s="729" t="str">
        <f t="shared" ref="X484:X485" si="1096">IF(AB484&lt;0.0001,"",AB484)</f>
        <v/>
      </c>
      <c r="Y484" s="729" t="str">
        <f t="shared" ref="Y484:Y485" si="1097">IF($AL$3=2,IF(OR(AB484&lt;&gt;"",AB484&lt;&gt;0),AU484,""),IF(C484="","",IF(AB484&lt;0.0001,"",IF(B484=0,"",IF(AQ484&lt;AB484,"",AB484)))))</f>
        <v/>
      </c>
      <c r="Z484" s="729" t="str">
        <f>HYPERLINK("https://www.klasekpyrotechnics.cz/c13420b")</f>
        <v>https://www.klasekpyrotechnics.cz/c13420b</v>
      </c>
      <c r="AA484" s="729">
        <f>IFERROR(IF(VLOOKUP(C484,[4]List1!$A:$D,4,FALSE)=0,"",VLOOKUP(C484,[4]List1!$A:$D,4,FALSE)),"")</f>
        <v>20</v>
      </c>
      <c r="AB484" s="720"/>
      <c r="AC484" s="743" t="str">
        <f>IFERROR(IF(VLOOKUP(C484,[1]List1!$A:$D,2,FALSE)="VYPRODÁNO",$V$9,IF(VLOOKUP(C484,[1]List1!$A:$D,2,FALSE)="DOCHÁZÍ",$V$3,VLOOKUP(C484,[1]List1!$A:$D,2,FALSE))),"OFFLINE!")</f>
        <v>SKLADEM</v>
      </c>
      <c r="AD484" s="744" t="str">
        <f ca="1">IF(AP484="NE",$V$10,IF(AC484=$V$3,IF(AQ484&lt;1,$V$8,$V$2&amp;" "&amp;AQ484&amp;" "&amp;$V$1),IF(AC484="SKLADEM",$V$6,IFERROR(IF(OR(AC484-TODAY()&gt;45,VLOOKUP(C484,[1]List1!$A:$E,4,FALSE)=0),AC484,DAY(AC484)&amp;"."&amp;MONTH(AC484)&amp;"."&amp;YEAR(AC484)&amp;" "&amp;$V$4&amp;VLOOKUP(C484,[1]List1!$A:$E,4,FALSE)&amp;" "&amp;$V$1),AC484))))</f>
        <v>SKLADEM</v>
      </c>
      <c r="AE484" s="729" t="str">
        <f t="shared" ref="AE484:AE485" ca="1" si="1098">IFERROR(IF(AV484&lt;&gt;"",AV484,AD484),AD484)</f>
        <v>SKLADEM</v>
      </c>
      <c r="AF484" s="735">
        <f t="shared" ref="AF484:AF485" si="1099">IFERROR(IF(AB484=Y484,G484*I484*Y484,0),0)</f>
        <v>0</v>
      </c>
      <c r="AG484" s="735">
        <f t="shared" ref="AG484:AG485" si="1100">IF($W$17=$AF$8,AH484*1.23,AF484*1.21)</f>
        <v>0</v>
      </c>
      <c r="AH484" s="736">
        <f t="shared" ref="AH484:AH485" si="1101">IFERROR(IF(Y484=AB484,H484*I484*Y484,0),0)</f>
        <v>0</v>
      </c>
      <c r="AI484" s="729">
        <f t="shared" ref="AI484:AI485" si="1102">IFERROR(IF(Y484=AB484,(P484*Y484)/1000,1),0)</f>
        <v>0</v>
      </c>
      <c r="AJ484" s="729">
        <f t="shared" ref="AJ484:AJ485" si="1103">IFERROR(IF(Y484=AB484,N484*Y484,0.1),0)</f>
        <v>0</v>
      </c>
      <c r="AK484" s="729" t="str">
        <f t="shared" ref="AK484:AK485" si="1104">IFERROR(IF(Y484=AB484,IF(M484="1.1G",(O484/1000)*Y484,""),""),0)</f>
        <v/>
      </c>
      <c r="AL484" s="729">
        <f t="shared" ref="AL484:AL485" si="1105">IFERROR(IF(Y484=AB484,IF(M484="1.3G",(O484/1000)*AB484,""),""),0)</f>
        <v>0</v>
      </c>
      <c r="AM484" s="729" t="str">
        <f t="shared" ref="AM484:AM485" si="1106">IFERROR(IF(Y484=AB484,IF(M484="1.4G",(O484/1000)*AB484,""),""),0)</f>
        <v/>
      </c>
      <c r="AN484" s="729">
        <f t="shared" ref="AN484:AN485" si="1107">SUM(AK484:AM484)</f>
        <v>0</v>
      </c>
      <c r="AO484" s="380"/>
      <c r="AP484" s="322" t="str">
        <f t="shared" si="1030"/>
        <v/>
      </c>
      <c r="AQ484" s="323" t="str">
        <f>IF(AC484=$V$3,IF(VLOOKUP(C484,[1]List1!$A:$E,5,FALSE)=0,1,VLOOKUP(C484,[1]List1!$A:$E,5,FALSE)),"")</f>
        <v/>
      </c>
      <c r="AR484" s="304" t="str">
        <f t="shared" si="1031"/>
        <v/>
      </c>
      <c r="AS484" s="423" t="str">
        <f t="shared" si="1032"/>
        <v/>
      </c>
      <c r="AT484" s="304" t="str">
        <f t="shared" si="1033"/>
        <v/>
      </c>
      <c r="AU484" s="342" t="e">
        <f t="shared" si="1034"/>
        <v>#N/A</v>
      </c>
      <c r="AV484" s="304" t="e">
        <f t="shared" si="1035"/>
        <v>#N/A</v>
      </c>
      <c r="AX484" s="304">
        <f>IF(AND('General price list'!$J484="F4",'General price list'!$AB484+0&gt;0),1,0)</f>
        <v>0</v>
      </c>
      <c r="AY484" s="304">
        <f t="shared" si="1036"/>
        <v>1</v>
      </c>
      <c r="AZ484" s="304">
        <f t="shared" si="1037"/>
        <v>0</v>
      </c>
    </row>
    <row r="485" spans="1:52" ht="15" customHeight="1">
      <c r="A485" s="712" t="str">
        <f>Kat.!C482</f>
        <v/>
      </c>
      <c r="B485" s="745">
        <f>IF(AND('General price list'!$J485="F4",$AI$1=FALSE),0,IF(AC485="SKLADEM",1,IF(AC485=$V$3,1,0)))</f>
        <v>0</v>
      </c>
      <c r="C485" s="714" t="s">
        <v>1229</v>
      </c>
      <c r="D485" s="715" t="s">
        <v>1230</v>
      </c>
      <c r="E485" s="716" t="s">
        <v>1078</v>
      </c>
      <c r="F485" s="712">
        <f>IFERROR(ROUND(IF($AL$3=2,VLOOKUP(C485,[2]List1!$A:$D,2,FALSE)*1.08,VLOOKUP(C485,[2]List1!$A:$D,2,FALSE)),0),"NEUVEDENO!")</f>
        <v>1545</v>
      </c>
      <c r="G485" s="717">
        <f t="shared" si="1094"/>
        <v>1545</v>
      </c>
      <c r="H485" s="718">
        <f t="shared" si="1095"/>
        <v>62.782164176375218</v>
      </c>
      <c r="I485" s="746">
        <v>2</v>
      </c>
      <c r="J485" s="716" t="s">
        <v>137</v>
      </c>
      <c r="K485" s="716">
        <v>5</v>
      </c>
      <c r="L485" s="716" t="s">
        <v>24</v>
      </c>
      <c r="M485" s="716" t="s">
        <v>138</v>
      </c>
      <c r="N485" s="716">
        <f>IFERROR(VLOOKUP(C485,[3]List1!$A:$D,4,FALSE),"N/A!")</f>
        <v>4.6479999999999994E-2</v>
      </c>
      <c r="O485" s="716">
        <f>IFERROR(VLOOKUP(C485,[3]List1!$A:$D,3,FALSE),"N/A!")</f>
        <v>1998</v>
      </c>
      <c r="P485" s="716">
        <f>IFERROR(VLOOKUP(C485,[3]List1!$A:$D,2,FALSE),"N/A!")</f>
        <v>13500</v>
      </c>
      <c r="Q485" s="716" t="s">
        <v>14330</v>
      </c>
      <c r="R485" s="716" t="s">
        <v>24</v>
      </c>
      <c r="S485" s="716" t="str">
        <f>IF($W$17=$AF$1,"červená fólie",IFERROR(VLOOKUP("červená fólie",Jazyky_ceník!$A:$Q,MATCH($W$17,Jazyky_ceník!$A$1:$Q$1,0),FALSE),"!!!"))</f>
        <v>červená fólie</v>
      </c>
      <c r="T485" s="716">
        <v>70</v>
      </c>
      <c r="U485" s="716">
        <v>25</v>
      </c>
      <c r="V485" s="716">
        <v>16</v>
      </c>
      <c r="W485" s="716" t="str">
        <f>IFERROR(VLOOKUP('General price list'!$C485,Popisy!A:P,MATCH($W$17,Popisy!$A$7:$P$7,0),FALSE),"---------------")</f>
        <v>16 různobarevných efektů, 64ran(rovný moždíř), 40ran(šikmý moždíř), 18ran(W moždíř), 12ran(v moždíř)</v>
      </c>
      <c r="X485" s="716" t="str">
        <f t="shared" si="1096"/>
        <v/>
      </c>
      <c r="Y485" s="716" t="str">
        <f t="shared" si="1097"/>
        <v/>
      </c>
      <c r="Z485" s="716" t="str">
        <f>HYPERLINK("https://www.klasekpyrotechnics.cz/c13420h")</f>
        <v>https://www.klasekpyrotechnics.cz/c13420h</v>
      </c>
      <c r="AA485" s="716">
        <f>IFERROR(IF(VLOOKUP(C485,[4]List1!$A:$D,4,FALSE)=0,"",VLOOKUP(C485,[4]List1!$A:$D,4,FALSE)),"")</f>
        <v>20</v>
      </c>
      <c r="AB485" s="720"/>
      <c r="AC485" s="747" t="str">
        <f>IFERROR(IF(VLOOKUP(C485,[1]List1!$A:$D,2,FALSE)="VYPRODÁNO",$V$9,IF(VLOOKUP(C485,[1]List1!$A:$D,2,FALSE)="DOCHÁZÍ",$V$3,VLOOKUP(C485,[1]List1!$A:$D,2,FALSE))),"OFFLINE!")</f>
        <v>20.06.2024</v>
      </c>
      <c r="AD485" s="748" t="str">
        <f ca="1">IF(AP485="NE",$V$10,IF(AC485=$V$3,IF(AQ485&lt;1,$V$8,$V$2&amp;" "&amp;AQ485&amp;" "&amp;$V$1),IF(AC485="SKLADEM",$V$6,IFERROR(IF(OR(AC485-TODAY()&gt;45,VLOOKUP(C485,[1]List1!$A:$E,4,FALSE)=0),AC485,DAY(AC485)&amp;"."&amp;MONTH(AC485)&amp;"."&amp;YEAR(AC485)&amp;" "&amp;$V$4&amp;VLOOKUP(C485,[1]List1!$A:$E,4,FALSE)&amp;" "&amp;$V$1),AC485))))</f>
        <v>20.06.2024</v>
      </c>
      <c r="AE485" s="716" t="str">
        <f t="shared" ca="1" si="1098"/>
        <v>20.06.2024</v>
      </c>
      <c r="AF485" s="723">
        <f t="shared" si="1099"/>
        <v>0</v>
      </c>
      <c r="AG485" s="723">
        <f t="shared" si="1100"/>
        <v>0</v>
      </c>
      <c r="AH485" s="724">
        <f t="shared" si="1101"/>
        <v>0</v>
      </c>
      <c r="AI485" s="716">
        <f t="shared" si="1102"/>
        <v>0</v>
      </c>
      <c r="AJ485" s="716">
        <f t="shared" si="1103"/>
        <v>0</v>
      </c>
      <c r="AK485" s="716" t="str">
        <f t="shared" si="1104"/>
        <v/>
      </c>
      <c r="AL485" s="716">
        <f t="shared" si="1105"/>
        <v>0</v>
      </c>
      <c r="AM485" s="716" t="str">
        <f t="shared" si="1106"/>
        <v/>
      </c>
      <c r="AN485" s="716">
        <f t="shared" si="1107"/>
        <v>0</v>
      </c>
      <c r="AO485" s="380"/>
      <c r="AP485" s="322" t="str">
        <f t="shared" si="1030"/>
        <v/>
      </c>
      <c r="AQ485" s="323" t="str">
        <f>IF(AC485=$V$3,IF(VLOOKUP(C485,[1]List1!$A:$E,5,FALSE)=0,1,VLOOKUP(C485,[1]List1!$A:$E,5,FALSE)),"")</f>
        <v/>
      </c>
      <c r="AR485" s="304" t="str">
        <f t="shared" si="1031"/>
        <v/>
      </c>
      <c r="AS485" s="423" t="str">
        <f t="shared" si="1032"/>
        <v/>
      </c>
      <c r="AT485" s="304" t="str">
        <f t="shared" si="1033"/>
        <v/>
      </c>
      <c r="AU485" s="342" t="e">
        <f t="shared" si="1034"/>
        <v>#N/A</v>
      </c>
      <c r="AV485" s="304" t="e">
        <f t="shared" si="1035"/>
        <v>#N/A</v>
      </c>
      <c r="AX485" s="304">
        <f>IF(AND('General price list'!$J485="F4",'General price list'!$AB485+0&gt;0),1,0)</f>
        <v>0</v>
      </c>
      <c r="AY485" s="304">
        <f t="shared" si="1036"/>
        <v>1</v>
      </c>
      <c r="AZ485" s="304">
        <f t="shared" si="1037"/>
        <v>0</v>
      </c>
    </row>
    <row r="486" spans="1:52" ht="15" customHeight="1">
      <c r="A486" s="773" t="str">
        <f>Kat.!C483</f>
        <v xml:space="preserve">                                                               Baterie 200ran, 20mm moždíř-1.3G</v>
      </c>
      <c r="B486" s="774"/>
      <c r="C486" s="774"/>
      <c r="D486" s="774"/>
      <c r="E486" s="774"/>
      <c r="F486" s="774"/>
      <c r="G486" s="774"/>
      <c r="H486" s="774"/>
      <c r="I486" s="774"/>
      <c r="J486" s="774"/>
      <c r="K486" s="774"/>
      <c r="L486" s="774"/>
      <c r="M486" s="774"/>
      <c r="N486" s="774"/>
      <c r="O486" s="774"/>
      <c r="P486" s="774"/>
      <c r="Q486" s="774"/>
      <c r="R486" s="774"/>
      <c r="S486" s="774"/>
      <c r="T486" s="774"/>
      <c r="U486" s="774"/>
      <c r="V486" s="774"/>
      <c r="W486" s="774"/>
      <c r="X486" s="774"/>
      <c r="Y486" s="774"/>
      <c r="Z486" s="774"/>
      <c r="AA486" s="774" t="str">
        <f>IFERROR(IF(VLOOKUP(C486,[4]List1!$A:$D,4,FALSE)=0,"",VLOOKUP(C486,[4]List1!$A:$D,4,FALSE)),"")</f>
        <v/>
      </c>
      <c r="AB486" s="774"/>
      <c r="AC486" s="775" t="str">
        <f>IFERROR(IF(VLOOKUP(C486,[1]List1!$A:$D,2,FALSE)="VYPRODÁNO",$V$9,IF(VLOOKUP(C486,[1]List1!$A:$D,2,FALSE)="DOCHÁZÍ",$V$3,VLOOKUP(C486,[1]List1!$A:$D,2,FALSE))),"OFFLINE!")</f>
        <v>OFFLINE!</v>
      </c>
      <c r="AD486" s="774"/>
      <c r="AE486" s="774"/>
      <c r="AF486" s="774"/>
      <c r="AG486" s="774"/>
      <c r="AH486" s="774"/>
      <c r="AI486" s="774"/>
      <c r="AJ486" s="774"/>
      <c r="AK486" s="774"/>
      <c r="AL486" s="774"/>
      <c r="AM486" s="774"/>
      <c r="AN486" s="774"/>
      <c r="AO486" s="380"/>
      <c r="AP486" s="322" t="str">
        <f t="shared" si="1030"/>
        <v/>
      </c>
      <c r="AQ486" s="323" t="str">
        <f>IF(AC486=$V$3,IF(VLOOKUP(C486,[1]List1!$A:$E,5,FALSE)=0,1,VLOOKUP(C486,[1]List1!$A:$E,5,FALSE)),"")</f>
        <v/>
      </c>
      <c r="AR486" s="304" t="str">
        <f t="shared" si="1031"/>
        <v/>
      </c>
      <c r="AS486" s="423" t="str">
        <f t="shared" si="1032"/>
        <v/>
      </c>
      <c r="AT486" s="304" t="str">
        <f t="shared" si="1033"/>
        <v/>
      </c>
      <c r="AU486" s="342" t="e">
        <f t="shared" si="1034"/>
        <v>#N/A</v>
      </c>
      <c r="AV486" s="304" t="e">
        <f t="shared" si="1035"/>
        <v>#N/A</v>
      </c>
      <c r="AX486" s="304">
        <f>IF(AND('General price list'!$J486="F4",'General price list'!$AB486+0&gt;0),1,0)</f>
        <v>0</v>
      </c>
      <c r="AY486" s="304">
        <f t="shared" si="1036"/>
        <v>0</v>
      </c>
      <c r="AZ486" s="304">
        <f t="shared" si="1037"/>
        <v>0</v>
      </c>
    </row>
    <row r="487" spans="1:52" ht="15" customHeight="1">
      <c r="A487" s="712" t="str">
        <f>Kat.!C484</f>
        <v/>
      </c>
      <c r="B487" s="713">
        <f>IF(AND('General price list'!$J487="F4",$AI$1=FALSE),0,IF(AC487="SKLADEM",1,IF(AC487=$V$3,1,0)))</f>
        <v>0</v>
      </c>
      <c r="C487" s="714" t="s">
        <v>1232</v>
      </c>
      <c r="D487" s="715" t="s">
        <v>14579</v>
      </c>
      <c r="E487" s="716" t="s">
        <v>1078</v>
      </c>
      <c r="F487" s="712">
        <f>IFERROR(ROUND(IF($AL$3=2,VLOOKUP(C487,[2]List1!$A:$D,2,FALSE)*1.08,VLOOKUP(C487,[2]List1!$A:$D,2,FALSE)),0),"NEUVEDENO!")</f>
        <v>1549</v>
      </c>
      <c r="G487" s="717">
        <f t="shared" ref="G487:G490" si="1108">(F487)*$B$19</f>
        <v>1549</v>
      </c>
      <c r="H487" s="718">
        <f t="shared" ref="H487:H490" si="1109">G487/$F$19</f>
        <v>62.94470699624933</v>
      </c>
      <c r="I487" s="719">
        <v>2</v>
      </c>
      <c r="J487" s="716" t="s">
        <v>137</v>
      </c>
      <c r="K487" s="716" t="s">
        <v>14820</v>
      </c>
      <c r="L487" s="716" t="s">
        <v>24</v>
      </c>
      <c r="M487" s="716" t="s">
        <v>138</v>
      </c>
      <c r="N487" s="716">
        <f>IFERROR(VLOOKUP(C487,[3]List1!$A:$D,4,FALSE),"N/A!")</f>
        <v>3.6414000000000002E-2</v>
      </c>
      <c r="O487" s="716">
        <f>IFERROR(VLOOKUP(C487,[3]List1!$A:$D,3,FALSE),"N/A!")</f>
        <v>2000</v>
      </c>
      <c r="P487" s="716">
        <f>IFERROR(VLOOKUP(C487,[3]List1!$A:$D,2,FALSE),"N/A!")</f>
        <v>18500</v>
      </c>
      <c r="Q487" s="716" t="s">
        <v>14169</v>
      </c>
      <c r="R487" s="716" t="s">
        <v>24</v>
      </c>
      <c r="S487" s="716" t="str">
        <f>IF($W$17=$AF$1,"červená fólie",IFERROR(VLOOKUP("červená fólie",Jazyky_ceník!$A:$Q,MATCH($W$17,Jazyky_ceník!$A$1:$Q$1,0),FALSE),"!!!"))</f>
        <v>červená fólie</v>
      </c>
      <c r="T487" s="716">
        <v>120</v>
      </c>
      <c r="U487" s="716">
        <v>25</v>
      </c>
      <c r="V487" s="716">
        <v>15</v>
      </c>
      <c r="W487" s="716" t="str">
        <f>IFERROR(VLOOKUP('General price list'!$C487,Popisy!A:P,MATCH($W$17,Popisy!$A$7:$P$7,0),FALSE),"---------------")</f>
        <v>20 různobarevných efektů</v>
      </c>
      <c r="X487" s="716" t="str">
        <f t="shared" ref="X487:X490" si="1110">IF(AB487&lt;0.0001,"",AB487)</f>
        <v/>
      </c>
      <c r="Y487" s="716" t="str">
        <f t="shared" ref="Y487:Y490" si="1111">IF($AL$3=2,IF(OR(AB487&lt;&gt;"",AB487&lt;&gt;0),AU487,""),IF(C487="","",IF(AB487&lt;0.0001,"",IF(B487=0,"",IF(AQ487&lt;AB487,"",AB487)))))</f>
        <v/>
      </c>
      <c r="Z487" s="716" t="str">
        <f>HYPERLINK("https://www.klasekpyrotechnics.cz/c20020bp")</f>
        <v>https://www.klasekpyrotechnics.cz/c20020bp</v>
      </c>
      <c r="AA487" s="716">
        <f>IFERROR(IF(VLOOKUP(C487,[4]List1!$A:$D,4,FALSE)=0,"",VLOOKUP(C487,[4]List1!$A:$D,4,FALSE)),"")</f>
        <v>20</v>
      </c>
      <c r="AB487" s="720"/>
      <c r="AC487" s="721" t="str">
        <f>IFERROR(IF(VLOOKUP(C487,[1]List1!$A:$D,2,FALSE)="VYPRODÁNO",$V$9,IF(VLOOKUP(C487,[1]List1!$A:$D,2,FALSE)="DOCHÁZÍ",$V$3,VLOOKUP(C487,[1]List1!$A:$D,2,FALSE))),"OFFLINE!")</f>
        <v>30.09.2024</v>
      </c>
      <c r="AD487" s="722" t="str">
        <f ca="1">IF(AP487="NE",$V$10,IF(AC487=$V$3,IF(AQ487&lt;1,$V$8,$V$2&amp;" "&amp;AQ487&amp;" "&amp;$V$1),IF(AC487="SKLADEM",$V$6,IFERROR(IF(OR(AC487-TODAY()&gt;45,VLOOKUP(C487,[1]List1!$A:$E,4,FALSE)=0),AC487,DAY(AC487)&amp;"."&amp;MONTH(AC487)&amp;"."&amp;YEAR(AC487)&amp;" "&amp;$V$4&amp;VLOOKUP(C487,[1]List1!$A:$E,4,FALSE)&amp;" "&amp;$V$1),AC487))))</f>
        <v>30.09.2024</v>
      </c>
      <c r="AE487" s="716" t="str">
        <f t="shared" ref="AE487:AE490" ca="1" si="1112">IFERROR(IF(AV487&lt;&gt;"",AV487,AD487),AD487)</f>
        <v>30.09.2024</v>
      </c>
      <c r="AF487" s="723">
        <f t="shared" ref="AF487:AF490" si="1113">IFERROR(IF(AB487=Y487,G487*I487*Y487,0),0)</f>
        <v>0</v>
      </c>
      <c r="AG487" s="723">
        <f t="shared" ref="AG487:AG490" si="1114">IF($W$17=$AF$8,AH487*1.23,AF487*1.21)</f>
        <v>0</v>
      </c>
      <c r="AH487" s="724">
        <f t="shared" ref="AH487:AH490" si="1115">IFERROR(IF(Y487=AB487,H487*I487*Y487,0),0)</f>
        <v>0</v>
      </c>
      <c r="AI487" s="716">
        <f t="shared" ref="AI487:AI490" si="1116">IFERROR(IF(Y487=AB487,(P487*Y487)/1000,1),0)</f>
        <v>0</v>
      </c>
      <c r="AJ487" s="716">
        <f t="shared" ref="AJ487:AJ490" si="1117">IFERROR(IF(Y487=AB487,N487*Y487,0.1),0)</f>
        <v>0</v>
      </c>
      <c r="AK487" s="716" t="str">
        <f t="shared" ref="AK487:AK490" si="1118">IFERROR(IF(Y487=AB487,IF(M487="1.1G",(O487/1000)*Y487,""),""),0)</f>
        <v/>
      </c>
      <c r="AL487" s="716">
        <f t="shared" ref="AL487:AL490" si="1119">IFERROR(IF(Y487=AB487,IF(M487="1.3G",(O487/1000)*AB487,""),""),0)</f>
        <v>0</v>
      </c>
      <c r="AM487" s="716" t="str">
        <f t="shared" ref="AM487:AM490" si="1120">IFERROR(IF(Y487=AB487,IF(M487="1.4G",(O487/1000)*AB487,""),""),0)</f>
        <v/>
      </c>
      <c r="AN487" s="716">
        <f t="shared" ref="AN487:AN490" si="1121">SUM(AK487:AM487)</f>
        <v>0</v>
      </c>
      <c r="AO487" s="380"/>
      <c r="AP487" s="322" t="str">
        <f t="shared" si="1030"/>
        <v/>
      </c>
      <c r="AQ487" s="323" t="str">
        <f>IF(AC487=$V$3,IF(VLOOKUP(C487,[1]List1!$A:$E,5,FALSE)=0,1,VLOOKUP(C487,[1]List1!$A:$E,5,FALSE)),"")</f>
        <v/>
      </c>
      <c r="AR487" s="304" t="str">
        <f t="shared" si="1031"/>
        <v/>
      </c>
      <c r="AS487" s="423" t="str">
        <f t="shared" si="1032"/>
        <v/>
      </c>
      <c r="AT487" s="304" t="str">
        <f t="shared" si="1033"/>
        <v/>
      </c>
      <c r="AU487" s="342" t="e">
        <f t="shared" si="1034"/>
        <v>#N/A</v>
      </c>
      <c r="AV487" s="304" t="e">
        <f t="shared" si="1035"/>
        <v>#N/A</v>
      </c>
      <c r="AX487" s="304">
        <f>IF(AND('General price list'!$J487="F4",'General price list'!$AB487+0&gt;0),1,0)</f>
        <v>0</v>
      </c>
      <c r="AY487" s="304">
        <f t="shared" si="1036"/>
        <v>1</v>
      </c>
      <c r="AZ487" s="304">
        <f t="shared" si="1037"/>
        <v>0</v>
      </c>
    </row>
    <row r="488" spans="1:52" ht="15" customHeight="1">
      <c r="A488" s="725" t="str">
        <f>Kat.!C485</f>
        <v>×</v>
      </c>
      <c r="B488" s="726">
        <f>IF(AND('General price list'!$J488="F4",$AI$1=FALSE),0,IF(AC488="SKLADEM",1,IF(AC488=$V$3,1,0)))</f>
        <v>1</v>
      </c>
      <c r="C488" s="727" t="s">
        <v>1236</v>
      </c>
      <c r="D488" s="728" t="s">
        <v>14580</v>
      </c>
      <c r="E488" s="729" t="s">
        <v>1078</v>
      </c>
      <c r="F488" s="725">
        <f>IFERROR(ROUND(IF($AL$3=2,VLOOKUP(C488,[2]List1!$A:$D,2,FALSE)*1.08,VLOOKUP(C488,[2]List1!$A:$D,2,FALSE)),0),"NEUVEDENO!")</f>
        <v>1549</v>
      </c>
      <c r="G488" s="730">
        <f t="shared" si="1108"/>
        <v>1549</v>
      </c>
      <c r="H488" s="731">
        <f t="shared" si="1109"/>
        <v>62.94470699624933</v>
      </c>
      <c r="I488" s="732">
        <v>2</v>
      </c>
      <c r="J488" s="729" t="s">
        <v>137</v>
      </c>
      <c r="K488" s="729" t="s">
        <v>14734</v>
      </c>
      <c r="L488" s="729" t="s">
        <v>24</v>
      </c>
      <c r="M488" s="729" t="s">
        <v>138</v>
      </c>
      <c r="N488" s="729">
        <f>IFERROR(VLOOKUP(C488,[3]List1!$A:$D,4,FALSE),"N/A!")</f>
        <v>3.6414000000000002E-2</v>
      </c>
      <c r="O488" s="729">
        <f>IFERROR(VLOOKUP(C488,[3]List1!$A:$D,3,FALSE),"N/A!")</f>
        <v>2000</v>
      </c>
      <c r="P488" s="729">
        <f>IFERROR(VLOOKUP(C488,[3]List1!$A:$D,2,FALSE),"N/A!")</f>
        <v>18500</v>
      </c>
      <c r="Q488" s="729" t="s">
        <v>14169</v>
      </c>
      <c r="R488" s="729" t="s">
        <v>24</v>
      </c>
      <c r="S488" s="729" t="str">
        <f>IF($W$17=$AF$1,"design",IFERROR(VLOOKUP("design",Jazyky_ceník!$A:$Q,MATCH($W$17,Jazyky_ceník!$A$1:$Q$1,0),FALSE),"!!!"))</f>
        <v>design</v>
      </c>
      <c r="T488" s="729">
        <v>120</v>
      </c>
      <c r="U488" s="729">
        <v>25</v>
      </c>
      <c r="V488" s="729">
        <v>15</v>
      </c>
      <c r="W488" s="729" t="str">
        <f>IFERROR(VLOOKUP('General price list'!$C488,Popisy!A:P,MATCH($W$17,Popisy!$A$7:$P$7,0),FALSE),"---------------")</f>
        <v>20 různobarevných efektů</v>
      </c>
      <c r="X488" s="729" t="str">
        <f t="shared" si="1110"/>
        <v/>
      </c>
      <c r="Y488" s="729" t="str">
        <f t="shared" si="1111"/>
        <v/>
      </c>
      <c r="Z488" s="729" t="str">
        <f>HYPERLINK("https://www.klasekpyrotechnics.cz/c20020bpf")</f>
        <v>https://www.klasekpyrotechnics.cz/c20020bpf</v>
      </c>
      <c r="AA488" s="729">
        <f>IFERROR(IF(VLOOKUP(C488,[4]List1!$A:$D,4,FALSE)=0,"",VLOOKUP(C488,[4]List1!$A:$D,4,FALSE)),"")</f>
        <v>20</v>
      </c>
      <c r="AB488" s="720"/>
      <c r="AC488" s="733" t="str">
        <f>IFERROR(IF(VLOOKUP(C488,[1]List1!$A:$D,2,FALSE)="VYPRODÁNO",$V$9,IF(VLOOKUP(C488,[1]List1!$A:$D,2,FALSE)="DOCHÁZÍ",$V$3,VLOOKUP(C488,[1]List1!$A:$D,2,FALSE))),"OFFLINE!")</f>
        <v>DOCHÁZÍ</v>
      </c>
      <c r="AD488" s="734" t="str">
        <f ca="1">IF(AP488="NE",$V$10,IF(AC488=$V$3,IF(AQ488&lt;1,$V$8,$V$2&amp;" "&amp;AQ488&amp;" "&amp;$V$1),IF(AC488="SKLADEM",$V$6,IFERROR(IF(OR(AC488-TODAY()&gt;45,VLOOKUP(C488,[1]List1!$A:$E,4,FALSE)=0),AC488,DAY(AC488)&amp;"."&amp;MONTH(AC488)&amp;"."&amp;YEAR(AC488)&amp;" "&amp;$V$4&amp;VLOOKUP(C488,[1]List1!$A:$E,4,FALSE)&amp;" "&amp;$V$1),AC488))))</f>
        <v>POSLEDNÍCH 92 VK</v>
      </c>
      <c r="AE488" s="729" t="str">
        <f t="shared" ca="1" si="1112"/>
        <v>POSLEDNÍCH 92 VK</v>
      </c>
      <c r="AF488" s="735">
        <f t="shared" si="1113"/>
        <v>0</v>
      </c>
      <c r="AG488" s="735">
        <f t="shared" si="1114"/>
        <v>0</v>
      </c>
      <c r="AH488" s="736">
        <f t="shared" si="1115"/>
        <v>0</v>
      </c>
      <c r="AI488" s="729">
        <f t="shared" si="1116"/>
        <v>0</v>
      </c>
      <c r="AJ488" s="729">
        <f t="shared" si="1117"/>
        <v>0</v>
      </c>
      <c r="AK488" s="729" t="str">
        <f t="shared" si="1118"/>
        <v/>
      </c>
      <c r="AL488" s="729">
        <f t="shared" si="1119"/>
        <v>0</v>
      </c>
      <c r="AM488" s="729" t="str">
        <f t="shared" si="1120"/>
        <v/>
      </c>
      <c r="AN488" s="729">
        <f t="shared" si="1121"/>
        <v>0</v>
      </c>
      <c r="AO488" s="380"/>
      <c r="AP488" s="322" t="str">
        <f t="shared" si="1030"/>
        <v/>
      </c>
      <c r="AQ488" s="323">
        <f>IF(AC488=$V$3,IF(VLOOKUP(C488,[1]List1!$A:$E,5,FALSE)=0,1,VLOOKUP(C488,[1]List1!$A:$E,5,FALSE)),"")</f>
        <v>92</v>
      </c>
      <c r="AR488" s="304" t="str">
        <f t="shared" si="1031"/>
        <v/>
      </c>
      <c r="AS488" s="423" t="str">
        <f t="shared" si="1032"/>
        <v/>
      </c>
      <c r="AT488" s="304" t="str">
        <f t="shared" si="1033"/>
        <v/>
      </c>
      <c r="AU488" s="342" t="e">
        <f t="shared" si="1034"/>
        <v>#N/A</v>
      </c>
      <c r="AV488" s="304" t="e">
        <f t="shared" si="1035"/>
        <v>#N/A</v>
      </c>
      <c r="AX488" s="304">
        <f>IF(AND('General price list'!$J488="F4",'General price list'!$AB488+0&gt;0),1,0)</f>
        <v>0</v>
      </c>
      <c r="AY488" s="304">
        <f t="shared" si="1036"/>
        <v>1</v>
      </c>
      <c r="AZ488" s="304">
        <f t="shared" si="1037"/>
        <v>0</v>
      </c>
    </row>
    <row r="489" spans="1:52" ht="15" customHeight="1">
      <c r="A489" s="712" t="str">
        <f>Kat.!C486</f>
        <v/>
      </c>
      <c r="B489" s="737">
        <f>IF(AND('General price list'!$J489="F4",$AI$1=FALSE),0,IF(AC489="SKLADEM",1,IF(AC489=$V$3,1,0)))</f>
        <v>0</v>
      </c>
      <c r="C489" s="714" t="s">
        <v>5175</v>
      </c>
      <c r="D489" s="715" t="s">
        <v>14581</v>
      </c>
      <c r="E489" s="716" t="s">
        <v>1078</v>
      </c>
      <c r="F489" s="712">
        <f>IFERROR(ROUND(IF($AL$3=2,VLOOKUP(C489,[2]List1!$A:$D,2,FALSE)*1.08,VLOOKUP(C489,[2]List1!$A:$D,2,FALSE)),0),"NEUVEDENO!")</f>
        <v>1549</v>
      </c>
      <c r="G489" s="717">
        <f t="shared" si="1108"/>
        <v>1549</v>
      </c>
      <c r="H489" s="718">
        <f t="shared" si="1109"/>
        <v>62.94470699624933</v>
      </c>
      <c r="I489" s="738">
        <v>2</v>
      </c>
      <c r="J489" s="716" t="s">
        <v>137</v>
      </c>
      <c r="K489" s="716" t="s">
        <v>14734</v>
      </c>
      <c r="L489" s="716" t="s">
        <v>24</v>
      </c>
      <c r="M489" s="716" t="s">
        <v>138</v>
      </c>
      <c r="N489" s="716">
        <f>IFERROR(VLOOKUP(C489,[3]List1!$A:$D,4,FALSE),"N/A!")</f>
        <v>3.6414000000000002E-2</v>
      </c>
      <c r="O489" s="716">
        <f>IFERROR(VLOOKUP(C489,[3]List1!$A:$D,3,FALSE),"N/A!")</f>
        <v>2000</v>
      </c>
      <c r="P489" s="716">
        <f>IFERROR(VLOOKUP(C489,[3]List1!$A:$D,2,FALSE),"N/A!")</f>
        <v>18500</v>
      </c>
      <c r="Q489" s="716" t="s">
        <v>14169</v>
      </c>
      <c r="R489" s="716" t="s">
        <v>24</v>
      </c>
      <c r="S489" s="716" t="str">
        <f>IF($W$17=$AF$1,"design",IFERROR(VLOOKUP("design",Jazyky_ceník!$A:$Q,MATCH($W$17,Jazyky_ceník!$A$1:$Q$1,0),FALSE),"!!!"))</f>
        <v>design</v>
      </c>
      <c r="T489" s="716">
        <v>160</v>
      </c>
      <c r="U489" s="716">
        <v>25</v>
      </c>
      <c r="V489" s="716">
        <v>15</v>
      </c>
      <c r="W489" s="716" t="str">
        <f>IFERROR(VLOOKUP('General price list'!$C489,Popisy!A:P,MATCH($W$17,Popisy!$A$7:$P$7,0),FALSE),"---------------")</f>
        <v>20 různobarevných efektů</v>
      </c>
      <c r="X489" s="716" t="str">
        <f t="shared" si="1110"/>
        <v/>
      </c>
      <c r="Y489" s="716" t="str">
        <f t="shared" si="1111"/>
        <v/>
      </c>
      <c r="Z489" s="716" t="str">
        <f>HYPERLINK("https://www.klasekpyrotechnics.cz/c20020bps")</f>
        <v>https://www.klasekpyrotechnics.cz/c20020bps</v>
      </c>
      <c r="AA489" s="716">
        <f>IFERROR(IF(VLOOKUP(C489,[4]List1!$A:$D,4,FALSE)=0,"",VLOOKUP(C489,[4]List1!$A:$D,4,FALSE)),"")</f>
        <v>20</v>
      </c>
      <c r="AB489" s="720"/>
      <c r="AC489" s="739" t="str">
        <f>IFERROR(IF(VLOOKUP(C489,[1]List1!$A:$D,2,FALSE)="VYPRODÁNO",$V$9,IF(VLOOKUP(C489,[1]List1!$A:$D,2,FALSE)="DOCHÁZÍ",$V$3,VLOOKUP(C489,[1]List1!$A:$D,2,FALSE))),"OFFLINE!")</f>
        <v>30.09.2024</v>
      </c>
      <c r="AD489" s="740" t="str">
        <f ca="1">IF(AP489="NE",$V$10,IF(AC489=$V$3,IF(AQ489&lt;1,$V$8,$V$2&amp;" "&amp;AQ489&amp;" "&amp;$V$1),IF(AC489="SKLADEM",$V$6,IFERROR(IF(OR(AC489-TODAY()&gt;45,VLOOKUP(C489,[1]List1!$A:$E,4,FALSE)=0),AC489,DAY(AC489)&amp;"."&amp;MONTH(AC489)&amp;"."&amp;YEAR(AC489)&amp;" "&amp;$V$4&amp;VLOOKUP(C489,[1]List1!$A:$E,4,FALSE)&amp;" "&amp;$V$1),AC489))))</f>
        <v>30.09.2024</v>
      </c>
      <c r="AE489" s="716" t="str">
        <f t="shared" ca="1" si="1112"/>
        <v>30.09.2024</v>
      </c>
      <c r="AF489" s="723">
        <f t="shared" si="1113"/>
        <v>0</v>
      </c>
      <c r="AG489" s="723">
        <f t="shared" si="1114"/>
        <v>0</v>
      </c>
      <c r="AH489" s="724">
        <f t="shared" si="1115"/>
        <v>0</v>
      </c>
      <c r="AI489" s="716">
        <f t="shared" si="1116"/>
        <v>0</v>
      </c>
      <c r="AJ489" s="716">
        <f t="shared" si="1117"/>
        <v>0</v>
      </c>
      <c r="AK489" s="716" t="str">
        <f t="shared" si="1118"/>
        <v/>
      </c>
      <c r="AL489" s="716">
        <f t="shared" si="1119"/>
        <v>0</v>
      </c>
      <c r="AM489" s="716" t="str">
        <f t="shared" si="1120"/>
        <v/>
      </c>
      <c r="AN489" s="716">
        <f t="shared" si="1121"/>
        <v>0</v>
      </c>
      <c r="AO489" s="380"/>
      <c r="AP489" s="322" t="str">
        <f t="shared" si="1030"/>
        <v/>
      </c>
      <c r="AQ489" s="323" t="str">
        <f>IF(AC489=$V$3,IF(VLOOKUP(C489,[1]List1!$A:$E,5,FALSE)=0,1,VLOOKUP(C489,[1]List1!$A:$E,5,FALSE)),"")</f>
        <v/>
      </c>
      <c r="AR489" s="304" t="str">
        <f t="shared" si="1031"/>
        <v/>
      </c>
      <c r="AS489" s="423" t="str">
        <f t="shared" si="1032"/>
        <v/>
      </c>
      <c r="AT489" s="304" t="str">
        <f t="shared" si="1033"/>
        <v/>
      </c>
      <c r="AU489" s="342" t="e">
        <f t="shared" si="1034"/>
        <v>#N/A</v>
      </c>
      <c r="AV489" s="304" t="e">
        <f t="shared" si="1035"/>
        <v>#N/A</v>
      </c>
      <c r="AX489" s="304">
        <f>IF(AND('General price list'!$J489="F4",'General price list'!$AB489+0&gt;0),1,0)</f>
        <v>0</v>
      </c>
      <c r="AY489" s="304">
        <f t="shared" si="1036"/>
        <v>1</v>
      </c>
      <c r="AZ489" s="304">
        <f t="shared" si="1037"/>
        <v>0</v>
      </c>
    </row>
    <row r="490" spans="1:52" ht="15" customHeight="1">
      <c r="A490" s="725" t="str">
        <f>Kat.!C487</f>
        <v/>
      </c>
      <c r="B490" s="726">
        <f>IF(AND('General price list'!$J490="F4",$AI$1=FALSE),0,IF(AC490="SKLADEM",1,IF(AC490=$V$3,1,0)))</f>
        <v>1</v>
      </c>
      <c r="C490" s="727" t="s">
        <v>2535</v>
      </c>
      <c r="D490" s="728" t="s">
        <v>14582</v>
      </c>
      <c r="E490" s="729" t="s">
        <v>1078</v>
      </c>
      <c r="F490" s="725">
        <f>IFERROR(ROUND(IF($AL$3=2,VLOOKUP(C490,[2]List1!$A:$D,2,FALSE)*1.08,VLOOKUP(C490,[2]List1!$A:$D,2,FALSE)),0),"NEUVEDENO!")</f>
        <v>1599</v>
      </c>
      <c r="G490" s="730">
        <f t="shared" si="1108"/>
        <v>1599</v>
      </c>
      <c r="H490" s="731">
        <f t="shared" si="1109"/>
        <v>64.976492244675711</v>
      </c>
      <c r="I490" s="732">
        <v>2</v>
      </c>
      <c r="J490" s="729" t="s">
        <v>137</v>
      </c>
      <c r="K490" s="729" t="s">
        <v>14734</v>
      </c>
      <c r="L490" s="729" t="s">
        <v>24</v>
      </c>
      <c r="M490" s="729" t="s">
        <v>138</v>
      </c>
      <c r="N490" s="729">
        <f>IFERROR(VLOOKUP(C490,[3]List1!$A:$D,4,FALSE),"N/A!")</f>
        <v>4.1616000000000007E-2</v>
      </c>
      <c r="O490" s="729">
        <f>IFERROR(VLOOKUP(C490,[3]List1!$A:$D,3,FALSE),"N/A!")</f>
        <v>2000</v>
      </c>
      <c r="P490" s="729">
        <f>IFERROR(VLOOKUP(C490,[3]List1!$A:$D,2,FALSE),"N/A!")</f>
        <v>18500</v>
      </c>
      <c r="Q490" s="729" t="s">
        <v>14169</v>
      </c>
      <c r="R490" s="729" t="s">
        <v>24</v>
      </c>
      <c r="S490" s="729" t="str">
        <f>IF($W$17=$AF$1,"design",IFERROR(VLOOKUP("design",Jazyky_ceník!$A:$Q,MATCH($W$17,Jazyky_ceník!$A$1:$Q$1,0),FALSE),"!!!"))</f>
        <v>design</v>
      </c>
      <c r="T490" s="729">
        <v>120</v>
      </c>
      <c r="U490" s="729">
        <v>25</v>
      </c>
      <c r="V490" s="729">
        <v>16</v>
      </c>
      <c r="W490" s="729" t="str">
        <f>IFERROR(VLOOKUP('General price list'!$C490,Popisy!A:P,MATCH($W$17,Popisy!$A$7:$P$7,0),FALSE),"---------------")</f>
        <v>20 různobarevných efektů</v>
      </c>
      <c r="X490" s="729" t="str">
        <f t="shared" si="1110"/>
        <v/>
      </c>
      <c r="Y490" s="729" t="str">
        <f t="shared" si="1111"/>
        <v/>
      </c>
      <c r="Z490" s="729" t="str">
        <f>HYPERLINK("https://www.klasekpyrotechnics.cz/c20020pr")</f>
        <v>https://www.klasekpyrotechnics.cz/c20020pr</v>
      </c>
      <c r="AA490" s="729">
        <f>IFERROR(IF(VLOOKUP(C490,[4]List1!$A:$D,4,FALSE)=0,"",VLOOKUP(C490,[4]List1!$A:$D,4,FALSE)),"")</f>
        <v>20</v>
      </c>
      <c r="AB490" s="720"/>
      <c r="AC490" s="733" t="str">
        <f>IFERROR(IF(VLOOKUP(C490,[1]List1!$A:$D,2,FALSE)="VYPRODÁNO",$V$9,IF(VLOOKUP(C490,[1]List1!$A:$D,2,FALSE)="DOCHÁZÍ",$V$3,VLOOKUP(C490,[1]List1!$A:$D,2,FALSE))),"OFFLINE!")</f>
        <v>SKLADEM</v>
      </c>
      <c r="AD490" s="734" t="str">
        <f ca="1">IF(AP490="NE",$V$10,IF(AC490=$V$3,IF(AQ490&lt;1,$V$8,$V$2&amp;" "&amp;AQ490&amp;" "&amp;$V$1),IF(AC490="SKLADEM",$V$6,IFERROR(IF(OR(AC490-TODAY()&gt;45,VLOOKUP(C490,[1]List1!$A:$E,4,FALSE)=0),AC490,DAY(AC490)&amp;"."&amp;MONTH(AC490)&amp;"."&amp;YEAR(AC490)&amp;" "&amp;$V$4&amp;VLOOKUP(C490,[1]List1!$A:$E,4,FALSE)&amp;" "&amp;$V$1),AC490))))</f>
        <v>SKLADEM</v>
      </c>
      <c r="AE490" s="729" t="str">
        <f t="shared" ca="1" si="1112"/>
        <v>SKLADEM</v>
      </c>
      <c r="AF490" s="735">
        <f t="shared" si="1113"/>
        <v>0</v>
      </c>
      <c r="AG490" s="735">
        <f t="shared" si="1114"/>
        <v>0</v>
      </c>
      <c r="AH490" s="736">
        <f t="shared" si="1115"/>
        <v>0</v>
      </c>
      <c r="AI490" s="729">
        <f t="shared" si="1116"/>
        <v>0</v>
      </c>
      <c r="AJ490" s="729">
        <f t="shared" si="1117"/>
        <v>0</v>
      </c>
      <c r="AK490" s="729" t="str">
        <f t="shared" si="1118"/>
        <v/>
      </c>
      <c r="AL490" s="729">
        <f t="shared" si="1119"/>
        <v>0</v>
      </c>
      <c r="AM490" s="729" t="str">
        <f t="shared" si="1120"/>
        <v/>
      </c>
      <c r="AN490" s="729">
        <f t="shared" si="1121"/>
        <v>0</v>
      </c>
      <c r="AO490" s="380"/>
      <c r="AP490" s="322" t="str">
        <f t="shared" si="1030"/>
        <v/>
      </c>
      <c r="AQ490" s="323" t="str">
        <f>IF(AC490=$V$3,IF(VLOOKUP(C490,[1]List1!$A:$E,5,FALSE)=0,1,VLOOKUP(C490,[1]List1!$A:$E,5,FALSE)),"")</f>
        <v/>
      </c>
      <c r="AR490" s="304" t="str">
        <f t="shared" si="1031"/>
        <v/>
      </c>
      <c r="AS490" s="423" t="str">
        <f t="shared" si="1032"/>
        <v/>
      </c>
      <c r="AT490" s="304" t="str">
        <f t="shared" si="1033"/>
        <v/>
      </c>
      <c r="AU490" s="342" t="e">
        <f t="shared" si="1034"/>
        <v>#N/A</v>
      </c>
      <c r="AV490" s="304" t="e">
        <f t="shared" si="1035"/>
        <v>#N/A</v>
      </c>
      <c r="AX490" s="304">
        <f>IF(AND('General price list'!$J490="F4",'General price list'!$AB490+0&gt;0),1,0)</f>
        <v>0</v>
      </c>
      <c r="AY490" s="304">
        <f t="shared" si="1036"/>
        <v>1</v>
      </c>
      <c r="AZ490" s="304">
        <f t="shared" si="1037"/>
        <v>0</v>
      </c>
    </row>
    <row r="491" spans="1:52" ht="15" customHeight="1">
      <c r="A491" s="773" t="str">
        <f>Kat.!C488</f>
        <v xml:space="preserve">                                                               Baterie 200ran, 20mm moždíř(všechny směry)-1.3G</v>
      </c>
      <c r="B491" s="774"/>
      <c r="C491" s="774"/>
      <c r="D491" s="774"/>
      <c r="E491" s="774"/>
      <c r="F491" s="774"/>
      <c r="G491" s="774"/>
      <c r="H491" s="774"/>
      <c r="I491" s="774"/>
      <c r="J491" s="774"/>
      <c r="K491" s="774"/>
      <c r="L491" s="774"/>
      <c r="M491" s="774"/>
      <c r="N491" s="774"/>
      <c r="O491" s="774"/>
      <c r="P491" s="774"/>
      <c r="Q491" s="774"/>
      <c r="R491" s="774"/>
      <c r="S491" s="774"/>
      <c r="T491" s="774"/>
      <c r="U491" s="774"/>
      <c r="V491" s="774"/>
      <c r="W491" s="774"/>
      <c r="X491" s="774"/>
      <c r="Y491" s="774"/>
      <c r="Z491" s="774"/>
      <c r="AA491" s="774" t="str">
        <f>IFERROR(IF(VLOOKUP(C491,[4]List1!$A:$D,4,FALSE)=0,"",VLOOKUP(C491,[4]List1!$A:$D,4,FALSE)),"")</f>
        <v/>
      </c>
      <c r="AB491" s="774"/>
      <c r="AC491" s="775" t="str">
        <f>IFERROR(IF(VLOOKUP(C491,[1]List1!$A:$D,2,FALSE)="VYPRODÁNO",$V$9,IF(VLOOKUP(C491,[1]List1!$A:$D,2,FALSE)="DOCHÁZÍ",$V$3,VLOOKUP(C491,[1]List1!$A:$D,2,FALSE))),"OFFLINE!")</f>
        <v>OFFLINE!</v>
      </c>
      <c r="AD491" s="774"/>
      <c r="AE491" s="774"/>
      <c r="AF491" s="774"/>
      <c r="AG491" s="774"/>
      <c r="AH491" s="774"/>
      <c r="AI491" s="774"/>
      <c r="AJ491" s="774"/>
      <c r="AK491" s="774"/>
      <c r="AL491" s="774"/>
      <c r="AM491" s="774"/>
      <c r="AN491" s="774"/>
      <c r="AO491" s="380"/>
      <c r="AP491" s="322" t="str">
        <f t="shared" si="1030"/>
        <v/>
      </c>
      <c r="AQ491" s="323" t="str">
        <f>IF(AC491=$V$3,IF(VLOOKUP(C491,[1]List1!$A:$E,5,FALSE)=0,1,VLOOKUP(C491,[1]List1!$A:$E,5,FALSE)),"")</f>
        <v/>
      </c>
      <c r="AR491" s="304" t="str">
        <f t="shared" si="1031"/>
        <v/>
      </c>
      <c r="AS491" s="423" t="str">
        <f t="shared" si="1032"/>
        <v/>
      </c>
      <c r="AT491" s="304" t="str">
        <f t="shared" si="1033"/>
        <v/>
      </c>
      <c r="AU491" s="342" t="e">
        <f t="shared" si="1034"/>
        <v>#N/A</v>
      </c>
      <c r="AV491" s="304" t="e">
        <f t="shared" si="1035"/>
        <v>#N/A</v>
      </c>
      <c r="AX491" s="304">
        <f>IF(AND('General price list'!$J491="F4",'General price list'!$AB491+0&gt;0),1,0)</f>
        <v>0</v>
      </c>
      <c r="AY491" s="304">
        <f t="shared" si="1036"/>
        <v>0</v>
      </c>
      <c r="AZ491" s="304">
        <f t="shared" si="1037"/>
        <v>0</v>
      </c>
    </row>
    <row r="492" spans="1:52" ht="15" customHeight="1">
      <c r="A492" s="725" t="str">
        <f>Kat.!C489</f>
        <v/>
      </c>
      <c r="B492" s="741">
        <f>IF(AND('General price list'!$J492="F4",$AI$1=FALSE),0,IF(AC492="SKLADEM",1,IF(AC492=$V$3,1,0)))</f>
        <v>1</v>
      </c>
      <c r="C492" s="727" t="s">
        <v>2536</v>
      </c>
      <c r="D492" s="728" t="s">
        <v>14583</v>
      </c>
      <c r="E492" s="729" t="s">
        <v>1078</v>
      </c>
      <c r="F492" s="725">
        <f>IFERROR(ROUND(IF($AL$3=2,VLOOKUP(C492,[2]List1!$A:$D,2,FALSE)*1.08,VLOOKUP(C492,[2]List1!$A:$D,2,FALSE)),0),"NEUVEDENO!")</f>
        <v>1898</v>
      </c>
      <c r="G492" s="730">
        <f t="shared" ref="G492:G494" si="1122">(F492)*$B$19</f>
        <v>1898</v>
      </c>
      <c r="H492" s="731">
        <f t="shared" ref="H492:H494" si="1123">G492/$F$19</f>
        <v>77.126568030265474</v>
      </c>
      <c r="I492" s="742">
        <v>2</v>
      </c>
      <c r="J492" s="729" t="s">
        <v>137</v>
      </c>
      <c r="K492" s="729" t="s">
        <v>12734</v>
      </c>
      <c r="L492" s="729" t="s">
        <v>24</v>
      </c>
      <c r="M492" s="729" t="s">
        <v>138</v>
      </c>
      <c r="N492" s="729">
        <f>IFERROR(VLOOKUP(C492,[3]List1!$A:$D,4,FALSE),"N/A!")</f>
        <v>4.674600000000001E-2</v>
      </c>
      <c r="O492" s="729">
        <f>IFERROR(VLOOKUP(C492,[3]List1!$A:$D,3,FALSE),"N/A!")</f>
        <v>2000</v>
      </c>
      <c r="P492" s="729">
        <f>IFERROR(VLOOKUP(C492,[3]List1!$A:$D,2,FALSE),"N/A!")</f>
        <v>19600</v>
      </c>
      <c r="Q492" s="729" t="s">
        <v>14169</v>
      </c>
      <c r="R492" s="729" t="s">
        <v>24</v>
      </c>
      <c r="S492" s="729" t="str">
        <f>IF($W$17=$AF$1,"červená fólie",IFERROR(VLOOKUP("červená fólie",Jazyky_ceník!$A:$Q,MATCH($W$17,Jazyky_ceník!$A$1:$Q$1,0),FALSE),"!!!"))</f>
        <v>červená fólie</v>
      </c>
      <c r="T492" s="729">
        <v>120</v>
      </c>
      <c r="U492" s="729">
        <v>25</v>
      </c>
      <c r="V492" s="729">
        <v>15</v>
      </c>
      <c r="W492" s="729" t="str">
        <f>IFERROR(VLOOKUP('General price list'!$C492,Popisy!A:P,MATCH($W$17,Popisy!$A$7:$P$7,0),FALSE),"---------------")</f>
        <v>20 různobarevných efektů</v>
      </c>
      <c r="X492" s="729" t="str">
        <f t="shared" ref="X492:X494" si="1124">IF(AB492&lt;0.0001,"",AB492)</f>
        <v/>
      </c>
      <c r="Y492" s="729" t="str">
        <f t="shared" ref="Y492:Y494" si="1125">IF($AL$3=2,IF(OR(AB492&lt;&gt;"",AB492&lt;&gt;0),AU492,""),IF(C492="","",IF(AB492&lt;0.0001,"",IF(B492=0,"",IF(AQ492&lt;AB492,"",AB492)))))</f>
        <v/>
      </c>
      <c r="Z492" s="729" t="str">
        <f>HYPERLINK("https://www.klasekpyrotechnics.cz/c20020xbp")</f>
        <v>https://www.klasekpyrotechnics.cz/c20020xbp</v>
      </c>
      <c r="AA492" s="729">
        <f>IFERROR(IF(VLOOKUP(C492,[4]List1!$A:$D,4,FALSE)=0,"",VLOOKUP(C492,[4]List1!$A:$D,4,FALSE)),"")</f>
        <v>22</v>
      </c>
      <c r="AB492" s="720"/>
      <c r="AC492" s="743" t="str">
        <f>IFERROR(IF(VLOOKUP(C492,[1]List1!$A:$D,2,FALSE)="VYPRODÁNO",$V$9,IF(VLOOKUP(C492,[1]List1!$A:$D,2,FALSE)="DOCHÁZÍ",$V$3,VLOOKUP(C492,[1]List1!$A:$D,2,FALSE))),"OFFLINE!")</f>
        <v>SKLADEM</v>
      </c>
      <c r="AD492" s="744" t="str">
        <f ca="1">IF(AP492="NE",$V$10,IF(AC492=$V$3,IF(AQ492&lt;1,$V$8,$V$2&amp;" "&amp;AQ492&amp;" "&amp;$V$1),IF(AC492="SKLADEM",$V$6,IFERROR(IF(OR(AC492-TODAY()&gt;45,VLOOKUP(C492,[1]List1!$A:$E,4,FALSE)=0),AC492,DAY(AC492)&amp;"."&amp;MONTH(AC492)&amp;"."&amp;YEAR(AC492)&amp;" "&amp;$V$4&amp;VLOOKUP(C492,[1]List1!$A:$E,4,FALSE)&amp;" "&amp;$V$1),AC492))))</f>
        <v>SKLADEM</v>
      </c>
      <c r="AE492" s="729" t="str">
        <f t="shared" ref="AE492:AE494" ca="1" si="1126">IFERROR(IF(AV492&lt;&gt;"",AV492,AD492),AD492)</f>
        <v>SKLADEM</v>
      </c>
      <c r="AF492" s="735">
        <f t="shared" ref="AF492:AF494" si="1127">IFERROR(IF(AB492=Y492,G492*I492*Y492,0),0)</f>
        <v>0</v>
      </c>
      <c r="AG492" s="735">
        <f t="shared" ref="AG492:AG494" si="1128">IF($W$17=$AF$8,AH492*1.23,AF492*1.21)</f>
        <v>0</v>
      </c>
      <c r="AH492" s="736">
        <f t="shared" ref="AH492:AH494" si="1129">IFERROR(IF(Y492=AB492,H492*I492*Y492,0),0)</f>
        <v>0</v>
      </c>
      <c r="AI492" s="729">
        <f t="shared" ref="AI492:AI494" si="1130">IFERROR(IF(Y492=AB492,(P492*Y492)/1000,1),0)</f>
        <v>0</v>
      </c>
      <c r="AJ492" s="729">
        <f t="shared" ref="AJ492:AJ494" si="1131">IFERROR(IF(Y492=AB492,N492*Y492,0.1),0)</f>
        <v>0</v>
      </c>
      <c r="AK492" s="729" t="str">
        <f t="shared" ref="AK492:AK494" si="1132">IFERROR(IF(Y492=AB492,IF(M492="1.1G",(O492/1000)*Y492,""),""),0)</f>
        <v/>
      </c>
      <c r="AL492" s="729">
        <f t="shared" ref="AL492:AL494" si="1133">IFERROR(IF(Y492=AB492,IF(M492="1.3G",(O492/1000)*AB492,""),""),0)</f>
        <v>0</v>
      </c>
      <c r="AM492" s="729" t="str">
        <f t="shared" ref="AM492:AM494" si="1134">IFERROR(IF(Y492=AB492,IF(M492="1.4G",(O492/1000)*AB492,""),""),0)</f>
        <v/>
      </c>
      <c r="AN492" s="729">
        <f t="shared" ref="AN492:AN494" si="1135">SUM(AK492:AM492)</f>
        <v>0</v>
      </c>
      <c r="AO492" s="380"/>
      <c r="AP492" s="322" t="str">
        <f t="shared" si="1030"/>
        <v/>
      </c>
      <c r="AQ492" s="305" t="str">
        <f>IF(AC492=$V$3,IF(VLOOKUP(C492,[1]List1!$A:$E,5,FALSE)=0,1,VLOOKUP(C492,[1]List1!$A:$E,5,FALSE)),"")</f>
        <v/>
      </c>
      <c r="AR492" s="304" t="str">
        <f t="shared" si="1031"/>
        <v/>
      </c>
      <c r="AS492" s="423" t="str">
        <f t="shared" si="1032"/>
        <v/>
      </c>
      <c r="AT492" s="304" t="str">
        <f t="shared" si="1033"/>
        <v/>
      </c>
      <c r="AU492" s="342" t="e">
        <f t="shared" si="1034"/>
        <v>#N/A</v>
      </c>
      <c r="AV492" s="304" t="e">
        <f t="shared" si="1035"/>
        <v>#N/A</v>
      </c>
      <c r="AX492" s="304">
        <f>IF(AND('General price list'!$J492="F4",'General price list'!$AB492+0&gt;0),1,0)</f>
        <v>0</v>
      </c>
      <c r="AY492" s="304">
        <f t="shared" si="1036"/>
        <v>1</v>
      </c>
      <c r="AZ492" s="304">
        <f t="shared" si="1037"/>
        <v>0</v>
      </c>
    </row>
    <row r="493" spans="1:52" ht="15" customHeight="1">
      <c r="A493" s="712" t="str">
        <f>Kat.!C490</f>
        <v>×</v>
      </c>
      <c r="B493" s="745">
        <f>IF(AND('General price list'!$J493="F4",$AI$1=FALSE),0,IF(AC493="SKLADEM",1,IF(AC493=$V$3,1,0)))</f>
        <v>1</v>
      </c>
      <c r="C493" s="714" t="s">
        <v>2537</v>
      </c>
      <c r="D493" s="715" t="s">
        <v>14584</v>
      </c>
      <c r="E493" s="716" t="s">
        <v>1078</v>
      </c>
      <c r="F493" s="712">
        <f>IFERROR(ROUND(IF($AL$3=2,VLOOKUP(C493,[2]List1!$A:$D,2,FALSE)*1.08,VLOOKUP(C493,[2]List1!$A:$D,2,FALSE)),0),"NEUVEDENO!")</f>
        <v>1898</v>
      </c>
      <c r="G493" s="717">
        <f t="shared" si="1122"/>
        <v>1898</v>
      </c>
      <c r="H493" s="718">
        <f t="shared" si="1123"/>
        <v>77.126568030265474</v>
      </c>
      <c r="I493" s="746">
        <v>2</v>
      </c>
      <c r="J493" s="716" t="s">
        <v>137</v>
      </c>
      <c r="K493" s="716"/>
      <c r="L493" s="716" t="s">
        <v>24</v>
      </c>
      <c r="M493" s="716" t="s">
        <v>138</v>
      </c>
      <c r="N493" s="716">
        <f>IFERROR(VLOOKUP(C493,[3]List1!$A:$D,4,FALSE),"N/A!")</f>
        <v>4.674600000000001E-2</v>
      </c>
      <c r="O493" s="716">
        <f>IFERROR(VLOOKUP(C493,[3]List1!$A:$D,3,FALSE),"N/A!")</f>
        <v>2000</v>
      </c>
      <c r="P493" s="716">
        <f>IFERROR(VLOOKUP(C493,[3]List1!$A:$D,2,FALSE),"N/A!")</f>
        <v>19600</v>
      </c>
      <c r="Q493" s="716" t="s">
        <v>14170</v>
      </c>
      <c r="R493" s="716" t="s">
        <v>24</v>
      </c>
      <c r="S493" s="716" t="str">
        <f>IF($W$17=$AF$1,"design",IFERROR(VLOOKUP("design",Jazyky_ceník!$A:$Q,MATCH($W$17,Jazyky_ceník!$A$1:$Q$1,0),FALSE),"!!!"))</f>
        <v>design</v>
      </c>
      <c r="T493" s="716">
        <v>120</v>
      </c>
      <c r="U493" s="716">
        <v>25</v>
      </c>
      <c r="V493" s="716">
        <v>15</v>
      </c>
      <c r="W493" s="716" t="str">
        <f>IFERROR(VLOOKUP('General price list'!$C493,Popisy!A:P,MATCH($W$17,Popisy!$A$7:$P$7,0),FALSE),"---------------")</f>
        <v>20 různobarevných efektů</v>
      </c>
      <c r="X493" s="716" t="str">
        <f t="shared" si="1124"/>
        <v/>
      </c>
      <c r="Y493" s="716" t="str">
        <f t="shared" si="1125"/>
        <v/>
      </c>
      <c r="Z493" s="716" t="str">
        <f>HYPERLINK("https://www.klasekpyrotechnics.cz/c20020xbpw")</f>
        <v>https://www.klasekpyrotechnics.cz/c20020xbpw</v>
      </c>
      <c r="AA493" s="716">
        <f>IFERROR(IF(VLOOKUP(C493,[4]List1!$A:$D,4,FALSE)=0,"",VLOOKUP(C493,[4]List1!$A:$D,4,FALSE)),"")</f>
        <v>22</v>
      </c>
      <c r="AB493" s="720"/>
      <c r="AC493" s="747" t="str">
        <f>IFERROR(IF(VLOOKUP(C493,[1]List1!$A:$D,2,FALSE)="VYPRODÁNO",$V$9,IF(VLOOKUP(C493,[1]List1!$A:$D,2,FALSE)="DOCHÁZÍ",$V$3,VLOOKUP(C493,[1]List1!$A:$D,2,FALSE))),"OFFLINE!")</f>
        <v>SKLADEM</v>
      </c>
      <c r="AD493" s="748" t="str">
        <f ca="1">IF(AP493="NE",$V$10,IF(AC493=$V$3,IF(AQ493&lt;1,$V$8,$V$2&amp;" "&amp;AQ493&amp;" "&amp;$V$1),IF(AC493="SKLADEM",$V$6,IFERROR(IF(OR(AC493-TODAY()&gt;45,VLOOKUP(C493,[1]List1!$A:$E,4,FALSE)=0),AC493,DAY(AC493)&amp;"."&amp;MONTH(AC493)&amp;"."&amp;YEAR(AC493)&amp;" "&amp;$V$4&amp;VLOOKUP(C493,[1]List1!$A:$E,4,FALSE)&amp;" "&amp;$V$1),AC493))))</f>
        <v>SKLADEM</v>
      </c>
      <c r="AE493" s="716" t="str">
        <f t="shared" ca="1" si="1126"/>
        <v>SKLADEM</v>
      </c>
      <c r="AF493" s="723">
        <f t="shared" si="1127"/>
        <v>0</v>
      </c>
      <c r="AG493" s="723">
        <f t="shared" si="1128"/>
        <v>0</v>
      </c>
      <c r="AH493" s="724">
        <f t="shared" si="1129"/>
        <v>0</v>
      </c>
      <c r="AI493" s="716">
        <f t="shared" si="1130"/>
        <v>0</v>
      </c>
      <c r="AJ493" s="716">
        <f t="shared" si="1131"/>
        <v>0</v>
      </c>
      <c r="AK493" s="716" t="str">
        <f t="shared" si="1132"/>
        <v/>
      </c>
      <c r="AL493" s="716">
        <f t="shared" si="1133"/>
        <v>0</v>
      </c>
      <c r="AM493" s="716" t="str">
        <f t="shared" si="1134"/>
        <v/>
      </c>
      <c r="AN493" s="716">
        <f t="shared" si="1135"/>
        <v>0</v>
      </c>
      <c r="AO493" s="380"/>
      <c r="AP493" s="322" t="str">
        <f t="shared" si="1030"/>
        <v/>
      </c>
      <c r="AQ493" s="323" t="str">
        <f>IF(AC493=$V$3,IF(VLOOKUP(C493,[1]List1!$A:$E,5,FALSE)=0,1,VLOOKUP(C493,[1]List1!$A:$E,5,FALSE)),"")</f>
        <v/>
      </c>
      <c r="AR493" s="304" t="str">
        <f t="shared" si="1031"/>
        <v/>
      </c>
      <c r="AS493" s="423" t="str">
        <f t="shared" si="1032"/>
        <v/>
      </c>
      <c r="AT493" s="304" t="str">
        <f t="shared" si="1033"/>
        <v/>
      </c>
      <c r="AU493" s="342" t="e">
        <f t="shared" si="1034"/>
        <v>#N/A</v>
      </c>
      <c r="AV493" s="304" t="e">
        <f t="shared" si="1035"/>
        <v>#N/A</v>
      </c>
      <c r="AX493" s="304">
        <f>IF(AND('General price list'!$J493="F4",'General price list'!$AB493+0&gt;0),1,0)</f>
        <v>0</v>
      </c>
      <c r="AY493" s="304">
        <f t="shared" si="1036"/>
        <v>1</v>
      </c>
      <c r="AZ493" s="304">
        <f t="shared" si="1037"/>
        <v>0</v>
      </c>
    </row>
    <row r="494" spans="1:52" ht="15" customHeight="1">
      <c r="A494" s="725" t="str">
        <f>Kat.!C491</f>
        <v/>
      </c>
      <c r="B494" s="749">
        <f>IF(AND('General price list'!$J494="F4",$AI$1=FALSE),0,IF(AC494="SKLADEM",1,IF(AC494=$V$3,1,0)))</f>
        <v>1</v>
      </c>
      <c r="C494" s="727" t="s">
        <v>2538</v>
      </c>
      <c r="D494" s="728" t="s">
        <v>14585</v>
      </c>
      <c r="E494" s="729" t="s">
        <v>1078</v>
      </c>
      <c r="F494" s="725">
        <f>IFERROR(ROUND(IF($AL$3=2,VLOOKUP(C494,[2]List1!$A:$D,2,FALSE)*1.08,VLOOKUP(C494,[2]List1!$A:$D,2,FALSE)),0),"NEUVEDENO!")</f>
        <v>1979</v>
      </c>
      <c r="G494" s="730">
        <f t="shared" si="1122"/>
        <v>1979</v>
      </c>
      <c r="H494" s="731">
        <f t="shared" si="1123"/>
        <v>80.418060132716221</v>
      </c>
      <c r="I494" s="750">
        <v>2</v>
      </c>
      <c r="J494" s="729" t="s">
        <v>137</v>
      </c>
      <c r="K494" s="729"/>
      <c r="L494" s="729" t="s">
        <v>24</v>
      </c>
      <c r="M494" s="729" t="s">
        <v>138</v>
      </c>
      <c r="N494" s="729">
        <f>IFERROR(VLOOKUP(C494,[3]List1!$A:$D,4,FALSE),"N/A!")</f>
        <v>5.3423999999999999E-2</v>
      </c>
      <c r="O494" s="729">
        <f>IFERROR(VLOOKUP(C494,[3]List1!$A:$D,3,FALSE),"N/A!")</f>
        <v>2000</v>
      </c>
      <c r="P494" s="729">
        <f>IFERROR(VLOOKUP(C494,[3]List1!$A:$D,2,FALSE),"N/A!")</f>
        <v>19600</v>
      </c>
      <c r="Q494" s="729" t="s">
        <v>14171</v>
      </c>
      <c r="R494" s="729" t="s">
        <v>24</v>
      </c>
      <c r="S494" s="729" t="str">
        <f>IF($W$17=$AF$1,"design",IFERROR(VLOOKUP("design",Jazyky_ceník!$A:$Q,MATCH($W$17,Jazyky_ceník!$A$1:$Q$1,0),FALSE),"!!!"))</f>
        <v>design</v>
      </c>
      <c r="T494" s="729">
        <v>120</v>
      </c>
      <c r="U494" s="729">
        <v>25</v>
      </c>
      <c r="V494" s="729">
        <v>16</v>
      </c>
      <c r="W494" s="729" t="str">
        <f>IFERROR(VLOOKUP('General price list'!$C494,Popisy!A:P,MATCH($W$17,Popisy!$A$7:$P$7,0),FALSE),"---------------")</f>
        <v>20 různobarevných efektů</v>
      </c>
      <c r="X494" s="729" t="str">
        <f t="shared" si="1124"/>
        <v/>
      </c>
      <c r="Y494" s="729" t="str">
        <f t="shared" si="1125"/>
        <v/>
      </c>
      <c r="Z494" s="729" t="str">
        <f>HYPERLINK("https://www.klasekpyrotechnics.cz/c20020xpr")</f>
        <v>https://www.klasekpyrotechnics.cz/c20020xpr</v>
      </c>
      <c r="AA494" s="729">
        <f>IFERROR(IF(VLOOKUP(C494,[4]List1!$A:$D,4,FALSE)=0,"",VLOOKUP(C494,[4]List1!$A:$D,4,FALSE)),"")</f>
        <v>20</v>
      </c>
      <c r="AB494" s="720"/>
      <c r="AC494" s="751" t="str">
        <f>IFERROR(IF(VLOOKUP(C494,[1]List1!$A:$D,2,FALSE)="VYPRODÁNO",$V$9,IF(VLOOKUP(C494,[1]List1!$A:$D,2,FALSE)="DOCHÁZÍ",$V$3,VLOOKUP(C494,[1]List1!$A:$D,2,FALSE))),"OFFLINE!")</f>
        <v>SKLADEM</v>
      </c>
      <c r="AD494" s="752" t="str">
        <f ca="1">IF(AP494="NE",$V$10,IF(AC494=$V$3,IF(AQ494&lt;1,$V$8,$V$2&amp;" "&amp;AQ494&amp;" "&amp;$V$1),IF(AC494="SKLADEM",$V$6,IFERROR(IF(OR(AC494-TODAY()&gt;45,VLOOKUP(C494,[1]List1!$A:$E,4,FALSE)=0),AC494,DAY(AC494)&amp;"."&amp;MONTH(AC494)&amp;"."&amp;YEAR(AC494)&amp;" "&amp;$V$4&amp;VLOOKUP(C494,[1]List1!$A:$E,4,FALSE)&amp;" "&amp;$V$1),AC494))))</f>
        <v>SKLADEM</v>
      </c>
      <c r="AE494" s="729" t="str">
        <f t="shared" ca="1" si="1126"/>
        <v>SKLADEM</v>
      </c>
      <c r="AF494" s="735">
        <f t="shared" si="1127"/>
        <v>0</v>
      </c>
      <c r="AG494" s="735">
        <f t="shared" si="1128"/>
        <v>0</v>
      </c>
      <c r="AH494" s="736">
        <f t="shared" si="1129"/>
        <v>0</v>
      </c>
      <c r="AI494" s="729">
        <f t="shared" si="1130"/>
        <v>0</v>
      </c>
      <c r="AJ494" s="729">
        <f t="shared" si="1131"/>
        <v>0</v>
      </c>
      <c r="AK494" s="729" t="str">
        <f t="shared" si="1132"/>
        <v/>
      </c>
      <c r="AL494" s="729">
        <f t="shared" si="1133"/>
        <v>0</v>
      </c>
      <c r="AM494" s="729" t="str">
        <f t="shared" si="1134"/>
        <v/>
      </c>
      <c r="AN494" s="729">
        <f t="shared" si="1135"/>
        <v>0</v>
      </c>
      <c r="AO494" s="380"/>
      <c r="AP494" s="322" t="str">
        <f t="shared" si="1030"/>
        <v/>
      </c>
      <c r="AQ494" s="323" t="str">
        <f>IF(AC494=$V$3,IF(VLOOKUP(C494,[1]List1!$A:$E,5,FALSE)=0,1,VLOOKUP(C494,[1]List1!$A:$E,5,FALSE)),"")</f>
        <v/>
      </c>
      <c r="AR494" s="304" t="str">
        <f t="shared" si="1031"/>
        <v/>
      </c>
      <c r="AS494" s="423" t="str">
        <f t="shared" si="1032"/>
        <v/>
      </c>
      <c r="AT494" s="304" t="str">
        <f t="shared" si="1033"/>
        <v/>
      </c>
      <c r="AU494" s="342" t="e">
        <f t="shared" si="1034"/>
        <v>#N/A</v>
      </c>
      <c r="AV494" s="304" t="e">
        <f t="shared" si="1035"/>
        <v>#N/A</v>
      </c>
      <c r="AX494" s="304">
        <f>IF(AND('General price list'!$J494="F4",'General price list'!$AB494+0&gt;0),1,0)</f>
        <v>0</v>
      </c>
      <c r="AY494" s="304">
        <f t="shared" si="1036"/>
        <v>1</v>
      </c>
      <c r="AZ494" s="304">
        <f t="shared" si="1037"/>
        <v>0</v>
      </c>
    </row>
    <row r="495" spans="1:52" ht="15" customHeight="1">
      <c r="A495" s="773" t="str">
        <f>Kat.!C492</f>
        <v xml:space="preserve">                                                               Složený ohňostroj 20mm - F2 - 1.4G</v>
      </c>
      <c r="B495" s="774"/>
      <c r="C495" s="774"/>
      <c r="D495" s="774"/>
      <c r="E495" s="774"/>
      <c r="F495" s="774"/>
      <c r="G495" s="774"/>
      <c r="H495" s="774"/>
      <c r="I495" s="774"/>
      <c r="J495" s="774"/>
      <c r="K495" s="774"/>
      <c r="L495" s="774"/>
      <c r="M495" s="774"/>
      <c r="N495" s="774"/>
      <c r="O495" s="774"/>
      <c r="P495" s="774"/>
      <c r="Q495" s="774"/>
      <c r="R495" s="774"/>
      <c r="S495" s="774"/>
      <c r="T495" s="774"/>
      <c r="U495" s="774"/>
      <c r="V495" s="774"/>
      <c r="W495" s="774"/>
      <c r="X495" s="774"/>
      <c r="Y495" s="774"/>
      <c r="Z495" s="774"/>
      <c r="AA495" s="774" t="str">
        <f>IFERROR(IF(VLOOKUP(C495,[4]List1!$A:$D,4,FALSE)=0,"",VLOOKUP(C495,[4]List1!$A:$D,4,FALSE)),"")</f>
        <v/>
      </c>
      <c r="AB495" s="774"/>
      <c r="AC495" s="775" t="str">
        <f>IFERROR(IF(VLOOKUP(C495,[1]List1!$A:$D,2,FALSE)="VYPRODÁNO",$V$9,IF(VLOOKUP(C495,[1]List1!$A:$D,2,FALSE)="DOCHÁZÍ",$V$3,VLOOKUP(C495,[1]List1!$A:$D,2,FALSE))),"OFFLINE!")</f>
        <v>OFFLINE!</v>
      </c>
      <c r="AD495" s="774"/>
      <c r="AE495" s="774"/>
      <c r="AF495" s="774"/>
      <c r="AG495" s="774"/>
      <c r="AH495" s="774"/>
      <c r="AI495" s="774"/>
      <c r="AJ495" s="774"/>
      <c r="AK495" s="774"/>
      <c r="AL495" s="774"/>
      <c r="AM495" s="774"/>
      <c r="AN495" s="774"/>
      <c r="AO495" s="380"/>
      <c r="AP495" s="322" t="str">
        <f t="shared" si="1030"/>
        <v/>
      </c>
      <c r="AQ495" s="323" t="str">
        <f>IF(AC495=$V$3,IF(VLOOKUP(C495,[1]List1!$A:$E,5,FALSE)=0,1,VLOOKUP(C495,[1]List1!$A:$E,5,FALSE)),"")</f>
        <v/>
      </c>
      <c r="AR495" s="304" t="str">
        <f t="shared" si="1031"/>
        <v/>
      </c>
      <c r="AS495" s="423" t="str">
        <f t="shared" si="1032"/>
        <v/>
      </c>
      <c r="AT495" s="304" t="str">
        <f t="shared" si="1033"/>
        <v/>
      </c>
      <c r="AU495" s="342" t="e">
        <f t="shared" si="1034"/>
        <v>#N/A</v>
      </c>
      <c r="AV495" s="304" t="e">
        <f t="shared" si="1035"/>
        <v>#N/A</v>
      </c>
      <c r="AX495" s="304">
        <f>IF(AND('General price list'!$J495="F4",'General price list'!$AB495+0&gt;0),1,0)</f>
        <v>0</v>
      </c>
      <c r="AY495" s="304">
        <f t="shared" si="1036"/>
        <v>0</v>
      </c>
      <c r="AZ495" s="304">
        <f t="shared" si="1037"/>
        <v>0</v>
      </c>
    </row>
    <row r="496" spans="1:52" ht="15" customHeight="1">
      <c r="A496" s="725" t="str">
        <f>Kat.!C493</f>
        <v/>
      </c>
      <c r="B496" s="741">
        <f>IF(AND('General price list'!$J496="F4",$AI$1=FALSE),0,IF(AC496="SKLADEM",1,IF(AC496=$V$3,1,0)))</f>
        <v>0</v>
      </c>
      <c r="C496" s="727" t="s">
        <v>1238</v>
      </c>
      <c r="D496" s="728" t="s">
        <v>14586</v>
      </c>
      <c r="E496" s="729" t="s">
        <v>136</v>
      </c>
      <c r="F496" s="725">
        <f>IFERROR(ROUND(IF($AL$3=2,VLOOKUP(C496,[2]List1!$A:$D,2,FALSE)*1.08,VLOOKUP(C496,[2]List1!$A:$D,2,FALSE)),0),"NEUVEDENO!")</f>
        <v>1367</v>
      </c>
      <c r="G496" s="730">
        <f t="shared" ref="G496:G505" si="1136">(F496)*$B$19</f>
        <v>1367</v>
      </c>
      <c r="H496" s="731">
        <f t="shared" ref="H496:H505" si="1137">G496/$F$19</f>
        <v>55.549008691977299</v>
      </c>
      <c r="I496" s="742">
        <v>1</v>
      </c>
      <c r="J496" s="729" t="s">
        <v>46</v>
      </c>
      <c r="K496" s="729"/>
      <c r="L496" s="729" t="s">
        <v>14369</v>
      </c>
      <c r="M496" s="729" t="s">
        <v>25</v>
      </c>
      <c r="N496" s="729">
        <f>IFERROR(VLOOKUP(C496,[3]List1!$A:$D,4,FALSE),"N/A!")</f>
        <v>1.2937624999999998E-2</v>
      </c>
      <c r="O496" s="729">
        <f>IFERROR(VLOOKUP(C496,[3]List1!$A:$D,3,FALSE),"N/A!")</f>
        <v>996</v>
      </c>
      <c r="P496" s="729">
        <f>IFERROR(VLOOKUP(C496,[3]List1!$A:$D,2,FALSE),"N/A!")</f>
        <v>6350</v>
      </c>
      <c r="Q496" s="729" t="s">
        <v>14071</v>
      </c>
      <c r="R496" s="729" t="s">
        <v>24</v>
      </c>
      <c r="S496" s="729" t="str">
        <f>IF($W$17=$AF$1,"červená fólie",IFERROR(VLOOKUP("červená fólie",Jazyky_ceník!$A:$Q,MATCH($W$17,Jazyky_ceník!$A$1:$Q$1,0),FALSE),"!!!"))</f>
        <v>červená fólie</v>
      </c>
      <c r="T496" s="729">
        <v>100</v>
      </c>
      <c r="U496" s="729">
        <v>25</v>
      </c>
      <c r="V496" s="729">
        <v>13</v>
      </c>
      <c r="W496" s="729" t="str">
        <f>IFERROR(VLOOKUP('General price list'!$C496,Popisy!A:P,MATCH($W$17,Popisy!$A$7:$P$7,0),FALSE),"---------------")</f>
        <v>16 různobarevných efektů</v>
      </c>
      <c r="X496" s="729" t="str">
        <f t="shared" ref="X496:X505" si="1138">IF(AB496&lt;0.0001,"",AB496)</f>
        <v/>
      </c>
      <c r="Y496" s="729" t="str">
        <f t="shared" ref="Y496:Y505" si="1139">IF($AL$3=2,IF(OR(AB496&lt;&gt;"",AB496&lt;&gt;0),AU496,""),IF(C496="","",IF(AB496&lt;0.0001,"",IF(B496=0,"",IF(AQ496&lt;AB496,"",AB496)))))</f>
        <v/>
      </c>
      <c r="Z496" s="729" t="str">
        <f>HYPERLINK("https://www.klasekpyrotechnics.cz/c12820f-c14")</f>
        <v>https://www.klasekpyrotechnics.cz/c12820f-c14</v>
      </c>
      <c r="AA496" s="729">
        <f>IFERROR(IF(VLOOKUP(C496,[4]List1!$A:$D,4,FALSE)=0,"",VLOOKUP(C496,[4]List1!$A:$D,4,FALSE)),"")</f>
        <v>77</v>
      </c>
      <c r="AB496" s="720"/>
      <c r="AC496" s="743" t="str">
        <f>IFERROR(IF(VLOOKUP(C496,[1]List1!$A:$D,2,FALSE)="VYPRODÁNO",$V$9,IF(VLOOKUP(C496,[1]List1!$A:$D,2,FALSE)="DOCHÁZÍ",$V$3,VLOOKUP(C496,[1]List1!$A:$D,2,FALSE))),"OFFLINE!")</f>
        <v>30.04.2024</v>
      </c>
      <c r="AD496" s="744" t="str">
        <f ca="1">IF(AP496="NE",$V$10,IF(AC496=$V$3,IF(AQ496&lt;1,$V$8,$V$2&amp;" "&amp;AQ496&amp;" "&amp;$V$1),IF(AC496="SKLADEM",$V$6,IFERROR(IF(OR(AC496-TODAY()&gt;45,VLOOKUP(C496,[1]List1!$A:$E,4,FALSE)=0),AC496,DAY(AC496)&amp;"."&amp;MONTH(AC496)&amp;"."&amp;YEAR(AC496)&amp;" "&amp;$V$4&amp;VLOOKUP(C496,[1]List1!$A:$E,4,FALSE)&amp;" "&amp;$V$1),AC496))))</f>
        <v>30.04.2024</v>
      </c>
      <c r="AE496" s="729" t="str">
        <f t="shared" ref="AE496:AE505" ca="1" si="1140">IFERROR(IF(AV496&lt;&gt;"",AV496,AD496),AD496)</f>
        <v>30.04.2024</v>
      </c>
      <c r="AF496" s="735">
        <f t="shared" ref="AF496:AF505" si="1141">IFERROR(IF(AB496=Y496,G496*I496*Y496,0),0)</f>
        <v>0</v>
      </c>
      <c r="AG496" s="735">
        <f t="shared" ref="AG496:AG505" si="1142">IF($W$17=$AF$8,AH496*1.23,AF496*1.21)</f>
        <v>0</v>
      </c>
      <c r="AH496" s="736">
        <f t="shared" ref="AH496:AH505" si="1143">IFERROR(IF(Y496=AB496,H496*I496*Y496,0),0)</f>
        <v>0</v>
      </c>
      <c r="AI496" s="729">
        <f t="shared" ref="AI496:AI505" si="1144">IFERROR(IF(Y496=AB496,(P496*Y496)/1000,1),0)</f>
        <v>0</v>
      </c>
      <c r="AJ496" s="729">
        <f t="shared" ref="AJ496:AJ505" si="1145">IFERROR(IF(Y496=AB496,N496*Y496,0.1),0)</f>
        <v>0</v>
      </c>
      <c r="AK496" s="729" t="str">
        <f t="shared" ref="AK496:AK505" si="1146">IFERROR(IF(Y496=AB496,IF(M496="1.1G",(O496/1000)*Y496,""),""),0)</f>
        <v/>
      </c>
      <c r="AL496" s="729" t="str">
        <f t="shared" ref="AL496:AL505" si="1147">IFERROR(IF(Y496=AB496,IF(M496="1.3G",(O496/1000)*AB496,""),""),0)</f>
        <v/>
      </c>
      <c r="AM496" s="729">
        <f t="shared" ref="AM496:AM505" si="1148">IFERROR(IF(Y496=AB496,IF(M496="1.4G",(O496/1000)*AB496,""),""),0)</f>
        <v>0</v>
      </c>
      <c r="AN496" s="729">
        <f t="shared" ref="AN496:AN505" si="1149">SUM(AK496:AM496)</f>
        <v>0</v>
      </c>
      <c r="AO496" s="380"/>
      <c r="AP496" s="322" t="str">
        <f t="shared" si="1030"/>
        <v/>
      </c>
      <c r="AQ496" s="323" t="str">
        <f>IF(AC496=$V$3,IF(VLOOKUP(C496,[1]List1!$A:$E,5,FALSE)=0,1,VLOOKUP(C496,[1]List1!$A:$E,5,FALSE)),"")</f>
        <v/>
      </c>
      <c r="AR496" s="304" t="str">
        <f t="shared" si="1031"/>
        <v/>
      </c>
      <c r="AS496" s="423" t="str">
        <f t="shared" si="1032"/>
        <v/>
      </c>
      <c r="AT496" s="304" t="str">
        <f t="shared" si="1033"/>
        <v/>
      </c>
      <c r="AU496" s="342" t="e">
        <f t="shared" si="1034"/>
        <v>#N/A</v>
      </c>
      <c r="AV496" s="304" t="e">
        <f t="shared" si="1035"/>
        <v>#N/A</v>
      </c>
      <c r="AX496" s="304">
        <f>IF(AND('General price list'!$J496="F4",'General price list'!$AB496+0&gt;0),1,0)</f>
        <v>0</v>
      </c>
      <c r="AY496" s="304">
        <f t="shared" si="1036"/>
        <v>1</v>
      </c>
      <c r="AZ496" s="304">
        <f t="shared" si="1037"/>
        <v>0</v>
      </c>
    </row>
    <row r="497" spans="1:52" ht="15" customHeight="1">
      <c r="A497" s="712" t="str">
        <f>Kat.!C494</f>
        <v/>
      </c>
      <c r="B497" s="745">
        <f>IF(AND('General price list'!$J497="F4",$AI$1=FALSE),0,IF(AC497="SKLADEM",1,IF(AC497=$V$3,1,0)))</f>
        <v>1</v>
      </c>
      <c r="C497" s="714" t="s">
        <v>1242</v>
      </c>
      <c r="D497" s="715" t="s">
        <v>1243</v>
      </c>
      <c r="E497" s="716" t="s">
        <v>136</v>
      </c>
      <c r="F497" s="712">
        <f>IFERROR(ROUND(IF($AL$3=2,VLOOKUP(C497,[2]List1!$A:$D,2,FALSE)*1.08,VLOOKUP(C497,[2]List1!$A:$D,2,FALSE)),0),"NEUVEDENO!")</f>
        <v>1896</v>
      </c>
      <c r="G497" s="717">
        <f t="shared" si="1136"/>
        <v>1896</v>
      </c>
      <c r="H497" s="718">
        <f t="shared" si="1137"/>
        <v>77.045296620328429</v>
      </c>
      <c r="I497" s="746">
        <v>1</v>
      </c>
      <c r="J497" s="716" t="s">
        <v>46</v>
      </c>
      <c r="K497" s="716"/>
      <c r="L497" s="716" t="s">
        <v>14395</v>
      </c>
      <c r="M497" s="716" t="s">
        <v>25</v>
      </c>
      <c r="N497" s="716">
        <f>IFERROR(VLOOKUP(C497,[3]List1!$A:$D,4,FALSE),"N/A!")</f>
        <v>2.8262499999999999E-2</v>
      </c>
      <c r="O497" s="716">
        <f>IFERROR(VLOOKUP(C497,[3]List1!$A:$D,3,FALSE),"N/A!")</f>
        <v>980</v>
      </c>
      <c r="P497" s="716">
        <f>IFERROR(VLOOKUP(C497,[3]List1!$A:$D,2,FALSE),"N/A!")</f>
        <v>8000</v>
      </c>
      <c r="Q497" s="716" t="s">
        <v>14172</v>
      </c>
      <c r="R497" s="716" t="s">
        <v>24</v>
      </c>
      <c r="S497" s="716" t="str">
        <f>IF($W$17=$AF$1,"červená fólie",IFERROR(VLOOKUP("červená fólie",Jazyky_ceník!$A:$Q,MATCH($W$17,Jazyky_ceník!$A$1:$Q$1,0),FALSE),"!!!"))</f>
        <v>červená fólie</v>
      </c>
      <c r="T497" s="716">
        <v>100</v>
      </c>
      <c r="U497" s="716">
        <v>25</v>
      </c>
      <c r="V497" s="716">
        <v>13</v>
      </c>
      <c r="W497" s="716" t="str">
        <f>IFERROR(VLOOKUP('General price list'!$C497,Popisy!A:P,MATCH($W$17,Popisy!$A$7:$P$7,0),FALSE),"---------------")</f>
        <v>18 různobarevných efektů</v>
      </c>
      <c r="X497" s="716" t="str">
        <f t="shared" si="1138"/>
        <v/>
      </c>
      <c r="Y497" s="716" t="str">
        <f t="shared" si="1139"/>
        <v/>
      </c>
      <c r="Z497" s="716" t="str">
        <f>HYPERLINK("https://www.klasekpyrotechnics.cz/c13220b-c14")</f>
        <v>https://www.klasekpyrotechnics.cz/c13220b-c14</v>
      </c>
      <c r="AA497" s="716">
        <f>IFERROR(IF(VLOOKUP(C497,[4]List1!$A:$D,4,FALSE)=0,"",VLOOKUP(C497,[4]List1!$A:$D,4,FALSE)),"")</f>
        <v>40</v>
      </c>
      <c r="AB497" s="720"/>
      <c r="AC497" s="747" t="str">
        <f>IFERROR(IF(VLOOKUP(C497,[1]List1!$A:$D,2,FALSE)="VYPRODÁNO",$V$9,IF(VLOOKUP(C497,[1]List1!$A:$D,2,FALSE)="DOCHÁZÍ",$V$3,VLOOKUP(C497,[1]List1!$A:$D,2,FALSE))),"OFFLINE!")</f>
        <v>SKLADEM</v>
      </c>
      <c r="AD497" s="748" t="str">
        <f ca="1">IF(AP497="NE",$V$10,IF(AC497=$V$3,IF(AQ497&lt;1,$V$8,$V$2&amp;" "&amp;AQ497&amp;" "&amp;$V$1),IF(AC497="SKLADEM",$V$6,IFERROR(IF(OR(AC497-TODAY()&gt;45,VLOOKUP(C497,[1]List1!$A:$E,4,FALSE)=0),AC497,DAY(AC497)&amp;"."&amp;MONTH(AC497)&amp;"."&amp;YEAR(AC497)&amp;" "&amp;$V$4&amp;VLOOKUP(C497,[1]List1!$A:$E,4,FALSE)&amp;" "&amp;$V$1),AC497))))</f>
        <v>SKLADEM</v>
      </c>
      <c r="AE497" s="716" t="str">
        <f t="shared" ca="1" si="1140"/>
        <v>SKLADEM</v>
      </c>
      <c r="AF497" s="723">
        <f t="shared" si="1141"/>
        <v>0</v>
      </c>
      <c r="AG497" s="723">
        <f t="shared" si="1142"/>
        <v>0</v>
      </c>
      <c r="AH497" s="724">
        <f t="shared" si="1143"/>
        <v>0</v>
      </c>
      <c r="AI497" s="716">
        <f t="shared" si="1144"/>
        <v>0</v>
      </c>
      <c r="AJ497" s="716">
        <f t="shared" si="1145"/>
        <v>0</v>
      </c>
      <c r="AK497" s="716" t="str">
        <f t="shared" si="1146"/>
        <v/>
      </c>
      <c r="AL497" s="716" t="str">
        <f t="shared" si="1147"/>
        <v/>
      </c>
      <c r="AM497" s="716">
        <f t="shared" si="1148"/>
        <v>0</v>
      </c>
      <c r="AN497" s="716">
        <f t="shared" si="1149"/>
        <v>0</v>
      </c>
      <c r="AO497" s="380"/>
      <c r="AP497" s="322" t="str">
        <f t="shared" si="1030"/>
        <v/>
      </c>
      <c r="AQ497" s="323" t="str">
        <f>IF(AC497=$V$3,IF(VLOOKUP(C497,[1]List1!$A:$E,5,FALSE)=0,1,VLOOKUP(C497,[1]List1!$A:$E,5,FALSE)),"")</f>
        <v/>
      </c>
      <c r="AR497" s="304" t="str">
        <f t="shared" si="1031"/>
        <v/>
      </c>
      <c r="AS497" s="423" t="str">
        <f t="shared" si="1032"/>
        <v/>
      </c>
      <c r="AT497" s="304" t="str">
        <f t="shared" si="1033"/>
        <v/>
      </c>
      <c r="AU497" s="342" t="e">
        <f t="shared" si="1034"/>
        <v>#N/A</v>
      </c>
      <c r="AV497" s="304" t="e">
        <f t="shared" si="1035"/>
        <v>#N/A</v>
      </c>
      <c r="AX497" s="304">
        <f>IF(AND('General price list'!$J497="F4",'General price list'!$AB497+0&gt;0),1,0)</f>
        <v>0</v>
      </c>
      <c r="AY497" s="304">
        <f t="shared" si="1036"/>
        <v>1</v>
      </c>
      <c r="AZ497" s="304">
        <f t="shared" si="1037"/>
        <v>0</v>
      </c>
    </row>
    <row r="498" spans="1:52" ht="15" customHeight="1">
      <c r="A498" s="725" t="str">
        <f>Kat.!C495</f>
        <v/>
      </c>
      <c r="B498" s="749">
        <f>IF(AND('General price list'!$J498="F4",$AI$1=FALSE),0,IF(AC498="SKLADEM",1,IF(AC498=$V$3,1,0)))</f>
        <v>1</v>
      </c>
      <c r="C498" s="727" t="s">
        <v>5184</v>
      </c>
      <c r="D498" s="728" t="s">
        <v>5185</v>
      </c>
      <c r="E498" s="729" t="s">
        <v>136</v>
      </c>
      <c r="F498" s="725">
        <f>IFERROR(ROUND(IF($AL$3=2,VLOOKUP(C498,[2]List1!$A:$D,2,FALSE)*1.08,VLOOKUP(C498,[2]List1!$A:$D,2,FALSE)),0),"NEUVEDENO!")</f>
        <v>1896</v>
      </c>
      <c r="G498" s="730">
        <f t="shared" si="1136"/>
        <v>1896</v>
      </c>
      <c r="H498" s="731">
        <f t="shared" si="1137"/>
        <v>77.045296620328429</v>
      </c>
      <c r="I498" s="750">
        <v>1</v>
      </c>
      <c r="J498" s="729" t="s">
        <v>46</v>
      </c>
      <c r="K498" s="729"/>
      <c r="L498" s="729"/>
      <c r="M498" s="729" t="s">
        <v>25</v>
      </c>
      <c r="N498" s="729">
        <f>IFERROR(VLOOKUP(C498,[3]List1!$A:$D,4,FALSE),"N/A!")</f>
        <v>2.8262499999999999E-2</v>
      </c>
      <c r="O498" s="729">
        <f>IFERROR(VLOOKUP(C498,[3]List1!$A:$D,3,FALSE),"N/A!")</f>
        <v>980</v>
      </c>
      <c r="P498" s="729">
        <f>IFERROR(VLOOKUP(C498,[3]List1!$A:$D,2,FALSE),"N/A!")</f>
        <v>8000</v>
      </c>
      <c r="Q498" s="729" t="s">
        <v>14172</v>
      </c>
      <c r="R498" s="729" t="s">
        <v>24</v>
      </c>
      <c r="S498" s="729" t="str">
        <f>IF($W$17=$AF$1,"červená fólie",IFERROR(VLOOKUP("červená fólie",Jazyky_ceník!$A:$Q,MATCH($W$17,Jazyky_ceník!$A$1:$Q$1,0),FALSE),"!!!"))</f>
        <v>červená fólie</v>
      </c>
      <c r="T498" s="729">
        <v>60</v>
      </c>
      <c r="U498" s="729">
        <v>25</v>
      </c>
      <c r="V498" s="729">
        <v>13</v>
      </c>
      <c r="W498" s="729" t="str">
        <f>IFERROR(VLOOKUP('General price list'!$C498,Popisy!A:P,MATCH($W$17,Popisy!$A$7:$P$7,0),FALSE),"---------------")</f>
        <v>18 různobarevných efektů</v>
      </c>
      <c r="X498" s="729" t="str">
        <f t="shared" si="1138"/>
        <v/>
      </c>
      <c r="Y498" s="729" t="str">
        <f t="shared" si="1139"/>
        <v/>
      </c>
      <c r="Z498" s="729" t="str">
        <f>HYPERLINK("https://www.klasekpyrotechnics.cz/c13220ts-c14")</f>
        <v>https://www.klasekpyrotechnics.cz/c13220ts-c14</v>
      </c>
      <c r="AA498" s="729">
        <f>IFERROR(IF(VLOOKUP(C498,[4]List1!$A:$D,4,FALSE)=0,"",VLOOKUP(C498,[4]List1!$A:$D,4,FALSE)),"")</f>
        <v>40</v>
      </c>
      <c r="AB498" s="720"/>
      <c r="AC498" s="751" t="str">
        <f>IFERROR(IF(VLOOKUP(C498,[1]List1!$A:$D,2,FALSE)="VYPRODÁNO",$V$9,IF(VLOOKUP(C498,[1]List1!$A:$D,2,FALSE)="DOCHÁZÍ",$V$3,VLOOKUP(C498,[1]List1!$A:$D,2,FALSE))),"OFFLINE!")</f>
        <v>SKLADEM</v>
      </c>
      <c r="AD498" s="752" t="str">
        <f ca="1">IF(AP498="NE",$V$10,IF(AC498=$V$3,IF(AQ498&lt;1,$V$8,$V$2&amp;" "&amp;AQ498&amp;" "&amp;$V$1),IF(AC498="SKLADEM",$V$6,IFERROR(IF(OR(AC498-TODAY()&gt;45,VLOOKUP(C498,[1]List1!$A:$E,4,FALSE)=0),AC498,DAY(AC498)&amp;"."&amp;MONTH(AC498)&amp;"."&amp;YEAR(AC498)&amp;" "&amp;$V$4&amp;VLOOKUP(C498,[1]List1!$A:$E,4,FALSE)&amp;" "&amp;$V$1),AC498))))</f>
        <v>SKLADEM</v>
      </c>
      <c r="AE498" s="729" t="str">
        <f t="shared" ca="1" si="1140"/>
        <v>SKLADEM</v>
      </c>
      <c r="AF498" s="735">
        <f t="shared" si="1141"/>
        <v>0</v>
      </c>
      <c r="AG498" s="735">
        <f t="shared" si="1142"/>
        <v>0</v>
      </c>
      <c r="AH498" s="736">
        <f t="shared" si="1143"/>
        <v>0</v>
      </c>
      <c r="AI498" s="729">
        <f t="shared" si="1144"/>
        <v>0</v>
      </c>
      <c r="AJ498" s="729">
        <f t="shared" si="1145"/>
        <v>0</v>
      </c>
      <c r="AK498" s="729" t="str">
        <f t="shared" si="1146"/>
        <v/>
      </c>
      <c r="AL498" s="729" t="str">
        <f t="shared" si="1147"/>
        <v/>
      </c>
      <c r="AM498" s="729">
        <f t="shared" si="1148"/>
        <v>0</v>
      </c>
      <c r="AN498" s="729">
        <f t="shared" si="1149"/>
        <v>0</v>
      </c>
      <c r="AO498" s="380"/>
      <c r="AP498" s="322" t="str">
        <f t="shared" si="1030"/>
        <v/>
      </c>
      <c r="AQ498" s="323" t="str">
        <f>IF(AC498=$V$3,IF(VLOOKUP(C498,[1]List1!$A:$E,5,FALSE)=0,1,VLOOKUP(C498,[1]List1!$A:$E,5,FALSE)),"")</f>
        <v/>
      </c>
      <c r="AR498" s="304" t="str">
        <f t="shared" si="1031"/>
        <v/>
      </c>
      <c r="AS498" s="423" t="str">
        <f t="shared" si="1032"/>
        <v/>
      </c>
      <c r="AT498" s="304" t="str">
        <f t="shared" si="1033"/>
        <v/>
      </c>
      <c r="AU498" s="342" t="e">
        <f t="shared" si="1034"/>
        <v>#N/A</v>
      </c>
      <c r="AV498" s="304" t="e">
        <f t="shared" si="1035"/>
        <v>#N/A</v>
      </c>
      <c r="AX498" s="304">
        <f>IF(AND('General price list'!$J498="F4",'General price list'!$AB498+0&gt;0),1,0)</f>
        <v>0</v>
      </c>
      <c r="AY498" s="304">
        <f t="shared" si="1036"/>
        <v>1</v>
      </c>
      <c r="AZ498" s="304">
        <f t="shared" si="1037"/>
        <v>0</v>
      </c>
    </row>
    <row r="499" spans="1:52" ht="15" customHeight="1">
      <c r="A499" s="712" t="str">
        <f>Kat.!C496</f>
        <v/>
      </c>
      <c r="B499" s="745">
        <f>IF(AND('General price list'!$J499="F4",$AI$1=FALSE),0,IF(AC499="SKLADEM",1,IF(AC499=$V$3,1,0)))</f>
        <v>1</v>
      </c>
      <c r="C499" s="714" t="s">
        <v>2539</v>
      </c>
      <c r="D499" s="715" t="s">
        <v>14585</v>
      </c>
      <c r="E499" s="716" t="s">
        <v>136</v>
      </c>
      <c r="F499" s="712">
        <f>IFERROR(ROUND(IF($AL$3=2,VLOOKUP(C499,[2]List1!$A:$D,2,FALSE)*1.08,VLOOKUP(C499,[2]List1!$A:$D,2,FALSE)),0),"NEUVEDENO!")</f>
        <v>2095</v>
      </c>
      <c r="G499" s="717">
        <f t="shared" si="1136"/>
        <v>2095</v>
      </c>
      <c r="H499" s="718">
        <f t="shared" si="1137"/>
        <v>85.13180190906543</v>
      </c>
      <c r="I499" s="746">
        <v>1</v>
      </c>
      <c r="J499" s="716" t="s">
        <v>46</v>
      </c>
      <c r="K499" s="716" t="s">
        <v>12734</v>
      </c>
      <c r="L499" s="716" t="s">
        <v>14395</v>
      </c>
      <c r="M499" s="716" t="s">
        <v>25</v>
      </c>
      <c r="N499" s="716">
        <f>IFERROR(VLOOKUP(C499,[3]List1!$A:$D,4,FALSE),"N/A!")</f>
        <v>2.5042500000000002E-2</v>
      </c>
      <c r="O499" s="716">
        <f>IFERROR(VLOOKUP(C499,[3]List1!$A:$D,3,FALSE),"N/A!")</f>
        <v>1000</v>
      </c>
      <c r="P499" s="716">
        <f>IFERROR(VLOOKUP(C499,[3]List1!$A:$D,2,FALSE),"N/A!")</f>
        <v>10000</v>
      </c>
      <c r="Q499" s="716" t="s">
        <v>14173</v>
      </c>
      <c r="R499" s="716" t="s">
        <v>24</v>
      </c>
      <c r="S499" s="716" t="str">
        <f>IF($W$17=$AF$1,"červená fólie",IFERROR(VLOOKUP("červená fólie",Jazyky_ceník!$A:$Q,MATCH($W$17,Jazyky_ceník!$A$1:$Q$1,0),FALSE),"!!!"))</f>
        <v>červená fólie</v>
      </c>
      <c r="T499" s="716">
        <v>100</v>
      </c>
      <c r="U499" s="716">
        <v>25</v>
      </c>
      <c r="V499" s="716">
        <v>13</v>
      </c>
      <c r="W499" s="716" t="str">
        <f>IFERROR(VLOOKUP('General price list'!$C499,Popisy!A:P,MATCH($W$17,Popisy!$A$7:$P$7,0),FALSE),"---------------")</f>
        <v>20 různobarevných efektů</v>
      </c>
      <c r="X499" s="716" t="str">
        <f t="shared" si="1138"/>
        <v/>
      </c>
      <c r="Y499" s="716" t="str">
        <f t="shared" si="1139"/>
        <v/>
      </c>
      <c r="Z499" s="716" t="str">
        <f>HYPERLINK("https://www.klasekpyrotechnics.cz/c20020xpr-c14")</f>
        <v>https://www.klasekpyrotechnics.cz/c20020xpr-c14</v>
      </c>
      <c r="AA499" s="716" t="str">
        <f>IFERROR(IF(VLOOKUP(C499,[4]List1!$A:$D,4,FALSE)=0,"",VLOOKUP(C499,[4]List1!$A:$D,4,FALSE)),"")</f>
        <v>40</v>
      </c>
      <c r="AB499" s="720"/>
      <c r="AC499" s="747" t="str">
        <f>IFERROR(IF(VLOOKUP(C499,[1]List1!$A:$D,2,FALSE)="VYPRODÁNO",$V$9,IF(VLOOKUP(C499,[1]List1!$A:$D,2,FALSE)="DOCHÁZÍ",$V$3,VLOOKUP(C499,[1]List1!$A:$D,2,FALSE))),"OFFLINE!")</f>
        <v>SKLADEM</v>
      </c>
      <c r="AD499" s="748" t="str">
        <f ca="1">IF(AP499="NE",$V$10,IF(AC499=$V$3,IF(AQ499&lt;1,$V$8,$V$2&amp;" "&amp;AQ499&amp;" "&amp;$V$1),IF(AC499="SKLADEM",$V$6,IFERROR(IF(OR(AC499-TODAY()&gt;45,VLOOKUP(C499,[1]List1!$A:$E,4,FALSE)=0),AC499,DAY(AC499)&amp;"."&amp;MONTH(AC499)&amp;"."&amp;YEAR(AC499)&amp;" "&amp;$V$4&amp;VLOOKUP(C499,[1]List1!$A:$E,4,FALSE)&amp;" "&amp;$V$1),AC499))))</f>
        <v>SKLADEM</v>
      </c>
      <c r="AE499" s="716" t="str">
        <f t="shared" ca="1" si="1140"/>
        <v>SKLADEM</v>
      </c>
      <c r="AF499" s="723">
        <f t="shared" si="1141"/>
        <v>0</v>
      </c>
      <c r="AG499" s="723">
        <f t="shared" si="1142"/>
        <v>0</v>
      </c>
      <c r="AH499" s="724">
        <f t="shared" si="1143"/>
        <v>0</v>
      </c>
      <c r="AI499" s="716">
        <f t="shared" si="1144"/>
        <v>0</v>
      </c>
      <c r="AJ499" s="716">
        <f t="shared" si="1145"/>
        <v>0</v>
      </c>
      <c r="AK499" s="716" t="str">
        <f t="shared" si="1146"/>
        <v/>
      </c>
      <c r="AL499" s="716" t="str">
        <f t="shared" si="1147"/>
        <v/>
      </c>
      <c r="AM499" s="716">
        <f t="shared" si="1148"/>
        <v>0</v>
      </c>
      <c r="AN499" s="716">
        <f t="shared" si="1149"/>
        <v>0</v>
      </c>
      <c r="AO499" s="380"/>
      <c r="AP499" s="322" t="str">
        <f t="shared" si="1030"/>
        <v/>
      </c>
      <c r="AQ499" s="323" t="str">
        <f>IF(AC499=$V$3,IF(VLOOKUP(C499,[1]List1!$A:$E,5,FALSE)=0,1,VLOOKUP(C499,[1]List1!$A:$E,5,FALSE)),"")</f>
        <v/>
      </c>
      <c r="AR499" s="304" t="str">
        <f t="shared" si="1031"/>
        <v/>
      </c>
      <c r="AS499" s="423" t="str">
        <f t="shared" si="1032"/>
        <v/>
      </c>
      <c r="AT499" s="304" t="str">
        <f t="shared" si="1033"/>
        <v/>
      </c>
      <c r="AU499" s="342" t="e">
        <f t="shared" si="1034"/>
        <v>#N/A</v>
      </c>
      <c r="AV499" s="304" t="e">
        <f t="shared" si="1035"/>
        <v>#N/A</v>
      </c>
      <c r="AX499" s="304">
        <f>IF(AND('General price list'!$J499="F4",'General price list'!$AB499+0&gt;0),1,0)</f>
        <v>0</v>
      </c>
      <c r="AY499" s="304">
        <f t="shared" si="1036"/>
        <v>1</v>
      </c>
      <c r="AZ499" s="304">
        <f t="shared" si="1037"/>
        <v>0</v>
      </c>
    </row>
    <row r="500" spans="1:52" ht="15" customHeight="1">
      <c r="A500" s="725" t="str">
        <f>Kat.!C497</f>
        <v/>
      </c>
      <c r="B500" s="749">
        <f>IF(AND('General price list'!$J500="F4",$AI$1=FALSE),0,IF(AC500="SKLADEM",1,IF(AC500=$V$3,1,0)))</f>
        <v>1</v>
      </c>
      <c r="C500" s="727" t="s">
        <v>5186</v>
      </c>
      <c r="D500" s="728" t="s">
        <v>5187</v>
      </c>
      <c r="E500" s="729" t="s">
        <v>136</v>
      </c>
      <c r="F500" s="725">
        <f>IFERROR(ROUND(IF($AL$3=2,VLOOKUP(C500,[2]List1!$A:$D,2,FALSE)*1.08,VLOOKUP(C500,[2]List1!$A:$D,2,FALSE)),0),"NEUVEDENO!")</f>
        <v>2095</v>
      </c>
      <c r="G500" s="730">
        <f t="shared" si="1136"/>
        <v>2095</v>
      </c>
      <c r="H500" s="731">
        <f t="shared" si="1137"/>
        <v>85.13180190906543</v>
      </c>
      <c r="I500" s="750">
        <v>1</v>
      </c>
      <c r="J500" s="729" t="s">
        <v>46</v>
      </c>
      <c r="K500" s="729" t="s">
        <v>12734</v>
      </c>
      <c r="L500" s="729" t="s">
        <v>14395</v>
      </c>
      <c r="M500" s="729" t="s">
        <v>25</v>
      </c>
      <c r="N500" s="729">
        <f>IFERROR(VLOOKUP(C500,[3]List1!$A:$D,4,FALSE),"N/A!")</f>
        <v>2.5042500000000002E-2</v>
      </c>
      <c r="O500" s="729">
        <f>IFERROR(VLOOKUP(C500,[3]List1!$A:$D,3,FALSE),"N/A!")</f>
        <v>1000</v>
      </c>
      <c r="P500" s="729">
        <f>IFERROR(VLOOKUP(C500,[3]List1!$A:$D,2,FALSE),"N/A!")</f>
        <v>10000</v>
      </c>
      <c r="Q500" s="729" t="s">
        <v>14173</v>
      </c>
      <c r="R500" s="729" t="s">
        <v>24</v>
      </c>
      <c r="S500" s="729" t="str">
        <f>IF($W$17=$AF$1,"červená fólie",IFERROR(VLOOKUP("červená fólie",Jazyky_ceník!$A:$Q,MATCH($W$17,Jazyky_ceník!$A$1:$Q$1,0),FALSE),"!!!"))</f>
        <v>červená fólie</v>
      </c>
      <c r="T500" s="729">
        <v>80</v>
      </c>
      <c r="U500" s="729">
        <v>25</v>
      </c>
      <c r="V500" s="729">
        <v>13</v>
      </c>
      <c r="W500" s="729" t="str">
        <f>IFERROR(VLOOKUP('General price list'!$C500,Popisy!A:P,MATCH($W$17,Popisy!$A$7:$P$7,0),FALSE),"---------------")</f>
        <v>20 různobarevných efektů</v>
      </c>
      <c r="X500" s="729" t="str">
        <f t="shared" si="1138"/>
        <v/>
      </c>
      <c r="Y500" s="729" t="str">
        <f t="shared" si="1139"/>
        <v/>
      </c>
      <c r="Z500" s="729" t="str">
        <f>HYPERLINK("https://www.klasekpyrotechnics.cz/c20020xts-c14")</f>
        <v>https://www.klasekpyrotechnics.cz/c20020xts-c14</v>
      </c>
      <c r="AA500" s="729" t="str">
        <f>IFERROR(IF(VLOOKUP(C500,[4]List1!$A:$D,4,FALSE)=0,"",VLOOKUP(C500,[4]List1!$A:$D,4,FALSE)),"")</f>
        <v>40</v>
      </c>
      <c r="AB500" s="720"/>
      <c r="AC500" s="751" t="str">
        <f>IFERROR(IF(VLOOKUP(C500,[1]List1!$A:$D,2,FALSE)="VYPRODÁNO",$V$9,IF(VLOOKUP(C500,[1]List1!$A:$D,2,FALSE)="DOCHÁZÍ",$V$3,VLOOKUP(C500,[1]List1!$A:$D,2,FALSE))),"OFFLINE!")</f>
        <v>SKLADEM</v>
      </c>
      <c r="AD500" s="752" t="str">
        <f ca="1">IF(AP500="NE",$V$10,IF(AC500=$V$3,IF(AQ500&lt;1,$V$8,$V$2&amp;" "&amp;AQ500&amp;" "&amp;$V$1),IF(AC500="SKLADEM",$V$6,IFERROR(IF(OR(AC500-TODAY()&gt;45,VLOOKUP(C500,[1]List1!$A:$E,4,FALSE)=0),AC500,DAY(AC500)&amp;"."&amp;MONTH(AC500)&amp;"."&amp;YEAR(AC500)&amp;" "&amp;$V$4&amp;VLOOKUP(C500,[1]List1!$A:$E,4,FALSE)&amp;" "&amp;$V$1),AC500))))</f>
        <v>SKLADEM</v>
      </c>
      <c r="AE500" s="729" t="str">
        <f t="shared" ca="1" si="1140"/>
        <v>SKLADEM</v>
      </c>
      <c r="AF500" s="735">
        <f t="shared" si="1141"/>
        <v>0</v>
      </c>
      <c r="AG500" s="735">
        <f t="shared" si="1142"/>
        <v>0</v>
      </c>
      <c r="AH500" s="736">
        <f t="shared" si="1143"/>
        <v>0</v>
      </c>
      <c r="AI500" s="729">
        <f t="shared" si="1144"/>
        <v>0</v>
      </c>
      <c r="AJ500" s="729">
        <f t="shared" si="1145"/>
        <v>0</v>
      </c>
      <c r="AK500" s="729" t="str">
        <f t="shared" si="1146"/>
        <v/>
      </c>
      <c r="AL500" s="729" t="str">
        <f t="shared" si="1147"/>
        <v/>
      </c>
      <c r="AM500" s="729">
        <f t="shared" si="1148"/>
        <v>0</v>
      </c>
      <c r="AN500" s="729">
        <f t="shared" si="1149"/>
        <v>0</v>
      </c>
      <c r="AO500" s="380"/>
      <c r="AP500" s="322" t="str">
        <f t="shared" si="1030"/>
        <v/>
      </c>
      <c r="AQ500" s="323" t="str">
        <f>IF(AC500=$V$3,IF(VLOOKUP(C500,[1]List1!$A:$E,5,FALSE)=0,1,VLOOKUP(C500,[1]List1!$A:$E,5,FALSE)),"")</f>
        <v/>
      </c>
      <c r="AR500" s="304" t="str">
        <f t="shared" si="1031"/>
        <v/>
      </c>
      <c r="AS500" s="423" t="str">
        <f t="shared" si="1032"/>
        <v/>
      </c>
      <c r="AT500" s="304" t="str">
        <f t="shared" si="1033"/>
        <v/>
      </c>
      <c r="AU500" s="342" t="e">
        <f t="shared" si="1034"/>
        <v>#N/A</v>
      </c>
      <c r="AV500" s="304" t="e">
        <f t="shared" si="1035"/>
        <v>#N/A</v>
      </c>
      <c r="AX500" s="304">
        <f>IF(AND('General price list'!$J500="F4",'General price list'!$AB500+0&gt;0),1,0)</f>
        <v>0</v>
      </c>
      <c r="AY500" s="304">
        <f t="shared" si="1036"/>
        <v>1</v>
      </c>
      <c r="AZ500" s="304">
        <f t="shared" si="1037"/>
        <v>0</v>
      </c>
    </row>
    <row r="501" spans="1:52" ht="15" customHeight="1">
      <c r="A501" s="712" t="str">
        <f>Kat.!C498</f>
        <v/>
      </c>
      <c r="B501" s="745">
        <f>IF(AND('General price list'!$J501="F4",$AI$1=FALSE),0,IF(AC501="SKLADEM",1,IF(AC501=$V$3,1,0)))</f>
        <v>1</v>
      </c>
      <c r="C501" s="714" t="s">
        <v>1245</v>
      </c>
      <c r="D501" s="715" t="s">
        <v>1380</v>
      </c>
      <c r="E501" s="716" t="s">
        <v>136</v>
      </c>
      <c r="F501" s="712">
        <f>IFERROR(ROUND(IF($AL$3=2,VLOOKUP(C501,[2]List1!$A:$D,2,FALSE)*1.08,VLOOKUP(C501,[2]List1!$A:$D,2,FALSE)),0),"NEUVEDENO!")</f>
        <v>1912</v>
      </c>
      <c r="G501" s="717">
        <f t="shared" si="1136"/>
        <v>1912</v>
      </c>
      <c r="H501" s="718">
        <f t="shared" si="1137"/>
        <v>77.695467899824862</v>
      </c>
      <c r="I501" s="746">
        <v>1</v>
      </c>
      <c r="J501" s="716" t="s">
        <v>46</v>
      </c>
      <c r="K501" s="716"/>
      <c r="L501" s="716" t="s">
        <v>14369</v>
      </c>
      <c r="M501" s="716" t="s">
        <v>25</v>
      </c>
      <c r="N501" s="716">
        <f>IFERROR(VLOOKUP(C501,[3]List1!$A:$D,4,FALSE),"N/A!")</f>
        <v>1.8269999999999998E-2</v>
      </c>
      <c r="O501" s="716">
        <f>IFERROR(VLOOKUP(C501,[3]List1!$A:$D,3,FALSE),"N/A!")</f>
        <v>1494</v>
      </c>
      <c r="P501" s="716">
        <f>IFERROR(VLOOKUP(C501,[3]List1!$A:$D,2,FALSE),"N/A!")</f>
        <v>9580</v>
      </c>
      <c r="Q501" s="716" t="s">
        <v>14133</v>
      </c>
      <c r="R501" s="716" t="s">
        <v>24</v>
      </c>
      <c r="S501" s="716" t="str">
        <f>IF($W$17=$AF$1,"červená fólie",IFERROR(VLOOKUP("červená fólie",Jazyky_ceník!$A:$Q,MATCH($W$17,Jazyky_ceník!$A$1:$Q$1,0),FALSE),"!!!"))</f>
        <v>červená fólie</v>
      </c>
      <c r="T501" s="716">
        <v>150</v>
      </c>
      <c r="U501" s="716">
        <v>25</v>
      </c>
      <c r="V501" s="716">
        <v>13</v>
      </c>
      <c r="W501" s="716" t="str">
        <f>IFERROR(VLOOKUP('General price list'!$C501,Popisy!A:P,MATCH($W$17,Popisy!$A$7:$P$7,0),FALSE),"---------------")</f>
        <v>24 různobarevných efektů</v>
      </c>
      <c r="X501" s="716" t="str">
        <f t="shared" si="1138"/>
        <v/>
      </c>
      <c r="Y501" s="716" t="str">
        <f t="shared" si="1139"/>
        <v/>
      </c>
      <c r="Z501" s="716" t="str">
        <f>HYPERLINK("https://www.klasekpyrotechnics.cz/c19220f-c14")</f>
        <v>https://www.klasekpyrotechnics.cz/c19220f-c14</v>
      </c>
      <c r="AA501" s="716">
        <f>IFERROR(IF(VLOOKUP(C501,[4]List1!$A:$D,4,FALSE)=0,"",VLOOKUP(C501,[4]List1!$A:$D,4,FALSE)),"")</f>
        <v>66</v>
      </c>
      <c r="AB501" s="720"/>
      <c r="AC501" s="747" t="str">
        <f>IFERROR(IF(VLOOKUP(C501,[1]List1!$A:$D,2,FALSE)="VYPRODÁNO",$V$9,IF(VLOOKUP(C501,[1]List1!$A:$D,2,FALSE)="DOCHÁZÍ",$V$3,VLOOKUP(C501,[1]List1!$A:$D,2,FALSE))),"OFFLINE!")</f>
        <v>SKLADEM</v>
      </c>
      <c r="AD501" s="748" t="str">
        <f ca="1">IF(AP501="NE",$V$10,IF(AC501=$V$3,IF(AQ501&lt;1,$V$8,$V$2&amp;" "&amp;AQ501&amp;" "&amp;$V$1),IF(AC501="SKLADEM",$V$6,IFERROR(IF(OR(AC501-TODAY()&gt;45,VLOOKUP(C501,[1]List1!$A:$E,4,FALSE)=0),AC501,DAY(AC501)&amp;"."&amp;MONTH(AC501)&amp;"."&amp;YEAR(AC501)&amp;" "&amp;$V$4&amp;VLOOKUP(C501,[1]List1!$A:$E,4,FALSE)&amp;" "&amp;$V$1),AC501))))</f>
        <v>SKLADEM</v>
      </c>
      <c r="AE501" s="716" t="str">
        <f t="shared" ca="1" si="1140"/>
        <v>SKLADEM</v>
      </c>
      <c r="AF501" s="723">
        <f t="shared" si="1141"/>
        <v>0</v>
      </c>
      <c r="AG501" s="723">
        <f t="shared" si="1142"/>
        <v>0</v>
      </c>
      <c r="AH501" s="724">
        <f t="shared" si="1143"/>
        <v>0</v>
      </c>
      <c r="AI501" s="716">
        <f t="shared" si="1144"/>
        <v>0</v>
      </c>
      <c r="AJ501" s="716">
        <f t="shared" si="1145"/>
        <v>0</v>
      </c>
      <c r="AK501" s="716" t="str">
        <f t="shared" si="1146"/>
        <v/>
      </c>
      <c r="AL501" s="716" t="str">
        <f t="shared" si="1147"/>
        <v/>
      </c>
      <c r="AM501" s="716">
        <f t="shared" si="1148"/>
        <v>0</v>
      </c>
      <c r="AN501" s="716">
        <f t="shared" si="1149"/>
        <v>0</v>
      </c>
      <c r="AO501" s="380"/>
      <c r="AP501" s="322" t="str">
        <f t="shared" si="1030"/>
        <v/>
      </c>
      <c r="AQ501" s="323" t="str">
        <f>IF(AC501=$V$3,IF(VLOOKUP(C501,[1]List1!$A:$E,5,FALSE)=0,1,VLOOKUP(C501,[1]List1!$A:$E,5,FALSE)),"")</f>
        <v/>
      </c>
      <c r="AR501" s="304" t="str">
        <f t="shared" si="1031"/>
        <v/>
      </c>
      <c r="AS501" s="423" t="str">
        <f t="shared" si="1032"/>
        <v/>
      </c>
      <c r="AT501" s="304" t="str">
        <f t="shared" si="1033"/>
        <v/>
      </c>
      <c r="AU501" s="342" t="e">
        <f t="shared" si="1034"/>
        <v>#N/A</v>
      </c>
      <c r="AV501" s="304" t="e">
        <f t="shared" si="1035"/>
        <v>#N/A</v>
      </c>
      <c r="AX501" s="304">
        <f>IF(AND('General price list'!$J501="F4",'General price list'!$AB501+0&gt;0),1,0)</f>
        <v>0</v>
      </c>
      <c r="AY501" s="304">
        <f t="shared" si="1036"/>
        <v>1</v>
      </c>
      <c r="AZ501" s="304">
        <f t="shared" si="1037"/>
        <v>0</v>
      </c>
    </row>
    <row r="502" spans="1:52" ht="15" customHeight="1">
      <c r="A502" s="725" t="str">
        <f>Kat.!C499</f>
        <v/>
      </c>
      <c r="B502" s="749">
        <f>IF(AND('General price list'!$J502="F4",$AI$1=FALSE),0,IF(AC502="SKLADEM",1,IF(AC502=$V$3,1,0)))</f>
        <v>1</v>
      </c>
      <c r="C502" s="727" t="s">
        <v>2540</v>
      </c>
      <c r="D502" s="728" t="s">
        <v>12373</v>
      </c>
      <c r="E502" s="729" t="s">
        <v>136</v>
      </c>
      <c r="F502" s="725">
        <f>IFERROR(ROUND(IF($AL$3=2,VLOOKUP(C502,[2]List1!$A:$D,2,FALSE)*1.08,VLOOKUP(C502,[2]List1!$A:$D,2,FALSE)),0),"NEUVEDENO!")</f>
        <v>3336</v>
      </c>
      <c r="G502" s="730">
        <f t="shared" si="1136"/>
        <v>3336</v>
      </c>
      <c r="H502" s="731">
        <f t="shared" si="1137"/>
        <v>135.56071177500823</v>
      </c>
      <c r="I502" s="750">
        <v>1</v>
      </c>
      <c r="J502" s="729" t="s">
        <v>46</v>
      </c>
      <c r="K502" s="729"/>
      <c r="L502" s="729" t="s">
        <v>14395</v>
      </c>
      <c r="M502" s="729" t="s">
        <v>25</v>
      </c>
      <c r="N502" s="729">
        <f>IFERROR(VLOOKUP(C502,[3]List1!$A:$D,4,FALSE),"N/A!")</f>
        <v>3.2933250000000004E-2</v>
      </c>
      <c r="O502" s="729">
        <f>IFERROR(VLOOKUP(C502,[3]List1!$A:$D,3,FALSE),"N/A!")</f>
        <v>1994</v>
      </c>
      <c r="P502" s="729">
        <f>IFERROR(VLOOKUP(C502,[3]List1!$A:$D,2,FALSE),"N/A!")</f>
        <v>12700</v>
      </c>
      <c r="Q502" s="729" t="s">
        <v>14174</v>
      </c>
      <c r="R502" s="729" t="s">
        <v>24</v>
      </c>
      <c r="S502" s="729" t="str">
        <f>IF($W$17=$AF$1,"červená fólie",IFERROR(VLOOKUP("červená fólie",Jazyky_ceník!$A:$Q,MATCH($W$17,Jazyky_ceník!$A$1:$Q$1,0),FALSE),"!!!"))</f>
        <v>červená fólie</v>
      </c>
      <c r="T502" s="729">
        <v>120</v>
      </c>
      <c r="U502" s="729">
        <v>25</v>
      </c>
      <c r="V502" s="729">
        <v>13</v>
      </c>
      <c r="W502" s="729" t="str">
        <f>IFERROR(VLOOKUP('General price list'!$C502,Popisy!A:P,MATCH($W$17,Popisy!$A$7:$P$7,0),FALSE),"---------------")</f>
        <v>24 různobarevných efektů</v>
      </c>
      <c r="X502" s="729" t="str">
        <f t="shared" si="1138"/>
        <v/>
      </c>
      <c r="Y502" s="729" t="str">
        <f t="shared" si="1139"/>
        <v/>
      </c>
      <c r="Z502" s="729" t="str">
        <f>HYPERLINK("https://www.klasekpyrotechnics.cz/c25220xfs-c14")</f>
        <v>https://www.klasekpyrotechnics.cz/c25220xfs-c14</v>
      </c>
      <c r="AA502" s="729" t="str">
        <f>IFERROR(IF(VLOOKUP(C502,[4]List1!$A:$D,4,FALSE)=0,"",VLOOKUP(C502,[4]List1!$A:$D,4,FALSE)),"")</f>
        <v>40</v>
      </c>
      <c r="AB502" s="720"/>
      <c r="AC502" s="751" t="str">
        <f>IFERROR(IF(VLOOKUP(C502,[1]List1!$A:$D,2,FALSE)="VYPRODÁNO",$V$9,IF(VLOOKUP(C502,[1]List1!$A:$D,2,FALSE)="DOCHÁZÍ",$V$3,VLOOKUP(C502,[1]List1!$A:$D,2,FALSE))),"OFFLINE!")</f>
        <v>SKLADEM</v>
      </c>
      <c r="AD502" s="752" t="str">
        <f ca="1">IF(AP502="NE",$V$10,IF(AC502=$V$3,IF(AQ502&lt;1,$V$8,$V$2&amp;" "&amp;AQ502&amp;" "&amp;$V$1),IF(AC502="SKLADEM",$V$6,IFERROR(IF(OR(AC502-TODAY()&gt;45,VLOOKUP(C502,[1]List1!$A:$E,4,FALSE)=0),AC502,DAY(AC502)&amp;"."&amp;MONTH(AC502)&amp;"."&amp;YEAR(AC502)&amp;" "&amp;$V$4&amp;VLOOKUP(C502,[1]List1!$A:$E,4,FALSE)&amp;" "&amp;$V$1),AC502))))</f>
        <v>SKLADEM</v>
      </c>
      <c r="AE502" s="729" t="str">
        <f t="shared" ca="1" si="1140"/>
        <v>SKLADEM</v>
      </c>
      <c r="AF502" s="735">
        <f t="shared" si="1141"/>
        <v>0</v>
      </c>
      <c r="AG502" s="735">
        <f t="shared" si="1142"/>
        <v>0</v>
      </c>
      <c r="AH502" s="736">
        <f t="shared" si="1143"/>
        <v>0</v>
      </c>
      <c r="AI502" s="729">
        <f t="shared" si="1144"/>
        <v>0</v>
      </c>
      <c r="AJ502" s="729">
        <f t="shared" si="1145"/>
        <v>0</v>
      </c>
      <c r="AK502" s="729" t="str">
        <f t="shared" si="1146"/>
        <v/>
      </c>
      <c r="AL502" s="729" t="str">
        <f t="shared" si="1147"/>
        <v/>
      </c>
      <c r="AM502" s="729">
        <f t="shared" si="1148"/>
        <v>0</v>
      </c>
      <c r="AN502" s="729">
        <f t="shared" si="1149"/>
        <v>0</v>
      </c>
      <c r="AO502" s="380"/>
      <c r="AP502" s="322" t="str">
        <f t="shared" si="1030"/>
        <v/>
      </c>
      <c r="AQ502" s="323" t="str">
        <f>IF(AC502=$V$3,IF(VLOOKUP(C502,[1]List1!$A:$E,5,FALSE)=0,1,VLOOKUP(C502,[1]List1!$A:$E,5,FALSE)),"")</f>
        <v/>
      </c>
      <c r="AR502" s="304" t="str">
        <f t="shared" si="1031"/>
        <v/>
      </c>
      <c r="AS502" s="423" t="str">
        <f t="shared" si="1032"/>
        <v/>
      </c>
      <c r="AT502" s="304" t="str">
        <f t="shared" si="1033"/>
        <v/>
      </c>
      <c r="AU502" s="342" t="e">
        <f t="shared" si="1034"/>
        <v>#N/A</v>
      </c>
      <c r="AV502" s="304" t="e">
        <f t="shared" si="1035"/>
        <v>#N/A</v>
      </c>
      <c r="AX502" s="304">
        <f>IF(AND('General price list'!$J502="F4",'General price list'!$AB502+0&gt;0),1,0)</f>
        <v>0</v>
      </c>
      <c r="AY502" s="304">
        <f t="shared" si="1036"/>
        <v>1</v>
      </c>
      <c r="AZ502" s="304">
        <f t="shared" si="1037"/>
        <v>0</v>
      </c>
    </row>
    <row r="503" spans="1:52" ht="15" customHeight="1">
      <c r="A503" s="712" t="str">
        <f>Kat.!C500</f>
        <v/>
      </c>
      <c r="B503" s="745">
        <f>IF(AND('General price list'!$J503="F4",$AI$1=FALSE),0,IF(AC503="SKLADEM",1,IF(AC503=$V$3,1,0)))</f>
        <v>1</v>
      </c>
      <c r="C503" s="714" t="s">
        <v>1250</v>
      </c>
      <c r="D503" s="715" t="s">
        <v>1251</v>
      </c>
      <c r="E503" s="716" t="s">
        <v>136</v>
      </c>
      <c r="F503" s="712">
        <f>IFERROR(ROUND(IF($AL$3=2,VLOOKUP(C503,[2]List1!$A:$D,2,FALSE)*1.08,VLOOKUP(C503,[2]List1!$A:$D,2,FALSE)),0),"NEUVEDENO!")</f>
        <v>2631</v>
      </c>
      <c r="G503" s="717">
        <f t="shared" si="1136"/>
        <v>2631</v>
      </c>
      <c r="H503" s="718">
        <f t="shared" si="1137"/>
        <v>106.91253977219624</v>
      </c>
      <c r="I503" s="746">
        <v>1</v>
      </c>
      <c r="J503" s="716" t="s">
        <v>46</v>
      </c>
      <c r="K503" s="716"/>
      <c r="L503" s="716" t="s">
        <v>14369</v>
      </c>
      <c r="M503" s="716" t="s">
        <v>25</v>
      </c>
      <c r="N503" s="716">
        <f>IFERROR(VLOOKUP(C503,[3]List1!$A:$D,4,FALSE),"N/A!")</f>
        <v>2.4696000000000003E-2</v>
      </c>
      <c r="O503" s="716">
        <f>IFERROR(VLOOKUP(C503,[3]List1!$A:$D,3,FALSE),"N/A!")</f>
        <v>1992</v>
      </c>
      <c r="P503" s="716">
        <f>IFERROR(VLOOKUP(C503,[3]List1!$A:$D,2,FALSE),"N/A!")</f>
        <v>12000</v>
      </c>
      <c r="Q503" s="716" t="s">
        <v>14175</v>
      </c>
      <c r="R503" s="716" t="s">
        <v>24</v>
      </c>
      <c r="S503" s="716" t="str">
        <f>IF($W$17=$AF$1,"červená fólie",IFERROR(VLOOKUP("červená fólie",Jazyky_ceník!$A:$Q,MATCH($W$17,Jazyky_ceník!$A$1:$Q$1,0),FALSE),"!!!"))</f>
        <v>červená fólie</v>
      </c>
      <c r="T503" s="716">
        <v>180</v>
      </c>
      <c r="U503" s="716">
        <v>25</v>
      </c>
      <c r="V503" s="716">
        <v>13</v>
      </c>
      <c r="W503" s="716" t="str">
        <f>IFERROR(VLOOKUP('General price list'!$C503,Popisy!A:P,MATCH($W$17,Popisy!$A$7:$P$7,0),FALSE),"---------------")</f>
        <v>32 různobarevných efektů</v>
      </c>
      <c r="X503" s="716" t="str">
        <f t="shared" si="1138"/>
        <v/>
      </c>
      <c r="Y503" s="716" t="str">
        <f t="shared" si="1139"/>
        <v/>
      </c>
      <c r="Z503" s="716" t="str">
        <f>HYPERLINK("https://www.klasekpyrotechnics.cz/c25620f-c14")</f>
        <v>https://www.klasekpyrotechnics.cz/c25620f-c14</v>
      </c>
      <c r="AA503" s="716">
        <f>IFERROR(IF(VLOOKUP(C503,[4]List1!$A:$D,4,FALSE)=0,"",VLOOKUP(C503,[4]List1!$A:$D,4,FALSE)),"")</f>
        <v>66</v>
      </c>
      <c r="AB503" s="720"/>
      <c r="AC503" s="747" t="str">
        <f>IFERROR(IF(VLOOKUP(C503,[1]List1!$A:$D,2,FALSE)="VYPRODÁNO",$V$9,IF(VLOOKUP(C503,[1]List1!$A:$D,2,FALSE)="DOCHÁZÍ",$V$3,VLOOKUP(C503,[1]List1!$A:$D,2,FALSE))),"OFFLINE!")</f>
        <v>SKLADEM</v>
      </c>
      <c r="AD503" s="748" t="str">
        <f ca="1">IF(AP503="NE",$V$10,IF(AC503=$V$3,IF(AQ503&lt;1,$V$8,$V$2&amp;" "&amp;AQ503&amp;" "&amp;$V$1),IF(AC503="SKLADEM",$V$6,IFERROR(IF(OR(AC503-TODAY()&gt;45,VLOOKUP(C503,[1]List1!$A:$E,4,FALSE)=0),AC503,DAY(AC503)&amp;"."&amp;MONTH(AC503)&amp;"."&amp;YEAR(AC503)&amp;" "&amp;$V$4&amp;VLOOKUP(C503,[1]List1!$A:$E,4,FALSE)&amp;" "&amp;$V$1),AC503))))</f>
        <v>SKLADEM</v>
      </c>
      <c r="AE503" s="716" t="str">
        <f t="shared" ca="1" si="1140"/>
        <v>SKLADEM</v>
      </c>
      <c r="AF503" s="723">
        <f t="shared" si="1141"/>
        <v>0</v>
      </c>
      <c r="AG503" s="723">
        <f t="shared" si="1142"/>
        <v>0</v>
      </c>
      <c r="AH503" s="724">
        <f t="shared" si="1143"/>
        <v>0</v>
      </c>
      <c r="AI503" s="716">
        <f t="shared" si="1144"/>
        <v>0</v>
      </c>
      <c r="AJ503" s="716">
        <f t="shared" si="1145"/>
        <v>0</v>
      </c>
      <c r="AK503" s="716" t="str">
        <f t="shared" si="1146"/>
        <v/>
      </c>
      <c r="AL503" s="716" t="str">
        <f t="shared" si="1147"/>
        <v/>
      </c>
      <c r="AM503" s="716">
        <f t="shared" si="1148"/>
        <v>0</v>
      </c>
      <c r="AN503" s="716">
        <f t="shared" si="1149"/>
        <v>0</v>
      </c>
      <c r="AO503" s="380"/>
      <c r="AP503" s="322" t="str">
        <f t="shared" si="1030"/>
        <v/>
      </c>
      <c r="AQ503" s="323" t="str">
        <f>IF(AC503=$V$3,IF(VLOOKUP(C503,[1]List1!$A:$E,5,FALSE)=0,1,VLOOKUP(C503,[1]List1!$A:$E,5,FALSE)),"")</f>
        <v/>
      </c>
      <c r="AR503" s="304" t="str">
        <f t="shared" si="1031"/>
        <v/>
      </c>
      <c r="AS503" s="423" t="str">
        <f t="shared" si="1032"/>
        <v/>
      </c>
      <c r="AT503" s="304" t="str">
        <f t="shared" si="1033"/>
        <v/>
      </c>
      <c r="AU503" s="342" t="e">
        <f t="shared" si="1034"/>
        <v>#N/A</v>
      </c>
      <c r="AV503" s="304" t="e">
        <f t="shared" si="1035"/>
        <v>#N/A</v>
      </c>
      <c r="AX503" s="304">
        <f>IF(AND('General price list'!$J503="F4",'General price list'!$AB503+0&gt;0),1,0)</f>
        <v>0</v>
      </c>
      <c r="AY503" s="304">
        <f t="shared" si="1036"/>
        <v>1</v>
      </c>
      <c r="AZ503" s="304">
        <f t="shared" si="1037"/>
        <v>0</v>
      </c>
    </row>
    <row r="504" spans="1:52" ht="15" customHeight="1">
      <c r="A504" s="725" t="str">
        <f>Kat.!C501</f>
        <v/>
      </c>
      <c r="B504" s="749">
        <f>IF(AND('General price list'!$J504="F4",$AI$1=FALSE),0,IF(AC504="SKLADEM",1,IF(AC504=$V$3,1,0)))</f>
        <v>1</v>
      </c>
      <c r="C504" s="727" t="s">
        <v>1255</v>
      </c>
      <c r="D504" s="728" t="s">
        <v>1256</v>
      </c>
      <c r="E504" s="729" t="s">
        <v>136</v>
      </c>
      <c r="F504" s="725">
        <f>IFERROR(ROUND(IF($AL$3=2,VLOOKUP(C504,[2]List1!$A:$D,2,FALSE)*1.08,VLOOKUP(C504,[2]List1!$A:$D,2,FALSE)),0),"NEUVEDENO!")</f>
        <v>3554</v>
      </c>
      <c r="G504" s="730">
        <f t="shared" si="1136"/>
        <v>3554</v>
      </c>
      <c r="H504" s="731">
        <f t="shared" si="1137"/>
        <v>144.41929545814727</v>
      </c>
      <c r="I504" s="750">
        <v>1</v>
      </c>
      <c r="J504" s="729" t="s">
        <v>46</v>
      </c>
      <c r="K504" s="729"/>
      <c r="L504" s="729" t="s">
        <v>14395</v>
      </c>
      <c r="M504" s="729" t="s">
        <v>25</v>
      </c>
      <c r="N504" s="729">
        <f>IFERROR(VLOOKUP(C504,[3]List1!$A:$D,4,FALSE),"N/A!")</f>
        <v>5.5107499999999997E-2</v>
      </c>
      <c r="O504" s="729">
        <f>IFERROR(VLOOKUP(C504,[3]List1!$A:$D,3,FALSE),"N/A!")</f>
        <v>1960</v>
      </c>
      <c r="P504" s="729">
        <f>IFERROR(VLOOKUP(C504,[3]List1!$A:$D,2,FALSE),"N/A!")</f>
        <v>15000</v>
      </c>
      <c r="Q504" s="729" t="s">
        <v>14176</v>
      </c>
      <c r="R504" s="729" t="s">
        <v>24</v>
      </c>
      <c r="S504" s="729" t="str">
        <f>IF($W$17=$AF$1,"červená fólie",IFERROR(VLOOKUP("červená fólie",Jazyky_ceník!$A:$Q,MATCH($W$17,Jazyky_ceník!$A$1:$Q$1,0),FALSE),"!!!"))</f>
        <v>červená fólie</v>
      </c>
      <c r="T504" s="729">
        <v>180</v>
      </c>
      <c r="U504" s="729">
        <v>25</v>
      </c>
      <c r="V504" s="729">
        <v>13</v>
      </c>
      <c r="W504" s="729" t="str">
        <f>IFERROR(VLOOKUP('General price list'!$C504,Popisy!A:P,MATCH($W$17,Popisy!$A$7:$P$7,0),FALSE),"---------------")</f>
        <v>18 různobarevných efektů</v>
      </c>
      <c r="X504" s="729" t="str">
        <f t="shared" si="1138"/>
        <v/>
      </c>
      <c r="Y504" s="729" t="str">
        <f t="shared" si="1139"/>
        <v/>
      </c>
      <c r="Z504" s="729" t="str">
        <f>HYPERLINK("https://www.klasekpyrotechnics.cz/c26420n-c14")</f>
        <v>https://www.klasekpyrotechnics.cz/c26420n-c14</v>
      </c>
      <c r="AA504" s="729">
        <f>IFERROR(IF(VLOOKUP(C504,[4]List1!$A:$D,4,FALSE)=0,"",VLOOKUP(C504,[4]List1!$A:$D,4,FALSE)),"")</f>
        <v>18</v>
      </c>
      <c r="AB504" s="720"/>
      <c r="AC504" s="751" t="str">
        <f>IFERROR(IF(VLOOKUP(C504,[1]List1!$A:$D,2,FALSE)="VYPRODÁNO",$V$9,IF(VLOOKUP(C504,[1]List1!$A:$D,2,FALSE)="DOCHÁZÍ",$V$3,VLOOKUP(C504,[1]List1!$A:$D,2,FALSE))),"OFFLINE!")</f>
        <v>SKLADEM</v>
      </c>
      <c r="AD504" s="752" t="str">
        <f ca="1">IF(AP504="NE",$V$10,IF(AC504=$V$3,IF(AQ504&lt;1,$V$8,$V$2&amp;" "&amp;AQ504&amp;" "&amp;$V$1),IF(AC504="SKLADEM",$V$6,IFERROR(IF(OR(AC504-TODAY()&gt;45,VLOOKUP(C504,[1]List1!$A:$E,4,FALSE)=0),AC504,DAY(AC504)&amp;"."&amp;MONTH(AC504)&amp;"."&amp;YEAR(AC504)&amp;" "&amp;$V$4&amp;VLOOKUP(C504,[1]List1!$A:$E,4,FALSE)&amp;" "&amp;$V$1),AC504))))</f>
        <v>SKLADEM</v>
      </c>
      <c r="AE504" s="729" t="str">
        <f t="shared" ca="1" si="1140"/>
        <v>SKLADEM</v>
      </c>
      <c r="AF504" s="735">
        <f t="shared" si="1141"/>
        <v>0</v>
      </c>
      <c r="AG504" s="735">
        <f t="shared" si="1142"/>
        <v>0</v>
      </c>
      <c r="AH504" s="736">
        <f t="shared" si="1143"/>
        <v>0</v>
      </c>
      <c r="AI504" s="729">
        <f t="shared" si="1144"/>
        <v>0</v>
      </c>
      <c r="AJ504" s="729">
        <f t="shared" si="1145"/>
        <v>0</v>
      </c>
      <c r="AK504" s="729" t="str">
        <f t="shared" si="1146"/>
        <v/>
      </c>
      <c r="AL504" s="729" t="str">
        <f t="shared" si="1147"/>
        <v/>
      </c>
      <c r="AM504" s="729">
        <f t="shared" si="1148"/>
        <v>0</v>
      </c>
      <c r="AN504" s="729">
        <f t="shared" si="1149"/>
        <v>0</v>
      </c>
      <c r="AO504" s="380"/>
      <c r="AP504" s="322" t="str">
        <f t="shared" si="1030"/>
        <v/>
      </c>
      <c r="AQ504" s="323" t="str">
        <f>IF(AC504=$V$3,IF(VLOOKUP(C504,[1]List1!$A:$E,5,FALSE)=0,1,VLOOKUP(C504,[1]List1!$A:$E,5,FALSE)),"")</f>
        <v/>
      </c>
      <c r="AR504" s="304" t="str">
        <f t="shared" si="1031"/>
        <v/>
      </c>
      <c r="AS504" s="423" t="str">
        <f t="shared" si="1032"/>
        <v/>
      </c>
      <c r="AT504" s="304" t="str">
        <f t="shared" si="1033"/>
        <v/>
      </c>
      <c r="AU504" s="342" t="e">
        <f t="shared" si="1034"/>
        <v>#N/A</v>
      </c>
      <c r="AV504" s="304" t="e">
        <f t="shared" si="1035"/>
        <v>#N/A</v>
      </c>
      <c r="AX504" s="304">
        <f>IF(AND('General price list'!$J504="F4",'General price list'!$AB504+0&gt;0),1,0)</f>
        <v>0</v>
      </c>
      <c r="AY504" s="304">
        <f t="shared" si="1036"/>
        <v>1</v>
      </c>
      <c r="AZ504" s="304">
        <f t="shared" si="1037"/>
        <v>0</v>
      </c>
    </row>
    <row r="505" spans="1:52" ht="15" customHeight="1">
      <c r="A505" s="712" t="str">
        <f>Kat.!C502</f>
        <v/>
      </c>
      <c r="B505" s="745">
        <f>IF(AND('General price list'!$J505="F4",$AI$1=FALSE),0,IF(AC505="SKLADEM",1,IF(AC505=$V$3,1,0)))</f>
        <v>0</v>
      </c>
      <c r="C505" s="714" t="s">
        <v>2542</v>
      </c>
      <c r="D505" s="715" t="s">
        <v>14587</v>
      </c>
      <c r="E505" s="716" t="s">
        <v>136</v>
      </c>
      <c r="F505" s="712">
        <f>IFERROR(ROUND(IF($AL$3=2,VLOOKUP(C505,[2]List1!$A:$D,2,FALSE)*1.08,VLOOKUP(C505,[2]List1!$A:$D,2,FALSE)),0),"NEUVEDENO!")</f>
        <v>4476</v>
      </c>
      <c r="G505" s="717">
        <f t="shared" si="1136"/>
        <v>4476</v>
      </c>
      <c r="H505" s="718">
        <f t="shared" si="1137"/>
        <v>181.88541543912976</v>
      </c>
      <c r="I505" s="746">
        <v>1</v>
      </c>
      <c r="J505" s="716" t="s">
        <v>46</v>
      </c>
      <c r="K505" s="716"/>
      <c r="L505" s="716" t="s">
        <v>14395</v>
      </c>
      <c r="M505" s="716" t="s">
        <v>25</v>
      </c>
      <c r="N505" s="716">
        <f>IFERROR(VLOOKUP(C505,[3]List1!$A:$D,4,FALSE),"N/A!")</f>
        <v>5.0675999999999999E-2</v>
      </c>
      <c r="O505" s="716">
        <f>IFERROR(VLOOKUP(C505,[3]List1!$A:$D,3,FALSE),"N/A!")</f>
        <v>2000</v>
      </c>
      <c r="P505" s="716">
        <f>IFERROR(VLOOKUP(C505,[3]List1!$A:$D,2,FALSE),"N/A!")</f>
        <v>18000</v>
      </c>
      <c r="Q505" s="716" t="s">
        <v>14331</v>
      </c>
      <c r="R505" s="716" t="s">
        <v>24</v>
      </c>
      <c r="S505" s="716" t="str">
        <f>IF($W$17=$AF$1,"červená fólie",IFERROR(VLOOKUP("červená fólie",Jazyky_ceník!$A:$Q,MATCH($W$17,Jazyky_ceník!$A$1:$Q$1,0),FALSE),"!!!"))</f>
        <v>červená fólie</v>
      </c>
      <c r="T505" s="716">
        <v>200</v>
      </c>
      <c r="U505" s="716">
        <v>25</v>
      </c>
      <c r="V505" s="716">
        <v>13</v>
      </c>
      <c r="W505" s="716" t="str">
        <f>IFERROR(VLOOKUP('General price list'!$C505,Popisy!A:P,MATCH($W$17,Popisy!$A$7:$P$7,0),FALSE),"---------------")</f>
        <v>40 různobarevných efektů</v>
      </c>
      <c r="X505" s="716" t="str">
        <f t="shared" si="1138"/>
        <v/>
      </c>
      <c r="Y505" s="716" t="str">
        <f t="shared" si="1139"/>
        <v/>
      </c>
      <c r="Z505" s="716" t="str">
        <f>HYPERLINK("https://www.klasekpyrotechnics.cz/c40020xpr-c14")</f>
        <v>https://www.klasekpyrotechnics.cz/c40020xpr-c14</v>
      </c>
      <c r="AA505" s="716" t="str">
        <f>IFERROR(IF(VLOOKUP(C505,[4]List1!$A:$D,4,FALSE)=0,"",VLOOKUP(C505,[4]List1!$A:$D,4,FALSE)),"")</f>
        <v>20</v>
      </c>
      <c r="AB505" s="720"/>
      <c r="AC505" s="747" t="str">
        <f>IFERROR(IF(VLOOKUP(C505,[1]List1!$A:$D,2,FALSE)="VYPRODÁNO",$V$9,IF(VLOOKUP(C505,[1]List1!$A:$D,2,FALSE)="DOCHÁZÍ",$V$3,VLOOKUP(C505,[1]List1!$A:$D,2,FALSE))),"OFFLINE!")</f>
        <v>15.06.2024</v>
      </c>
      <c r="AD505" s="748" t="str">
        <f ca="1">IF(AP505="NE",$V$10,IF(AC505=$V$3,IF(AQ505&lt;1,$V$8,$V$2&amp;" "&amp;AQ505&amp;" "&amp;$V$1),IF(AC505="SKLADEM",$V$6,IFERROR(IF(OR(AC505-TODAY()&gt;45,VLOOKUP(C505,[1]List1!$A:$E,4,FALSE)=0),AC505,DAY(AC505)&amp;"."&amp;MONTH(AC505)&amp;"."&amp;YEAR(AC505)&amp;" "&amp;$V$4&amp;VLOOKUP(C505,[1]List1!$A:$E,4,FALSE)&amp;" "&amp;$V$1),AC505))))</f>
        <v>15.06.2024</v>
      </c>
      <c r="AE505" s="716" t="str">
        <f t="shared" ca="1" si="1140"/>
        <v>15.06.2024</v>
      </c>
      <c r="AF505" s="723">
        <f t="shared" si="1141"/>
        <v>0</v>
      </c>
      <c r="AG505" s="723">
        <f t="shared" si="1142"/>
        <v>0</v>
      </c>
      <c r="AH505" s="724">
        <f t="shared" si="1143"/>
        <v>0</v>
      </c>
      <c r="AI505" s="716">
        <f t="shared" si="1144"/>
        <v>0</v>
      </c>
      <c r="AJ505" s="716">
        <f t="shared" si="1145"/>
        <v>0</v>
      </c>
      <c r="AK505" s="716" t="str">
        <f t="shared" si="1146"/>
        <v/>
      </c>
      <c r="AL505" s="716" t="str">
        <f t="shared" si="1147"/>
        <v/>
      </c>
      <c r="AM505" s="716">
        <f t="shared" si="1148"/>
        <v>0</v>
      </c>
      <c r="AN505" s="716">
        <f t="shared" si="1149"/>
        <v>0</v>
      </c>
      <c r="AO505" s="380"/>
      <c r="AP505" s="322" t="str">
        <f t="shared" si="1030"/>
        <v/>
      </c>
      <c r="AQ505" s="323" t="str">
        <f>IF(AC505=$V$3,IF(VLOOKUP(C505,[1]List1!$A:$E,5,FALSE)=0,1,VLOOKUP(C505,[1]List1!$A:$E,5,FALSE)),"")</f>
        <v/>
      </c>
      <c r="AR505" s="304" t="str">
        <f t="shared" si="1031"/>
        <v/>
      </c>
      <c r="AS505" s="423" t="str">
        <f t="shared" si="1032"/>
        <v/>
      </c>
      <c r="AT505" s="304" t="str">
        <f t="shared" si="1033"/>
        <v/>
      </c>
      <c r="AU505" s="342" t="e">
        <f t="shared" si="1034"/>
        <v>#N/A</v>
      </c>
      <c r="AV505" s="304" t="e">
        <f t="shared" si="1035"/>
        <v>#N/A</v>
      </c>
      <c r="AX505" s="304">
        <f>IF(AND('General price list'!$J505="F4",'General price list'!$AB505+0&gt;0),1,0)</f>
        <v>0</v>
      </c>
      <c r="AY505" s="304">
        <f t="shared" si="1036"/>
        <v>1</v>
      </c>
      <c r="AZ505" s="304">
        <f t="shared" si="1037"/>
        <v>0</v>
      </c>
    </row>
    <row r="506" spans="1:52" ht="15" customHeight="1">
      <c r="A506" s="773" t="str">
        <f>Kat.!C503</f>
        <v xml:space="preserve">                                                               Složený ohňostroj 20mm(s ochraným obalem) - F2 - 1.4G</v>
      </c>
      <c r="B506" s="774"/>
      <c r="C506" s="774"/>
      <c r="D506" s="774"/>
      <c r="E506" s="774"/>
      <c r="F506" s="774"/>
      <c r="G506" s="774"/>
      <c r="H506" s="774"/>
      <c r="I506" s="774"/>
      <c r="J506" s="774"/>
      <c r="K506" s="774"/>
      <c r="L506" s="774"/>
      <c r="M506" s="774"/>
      <c r="N506" s="774"/>
      <c r="O506" s="774"/>
      <c r="P506" s="774"/>
      <c r="Q506" s="774"/>
      <c r="R506" s="774"/>
      <c r="S506" s="774"/>
      <c r="T506" s="774"/>
      <c r="U506" s="774"/>
      <c r="V506" s="774"/>
      <c r="W506" s="774"/>
      <c r="X506" s="774"/>
      <c r="Y506" s="774"/>
      <c r="Z506" s="774"/>
      <c r="AA506" s="774" t="str">
        <f>IFERROR(IF(VLOOKUP(C506,[4]List1!$A:$D,4,FALSE)=0,"",VLOOKUP(C506,[4]List1!$A:$D,4,FALSE)),"")</f>
        <v/>
      </c>
      <c r="AB506" s="774"/>
      <c r="AC506" s="775" t="str">
        <f>IFERROR(IF(VLOOKUP(C506,[1]List1!$A:$D,2,FALSE)="VYPRODÁNO",$V$9,IF(VLOOKUP(C506,[1]List1!$A:$D,2,FALSE)="DOCHÁZÍ",$V$3,VLOOKUP(C506,[1]List1!$A:$D,2,FALSE))),"OFFLINE!")</f>
        <v>OFFLINE!</v>
      </c>
      <c r="AD506" s="774"/>
      <c r="AE506" s="774"/>
      <c r="AF506" s="774"/>
      <c r="AG506" s="774"/>
      <c r="AH506" s="774"/>
      <c r="AI506" s="774"/>
      <c r="AJ506" s="774"/>
      <c r="AK506" s="774"/>
      <c r="AL506" s="774"/>
      <c r="AM506" s="774"/>
      <c r="AN506" s="774"/>
      <c r="AO506" s="380"/>
      <c r="AP506" s="322" t="str">
        <f t="shared" si="1030"/>
        <v/>
      </c>
      <c r="AQ506" s="323" t="str">
        <f>IF(AC506=$V$3,IF(VLOOKUP(C506,[1]List1!$A:$E,5,FALSE)=0,1,VLOOKUP(C506,[1]List1!$A:$E,5,FALSE)),"")</f>
        <v/>
      </c>
      <c r="AR506" s="304" t="str">
        <f t="shared" si="1031"/>
        <v/>
      </c>
      <c r="AS506" s="423" t="str">
        <f t="shared" si="1032"/>
        <v/>
      </c>
      <c r="AT506" s="304" t="str">
        <f t="shared" si="1033"/>
        <v/>
      </c>
      <c r="AU506" s="342" t="e">
        <f t="shared" si="1034"/>
        <v>#N/A</v>
      </c>
      <c r="AV506" s="304" t="e">
        <f t="shared" si="1035"/>
        <v>#N/A</v>
      </c>
      <c r="AX506" s="304">
        <f>IF(AND('General price list'!$J506="F4",'General price list'!$AB506+0&gt;0),1,0)</f>
        <v>0</v>
      </c>
      <c r="AY506" s="304">
        <f t="shared" si="1036"/>
        <v>0</v>
      </c>
      <c r="AZ506" s="304">
        <f t="shared" si="1037"/>
        <v>0</v>
      </c>
    </row>
    <row r="507" spans="1:52" ht="15" customHeight="1">
      <c r="A507" s="712" t="str">
        <f>Kat.!C504</f>
        <v/>
      </c>
      <c r="B507" s="713">
        <f>IF(AND('General price list'!$J507="F4",$AI$1=FALSE),0,IF(AC507="SKLADEM",1,IF(AC507=$V$3,1,0)))</f>
        <v>0</v>
      </c>
      <c r="C507" s="714" t="s">
        <v>2715</v>
      </c>
      <c r="D507" s="715" t="s">
        <v>14586</v>
      </c>
      <c r="E507" s="716" t="s">
        <v>136</v>
      </c>
      <c r="F507" s="712">
        <f>IFERROR(ROUND(IF($AL$3=2,VLOOKUP(C507,[2]List1!$A:$D,2,FALSE)*1.08,VLOOKUP(C507,[2]List1!$A:$D,2,FALSE)),0),"NEUVEDENO!")</f>
        <v>1532</v>
      </c>
      <c r="G507" s="717">
        <f t="shared" ref="G507:G516" si="1150">(F507)*$B$19</f>
        <v>1532</v>
      </c>
      <c r="H507" s="718">
        <f t="shared" ref="H507:H516" si="1151">G507/$F$19</f>
        <v>62.25390001178436</v>
      </c>
      <c r="I507" s="719">
        <v>1</v>
      </c>
      <c r="J507" s="716" t="s">
        <v>46</v>
      </c>
      <c r="K507" s="716">
        <v>6</v>
      </c>
      <c r="L507" s="716" t="s">
        <v>24</v>
      </c>
      <c r="M507" s="716" t="s">
        <v>25</v>
      </c>
      <c r="N507" s="716">
        <f>IFERROR(VLOOKUP(C507,[3]List1!$A:$D,4,FALSE),"N/A!")</f>
        <v>1.2937624999999998E-2</v>
      </c>
      <c r="O507" s="716">
        <f>IFERROR(VLOOKUP(C507,[3]List1!$A:$D,3,FALSE),"N/A!")</f>
        <v>996</v>
      </c>
      <c r="P507" s="716">
        <f>IFERROR(VLOOKUP(C507,[3]List1!$A:$D,2,FALSE),"N/A!")</f>
        <v>6350</v>
      </c>
      <c r="Q507" s="716" t="s">
        <v>14177</v>
      </c>
      <c r="R507" s="716" t="s">
        <v>24</v>
      </c>
      <c r="S507" s="716" t="str">
        <f>IF($W$17=$AF$1,"červená fólie",IFERROR(VLOOKUP("červená fólie",Jazyky_ceník!$A:$Q,MATCH($W$17,Jazyky_ceník!$A$1:$Q$1,0),FALSE),"!!!"))</f>
        <v>červená fólie</v>
      </c>
      <c r="T507" s="716">
        <v>100</v>
      </c>
      <c r="U507" s="716">
        <v>25</v>
      </c>
      <c r="V507" s="716">
        <v>13</v>
      </c>
      <c r="W507" s="716" t="str">
        <f>IFERROR(VLOOKUP('General price list'!$C507,Popisy!A:P,MATCH($W$17,Popisy!$A$7:$P$7,0),FALSE),"---------------")</f>
        <v>16 různobarevných efektů</v>
      </c>
      <c r="X507" s="716" t="str">
        <f t="shared" ref="X507:X516" si="1152">IF(AB507&lt;0.0001,"",AB507)</f>
        <v/>
      </c>
      <c r="Y507" s="716" t="str">
        <f t="shared" ref="Y507:Y516" si="1153">IF($AL$3=2,IF(OR(AB507&lt;&gt;"",AB507&lt;&gt;0),AU507,""),IF(C507="","",IF(AB507&lt;0.0001,"",IF(B507=0,"",IF(AQ507&lt;AB507,"",AB507)))))</f>
        <v/>
      </c>
      <c r="Z507" s="716" t="str">
        <f>HYPERLINK("https://www.klasekpyrotechnics.cz/c12820f-c14_t")</f>
        <v>https://www.klasekpyrotechnics.cz/c12820f-c14_t</v>
      </c>
      <c r="AA507" s="716">
        <f>IFERROR(IF(VLOOKUP(C507,[4]List1!$A:$D,4,FALSE)=0,"",VLOOKUP(C507,[4]List1!$A:$D,4,FALSE)),"")</f>
        <v>72</v>
      </c>
      <c r="AB507" s="720"/>
      <c r="AC507" s="721" t="str">
        <f>IFERROR(IF(VLOOKUP(C507,[1]List1!$A:$D,2,FALSE)="VYPRODÁNO",$V$9,IF(VLOOKUP(C507,[1]List1!$A:$D,2,FALSE)="DOCHÁZÍ",$V$3,VLOOKUP(C507,[1]List1!$A:$D,2,FALSE))),"OFFLINE!")</f>
        <v>30.04.2024</v>
      </c>
      <c r="AD507" s="722" t="str">
        <f ca="1">IF(AP507="NE",$V$10,IF(AC507=$V$3,IF(AQ507&lt;1,$V$8,$V$2&amp;" "&amp;AQ507&amp;" "&amp;$V$1),IF(AC507="SKLADEM",$V$6,IFERROR(IF(OR(AC507-TODAY()&gt;45,VLOOKUP(C507,[1]List1!$A:$E,4,FALSE)=0),AC507,DAY(AC507)&amp;"."&amp;MONTH(AC507)&amp;"."&amp;YEAR(AC507)&amp;" "&amp;$V$4&amp;VLOOKUP(C507,[1]List1!$A:$E,4,FALSE)&amp;" "&amp;$V$1),AC507))))</f>
        <v>30.04.2024</v>
      </c>
      <c r="AE507" s="716" t="str">
        <f t="shared" ref="AE507:AE516" ca="1" si="1154">IFERROR(IF(AV507&lt;&gt;"",AV507,AD507),AD507)</f>
        <v>30.04.2024</v>
      </c>
      <c r="AF507" s="723">
        <f t="shared" ref="AF507:AF516" si="1155">IFERROR(IF(AB507=Y507,G507*I507*Y507,0),0)</f>
        <v>0</v>
      </c>
      <c r="AG507" s="723">
        <f t="shared" ref="AG507:AG516" si="1156">IF($W$17=$AF$8,AH507*1.23,AF507*1.21)</f>
        <v>0</v>
      </c>
      <c r="AH507" s="724">
        <f t="shared" ref="AH507:AH516" si="1157">IFERROR(IF(Y507=AB507,H507*I507*Y507,0),0)</f>
        <v>0</v>
      </c>
      <c r="AI507" s="716">
        <f t="shared" ref="AI507:AI516" si="1158">IFERROR(IF(Y507=AB507,(P507*Y507)/1000,1),0)</f>
        <v>0</v>
      </c>
      <c r="AJ507" s="716">
        <f t="shared" ref="AJ507:AJ516" si="1159">IFERROR(IF(Y507=AB507,N507*Y507,0.1),0)</f>
        <v>0</v>
      </c>
      <c r="AK507" s="716" t="str">
        <f t="shared" ref="AK507:AK516" si="1160">IFERROR(IF(Y507=AB507,IF(M507="1.1G",(O507/1000)*Y507,""),""),0)</f>
        <v/>
      </c>
      <c r="AL507" s="716" t="str">
        <f t="shared" ref="AL507:AL516" si="1161">IFERROR(IF(Y507=AB507,IF(M507="1.3G",(O507/1000)*AB507,""),""),0)</f>
        <v/>
      </c>
      <c r="AM507" s="716">
        <f t="shared" ref="AM507:AM516" si="1162">IFERROR(IF(Y507=AB507,IF(M507="1.4G",(O507/1000)*AB507,""),""),0)</f>
        <v>0</v>
      </c>
      <c r="AN507" s="716">
        <f t="shared" ref="AN507:AN516" si="1163">SUM(AK507:AM507)</f>
        <v>0</v>
      </c>
      <c r="AO507" s="380"/>
      <c r="AP507" s="322" t="str">
        <f t="shared" si="1030"/>
        <v/>
      </c>
      <c r="AQ507" s="323" t="str">
        <f>IF(AC507=$V$3,IF(VLOOKUP(C507,[1]List1!$A:$E,5,FALSE)=0,1,VLOOKUP(C507,[1]List1!$A:$E,5,FALSE)),"")</f>
        <v/>
      </c>
      <c r="AR507" s="304" t="str">
        <f t="shared" si="1031"/>
        <v/>
      </c>
      <c r="AS507" s="423" t="str">
        <f t="shared" si="1032"/>
        <v/>
      </c>
      <c r="AT507" s="304" t="str">
        <f t="shared" si="1033"/>
        <v/>
      </c>
      <c r="AU507" s="342" t="e">
        <f t="shared" si="1034"/>
        <v>#N/A</v>
      </c>
      <c r="AV507" s="304" t="e">
        <f t="shared" si="1035"/>
        <v>#N/A</v>
      </c>
      <c r="AX507" s="304">
        <f>IF(AND('General price list'!$J507="F4",'General price list'!$AB507+0&gt;0),1,0)</f>
        <v>0</v>
      </c>
      <c r="AY507" s="304">
        <f t="shared" si="1036"/>
        <v>1</v>
      </c>
      <c r="AZ507" s="304">
        <f t="shared" si="1037"/>
        <v>0</v>
      </c>
    </row>
    <row r="508" spans="1:52" ht="15" customHeight="1">
      <c r="A508" s="725" t="str">
        <f>Kat.!C505</f>
        <v/>
      </c>
      <c r="B508" s="726">
        <f>IF(AND('General price list'!$J508="F4",$AI$1=FALSE),0,IF(AC508="SKLADEM",1,IF(AC508=$V$3,1,0)))</f>
        <v>1</v>
      </c>
      <c r="C508" s="727" t="s">
        <v>2716</v>
      </c>
      <c r="D508" s="728" t="s">
        <v>1243</v>
      </c>
      <c r="E508" s="729" t="s">
        <v>136</v>
      </c>
      <c r="F508" s="725">
        <f>IFERROR(ROUND(IF($AL$3=2,VLOOKUP(C508,[2]List1!$A:$D,2,FALSE)*1.08,VLOOKUP(C508,[2]List1!$A:$D,2,FALSE)),0),"NEUVEDENO!")</f>
        <v>2124</v>
      </c>
      <c r="G508" s="730">
        <f t="shared" si="1150"/>
        <v>2124</v>
      </c>
      <c r="H508" s="731">
        <f t="shared" si="1151"/>
        <v>86.310237353152729</v>
      </c>
      <c r="I508" s="732">
        <v>1</v>
      </c>
      <c r="J508" s="729" t="s">
        <v>46</v>
      </c>
      <c r="K508" s="729">
        <v>6</v>
      </c>
      <c r="L508" s="729" t="s">
        <v>24</v>
      </c>
      <c r="M508" s="729" t="s">
        <v>25</v>
      </c>
      <c r="N508" s="729">
        <f>IFERROR(VLOOKUP(C508,[3]List1!$A:$D,4,FALSE),"N/A!")</f>
        <v>2.8262499999999999E-2</v>
      </c>
      <c r="O508" s="729">
        <f>IFERROR(VLOOKUP(C508,[3]List1!$A:$D,3,FALSE),"N/A!")</f>
        <v>980</v>
      </c>
      <c r="P508" s="729">
        <f>IFERROR(VLOOKUP(C508,[3]List1!$A:$D,2,FALSE),"N/A!")</f>
        <v>8000</v>
      </c>
      <c r="Q508" s="729" t="s">
        <v>14178</v>
      </c>
      <c r="R508" s="729" t="s">
        <v>24</v>
      </c>
      <c r="S508" s="729" t="str">
        <f>IF($W$17=$AF$1,"červená fólie",IFERROR(VLOOKUP("červená fólie",Jazyky_ceník!$A:$Q,MATCH($W$17,Jazyky_ceník!$A$1:$Q$1,0),FALSE),"!!!"))</f>
        <v>červená fólie</v>
      </c>
      <c r="T508" s="729">
        <v>100</v>
      </c>
      <c r="U508" s="729">
        <v>25</v>
      </c>
      <c r="V508" s="729">
        <v>13</v>
      </c>
      <c r="W508" s="729" t="str">
        <f>IFERROR(VLOOKUP('General price list'!$C508,Popisy!A:P,MATCH($W$17,Popisy!$A$7:$P$7,0),FALSE),"---------------")</f>
        <v>18 různobarevných efektů</v>
      </c>
      <c r="X508" s="729" t="str">
        <f t="shared" si="1152"/>
        <v/>
      </c>
      <c r="Y508" s="729" t="str">
        <f t="shared" si="1153"/>
        <v/>
      </c>
      <c r="Z508" s="729" t="str">
        <f>HYPERLINK("https://www.klasekpyrotechnics.cz/c13220b-c14_t")</f>
        <v>https://www.klasekpyrotechnics.cz/c13220b-c14_t</v>
      </c>
      <c r="AA508" s="729">
        <f>IFERROR(IF(VLOOKUP(C508,[4]List1!$A:$D,4,FALSE)=0,"",VLOOKUP(C508,[4]List1!$A:$D,4,FALSE)),"")</f>
        <v>40</v>
      </c>
      <c r="AB508" s="720"/>
      <c r="AC508" s="733" t="str">
        <f>IFERROR(IF(VLOOKUP(C508,[1]List1!$A:$D,2,FALSE)="VYPRODÁNO",$V$9,IF(VLOOKUP(C508,[1]List1!$A:$D,2,FALSE)="DOCHÁZÍ",$V$3,VLOOKUP(C508,[1]List1!$A:$D,2,FALSE))),"OFFLINE!")</f>
        <v>SKLADEM</v>
      </c>
      <c r="AD508" s="734" t="str">
        <f ca="1">IF(AP508="NE",$V$10,IF(AC508=$V$3,IF(AQ508&lt;1,$V$8,$V$2&amp;" "&amp;AQ508&amp;" "&amp;$V$1),IF(AC508="SKLADEM",$V$6,IFERROR(IF(OR(AC508-TODAY()&gt;45,VLOOKUP(C508,[1]List1!$A:$E,4,FALSE)=0),AC508,DAY(AC508)&amp;"."&amp;MONTH(AC508)&amp;"."&amp;YEAR(AC508)&amp;" "&amp;$V$4&amp;VLOOKUP(C508,[1]List1!$A:$E,4,FALSE)&amp;" "&amp;$V$1),AC508))))</f>
        <v>SKLADEM</v>
      </c>
      <c r="AE508" s="729" t="str">
        <f t="shared" ca="1" si="1154"/>
        <v>SKLADEM</v>
      </c>
      <c r="AF508" s="735">
        <f t="shared" si="1155"/>
        <v>0</v>
      </c>
      <c r="AG508" s="735">
        <f t="shared" si="1156"/>
        <v>0</v>
      </c>
      <c r="AH508" s="736">
        <f t="shared" si="1157"/>
        <v>0</v>
      </c>
      <c r="AI508" s="729">
        <f t="shared" si="1158"/>
        <v>0</v>
      </c>
      <c r="AJ508" s="729">
        <f t="shared" si="1159"/>
        <v>0</v>
      </c>
      <c r="AK508" s="729" t="str">
        <f t="shared" si="1160"/>
        <v/>
      </c>
      <c r="AL508" s="729" t="str">
        <f t="shared" si="1161"/>
        <v/>
      </c>
      <c r="AM508" s="729">
        <f t="shared" si="1162"/>
        <v>0</v>
      </c>
      <c r="AN508" s="729">
        <f t="shared" si="1163"/>
        <v>0</v>
      </c>
      <c r="AO508" s="380"/>
      <c r="AP508" s="322" t="str">
        <f t="shared" si="1030"/>
        <v/>
      </c>
      <c r="AQ508" s="323" t="str">
        <f>IF(AC508=$V$3,IF(VLOOKUP(C508,[1]List1!$A:$E,5,FALSE)=0,1,VLOOKUP(C508,[1]List1!$A:$E,5,FALSE)),"")</f>
        <v/>
      </c>
      <c r="AR508" s="304" t="str">
        <f t="shared" si="1031"/>
        <v/>
      </c>
      <c r="AS508" s="423" t="str">
        <f t="shared" si="1032"/>
        <v/>
      </c>
      <c r="AT508" s="304" t="str">
        <f t="shared" si="1033"/>
        <v/>
      </c>
      <c r="AU508" s="342" t="e">
        <f t="shared" si="1034"/>
        <v>#N/A</v>
      </c>
      <c r="AV508" s="304" t="e">
        <f t="shared" si="1035"/>
        <v>#N/A</v>
      </c>
      <c r="AX508" s="304">
        <f>IF(AND('General price list'!$J508="F4",'General price list'!$AB508+0&gt;0),1,0)</f>
        <v>0</v>
      </c>
      <c r="AY508" s="304">
        <f t="shared" si="1036"/>
        <v>1</v>
      </c>
      <c r="AZ508" s="304">
        <f t="shared" si="1037"/>
        <v>0</v>
      </c>
    </row>
    <row r="509" spans="1:52" ht="15" customHeight="1">
      <c r="A509" s="712" t="str">
        <f>Kat.!C506</f>
        <v/>
      </c>
      <c r="B509" s="737">
        <f>IF(AND('General price list'!$J509="F4",$AI$1=FALSE),0,IF(AC509="SKLADEM",1,IF(AC509=$V$3,1,0)))</f>
        <v>1</v>
      </c>
      <c r="C509" s="714" t="s">
        <v>5204</v>
      </c>
      <c r="D509" s="715" t="s">
        <v>5185</v>
      </c>
      <c r="E509" s="716" t="s">
        <v>136</v>
      </c>
      <c r="F509" s="712">
        <f>IFERROR(ROUND(IF($AL$3=2,VLOOKUP(C509,[2]List1!$A:$D,2,FALSE)*1.08,VLOOKUP(C509,[2]List1!$A:$D,2,FALSE)),0),"NEUVEDENO!")</f>
        <v>2124</v>
      </c>
      <c r="G509" s="717">
        <f t="shared" si="1150"/>
        <v>2124</v>
      </c>
      <c r="H509" s="718">
        <f t="shared" si="1151"/>
        <v>86.310237353152729</v>
      </c>
      <c r="I509" s="738">
        <v>1</v>
      </c>
      <c r="J509" s="716" t="s">
        <v>46</v>
      </c>
      <c r="K509" s="716">
        <v>6</v>
      </c>
      <c r="L509" s="716" t="s">
        <v>24</v>
      </c>
      <c r="M509" s="716" t="s">
        <v>25</v>
      </c>
      <c r="N509" s="716">
        <f>IFERROR(VLOOKUP(C509,[3]List1!$A:$D,4,FALSE),"N/A!")</f>
        <v>2.8262499999999999E-2</v>
      </c>
      <c r="O509" s="716">
        <f>IFERROR(VLOOKUP(C509,[3]List1!$A:$D,3,FALSE),"N/A!")</f>
        <v>980</v>
      </c>
      <c r="P509" s="716">
        <f>IFERROR(VLOOKUP(C509,[3]List1!$A:$D,2,FALSE),"N/A!")</f>
        <v>8000</v>
      </c>
      <c r="Q509" s="716" t="s">
        <v>14172</v>
      </c>
      <c r="R509" s="716" t="s">
        <v>24</v>
      </c>
      <c r="S509" s="716" t="str">
        <f>IF($W$17=$AF$1,"červená fólie",IFERROR(VLOOKUP("červená fólie",Jazyky_ceník!$A:$Q,MATCH($W$17,Jazyky_ceník!$A$1:$Q$1,0),FALSE),"!!!"))</f>
        <v>červená fólie</v>
      </c>
      <c r="T509" s="716">
        <v>60</v>
      </c>
      <c r="U509" s="716">
        <v>25</v>
      </c>
      <c r="V509" s="716">
        <v>13</v>
      </c>
      <c r="W509" s="716" t="str">
        <f>IFERROR(VLOOKUP('General price list'!$C509,Popisy!A:P,MATCH($W$17,Popisy!$A$7:$P$7,0),FALSE),"---------------")</f>
        <v>18 různobarevných efektů</v>
      </c>
      <c r="X509" s="716" t="str">
        <f t="shared" si="1152"/>
        <v/>
      </c>
      <c r="Y509" s="716" t="str">
        <f t="shared" si="1153"/>
        <v/>
      </c>
      <c r="Z509" s="716" t="str">
        <f>HYPERLINK("https://www.klasekpyrotechnics.cz/c13220ts-c14_t")</f>
        <v>https://www.klasekpyrotechnics.cz/c13220ts-c14_t</v>
      </c>
      <c r="AA509" s="716">
        <f>IFERROR(IF(VLOOKUP(C509,[4]List1!$A:$D,4,FALSE)=0,"",VLOOKUP(C509,[4]List1!$A:$D,4,FALSE)),"")</f>
        <v>40</v>
      </c>
      <c r="AB509" s="720"/>
      <c r="AC509" s="739" t="str">
        <f>IFERROR(IF(VLOOKUP(C509,[1]List1!$A:$D,2,FALSE)="VYPRODÁNO",$V$9,IF(VLOOKUP(C509,[1]List1!$A:$D,2,FALSE)="DOCHÁZÍ",$V$3,VLOOKUP(C509,[1]List1!$A:$D,2,FALSE))),"OFFLINE!")</f>
        <v>SKLADEM</v>
      </c>
      <c r="AD509" s="740" t="str">
        <f ca="1">IF(AP509="NE",$V$10,IF(AC509=$V$3,IF(AQ509&lt;1,$V$8,$V$2&amp;" "&amp;AQ509&amp;" "&amp;$V$1),IF(AC509="SKLADEM",$V$6,IFERROR(IF(OR(AC509-TODAY()&gt;45,VLOOKUP(C509,[1]List1!$A:$E,4,FALSE)=0),AC509,DAY(AC509)&amp;"."&amp;MONTH(AC509)&amp;"."&amp;YEAR(AC509)&amp;" "&amp;$V$4&amp;VLOOKUP(C509,[1]List1!$A:$E,4,FALSE)&amp;" "&amp;$V$1),AC509))))</f>
        <v>SKLADEM</v>
      </c>
      <c r="AE509" s="716" t="str">
        <f t="shared" ca="1" si="1154"/>
        <v>SKLADEM</v>
      </c>
      <c r="AF509" s="723">
        <f t="shared" si="1155"/>
        <v>0</v>
      </c>
      <c r="AG509" s="723">
        <f t="shared" si="1156"/>
        <v>0</v>
      </c>
      <c r="AH509" s="724">
        <f t="shared" si="1157"/>
        <v>0</v>
      </c>
      <c r="AI509" s="716">
        <f t="shared" si="1158"/>
        <v>0</v>
      </c>
      <c r="AJ509" s="716">
        <f t="shared" si="1159"/>
        <v>0</v>
      </c>
      <c r="AK509" s="716" t="str">
        <f t="shared" si="1160"/>
        <v/>
      </c>
      <c r="AL509" s="716" t="str">
        <f t="shared" si="1161"/>
        <v/>
      </c>
      <c r="AM509" s="716">
        <f t="shared" si="1162"/>
        <v>0</v>
      </c>
      <c r="AN509" s="716">
        <f t="shared" si="1163"/>
        <v>0</v>
      </c>
      <c r="AO509" s="380"/>
      <c r="AP509" s="322" t="str">
        <f t="shared" si="1030"/>
        <v/>
      </c>
      <c r="AQ509" s="323" t="str">
        <f>IF(AC509=$V$3,IF(VLOOKUP(C509,[1]List1!$A:$E,5,FALSE)=0,1,VLOOKUP(C509,[1]List1!$A:$E,5,FALSE)),"")</f>
        <v/>
      </c>
      <c r="AR509" s="304" t="str">
        <f t="shared" si="1031"/>
        <v/>
      </c>
      <c r="AS509" s="423" t="str">
        <f t="shared" si="1032"/>
        <v/>
      </c>
      <c r="AT509" s="304" t="str">
        <f t="shared" si="1033"/>
        <v/>
      </c>
      <c r="AU509" s="342" t="e">
        <f t="shared" si="1034"/>
        <v>#N/A</v>
      </c>
      <c r="AV509" s="304" t="e">
        <f t="shared" si="1035"/>
        <v>#N/A</v>
      </c>
      <c r="AX509" s="304">
        <f>IF(AND('General price list'!$J509="F4",'General price list'!$AB509+0&gt;0),1,0)</f>
        <v>0</v>
      </c>
      <c r="AY509" s="304">
        <f t="shared" si="1036"/>
        <v>1</v>
      </c>
      <c r="AZ509" s="304">
        <f t="shared" si="1037"/>
        <v>0</v>
      </c>
    </row>
    <row r="510" spans="1:52" ht="15" customHeight="1">
      <c r="A510" s="725" t="str">
        <f>Kat.!C507</f>
        <v/>
      </c>
      <c r="B510" s="726">
        <f>IF(AND('General price list'!$J510="F4",$AI$1=FALSE),0,IF(AC510="SKLADEM",1,IF(AC510=$V$3,1,0)))</f>
        <v>1</v>
      </c>
      <c r="C510" s="727" t="s">
        <v>2717</v>
      </c>
      <c r="D510" s="728" t="s">
        <v>14585</v>
      </c>
      <c r="E510" s="729" t="s">
        <v>136</v>
      </c>
      <c r="F510" s="725">
        <f>IFERROR(ROUND(IF($AL$3=2,VLOOKUP(C510,[2]List1!$A:$D,2,FALSE)*1.08,VLOOKUP(C510,[2]List1!$A:$D,2,FALSE)),0),"NEUVEDENO!")</f>
        <v>2347</v>
      </c>
      <c r="G510" s="730">
        <f t="shared" si="1150"/>
        <v>2347</v>
      </c>
      <c r="H510" s="731">
        <f t="shared" si="1151"/>
        <v>95.371999561134388</v>
      </c>
      <c r="I510" s="732">
        <v>1</v>
      </c>
      <c r="J510" s="729" t="s">
        <v>46</v>
      </c>
      <c r="K510" s="729">
        <v>6</v>
      </c>
      <c r="L510" s="729" t="s">
        <v>24</v>
      </c>
      <c r="M510" s="729" t="s">
        <v>25</v>
      </c>
      <c r="N510" s="729">
        <f>IFERROR(VLOOKUP(C510,[3]List1!$A:$D,4,FALSE),"N/A!")</f>
        <v>2.4333750000000001E-2</v>
      </c>
      <c r="O510" s="729">
        <f>IFERROR(VLOOKUP(C510,[3]List1!$A:$D,3,FALSE),"N/A!")</f>
        <v>1000</v>
      </c>
      <c r="P510" s="729">
        <f>IFERROR(VLOOKUP(C510,[3]List1!$A:$D,2,FALSE),"N/A!")</f>
        <v>10000</v>
      </c>
      <c r="Q510" s="729" t="s">
        <v>14179</v>
      </c>
      <c r="R510" s="729" t="s">
        <v>24</v>
      </c>
      <c r="S510" s="729" t="str">
        <f>IF($W$17=$AF$1,"červená fólie",IFERROR(VLOOKUP("červená fólie",Jazyky_ceník!$A:$Q,MATCH($W$17,Jazyky_ceník!$A$1:$Q$1,0),FALSE),"!!!"))</f>
        <v>červená fólie</v>
      </c>
      <c r="T510" s="729">
        <v>100</v>
      </c>
      <c r="U510" s="729">
        <v>25</v>
      </c>
      <c r="V510" s="729">
        <v>13</v>
      </c>
      <c r="W510" s="729" t="str">
        <f>IFERROR(VLOOKUP('General price list'!$C510,Popisy!A:P,MATCH($W$17,Popisy!$A$7:$P$7,0),FALSE),"---------------")</f>
        <v>20 různobarevných efektů</v>
      </c>
      <c r="X510" s="729" t="str">
        <f t="shared" si="1152"/>
        <v/>
      </c>
      <c r="Y510" s="729" t="str">
        <f t="shared" si="1153"/>
        <v/>
      </c>
      <c r="Z510" s="729" t="str">
        <f>HYPERLINK("https://www.klasekpyrotechnics.cz/c20020xpr-c14_t")</f>
        <v>https://www.klasekpyrotechnics.cz/c20020xpr-c14_t</v>
      </c>
      <c r="AA510" s="729" t="str">
        <f>IFERROR(IF(VLOOKUP(C510,[4]List1!$A:$D,4,FALSE)=0,"",VLOOKUP(C510,[4]List1!$A:$D,4,FALSE)),"")</f>
        <v>40</v>
      </c>
      <c r="AB510" s="720"/>
      <c r="AC510" s="733" t="str">
        <f>IFERROR(IF(VLOOKUP(C510,[1]List1!$A:$D,2,FALSE)="VYPRODÁNO",$V$9,IF(VLOOKUP(C510,[1]List1!$A:$D,2,FALSE)="DOCHÁZÍ",$V$3,VLOOKUP(C510,[1]List1!$A:$D,2,FALSE))),"OFFLINE!")</f>
        <v>SKLADEM</v>
      </c>
      <c r="AD510" s="734" t="str">
        <f ca="1">IF(AP510="NE",$V$10,IF(AC510=$V$3,IF(AQ510&lt;1,$V$8,$V$2&amp;" "&amp;AQ510&amp;" "&amp;$V$1),IF(AC510="SKLADEM",$V$6,IFERROR(IF(OR(AC510-TODAY()&gt;45,VLOOKUP(C510,[1]List1!$A:$E,4,FALSE)=0),AC510,DAY(AC510)&amp;"."&amp;MONTH(AC510)&amp;"."&amp;YEAR(AC510)&amp;" "&amp;$V$4&amp;VLOOKUP(C510,[1]List1!$A:$E,4,FALSE)&amp;" "&amp;$V$1),AC510))))</f>
        <v>SKLADEM</v>
      </c>
      <c r="AE510" s="729" t="str">
        <f t="shared" ca="1" si="1154"/>
        <v>SKLADEM</v>
      </c>
      <c r="AF510" s="735">
        <f t="shared" si="1155"/>
        <v>0</v>
      </c>
      <c r="AG510" s="735">
        <f t="shared" si="1156"/>
        <v>0</v>
      </c>
      <c r="AH510" s="736">
        <f t="shared" si="1157"/>
        <v>0</v>
      </c>
      <c r="AI510" s="729">
        <f t="shared" si="1158"/>
        <v>0</v>
      </c>
      <c r="AJ510" s="729">
        <f t="shared" si="1159"/>
        <v>0</v>
      </c>
      <c r="AK510" s="729" t="str">
        <f t="shared" si="1160"/>
        <v/>
      </c>
      <c r="AL510" s="729" t="str">
        <f t="shared" si="1161"/>
        <v/>
      </c>
      <c r="AM510" s="729">
        <f t="shared" si="1162"/>
        <v>0</v>
      </c>
      <c r="AN510" s="729">
        <f t="shared" si="1163"/>
        <v>0</v>
      </c>
      <c r="AO510" s="380"/>
      <c r="AP510" s="322" t="str">
        <f t="shared" si="1030"/>
        <v/>
      </c>
      <c r="AQ510" s="323" t="str">
        <f>IF(AC510=$V$3,IF(VLOOKUP(C510,[1]List1!$A:$E,5,FALSE)=0,1,VLOOKUP(C510,[1]List1!$A:$E,5,FALSE)),"")</f>
        <v/>
      </c>
      <c r="AR510" s="304" t="str">
        <f t="shared" si="1031"/>
        <v/>
      </c>
      <c r="AS510" s="423" t="str">
        <f t="shared" si="1032"/>
        <v/>
      </c>
      <c r="AT510" s="304" t="str">
        <f t="shared" si="1033"/>
        <v/>
      </c>
      <c r="AU510" s="342" t="e">
        <f t="shared" si="1034"/>
        <v>#N/A</v>
      </c>
      <c r="AV510" s="304" t="e">
        <f t="shared" si="1035"/>
        <v>#N/A</v>
      </c>
      <c r="AX510" s="304">
        <f>IF(AND('General price list'!$J510="F4",'General price list'!$AB510+0&gt;0),1,0)</f>
        <v>0</v>
      </c>
      <c r="AY510" s="304">
        <f t="shared" si="1036"/>
        <v>1</v>
      </c>
      <c r="AZ510" s="304">
        <f t="shared" si="1037"/>
        <v>0</v>
      </c>
    </row>
    <row r="511" spans="1:52" ht="15" customHeight="1">
      <c r="A511" s="712" t="str">
        <f>Kat.!C508</f>
        <v/>
      </c>
      <c r="B511" s="737">
        <f>IF(AND('General price list'!$J511="F4",$AI$1=FALSE),0,IF(AC511="SKLADEM",1,IF(AC511=$V$3,1,0)))</f>
        <v>1</v>
      </c>
      <c r="C511" s="714" t="s">
        <v>5205</v>
      </c>
      <c r="D511" s="715" t="s">
        <v>5187</v>
      </c>
      <c r="E511" s="716" t="s">
        <v>136</v>
      </c>
      <c r="F511" s="712">
        <f>IFERROR(ROUND(IF($AL$3=2,VLOOKUP(C511,[2]List1!$A:$D,2,FALSE)*1.08,VLOOKUP(C511,[2]List1!$A:$D,2,FALSE)),0),"NEUVEDENO!")</f>
        <v>2347</v>
      </c>
      <c r="G511" s="717">
        <f t="shared" si="1150"/>
        <v>2347</v>
      </c>
      <c r="H511" s="718">
        <f t="shared" si="1151"/>
        <v>95.371999561134388</v>
      </c>
      <c r="I511" s="738">
        <v>1</v>
      </c>
      <c r="J511" s="716" t="s">
        <v>46</v>
      </c>
      <c r="K511" s="716">
        <v>6</v>
      </c>
      <c r="L511" s="716" t="s">
        <v>24</v>
      </c>
      <c r="M511" s="716" t="s">
        <v>25</v>
      </c>
      <c r="N511" s="716">
        <f>IFERROR(VLOOKUP(C511,[3]List1!$A:$D,4,FALSE),"N/A!")</f>
        <v>2.4333750000000001E-2</v>
      </c>
      <c r="O511" s="716">
        <f>IFERROR(VLOOKUP(C511,[3]List1!$A:$D,3,FALSE),"N/A!")</f>
        <v>1000</v>
      </c>
      <c r="P511" s="716">
        <f>IFERROR(VLOOKUP(C511,[3]List1!$A:$D,2,FALSE),"N/A!")</f>
        <v>10000</v>
      </c>
      <c r="Q511" s="716" t="s">
        <v>14180</v>
      </c>
      <c r="R511" s="716" t="s">
        <v>24</v>
      </c>
      <c r="S511" s="716" t="str">
        <f>IF($W$17=$AF$1,"červená fólie",IFERROR(VLOOKUP("červená fólie",Jazyky_ceník!$A:$Q,MATCH($W$17,Jazyky_ceník!$A$1:$Q$1,0),FALSE),"!!!"))</f>
        <v>červená fólie</v>
      </c>
      <c r="T511" s="716">
        <v>80</v>
      </c>
      <c r="U511" s="716">
        <v>25</v>
      </c>
      <c r="V511" s="716">
        <v>13</v>
      </c>
      <c r="W511" s="716" t="str">
        <f>IFERROR(VLOOKUP('General price list'!$C511,Popisy!A:P,MATCH($W$17,Popisy!$A$7:$P$7,0),FALSE),"---------------")</f>
        <v>20 různobarevných efektů</v>
      </c>
      <c r="X511" s="716" t="str">
        <f t="shared" si="1152"/>
        <v/>
      </c>
      <c r="Y511" s="716" t="str">
        <f t="shared" si="1153"/>
        <v/>
      </c>
      <c r="Z511" s="716" t="str">
        <f>HYPERLINK("https://www.klasekpyrotechnics.cz/c20020xts-c14_t")</f>
        <v>https://www.klasekpyrotechnics.cz/c20020xts-c14_t</v>
      </c>
      <c r="AA511" s="716" t="str">
        <f>IFERROR(IF(VLOOKUP(C511,[4]List1!$A:$D,4,FALSE)=0,"",VLOOKUP(C511,[4]List1!$A:$D,4,FALSE)),"")</f>
        <v>40</v>
      </c>
      <c r="AB511" s="720"/>
      <c r="AC511" s="739" t="str">
        <f>IFERROR(IF(VLOOKUP(C511,[1]List1!$A:$D,2,FALSE)="VYPRODÁNO",$V$9,IF(VLOOKUP(C511,[1]List1!$A:$D,2,FALSE)="DOCHÁZÍ",$V$3,VLOOKUP(C511,[1]List1!$A:$D,2,FALSE))),"OFFLINE!")</f>
        <v>SKLADEM</v>
      </c>
      <c r="AD511" s="740" t="str">
        <f ca="1">IF(AP511="NE",$V$10,IF(AC511=$V$3,IF(AQ511&lt;1,$V$8,$V$2&amp;" "&amp;AQ511&amp;" "&amp;$V$1),IF(AC511="SKLADEM",$V$6,IFERROR(IF(OR(AC511-TODAY()&gt;45,VLOOKUP(C511,[1]List1!$A:$E,4,FALSE)=0),AC511,DAY(AC511)&amp;"."&amp;MONTH(AC511)&amp;"."&amp;YEAR(AC511)&amp;" "&amp;$V$4&amp;VLOOKUP(C511,[1]List1!$A:$E,4,FALSE)&amp;" "&amp;$V$1),AC511))))</f>
        <v>SKLADEM</v>
      </c>
      <c r="AE511" s="716" t="str">
        <f t="shared" ca="1" si="1154"/>
        <v>SKLADEM</v>
      </c>
      <c r="AF511" s="723">
        <f t="shared" si="1155"/>
        <v>0</v>
      </c>
      <c r="AG511" s="723">
        <f t="shared" si="1156"/>
        <v>0</v>
      </c>
      <c r="AH511" s="724">
        <f t="shared" si="1157"/>
        <v>0</v>
      </c>
      <c r="AI511" s="716">
        <f t="shared" si="1158"/>
        <v>0</v>
      </c>
      <c r="AJ511" s="716">
        <f t="shared" si="1159"/>
        <v>0</v>
      </c>
      <c r="AK511" s="716" t="str">
        <f t="shared" si="1160"/>
        <v/>
      </c>
      <c r="AL511" s="716" t="str">
        <f t="shared" si="1161"/>
        <v/>
      </c>
      <c r="AM511" s="716">
        <f t="shared" si="1162"/>
        <v>0</v>
      </c>
      <c r="AN511" s="716">
        <f t="shared" si="1163"/>
        <v>0</v>
      </c>
      <c r="AO511" s="380"/>
      <c r="AP511" s="322" t="str">
        <f t="shared" si="1030"/>
        <v/>
      </c>
      <c r="AQ511" s="323" t="str">
        <f>IF(AC511=$V$3,IF(VLOOKUP(C511,[1]List1!$A:$E,5,FALSE)=0,1,VLOOKUP(C511,[1]List1!$A:$E,5,FALSE)),"")</f>
        <v/>
      </c>
      <c r="AR511" s="304" t="str">
        <f t="shared" si="1031"/>
        <v/>
      </c>
      <c r="AS511" s="423" t="str">
        <f t="shared" si="1032"/>
        <v/>
      </c>
      <c r="AT511" s="304" t="str">
        <f t="shared" si="1033"/>
        <v/>
      </c>
      <c r="AU511" s="342" t="e">
        <f t="shared" si="1034"/>
        <v>#N/A</v>
      </c>
      <c r="AV511" s="304" t="e">
        <f t="shared" si="1035"/>
        <v>#N/A</v>
      </c>
      <c r="AX511" s="304">
        <f>IF(AND('General price list'!$J511="F4",'General price list'!$AB511+0&gt;0),1,0)</f>
        <v>0</v>
      </c>
      <c r="AY511" s="304">
        <f t="shared" si="1036"/>
        <v>1</v>
      </c>
      <c r="AZ511" s="304">
        <f t="shared" si="1037"/>
        <v>0</v>
      </c>
    </row>
    <row r="512" spans="1:52" ht="15" customHeight="1">
      <c r="A512" s="725" t="str">
        <f>Kat.!C509</f>
        <v/>
      </c>
      <c r="B512" s="726">
        <f>IF(AND('General price list'!$J512="F4",$AI$1=FALSE),0,IF(AC512="SKLADEM",1,IF(AC512=$V$3,1,0)))</f>
        <v>1</v>
      </c>
      <c r="C512" s="727" t="s">
        <v>5206</v>
      </c>
      <c r="D512" s="728" t="s">
        <v>1380</v>
      </c>
      <c r="E512" s="729" t="s">
        <v>136</v>
      </c>
      <c r="F512" s="725">
        <f>IFERROR(ROUND(IF($AL$3=2,VLOOKUP(C512,[2]List1!$A:$D,2,FALSE)*1.08,VLOOKUP(C512,[2]List1!$A:$D,2,FALSE)),0),"NEUVEDENO!")</f>
        <v>2142</v>
      </c>
      <c r="G512" s="730">
        <f t="shared" si="1150"/>
        <v>2142</v>
      </c>
      <c r="H512" s="731">
        <f t="shared" si="1151"/>
        <v>87.041680042586222</v>
      </c>
      <c r="I512" s="732">
        <v>1</v>
      </c>
      <c r="J512" s="729" t="s">
        <v>46</v>
      </c>
      <c r="K512" s="729">
        <v>6</v>
      </c>
      <c r="L512" s="729" t="s">
        <v>24</v>
      </c>
      <c r="M512" s="729" t="s">
        <v>25</v>
      </c>
      <c r="N512" s="729">
        <f>IFERROR(VLOOKUP(C512,[3]List1!$A:$D,4,FALSE),"N/A!")</f>
        <v>1.8269999999999998E-2</v>
      </c>
      <c r="O512" s="729">
        <f>IFERROR(VLOOKUP(C512,[3]List1!$A:$D,3,FALSE),"N/A!")</f>
        <v>1494</v>
      </c>
      <c r="P512" s="729">
        <f>IFERROR(VLOOKUP(C512,[3]List1!$A:$D,2,FALSE),"N/A!")</f>
        <v>9580</v>
      </c>
      <c r="Q512" s="729" t="s">
        <v>14181</v>
      </c>
      <c r="R512" s="729" t="s">
        <v>24</v>
      </c>
      <c r="S512" s="729" t="str">
        <f>IF($W$17=$AF$1,"červená fólie",IFERROR(VLOOKUP("červená fólie",Jazyky_ceník!$A:$Q,MATCH($W$17,Jazyky_ceník!$A$1:$Q$1,0),FALSE),"!!!"))</f>
        <v>červená fólie</v>
      </c>
      <c r="T512" s="729">
        <v>150</v>
      </c>
      <c r="U512" s="729">
        <v>25</v>
      </c>
      <c r="V512" s="729">
        <v>13</v>
      </c>
      <c r="W512" s="729" t="str">
        <f>IFERROR(VLOOKUP('General price list'!$C512,Popisy!A:P,MATCH($W$17,Popisy!$A$7:$P$7,0),FALSE),"---------------")</f>
        <v>24 různobarevných efektů</v>
      </c>
      <c r="X512" s="729" t="str">
        <f t="shared" si="1152"/>
        <v/>
      </c>
      <c r="Y512" s="729" t="str">
        <f t="shared" si="1153"/>
        <v/>
      </c>
      <c r="Z512" s="729" t="str">
        <f>HYPERLINK("https://www.klasekpyrotechnics.cz/c19220f-c14_t")</f>
        <v>https://www.klasekpyrotechnics.cz/c19220f-c14_t</v>
      </c>
      <c r="AA512" s="729">
        <f>IFERROR(IF(VLOOKUP(C512,[4]List1!$A:$D,4,FALSE)=0,"",VLOOKUP(C512,[4]List1!$A:$D,4,FALSE)),"")</f>
        <v>66</v>
      </c>
      <c r="AB512" s="720"/>
      <c r="AC512" s="733" t="str">
        <f>IFERROR(IF(VLOOKUP(C512,[1]List1!$A:$D,2,FALSE)="VYPRODÁNO",$V$9,IF(VLOOKUP(C512,[1]List1!$A:$D,2,FALSE)="DOCHÁZÍ",$V$3,VLOOKUP(C512,[1]List1!$A:$D,2,FALSE))),"OFFLINE!")</f>
        <v>SKLADEM</v>
      </c>
      <c r="AD512" s="734" t="str">
        <f ca="1">IF(AP512="NE",$V$10,IF(AC512=$V$3,IF(AQ512&lt;1,$V$8,$V$2&amp;" "&amp;AQ512&amp;" "&amp;$V$1),IF(AC512="SKLADEM",$V$6,IFERROR(IF(OR(AC512-TODAY()&gt;45,VLOOKUP(C512,[1]List1!$A:$E,4,FALSE)=0),AC512,DAY(AC512)&amp;"."&amp;MONTH(AC512)&amp;"."&amp;YEAR(AC512)&amp;" "&amp;$V$4&amp;VLOOKUP(C512,[1]List1!$A:$E,4,FALSE)&amp;" "&amp;$V$1),AC512))))</f>
        <v>SKLADEM</v>
      </c>
      <c r="AE512" s="729" t="str">
        <f t="shared" ca="1" si="1154"/>
        <v>SKLADEM</v>
      </c>
      <c r="AF512" s="735">
        <f t="shared" si="1155"/>
        <v>0</v>
      </c>
      <c r="AG512" s="735">
        <f t="shared" si="1156"/>
        <v>0</v>
      </c>
      <c r="AH512" s="736">
        <f t="shared" si="1157"/>
        <v>0</v>
      </c>
      <c r="AI512" s="729">
        <f t="shared" si="1158"/>
        <v>0</v>
      </c>
      <c r="AJ512" s="729">
        <f t="shared" si="1159"/>
        <v>0</v>
      </c>
      <c r="AK512" s="729" t="str">
        <f t="shared" si="1160"/>
        <v/>
      </c>
      <c r="AL512" s="729" t="str">
        <f t="shared" si="1161"/>
        <v/>
      </c>
      <c r="AM512" s="729">
        <f t="shared" si="1162"/>
        <v>0</v>
      </c>
      <c r="AN512" s="729">
        <f t="shared" si="1163"/>
        <v>0</v>
      </c>
      <c r="AO512" s="380"/>
      <c r="AP512" s="322" t="str">
        <f t="shared" si="1030"/>
        <v/>
      </c>
      <c r="AQ512" s="323" t="str">
        <f>IF(AC512=$V$3,IF(VLOOKUP(C512,[1]List1!$A:$E,5,FALSE)=0,1,VLOOKUP(C512,[1]List1!$A:$E,5,FALSE)),"")</f>
        <v/>
      </c>
      <c r="AR512" s="304" t="str">
        <f t="shared" si="1031"/>
        <v/>
      </c>
      <c r="AS512" s="423" t="str">
        <f t="shared" si="1032"/>
        <v/>
      </c>
      <c r="AT512" s="304" t="str">
        <f t="shared" si="1033"/>
        <v/>
      </c>
      <c r="AU512" s="342" t="e">
        <f t="shared" si="1034"/>
        <v>#N/A</v>
      </c>
      <c r="AV512" s="304" t="e">
        <f t="shared" si="1035"/>
        <v>#N/A</v>
      </c>
      <c r="AX512" s="304">
        <f>IF(AND('General price list'!$J512="F4",'General price list'!$AB512+0&gt;0),1,0)</f>
        <v>0</v>
      </c>
      <c r="AY512" s="304">
        <f t="shared" si="1036"/>
        <v>1</v>
      </c>
      <c r="AZ512" s="304">
        <f t="shared" si="1037"/>
        <v>0</v>
      </c>
    </row>
    <row r="513" spans="1:52" ht="15" customHeight="1">
      <c r="A513" s="712" t="str">
        <f>Kat.!C510</f>
        <v/>
      </c>
      <c r="B513" s="737">
        <f>IF(AND('General price list'!$J513="F4",$AI$1=FALSE),0,IF(AC513="SKLADEM",1,IF(AC513=$V$3,1,0)))</f>
        <v>1</v>
      </c>
      <c r="C513" s="714" t="s">
        <v>2718</v>
      </c>
      <c r="D513" s="715" t="s">
        <v>2541</v>
      </c>
      <c r="E513" s="716" t="s">
        <v>136</v>
      </c>
      <c r="F513" s="712">
        <f>IFERROR(ROUND(IF($AL$3=2,VLOOKUP(C513,[2]List1!$A:$D,2,FALSE)*1.08,VLOOKUP(C513,[2]List1!$A:$D,2,FALSE)),0),"NEUVEDENO!")</f>
        <v>3737</v>
      </c>
      <c r="G513" s="717">
        <f t="shared" si="1150"/>
        <v>3737</v>
      </c>
      <c r="H513" s="718">
        <f t="shared" si="1151"/>
        <v>151.85562946738781</v>
      </c>
      <c r="I513" s="738">
        <v>1</v>
      </c>
      <c r="J513" s="716" t="s">
        <v>46</v>
      </c>
      <c r="K513" s="716">
        <v>6</v>
      </c>
      <c r="L513" s="716" t="s">
        <v>24</v>
      </c>
      <c r="M513" s="716" t="s">
        <v>25</v>
      </c>
      <c r="N513" s="716">
        <f>IFERROR(VLOOKUP(C513,[3]List1!$A:$D,4,FALSE),"N/A!")</f>
        <v>3.2933250000000004E-2</v>
      </c>
      <c r="O513" s="716">
        <f>IFERROR(VLOOKUP(C513,[3]List1!$A:$D,3,FALSE),"N/A!")</f>
        <v>1994</v>
      </c>
      <c r="P513" s="716">
        <f>IFERROR(VLOOKUP(C513,[3]List1!$A:$D,2,FALSE),"N/A!")</f>
        <v>12700</v>
      </c>
      <c r="Q513" s="716" t="s">
        <v>14179</v>
      </c>
      <c r="R513" s="716" t="s">
        <v>24</v>
      </c>
      <c r="S513" s="716" t="str">
        <f>IF($W$17=$AF$1,"červená fólie",IFERROR(VLOOKUP("červená fólie",Jazyky_ceník!$A:$Q,MATCH($W$17,Jazyky_ceník!$A$1:$Q$1,0),FALSE),"!!!"))</f>
        <v>červená fólie</v>
      </c>
      <c r="T513" s="716">
        <v>120</v>
      </c>
      <c r="U513" s="716">
        <v>25</v>
      </c>
      <c r="V513" s="716">
        <v>13</v>
      </c>
      <c r="W513" s="716" t="str">
        <f>IFERROR(VLOOKUP('General price list'!$C513,Popisy!A:P,MATCH($W$17,Popisy!$A$7:$P$7,0),FALSE),"---------------")</f>
        <v>24 různobarevných efektů</v>
      </c>
      <c r="X513" s="716" t="str">
        <f t="shared" si="1152"/>
        <v/>
      </c>
      <c r="Y513" s="716" t="str">
        <f t="shared" si="1153"/>
        <v/>
      </c>
      <c r="Z513" s="716" t="str">
        <f>HYPERLINK("https://www.klasekpyrotechnics.cz/c25220xfs-c14_t")</f>
        <v>https://www.klasekpyrotechnics.cz/c25220xfs-c14_t</v>
      </c>
      <c r="AA513" s="716" t="str">
        <f>IFERROR(IF(VLOOKUP(C513,[4]List1!$A:$D,4,FALSE)=0,"",VLOOKUP(C513,[4]List1!$A:$D,4,FALSE)),"")</f>
        <v>40</v>
      </c>
      <c r="AB513" s="720"/>
      <c r="AC513" s="739" t="str">
        <f>IFERROR(IF(VLOOKUP(C513,[1]List1!$A:$D,2,FALSE)="VYPRODÁNO",$V$9,IF(VLOOKUP(C513,[1]List1!$A:$D,2,FALSE)="DOCHÁZÍ",$V$3,VLOOKUP(C513,[1]List1!$A:$D,2,FALSE))),"OFFLINE!")</f>
        <v>SKLADEM</v>
      </c>
      <c r="AD513" s="740" t="str">
        <f ca="1">IF(AP513="NE",$V$10,IF(AC513=$V$3,IF(AQ513&lt;1,$V$8,$V$2&amp;" "&amp;AQ513&amp;" "&amp;$V$1),IF(AC513="SKLADEM",$V$6,IFERROR(IF(OR(AC513-TODAY()&gt;45,VLOOKUP(C513,[1]List1!$A:$E,4,FALSE)=0),AC513,DAY(AC513)&amp;"."&amp;MONTH(AC513)&amp;"."&amp;YEAR(AC513)&amp;" "&amp;$V$4&amp;VLOOKUP(C513,[1]List1!$A:$E,4,FALSE)&amp;" "&amp;$V$1),AC513))))</f>
        <v>SKLADEM</v>
      </c>
      <c r="AE513" s="716" t="str">
        <f t="shared" ca="1" si="1154"/>
        <v>SKLADEM</v>
      </c>
      <c r="AF513" s="723">
        <f t="shared" si="1155"/>
        <v>0</v>
      </c>
      <c r="AG513" s="723">
        <f t="shared" si="1156"/>
        <v>0</v>
      </c>
      <c r="AH513" s="724">
        <f t="shared" si="1157"/>
        <v>0</v>
      </c>
      <c r="AI513" s="716">
        <f t="shared" si="1158"/>
        <v>0</v>
      </c>
      <c r="AJ513" s="716">
        <f t="shared" si="1159"/>
        <v>0</v>
      </c>
      <c r="AK513" s="716" t="str">
        <f t="shared" si="1160"/>
        <v/>
      </c>
      <c r="AL513" s="716" t="str">
        <f t="shared" si="1161"/>
        <v/>
      </c>
      <c r="AM513" s="716">
        <f t="shared" si="1162"/>
        <v>0</v>
      </c>
      <c r="AN513" s="716">
        <f t="shared" si="1163"/>
        <v>0</v>
      </c>
      <c r="AO513" s="380"/>
      <c r="AP513" s="322" t="str">
        <f t="shared" si="1030"/>
        <v/>
      </c>
      <c r="AQ513" s="323" t="str">
        <f>IF(AC513=$V$3,IF(VLOOKUP(C513,[1]List1!$A:$E,5,FALSE)=0,1,VLOOKUP(C513,[1]List1!$A:$E,5,FALSE)),"")</f>
        <v/>
      </c>
      <c r="AR513" s="304" t="str">
        <f t="shared" si="1031"/>
        <v/>
      </c>
      <c r="AS513" s="423" t="str">
        <f t="shared" si="1032"/>
        <v/>
      </c>
      <c r="AT513" s="304" t="str">
        <f t="shared" si="1033"/>
        <v/>
      </c>
      <c r="AU513" s="342" t="e">
        <f t="shared" si="1034"/>
        <v>#N/A</v>
      </c>
      <c r="AV513" s="304" t="e">
        <f t="shared" si="1035"/>
        <v>#N/A</v>
      </c>
      <c r="AX513" s="304">
        <f>IF(AND('General price list'!$J513="F4",'General price list'!$AB513+0&gt;0),1,0)</f>
        <v>0</v>
      </c>
      <c r="AY513" s="304">
        <f t="shared" si="1036"/>
        <v>1</v>
      </c>
      <c r="AZ513" s="304">
        <f t="shared" si="1037"/>
        <v>0</v>
      </c>
    </row>
    <row r="514" spans="1:52" ht="15" customHeight="1">
      <c r="A514" s="725" t="str">
        <f>Kat.!C511</f>
        <v/>
      </c>
      <c r="B514" s="726">
        <f>IF(AND('General price list'!$J514="F4",$AI$1=FALSE),0,IF(AC514="SKLADEM",1,IF(AC514=$V$3,1,0)))</f>
        <v>1</v>
      </c>
      <c r="C514" s="727" t="s">
        <v>5208</v>
      </c>
      <c r="D514" s="728" t="s">
        <v>1251</v>
      </c>
      <c r="E514" s="729" t="s">
        <v>136</v>
      </c>
      <c r="F514" s="725">
        <f>IFERROR(ROUND(IF($AL$3=2,VLOOKUP(C514,[2]List1!$A:$D,2,FALSE)*1.08,VLOOKUP(C514,[2]List1!$A:$D,2,FALSE)),0),"NEUVEDENO!")</f>
        <v>2947</v>
      </c>
      <c r="G514" s="730">
        <f t="shared" si="1150"/>
        <v>2947</v>
      </c>
      <c r="H514" s="731">
        <f t="shared" si="1151"/>
        <v>119.75342254225099</v>
      </c>
      <c r="I514" s="732">
        <v>1</v>
      </c>
      <c r="J514" s="729" t="s">
        <v>46</v>
      </c>
      <c r="K514" s="729">
        <v>6</v>
      </c>
      <c r="L514" s="729" t="s">
        <v>24</v>
      </c>
      <c r="M514" s="729" t="s">
        <v>25</v>
      </c>
      <c r="N514" s="729">
        <f>IFERROR(VLOOKUP(C514,[3]List1!$A:$D,4,FALSE),"N/A!")</f>
        <v>2.4696000000000003E-2</v>
      </c>
      <c r="O514" s="729">
        <f>IFERROR(VLOOKUP(C514,[3]List1!$A:$D,3,FALSE),"N/A!")</f>
        <v>1992</v>
      </c>
      <c r="P514" s="729">
        <f>IFERROR(VLOOKUP(C514,[3]List1!$A:$D,2,FALSE),"N/A!")</f>
        <v>12000</v>
      </c>
      <c r="Q514" s="729" t="s">
        <v>14182</v>
      </c>
      <c r="R514" s="729" t="s">
        <v>24</v>
      </c>
      <c r="S514" s="729" t="str">
        <f>IF($W$17=$AF$1,"červená fólie",IFERROR(VLOOKUP("červená fólie",Jazyky_ceník!$A:$Q,MATCH($W$17,Jazyky_ceník!$A$1:$Q$1,0),FALSE),"!!!"))</f>
        <v>červená fólie</v>
      </c>
      <c r="T514" s="729">
        <v>180</v>
      </c>
      <c r="U514" s="729">
        <v>25</v>
      </c>
      <c r="V514" s="729">
        <v>13</v>
      </c>
      <c r="W514" s="729" t="str">
        <f>IFERROR(VLOOKUP('General price list'!$C514,Popisy!A:P,MATCH($W$17,Popisy!$A$7:$P$7,0),FALSE),"---------------")</f>
        <v>32 různobarevných efektů</v>
      </c>
      <c r="X514" s="729" t="str">
        <f t="shared" si="1152"/>
        <v/>
      </c>
      <c r="Y514" s="729" t="str">
        <f t="shared" si="1153"/>
        <v/>
      </c>
      <c r="Z514" s="729" t="str">
        <f>HYPERLINK("https://www.klasekpyrotechnics.cz/c25620f-c14_t")</f>
        <v>https://www.klasekpyrotechnics.cz/c25620f-c14_t</v>
      </c>
      <c r="AA514" s="729">
        <f>IFERROR(IF(VLOOKUP(C514,[4]List1!$A:$D,4,FALSE)=0,"",VLOOKUP(C514,[4]List1!$A:$D,4,FALSE)),"")</f>
        <v>66</v>
      </c>
      <c r="AB514" s="720"/>
      <c r="AC514" s="733" t="str">
        <f>IFERROR(IF(VLOOKUP(C514,[1]List1!$A:$D,2,FALSE)="VYPRODÁNO",$V$9,IF(VLOOKUP(C514,[1]List1!$A:$D,2,FALSE)="DOCHÁZÍ",$V$3,VLOOKUP(C514,[1]List1!$A:$D,2,FALSE))),"OFFLINE!")</f>
        <v>SKLADEM</v>
      </c>
      <c r="AD514" s="734" t="str">
        <f ca="1">IF(AP514="NE",$V$10,IF(AC514=$V$3,IF(AQ514&lt;1,$V$8,$V$2&amp;" "&amp;AQ514&amp;" "&amp;$V$1),IF(AC514="SKLADEM",$V$6,IFERROR(IF(OR(AC514-TODAY()&gt;45,VLOOKUP(C514,[1]List1!$A:$E,4,FALSE)=0),AC514,DAY(AC514)&amp;"."&amp;MONTH(AC514)&amp;"."&amp;YEAR(AC514)&amp;" "&amp;$V$4&amp;VLOOKUP(C514,[1]List1!$A:$E,4,FALSE)&amp;" "&amp;$V$1),AC514))))</f>
        <v>SKLADEM</v>
      </c>
      <c r="AE514" s="729" t="str">
        <f t="shared" ca="1" si="1154"/>
        <v>SKLADEM</v>
      </c>
      <c r="AF514" s="735">
        <f t="shared" si="1155"/>
        <v>0</v>
      </c>
      <c r="AG514" s="735">
        <f t="shared" si="1156"/>
        <v>0</v>
      </c>
      <c r="AH514" s="736">
        <f t="shared" si="1157"/>
        <v>0</v>
      </c>
      <c r="AI514" s="729">
        <f t="shared" si="1158"/>
        <v>0</v>
      </c>
      <c r="AJ514" s="729">
        <f t="shared" si="1159"/>
        <v>0</v>
      </c>
      <c r="AK514" s="729" t="str">
        <f t="shared" si="1160"/>
        <v/>
      </c>
      <c r="AL514" s="729" t="str">
        <f t="shared" si="1161"/>
        <v/>
      </c>
      <c r="AM514" s="729">
        <f t="shared" si="1162"/>
        <v>0</v>
      </c>
      <c r="AN514" s="729">
        <f t="shared" si="1163"/>
        <v>0</v>
      </c>
      <c r="AO514" s="380"/>
      <c r="AP514" s="322" t="str">
        <f t="shared" si="1030"/>
        <v/>
      </c>
      <c r="AQ514" s="323" t="str">
        <f>IF(AC514=$V$3,IF(VLOOKUP(C514,[1]List1!$A:$E,5,FALSE)=0,1,VLOOKUP(C514,[1]List1!$A:$E,5,FALSE)),"")</f>
        <v/>
      </c>
      <c r="AR514" s="304" t="str">
        <f t="shared" si="1031"/>
        <v/>
      </c>
      <c r="AS514" s="423" t="str">
        <f t="shared" si="1032"/>
        <v/>
      </c>
      <c r="AT514" s="304" t="str">
        <f t="shared" si="1033"/>
        <v/>
      </c>
      <c r="AU514" s="342" t="e">
        <f t="shared" si="1034"/>
        <v>#N/A</v>
      </c>
      <c r="AV514" s="304" t="e">
        <f t="shared" si="1035"/>
        <v>#N/A</v>
      </c>
      <c r="AX514" s="304">
        <f>IF(AND('General price list'!$J514="F4",'General price list'!$AB514+0&gt;0),1,0)</f>
        <v>0</v>
      </c>
      <c r="AY514" s="304">
        <f t="shared" si="1036"/>
        <v>1</v>
      </c>
      <c r="AZ514" s="304">
        <f t="shared" si="1037"/>
        <v>0</v>
      </c>
    </row>
    <row r="515" spans="1:52" ht="15" customHeight="1">
      <c r="A515" s="712" t="str">
        <f>Kat.!C512</f>
        <v/>
      </c>
      <c r="B515" s="737">
        <f>IF(AND('General price list'!$J515="F4",$AI$1=FALSE),0,IF(AC515="SKLADEM",1,IF(AC515=$V$3,1,0)))</f>
        <v>1</v>
      </c>
      <c r="C515" s="714" t="s">
        <v>5209</v>
      </c>
      <c r="D515" s="715" t="s">
        <v>1256</v>
      </c>
      <c r="E515" s="716" t="s">
        <v>136</v>
      </c>
      <c r="F515" s="712">
        <f>IFERROR(ROUND(IF($AL$3=2,VLOOKUP(C515,[2]List1!$A:$D,2,FALSE)*1.08,VLOOKUP(C515,[2]List1!$A:$D,2,FALSE)),0),"NEUVEDENO!")</f>
        <v>3981</v>
      </c>
      <c r="G515" s="717">
        <f t="shared" si="1150"/>
        <v>3981</v>
      </c>
      <c r="H515" s="718">
        <f t="shared" si="1151"/>
        <v>161.77074147970856</v>
      </c>
      <c r="I515" s="738">
        <v>1</v>
      </c>
      <c r="J515" s="716" t="s">
        <v>46</v>
      </c>
      <c r="K515" s="716">
        <v>6</v>
      </c>
      <c r="L515" s="716" t="s">
        <v>24</v>
      </c>
      <c r="M515" s="716" t="s">
        <v>25</v>
      </c>
      <c r="N515" s="716">
        <f>IFERROR(VLOOKUP(C515,[3]List1!$A:$D,4,FALSE),"N/A!")</f>
        <v>5.5107499999999997E-2</v>
      </c>
      <c r="O515" s="716">
        <f>IFERROR(VLOOKUP(C515,[3]List1!$A:$D,3,FALSE),"N/A!")</f>
        <v>1960</v>
      </c>
      <c r="P515" s="716">
        <f>IFERROR(VLOOKUP(C515,[3]List1!$A:$D,2,FALSE),"N/A!")</f>
        <v>15000</v>
      </c>
      <c r="Q515" s="716" t="s">
        <v>14183</v>
      </c>
      <c r="R515" s="716" t="s">
        <v>24</v>
      </c>
      <c r="S515" s="716" t="str">
        <f>IF($W$17=$AF$1,"červená fólie",IFERROR(VLOOKUP("červená fólie",Jazyky_ceník!$A:$Q,MATCH($W$17,Jazyky_ceník!$A$1:$Q$1,0),FALSE),"!!!"))</f>
        <v>červená fólie</v>
      </c>
      <c r="T515" s="716">
        <v>180</v>
      </c>
      <c r="U515" s="716">
        <v>25</v>
      </c>
      <c r="V515" s="716">
        <v>13</v>
      </c>
      <c r="W515" s="716" t="str">
        <f>IFERROR(VLOOKUP('General price list'!$C515,Popisy!A:P,MATCH($W$17,Popisy!$A$7:$P$7,0),FALSE),"---------------")</f>
        <v>18 různobarevných efektů</v>
      </c>
      <c r="X515" s="716" t="str">
        <f t="shared" si="1152"/>
        <v/>
      </c>
      <c r="Y515" s="716" t="str">
        <f t="shared" si="1153"/>
        <v/>
      </c>
      <c r="Z515" s="716" t="str">
        <f>HYPERLINK("https://www.klasekpyrotechnics.cz/c26420n-c14_t")</f>
        <v>https://www.klasekpyrotechnics.cz/c26420n-c14_t</v>
      </c>
      <c r="AA515" s="716">
        <f>IFERROR(IF(VLOOKUP(C515,[4]List1!$A:$D,4,FALSE)=0,"",VLOOKUP(C515,[4]List1!$A:$D,4,FALSE)),"")</f>
        <v>18</v>
      </c>
      <c r="AB515" s="720"/>
      <c r="AC515" s="739" t="str">
        <f>IFERROR(IF(VLOOKUP(C515,[1]List1!$A:$D,2,FALSE)="VYPRODÁNO",$V$9,IF(VLOOKUP(C515,[1]List1!$A:$D,2,FALSE)="DOCHÁZÍ",$V$3,VLOOKUP(C515,[1]List1!$A:$D,2,FALSE))),"OFFLINE!")</f>
        <v>SKLADEM</v>
      </c>
      <c r="AD515" s="740" t="str">
        <f ca="1">IF(AP515="NE",$V$10,IF(AC515=$V$3,IF(AQ515&lt;1,$V$8,$V$2&amp;" "&amp;AQ515&amp;" "&amp;$V$1),IF(AC515="SKLADEM",$V$6,IFERROR(IF(OR(AC515-TODAY()&gt;45,VLOOKUP(C515,[1]List1!$A:$E,4,FALSE)=0),AC515,DAY(AC515)&amp;"."&amp;MONTH(AC515)&amp;"."&amp;YEAR(AC515)&amp;" "&amp;$V$4&amp;VLOOKUP(C515,[1]List1!$A:$E,4,FALSE)&amp;" "&amp;$V$1),AC515))))</f>
        <v>SKLADEM</v>
      </c>
      <c r="AE515" s="716" t="str">
        <f t="shared" ca="1" si="1154"/>
        <v>SKLADEM</v>
      </c>
      <c r="AF515" s="723">
        <f t="shared" si="1155"/>
        <v>0</v>
      </c>
      <c r="AG515" s="723">
        <f t="shared" si="1156"/>
        <v>0</v>
      </c>
      <c r="AH515" s="724">
        <f t="shared" si="1157"/>
        <v>0</v>
      </c>
      <c r="AI515" s="716">
        <f t="shared" si="1158"/>
        <v>0</v>
      </c>
      <c r="AJ515" s="716">
        <f t="shared" si="1159"/>
        <v>0</v>
      </c>
      <c r="AK515" s="716" t="str">
        <f t="shared" si="1160"/>
        <v/>
      </c>
      <c r="AL515" s="716" t="str">
        <f t="shared" si="1161"/>
        <v/>
      </c>
      <c r="AM515" s="716">
        <f t="shared" si="1162"/>
        <v>0</v>
      </c>
      <c r="AN515" s="716">
        <f t="shared" si="1163"/>
        <v>0</v>
      </c>
      <c r="AO515" s="380"/>
      <c r="AP515" s="322" t="str">
        <f t="shared" si="1030"/>
        <v/>
      </c>
      <c r="AQ515" s="323" t="str">
        <f>IF(AC515=$V$3,IF(VLOOKUP(C515,[1]List1!$A:$E,5,FALSE)=0,1,VLOOKUP(C515,[1]List1!$A:$E,5,FALSE)),"")</f>
        <v/>
      </c>
      <c r="AR515" s="304" t="str">
        <f t="shared" si="1031"/>
        <v/>
      </c>
      <c r="AS515" s="423" t="str">
        <f t="shared" si="1032"/>
        <v/>
      </c>
      <c r="AT515" s="304" t="str">
        <f t="shared" si="1033"/>
        <v/>
      </c>
      <c r="AU515" s="342" t="e">
        <f t="shared" si="1034"/>
        <v>#N/A</v>
      </c>
      <c r="AV515" s="304" t="e">
        <f t="shared" si="1035"/>
        <v>#N/A</v>
      </c>
      <c r="AX515" s="304">
        <f>IF(AND('General price list'!$J515="F4",'General price list'!$AB515+0&gt;0),1,0)</f>
        <v>0</v>
      </c>
      <c r="AY515" s="304">
        <f t="shared" si="1036"/>
        <v>1</v>
      </c>
      <c r="AZ515" s="304">
        <f t="shared" si="1037"/>
        <v>0</v>
      </c>
    </row>
    <row r="516" spans="1:52" ht="15" customHeight="1">
      <c r="A516" s="725" t="str">
        <f>Kat.!C513</f>
        <v/>
      </c>
      <c r="B516" s="726">
        <f>IF(AND('General price list'!$J516="F4",$AI$1=FALSE),0,IF(AC516="SKLADEM",1,IF(AC516=$V$3,1,0)))</f>
        <v>0</v>
      </c>
      <c r="C516" s="727" t="s">
        <v>2719</v>
      </c>
      <c r="D516" s="728" t="s">
        <v>14587</v>
      </c>
      <c r="E516" s="729" t="s">
        <v>136</v>
      </c>
      <c r="F516" s="725">
        <f>IFERROR(ROUND(IF($AL$3=2,VLOOKUP(C516,[2]List1!$A:$D,2,FALSE)*1.08,VLOOKUP(C516,[2]List1!$A:$D,2,FALSE)),0),"NEUVEDENO!")</f>
        <v>5014</v>
      </c>
      <c r="G516" s="730">
        <f t="shared" si="1150"/>
        <v>5014</v>
      </c>
      <c r="H516" s="731">
        <f t="shared" si="1151"/>
        <v>203.74742471219764</v>
      </c>
      <c r="I516" s="732">
        <v>1</v>
      </c>
      <c r="J516" s="729" t="s">
        <v>46</v>
      </c>
      <c r="K516" s="729">
        <v>6</v>
      </c>
      <c r="L516" s="729" t="s">
        <v>24</v>
      </c>
      <c r="M516" s="729" t="s">
        <v>25</v>
      </c>
      <c r="N516" s="729">
        <f>IFERROR(VLOOKUP(C516,[3]List1!$A:$D,4,FALSE),"N/A!")</f>
        <v>5.0675999999999999E-2</v>
      </c>
      <c r="O516" s="729">
        <f>IFERROR(VLOOKUP(C516,[3]List1!$A:$D,3,FALSE),"N/A!")</f>
        <v>2000</v>
      </c>
      <c r="P516" s="729">
        <f>IFERROR(VLOOKUP(C516,[3]List1!$A:$D,2,FALSE),"N/A!")</f>
        <v>18000</v>
      </c>
      <c r="Q516" s="729" t="s">
        <v>14184</v>
      </c>
      <c r="R516" s="729" t="s">
        <v>24</v>
      </c>
      <c r="S516" s="729" t="str">
        <f>IF($W$17=$AF$1,"červená fólie",IFERROR(VLOOKUP("červená fólie",Jazyky_ceník!$A:$Q,MATCH($W$17,Jazyky_ceník!$A$1:$Q$1,0),FALSE),"!!!"))</f>
        <v>červená fólie</v>
      </c>
      <c r="T516" s="729">
        <v>200</v>
      </c>
      <c r="U516" s="729">
        <v>25</v>
      </c>
      <c r="V516" s="729">
        <v>13</v>
      </c>
      <c r="W516" s="729" t="str">
        <f>IFERROR(VLOOKUP('General price list'!$C516,Popisy!A:P,MATCH($W$17,Popisy!$A$7:$P$7,0),FALSE),"---------------")</f>
        <v>40 různobarevných efektů</v>
      </c>
      <c r="X516" s="729" t="str">
        <f t="shared" si="1152"/>
        <v/>
      </c>
      <c r="Y516" s="729" t="str">
        <f t="shared" si="1153"/>
        <v/>
      </c>
      <c r="Z516" s="729" t="str">
        <f>HYPERLINK("https://www.klasekpyrotechnics.cz/c40020xpr-c14_t")</f>
        <v>https://www.klasekpyrotechnics.cz/c40020xpr-c14_t</v>
      </c>
      <c r="AA516" s="729" t="str">
        <f>IFERROR(IF(VLOOKUP(C516,[4]List1!$A:$D,4,FALSE)=0,"",VLOOKUP(C516,[4]List1!$A:$D,4,FALSE)),"")</f>
        <v>20</v>
      </c>
      <c r="AB516" s="720"/>
      <c r="AC516" s="733" t="str">
        <f>IFERROR(IF(VLOOKUP(C516,[1]List1!$A:$D,2,FALSE)="VYPRODÁNO",$V$9,IF(VLOOKUP(C516,[1]List1!$A:$D,2,FALSE)="DOCHÁZÍ",$V$3,VLOOKUP(C516,[1]List1!$A:$D,2,FALSE))),"OFFLINE!")</f>
        <v>15.06.2024</v>
      </c>
      <c r="AD516" s="734" t="str">
        <f ca="1">IF(AP516="NE",$V$10,IF(AC516=$V$3,IF(AQ516&lt;1,$V$8,$V$2&amp;" "&amp;AQ516&amp;" "&amp;$V$1),IF(AC516="SKLADEM",$V$6,IFERROR(IF(OR(AC516-TODAY()&gt;45,VLOOKUP(C516,[1]List1!$A:$E,4,FALSE)=0),AC516,DAY(AC516)&amp;"."&amp;MONTH(AC516)&amp;"."&amp;YEAR(AC516)&amp;" "&amp;$V$4&amp;VLOOKUP(C516,[1]List1!$A:$E,4,FALSE)&amp;" "&amp;$V$1),AC516))))</f>
        <v>15.06.2024</v>
      </c>
      <c r="AE516" s="729" t="str">
        <f t="shared" ca="1" si="1154"/>
        <v>15.06.2024</v>
      </c>
      <c r="AF516" s="735">
        <f t="shared" si="1155"/>
        <v>0</v>
      </c>
      <c r="AG516" s="735">
        <f t="shared" si="1156"/>
        <v>0</v>
      </c>
      <c r="AH516" s="736">
        <f t="shared" si="1157"/>
        <v>0</v>
      </c>
      <c r="AI516" s="729">
        <f t="shared" si="1158"/>
        <v>0</v>
      </c>
      <c r="AJ516" s="729">
        <f t="shared" si="1159"/>
        <v>0</v>
      </c>
      <c r="AK516" s="729" t="str">
        <f t="shared" si="1160"/>
        <v/>
      </c>
      <c r="AL516" s="729" t="str">
        <f t="shared" si="1161"/>
        <v/>
      </c>
      <c r="AM516" s="729">
        <f t="shared" si="1162"/>
        <v>0</v>
      </c>
      <c r="AN516" s="729">
        <f t="shared" si="1163"/>
        <v>0</v>
      </c>
      <c r="AO516" s="380"/>
      <c r="AP516" s="322" t="str">
        <f t="shared" si="1030"/>
        <v/>
      </c>
      <c r="AQ516" s="323" t="str">
        <f>IF(AC516=$V$3,IF(VLOOKUP(C516,[1]List1!$A:$E,5,FALSE)=0,1,VLOOKUP(C516,[1]List1!$A:$E,5,FALSE)),"")</f>
        <v/>
      </c>
      <c r="AR516" s="304" t="str">
        <f t="shared" si="1031"/>
        <v/>
      </c>
      <c r="AS516" s="423" t="str">
        <f t="shared" si="1032"/>
        <v/>
      </c>
      <c r="AT516" s="304" t="str">
        <f t="shared" si="1033"/>
        <v/>
      </c>
      <c r="AU516" s="342" t="e">
        <f t="shared" si="1034"/>
        <v>#N/A</v>
      </c>
      <c r="AV516" s="304" t="e">
        <f t="shared" si="1035"/>
        <v>#N/A</v>
      </c>
      <c r="AX516" s="304">
        <f>IF(AND('General price list'!$J516="F4",'General price list'!$AB516+0&gt;0),1,0)</f>
        <v>0</v>
      </c>
      <c r="AY516" s="304">
        <f t="shared" si="1036"/>
        <v>1</v>
      </c>
      <c r="AZ516" s="304">
        <f t="shared" si="1037"/>
        <v>0</v>
      </c>
    </row>
    <row r="517" spans="1:52" ht="15" customHeight="1">
      <c r="A517" s="773" t="str">
        <f>Kat.!C514</f>
        <v xml:space="preserve">                                                               Složený ohňostroj 20mm - F2 - 1.3G</v>
      </c>
      <c r="B517" s="774"/>
      <c r="C517" s="774"/>
      <c r="D517" s="774"/>
      <c r="E517" s="774"/>
      <c r="F517" s="774"/>
      <c r="G517" s="774"/>
      <c r="H517" s="774"/>
      <c r="I517" s="774"/>
      <c r="J517" s="774"/>
      <c r="K517" s="774"/>
      <c r="L517" s="774"/>
      <c r="M517" s="774"/>
      <c r="N517" s="774"/>
      <c r="O517" s="774"/>
      <c r="P517" s="774"/>
      <c r="Q517" s="774"/>
      <c r="R517" s="774"/>
      <c r="S517" s="774"/>
      <c r="T517" s="774"/>
      <c r="U517" s="774"/>
      <c r="V517" s="774"/>
      <c r="W517" s="774"/>
      <c r="X517" s="774"/>
      <c r="Y517" s="774"/>
      <c r="Z517" s="774"/>
      <c r="AA517" s="774" t="str">
        <f>IFERROR(IF(VLOOKUP(C517,[4]List1!$A:$D,4,FALSE)=0,"",VLOOKUP(C517,[4]List1!$A:$D,4,FALSE)),"")</f>
        <v/>
      </c>
      <c r="AB517" s="774"/>
      <c r="AC517" s="775" t="str">
        <f>IFERROR(IF(VLOOKUP(C517,[1]List1!$A:$D,2,FALSE)="VYPRODÁNO",$V$9,IF(VLOOKUP(C517,[1]List1!$A:$D,2,FALSE)="DOCHÁZÍ",$V$3,VLOOKUP(C517,[1]List1!$A:$D,2,FALSE))),"OFFLINE!")</f>
        <v>OFFLINE!</v>
      </c>
      <c r="AD517" s="774"/>
      <c r="AE517" s="774"/>
      <c r="AF517" s="774"/>
      <c r="AG517" s="774"/>
      <c r="AH517" s="774"/>
      <c r="AI517" s="774"/>
      <c r="AJ517" s="774"/>
      <c r="AK517" s="774"/>
      <c r="AL517" s="774"/>
      <c r="AM517" s="774"/>
      <c r="AN517" s="774"/>
      <c r="AO517" s="380"/>
      <c r="AP517" s="322" t="str">
        <f t="shared" si="1030"/>
        <v/>
      </c>
      <c r="AQ517" s="323" t="str">
        <f>IF(AC517=$V$3,IF(VLOOKUP(C517,[1]List1!$A:$E,5,FALSE)=0,1,VLOOKUP(C517,[1]List1!$A:$E,5,FALSE)),"")</f>
        <v/>
      </c>
      <c r="AR517" s="304" t="str">
        <f t="shared" si="1031"/>
        <v/>
      </c>
      <c r="AS517" s="423" t="str">
        <f t="shared" si="1032"/>
        <v/>
      </c>
      <c r="AT517" s="304" t="str">
        <f t="shared" si="1033"/>
        <v/>
      </c>
      <c r="AU517" s="342" t="e">
        <f t="shared" si="1034"/>
        <v>#N/A</v>
      </c>
      <c r="AV517" s="304" t="e">
        <f t="shared" si="1035"/>
        <v>#N/A</v>
      </c>
      <c r="AX517" s="304">
        <f>IF(AND('General price list'!$J517="F4",'General price list'!$AB517+0&gt;0),1,0)</f>
        <v>0</v>
      </c>
      <c r="AY517" s="304">
        <f t="shared" si="1036"/>
        <v>0</v>
      </c>
      <c r="AZ517" s="304">
        <f t="shared" si="1037"/>
        <v>0</v>
      </c>
    </row>
    <row r="518" spans="1:52" ht="15" customHeight="1">
      <c r="A518" s="725" t="str">
        <f>Kat.!C515</f>
        <v/>
      </c>
      <c r="B518" s="741">
        <f>IF(AND('General price list'!$J518="F4",$AI$1=FALSE),0,IF(AC518="SKLADEM",1,IF(AC518=$V$3,1,0)))</f>
        <v>0</v>
      </c>
      <c r="C518" s="727" t="s">
        <v>1257</v>
      </c>
      <c r="D518" s="728" t="s">
        <v>14588</v>
      </c>
      <c r="E518" s="729" t="s">
        <v>1077</v>
      </c>
      <c r="F518" s="725">
        <f>IFERROR(ROUND(IF($AL$3=2,VLOOKUP(C518,[2]List1!$A:$D,2,FALSE)*1.08,VLOOKUP(C518,[2]List1!$A:$D,2,FALSE)),0),"NEUVEDENO!")</f>
        <v>705</v>
      </c>
      <c r="G518" s="730">
        <f t="shared" ref="G518:G526" si="1164">(F518)*$B$19</f>
        <v>705</v>
      </c>
      <c r="H518" s="731">
        <f t="shared" ref="H518:H526" si="1165">G518/$F$19</f>
        <v>28.648172002811993</v>
      </c>
      <c r="I518" s="742">
        <v>6</v>
      </c>
      <c r="J518" s="729" t="s">
        <v>46</v>
      </c>
      <c r="K518" s="729">
        <v>5</v>
      </c>
      <c r="L518" s="729" t="s">
        <v>24</v>
      </c>
      <c r="M518" s="729" t="s">
        <v>138</v>
      </c>
      <c r="N518" s="729">
        <f>IFERROR(VLOOKUP(C518,[3]List1!$A:$D,4,FALSE),"N/A!")</f>
        <v>4.2900000000000001E-2</v>
      </c>
      <c r="O518" s="729">
        <f>IFERROR(VLOOKUP(C518,[3]List1!$A:$D,3,FALSE),"N/A!")</f>
        <v>2976</v>
      </c>
      <c r="P518" s="729">
        <f>IFERROR(VLOOKUP(C518,[3]List1!$A:$D,2,FALSE),"N/A!")</f>
        <v>20200</v>
      </c>
      <c r="Q518" s="729" t="s">
        <v>2792</v>
      </c>
      <c r="R518" s="729" t="s">
        <v>24</v>
      </c>
      <c r="S518" s="729" t="str">
        <f>IF($W$17=$AF$1,"červená fólie",IFERROR(VLOOKUP("červená fólie",Jazyky_ceník!$A:$Q,MATCH($W$17,Jazyky_ceník!$A$1:$Q$1,0),FALSE),"!!!"))</f>
        <v>červená fólie</v>
      </c>
      <c r="T518" s="729">
        <v>45</v>
      </c>
      <c r="U518" s="729"/>
      <c r="V518" s="729"/>
      <c r="W518" s="729" t="str">
        <f>IFERROR(VLOOKUP('General price list'!$C518,Popisy!A:P,MATCH($W$17,Popisy!$A$7:$P$7,0),FALSE),"---------------")</f>
        <v>stříbrná mina s červenou stopou a titanovou detonací</v>
      </c>
      <c r="X518" s="729" t="str">
        <f t="shared" ref="X518:X526" si="1166">IF(AB518&lt;0.0001,"",AB518)</f>
        <v/>
      </c>
      <c r="Y518" s="729" t="str">
        <f t="shared" ref="Y518:Y526" si="1167">IF($AL$3=2,IF(OR(AB518&lt;&gt;"",AB518&lt;&gt;0),AU518,""),IF(C518="","",IF(AB518&lt;0.0001,"",IF(B518=0,"",IF(AQ518&lt;AB518,"",AB518)))))</f>
        <v/>
      </c>
      <c r="Z518" s="729" t="str">
        <f>HYPERLINK("https://www.klasekpyrotechnics.cz/c6420du-c")</f>
        <v>https://www.klasekpyrotechnics.cz/c6420du-c</v>
      </c>
      <c r="AA518" s="729">
        <f>IFERROR(IF(VLOOKUP(C518,[4]List1!$A:$D,4,FALSE)=0,"",VLOOKUP(C518,[4]List1!$A:$D,4,FALSE)),"")</f>
        <v>22</v>
      </c>
      <c r="AB518" s="720"/>
      <c r="AC518" s="743" t="str">
        <f>IFERROR(IF(VLOOKUP(C518,[1]List1!$A:$D,2,FALSE)="VYPRODÁNO",$V$9,IF(VLOOKUP(C518,[1]List1!$A:$D,2,FALSE)="DOCHÁZÍ",$V$3,VLOOKUP(C518,[1]List1!$A:$D,2,FALSE))),"OFFLINE!")</f>
        <v>30.04.2024</v>
      </c>
      <c r="AD518" s="744" t="str">
        <f ca="1">IF(AP518="NE",$V$10,IF(AC518=$V$3,IF(AQ518&lt;1,$V$8,$V$2&amp;" "&amp;AQ518&amp;" "&amp;$V$1),IF(AC518="SKLADEM",$V$6,IFERROR(IF(OR(AC518-TODAY()&gt;45,VLOOKUP(C518,[1]List1!$A:$E,4,FALSE)=0),AC518,DAY(AC518)&amp;"."&amp;MONTH(AC518)&amp;"."&amp;YEAR(AC518)&amp;" "&amp;$V$4&amp;VLOOKUP(C518,[1]List1!$A:$E,4,FALSE)&amp;" "&amp;$V$1),AC518))))</f>
        <v>30.04.2024</v>
      </c>
      <c r="AE518" s="729" t="str">
        <f t="shared" ref="AE518:AE526" ca="1" si="1168">IFERROR(IF(AV518&lt;&gt;"",AV518,AD518),AD518)</f>
        <v>30.04.2024</v>
      </c>
      <c r="AF518" s="735">
        <f t="shared" ref="AF518:AF526" si="1169">IFERROR(IF(AB518=Y518,G518*I518*Y518,0),0)</f>
        <v>0</v>
      </c>
      <c r="AG518" s="735">
        <f t="shared" ref="AG518:AG526" si="1170">IF($W$17=$AF$8,AH518*1.23,AF518*1.21)</f>
        <v>0</v>
      </c>
      <c r="AH518" s="736">
        <f t="shared" ref="AH518:AH526" si="1171">IFERROR(IF(Y518=AB518,H518*I518*Y518,0),0)</f>
        <v>0</v>
      </c>
      <c r="AI518" s="729">
        <f t="shared" ref="AI518:AI526" si="1172">IFERROR(IF(Y518=AB518,(P518*Y518)/1000,1),0)</f>
        <v>0</v>
      </c>
      <c r="AJ518" s="729">
        <f t="shared" ref="AJ518:AJ526" si="1173">IFERROR(IF(Y518=AB518,N518*Y518,0.1),0)</f>
        <v>0</v>
      </c>
      <c r="AK518" s="729" t="str">
        <f t="shared" ref="AK518:AK526" si="1174">IFERROR(IF(Y518=AB518,IF(M518="1.1G",(O518/1000)*Y518,""),""),0)</f>
        <v/>
      </c>
      <c r="AL518" s="729">
        <f t="shared" ref="AL518:AL526" si="1175">IFERROR(IF(Y518=AB518,IF(M518="1.3G",(O518/1000)*AB518,""),""),0)</f>
        <v>0</v>
      </c>
      <c r="AM518" s="729" t="str">
        <f t="shared" ref="AM518:AM526" si="1176">IFERROR(IF(Y518=AB518,IF(M518="1.4G",(O518/1000)*AB518,""),""),0)</f>
        <v/>
      </c>
      <c r="AN518" s="729">
        <f t="shared" ref="AN518:AN526" si="1177">SUM(AK518:AM518)</f>
        <v>0</v>
      </c>
      <c r="AO518" s="380"/>
      <c r="AP518" s="322" t="str">
        <f t="shared" si="1030"/>
        <v/>
      </c>
      <c r="AQ518" s="323" t="str">
        <f>IF(AC518=$V$3,IF(VLOOKUP(C518,[1]List1!$A:$E,5,FALSE)=0,1,VLOOKUP(C518,[1]List1!$A:$E,5,FALSE)),"")</f>
        <v/>
      </c>
      <c r="AR518" s="304" t="str">
        <f t="shared" si="1031"/>
        <v/>
      </c>
      <c r="AS518" s="423" t="str">
        <f t="shared" si="1032"/>
        <v/>
      </c>
      <c r="AT518" s="304" t="str">
        <f t="shared" si="1033"/>
        <v/>
      </c>
      <c r="AU518" s="342" t="e">
        <f t="shared" si="1034"/>
        <v>#N/A</v>
      </c>
      <c r="AV518" s="304" t="e">
        <f t="shared" si="1035"/>
        <v>#N/A</v>
      </c>
      <c r="AX518" s="304">
        <f>IF(AND('General price list'!$J518="F4",'General price list'!$AB518+0&gt;0),1,0)</f>
        <v>0</v>
      </c>
      <c r="AY518" s="304">
        <f t="shared" si="1036"/>
        <v>1</v>
      </c>
      <c r="AZ518" s="304">
        <f t="shared" si="1037"/>
        <v>0</v>
      </c>
    </row>
    <row r="519" spans="1:52" ht="15" customHeight="1">
      <c r="A519" s="712" t="str">
        <f>Kat.!C516</f>
        <v/>
      </c>
      <c r="B519" s="745">
        <f>IF(AND('General price list'!$J519="F4",$AI$1=FALSE),0,IF(AC519="SKLADEM",1,IF(AC519=$V$3,1,0)))</f>
        <v>1</v>
      </c>
      <c r="C519" s="714" t="s">
        <v>1258</v>
      </c>
      <c r="D519" s="715" t="s">
        <v>14586</v>
      </c>
      <c r="E519" s="716" t="s">
        <v>136</v>
      </c>
      <c r="F519" s="712">
        <f>IFERROR(ROUND(IF($AL$3=2,VLOOKUP(C519,[2]List1!$A:$D,2,FALSE)*1.08,VLOOKUP(C519,[2]List1!$A:$D,2,FALSE)),0),"NEUVEDENO!")</f>
        <v>1367</v>
      </c>
      <c r="G519" s="717">
        <f t="shared" si="1164"/>
        <v>1367</v>
      </c>
      <c r="H519" s="718">
        <f t="shared" si="1165"/>
        <v>55.549008691977299</v>
      </c>
      <c r="I519" s="746">
        <v>1</v>
      </c>
      <c r="J519" s="716" t="s">
        <v>46</v>
      </c>
      <c r="K519" s="716"/>
      <c r="L519" s="716" t="s">
        <v>24</v>
      </c>
      <c r="M519" s="716" t="s">
        <v>138</v>
      </c>
      <c r="N519" s="716">
        <f>IFERROR(VLOOKUP(C519,[3]List1!$A:$D,4,FALSE),"N/A!")</f>
        <v>1.2937624999999998E-2</v>
      </c>
      <c r="O519" s="716">
        <f>IFERROR(VLOOKUP(C519,[3]List1!$A:$D,3,FALSE),"N/A!")</f>
        <v>996</v>
      </c>
      <c r="P519" s="716">
        <f>IFERROR(VLOOKUP(C519,[3]List1!$A:$D,2,FALSE),"N/A!")</f>
        <v>6350</v>
      </c>
      <c r="Q519" s="716" t="s">
        <v>11320</v>
      </c>
      <c r="R519" s="716" t="s">
        <v>24</v>
      </c>
      <c r="S519" s="716" t="str">
        <f>IF($W$17=$AF$1,"červená fólie",IFERROR(VLOOKUP("červená fólie",Jazyky_ceník!$A:$Q,MATCH($W$17,Jazyky_ceník!$A$1:$Q$1,0),FALSE),"!!!"))</f>
        <v>červená fólie</v>
      </c>
      <c r="T519" s="716">
        <v>100</v>
      </c>
      <c r="U519" s="716">
        <v>25</v>
      </c>
      <c r="V519" s="716">
        <v>16</v>
      </c>
      <c r="W519" s="716" t="str">
        <f>IFERROR(VLOOKUP('General price list'!$C519,Popisy!A:P,MATCH($W$17,Popisy!$A$7:$P$7,0),FALSE),"---------------")</f>
        <v>16 různobarevných efektů</v>
      </c>
      <c r="X519" s="716" t="str">
        <f t="shared" si="1166"/>
        <v/>
      </c>
      <c r="Y519" s="716" t="str">
        <f t="shared" si="1167"/>
        <v/>
      </c>
      <c r="Z519" s="716" t="str">
        <f>HYPERLINK("https://www.klasekpyrotechnics.cz/c12820f-c")</f>
        <v>https://www.klasekpyrotechnics.cz/c12820f-c</v>
      </c>
      <c r="AA519" s="716">
        <f>IFERROR(IF(VLOOKUP(C519,[4]List1!$A:$D,4,FALSE)=0,"",VLOOKUP(C519,[4]List1!$A:$D,4,FALSE)),"")</f>
        <v>77</v>
      </c>
      <c r="AB519" s="720"/>
      <c r="AC519" s="747" t="str">
        <f>IFERROR(IF(VLOOKUP(C519,[1]List1!$A:$D,2,FALSE)="VYPRODÁNO",$V$9,IF(VLOOKUP(C519,[1]List1!$A:$D,2,FALSE)="DOCHÁZÍ",$V$3,VLOOKUP(C519,[1]List1!$A:$D,2,FALSE))),"OFFLINE!")</f>
        <v>SKLADEM</v>
      </c>
      <c r="AD519" s="748" t="str">
        <f ca="1">IF(AP519="NE",$V$10,IF(AC519=$V$3,IF(AQ519&lt;1,$V$8,$V$2&amp;" "&amp;AQ519&amp;" "&amp;$V$1),IF(AC519="SKLADEM",$V$6,IFERROR(IF(OR(AC519-TODAY()&gt;45,VLOOKUP(C519,[1]List1!$A:$E,4,FALSE)=0),AC519,DAY(AC519)&amp;"."&amp;MONTH(AC519)&amp;"."&amp;YEAR(AC519)&amp;" "&amp;$V$4&amp;VLOOKUP(C519,[1]List1!$A:$E,4,FALSE)&amp;" "&amp;$V$1),AC519))))</f>
        <v>SKLADEM</v>
      </c>
      <c r="AE519" s="716" t="str">
        <f t="shared" ca="1" si="1168"/>
        <v>SKLADEM</v>
      </c>
      <c r="AF519" s="723">
        <f t="shared" si="1169"/>
        <v>0</v>
      </c>
      <c r="AG519" s="723">
        <f t="shared" si="1170"/>
        <v>0</v>
      </c>
      <c r="AH519" s="724">
        <f t="shared" si="1171"/>
        <v>0</v>
      </c>
      <c r="AI519" s="716">
        <f t="shared" si="1172"/>
        <v>0</v>
      </c>
      <c r="AJ519" s="716">
        <f t="shared" si="1173"/>
        <v>0</v>
      </c>
      <c r="AK519" s="716" t="str">
        <f t="shared" si="1174"/>
        <v/>
      </c>
      <c r="AL519" s="716">
        <f t="shared" si="1175"/>
        <v>0</v>
      </c>
      <c r="AM519" s="716" t="str">
        <f t="shared" si="1176"/>
        <v/>
      </c>
      <c r="AN519" s="716">
        <f t="shared" si="1177"/>
        <v>0</v>
      </c>
      <c r="AO519" s="380"/>
      <c r="AP519" s="322" t="str">
        <f t="shared" si="1030"/>
        <v/>
      </c>
      <c r="AQ519" s="323" t="str">
        <f>IF(AC519=$V$3,IF(VLOOKUP(C519,[1]List1!$A:$E,5,FALSE)=0,1,VLOOKUP(C519,[1]List1!$A:$E,5,FALSE)),"")</f>
        <v/>
      </c>
      <c r="AR519" s="304" t="str">
        <f t="shared" si="1031"/>
        <v/>
      </c>
      <c r="AS519" s="423" t="str">
        <f t="shared" si="1032"/>
        <v/>
      </c>
      <c r="AT519" s="304" t="str">
        <f t="shared" si="1033"/>
        <v/>
      </c>
      <c r="AU519" s="342" t="e">
        <f t="shared" si="1034"/>
        <v>#N/A</v>
      </c>
      <c r="AV519" s="304" t="e">
        <f t="shared" si="1035"/>
        <v>#N/A</v>
      </c>
      <c r="AX519" s="304">
        <f>IF(AND('General price list'!$J519="F4",'General price list'!$AB519+0&gt;0),1,0)</f>
        <v>0</v>
      </c>
      <c r="AY519" s="304">
        <f t="shared" si="1036"/>
        <v>1</v>
      </c>
      <c r="AZ519" s="304">
        <f t="shared" si="1037"/>
        <v>0</v>
      </c>
    </row>
    <row r="520" spans="1:52" ht="15" customHeight="1">
      <c r="A520" s="725" t="str">
        <f>Kat.!C517</f>
        <v/>
      </c>
      <c r="B520" s="749">
        <f>IF(AND('General price list'!$J520="F4",$AI$1=FALSE),0,IF(AC520="SKLADEM",1,IF(AC520=$V$3,1,0)))</f>
        <v>1</v>
      </c>
      <c r="C520" s="727" t="s">
        <v>1259</v>
      </c>
      <c r="D520" s="728" t="s">
        <v>1260</v>
      </c>
      <c r="E520" s="729" t="s">
        <v>136</v>
      </c>
      <c r="F520" s="725">
        <f>IFERROR(ROUND(IF($AL$3=2,VLOOKUP(C520,[2]List1!$A:$D,2,FALSE)*1.08,VLOOKUP(C520,[2]List1!$A:$D,2,FALSE)),0),"NEUVEDENO!")</f>
        <v>1367</v>
      </c>
      <c r="G520" s="730">
        <f t="shared" si="1164"/>
        <v>1367</v>
      </c>
      <c r="H520" s="731">
        <f t="shared" si="1165"/>
        <v>55.549008691977299</v>
      </c>
      <c r="I520" s="750">
        <v>1</v>
      </c>
      <c r="J520" s="729" t="s">
        <v>46</v>
      </c>
      <c r="K520" s="729"/>
      <c r="L520" s="729" t="s">
        <v>24</v>
      </c>
      <c r="M520" s="729" t="s">
        <v>138</v>
      </c>
      <c r="N520" s="729">
        <f>IFERROR(VLOOKUP(C520,[3]List1!$A:$D,4,FALSE),"N/A!")</f>
        <v>1.2937624999999998E-2</v>
      </c>
      <c r="O520" s="729">
        <f>IFERROR(VLOOKUP(C520,[3]List1!$A:$D,3,FALSE),"N/A!")</f>
        <v>996</v>
      </c>
      <c r="P520" s="729">
        <f>IFERROR(VLOOKUP(C520,[3]List1!$A:$D,2,FALSE),"N/A!")</f>
        <v>6000</v>
      </c>
      <c r="Q520" s="729" t="s">
        <v>11320</v>
      </c>
      <c r="R520" s="729" t="s">
        <v>24</v>
      </c>
      <c r="S520" s="729" t="str">
        <f>IF($W$17=$AF$1,"červená fólie",IFERROR(VLOOKUP("červená fólie",Jazyky_ceník!$A:$Q,MATCH($W$17,Jazyky_ceník!$A$1:$Q$1,0),FALSE),"!!!"))</f>
        <v>červená fólie</v>
      </c>
      <c r="T520" s="729">
        <v>100</v>
      </c>
      <c r="U520" s="729">
        <v>25</v>
      </c>
      <c r="V520" s="729">
        <v>16</v>
      </c>
      <c r="W520" s="729" t="str">
        <f>IFERROR(VLOOKUP('General price list'!$C520,Popisy!A:P,MATCH($W$17,Popisy!$A$7:$P$7,0),FALSE),"---------------")</f>
        <v>16 různobarevných efektů</v>
      </c>
      <c r="X520" s="729" t="str">
        <f t="shared" si="1166"/>
        <v/>
      </c>
      <c r="Y520" s="729" t="str">
        <f t="shared" si="1167"/>
        <v/>
      </c>
      <c r="Z520" s="729" t="str">
        <f>HYPERLINK("https://www.klasekpyrotechnics.cz/c12820nid-c")</f>
        <v>https://www.klasekpyrotechnics.cz/c12820nid-c</v>
      </c>
      <c r="AA520" s="729">
        <f>IFERROR(IF(VLOOKUP(C520,[4]List1!$A:$D,4,FALSE)=0,"",VLOOKUP(C520,[4]List1!$A:$D,4,FALSE)),"")</f>
        <v>72</v>
      </c>
      <c r="AB520" s="720"/>
      <c r="AC520" s="751" t="str">
        <f>IFERROR(IF(VLOOKUP(C520,[1]List1!$A:$D,2,FALSE)="VYPRODÁNO",$V$9,IF(VLOOKUP(C520,[1]List1!$A:$D,2,FALSE)="DOCHÁZÍ",$V$3,VLOOKUP(C520,[1]List1!$A:$D,2,FALSE))),"OFFLINE!")</f>
        <v>SKLADEM</v>
      </c>
      <c r="AD520" s="752" t="str">
        <f ca="1">IF(AP520="NE",$V$10,IF(AC520=$V$3,IF(AQ520&lt;1,$V$8,$V$2&amp;" "&amp;AQ520&amp;" "&amp;$V$1),IF(AC520="SKLADEM",$V$6,IFERROR(IF(OR(AC520-TODAY()&gt;45,VLOOKUP(C520,[1]List1!$A:$E,4,FALSE)=0),AC520,DAY(AC520)&amp;"."&amp;MONTH(AC520)&amp;"."&amp;YEAR(AC520)&amp;" "&amp;$V$4&amp;VLOOKUP(C520,[1]List1!$A:$E,4,FALSE)&amp;" "&amp;$V$1),AC520))))</f>
        <v>SKLADEM</v>
      </c>
      <c r="AE520" s="729" t="str">
        <f t="shared" ca="1" si="1168"/>
        <v>SKLADEM</v>
      </c>
      <c r="AF520" s="735">
        <f t="shared" si="1169"/>
        <v>0</v>
      </c>
      <c r="AG520" s="735">
        <f t="shared" si="1170"/>
        <v>0</v>
      </c>
      <c r="AH520" s="736">
        <f t="shared" si="1171"/>
        <v>0</v>
      </c>
      <c r="AI520" s="729">
        <f t="shared" si="1172"/>
        <v>0</v>
      </c>
      <c r="AJ520" s="729">
        <f t="shared" si="1173"/>
        <v>0</v>
      </c>
      <c r="AK520" s="729" t="str">
        <f t="shared" si="1174"/>
        <v/>
      </c>
      <c r="AL520" s="729">
        <f t="shared" si="1175"/>
        <v>0</v>
      </c>
      <c r="AM520" s="729" t="str">
        <f t="shared" si="1176"/>
        <v/>
      </c>
      <c r="AN520" s="729">
        <f t="shared" si="1177"/>
        <v>0</v>
      </c>
      <c r="AO520" s="380"/>
      <c r="AP520" s="322" t="str">
        <f t="shared" si="1030"/>
        <v/>
      </c>
      <c r="AQ520" s="323" t="str">
        <f>IF(AC520=$V$3,IF(VLOOKUP(C520,[1]List1!$A:$E,5,FALSE)=0,1,VLOOKUP(C520,[1]List1!$A:$E,5,FALSE)),"")</f>
        <v/>
      </c>
      <c r="AR520" s="304" t="str">
        <f t="shared" si="1031"/>
        <v/>
      </c>
      <c r="AS520" s="423" t="str">
        <f t="shared" si="1032"/>
        <v/>
      </c>
      <c r="AT520" s="304" t="str">
        <f t="shared" si="1033"/>
        <v/>
      </c>
      <c r="AU520" s="342" t="e">
        <f t="shared" si="1034"/>
        <v>#N/A</v>
      </c>
      <c r="AV520" s="304" t="e">
        <f t="shared" si="1035"/>
        <v>#N/A</v>
      </c>
      <c r="AX520" s="304">
        <f>IF(AND('General price list'!$J520="F4",'General price list'!$AB520+0&gt;0),1,0)</f>
        <v>0</v>
      </c>
      <c r="AY520" s="304">
        <f t="shared" si="1036"/>
        <v>1</v>
      </c>
      <c r="AZ520" s="304">
        <f t="shared" si="1037"/>
        <v>0</v>
      </c>
    </row>
    <row r="521" spans="1:52" ht="15" customHeight="1">
      <c r="A521" s="712" t="str">
        <f>Kat.!C518</f>
        <v/>
      </c>
      <c r="B521" s="745">
        <f>IF(AND('General price list'!$J521="F4",$AI$1=FALSE),0,IF(AC521="SKLADEM",1,IF(AC521=$V$3,1,0)))</f>
        <v>1</v>
      </c>
      <c r="C521" s="714" t="s">
        <v>1261</v>
      </c>
      <c r="D521" s="715" t="s">
        <v>1243</v>
      </c>
      <c r="E521" s="716" t="s">
        <v>136</v>
      </c>
      <c r="F521" s="712">
        <f>IFERROR(ROUND(IF($AL$3=2,VLOOKUP(C521,[2]List1!$A:$D,2,FALSE)*1.08,VLOOKUP(C521,[2]List1!$A:$D,2,FALSE)),0),"NEUVEDENO!")</f>
        <v>1896</v>
      </c>
      <c r="G521" s="717">
        <f t="shared" si="1164"/>
        <v>1896</v>
      </c>
      <c r="H521" s="718">
        <f t="shared" si="1165"/>
        <v>77.045296620328429</v>
      </c>
      <c r="I521" s="746">
        <v>1</v>
      </c>
      <c r="J521" s="716" t="s">
        <v>46</v>
      </c>
      <c r="K521" s="716"/>
      <c r="L521" s="716" t="s">
        <v>24</v>
      </c>
      <c r="M521" s="716" t="s">
        <v>138</v>
      </c>
      <c r="N521" s="716">
        <f>IFERROR(VLOOKUP(C521,[3]List1!$A:$D,4,FALSE),"N/A!")</f>
        <v>2.8262499999999999E-2</v>
      </c>
      <c r="O521" s="716">
        <f>IFERROR(VLOOKUP(C521,[3]List1!$A:$D,3,FALSE),"N/A!")</f>
        <v>980</v>
      </c>
      <c r="P521" s="716">
        <f>IFERROR(VLOOKUP(C521,[3]List1!$A:$D,2,FALSE),"N/A!")</f>
        <v>7300</v>
      </c>
      <c r="Q521" s="716" t="s">
        <v>14185</v>
      </c>
      <c r="R521" s="716" t="s">
        <v>24</v>
      </c>
      <c r="S521" s="716" t="str">
        <f>IF($W$17=$AF$1,"červená fólie",IFERROR(VLOOKUP("červená fólie",Jazyky_ceník!$A:$Q,MATCH($W$17,Jazyky_ceník!$A$1:$Q$1,0),FALSE),"!!!"))</f>
        <v>červená fólie</v>
      </c>
      <c r="T521" s="716">
        <v>100</v>
      </c>
      <c r="U521" s="716">
        <v>25</v>
      </c>
      <c r="V521" s="716">
        <v>16</v>
      </c>
      <c r="W521" s="716" t="str">
        <f>IFERROR(VLOOKUP('General price list'!$C521,Popisy!A:P,MATCH($W$17,Popisy!$A$7:$P$7,0),FALSE),"---------------")</f>
        <v>18 různobarevných efektů</v>
      </c>
      <c r="X521" s="716" t="str">
        <f t="shared" si="1166"/>
        <v/>
      </c>
      <c r="Y521" s="716" t="str">
        <f t="shared" si="1167"/>
        <v/>
      </c>
      <c r="Z521" s="716" t="str">
        <f>HYPERLINK("https://www.klasekpyrotechnics.cz/c13220b-c")</f>
        <v>https://www.klasekpyrotechnics.cz/c13220b-c</v>
      </c>
      <c r="AA521" s="716" t="str">
        <f>IFERROR(IF(VLOOKUP(C521,[4]List1!$A:$D,4,FALSE)=0,"",VLOOKUP(C521,[4]List1!$A:$D,4,FALSE)),"")</f>
        <v>36</v>
      </c>
      <c r="AB521" s="720"/>
      <c r="AC521" s="747" t="str">
        <f>IFERROR(IF(VLOOKUP(C521,[1]List1!$A:$D,2,FALSE)="VYPRODÁNO",$V$9,IF(VLOOKUP(C521,[1]List1!$A:$D,2,FALSE)="DOCHÁZÍ",$V$3,VLOOKUP(C521,[1]List1!$A:$D,2,FALSE))),"OFFLINE!")</f>
        <v>SKLADEM</v>
      </c>
      <c r="AD521" s="748" t="str">
        <f ca="1">IF(AP521="NE",$V$10,IF(AC521=$V$3,IF(AQ521&lt;1,$V$8,$V$2&amp;" "&amp;AQ521&amp;" "&amp;$V$1),IF(AC521="SKLADEM",$V$6,IFERROR(IF(OR(AC521-TODAY()&gt;45,VLOOKUP(C521,[1]List1!$A:$E,4,FALSE)=0),AC521,DAY(AC521)&amp;"."&amp;MONTH(AC521)&amp;"."&amp;YEAR(AC521)&amp;" "&amp;$V$4&amp;VLOOKUP(C521,[1]List1!$A:$E,4,FALSE)&amp;" "&amp;$V$1),AC521))))</f>
        <v>SKLADEM</v>
      </c>
      <c r="AE521" s="716" t="str">
        <f t="shared" ca="1" si="1168"/>
        <v>SKLADEM</v>
      </c>
      <c r="AF521" s="723">
        <f t="shared" si="1169"/>
        <v>0</v>
      </c>
      <c r="AG521" s="723">
        <f t="shared" si="1170"/>
        <v>0</v>
      </c>
      <c r="AH521" s="724">
        <f t="shared" si="1171"/>
        <v>0</v>
      </c>
      <c r="AI521" s="716">
        <f t="shared" si="1172"/>
        <v>0</v>
      </c>
      <c r="AJ521" s="716">
        <f t="shared" si="1173"/>
        <v>0</v>
      </c>
      <c r="AK521" s="716" t="str">
        <f t="shared" si="1174"/>
        <v/>
      </c>
      <c r="AL521" s="716">
        <f t="shared" si="1175"/>
        <v>0</v>
      </c>
      <c r="AM521" s="716" t="str">
        <f t="shared" si="1176"/>
        <v/>
      </c>
      <c r="AN521" s="716">
        <f t="shared" si="1177"/>
        <v>0</v>
      </c>
      <c r="AO521" s="380"/>
      <c r="AP521" s="322" t="str">
        <f t="shared" si="1030"/>
        <v/>
      </c>
      <c r="AQ521" s="323" t="str">
        <f>IF(AC521=$V$3,IF(VLOOKUP(C521,[1]List1!$A:$E,5,FALSE)=0,1,VLOOKUP(C521,[1]List1!$A:$E,5,FALSE)),"")</f>
        <v/>
      </c>
      <c r="AR521" s="304" t="str">
        <f t="shared" si="1031"/>
        <v/>
      </c>
      <c r="AS521" s="423" t="str">
        <f t="shared" si="1032"/>
        <v/>
      </c>
      <c r="AT521" s="304" t="str">
        <f t="shared" si="1033"/>
        <v/>
      </c>
      <c r="AU521" s="342" t="e">
        <f t="shared" si="1034"/>
        <v>#N/A</v>
      </c>
      <c r="AV521" s="304" t="e">
        <f t="shared" si="1035"/>
        <v>#N/A</v>
      </c>
      <c r="AX521" s="304">
        <f>IF(AND('General price list'!$J521="F4",'General price list'!$AB521+0&gt;0),1,0)</f>
        <v>0</v>
      </c>
      <c r="AY521" s="304">
        <f t="shared" si="1036"/>
        <v>1</v>
      </c>
      <c r="AZ521" s="304">
        <f t="shared" si="1037"/>
        <v>0</v>
      </c>
    </row>
    <row r="522" spans="1:52" ht="15" customHeight="1">
      <c r="A522" s="725" t="str">
        <f>Kat.!C519</f>
        <v/>
      </c>
      <c r="B522" s="749">
        <f>IF(AND('General price list'!$J522="F4",$AI$1=FALSE),0,IF(AC522="SKLADEM",1,IF(AC522=$V$3,1,0)))</f>
        <v>1</v>
      </c>
      <c r="C522" s="727" t="s">
        <v>1263</v>
      </c>
      <c r="D522" s="728" t="s">
        <v>1380</v>
      </c>
      <c r="E522" s="729" t="s">
        <v>136</v>
      </c>
      <c r="F522" s="725">
        <f>IFERROR(ROUND(IF($AL$3=2,VLOOKUP(C522,[2]List1!$A:$D,2,FALSE)*1.08,VLOOKUP(C522,[2]List1!$A:$D,2,FALSE)),0),"NEUVEDENO!")</f>
        <v>1912</v>
      </c>
      <c r="G522" s="730">
        <f t="shared" si="1164"/>
        <v>1912</v>
      </c>
      <c r="H522" s="731">
        <f t="shared" si="1165"/>
        <v>77.695467899824862</v>
      </c>
      <c r="I522" s="750">
        <v>1</v>
      </c>
      <c r="J522" s="729" t="s">
        <v>46</v>
      </c>
      <c r="K522" s="729"/>
      <c r="L522" s="729" t="s">
        <v>24</v>
      </c>
      <c r="M522" s="729" t="s">
        <v>138</v>
      </c>
      <c r="N522" s="729">
        <f>IFERROR(VLOOKUP(C522,[3]List1!$A:$D,4,FALSE),"N/A!")</f>
        <v>1.8269999999999998E-2</v>
      </c>
      <c r="O522" s="729">
        <f>IFERROR(VLOOKUP(C522,[3]List1!$A:$D,3,FALSE),"N/A!")</f>
        <v>1494</v>
      </c>
      <c r="P522" s="729">
        <f>IFERROR(VLOOKUP(C522,[3]List1!$A:$D,2,FALSE),"N/A!")</f>
        <v>9580</v>
      </c>
      <c r="Q522" s="729" t="s">
        <v>14186</v>
      </c>
      <c r="R522" s="729" t="s">
        <v>24</v>
      </c>
      <c r="S522" s="729" t="str">
        <f>IF($W$17=$AF$1,"červená fólie",IFERROR(VLOOKUP("červená fólie",Jazyky_ceník!$A:$Q,MATCH($W$17,Jazyky_ceník!$A$1:$Q$1,0),FALSE),"!!!"))</f>
        <v>červená fólie</v>
      </c>
      <c r="T522" s="729">
        <v>120</v>
      </c>
      <c r="U522" s="729">
        <v>25</v>
      </c>
      <c r="V522" s="729">
        <v>16</v>
      </c>
      <c r="W522" s="729" t="str">
        <f>IFERROR(VLOOKUP('General price list'!$C522,Popisy!A:P,MATCH($W$17,Popisy!$A$7:$P$7,0),FALSE),"---------------")</f>
        <v>24 různobarevných efektů</v>
      </c>
      <c r="X522" s="729" t="str">
        <f t="shared" si="1166"/>
        <v/>
      </c>
      <c r="Y522" s="729" t="str">
        <f t="shared" si="1167"/>
        <v/>
      </c>
      <c r="Z522" s="729" t="str">
        <f>HYPERLINK("https://www.klasekpyrotechnics.cz/c19220f-c")</f>
        <v>https://www.klasekpyrotechnics.cz/c19220f-c</v>
      </c>
      <c r="AA522" s="729">
        <f>IFERROR(IF(VLOOKUP(C522,[4]List1!$A:$D,4,FALSE)=0,"",VLOOKUP(C522,[4]List1!$A:$D,4,FALSE)),"")</f>
        <v>66</v>
      </c>
      <c r="AB522" s="720"/>
      <c r="AC522" s="751" t="str">
        <f>IFERROR(IF(VLOOKUP(C522,[1]List1!$A:$D,2,FALSE)="VYPRODÁNO",$V$9,IF(VLOOKUP(C522,[1]List1!$A:$D,2,FALSE)="DOCHÁZÍ",$V$3,VLOOKUP(C522,[1]List1!$A:$D,2,FALSE))),"OFFLINE!")</f>
        <v>SKLADEM</v>
      </c>
      <c r="AD522" s="752" t="str">
        <f ca="1">IF(AP522="NE",$V$10,IF(AC522=$V$3,IF(AQ522&lt;1,$V$8,$V$2&amp;" "&amp;AQ522&amp;" "&amp;$V$1),IF(AC522="SKLADEM",$V$6,IFERROR(IF(OR(AC522-TODAY()&gt;45,VLOOKUP(C522,[1]List1!$A:$E,4,FALSE)=0),AC522,DAY(AC522)&amp;"."&amp;MONTH(AC522)&amp;"."&amp;YEAR(AC522)&amp;" "&amp;$V$4&amp;VLOOKUP(C522,[1]List1!$A:$E,4,FALSE)&amp;" "&amp;$V$1),AC522))))</f>
        <v>SKLADEM</v>
      </c>
      <c r="AE522" s="729" t="str">
        <f t="shared" ca="1" si="1168"/>
        <v>SKLADEM</v>
      </c>
      <c r="AF522" s="735">
        <f t="shared" si="1169"/>
        <v>0</v>
      </c>
      <c r="AG522" s="735">
        <f t="shared" si="1170"/>
        <v>0</v>
      </c>
      <c r="AH522" s="736">
        <f t="shared" si="1171"/>
        <v>0</v>
      </c>
      <c r="AI522" s="729">
        <f t="shared" si="1172"/>
        <v>0</v>
      </c>
      <c r="AJ522" s="729">
        <f t="shared" si="1173"/>
        <v>0</v>
      </c>
      <c r="AK522" s="729" t="str">
        <f t="shared" si="1174"/>
        <v/>
      </c>
      <c r="AL522" s="729">
        <f t="shared" si="1175"/>
        <v>0</v>
      </c>
      <c r="AM522" s="729" t="str">
        <f t="shared" si="1176"/>
        <v/>
      </c>
      <c r="AN522" s="729">
        <f t="shared" si="1177"/>
        <v>0</v>
      </c>
      <c r="AO522" s="380"/>
      <c r="AP522" s="322" t="str">
        <f t="shared" si="1030"/>
        <v/>
      </c>
      <c r="AQ522" s="323" t="str">
        <f>IF(AC522=$V$3,IF(VLOOKUP(C522,[1]List1!$A:$E,5,FALSE)=0,1,VLOOKUP(C522,[1]List1!$A:$E,5,FALSE)),"")</f>
        <v/>
      </c>
      <c r="AR522" s="304" t="str">
        <f t="shared" si="1031"/>
        <v/>
      </c>
      <c r="AS522" s="423" t="str">
        <f t="shared" si="1032"/>
        <v/>
      </c>
      <c r="AT522" s="304" t="str">
        <f t="shared" si="1033"/>
        <v/>
      </c>
      <c r="AU522" s="342" t="e">
        <f t="shared" si="1034"/>
        <v>#N/A</v>
      </c>
      <c r="AV522" s="304" t="e">
        <f t="shared" si="1035"/>
        <v>#N/A</v>
      </c>
      <c r="AX522" s="304">
        <f>IF(AND('General price list'!$J522="F4",'General price list'!$AB522+0&gt;0),1,0)</f>
        <v>0</v>
      </c>
      <c r="AY522" s="304">
        <f t="shared" si="1036"/>
        <v>1</v>
      </c>
      <c r="AZ522" s="304">
        <f t="shared" si="1037"/>
        <v>0</v>
      </c>
    </row>
    <row r="523" spans="1:52" ht="15" customHeight="1">
      <c r="A523" s="712" t="str">
        <f>Kat.!C520</f>
        <v/>
      </c>
      <c r="B523" s="745">
        <f>IF(AND('General price list'!$J523="F4",$AI$1=FALSE),0,IF(AC523="SKLADEM",1,IF(AC523=$V$3,1,0)))</f>
        <v>1</v>
      </c>
      <c r="C523" s="714" t="s">
        <v>1264</v>
      </c>
      <c r="D523" s="715" t="s">
        <v>12845</v>
      </c>
      <c r="E523" s="716" t="s">
        <v>136</v>
      </c>
      <c r="F523" s="712">
        <f>IFERROR(ROUND(IF($AL$3=2,VLOOKUP(C523,[2]List1!$A:$D,2,FALSE)*1.08,VLOOKUP(C523,[2]List1!$A:$D,2,FALSE)),0),"NEUVEDENO!")</f>
        <v>2265</v>
      </c>
      <c r="G523" s="717">
        <f t="shared" si="1164"/>
        <v>2265</v>
      </c>
      <c r="H523" s="718">
        <f t="shared" si="1165"/>
        <v>92.039871753715119</v>
      </c>
      <c r="I523" s="746">
        <v>1</v>
      </c>
      <c r="J523" s="716" t="s">
        <v>46</v>
      </c>
      <c r="K523" s="716"/>
      <c r="L523" s="716" t="s">
        <v>24</v>
      </c>
      <c r="M523" s="716" t="s">
        <v>138</v>
      </c>
      <c r="N523" s="716">
        <f>IFERROR(VLOOKUP(C523,[3]List1!$A:$D,4,FALSE),"N/A!")</f>
        <v>1.98505E-2</v>
      </c>
      <c r="O523" s="716">
        <f>IFERROR(VLOOKUP(C523,[3]List1!$A:$D,3,FALSE),"N/A!")</f>
        <v>1996</v>
      </c>
      <c r="P523" s="716">
        <f>IFERROR(VLOOKUP(C523,[3]List1!$A:$D,2,FALSE),"N/A!")</f>
        <v>9800</v>
      </c>
      <c r="Q523" s="716" t="s">
        <v>14187</v>
      </c>
      <c r="R523" s="716" t="s">
        <v>24</v>
      </c>
      <c r="S523" s="716" t="str">
        <f>IF($W$17=$AF$1,"červená fólie",IFERROR(VLOOKUP("červená fólie",Jazyky_ceník!$A:$Q,MATCH($W$17,Jazyky_ceník!$A$1:$Q$1,0),FALSE),"!!!"))</f>
        <v>červená fólie</v>
      </c>
      <c r="T523" s="716">
        <v>140</v>
      </c>
      <c r="U523" s="716">
        <v>27</v>
      </c>
      <c r="V523" s="716">
        <v>18</v>
      </c>
      <c r="W523" s="716" t="str">
        <f>IFERROR(VLOOKUP('General price list'!$C523,Popisy!A:P,MATCH($W$17,Popisy!$A$7:$P$7,0),FALSE),"---------------")</f>
        <v>7 různobarevných efektů</v>
      </c>
      <c r="X523" s="716" t="str">
        <f t="shared" si="1166"/>
        <v/>
      </c>
      <c r="Y523" s="716" t="str">
        <f t="shared" si="1167"/>
        <v/>
      </c>
      <c r="Z523" s="716" t="str">
        <f>HYPERLINK("https://www.klasekpyrotechnics.cz/c19620sig-c")</f>
        <v>https://www.klasekpyrotechnics.cz/c19620sig-c</v>
      </c>
      <c r="AA523" s="716" t="str">
        <f>IFERROR(IF(VLOOKUP(C523,[4]List1!$A:$D,4,FALSE)=0,"",VLOOKUP(C523,[4]List1!$A:$D,4,FALSE)),"")</f>
        <v>66</v>
      </c>
      <c r="AB523" s="720"/>
      <c r="AC523" s="747" t="str">
        <f>IFERROR(IF(VLOOKUP(C523,[1]List1!$A:$D,2,FALSE)="VYPRODÁNO",$V$9,IF(VLOOKUP(C523,[1]List1!$A:$D,2,FALSE)="DOCHÁZÍ",$V$3,VLOOKUP(C523,[1]List1!$A:$D,2,FALSE))),"OFFLINE!")</f>
        <v>SKLADEM</v>
      </c>
      <c r="AD523" s="748" t="str">
        <f ca="1">IF(AP523="NE",$V$10,IF(AC523=$V$3,IF(AQ523&lt;1,$V$8,$V$2&amp;" "&amp;AQ523&amp;" "&amp;$V$1),IF(AC523="SKLADEM",$V$6,IFERROR(IF(OR(AC523-TODAY()&gt;45,VLOOKUP(C523,[1]List1!$A:$E,4,FALSE)=0),AC523,DAY(AC523)&amp;"."&amp;MONTH(AC523)&amp;"."&amp;YEAR(AC523)&amp;" "&amp;$V$4&amp;VLOOKUP(C523,[1]List1!$A:$E,4,FALSE)&amp;" "&amp;$V$1),AC523))))</f>
        <v>SKLADEM</v>
      </c>
      <c r="AE523" s="716" t="str">
        <f t="shared" ca="1" si="1168"/>
        <v>SKLADEM</v>
      </c>
      <c r="AF523" s="723">
        <f t="shared" si="1169"/>
        <v>0</v>
      </c>
      <c r="AG523" s="723">
        <f t="shared" si="1170"/>
        <v>0</v>
      </c>
      <c r="AH523" s="724">
        <f t="shared" si="1171"/>
        <v>0</v>
      </c>
      <c r="AI523" s="716">
        <f t="shared" si="1172"/>
        <v>0</v>
      </c>
      <c r="AJ523" s="716">
        <f t="shared" si="1173"/>
        <v>0</v>
      </c>
      <c r="AK523" s="716" t="str">
        <f t="shared" si="1174"/>
        <v/>
      </c>
      <c r="AL523" s="716">
        <f t="shared" si="1175"/>
        <v>0</v>
      </c>
      <c r="AM523" s="716" t="str">
        <f t="shared" si="1176"/>
        <v/>
      </c>
      <c r="AN523" s="716">
        <f t="shared" si="1177"/>
        <v>0</v>
      </c>
      <c r="AO523" s="380"/>
      <c r="AP523" s="322" t="str">
        <f t="shared" si="1030"/>
        <v/>
      </c>
      <c r="AQ523" s="323" t="str">
        <f>IF(AC523=$V$3,IF(VLOOKUP(C523,[1]List1!$A:$E,5,FALSE)=0,1,VLOOKUP(C523,[1]List1!$A:$E,5,FALSE)),"")</f>
        <v/>
      </c>
      <c r="AR523" s="304" t="str">
        <f t="shared" si="1031"/>
        <v/>
      </c>
      <c r="AS523" s="423" t="str">
        <f t="shared" si="1032"/>
        <v/>
      </c>
      <c r="AT523" s="304" t="str">
        <f t="shared" si="1033"/>
        <v/>
      </c>
      <c r="AU523" s="342" t="e">
        <f t="shared" si="1034"/>
        <v>#N/A</v>
      </c>
      <c r="AV523" s="304" t="e">
        <f t="shared" si="1035"/>
        <v>#N/A</v>
      </c>
      <c r="AX523" s="304">
        <f>IF(AND('General price list'!$J523="F4",'General price list'!$AB523+0&gt;0),1,0)</f>
        <v>0</v>
      </c>
      <c r="AY523" s="304">
        <f t="shared" si="1036"/>
        <v>1</v>
      </c>
      <c r="AZ523" s="304">
        <f t="shared" si="1037"/>
        <v>0</v>
      </c>
    </row>
    <row r="524" spans="1:52" ht="15" customHeight="1">
      <c r="A524" s="725" t="str">
        <f>Kat.!C521</f>
        <v/>
      </c>
      <c r="B524" s="749">
        <f>IF(AND('General price list'!$J524="F4",$AI$1=FALSE),0,IF(AC524="SKLADEM",1,IF(AC524=$V$3,1,0)))</f>
        <v>1</v>
      </c>
      <c r="C524" s="727" t="s">
        <v>2543</v>
      </c>
      <c r="D524" s="728" t="s">
        <v>12373</v>
      </c>
      <c r="E524" s="729" t="s">
        <v>136</v>
      </c>
      <c r="F524" s="725">
        <f>IFERROR(ROUND(IF($AL$3=2,VLOOKUP(C524,[2]List1!$A:$D,2,FALSE)*1.08,VLOOKUP(C524,[2]List1!$A:$D,2,FALSE)),0),"NEUVEDENO!")</f>
        <v>3336</v>
      </c>
      <c r="G524" s="730">
        <f t="shared" si="1164"/>
        <v>3336</v>
      </c>
      <c r="H524" s="731">
        <f t="shared" si="1165"/>
        <v>135.56071177500823</v>
      </c>
      <c r="I524" s="750">
        <v>1</v>
      </c>
      <c r="J524" s="729" t="s">
        <v>46</v>
      </c>
      <c r="K524" s="729"/>
      <c r="L524" s="729" t="s">
        <v>24</v>
      </c>
      <c r="M524" s="729" t="s">
        <v>138</v>
      </c>
      <c r="N524" s="729">
        <f>IFERROR(VLOOKUP(C524,[3]List1!$A:$D,4,FALSE),"N/A!")</f>
        <v>3.2933250000000004E-2</v>
      </c>
      <c r="O524" s="729">
        <f>IFERROR(VLOOKUP(C524,[3]List1!$A:$D,3,FALSE),"N/A!")</f>
        <v>1994</v>
      </c>
      <c r="P524" s="729">
        <f>IFERROR(VLOOKUP(C524,[3]List1!$A:$D,2,FALSE),"N/A!")</f>
        <v>12700</v>
      </c>
      <c r="Q524" s="729" t="s">
        <v>14174</v>
      </c>
      <c r="R524" s="729" t="s">
        <v>24</v>
      </c>
      <c r="S524" s="729" t="str">
        <f>IF($W$17=$AF$1,"červená fólie",IFERROR(VLOOKUP("červená fólie",Jazyky_ceník!$A:$Q,MATCH($W$17,Jazyky_ceník!$A$1:$Q$1,0),FALSE),"!!!"))</f>
        <v>červená fólie</v>
      </c>
      <c r="T524" s="729">
        <v>120</v>
      </c>
      <c r="U524" s="729">
        <v>25</v>
      </c>
      <c r="V524" s="729">
        <v>16</v>
      </c>
      <c r="W524" s="729" t="str">
        <f>IFERROR(VLOOKUP('General price list'!$C524,Popisy!A:P,MATCH($W$17,Popisy!$A$7:$P$7,0),FALSE),"---------------")</f>
        <v>24 různobarevných efektů</v>
      </c>
      <c r="X524" s="729" t="str">
        <f t="shared" si="1166"/>
        <v/>
      </c>
      <c r="Y524" s="729" t="str">
        <f t="shared" si="1167"/>
        <v/>
      </c>
      <c r="Z524" s="729" t="str">
        <f>HYPERLINK("https://www.klasekpyrotechnics.cz/c25220xfs-c")</f>
        <v>https://www.klasekpyrotechnics.cz/c25220xfs-c</v>
      </c>
      <c r="AA524" s="729" t="str">
        <f>IFERROR(IF(VLOOKUP(C524,[4]List1!$A:$D,4,FALSE)=0,"",VLOOKUP(C524,[4]List1!$A:$D,4,FALSE)),"")</f>
        <v>40</v>
      </c>
      <c r="AB524" s="720"/>
      <c r="AC524" s="751" t="str">
        <f>IFERROR(IF(VLOOKUP(C524,[1]List1!$A:$D,2,FALSE)="VYPRODÁNO",$V$9,IF(VLOOKUP(C524,[1]List1!$A:$D,2,FALSE)="DOCHÁZÍ",$V$3,VLOOKUP(C524,[1]List1!$A:$D,2,FALSE))),"OFFLINE!")</f>
        <v>SKLADEM</v>
      </c>
      <c r="AD524" s="752" t="str">
        <f ca="1">IF(AP524="NE",$V$10,IF(AC524=$V$3,IF(AQ524&lt;1,$V$8,$V$2&amp;" "&amp;AQ524&amp;" "&amp;$V$1),IF(AC524="SKLADEM",$V$6,IFERROR(IF(OR(AC524-TODAY()&gt;45,VLOOKUP(C524,[1]List1!$A:$E,4,FALSE)=0),AC524,DAY(AC524)&amp;"."&amp;MONTH(AC524)&amp;"."&amp;YEAR(AC524)&amp;" "&amp;$V$4&amp;VLOOKUP(C524,[1]List1!$A:$E,4,FALSE)&amp;" "&amp;$V$1),AC524))))</f>
        <v>SKLADEM</v>
      </c>
      <c r="AE524" s="729" t="str">
        <f t="shared" ca="1" si="1168"/>
        <v>SKLADEM</v>
      </c>
      <c r="AF524" s="735">
        <f t="shared" si="1169"/>
        <v>0</v>
      </c>
      <c r="AG524" s="735">
        <f t="shared" si="1170"/>
        <v>0</v>
      </c>
      <c r="AH524" s="736">
        <f t="shared" si="1171"/>
        <v>0</v>
      </c>
      <c r="AI524" s="729">
        <f t="shared" si="1172"/>
        <v>0</v>
      </c>
      <c r="AJ524" s="729">
        <f t="shared" si="1173"/>
        <v>0</v>
      </c>
      <c r="AK524" s="729" t="str">
        <f t="shared" si="1174"/>
        <v/>
      </c>
      <c r="AL524" s="729">
        <f t="shared" si="1175"/>
        <v>0</v>
      </c>
      <c r="AM524" s="729" t="str">
        <f t="shared" si="1176"/>
        <v/>
      </c>
      <c r="AN524" s="729">
        <f t="shared" si="1177"/>
        <v>0</v>
      </c>
      <c r="AO524" s="380"/>
      <c r="AP524" s="322" t="str">
        <f t="shared" si="1030"/>
        <v/>
      </c>
      <c r="AQ524" s="323" t="str">
        <f>IF(AC524=$V$3,IF(VLOOKUP(C524,[1]List1!$A:$E,5,FALSE)=0,1,VLOOKUP(C524,[1]List1!$A:$E,5,FALSE)),"")</f>
        <v/>
      </c>
      <c r="AR524" s="304" t="str">
        <f t="shared" si="1031"/>
        <v/>
      </c>
      <c r="AS524" s="423" t="str">
        <f t="shared" si="1032"/>
        <v/>
      </c>
      <c r="AT524" s="304" t="str">
        <f t="shared" si="1033"/>
        <v/>
      </c>
      <c r="AU524" s="342" t="e">
        <f t="shared" si="1034"/>
        <v>#N/A</v>
      </c>
      <c r="AV524" s="304" t="e">
        <f t="shared" si="1035"/>
        <v>#N/A</v>
      </c>
      <c r="AX524" s="304">
        <f>IF(AND('General price list'!$J524="F4",'General price list'!$AB524+0&gt;0),1,0)</f>
        <v>0</v>
      </c>
      <c r="AY524" s="304">
        <f t="shared" si="1036"/>
        <v>1</v>
      </c>
      <c r="AZ524" s="304">
        <f t="shared" si="1037"/>
        <v>0</v>
      </c>
    </row>
    <row r="525" spans="1:52" ht="15" customHeight="1">
      <c r="A525" s="712" t="str">
        <f>Kat.!C522</f>
        <v/>
      </c>
      <c r="B525" s="745">
        <f>IF(AND('General price list'!$J525="F4",$AI$1=FALSE),0,IF(AC525="SKLADEM",1,IF(AC525=$V$3,1,0)))</f>
        <v>1</v>
      </c>
      <c r="C525" s="714" t="s">
        <v>1265</v>
      </c>
      <c r="D525" s="715" t="s">
        <v>1251</v>
      </c>
      <c r="E525" s="716" t="s">
        <v>136</v>
      </c>
      <c r="F525" s="712">
        <f>IFERROR(ROUND(IF($AL$3=2,VLOOKUP(C525,[2]List1!$A:$D,2,FALSE)*1.08,VLOOKUP(C525,[2]List1!$A:$D,2,FALSE)),0),"NEUVEDENO!")</f>
        <v>2631</v>
      </c>
      <c r="G525" s="717">
        <f t="shared" si="1164"/>
        <v>2631</v>
      </c>
      <c r="H525" s="718">
        <f t="shared" si="1165"/>
        <v>106.91253977219624</v>
      </c>
      <c r="I525" s="746">
        <v>1</v>
      </c>
      <c r="J525" s="716" t="s">
        <v>46</v>
      </c>
      <c r="K525" s="716"/>
      <c r="L525" s="716" t="s">
        <v>24</v>
      </c>
      <c r="M525" s="716" t="s">
        <v>138</v>
      </c>
      <c r="N525" s="716">
        <f>IFERROR(VLOOKUP(C525,[3]List1!$A:$D,4,FALSE),"N/A!")</f>
        <v>2.0663999999999995E-2</v>
      </c>
      <c r="O525" s="716">
        <f>IFERROR(VLOOKUP(C525,[3]List1!$A:$D,3,FALSE),"N/A!")</f>
        <v>1992</v>
      </c>
      <c r="P525" s="716">
        <f>IFERROR(VLOOKUP(C525,[3]List1!$A:$D,2,FALSE),"N/A!")</f>
        <v>13500</v>
      </c>
      <c r="Q525" s="716" t="s">
        <v>14175</v>
      </c>
      <c r="R525" s="716" t="s">
        <v>24</v>
      </c>
      <c r="S525" s="716" t="str">
        <f>IF($W$17=$AF$1,"červená fólie",IFERROR(VLOOKUP("červená fólie",Jazyky_ceník!$A:$Q,MATCH($W$17,Jazyky_ceník!$A$1:$Q$1,0),FALSE),"!!!"))</f>
        <v>červená fólie</v>
      </c>
      <c r="T525" s="716">
        <v>180</v>
      </c>
      <c r="U525" s="716">
        <v>25</v>
      </c>
      <c r="V525" s="716">
        <v>16</v>
      </c>
      <c r="W525" s="716" t="str">
        <f>IFERROR(VLOOKUP('General price list'!$C525,Popisy!A:P,MATCH($W$17,Popisy!$A$7:$P$7,0),FALSE),"---------------")</f>
        <v>32 různobarevných efektů</v>
      </c>
      <c r="X525" s="716" t="str">
        <f t="shared" si="1166"/>
        <v/>
      </c>
      <c r="Y525" s="716" t="str">
        <f t="shared" si="1167"/>
        <v/>
      </c>
      <c r="Z525" s="716" t="str">
        <f>HYPERLINK("https://www.klasekpyrotechnics.cz/c25620f-c")</f>
        <v>https://www.klasekpyrotechnics.cz/c25620f-c</v>
      </c>
      <c r="AA525" s="716">
        <f>IFERROR(IF(VLOOKUP(C525,[4]List1!$A:$D,4,FALSE)=0,"",VLOOKUP(C525,[4]List1!$A:$D,4,FALSE)),"")</f>
        <v>66</v>
      </c>
      <c r="AB525" s="720"/>
      <c r="AC525" s="747" t="str">
        <f>IFERROR(IF(VLOOKUP(C525,[1]List1!$A:$D,2,FALSE)="VYPRODÁNO",$V$9,IF(VLOOKUP(C525,[1]List1!$A:$D,2,FALSE)="DOCHÁZÍ",$V$3,VLOOKUP(C525,[1]List1!$A:$D,2,FALSE))),"OFFLINE!")</f>
        <v>SKLADEM</v>
      </c>
      <c r="AD525" s="748" t="str">
        <f ca="1">IF(AP525="NE",$V$10,IF(AC525=$V$3,IF(AQ525&lt;1,$V$8,$V$2&amp;" "&amp;AQ525&amp;" "&amp;$V$1),IF(AC525="SKLADEM",$V$6,IFERROR(IF(OR(AC525-TODAY()&gt;45,VLOOKUP(C525,[1]List1!$A:$E,4,FALSE)=0),AC525,DAY(AC525)&amp;"."&amp;MONTH(AC525)&amp;"."&amp;YEAR(AC525)&amp;" "&amp;$V$4&amp;VLOOKUP(C525,[1]List1!$A:$E,4,FALSE)&amp;" "&amp;$V$1),AC525))))</f>
        <v>SKLADEM</v>
      </c>
      <c r="AE525" s="716" t="str">
        <f t="shared" ca="1" si="1168"/>
        <v>SKLADEM</v>
      </c>
      <c r="AF525" s="723">
        <f t="shared" si="1169"/>
        <v>0</v>
      </c>
      <c r="AG525" s="723">
        <f t="shared" si="1170"/>
        <v>0</v>
      </c>
      <c r="AH525" s="724">
        <f t="shared" si="1171"/>
        <v>0</v>
      </c>
      <c r="AI525" s="716">
        <f t="shared" si="1172"/>
        <v>0</v>
      </c>
      <c r="AJ525" s="716">
        <f t="shared" si="1173"/>
        <v>0</v>
      </c>
      <c r="AK525" s="716" t="str">
        <f t="shared" si="1174"/>
        <v/>
      </c>
      <c r="AL525" s="716">
        <f t="shared" si="1175"/>
        <v>0</v>
      </c>
      <c r="AM525" s="716" t="str">
        <f t="shared" si="1176"/>
        <v/>
      </c>
      <c r="AN525" s="716">
        <f t="shared" si="1177"/>
        <v>0</v>
      </c>
      <c r="AO525" s="380"/>
      <c r="AP525" s="322" t="str">
        <f t="shared" si="1030"/>
        <v/>
      </c>
      <c r="AQ525" s="323" t="str">
        <f>IF(AC525=$V$3,IF(VLOOKUP(C525,[1]List1!$A:$E,5,FALSE)=0,1,VLOOKUP(C525,[1]List1!$A:$E,5,FALSE)),"")</f>
        <v/>
      </c>
      <c r="AR525" s="304" t="str">
        <f t="shared" si="1031"/>
        <v/>
      </c>
      <c r="AS525" s="423" t="str">
        <f t="shared" si="1032"/>
        <v/>
      </c>
      <c r="AT525" s="304" t="str">
        <f t="shared" si="1033"/>
        <v/>
      </c>
      <c r="AU525" s="342" t="e">
        <f t="shared" si="1034"/>
        <v>#N/A</v>
      </c>
      <c r="AV525" s="304" t="e">
        <f t="shared" si="1035"/>
        <v>#N/A</v>
      </c>
      <c r="AX525" s="304">
        <f>IF(AND('General price list'!$J525="F4",'General price list'!$AB525+0&gt;0),1,0)</f>
        <v>0</v>
      </c>
      <c r="AY525" s="304">
        <f t="shared" si="1036"/>
        <v>1</v>
      </c>
      <c r="AZ525" s="304">
        <f t="shared" si="1037"/>
        <v>0</v>
      </c>
    </row>
    <row r="526" spans="1:52" ht="15" customHeight="1">
      <c r="A526" s="725" t="str">
        <f>Kat.!C523</f>
        <v/>
      </c>
      <c r="B526" s="749">
        <f>IF(AND('General price list'!$J526="F4",$AI$1=FALSE),0,IF(AC526="SKLADEM",1,IF(AC526=$V$3,1,0)))</f>
        <v>1</v>
      </c>
      <c r="C526" s="727" t="s">
        <v>1266</v>
      </c>
      <c r="D526" s="728" t="s">
        <v>1256</v>
      </c>
      <c r="E526" s="729" t="s">
        <v>136</v>
      </c>
      <c r="F526" s="725">
        <f>IFERROR(ROUND(IF($AL$3=2,VLOOKUP(C526,[2]List1!$A:$D,2,FALSE)*1.08,VLOOKUP(C526,[2]List1!$A:$D,2,FALSE)),0),"NEUVEDENO!")</f>
        <v>3554</v>
      </c>
      <c r="G526" s="730">
        <f t="shared" si="1164"/>
        <v>3554</v>
      </c>
      <c r="H526" s="731">
        <f t="shared" si="1165"/>
        <v>144.41929545814727</v>
      </c>
      <c r="I526" s="750">
        <v>1</v>
      </c>
      <c r="J526" s="729" t="s">
        <v>46</v>
      </c>
      <c r="K526" s="729"/>
      <c r="L526" s="729" t="s">
        <v>24</v>
      </c>
      <c r="M526" s="729" t="s">
        <v>138</v>
      </c>
      <c r="N526" s="729">
        <f>IFERROR(VLOOKUP(C526,[3]List1!$A:$D,4,FALSE),"N/A!")</f>
        <v>5.5107499999999997E-2</v>
      </c>
      <c r="O526" s="729">
        <f>IFERROR(VLOOKUP(C526,[3]List1!$A:$D,3,FALSE),"N/A!")</f>
        <v>1960</v>
      </c>
      <c r="P526" s="729">
        <f>IFERROR(VLOOKUP(C526,[3]List1!$A:$D,2,FALSE),"N/A!")</f>
        <v>15100</v>
      </c>
      <c r="Q526" s="729" t="s">
        <v>14110</v>
      </c>
      <c r="R526" s="729" t="s">
        <v>24</v>
      </c>
      <c r="S526" s="729" t="str">
        <f>IF($W$17=$AF$1,"červená fólie",IFERROR(VLOOKUP("červená fólie",Jazyky_ceník!$A:$Q,MATCH($W$17,Jazyky_ceník!$A$1:$Q$1,0),FALSE),"!!!"))</f>
        <v>červená fólie</v>
      </c>
      <c r="T526" s="729">
        <v>180</v>
      </c>
      <c r="U526" s="729">
        <v>25</v>
      </c>
      <c r="V526" s="729">
        <v>16</v>
      </c>
      <c r="W526" s="729" t="str">
        <f>IFERROR(VLOOKUP('General price list'!$C526,Popisy!A:P,MATCH($W$17,Popisy!$A$7:$P$7,0),FALSE),"---------------")</f>
        <v>18 různobarevných efektů</v>
      </c>
      <c r="X526" s="729" t="str">
        <f t="shared" si="1166"/>
        <v/>
      </c>
      <c r="Y526" s="729" t="str">
        <f t="shared" si="1167"/>
        <v/>
      </c>
      <c r="Z526" s="729" t="str">
        <f>HYPERLINK("https://www.klasekpyrotechnics.cz/c26420n-c")</f>
        <v>https://www.klasekpyrotechnics.cz/c26420n-c</v>
      </c>
      <c r="AA526" s="729">
        <f>IFERROR(IF(VLOOKUP(C526,[4]List1!$A:$D,4,FALSE)=0,"",VLOOKUP(C526,[4]List1!$A:$D,4,FALSE)),"")</f>
        <v>18</v>
      </c>
      <c r="AB526" s="720"/>
      <c r="AC526" s="751" t="str">
        <f>IFERROR(IF(VLOOKUP(C526,[1]List1!$A:$D,2,FALSE)="VYPRODÁNO",$V$9,IF(VLOOKUP(C526,[1]List1!$A:$D,2,FALSE)="DOCHÁZÍ",$V$3,VLOOKUP(C526,[1]List1!$A:$D,2,FALSE))),"OFFLINE!")</f>
        <v>DOCHÁZÍ</v>
      </c>
      <c r="AD526" s="752" t="str">
        <f ca="1">IF(AP526="NE",$V$10,IF(AC526=$V$3,IF(AQ526&lt;1,$V$8,$V$2&amp;" "&amp;AQ526&amp;" "&amp;$V$1),IF(AC526="SKLADEM",$V$6,IFERROR(IF(OR(AC526-TODAY()&gt;45,VLOOKUP(C526,[1]List1!$A:$E,4,FALSE)=0),AC526,DAY(AC526)&amp;"."&amp;MONTH(AC526)&amp;"."&amp;YEAR(AC526)&amp;" "&amp;$V$4&amp;VLOOKUP(C526,[1]List1!$A:$E,4,FALSE)&amp;" "&amp;$V$1),AC526))))</f>
        <v>POSLEDNÍCH 29 VK</v>
      </c>
      <c r="AE526" s="729" t="str">
        <f t="shared" ca="1" si="1168"/>
        <v>POSLEDNÍCH 29 VK</v>
      </c>
      <c r="AF526" s="735">
        <f t="shared" si="1169"/>
        <v>0</v>
      </c>
      <c r="AG526" s="735">
        <f t="shared" si="1170"/>
        <v>0</v>
      </c>
      <c r="AH526" s="736">
        <f t="shared" si="1171"/>
        <v>0</v>
      </c>
      <c r="AI526" s="729">
        <f t="shared" si="1172"/>
        <v>0</v>
      </c>
      <c r="AJ526" s="729">
        <f t="shared" si="1173"/>
        <v>0</v>
      </c>
      <c r="AK526" s="729" t="str">
        <f t="shared" si="1174"/>
        <v/>
      </c>
      <c r="AL526" s="729">
        <f t="shared" si="1175"/>
        <v>0</v>
      </c>
      <c r="AM526" s="729" t="str">
        <f t="shared" si="1176"/>
        <v/>
      </c>
      <c r="AN526" s="729">
        <f t="shared" si="1177"/>
        <v>0</v>
      </c>
      <c r="AO526" s="380"/>
      <c r="AP526" s="322" t="str">
        <f t="shared" si="1030"/>
        <v/>
      </c>
      <c r="AQ526" s="323">
        <f>IF(AC526=$V$3,IF(VLOOKUP(C526,[1]List1!$A:$E,5,FALSE)=0,1,VLOOKUP(C526,[1]List1!$A:$E,5,FALSE)),"")</f>
        <v>29</v>
      </c>
      <c r="AR526" s="304" t="str">
        <f t="shared" si="1031"/>
        <v/>
      </c>
      <c r="AS526" s="423" t="str">
        <f t="shared" si="1032"/>
        <v/>
      </c>
      <c r="AT526" s="304" t="str">
        <f t="shared" si="1033"/>
        <v/>
      </c>
      <c r="AU526" s="342" t="e">
        <f t="shared" si="1034"/>
        <v>#N/A</v>
      </c>
      <c r="AV526" s="304" t="e">
        <f t="shared" si="1035"/>
        <v>#N/A</v>
      </c>
      <c r="AX526" s="304">
        <f>IF(AND('General price list'!$J526="F4",'General price list'!$AB526+0&gt;0),1,0)</f>
        <v>0</v>
      </c>
      <c r="AY526" s="304">
        <f t="shared" si="1036"/>
        <v>1</v>
      </c>
      <c r="AZ526" s="304">
        <f t="shared" si="1037"/>
        <v>0</v>
      </c>
    </row>
    <row r="527" spans="1:52" ht="15" customHeight="1">
      <c r="A527" s="773" t="str">
        <f>Kat.!C524</f>
        <v xml:space="preserve">                                                               Složený ohňostroj 20mm(s ochraným obalem) - F2 - 1.3G</v>
      </c>
      <c r="B527" s="774"/>
      <c r="C527" s="774"/>
      <c r="D527" s="774"/>
      <c r="E527" s="774"/>
      <c r="F527" s="774"/>
      <c r="G527" s="774"/>
      <c r="H527" s="774"/>
      <c r="I527" s="774"/>
      <c r="J527" s="774"/>
      <c r="K527" s="774"/>
      <c r="L527" s="774"/>
      <c r="M527" s="774"/>
      <c r="N527" s="774"/>
      <c r="O527" s="774"/>
      <c r="P527" s="774"/>
      <c r="Q527" s="774"/>
      <c r="R527" s="774"/>
      <c r="S527" s="774"/>
      <c r="T527" s="774"/>
      <c r="U527" s="774"/>
      <c r="V527" s="774"/>
      <c r="W527" s="774"/>
      <c r="X527" s="774"/>
      <c r="Y527" s="774"/>
      <c r="Z527" s="774"/>
      <c r="AA527" s="774" t="str">
        <f>IFERROR(IF(VLOOKUP(C527,[4]List1!$A:$D,4,FALSE)=0,"",VLOOKUP(C527,[4]List1!$A:$D,4,FALSE)),"")</f>
        <v/>
      </c>
      <c r="AB527" s="774"/>
      <c r="AC527" s="775" t="str">
        <f>IFERROR(IF(VLOOKUP(C527,[1]List1!$A:$D,2,FALSE)="VYPRODÁNO",$V$9,IF(VLOOKUP(C527,[1]List1!$A:$D,2,FALSE)="DOCHÁZÍ",$V$3,VLOOKUP(C527,[1]List1!$A:$D,2,FALSE))),"OFFLINE!")</f>
        <v>OFFLINE!</v>
      </c>
      <c r="AD527" s="774"/>
      <c r="AE527" s="774"/>
      <c r="AF527" s="774"/>
      <c r="AG527" s="774"/>
      <c r="AH527" s="774"/>
      <c r="AI527" s="774"/>
      <c r="AJ527" s="774"/>
      <c r="AK527" s="774"/>
      <c r="AL527" s="774"/>
      <c r="AM527" s="774"/>
      <c r="AN527" s="774"/>
      <c r="AO527" s="380"/>
      <c r="AP527" s="322" t="str">
        <f t="shared" si="1030"/>
        <v/>
      </c>
      <c r="AQ527" s="323" t="str">
        <f>IF(AC527=$V$3,IF(VLOOKUP(C527,[1]List1!$A:$E,5,FALSE)=0,1,VLOOKUP(C527,[1]List1!$A:$E,5,FALSE)),"")</f>
        <v/>
      </c>
      <c r="AR527" s="304" t="str">
        <f t="shared" si="1031"/>
        <v/>
      </c>
      <c r="AS527" s="423" t="str">
        <f t="shared" si="1032"/>
        <v/>
      </c>
      <c r="AT527" s="304" t="str">
        <f t="shared" si="1033"/>
        <v/>
      </c>
      <c r="AU527" s="342" t="e">
        <f t="shared" si="1034"/>
        <v>#N/A</v>
      </c>
      <c r="AV527" s="304" t="e">
        <f t="shared" si="1035"/>
        <v>#N/A</v>
      </c>
      <c r="AX527" s="304">
        <f>IF(AND('General price list'!$J527="F4",'General price list'!$AB527+0&gt;0),1,0)</f>
        <v>0</v>
      </c>
      <c r="AY527" s="304">
        <f t="shared" si="1036"/>
        <v>0</v>
      </c>
      <c r="AZ527" s="304">
        <f t="shared" si="1037"/>
        <v>0</v>
      </c>
    </row>
    <row r="528" spans="1:52" ht="15" customHeight="1">
      <c r="A528" s="725" t="str">
        <f>Kat.!C525</f>
        <v/>
      </c>
      <c r="B528" s="741">
        <f>IF(AND('General price list'!$J528="F4",$AI$1=FALSE),0,IF(AC528="SKLADEM",1,IF(AC528=$V$3,1,0)))</f>
        <v>1</v>
      </c>
      <c r="C528" s="727" t="s">
        <v>2720</v>
      </c>
      <c r="D528" s="728" t="s">
        <v>14586</v>
      </c>
      <c r="E528" s="729" t="s">
        <v>136</v>
      </c>
      <c r="F528" s="725">
        <f>IFERROR(ROUND(IF($AL$3=2,VLOOKUP(C528,[2]List1!$A:$D,2,FALSE)*1.08,VLOOKUP(C528,[2]List1!$A:$D,2,FALSE)),0),"NEUVEDENO!")</f>
        <v>1532</v>
      </c>
      <c r="G528" s="730">
        <f t="shared" ref="G528:G535" si="1178">(F528)*$B$19</f>
        <v>1532</v>
      </c>
      <c r="H528" s="731">
        <f t="shared" ref="H528:H535" si="1179">G528/$F$19</f>
        <v>62.25390001178436</v>
      </c>
      <c r="I528" s="742">
        <v>1</v>
      </c>
      <c r="J528" s="729" t="s">
        <v>46</v>
      </c>
      <c r="K528" s="729">
        <v>6</v>
      </c>
      <c r="L528" s="729" t="s">
        <v>24</v>
      </c>
      <c r="M528" s="729" t="s">
        <v>138</v>
      </c>
      <c r="N528" s="729">
        <f>IFERROR(VLOOKUP(C528,[3]List1!$A:$D,4,FALSE),"N/A!")</f>
        <v>1.2937624999999998E-2</v>
      </c>
      <c r="O528" s="729">
        <f>IFERROR(VLOOKUP(C528,[3]List1!$A:$D,3,FALSE),"N/A!")</f>
        <v>996</v>
      </c>
      <c r="P528" s="729">
        <f>IFERROR(VLOOKUP(C528,[3]List1!$A:$D,2,FALSE),"N/A!")</f>
        <v>6350</v>
      </c>
      <c r="Q528" s="729" t="s">
        <v>11320</v>
      </c>
      <c r="R528" s="729" t="s">
        <v>24</v>
      </c>
      <c r="S528" s="729" t="str">
        <f>IF($W$17=$AF$1,"červená fólie",IFERROR(VLOOKUP("červená fólie",Jazyky_ceník!$A:$Q,MATCH($W$17,Jazyky_ceník!$A$1:$Q$1,0),FALSE),"!!!"))</f>
        <v>červená fólie</v>
      </c>
      <c r="T528" s="729">
        <v>100</v>
      </c>
      <c r="U528" s="729">
        <v>25</v>
      </c>
      <c r="V528" s="729">
        <v>16</v>
      </c>
      <c r="W528" s="729" t="str">
        <f>IFERROR(VLOOKUP('General price list'!$C528,Popisy!A:P,MATCH($W$17,Popisy!$A$7:$P$7,0),FALSE),"---------------")</f>
        <v>16 různobarevných efektů</v>
      </c>
      <c r="X528" s="729" t="str">
        <f t="shared" ref="X528:X535" si="1180">IF(AB528&lt;0.0001,"",AB528)</f>
        <v/>
      </c>
      <c r="Y528" s="729" t="str">
        <f t="shared" ref="Y528:Y535" si="1181">IF($AL$3=2,IF(OR(AB528&lt;&gt;"",AB528&lt;&gt;0),AU528,""),IF(C528="","",IF(AB528&lt;0.0001,"",IF(B528=0,"",IF(AQ528&lt;AB528,"",AB528)))))</f>
        <v/>
      </c>
      <c r="Z528" s="729" t="str">
        <f>HYPERLINK("https://www.klasekpyrotechnics.cz/c12820f-c_t")</f>
        <v>https://www.klasekpyrotechnics.cz/c12820f-c_t</v>
      </c>
      <c r="AA528" s="729">
        <f>IFERROR(IF(VLOOKUP(C528,[4]List1!$A:$D,4,FALSE)=0,"",VLOOKUP(C528,[4]List1!$A:$D,4,FALSE)),"")</f>
        <v>77</v>
      </c>
      <c r="AB528" s="720"/>
      <c r="AC528" s="743" t="str">
        <f>IFERROR(IF(VLOOKUP(C528,[1]List1!$A:$D,2,FALSE)="VYPRODÁNO",$V$9,IF(VLOOKUP(C528,[1]List1!$A:$D,2,FALSE)="DOCHÁZÍ",$V$3,VLOOKUP(C528,[1]List1!$A:$D,2,FALSE))),"OFFLINE!")</f>
        <v>SKLADEM</v>
      </c>
      <c r="AD528" s="744" t="str">
        <f ca="1">IF(AP528="NE",$V$10,IF(AC528=$V$3,IF(AQ528&lt;1,$V$8,$V$2&amp;" "&amp;AQ528&amp;" "&amp;$V$1),IF(AC528="SKLADEM",$V$6,IFERROR(IF(OR(AC528-TODAY()&gt;45,VLOOKUP(C528,[1]List1!$A:$E,4,FALSE)=0),AC528,DAY(AC528)&amp;"."&amp;MONTH(AC528)&amp;"."&amp;YEAR(AC528)&amp;" "&amp;$V$4&amp;VLOOKUP(C528,[1]List1!$A:$E,4,FALSE)&amp;" "&amp;$V$1),AC528))))</f>
        <v>SKLADEM</v>
      </c>
      <c r="AE528" s="729" t="str">
        <f t="shared" ref="AE528:AE535" ca="1" si="1182">IFERROR(IF(AV528&lt;&gt;"",AV528,AD528),AD528)</f>
        <v>SKLADEM</v>
      </c>
      <c r="AF528" s="735">
        <f t="shared" ref="AF528:AF535" si="1183">IFERROR(IF(AB528=Y528,G528*I528*Y528,0),0)</f>
        <v>0</v>
      </c>
      <c r="AG528" s="735">
        <f t="shared" ref="AG528:AG535" si="1184">IF($W$17=$AF$8,AH528*1.23,AF528*1.21)</f>
        <v>0</v>
      </c>
      <c r="AH528" s="736">
        <f t="shared" ref="AH528:AH535" si="1185">IFERROR(IF(Y528=AB528,H528*I528*Y528,0),0)</f>
        <v>0</v>
      </c>
      <c r="AI528" s="729">
        <f t="shared" ref="AI528:AI535" si="1186">IFERROR(IF(Y528=AB528,(P528*Y528)/1000,1),0)</f>
        <v>0</v>
      </c>
      <c r="AJ528" s="729">
        <f t="shared" ref="AJ528:AJ535" si="1187">IFERROR(IF(Y528=AB528,N528*Y528,0.1),0)</f>
        <v>0</v>
      </c>
      <c r="AK528" s="729" t="str">
        <f t="shared" ref="AK528:AK535" si="1188">IFERROR(IF(Y528=AB528,IF(M528="1.1G",(O528/1000)*Y528,""),""),0)</f>
        <v/>
      </c>
      <c r="AL528" s="729">
        <f t="shared" ref="AL528:AL535" si="1189">IFERROR(IF(Y528=AB528,IF(M528="1.3G",(O528/1000)*AB528,""),""),0)</f>
        <v>0</v>
      </c>
      <c r="AM528" s="729" t="str">
        <f t="shared" ref="AM528:AM535" si="1190">IFERROR(IF(Y528=AB528,IF(M528="1.4G",(O528/1000)*AB528,""),""),0)</f>
        <v/>
      </c>
      <c r="AN528" s="729">
        <f t="shared" ref="AN528:AN535" si="1191">SUM(AK528:AM528)</f>
        <v>0</v>
      </c>
      <c r="AO528" s="380"/>
      <c r="AP528" s="322" t="str">
        <f t="shared" si="1030"/>
        <v/>
      </c>
      <c r="AQ528" s="323" t="str">
        <f>IF(AC528=$V$3,IF(VLOOKUP(C528,[1]List1!$A:$E,5,FALSE)=0,1,VLOOKUP(C528,[1]List1!$A:$E,5,FALSE)),"")</f>
        <v/>
      </c>
      <c r="AR528" s="304" t="str">
        <f t="shared" si="1031"/>
        <v/>
      </c>
      <c r="AS528" s="423" t="str">
        <f t="shared" si="1032"/>
        <v/>
      </c>
      <c r="AT528" s="304" t="str">
        <f t="shared" si="1033"/>
        <v/>
      </c>
      <c r="AU528" s="342" t="e">
        <f t="shared" si="1034"/>
        <v>#N/A</v>
      </c>
      <c r="AV528" s="304" t="e">
        <f t="shared" si="1035"/>
        <v>#N/A</v>
      </c>
      <c r="AX528" s="304">
        <f>IF(AND('General price list'!$J528="F4",'General price list'!$AB528+0&gt;0),1,0)</f>
        <v>0</v>
      </c>
      <c r="AY528" s="304">
        <f t="shared" si="1036"/>
        <v>1</v>
      </c>
      <c r="AZ528" s="304">
        <f t="shared" si="1037"/>
        <v>0</v>
      </c>
    </row>
    <row r="529" spans="1:52" ht="15" customHeight="1">
      <c r="A529" s="712" t="str">
        <f>Kat.!C526</f>
        <v/>
      </c>
      <c r="B529" s="745">
        <f>IF(AND('General price list'!$J529="F4",$AI$1=FALSE),0,IF(AC529="SKLADEM",1,IF(AC529=$V$3,1,0)))</f>
        <v>1</v>
      </c>
      <c r="C529" s="714" t="s">
        <v>5211</v>
      </c>
      <c r="D529" s="715" t="s">
        <v>1260</v>
      </c>
      <c r="E529" s="716" t="s">
        <v>136</v>
      </c>
      <c r="F529" s="712">
        <f>IFERROR(ROUND(IF($AL$3=2,VLOOKUP(C529,[2]List1!$A:$D,2,FALSE)*1.08,VLOOKUP(C529,[2]List1!$A:$D,2,FALSE)),0),"NEUVEDENO!")</f>
        <v>1532</v>
      </c>
      <c r="G529" s="717">
        <f t="shared" si="1178"/>
        <v>1532</v>
      </c>
      <c r="H529" s="718">
        <f t="shared" si="1179"/>
        <v>62.25390001178436</v>
      </c>
      <c r="I529" s="746">
        <v>1</v>
      </c>
      <c r="J529" s="716" t="s">
        <v>46</v>
      </c>
      <c r="K529" s="716">
        <v>6</v>
      </c>
      <c r="L529" s="716" t="s">
        <v>24</v>
      </c>
      <c r="M529" s="716" t="s">
        <v>138</v>
      </c>
      <c r="N529" s="716">
        <f>IFERROR(VLOOKUP(C529,[3]List1!$A:$D,4,FALSE),"N/A!")</f>
        <v>1.2937624999999998E-2</v>
      </c>
      <c r="O529" s="716">
        <f>IFERROR(VLOOKUP(C529,[3]List1!$A:$D,3,FALSE),"N/A!")</f>
        <v>996</v>
      </c>
      <c r="P529" s="716">
        <f>IFERROR(VLOOKUP(C529,[3]List1!$A:$D,2,FALSE),"N/A!")</f>
        <v>6000</v>
      </c>
      <c r="Q529" s="716" t="s">
        <v>14188</v>
      </c>
      <c r="R529" s="716" t="s">
        <v>24</v>
      </c>
      <c r="S529" s="716" t="str">
        <f>IF($W$17=$AF$1,"červená fólie",IFERROR(VLOOKUP("červená fólie",Jazyky_ceník!$A:$Q,MATCH($W$17,Jazyky_ceník!$A$1:$Q$1,0),FALSE),"!!!"))</f>
        <v>červená fólie</v>
      </c>
      <c r="T529" s="716">
        <v>100</v>
      </c>
      <c r="U529" s="716">
        <v>25</v>
      </c>
      <c r="V529" s="716">
        <v>16</v>
      </c>
      <c r="W529" s="716" t="str">
        <f>IFERROR(VLOOKUP('General price list'!$C529,Popisy!A:P,MATCH($W$17,Popisy!$A$7:$P$7,0),FALSE),"---------------")</f>
        <v>16 různobarevných efektů</v>
      </c>
      <c r="X529" s="716" t="str">
        <f t="shared" si="1180"/>
        <v/>
      </c>
      <c r="Y529" s="716" t="str">
        <f t="shared" si="1181"/>
        <v/>
      </c>
      <c r="Z529" s="716" t="str">
        <f>HYPERLINK("https://www.klasekpyrotechnics.cz/c12820nid-c_t")</f>
        <v>https://www.klasekpyrotechnics.cz/c12820nid-c_t</v>
      </c>
      <c r="AA529" s="716">
        <f>IFERROR(IF(VLOOKUP(C529,[4]List1!$A:$D,4,FALSE)=0,"",VLOOKUP(C529,[4]List1!$A:$D,4,FALSE)),"")</f>
        <v>72</v>
      </c>
      <c r="AB529" s="720"/>
      <c r="AC529" s="747" t="str">
        <f>IFERROR(IF(VLOOKUP(C529,[1]List1!$A:$D,2,FALSE)="VYPRODÁNO",$V$9,IF(VLOOKUP(C529,[1]List1!$A:$D,2,FALSE)="DOCHÁZÍ",$V$3,VLOOKUP(C529,[1]List1!$A:$D,2,FALSE))),"OFFLINE!")</f>
        <v>SKLADEM</v>
      </c>
      <c r="AD529" s="748" t="str">
        <f ca="1">IF(AP529="NE",$V$10,IF(AC529=$V$3,IF(AQ529&lt;1,$V$8,$V$2&amp;" "&amp;AQ529&amp;" "&amp;$V$1),IF(AC529="SKLADEM",$V$6,IFERROR(IF(OR(AC529-TODAY()&gt;45,VLOOKUP(C529,[1]List1!$A:$E,4,FALSE)=0),AC529,DAY(AC529)&amp;"."&amp;MONTH(AC529)&amp;"."&amp;YEAR(AC529)&amp;" "&amp;$V$4&amp;VLOOKUP(C529,[1]List1!$A:$E,4,FALSE)&amp;" "&amp;$V$1),AC529))))</f>
        <v>SKLADEM</v>
      </c>
      <c r="AE529" s="716" t="str">
        <f t="shared" ca="1" si="1182"/>
        <v>SKLADEM</v>
      </c>
      <c r="AF529" s="723">
        <f t="shared" si="1183"/>
        <v>0</v>
      </c>
      <c r="AG529" s="723">
        <f t="shared" si="1184"/>
        <v>0</v>
      </c>
      <c r="AH529" s="724">
        <f t="shared" si="1185"/>
        <v>0</v>
      </c>
      <c r="AI529" s="716">
        <f t="shared" si="1186"/>
        <v>0</v>
      </c>
      <c r="AJ529" s="716">
        <f t="shared" si="1187"/>
        <v>0</v>
      </c>
      <c r="AK529" s="716" t="str">
        <f t="shared" si="1188"/>
        <v/>
      </c>
      <c r="AL529" s="716">
        <f t="shared" si="1189"/>
        <v>0</v>
      </c>
      <c r="AM529" s="716" t="str">
        <f t="shared" si="1190"/>
        <v/>
      </c>
      <c r="AN529" s="716">
        <f t="shared" si="1191"/>
        <v>0</v>
      </c>
      <c r="AO529" s="380"/>
      <c r="AP529" s="322" t="str">
        <f t="shared" si="1030"/>
        <v/>
      </c>
      <c r="AQ529" s="323" t="str">
        <f>IF(AC529=$V$3,IF(VLOOKUP(C529,[1]List1!$A:$E,5,FALSE)=0,1,VLOOKUP(C529,[1]List1!$A:$E,5,FALSE)),"")</f>
        <v/>
      </c>
      <c r="AR529" s="304" t="str">
        <f t="shared" si="1031"/>
        <v/>
      </c>
      <c r="AS529" s="423" t="str">
        <f t="shared" si="1032"/>
        <v/>
      </c>
      <c r="AT529" s="304" t="str">
        <f t="shared" si="1033"/>
        <v/>
      </c>
      <c r="AU529" s="342" t="e">
        <f t="shared" si="1034"/>
        <v>#N/A</v>
      </c>
      <c r="AV529" s="304" t="e">
        <f t="shared" si="1035"/>
        <v>#N/A</v>
      </c>
      <c r="AX529" s="304">
        <f>IF(AND('General price list'!$J529="F4",'General price list'!$AB529+0&gt;0),1,0)</f>
        <v>0</v>
      </c>
      <c r="AY529" s="304">
        <f t="shared" si="1036"/>
        <v>1</v>
      </c>
      <c r="AZ529" s="304">
        <f t="shared" si="1037"/>
        <v>0</v>
      </c>
    </row>
    <row r="530" spans="1:52" ht="15" customHeight="1">
      <c r="A530" s="725" t="str">
        <f>Kat.!C527</f>
        <v/>
      </c>
      <c r="B530" s="749">
        <f>IF(AND('General price list'!$J530="F4",$AI$1=FALSE),0,IF(AC530="SKLADEM",1,IF(AC530=$V$3,1,0)))</f>
        <v>1</v>
      </c>
      <c r="C530" s="727" t="s">
        <v>5212</v>
      </c>
      <c r="D530" s="728" t="s">
        <v>1243</v>
      </c>
      <c r="E530" s="729" t="s">
        <v>136</v>
      </c>
      <c r="F530" s="725">
        <f>IFERROR(ROUND(IF($AL$3=2,VLOOKUP(C530,[2]List1!$A:$D,2,FALSE)*1.08,VLOOKUP(C530,[2]List1!$A:$D,2,FALSE)),0),"NEUVEDENO!")</f>
        <v>2124</v>
      </c>
      <c r="G530" s="730">
        <f t="shared" si="1178"/>
        <v>2124</v>
      </c>
      <c r="H530" s="731">
        <f t="shared" si="1179"/>
        <v>86.310237353152729</v>
      </c>
      <c r="I530" s="750">
        <v>1</v>
      </c>
      <c r="J530" s="729" t="s">
        <v>46</v>
      </c>
      <c r="K530" s="729">
        <v>6</v>
      </c>
      <c r="L530" s="729" t="s">
        <v>24</v>
      </c>
      <c r="M530" s="729" t="s">
        <v>138</v>
      </c>
      <c r="N530" s="729">
        <f>IFERROR(VLOOKUP(C530,[3]List1!$A:$D,4,FALSE),"N/A!")</f>
        <v>2.8262499999999999E-2</v>
      </c>
      <c r="O530" s="729">
        <f>IFERROR(VLOOKUP(C530,[3]List1!$A:$D,3,FALSE),"N/A!")</f>
        <v>980</v>
      </c>
      <c r="P530" s="729">
        <f>IFERROR(VLOOKUP(C530,[3]List1!$A:$D,2,FALSE),"N/A!")</f>
        <v>7300</v>
      </c>
      <c r="Q530" s="729" t="s">
        <v>1262</v>
      </c>
      <c r="R530" s="729" t="s">
        <v>24</v>
      </c>
      <c r="S530" s="729" t="str">
        <f>IF($W$17=$AF$1,"červená fólie",IFERROR(VLOOKUP("červená fólie",Jazyky_ceník!$A:$Q,MATCH($W$17,Jazyky_ceník!$A$1:$Q$1,0),FALSE),"!!!"))</f>
        <v>červená fólie</v>
      </c>
      <c r="T530" s="729">
        <v>100</v>
      </c>
      <c r="U530" s="729">
        <v>25</v>
      </c>
      <c r="V530" s="729">
        <v>16</v>
      </c>
      <c r="W530" s="729" t="str">
        <f>IFERROR(VLOOKUP('General price list'!$C530,Popisy!A:P,MATCH($W$17,Popisy!$A$7:$P$7,0),FALSE),"---------------")</f>
        <v>18 různobarevných efektů</v>
      </c>
      <c r="X530" s="729" t="str">
        <f t="shared" si="1180"/>
        <v/>
      </c>
      <c r="Y530" s="729" t="str">
        <f t="shared" si="1181"/>
        <v/>
      </c>
      <c r="Z530" s="729" t="str">
        <f>HYPERLINK("https://www.klasekpyrotechnics.cz/c13220b-c_t")</f>
        <v>https://www.klasekpyrotechnics.cz/c13220b-c_t</v>
      </c>
      <c r="AA530" s="729" t="str">
        <f>IFERROR(IF(VLOOKUP(C530,[4]List1!$A:$D,4,FALSE)=0,"",VLOOKUP(C530,[4]List1!$A:$D,4,FALSE)),"")</f>
        <v>36</v>
      </c>
      <c r="AB530" s="720"/>
      <c r="AC530" s="751" t="str">
        <f>IFERROR(IF(VLOOKUP(C530,[1]List1!$A:$D,2,FALSE)="VYPRODÁNO",$V$9,IF(VLOOKUP(C530,[1]List1!$A:$D,2,FALSE)="DOCHÁZÍ",$V$3,VLOOKUP(C530,[1]List1!$A:$D,2,FALSE))),"OFFLINE!")</f>
        <v>SKLADEM</v>
      </c>
      <c r="AD530" s="752" t="str">
        <f ca="1">IF(AP530="NE",$V$10,IF(AC530=$V$3,IF(AQ530&lt;1,$V$8,$V$2&amp;" "&amp;AQ530&amp;" "&amp;$V$1),IF(AC530="SKLADEM",$V$6,IFERROR(IF(OR(AC530-TODAY()&gt;45,VLOOKUP(C530,[1]List1!$A:$E,4,FALSE)=0),AC530,DAY(AC530)&amp;"."&amp;MONTH(AC530)&amp;"."&amp;YEAR(AC530)&amp;" "&amp;$V$4&amp;VLOOKUP(C530,[1]List1!$A:$E,4,FALSE)&amp;" "&amp;$V$1),AC530))))</f>
        <v>SKLADEM</v>
      </c>
      <c r="AE530" s="729" t="str">
        <f t="shared" ca="1" si="1182"/>
        <v>SKLADEM</v>
      </c>
      <c r="AF530" s="735">
        <f t="shared" si="1183"/>
        <v>0</v>
      </c>
      <c r="AG530" s="735">
        <f t="shared" si="1184"/>
        <v>0</v>
      </c>
      <c r="AH530" s="736">
        <f t="shared" si="1185"/>
        <v>0</v>
      </c>
      <c r="AI530" s="729">
        <f t="shared" si="1186"/>
        <v>0</v>
      </c>
      <c r="AJ530" s="729">
        <f t="shared" si="1187"/>
        <v>0</v>
      </c>
      <c r="AK530" s="729" t="str">
        <f t="shared" si="1188"/>
        <v/>
      </c>
      <c r="AL530" s="729">
        <f t="shared" si="1189"/>
        <v>0</v>
      </c>
      <c r="AM530" s="729" t="str">
        <f t="shared" si="1190"/>
        <v/>
      </c>
      <c r="AN530" s="729">
        <f t="shared" si="1191"/>
        <v>0</v>
      </c>
      <c r="AO530" s="380"/>
      <c r="AP530" s="322" t="str">
        <f t="shared" ref="AP530:AP535" si="1192">IF($AL$3=1,IF(Y530=AB530,"","NE"),IF(AR530=$V$10,"NE",""))</f>
        <v/>
      </c>
      <c r="AQ530" s="323" t="str">
        <f>IF(AC530=$V$3,IF(VLOOKUP(C530,[1]List1!$A:$E,5,FALSE)=0,1,VLOOKUP(C530,[1]List1!$A:$E,5,FALSE)),"")</f>
        <v/>
      </c>
      <c r="AR530" s="304" t="str">
        <f t="shared" ref="AR530:AR535" si="1193">IF($AL$3=1,"",IF(OR(AB530&lt;&gt;"",AB530&lt;&gt;0),IF(OR(AC530=$V$6,AC530=$V$3,AC530=$V$9),$V$10,""),""))</f>
        <v/>
      </c>
      <c r="AS530" s="423" t="str">
        <f t="shared" ref="AS530:AS535" si="1194">IF(AT530&lt;&gt;"","X","")</f>
        <v/>
      </c>
      <c r="AT530" s="304" t="str">
        <f t="shared" ref="AT530:AT535" si="1195">IF(AND($AL$3=2,AR530="",AB530&lt;&gt;""),AD530,"")</f>
        <v/>
      </c>
      <c r="AU530" s="342" t="e">
        <f t="shared" ref="AU530:AU535" si="1196">IF(AT530=$AS$21,AB530,"")</f>
        <v>#N/A</v>
      </c>
      <c r="AV530" s="304" t="e">
        <f t="shared" ref="AV530:AV535" si="1197">IF(OR(AB530="",AND(AT530&lt;&gt;"",AU530&lt;&gt;"")),"",$V$10)</f>
        <v>#N/A</v>
      </c>
      <c r="AX530" s="304">
        <f>IF(AND('General price list'!$J530="F4",'General price list'!$AB530+0&gt;0),1,0)</f>
        <v>0</v>
      </c>
      <c r="AY530" s="304">
        <f t="shared" ref="AY530:AY535" si="1198">IFERROR(FIND(VLOOKUP($AC$7,$AD$1:$AE$12,2,FALSE),Q530,1),0)</f>
        <v>1</v>
      </c>
      <c r="AZ530" s="304">
        <f t="shared" ref="AZ530:AZ535" si="1199">IFERROR(FIND(VLOOKUP($AC$7,$AD$1:$AE$12,2,FALSE),R530,1),0)</f>
        <v>0</v>
      </c>
    </row>
    <row r="531" spans="1:52" ht="15" customHeight="1">
      <c r="A531" s="712" t="str">
        <f>Kat.!C528</f>
        <v/>
      </c>
      <c r="B531" s="745">
        <f>IF(AND('General price list'!$J531="F4",$AI$1=FALSE),0,IF(AC531="SKLADEM",1,IF(AC531=$V$3,1,0)))</f>
        <v>1</v>
      </c>
      <c r="C531" s="714" t="s">
        <v>2721</v>
      </c>
      <c r="D531" s="715" t="s">
        <v>1380</v>
      </c>
      <c r="E531" s="716" t="s">
        <v>136</v>
      </c>
      <c r="F531" s="712">
        <f>IFERROR(ROUND(IF($AL$3=2,VLOOKUP(C531,[2]List1!$A:$D,2,FALSE)*1.08,VLOOKUP(C531,[2]List1!$A:$D,2,FALSE)),0),"NEUVEDENO!")</f>
        <v>2142</v>
      </c>
      <c r="G531" s="717">
        <f t="shared" si="1178"/>
        <v>2142</v>
      </c>
      <c r="H531" s="718">
        <f t="shared" si="1179"/>
        <v>87.041680042586222</v>
      </c>
      <c r="I531" s="746">
        <v>1</v>
      </c>
      <c r="J531" s="716" t="s">
        <v>46</v>
      </c>
      <c r="K531" s="716">
        <v>6</v>
      </c>
      <c r="L531" s="716" t="s">
        <v>24</v>
      </c>
      <c r="M531" s="716" t="s">
        <v>138</v>
      </c>
      <c r="N531" s="716">
        <f>IFERROR(VLOOKUP(C531,[3]List1!$A:$D,4,FALSE),"N/A!")</f>
        <v>1.8269999999999998E-2</v>
      </c>
      <c r="O531" s="716">
        <f>IFERROR(VLOOKUP(C531,[3]List1!$A:$D,3,FALSE),"N/A!")</f>
        <v>1494</v>
      </c>
      <c r="P531" s="716">
        <f>IFERROR(VLOOKUP(C531,[3]List1!$A:$D,2,FALSE),"N/A!")</f>
        <v>9580</v>
      </c>
      <c r="Q531" s="716" t="s">
        <v>14189</v>
      </c>
      <c r="R531" s="716" t="s">
        <v>24</v>
      </c>
      <c r="S531" s="716" t="str">
        <f>IF($W$17=$AF$1,"červená fólie",IFERROR(VLOOKUP("červená fólie",Jazyky_ceník!$A:$Q,MATCH($W$17,Jazyky_ceník!$A$1:$Q$1,0),FALSE),"!!!"))</f>
        <v>červená fólie</v>
      </c>
      <c r="T531" s="716">
        <v>120</v>
      </c>
      <c r="U531" s="716">
        <v>25</v>
      </c>
      <c r="V531" s="716">
        <v>16</v>
      </c>
      <c r="W531" s="716" t="str">
        <f>IFERROR(VLOOKUP('General price list'!$C531,Popisy!A:P,MATCH($W$17,Popisy!$A$7:$P$7,0),FALSE),"---------------")</f>
        <v>24 různobarevných efektů</v>
      </c>
      <c r="X531" s="716" t="str">
        <f t="shared" si="1180"/>
        <v/>
      </c>
      <c r="Y531" s="716" t="str">
        <f t="shared" si="1181"/>
        <v/>
      </c>
      <c r="Z531" s="716" t="str">
        <f>HYPERLINK("https://www.klasekpyrotechnics.cz/c19220f-c_t")</f>
        <v>https://www.klasekpyrotechnics.cz/c19220f-c_t</v>
      </c>
      <c r="AA531" s="716">
        <f>IFERROR(IF(VLOOKUP(C531,[4]List1!$A:$D,4,FALSE)=0,"",VLOOKUP(C531,[4]List1!$A:$D,4,FALSE)),"")</f>
        <v>66</v>
      </c>
      <c r="AB531" s="720"/>
      <c r="AC531" s="747" t="str">
        <f>IFERROR(IF(VLOOKUP(C531,[1]List1!$A:$D,2,FALSE)="VYPRODÁNO",$V$9,IF(VLOOKUP(C531,[1]List1!$A:$D,2,FALSE)="DOCHÁZÍ",$V$3,VLOOKUP(C531,[1]List1!$A:$D,2,FALSE))),"OFFLINE!")</f>
        <v>SKLADEM</v>
      </c>
      <c r="AD531" s="748" t="str">
        <f ca="1">IF(AP531="NE",$V$10,IF(AC531=$V$3,IF(AQ531&lt;1,$V$8,$V$2&amp;" "&amp;AQ531&amp;" "&amp;$V$1),IF(AC531="SKLADEM",$V$6,IFERROR(IF(OR(AC531-TODAY()&gt;45,VLOOKUP(C531,[1]List1!$A:$E,4,FALSE)=0),AC531,DAY(AC531)&amp;"."&amp;MONTH(AC531)&amp;"."&amp;YEAR(AC531)&amp;" "&amp;$V$4&amp;VLOOKUP(C531,[1]List1!$A:$E,4,FALSE)&amp;" "&amp;$V$1),AC531))))</f>
        <v>SKLADEM</v>
      </c>
      <c r="AE531" s="716" t="str">
        <f t="shared" ca="1" si="1182"/>
        <v>SKLADEM</v>
      </c>
      <c r="AF531" s="723">
        <f t="shared" si="1183"/>
        <v>0</v>
      </c>
      <c r="AG531" s="723">
        <f t="shared" si="1184"/>
        <v>0</v>
      </c>
      <c r="AH531" s="724">
        <f t="shared" si="1185"/>
        <v>0</v>
      </c>
      <c r="AI531" s="716">
        <f t="shared" si="1186"/>
        <v>0</v>
      </c>
      <c r="AJ531" s="716">
        <f t="shared" si="1187"/>
        <v>0</v>
      </c>
      <c r="AK531" s="716" t="str">
        <f t="shared" si="1188"/>
        <v/>
      </c>
      <c r="AL531" s="716">
        <f t="shared" si="1189"/>
        <v>0</v>
      </c>
      <c r="AM531" s="716" t="str">
        <f t="shared" si="1190"/>
        <v/>
      </c>
      <c r="AN531" s="716">
        <f t="shared" si="1191"/>
        <v>0</v>
      </c>
      <c r="AO531" s="380"/>
      <c r="AP531" s="322" t="str">
        <f t="shared" si="1192"/>
        <v/>
      </c>
      <c r="AQ531" s="323" t="str">
        <f>IF(AC531=$V$3,IF(VLOOKUP(C531,[1]List1!$A:$E,5,FALSE)=0,1,VLOOKUP(C531,[1]List1!$A:$E,5,FALSE)),"")</f>
        <v/>
      </c>
      <c r="AR531" s="304" t="str">
        <f t="shared" si="1193"/>
        <v/>
      </c>
      <c r="AS531" s="423" t="str">
        <f t="shared" si="1194"/>
        <v/>
      </c>
      <c r="AT531" s="304" t="str">
        <f t="shared" si="1195"/>
        <v/>
      </c>
      <c r="AU531" s="342" t="e">
        <f t="shared" si="1196"/>
        <v>#N/A</v>
      </c>
      <c r="AV531" s="304" t="e">
        <f t="shared" si="1197"/>
        <v>#N/A</v>
      </c>
      <c r="AX531" s="304">
        <f>IF(AND('General price list'!$J531="F4",'General price list'!$AB531+0&gt;0),1,0)</f>
        <v>0</v>
      </c>
      <c r="AY531" s="304">
        <f t="shared" si="1198"/>
        <v>1</v>
      </c>
      <c r="AZ531" s="304">
        <f t="shared" si="1199"/>
        <v>0</v>
      </c>
    </row>
    <row r="532" spans="1:52" ht="15" customHeight="1">
      <c r="A532" s="725" t="str">
        <f>Kat.!C529</f>
        <v/>
      </c>
      <c r="B532" s="749">
        <f>IF(AND('General price list'!$J532="F4",$AI$1=FALSE),0,IF(AC532="SKLADEM",1,IF(AC532=$V$3,1,0)))</f>
        <v>1</v>
      </c>
      <c r="C532" s="727" t="s">
        <v>5214</v>
      </c>
      <c r="D532" s="728" t="s">
        <v>12845</v>
      </c>
      <c r="E532" s="729" t="s">
        <v>136</v>
      </c>
      <c r="F532" s="725">
        <f>IFERROR(ROUND(IF($AL$3=2,VLOOKUP(C532,[2]List1!$A:$D,2,FALSE)*1.08,VLOOKUP(C532,[2]List1!$A:$D,2,FALSE)),0),"NEUVEDENO!")</f>
        <v>2537</v>
      </c>
      <c r="G532" s="730">
        <f t="shared" si="1178"/>
        <v>2537</v>
      </c>
      <c r="H532" s="731">
        <f t="shared" si="1179"/>
        <v>103.09278350515464</v>
      </c>
      <c r="I532" s="750">
        <v>1</v>
      </c>
      <c r="J532" s="729" t="s">
        <v>46</v>
      </c>
      <c r="K532" s="729">
        <v>6</v>
      </c>
      <c r="L532" s="729" t="s">
        <v>24</v>
      </c>
      <c r="M532" s="729" t="s">
        <v>138</v>
      </c>
      <c r="N532" s="729">
        <f>IFERROR(VLOOKUP(C532,[3]List1!$A:$D,4,FALSE),"N/A!")</f>
        <v>1.98505E-2</v>
      </c>
      <c r="O532" s="729">
        <f>IFERROR(VLOOKUP(C532,[3]List1!$A:$D,3,FALSE),"N/A!")</f>
        <v>1996</v>
      </c>
      <c r="P532" s="729">
        <f>IFERROR(VLOOKUP(C532,[3]List1!$A:$D,2,FALSE),"N/A!")</f>
        <v>9800</v>
      </c>
      <c r="Q532" s="729" t="s">
        <v>1249</v>
      </c>
      <c r="R532" s="729" t="s">
        <v>24</v>
      </c>
      <c r="S532" s="729" t="str">
        <f>IF($W$17=$AF$1,"červená fólie",IFERROR(VLOOKUP("červená fólie",Jazyky_ceník!$A:$Q,MATCH($W$17,Jazyky_ceník!$A$1:$Q$1,0),FALSE),"!!!"))</f>
        <v>červená fólie</v>
      </c>
      <c r="T532" s="729">
        <v>140</v>
      </c>
      <c r="U532" s="729">
        <v>27</v>
      </c>
      <c r="V532" s="729">
        <v>18</v>
      </c>
      <c r="W532" s="729" t="str">
        <f>IFERROR(VLOOKUP('General price list'!$C532,Popisy!A:P,MATCH($W$17,Popisy!$A$7:$P$7,0),FALSE),"---------------")</f>
        <v>7 různobarevných efektů</v>
      </c>
      <c r="X532" s="729" t="str">
        <f t="shared" si="1180"/>
        <v/>
      </c>
      <c r="Y532" s="729" t="str">
        <f t="shared" si="1181"/>
        <v/>
      </c>
      <c r="Z532" s="729" t="str">
        <f>HYPERLINK("https://www.klasekpyrotechnics.cz/c19620sig-c_t")</f>
        <v>https://www.klasekpyrotechnics.cz/c19620sig-c_t</v>
      </c>
      <c r="AA532" s="729" t="str">
        <f>IFERROR(IF(VLOOKUP(C532,[4]List1!$A:$D,4,FALSE)=0,"",VLOOKUP(C532,[4]List1!$A:$D,4,FALSE)),"")</f>
        <v>66</v>
      </c>
      <c r="AB532" s="720"/>
      <c r="AC532" s="751" t="str">
        <f>IFERROR(IF(VLOOKUP(C532,[1]List1!$A:$D,2,FALSE)="VYPRODÁNO",$V$9,IF(VLOOKUP(C532,[1]List1!$A:$D,2,FALSE)="DOCHÁZÍ",$V$3,VLOOKUP(C532,[1]List1!$A:$D,2,FALSE))),"OFFLINE!")</f>
        <v>SKLADEM</v>
      </c>
      <c r="AD532" s="752" t="str">
        <f ca="1">IF(AP532="NE",$V$10,IF(AC532=$V$3,IF(AQ532&lt;1,$V$8,$V$2&amp;" "&amp;AQ532&amp;" "&amp;$V$1),IF(AC532="SKLADEM",$V$6,IFERROR(IF(OR(AC532-TODAY()&gt;45,VLOOKUP(C532,[1]List1!$A:$E,4,FALSE)=0),AC532,DAY(AC532)&amp;"."&amp;MONTH(AC532)&amp;"."&amp;YEAR(AC532)&amp;" "&amp;$V$4&amp;VLOOKUP(C532,[1]List1!$A:$E,4,FALSE)&amp;" "&amp;$V$1),AC532))))</f>
        <v>SKLADEM</v>
      </c>
      <c r="AE532" s="729" t="str">
        <f t="shared" ca="1" si="1182"/>
        <v>SKLADEM</v>
      </c>
      <c r="AF532" s="735">
        <f t="shared" si="1183"/>
        <v>0</v>
      </c>
      <c r="AG532" s="735">
        <f t="shared" si="1184"/>
        <v>0</v>
      </c>
      <c r="AH532" s="736">
        <f t="shared" si="1185"/>
        <v>0</v>
      </c>
      <c r="AI532" s="729">
        <f t="shared" si="1186"/>
        <v>0</v>
      </c>
      <c r="AJ532" s="729">
        <f t="shared" si="1187"/>
        <v>0</v>
      </c>
      <c r="AK532" s="729" t="str">
        <f t="shared" si="1188"/>
        <v/>
      </c>
      <c r="AL532" s="729">
        <f t="shared" si="1189"/>
        <v>0</v>
      </c>
      <c r="AM532" s="729" t="str">
        <f t="shared" si="1190"/>
        <v/>
      </c>
      <c r="AN532" s="729">
        <f t="shared" si="1191"/>
        <v>0</v>
      </c>
      <c r="AO532" s="380"/>
      <c r="AP532" s="322" t="str">
        <f t="shared" si="1192"/>
        <v/>
      </c>
      <c r="AQ532" s="323" t="str">
        <f>IF(AC532=$V$3,IF(VLOOKUP(C532,[1]List1!$A:$E,5,FALSE)=0,1,VLOOKUP(C532,[1]List1!$A:$E,5,FALSE)),"")</f>
        <v/>
      </c>
      <c r="AR532" s="304" t="str">
        <f t="shared" si="1193"/>
        <v/>
      </c>
      <c r="AS532" s="423" t="str">
        <f t="shared" si="1194"/>
        <v/>
      </c>
      <c r="AT532" s="304" t="str">
        <f t="shared" si="1195"/>
        <v/>
      </c>
      <c r="AU532" s="342" t="e">
        <f t="shared" si="1196"/>
        <v>#N/A</v>
      </c>
      <c r="AV532" s="304" t="e">
        <f t="shared" si="1197"/>
        <v>#N/A</v>
      </c>
      <c r="AX532" s="304">
        <f>IF(AND('General price list'!$J532="F4",'General price list'!$AB532+0&gt;0),1,0)</f>
        <v>0</v>
      </c>
      <c r="AY532" s="304">
        <f t="shared" si="1198"/>
        <v>1</v>
      </c>
      <c r="AZ532" s="304">
        <f t="shared" si="1199"/>
        <v>0</v>
      </c>
    </row>
    <row r="533" spans="1:52" ht="15" customHeight="1">
      <c r="A533" s="712" t="str">
        <f>Kat.!C530</f>
        <v/>
      </c>
      <c r="B533" s="745">
        <f>IF(AND('General price list'!$J533="F4",$AI$1=FALSE),0,IF(AC533="SKLADEM",1,IF(AC533=$V$3,1,0)))</f>
        <v>1</v>
      </c>
      <c r="C533" s="714" t="s">
        <v>2722</v>
      </c>
      <c r="D533" s="715" t="s">
        <v>2541</v>
      </c>
      <c r="E533" s="716" t="s">
        <v>136</v>
      </c>
      <c r="F533" s="712">
        <f>IFERROR(ROUND(IF($AL$3=2,VLOOKUP(C533,[2]List1!$A:$D,2,FALSE)*1.08,VLOOKUP(C533,[2]List1!$A:$D,2,FALSE)),0),"NEUVEDENO!")</f>
        <v>3737</v>
      </c>
      <c r="G533" s="717">
        <f t="shared" si="1178"/>
        <v>3737</v>
      </c>
      <c r="H533" s="718">
        <f t="shared" si="1179"/>
        <v>151.85562946738781</v>
      </c>
      <c r="I533" s="746">
        <v>1</v>
      </c>
      <c r="J533" s="716" t="s">
        <v>46</v>
      </c>
      <c r="K533" s="716">
        <v>6</v>
      </c>
      <c r="L533" s="716" t="s">
        <v>24</v>
      </c>
      <c r="M533" s="716" t="s">
        <v>138</v>
      </c>
      <c r="N533" s="716">
        <f>IFERROR(VLOOKUP(C533,[3]List1!$A:$D,4,FALSE),"N/A!")</f>
        <v>3.2933250000000004E-2</v>
      </c>
      <c r="O533" s="716">
        <f>IFERROR(VLOOKUP(C533,[3]List1!$A:$D,3,FALSE),"N/A!")</f>
        <v>1994</v>
      </c>
      <c r="P533" s="716">
        <f>IFERROR(VLOOKUP(C533,[3]List1!$A:$D,2,FALSE),"N/A!")</f>
        <v>12700</v>
      </c>
      <c r="Q533" s="716" t="s">
        <v>14190</v>
      </c>
      <c r="R533" s="716" t="s">
        <v>24</v>
      </c>
      <c r="S533" s="716" t="str">
        <f>IF($W$17=$AF$1,"červená fólie",IFERROR(VLOOKUP("červená fólie",Jazyky_ceník!$A:$Q,MATCH($W$17,Jazyky_ceník!$A$1:$Q$1,0),FALSE),"!!!"))</f>
        <v>červená fólie</v>
      </c>
      <c r="T533" s="716">
        <v>120</v>
      </c>
      <c r="U533" s="716">
        <v>25</v>
      </c>
      <c r="V533" s="716">
        <v>16</v>
      </c>
      <c r="W533" s="716" t="str">
        <f>IFERROR(VLOOKUP('General price list'!$C533,Popisy!A:P,MATCH($W$17,Popisy!$A$7:$P$7,0),FALSE),"---------------")</f>
        <v>24 různobarevných efektů</v>
      </c>
      <c r="X533" s="716" t="str">
        <f t="shared" si="1180"/>
        <v/>
      </c>
      <c r="Y533" s="716" t="str">
        <f t="shared" si="1181"/>
        <v/>
      </c>
      <c r="Z533" s="716" t="str">
        <f>HYPERLINK("https://www.klasekpyrotechnics.cz/c25220xfs-c_t")</f>
        <v>https://www.klasekpyrotechnics.cz/c25220xfs-c_t</v>
      </c>
      <c r="AA533" s="716" t="str">
        <f>IFERROR(IF(VLOOKUP(C533,[4]List1!$A:$D,4,FALSE)=0,"",VLOOKUP(C533,[4]List1!$A:$D,4,FALSE)),"")</f>
        <v>40</v>
      </c>
      <c r="AB533" s="720"/>
      <c r="AC533" s="747" t="str">
        <f>IFERROR(IF(VLOOKUP(C533,[1]List1!$A:$D,2,FALSE)="VYPRODÁNO",$V$9,IF(VLOOKUP(C533,[1]List1!$A:$D,2,FALSE)="DOCHÁZÍ",$V$3,VLOOKUP(C533,[1]List1!$A:$D,2,FALSE))),"OFFLINE!")</f>
        <v>SKLADEM</v>
      </c>
      <c r="AD533" s="748" t="str">
        <f ca="1">IF(AP533="NE",$V$10,IF(AC533=$V$3,IF(AQ533&lt;1,$V$8,$V$2&amp;" "&amp;AQ533&amp;" "&amp;$V$1),IF(AC533="SKLADEM",$V$6,IFERROR(IF(OR(AC533-TODAY()&gt;45,VLOOKUP(C533,[1]List1!$A:$E,4,FALSE)=0),AC533,DAY(AC533)&amp;"."&amp;MONTH(AC533)&amp;"."&amp;YEAR(AC533)&amp;" "&amp;$V$4&amp;VLOOKUP(C533,[1]List1!$A:$E,4,FALSE)&amp;" "&amp;$V$1),AC533))))</f>
        <v>SKLADEM</v>
      </c>
      <c r="AE533" s="716" t="str">
        <f t="shared" ca="1" si="1182"/>
        <v>SKLADEM</v>
      </c>
      <c r="AF533" s="723">
        <f t="shared" si="1183"/>
        <v>0</v>
      </c>
      <c r="AG533" s="723">
        <f t="shared" si="1184"/>
        <v>0</v>
      </c>
      <c r="AH533" s="724">
        <f t="shared" si="1185"/>
        <v>0</v>
      </c>
      <c r="AI533" s="716">
        <f t="shared" si="1186"/>
        <v>0</v>
      </c>
      <c r="AJ533" s="716">
        <f t="shared" si="1187"/>
        <v>0</v>
      </c>
      <c r="AK533" s="716" t="str">
        <f t="shared" si="1188"/>
        <v/>
      </c>
      <c r="AL533" s="716">
        <f t="shared" si="1189"/>
        <v>0</v>
      </c>
      <c r="AM533" s="716" t="str">
        <f t="shared" si="1190"/>
        <v/>
      </c>
      <c r="AN533" s="716">
        <f t="shared" si="1191"/>
        <v>0</v>
      </c>
      <c r="AO533" s="380"/>
      <c r="AP533" s="322" t="str">
        <f t="shared" si="1192"/>
        <v/>
      </c>
      <c r="AQ533" s="323" t="str">
        <f>IF(AC533=$V$3,IF(VLOOKUP(C533,[1]List1!$A:$E,5,FALSE)=0,1,VLOOKUP(C533,[1]List1!$A:$E,5,FALSE)),"")</f>
        <v/>
      </c>
      <c r="AR533" s="304" t="str">
        <f t="shared" si="1193"/>
        <v/>
      </c>
      <c r="AS533" s="423" t="str">
        <f t="shared" si="1194"/>
        <v/>
      </c>
      <c r="AT533" s="304" t="str">
        <f t="shared" si="1195"/>
        <v/>
      </c>
      <c r="AU533" s="342" t="e">
        <f t="shared" si="1196"/>
        <v>#N/A</v>
      </c>
      <c r="AV533" s="304" t="e">
        <f t="shared" si="1197"/>
        <v>#N/A</v>
      </c>
      <c r="AX533" s="304">
        <f>IF(AND('General price list'!$J533="F4",'General price list'!$AB533+0&gt;0),1,0)</f>
        <v>0</v>
      </c>
      <c r="AY533" s="304">
        <f t="shared" si="1198"/>
        <v>1</v>
      </c>
      <c r="AZ533" s="304">
        <f t="shared" si="1199"/>
        <v>0</v>
      </c>
    </row>
    <row r="534" spans="1:52" ht="15" customHeight="1">
      <c r="A534" s="725" t="str">
        <f>Kat.!C531</f>
        <v/>
      </c>
      <c r="B534" s="749">
        <f>IF(AND('General price list'!$J534="F4",$AI$1=FALSE),0,IF(AC534="SKLADEM",1,IF(AC534=$V$3,1,0)))</f>
        <v>1</v>
      </c>
      <c r="C534" s="727" t="s">
        <v>2723</v>
      </c>
      <c r="D534" s="728" t="s">
        <v>1251</v>
      </c>
      <c r="E534" s="729" t="s">
        <v>136</v>
      </c>
      <c r="F534" s="725">
        <f>IFERROR(ROUND(IF($AL$3=2,VLOOKUP(C534,[2]List1!$A:$D,2,FALSE)*1.08,VLOOKUP(C534,[2]List1!$A:$D,2,FALSE)),0),"NEUVEDENO!")</f>
        <v>2947</v>
      </c>
      <c r="G534" s="730">
        <f t="shared" si="1178"/>
        <v>2947</v>
      </c>
      <c r="H534" s="731">
        <f t="shared" si="1179"/>
        <v>119.75342254225099</v>
      </c>
      <c r="I534" s="750">
        <v>1</v>
      </c>
      <c r="J534" s="729" t="s">
        <v>46</v>
      </c>
      <c r="K534" s="729">
        <v>6</v>
      </c>
      <c r="L534" s="729" t="s">
        <v>24</v>
      </c>
      <c r="M534" s="729" t="s">
        <v>138</v>
      </c>
      <c r="N534" s="729">
        <f>IFERROR(VLOOKUP(C534,[3]List1!$A:$D,4,FALSE),"N/A!")</f>
        <v>2.0663999999999995E-2</v>
      </c>
      <c r="O534" s="729">
        <f>IFERROR(VLOOKUP(C534,[3]List1!$A:$D,3,FALSE),"N/A!")</f>
        <v>1992</v>
      </c>
      <c r="P534" s="729">
        <f>IFERROR(VLOOKUP(C534,[3]List1!$A:$D,2,FALSE),"N/A!")</f>
        <v>13500</v>
      </c>
      <c r="Q534" s="729" t="s">
        <v>14175</v>
      </c>
      <c r="R534" s="729" t="s">
        <v>24</v>
      </c>
      <c r="S534" s="729" t="str">
        <f>IF($W$17=$AF$1,"červená fólie",IFERROR(VLOOKUP("červená fólie",Jazyky_ceník!$A:$Q,MATCH($W$17,Jazyky_ceník!$A$1:$Q$1,0),FALSE),"!!!"))</f>
        <v>červená fólie</v>
      </c>
      <c r="T534" s="729">
        <v>180</v>
      </c>
      <c r="U534" s="729">
        <v>25</v>
      </c>
      <c r="V534" s="729">
        <v>16</v>
      </c>
      <c r="W534" s="729" t="str">
        <f>IFERROR(VLOOKUP('General price list'!$C534,Popisy!A:P,MATCH($W$17,Popisy!$A$7:$P$7,0),FALSE),"---------------")</f>
        <v>32 různobarevných efektů</v>
      </c>
      <c r="X534" s="729" t="str">
        <f t="shared" si="1180"/>
        <v/>
      </c>
      <c r="Y534" s="729" t="str">
        <f t="shared" si="1181"/>
        <v/>
      </c>
      <c r="Z534" s="729" t="str">
        <f>HYPERLINK("https://www.klasekpyrotechnics.cz/c25620f-c_t")</f>
        <v>https://www.klasekpyrotechnics.cz/c25620f-c_t</v>
      </c>
      <c r="AA534" s="729">
        <f>IFERROR(IF(VLOOKUP(C534,[4]List1!$A:$D,4,FALSE)=0,"",VLOOKUP(C534,[4]List1!$A:$D,4,FALSE)),"")</f>
        <v>66</v>
      </c>
      <c r="AB534" s="720"/>
      <c r="AC534" s="751" t="str">
        <f>IFERROR(IF(VLOOKUP(C534,[1]List1!$A:$D,2,FALSE)="VYPRODÁNO",$V$9,IF(VLOOKUP(C534,[1]List1!$A:$D,2,FALSE)="DOCHÁZÍ",$V$3,VLOOKUP(C534,[1]List1!$A:$D,2,FALSE))),"OFFLINE!")</f>
        <v>SKLADEM</v>
      </c>
      <c r="AD534" s="752" t="str">
        <f ca="1">IF(AP534="NE",$V$10,IF(AC534=$V$3,IF(AQ534&lt;1,$V$8,$V$2&amp;" "&amp;AQ534&amp;" "&amp;$V$1),IF(AC534="SKLADEM",$V$6,IFERROR(IF(OR(AC534-TODAY()&gt;45,VLOOKUP(C534,[1]List1!$A:$E,4,FALSE)=0),AC534,DAY(AC534)&amp;"."&amp;MONTH(AC534)&amp;"."&amp;YEAR(AC534)&amp;" "&amp;$V$4&amp;VLOOKUP(C534,[1]List1!$A:$E,4,FALSE)&amp;" "&amp;$V$1),AC534))))</f>
        <v>SKLADEM</v>
      </c>
      <c r="AE534" s="729" t="str">
        <f t="shared" ca="1" si="1182"/>
        <v>SKLADEM</v>
      </c>
      <c r="AF534" s="735">
        <f t="shared" si="1183"/>
        <v>0</v>
      </c>
      <c r="AG534" s="735">
        <f t="shared" si="1184"/>
        <v>0</v>
      </c>
      <c r="AH534" s="736">
        <f t="shared" si="1185"/>
        <v>0</v>
      </c>
      <c r="AI534" s="729">
        <f t="shared" si="1186"/>
        <v>0</v>
      </c>
      <c r="AJ534" s="729">
        <f t="shared" si="1187"/>
        <v>0</v>
      </c>
      <c r="AK534" s="729" t="str">
        <f t="shared" si="1188"/>
        <v/>
      </c>
      <c r="AL534" s="729">
        <f t="shared" si="1189"/>
        <v>0</v>
      </c>
      <c r="AM534" s="729" t="str">
        <f t="shared" si="1190"/>
        <v/>
      </c>
      <c r="AN534" s="729">
        <f t="shared" si="1191"/>
        <v>0</v>
      </c>
      <c r="AO534" s="380"/>
      <c r="AP534" s="322" t="str">
        <f t="shared" si="1192"/>
        <v/>
      </c>
      <c r="AQ534" s="323" t="str">
        <f>IF(AC534=$V$3,IF(VLOOKUP(C534,[1]List1!$A:$E,5,FALSE)=0,1,VLOOKUP(C534,[1]List1!$A:$E,5,FALSE)),"")</f>
        <v/>
      </c>
      <c r="AR534" s="304" t="str">
        <f t="shared" si="1193"/>
        <v/>
      </c>
      <c r="AS534" s="423" t="str">
        <f t="shared" si="1194"/>
        <v/>
      </c>
      <c r="AT534" s="304" t="str">
        <f t="shared" si="1195"/>
        <v/>
      </c>
      <c r="AU534" s="342" t="e">
        <f t="shared" si="1196"/>
        <v>#N/A</v>
      </c>
      <c r="AV534" s="304" t="e">
        <f t="shared" si="1197"/>
        <v>#N/A</v>
      </c>
      <c r="AX534" s="304">
        <f>IF(AND('General price list'!$J534="F4",'General price list'!$AB534+0&gt;0),1,0)</f>
        <v>0</v>
      </c>
      <c r="AY534" s="304">
        <f t="shared" si="1198"/>
        <v>1</v>
      </c>
      <c r="AZ534" s="304">
        <f t="shared" si="1199"/>
        <v>0</v>
      </c>
    </row>
    <row r="535" spans="1:52" ht="15" customHeight="1">
      <c r="A535" s="712" t="str">
        <f>Kat.!C532</f>
        <v/>
      </c>
      <c r="B535" s="745">
        <f>IF(AND('General price list'!$J535="F4",$AI$1=FALSE),0,IF(AC535="SKLADEM",1,IF(AC535=$V$3,1,0)))</f>
        <v>1</v>
      </c>
      <c r="C535" s="714" t="s">
        <v>2724</v>
      </c>
      <c r="D535" s="715" t="s">
        <v>1256</v>
      </c>
      <c r="E535" s="716" t="s">
        <v>136</v>
      </c>
      <c r="F535" s="712">
        <f>IFERROR(ROUND(IF($AL$3=2,VLOOKUP(C535,[2]List1!$A:$D,2,FALSE)*1.08,VLOOKUP(C535,[2]List1!$A:$D,2,FALSE)),0),"NEUVEDENO!")</f>
        <v>3981</v>
      </c>
      <c r="G535" s="717">
        <f t="shared" si="1178"/>
        <v>3981</v>
      </c>
      <c r="H535" s="718">
        <f t="shared" si="1179"/>
        <v>161.77074147970856</v>
      </c>
      <c r="I535" s="746">
        <v>1</v>
      </c>
      <c r="J535" s="716" t="s">
        <v>46</v>
      </c>
      <c r="K535" s="716">
        <v>6</v>
      </c>
      <c r="L535" s="716" t="s">
        <v>24</v>
      </c>
      <c r="M535" s="716" t="s">
        <v>138</v>
      </c>
      <c r="N535" s="716">
        <f>IFERROR(VLOOKUP(C535,[3]List1!$A:$D,4,FALSE),"N/A!")</f>
        <v>5.5107499999999997E-2</v>
      </c>
      <c r="O535" s="716">
        <f>IFERROR(VLOOKUP(C535,[3]List1!$A:$D,3,FALSE),"N/A!")</f>
        <v>1960</v>
      </c>
      <c r="P535" s="716">
        <f>IFERROR(VLOOKUP(C535,[3]List1!$A:$D,2,FALSE),"N/A!")</f>
        <v>15100</v>
      </c>
      <c r="Q535" s="716" t="s">
        <v>14110</v>
      </c>
      <c r="R535" s="716" t="s">
        <v>24</v>
      </c>
      <c r="S535" s="716" t="str">
        <f>IF($W$17=$AF$1,"červená fólie",IFERROR(VLOOKUP("červená fólie",Jazyky_ceník!$A:$Q,MATCH($W$17,Jazyky_ceník!$A$1:$Q$1,0),FALSE),"!!!"))</f>
        <v>červená fólie</v>
      </c>
      <c r="T535" s="716">
        <v>180</v>
      </c>
      <c r="U535" s="716">
        <v>25</v>
      </c>
      <c r="V535" s="716">
        <v>16</v>
      </c>
      <c r="W535" s="716" t="str">
        <f>IFERROR(VLOOKUP('General price list'!$C535,Popisy!A:P,MATCH($W$17,Popisy!$A$7:$P$7,0),FALSE),"---------------")</f>
        <v>18 různobarevných efektů</v>
      </c>
      <c r="X535" s="716" t="str">
        <f t="shared" si="1180"/>
        <v/>
      </c>
      <c r="Y535" s="716" t="str">
        <f t="shared" si="1181"/>
        <v/>
      </c>
      <c r="Z535" s="716" t="str">
        <f>HYPERLINK("https://www.klasekpyrotechnics.cz/c26420n-c_t")</f>
        <v>https://www.klasekpyrotechnics.cz/c26420n-c_t</v>
      </c>
      <c r="AA535" s="716" t="str">
        <f>IFERROR(IF(VLOOKUP(C535,[4]List1!$A:$D,4,FALSE)=0,"",VLOOKUP(C535,[4]List1!$A:$D,4,FALSE)),"")</f>
        <v>20</v>
      </c>
      <c r="AB535" s="720"/>
      <c r="AC535" s="747" t="str">
        <f>IFERROR(IF(VLOOKUP(C535,[1]List1!$A:$D,2,FALSE)="VYPRODÁNO",$V$9,IF(VLOOKUP(C535,[1]List1!$A:$D,2,FALSE)="DOCHÁZÍ",$V$3,VLOOKUP(C535,[1]List1!$A:$D,2,FALSE))),"OFFLINE!")</f>
        <v>DOCHÁZÍ</v>
      </c>
      <c r="AD535" s="748" t="str">
        <f ca="1">IF(AP535="NE",$V$10,IF(AC535=$V$3,IF(AQ535&lt;1,$V$8,$V$2&amp;" "&amp;AQ535&amp;" "&amp;$V$1),IF(AC535="SKLADEM",$V$6,IFERROR(IF(OR(AC535-TODAY()&gt;45,VLOOKUP(C535,[1]List1!$A:$E,4,FALSE)=0),AC535,DAY(AC535)&amp;"."&amp;MONTH(AC535)&amp;"."&amp;YEAR(AC535)&amp;" "&amp;$V$4&amp;VLOOKUP(C535,[1]List1!$A:$E,4,FALSE)&amp;" "&amp;$V$1),AC535))))</f>
        <v>POSLEDNÍCH 29 VK</v>
      </c>
      <c r="AE535" s="716" t="str">
        <f t="shared" ca="1" si="1182"/>
        <v>POSLEDNÍCH 29 VK</v>
      </c>
      <c r="AF535" s="723">
        <f t="shared" si="1183"/>
        <v>0</v>
      </c>
      <c r="AG535" s="723">
        <f t="shared" si="1184"/>
        <v>0</v>
      </c>
      <c r="AH535" s="724">
        <f t="shared" si="1185"/>
        <v>0</v>
      </c>
      <c r="AI535" s="716">
        <f t="shared" si="1186"/>
        <v>0</v>
      </c>
      <c r="AJ535" s="716">
        <f t="shared" si="1187"/>
        <v>0</v>
      </c>
      <c r="AK535" s="716" t="str">
        <f t="shared" si="1188"/>
        <v/>
      </c>
      <c r="AL535" s="716">
        <f t="shared" si="1189"/>
        <v>0</v>
      </c>
      <c r="AM535" s="716" t="str">
        <f t="shared" si="1190"/>
        <v/>
      </c>
      <c r="AN535" s="716">
        <f t="shared" si="1191"/>
        <v>0</v>
      </c>
      <c r="AO535" s="380"/>
      <c r="AP535" s="322" t="str">
        <f t="shared" si="1192"/>
        <v/>
      </c>
      <c r="AQ535" s="323">
        <f>IF(AC535=$V$3,IF(VLOOKUP(C535,[1]List1!$A:$E,5,FALSE)=0,1,VLOOKUP(C535,[1]List1!$A:$E,5,FALSE)),"")</f>
        <v>29</v>
      </c>
      <c r="AR535" s="304" t="str">
        <f t="shared" si="1193"/>
        <v/>
      </c>
      <c r="AS535" s="423" t="str">
        <f t="shared" si="1194"/>
        <v/>
      </c>
      <c r="AT535" s="304" t="str">
        <f t="shared" si="1195"/>
        <v/>
      </c>
      <c r="AU535" s="342" t="e">
        <f t="shared" si="1196"/>
        <v>#N/A</v>
      </c>
      <c r="AV535" s="304" t="e">
        <f t="shared" si="1197"/>
        <v>#N/A</v>
      </c>
      <c r="AX535" s="304">
        <f>IF(AND('General price list'!$J535="F4",'General price list'!$AB535+0&gt;0),1,0)</f>
        <v>0</v>
      </c>
      <c r="AY535" s="304">
        <f t="shared" si="1198"/>
        <v>1</v>
      </c>
      <c r="AZ535" s="304">
        <f t="shared" si="1199"/>
        <v>0</v>
      </c>
    </row>
    <row r="536" spans="1:52" ht="15" customHeight="1">
      <c r="A536" s="773" t="str">
        <f>Kat.!C533</f>
        <v xml:space="preserve">                                                               Složený ohňostroj F3 - 1.3G</v>
      </c>
      <c r="B536" s="774"/>
      <c r="C536" s="774"/>
      <c r="D536" s="774"/>
      <c r="E536" s="774"/>
      <c r="F536" s="774"/>
      <c r="G536" s="774"/>
      <c r="H536" s="774"/>
      <c r="I536" s="774"/>
      <c r="J536" s="774"/>
      <c r="K536" s="774"/>
      <c r="L536" s="774"/>
      <c r="M536" s="774"/>
      <c r="N536" s="774"/>
      <c r="O536" s="774"/>
      <c r="P536" s="774"/>
      <c r="Q536" s="774"/>
      <c r="R536" s="774"/>
      <c r="S536" s="774"/>
      <c r="T536" s="774"/>
      <c r="U536" s="774"/>
      <c r="V536" s="774"/>
      <c r="W536" s="774"/>
      <c r="X536" s="774"/>
      <c r="Y536" s="774"/>
      <c r="Z536" s="774"/>
      <c r="AA536" s="774" t="str">
        <f>IFERROR(IF(VLOOKUP(C536,[4]List1!$A:$D,4,FALSE)=0,"",VLOOKUP(C536,[4]List1!$A:$D,4,FALSE)),"")</f>
        <v/>
      </c>
      <c r="AB536" s="774"/>
      <c r="AC536" s="775" t="str">
        <f>IFERROR(IF(VLOOKUP(C536,[1]List1!$A:$D,2,FALSE)="VYPRODÁNO",$V$9,IF(VLOOKUP(C536,[1]List1!$A:$D,2,FALSE)="DOCHÁZÍ",$V$3,VLOOKUP(C536,[1]List1!$A:$D,2,FALSE))),"OFFLINE!")</f>
        <v>OFFLINE!</v>
      </c>
      <c r="AD536" s="774"/>
      <c r="AE536" s="774"/>
      <c r="AF536" s="774"/>
      <c r="AG536" s="774"/>
      <c r="AH536" s="774"/>
      <c r="AI536" s="774"/>
      <c r="AJ536" s="774"/>
      <c r="AK536" s="774"/>
      <c r="AL536" s="774"/>
      <c r="AM536" s="774"/>
      <c r="AN536" s="774"/>
      <c r="AO536" s="380"/>
      <c r="AP536" s="322" t="str">
        <f t="shared" ref="AP536:AP594" si="1200">IF($AL$3=1,IF(Y536=AB536,"","NE"),IF(AR536=$V$10,"NE",""))</f>
        <v/>
      </c>
      <c r="AQ536" s="323" t="str">
        <f>IF(AC536=$V$3,IF(VLOOKUP(C536,[1]List1!$A:$E,5,FALSE)=0,1,VLOOKUP(C536,[1]List1!$A:$E,5,FALSE)),"")</f>
        <v/>
      </c>
      <c r="AR536" s="304" t="str">
        <f t="shared" ref="AR536:AR594" si="1201">IF($AL$3=1,"",IF(OR(AB536&lt;&gt;"",AB536&lt;&gt;0),IF(OR(AC536=$V$6,AC536=$V$3,AC536=$V$9),$V$10,""),""))</f>
        <v/>
      </c>
      <c r="AS536" s="423" t="str">
        <f t="shared" ref="AS536:AS594" si="1202">IF(AT536&lt;&gt;"","X","")</f>
        <v/>
      </c>
      <c r="AT536" s="304" t="str">
        <f t="shared" ref="AT536:AT594" si="1203">IF(AND($AL$3=2,AR536="",AB536&lt;&gt;""),AD536,"")</f>
        <v/>
      </c>
      <c r="AU536" s="342" t="e">
        <f t="shared" ref="AU536:AU594" si="1204">IF(AT536=$AS$21,AB536,"")</f>
        <v>#N/A</v>
      </c>
      <c r="AV536" s="304" t="e">
        <f t="shared" ref="AV536:AV594" si="1205">IF(OR(AB536="",AND(AT536&lt;&gt;"",AU536&lt;&gt;"")),"",$V$10)</f>
        <v>#N/A</v>
      </c>
      <c r="AX536" s="304">
        <f>IF(AND('General price list'!$J536="F4",'General price list'!$AB536+0&gt;0),1,0)</f>
        <v>0</v>
      </c>
      <c r="AY536" s="304">
        <f t="shared" ref="AY536:AY594" si="1206">IFERROR(FIND(VLOOKUP($AC$7,$AD$1:$AE$12,2,FALSE),Q536,1),0)</f>
        <v>0</v>
      </c>
      <c r="AZ536" s="304">
        <f t="shared" ref="AZ536:AZ594" si="1207">IFERROR(FIND(VLOOKUP($AC$7,$AD$1:$AE$12,2,FALSE),R536,1),0)</f>
        <v>0</v>
      </c>
    </row>
    <row r="537" spans="1:52" ht="15" customHeight="1">
      <c r="A537" s="712" t="str">
        <f>Kat.!C534</f>
        <v/>
      </c>
      <c r="B537" s="713">
        <f>IF(AND('General price list'!$J537="F4",$AI$1=FALSE),0,IF(AC537="SKLADEM",1,IF(AC537=$V$3,1,0)))</f>
        <v>1</v>
      </c>
      <c r="C537" s="714" t="s">
        <v>1279</v>
      </c>
      <c r="D537" s="715" t="s">
        <v>1280</v>
      </c>
      <c r="E537" s="716" t="s">
        <v>136</v>
      </c>
      <c r="F537" s="712">
        <f>IFERROR(ROUND(IF($AL$3=2,VLOOKUP(C537,[2]List1!$A:$D,2,FALSE)*1.08,VLOOKUP(C537,[2]List1!$A:$D,2,FALSE)),0),"NEUVEDENO!")</f>
        <v>2089</v>
      </c>
      <c r="G537" s="717">
        <f t="shared" ref="G537:G544" si="1208">(F537)*$B$19</f>
        <v>2089</v>
      </c>
      <c r="H537" s="718">
        <f t="shared" ref="H537:H544" si="1209">G537/$F$19</f>
        <v>84.887987679254252</v>
      </c>
      <c r="I537" s="719">
        <v>1</v>
      </c>
      <c r="J537" s="716" t="s">
        <v>137</v>
      </c>
      <c r="K537" s="716"/>
      <c r="L537" s="716" t="s">
        <v>24</v>
      </c>
      <c r="M537" s="716" t="s">
        <v>138</v>
      </c>
      <c r="N537" s="716">
        <f>IFERROR(VLOOKUP(C537,[3]List1!$A:$D,4,FALSE),"N/A!")</f>
        <v>1.6449999999999999E-2</v>
      </c>
      <c r="O537" s="716">
        <f>IFERROR(VLOOKUP(C537,[3]List1!$A:$D,3,FALSE),"N/A!")</f>
        <v>1980</v>
      </c>
      <c r="P537" s="716">
        <f>IFERROR(VLOOKUP(C537,[3]List1!$A:$D,2,FALSE),"N/A!")</f>
        <v>9000</v>
      </c>
      <c r="Q537" s="716" t="s">
        <v>14191</v>
      </c>
      <c r="R537" s="716" t="s">
        <v>24</v>
      </c>
      <c r="S537" s="716" t="str">
        <f>IF($W$17=$AF$1,"červená fólie",IFERROR(VLOOKUP("červená fólie",Jazyky_ceník!$A:$Q,MATCH($W$17,Jazyky_ceník!$A$1:$Q$1,0),FALSE),"!!!"))</f>
        <v>červená fólie</v>
      </c>
      <c r="T537" s="716">
        <v>140</v>
      </c>
      <c r="U537" s="716">
        <v>27</v>
      </c>
      <c r="V537" s="716">
        <v>18</v>
      </c>
      <c r="W537" s="716" t="str">
        <f>IFERROR(VLOOKUP('General price list'!$C537,Popisy!A:P,MATCH($W$17,Popisy!$A$7:$P$7,0),FALSE),"---------------")</f>
        <v>10 různobarevných efektů</v>
      </c>
      <c r="X537" s="716" t="str">
        <f t="shared" ref="X537:X544" si="1210">IF(AB537&lt;0.0001,"",AB537)</f>
        <v/>
      </c>
      <c r="Y537" s="716" t="str">
        <f t="shared" ref="Y537:Y544" si="1211">IF($AL$3=2,IF(OR(AB537&lt;&gt;"",AB537&lt;&gt;0),AU537,""),IF(C537="","",IF(AB537&lt;0.0001,"",IF(B537=0,"",IF(AQ537&lt;AB537,"",AB537)))))</f>
        <v/>
      </c>
      <c r="Z537" s="716" t="str">
        <f>HYPERLINK("https://www.klasekpyrotechnics.cz/c18020sig-c")</f>
        <v>https://www.klasekpyrotechnics.cz/c18020sig-c</v>
      </c>
      <c r="AA537" s="716">
        <f>IFERROR(IF(VLOOKUP(C537,[4]List1!$A:$D,4,FALSE)=0,"",VLOOKUP(C537,[4]List1!$A:$D,4,FALSE)),"")</f>
        <v>66</v>
      </c>
      <c r="AB537" s="720"/>
      <c r="AC537" s="721" t="str">
        <f>IFERROR(IF(VLOOKUP(C537,[1]List1!$A:$D,2,FALSE)="VYPRODÁNO",$V$9,IF(VLOOKUP(C537,[1]List1!$A:$D,2,FALSE)="DOCHÁZÍ",$V$3,VLOOKUP(C537,[1]List1!$A:$D,2,FALSE))),"OFFLINE!")</f>
        <v>SKLADEM</v>
      </c>
      <c r="AD537" s="722" t="str">
        <f ca="1">IF(AP537="NE",$V$10,IF(AC537=$V$3,IF(AQ537&lt;1,$V$8,$V$2&amp;" "&amp;AQ537&amp;" "&amp;$V$1),IF(AC537="SKLADEM",$V$6,IFERROR(IF(OR(AC537-TODAY()&gt;45,VLOOKUP(C537,[1]List1!$A:$E,4,FALSE)=0),AC537,DAY(AC537)&amp;"."&amp;MONTH(AC537)&amp;"."&amp;YEAR(AC537)&amp;" "&amp;$V$4&amp;VLOOKUP(C537,[1]List1!$A:$E,4,FALSE)&amp;" "&amp;$V$1),AC537))))</f>
        <v>SKLADEM</v>
      </c>
      <c r="AE537" s="716" t="str">
        <f t="shared" ref="AE537:AE544" ca="1" si="1212">IFERROR(IF(AV537&lt;&gt;"",AV537,AD537),AD537)</f>
        <v>SKLADEM</v>
      </c>
      <c r="AF537" s="723">
        <f t="shared" ref="AF537:AF544" si="1213">IFERROR(IF(AB537=Y537,G537*I537*Y537,0),0)</f>
        <v>0</v>
      </c>
      <c r="AG537" s="723">
        <f t="shared" ref="AG537:AG544" si="1214">IF($W$17=$AF$8,AH537*1.23,AF537*1.21)</f>
        <v>0</v>
      </c>
      <c r="AH537" s="724">
        <f t="shared" ref="AH537:AH544" si="1215">IFERROR(IF(Y537=AB537,H537*I537*Y537,0),0)</f>
        <v>0</v>
      </c>
      <c r="AI537" s="716">
        <f t="shared" ref="AI537:AI544" si="1216">IFERROR(IF(Y537=AB537,(P537*Y537)/1000,1),0)</f>
        <v>0</v>
      </c>
      <c r="AJ537" s="716">
        <f t="shared" ref="AJ537:AJ544" si="1217">IFERROR(IF(Y537=AB537,N537*Y537,0.1),0)</f>
        <v>0</v>
      </c>
      <c r="AK537" s="716" t="str">
        <f t="shared" ref="AK537:AK544" si="1218">IFERROR(IF(Y537=AB537,IF(M537="1.1G",(O537/1000)*Y537,""),""),0)</f>
        <v/>
      </c>
      <c r="AL537" s="716">
        <f t="shared" ref="AL537:AL544" si="1219">IFERROR(IF(Y537=AB537,IF(M537="1.3G",(O537/1000)*AB537,""),""),0)</f>
        <v>0</v>
      </c>
      <c r="AM537" s="716" t="str">
        <f t="shared" ref="AM537:AM544" si="1220">IFERROR(IF(Y537=AB537,IF(M537="1.4G",(O537/1000)*AB537,""),""),0)</f>
        <v/>
      </c>
      <c r="AN537" s="716">
        <f t="shared" ref="AN537:AN544" si="1221">SUM(AK537:AM537)</f>
        <v>0</v>
      </c>
      <c r="AO537" s="380"/>
      <c r="AP537" s="322" t="str">
        <f t="shared" si="1200"/>
        <v/>
      </c>
      <c r="AQ537" s="323" t="str">
        <f>IF(AC537=$V$3,IF(VLOOKUP(C537,[1]List1!$A:$E,5,FALSE)=0,1,VLOOKUP(C537,[1]List1!$A:$E,5,FALSE)),"")</f>
        <v/>
      </c>
      <c r="AR537" s="304" t="str">
        <f t="shared" si="1201"/>
        <v/>
      </c>
      <c r="AS537" s="423" t="str">
        <f t="shared" si="1202"/>
        <v/>
      </c>
      <c r="AT537" s="304" t="str">
        <f t="shared" si="1203"/>
        <v/>
      </c>
      <c r="AU537" s="342" t="e">
        <f t="shared" si="1204"/>
        <v>#N/A</v>
      </c>
      <c r="AV537" s="304" t="e">
        <f t="shared" si="1205"/>
        <v>#N/A</v>
      </c>
      <c r="AX537" s="304">
        <f>IF(AND('General price list'!$J537="F4",'General price list'!$AB537+0&gt;0),1,0)</f>
        <v>0</v>
      </c>
      <c r="AY537" s="304">
        <f t="shared" si="1206"/>
        <v>1</v>
      </c>
      <c r="AZ537" s="304">
        <f t="shared" si="1207"/>
        <v>0</v>
      </c>
    </row>
    <row r="538" spans="1:52" ht="15" customHeight="1">
      <c r="A538" s="725" t="str">
        <f>Kat.!C535</f>
        <v/>
      </c>
      <c r="B538" s="726">
        <f>IF(AND('General price list'!$J538="F4",$AI$1=FALSE),0,IF(AC538="SKLADEM",1,IF(AC538=$V$3,1,0)))</f>
        <v>1</v>
      </c>
      <c r="C538" s="727" t="s">
        <v>1282</v>
      </c>
      <c r="D538" s="728" t="s">
        <v>1267</v>
      </c>
      <c r="E538" s="729" t="s">
        <v>136</v>
      </c>
      <c r="F538" s="725">
        <f>IFERROR(ROUND(IF($AL$3=2,VLOOKUP(C538,[2]List1!$A:$D,2,FALSE)*1.08,VLOOKUP(C538,[2]List1!$A:$D,2,FALSE)),0),"NEUVEDENO!")</f>
        <v>2591</v>
      </c>
      <c r="G538" s="730">
        <f t="shared" si="1208"/>
        <v>2591</v>
      </c>
      <c r="H538" s="731">
        <f t="shared" si="1209"/>
        <v>105.28711157345514</v>
      </c>
      <c r="I538" s="732">
        <v>1</v>
      </c>
      <c r="J538" s="729" t="s">
        <v>137</v>
      </c>
      <c r="K538" s="729"/>
      <c r="L538" s="729" t="s">
        <v>24</v>
      </c>
      <c r="M538" s="729" t="s">
        <v>138</v>
      </c>
      <c r="N538" s="729">
        <f>IFERROR(VLOOKUP(C538,[3]List1!$A:$D,4,FALSE),"N/A!")</f>
        <v>2.6389999999999997E-2</v>
      </c>
      <c r="O538" s="729">
        <f>IFERROR(VLOOKUP(C538,[3]List1!$A:$D,3,FALSE),"N/A!")</f>
        <v>1994</v>
      </c>
      <c r="P538" s="729">
        <f>IFERROR(VLOOKUP(C538,[3]List1!$A:$D,2,FALSE),"N/A!")</f>
        <v>12000</v>
      </c>
      <c r="Q538" s="729" t="s">
        <v>14104</v>
      </c>
      <c r="R538" s="729" t="s">
        <v>24</v>
      </c>
      <c r="S538" s="729" t="str">
        <f>IF($W$17=$AF$1,"červená fólie",IFERROR(VLOOKUP("červená fólie",Jazyky_ceník!$A:$Q,MATCH($W$17,Jazyky_ceník!$A$1:$Q$1,0),FALSE),"!!!"))</f>
        <v>červená fólie</v>
      </c>
      <c r="T538" s="729">
        <v>180</v>
      </c>
      <c r="U538" s="729">
        <v>25</v>
      </c>
      <c r="V538" s="729">
        <v>16</v>
      </c>
      <c r="W538" s="729" t="str">
        <f>IFERROR(VLOOKUP('General price list'!$C538,Popisy!A:P,MATCH($W$17,Popisy!$A$7:$P$7,0),FALSE),"---------------")</f>
        <v>26 různobarevných efektů</v>
      </c>
      <c r="X538" s="729" t="str">
        <f t="shared" si="1210"/>
        <v/>
      </c>
      <c r="Y538" s="729" t="str">
        <f t="shared" si="1211"/>
        <v/>
      </c>
      <c r="Z538" s="729" t="str">
        <f>HYPERLINK("https://www.klasekpyrotechnics.cz/c26020f-c")</f>
        <v>https://www.klasekpyrotechnics.cz/c26020f-c</v>
      </c>
      <c r="AA538" s="729" t="str">
        <f>IFERROR(IF(VLOOKUP(C538,[4]List1!$A:$D,4,FALSE)=0,"",VLOOKUP(C538,[4]List1!$A:$D,4,FALSE)),"")</f>
        <v>44</v>
      </c>
      <c r="AB538" s="720"/>
      <c r="AC538" s="733" t="str">
        <f>IFERROR(IF(VLOOKUP(C538,[1]List1!$A:$D,2,FALSE)="VYPRODÁNO",$V$9,IF(VLOOKUP(C538,[1]List1!$A:$D,2,FALSE)="DOCHÁZÍ",$V$3,VLOOKUP(C538,[1]List1!$A:$D,2,FALSE))),"OFFLINE!")</f>
        <v>SKLADEM</v>
      </c>
      <c r="AD538" s="734" t="str">
        <f ca="1">IF(AP538="NE",$V$10,IF(AC538=$V$3,IF(AQ538&lt;1,$V$8,$V$2&amp;" "&amp;AQ538&amp;" "&amp;$V$1),IF(AC538="SKLADEM",$V$6,IFERROR(IF(OR(AC538-TODAY()&gt;45,VLOOKUP(C538,[1]List1!$A:$E,4,FALSE)=0),AC538,DAY(AC538)&amp;"."&amp;MONTH(AC538)&amp;"."&amp;YEAR(AC538)&amp;" "&amp;$V$4&amp;VLOOKUP(C538,[1]List1!$A:$E,4,FALSE)&amp;" "&amp;$V$1),AC538))))</f>
        <v>SKLADEM</v>
      </c>
      <c r="AE538" s="729" t="str">
        <f t="shared" ca="1" si="1212"/>
        <v>SKLADEM</v>
      </c>
      <c r="AF538" s="735">
        <f t="shared" si="1213"/>
        <v>0</v>
      </c>
      <c r="AG538" s="735">
        <f t="shared" si="1214"/>
        <v>0</v>
      </c>
      <c r="AH538" s="736">
        <f t="shared" si="1215"/>
        <v>0</v>
      </c>
      <c r="AI538" s="729">
        <f t="shared" si="1216"/>
        <v>0</v>
      </c>
      <c r="AJ538" s="729">
        <f t="shared" si="1217"/>
        <v>0</v>
      </c>
      <c r="AK538" s="729" t="str">
        <f t="shared" si="1218"/>
        <v/>
      </c>
      <c r="AL538" s="729">
        <f t="shared" si="1219"/>
        <v>0</v>
      </c>
      <c r="AM538" s="729" t="str">
        <f t="shared" si="1220"/>
        <v/>
      </c>
      <c r="AN538" s="729">
        <f t="shared" si="1221"/>
        <v>0</v>
      </c>
      <c r="AO538" s="380"/>
      <c r="AP538" s="322" t="str">
        <f t="shared" si="1200"/>
        <v/>
      </c>
      <c r="AQ538" s="323" t="str">
        <f>IF(AC538=$V$3,IF(VLOOKUP(C538,[1]List1!$A:$E,5,FALSE)=0,1,VLOOKUP(C538,[1]List1!$A:$E,5,FALSE)),"")</f>
        <v/>
      </c>
      <c r="AR538" s="304" t="str">
        <f t="shared" si="1201"/>
        <v/>
      </c>
      <c r="AS538" s="423" t="str">
        <f t="shared" si="1202"/>
        <v/>
      </c>
      <c r="AT538" s="304" t="str">
        <f t="shared" si="1203"/>
        <v/>
      </c>
      <c r="AU538" s="342" t="e">
        <f t="shared" si="1204"/>
        <v>#N/A</v>
      </c>
      <c r="AV538" s="304" t="e">
        <f t="shared" si="1205"/>
        <v>#N/A</v>
      </c>
      <c r="AX538" s="304">
        <f>IF(AND('General price list'!$J538="F4",'General price list'!$AB538+0&gt;0),1,0)</f>
        <v>0</v>
      </c>
      <c r="AY538" s="304">
        <f t="shared" si="1206"/>
        <v>1</v>
      </c>
      <c r="AZ538" s="304">
        <f t="shared" si="1207"/>
        <v>0</v>
      </c>
    </row>
    <row r="539" spans="1:52" ht="15" customHeight="1">
      <c r="A539" s="712" t="str">
        <f>Kat.!C536</f>
        <v/>
      </c>
      <c r="B539" s="737">
        <f>IF(AND('General price list'!$J539="F4",$AI$1=FALSE),0,IF(AC539="SKLADEM",1,IF(AC539=$V$3,1,0)))</f>
        <v>0</v>
      </c>
      <c r="C539" s="714" t="s">
        <v>1284</v>
      </c>
      <c r="D539" s="715" t="s">
        <v>1285</v>
      </c>
      <c r="E539" s="716" t="s">
        <v>136</v>
      </c>
      <c r="F539" s="712">
        <f>IFERROR(ROUND(IF($AL$3=2,VLOOKUP(C539,[2]List1!$A:$D,2,FALSE)*1.08,VLOOKUP(C539,[2]List1!$A:$D,2,FALSE)),0),"NEUVEDENO!")</f>
        <v>2591</v>
      </c>
      <c r="G539" s="717">
        <f t="shared" si="1208"/>
        <v>2591</v>
      </c>
      <c r="H539" s="718">
        <f t="shared" si="1209"/>
        <v>105.28711157345514</v>
      </c>
      <c r="I539" s="738">
        <v>1</v>
      </c>
      <c r="J539" s="716" t="s">
        <v>137</v>
      </c>
      <c r="K539" s="716"/>
      <c r="L539" s="716" t="s">
        <v>24</v>
      </c>
      <c r="M539" s="716" t="s">
        <v>138</v>
      </c>
      <c r="N539" s="716">
        <f>IFERROR(VLOOKUP(C539,[3]List1!$A:$D,4,FALSE),"N/A!")</f>
        <v>2.6389999999999997E-2</v>
      </c>
      <c r="O539" s="716">
        <f>IFERROR(VLOOKUP(C539,[3]List1!$A:$D,3,FALSE),"N/A!")</f>
        <v>1994</v>
      </c>
      <c r="P539" s="716">
        <f>IFERROR(VLOOKUP(C539,[3]List1!$A:$D,2,FALSE),"N/A!")</f>
        <v>12000</v>
      </c>
      <c r="Q539" s="716" t="s">
        <v>632</v>
      </c>
      <c r="R539" s="716" t="s">
        <v>24</v>
      </c>
      <c r="S539" s="716" t="str">
        <f>IF($W$17=$AF$1,"červená fólie",IFERROR(VLOOKUP("červená fólie",Jazyky_ceník!$A:$Q,MATCH($W$17,Jazyky_ceník!$A$1:$Q$1,0),FALSE),"!!!"))</f>
        <v>červená fólie</v>
      </c>
      <c r="T539" s="716">
        <v>180</v>
      </c>
      <c r="U539" s="716">
        <v>25</v>
      </c>
      <c r="V539" s="716">
        <v>16</v>
      </c>
      <c r="W539" s="716" t="str">
        <f>IFERROR(VLOOKUP('General price list'!$C539,Popisy!A:P,MATCH($W$17,Popisy!$A$7:$P$7,0),FALSE),"---------------")</f>
        <v>26 různobarevných efektů</v>
      </c>
      <c r="X539" s="716" t="str">
        <f t="shared" si="1210"/>
        <v/>
      </c>
      <c r="Y539" s="716" t="str">
        <f t="shared" si="1211"/>
        <v/>
      </c>
      <c r="Z539" s="716" t="str">
        <f>HYPERLINK("https://www.klasekpyrotechnics.cz/c26020nid-c")</f>
        <v>https://www.klasekpyrotechnics.cz/c26020nid-c</v>
      </c>
      <c r="AA539" s="716" t="str">
        <f>IFERROR(IF(VLOOKUP(C539,[4]List1!$A:$D,4,FALSE)=0,"",VLOOKUP(C539,[4]List1!$A:$D,4,FALSE)),"")</f>
        <v>44</v>
      </c>
      <c r="AB539" s="720"/>
      <c r="AC539" s="739" t="str">
        <f>IFERROR(IF(VLOOKUP(C539,[1]List1!$A:$D,2,FALSE)="VYPRODÁNO",$V$9,IF(VLOOKUP(C539,[1]List1!$A:$D,2,FALSE)="DOCHÁZÍ",$V$3,VLOOKUP(C539,[1]List1!$A:$D,2,FALSE))),"OFFLINE!")</f>
        <v>15.06.2024</v>
      </c>
      <c r="AD539" s="740" t="str">
        <f ca="1">IF(AP539="NE",$V$10,IF(AC539=$V$3,IF(AQ539&lt;1,$V$8,$V$2&amp;" "&amp;AQ539&amp;" "&amp;$V$1),IF(AC539="SKLADEM",$V$6,IFERROR(IF(OR(AC539-TODAY()&gt;45,VLOOKUP(C539,[1]List1!$A:$E,4,FALSE)=0),AC539,DAY(AC539)&amp;"."&amp;MONTH(AC539)&amp;"."&amp;YEAR(AC539)&amp;" "&amp;$V$4&amp;VLOOKUP(C539,[1]List1!$A:$E,4,FALSE)&amp;" "&amp;$V$1),AC539))))</f>
        <v>15.06.2024</v>
      </c>
      <c r="AE539" s="716" t="str">
        <f t="shared" ca="1" si="1212"/>
        <v>15.06.2024</v>
      </c>
      <c r="AF539" s="723">
        <f t="shared" si="1213"/>
        <v>0</v>
      </c>
      <c r="AG539" s="723">
        <f t="shared" si="1214"/>
        <v>0</v>
      </c>
      <c r="AH539" s="724">
        <f t="shared" si="1215"/>
        <v>0</v>
      </c>
      <c r="AI539" s="716">
        <f t="shared" si="1216"/>
        <v>0</v>
      </c>
      <c r="AJ539" s="716">
        <f t="shared" si="1217"/>
        <v>0</v>
      </c>
      <c r="AK539" s="716" t="str">
        <f t="shared" si="1218"/>
        <v/>
      </c>
      <c r="AL539" s="716">
        <f t="shared" si="1219"/>
        <v>0</v>
      </c>
      <c r="AM539" s="716" t="str">
        <f t="shared" si="1220"/>
        <v/>
      </c>
      <c r="AN539" s="716">
        <f t="shared" si="1221"/>
        <v>0</v>
      </c>
      <c r="AO539" s="380"/>
      <c r="AP539" s="322" t="str">
        <f t="shared" si="1200"/>
        <v/>
      </c>
      <c r="AQ539" s="323" t="str">
        <f>IF(AC539=$V$3,IF(VLOOKUP(C539,[1]List1!$A:$E,5,FALSE)=0,1,VLOOKUP(C539,[1]List1!$A:$E,5,FALSE)),"")</f>
        <v/>
      </c>
      <c r="AR539" s="304" t="str">
        <f t="shared" si="1201"/>
        <v/>
      </c>
      <c r="AS539" s="423" t="str">
        <f t="shared" si="1202"/>
        <v/>
      </c>
      <c r="AT539" s="304" t="str">
        <f t="shared" si="1203"/>
        <v/>
      </c>
      <c r="AU539" s="342" t="e">
        <f t="shared" si="1204"/>
        <v>#N/A</v>
      </c>
      <c r="AV539" s="304" t="e">
        <f t="shared" si="1205"/>
        <v>#N/A</v>
      </c>
      <c r="AX539" s="304">
        <f>IF(AND('General price list'!$J539="F4",'General price list'!$AB539+0&gt;0),1,0)</f>
        <v>0</v>
      </c>
      <c r="AY539" s="304">
        <f t="shared" si="1206"/>
        <v>1</v>
      </c>
      <c r="AZ539" s="304">
        <f t="shared" si="1207"/>
        <v>0</v>
      </c>
    </row>
    <row r="540" spans="1:52" ht="15" customHeight="1">
      <c r="A540" s="725" t="str">
        <f>Kat.!C537</f>
        <v/>
      </c>
      <c r="B540" s="726">
        <f>IF(AND('General price list'!$J540="F4",$AI$1=FALSE),0,IF(AC540="SKLADEM",1,IF(AC540=$V$3,1,0)))</f>
        <v>1</v>
      </c>
      <c r="C540" s="727" t="s">
        <v>1286</v>
      </c>
      <c r="D540" s="728" t="s">
        <v>5222</v>
      </c>
      <c r="E540" s="729" t="s">
        <v>136</v>
      </c>
      <c r="F540" s="725">
        <f>IFERROR(ROUND(IF($AL$3=2,VLOOKUP(C540,[2]List1!$A:$D,2,FALSE)*1.08,VLOOKUP(C540,[2]List1!$A:$D,2,FALSE)),0),"NEUVEDENO!")</f>
        <v>3248</v>
      </c>
      <c r="G540" s="730">
        <f t="shared" si="1208"/>
        <v>3248</v>
      </c>
      <c r="H540" s="731">
        <f t="shared" si="1209"/>
        <v>131.98476973777781</v>
      </c>
      <c r="I540" s="732">
        <v>1</v>
      </c>
      <c r="J540" s="729" t="s">
        <v>137</v>
      </c>
      <c r="K540" s="729"/>
      <c r="L540" s="729" t="s">
        <v>24</v>
      </c>
      <c r="M540" s="729" t="s">
        <v>138</v>
      </c>
      <c r="N540" s="729">
        <f>IFERROR(VLOOKUP(C540,[3]List1!$A:$D,4,FALSE),"N/A!")</f>
        <v>4.6304999999999992E-2</v>
      </c>
      <c r="O540" s="729">
        <f>IFERROR(VLOOKUP(C540,[3]List1!$A:$D,3,FALSE),"N/A!")</f>
        <v>1998</v>
      </c>
      <c r="P540" s="729">
        <f>IFERROR(VLOOKUP(C540,[3]List1!$A:$D,2,FALSE),"N/A!")</f>
        <v>14500</v>
      </c>
      <c r="Q540" s="729" t="s">
        <v>14190</v>
      </c>
      <c r="R540" s="729" t="s">
        <v>24</v>
      </c>
      <c r="S540" s="729" t="str">
        <f>IF($W$17=$AF$1,"červená fólie",IFERROR(VLOOKUP("červená fólie",Jazyky_ceník!$A:$Q,MATCH($W$17,Jazyky_ceník!$A$1:$Q$1,0),FALSE),"!!!"))</f>
        <v>červená fólie</v>
      </c>
      <c r="T540" s="729">
        <v>140</v>
      </c>
      <c r="U540" s="729">
        <v>25</v>
      </c>
      <c r="V540" s="729">
        <v>16</v>
      </c>
      <c r="W540" s="729" t="str">
        <f>IFERROR(VLOOKUP('General price list'!$C540,Popisy!A:P,MATCH($W$17,Popisy!$A$7:$P$7,0),FALSE),"---------------")</f>
        <v>32 různobarevných efektů</v>
      </c>
      <c r="X540" s="729" t="str">
        <f t="shared" si="1210"/>
        <v/>
      </c>
      <c r="Y540" s="729" t="str">
        <f t="shared" si="1211"/>
        <v/>
      </c>
      <c r="Z540" s="729" t="str">
        <f>HYPERLINK("https://www.klasekpyrotechnics.cz/c26820f-c")</f>
        <v>https://www.klasekpyrotechnics.cz/c26820f-c</v>
      </c>
      <c r="AA540" s="729" t="str">
        <f>IFERROR(IF(VLOOKUP(C540,[4]List1!$A:$D,4,FALSE)=0,"",VLOOKUP(C540,[4]List1!$A:$D,4,FALSE)),"")</f>
        <v>27</v>
      </c>
      <c r="AB540" s="720"/>
      <c r="AC540" s="733" t="str">
        <f>IFERROR(IF(VLOOKUP(C540,[1]List1!$A:$D,2,FALSE)="VYPRODÁNO",$V$9,IF(VLOOKUP(C540,[1]List1!$A:$D,2,FALSE)="DOCHÁZÍ",$V$3,VLOOKUP(C540,[1]List1!$A:$D,2,FALSE))),"OFFLINE!")</f>
        <v>DOCHÁZÍ</v>
      </c>
      <c r="AD540" s="734" t="str">
        <f ca="1">IF(AP540="NE",$V$10,IF(AC540=$V$3,IF(AQ540&lt;1,$V$8,$V$2&amp;" "&amp;AQ540&amp;" "&amp;$V$1),IF(AC540="SKLADEM",$V$6,IFERROR(IF(OR(AC540-TODAY()&gt;45,VLOOKUP(C540,[1]List1!$A:$E,4,FALSE)=0),AC540,DAY(AC540)&amp;"."&amp;MONTH(AC540)&amp;"."&amp;YEAR(AC540)&amp;" "&amp;$V$4&amp;VLOOKUP(C540,[1]List1!$A:$E,4,FALSE)&amp;" "&amp;$V$1),AC540))))</f>
        <v>POSLEDNÍCH 22 VK</v>
      </c>
      <c r="AE540" s="729" t="str">
        <f t="shared" ca="1" si="1212"/>
        <v>POSLEDNÍCH 22 VK</v>
      </c>
      <c r="AF540" s="735">
        <f t="shared" si="1213"/>
        <v>0</v>
      </c>
      <c r="AG540" s="735">
        <f t="shared" si="1214"/>
        <v>0</v>
      </c>
      <c r="AH540" s="736">
        <f t="shared" si="1215"/>
        <v>0</v>
      </c>
      <c r="AI540" s="729">
        <f t="shared" si="1216"/>
        <v>0</v>
      </c>
      <c r="AJ540" s="729">
        <f t="shared" si="1217"/>
        <v>0</v>
      </c>
      <c r="AK540" s="729" t="str">
        <f t="shared" si="1218"/>
        <v/>
      </c>
      <c r="AL540" s="729">
        <f t="shared" si="1219"/>
        <v>0</v>
      </c>
      <c r="AM540" s="729" t="str">
        <f t="shared" si="1220"/>
        <v/>
      </c>
      <c r="AN540" s="729">
        <f t="shared" si="1221"/>
        <v>0</v>
      </c>
      <c r="AO540" s="380"/>
      <c r="AP540" s="322" t="str">
        <f t="shared" si="1200"/>
        <v/>
      </c>
      <c r="AQ540" s="323">
        <f>IF(AC540=$V$3,IF(VLOOKUP(C540,[1]List1!$A:$E,5,FALSE)=0,1,VLOOKUP(C540,[1]List1!$A:$E,5,FALSE)),"")</f>
        <v>22</v>
      </c>
      <c r="AR540" s="304" t="str">
        <f t="shared" si="1201"/>
        <v/>
      </c>
      <c r="AS540" s="423" t="str">
        <f t="shared" si="1202"/>
        <v/>
      </c>
      <c r="AT540" s="304" t="str">
        <f t="shared" si="1203"/>
        <v/>
      </c>
      <c r="AU540" s="342" t="e">
        <f t="shared" si="1204"/>
        <v>#N/A</v>
      </c>
      <c r="AV540" s="304" t="e">
        <f t="shared" si="1205"/>
        <v>#N/A</v>
      </c>
      <c r="AX540" s="304">
        <f>IF(AND('General price list'!$J540="F4",'General price list'!$AB540+0&gt;0),1,0)</f>
        <v>0</v>
      </c>
      <c r="AY540" s="304">
        <f t="shared" si="1206"/>
        <v>1</v>
      </c>
      <c r="AZ540" s="304">
        <f t="shared" si="1207"/>
        <v>0</v>
      </c>
    </row>
    <row r="541" spans="1:52" ht="15" customHeight="1">
      <c r="A541" s="712" t="str">
        <f>Kat.!C538</f>
        <v/>
      </c>
      <c r="B541" s="737">
        <f>IF(AND('General price list'!$J541="F4",$AI$1=FALSE),0,IF(AC541="SKLADEM",1,IF(AC541=$V$3,1,0)))</f>
        <v>1</v>
      </c>
      <c r="C541" s="714" t="s">
        <v>1287</v>
      </c>
      <c r="D541" s="715" t="s">
        <v>1272</v>
      </c>
      <c r="E541" s="716" t="s">
        <v>136</v>
      </c>
      <c r="F541" s="712">
        <f>IFERROR(ROUND(IF($AL$3=2,VLOOKUP(C541,[2]List1!$A:$D,2,FALSE)*1.08,VLOOKUP(C541,[2]List1!$A:$D,2,FALSE)),0),"NEUVEDENO!")</f>
        <v>3494</v>
      </c>
      <c r="G541" s="717">
        <f t="shared" si="1208"/>
        <v>3494</v>
      </c>
      <c r="H541" s="718">
        <f t="shared" si="1209"/>
        <v>141.9811531600356</v>
      </c>
      <c r="I541" s="738">
        <v>1</v>
      </c>
      <c r="J541" s="716" t="s">
        <v>137</v>
      </c>
      <c r="K541" s="716" t="s">
        <v>12734</v>
      </c>
      <c r="L541" s="716" t="s">
        <v>24</v>
      </c>
      <c r="M541" s="716" t="s">
        <v>138</v>
      </c>
      <c r="N541" s="716">
        <f>IFERROR(VLOOKUP(C541,[3]List1!$A:$D,4,FALSE),"N/A!")</f>
        <v>3.7961000000000002E-2</v>
      </c>
      <c r="O541" s="716">
        <f>IFERROR(VLOOKUP(C541,[3]List1!$A:$D,3,FALSE),"N/A!")</f>
        <v>2985</v>
      </c>
      <c r="P541" s="716">
        <f>IFERROR(VLOOKUP(C541,[3]List1!$A:$D,2,FALSE),"N/A!")</f>
        <v>17000</v>
      </c>
      <c r="Q541" s="716" t="s">
        <v>14192</v>
      </c>
      <c r="R541" s="716" t="s">
        <v>24</v>
      </c>
      <c r="S541" s="716" t="str">
        <f>IF($W$17=$AF$1,"červená fólie",IFERROR(VLOOKUP("červená fólie",Jazyky_ceník!$A:$Q,MATCH($W$17,Jazyky_ceník!$A$1:$Q$1,0),FALSE),"!!!"))</f>
        <v>červená fólie</v>
      </c>
      <c r="T541" s="716">
        <v>240</v>
      </c>
      <c r="U541" s="716">
        <v>25</v>
      </c>
      <c r="V541" s="716">
        <v>16</v>
      </c>
      <c r="W541" s="716" t="str">
        <f>IFERROR(VLOOKUP('General price list'!$C541,Popisy!A:P,MATCH($W$17,Popisy!$A$7:$P$7,0),FALSE),"---------------")</f>
        <v>39 různobarevných efektů</v>
      </c>
      <c r="X541" s="716" t="str">
        <f t="shared" si="1210"/>
        <v/>
      </c>
      <c r="Y541" s="716" t="str">
        <f t="shared" si="1211"/>
        <v/>
      </c>
      <c r="Z541" s="716" t="str">
        <f>HYPERLINK("https://www.klasekpyrotechnics.cz/c39020f-c")</f>
        <v>https://www.klasekpyrotechnics.cz/c39020f-c</v>
      </c>
      <c r="AA541" s="716">
        <f>IFERROR(IF(VLOOKUP(C541,[4]List1!$A:$D,4,FALSE)=0,"",VLOOKUP(C541,[4]List1!$A:$D,4,FALSE)),"")</f>
        <v>33</v>
      </c>
      <c r="AB541" s="720"/>
      <c r="AC541" s="739" t="str">
        <f>IFERROR(IF(VLOOKUP(C541,[1]List1!$A:$D,2,FALSE)="VYPRODÁNO",$V$9,IF(VLOOKUP(C541,[1]List1!$A:$D,2,FALSE)="DOCHÁZÍ",$V$3,VLOOKUP(C541,[1]List1!$A:$D,2,FALSE))),"OFFLINE!")</f>
        <v>SKLADEM</v>
      </c>
      <c r="AD541" s="740" t="str">
        <f ca="1">IF(AP541="NE",$V$10,IF(AC541=$V$3,IF(AQ541&lt;1,$V$8,$V$2&amp;" "&amp;AQ541&amp;" "&amp;$V$1),IF(AC541="SKLADEM",$V$6,IFERROR(IF(OR(AC541-TODAY()&gt;45,VLOOKUP(C541,[1]List1!$A:$E,4,FALSE)=0),AC541,DAY(AC541)&amp;"."&amp;MONTH(AC541)&amp;"."&amp;YEAR(AC541)&amp;" "&amp;$V$4&amp;VLOOKUP(C541,[1]List1!$A:$E,4,FALSE)&amp;" "&amp;$V$1),AC541))))</f>
        <v>SKLADEM</v>
      </c>
      <c r="AE541" s="716" t="str">
        <f t="shared" ca="1" si="1212"/>
        <v>SKLADEM</v>
      </c>
      <c r="AF541" s="723">
        <f t="shared" si="1213"/>
        <v>0</v>
      </c>
      <c r="AG541" s="723">
        <f t="shared" si="1214"/>
        <v>0</v>
      </c>
      <c r="AH541" s="724">
        <f t="shared" si="1215"/>
        <v>0</v>
      </c>
      <c r="AI541" s="716">
        <f t="shared" si="1216"/>
        <v>0</v>
      </c>
      <c r="AJ541" s="716">
        <f t="shared" si="1217"/>
        <v>0</v>
      </c>
      <c r="AK541" s="716" t="str">
        <f t="shared" si="1218"/>
        <v/>
      </c>
      <c r="AL541" s="716">
        <f t="shared" si="1219"/>
        <v>0</v>
      </c>
      <c r="AM541" s="716" t="str">
        <f t="shared" si="1220"/>
        <v/>
      </c>
      <c r="AN541" s="716">
        <f t="shared" si="1221"/>
        <v>0</v>
      </c>
      <c r="AO541" s="380"/>
      <c r="AP541" s="322" t="str">
        <f t="shared" si="1200"/>
        <v/>
      </c>
      <c r="AQ541" s="323" t="str">
        <f>IF(AC541=$V$3,IF(VLOOKUP(C541,[1]List1!$A:$E,5,FALSE)=0,1,VLOOKUP(C541,[1]List1!$A:$E,5,FALSE)),"")</f>
        <v/>
      </c>
      <c r="AR541" s="304" t="str">
        <f t="shared" si="1201"/>
        <v/>
      </c>
      <c r="AS541" s="423" t="str">
        <f t="shared" si="1202"/>
        <v/>
      </c>
      <c r="AT541" s="304" t="str">
        <f t="shared" si="1203"/>
        <v/>
      </c>
      <c r="AU541" s="342" t="e">
        <f t="shared" si="1204"/>
        <v>#N/A</v>
      </c>
      <c r="AV541" s="304" t="e">
        <f t="shared" si="1205"/>
        <v>#N/A</v>
      </c>
      <c r="AX541" s="304">
        <f>IF(AND('General price list'!$J541="F4",'General price list'!$AB541+0&gt;0),1,0)</f>
        <v>0</v>
      </c>
      <c r="AY541" s="304">
        <f t="shared" si="1206"/>
        <v>1</v>
      </c>
      <c r="AZ541" s="304">
        <f t="shared" si="1207"/>
        <v>0</v>
      </c>
    </row>
    <row r="542" spans="1:52" ht="15" customHeight="1">
      <c r="A542" s="725" t="str">
        <f>Kat.!C539</f>
        <v/>
      </c>
      <c r="B542" s="726">
        <f>IF(AND('General price list'!$J542="F4",$AI$1=FALSE),0,IF(AC542="SKLADEM",1,IF(AC542=$V$3,1,0)))</f>
        <v>0</v>
      </c>
      <c r="C542" s="727" t="s">
        <v>1288</v>
      </c>
      <c r="D542" s="728" t="s">
        <v>1276</v>
      </c>
      <c r="E542" s="729" t="s">
        <v>136</v>
      </c>
      <c r="F542" s="725">
        <f>IFERROR(ROUND(IF($AL$3=2,VLOOKUP(C542,[2]List1!$A:$D,2,FALSE)*1.08,VLOOKUP(C542,[2]List1!$A:$D,2,FALSE)),0),"NEUVEDENO!")</f>
        <v>5290</v>
      </c>
      <c r="G542" s="730">
        <f t="shared" si="1208"/>
        <v>5290</v>
      </c>
      <c r="H542" s="731">
        <f t="shared" si="1209"/>
        <v>214.96287928351126</v>
      </c>
      <c r="I542" s="732">
        <v>1</v>
      </c>
      <c r="J542" s="729" t="s">
        <v>137</v>
      </c>
      <c r="K542" s="729"/>
      <c r="L542" s="729" t="s">
        <v>24</v>
      </c>
      <c r="M542" s="729" t="s">
        <v>138</v>
      </c>
      <c r="N542" s="729">
        <f>IFERROR(VLOOKUP(C542,[3]List1!$A:$D,4,FALSE),"N/A!")</f>
        <v>5.0405625000000003E-2</v>
      </c>
      <c r="O542" s="729">
        <f>IFERROR(VLOOKUP(C542,[3]List1!$A:$D,3,FALSE),"N/A!")</f>
        <v>3988</v>
      </c>
      <c r="P542" s="729">
        <f>IFERROR(VLOOKUP(C542,[3]List1!$A:$D,2,FALSE),"N/A!")</f>
        <v>24500</v>
      </c>
      <c r="Q542" s="729" t="s">
        <v>14097</v>
      </c>
      <c r="R542" s="729" t="s">
        <v>24</v>
      </c>
      <c r="S542" s="729" t="str">
        <f>IF($W$17=$AF$1,"červená fólie",IFERROR(VLOOKUP("červená fólie",Jazyky_ceník!$A:$Q,MATCH($W$17,Jazyky_ceník!$A$1:$Q$1,0),FALSE),"!!!"))</f>
        <v>červená fólie</v>
      </c>
      <c r="T542" s="729">
        <v>200</v>
      </c>
      <c r="U542" s="729">
        <v>25</v>
      </c>
      <c r="V542" s="729">
        <v>16</v>
      </c>
      <c r="W542" s="729" t="str">
        <f>IFERROR(VLOOKUP('General price list'!$C542,Popisy!A:P,MATCH($W$17,Popisy!$A$7:$P$7,0),FALSE),"---------------")</f>
        <v>52 různobarevných efektů</v>
      </c>
      <c r="X542" s="729" t="str">
        <f t="shared" si="1210"/>
        <v/>
      </c>
      <c r="Y542" s="729" t="str">
        <f t="shared" si="1211"/>
        <v/>
      </c>
      <c r="Z542" s="729" t="str">
        <f>HYPERLINK("https://www.klasekpyrotechnics.cz/c52020f-c")</f>
        <v>https://www.klasekpyrotechnics.cz/c52020f-c</v>
      </c>
      <c r="AA542" s="729">
        <f>IFERROR(IF(VLOOKUP(C542,[4]List1!$A:$D,4,FALSE)=0,"",VLOOKUP(C542,[4]List1!$A:$D,4,FALSE)),"")</f>
        <v>24</v>
      </c>
      <c r="AB542" s="720"/>
      <c r="AC542" s="733" t="str">
        <f>IFERROR(IF(VLOOKUP(C542,[1]List1!$A:$D,2,FALSE)="VYPRODÁNO",$V$9,IF(VLOOKUP(C542,[1]List1!$A:$D,2,FALSE)="DOCHÁZÍ",$V$3,VLOOKUP(C542,[1]List1!$A:$D,2,FALSE))),"OFFLINE!")</f>
        <v>15.09.2024</v>
      </c>
      <c r="AD542" s="734" t="str">
        <f ca="1">IF(AP542="NE",$V$10,IF(AC542=$V$3,IF(AQ542&lt;1,$V$8,$V$2&amp;" "&amp;AQ542&amp;" "&amp;$V$1),IF(AC542="SKLADEM",$V$6,IFERROR(IF(OR(AC542-TODAY()&gt;45,VLOOKUP(C542,[1]List1!$A:$E,4,FALSE)=0),AC542,DAY(AC542)&amp;"."&amp;MONTH(AC542)&amp;"."&amp;YEAR(AC542)&amp;" "&amp;$V$4&amp;VLOOKUP(C542,[1]List1!$A:$E,4,FALSE)&amp;" "&amp;$V$1),AC542))))</f>
        <v>15.09.2024</v>
      </c>
      <c r="AE542" s="729" t="str">
        <f t="shared" ca="1" si="1212"/>
        <v>15.09.2024</v>
      </c>
      <c r="AF542" s="735">
        <f t="shared" si="1213"/>
        <v>0</v>
      </c>
      <c r="AG542" s="735">
        <f t="shared" si="1214"/>
        <v>0</v>
      </c>
      <c r="AH542" s="736">
        <f t="shared" si="1215"/>
        <v>0</v>
      </c>
      <c r="AI542" s="729">
        <f t="shared" si="1216"/>
        <v>0</v>
      </c>
      <c r="AJ542" s="729">
        <f t="shared" si="1217"/>
        <v>0</v>
      </c>
      <c r="AK542" s="729" t="str">
        <f t="shared" si="1218"/>
        <v/>
      </c>
      <c r="AL542" s="729">
        <f t="shared" si="1219"/>
        <v>0</v>
      </c>
      <c r="AM542" s="729" t="str">
        <f t="shared" si="1220"/>
        <v/>
      </c>
      <c r="AN542" s="729">
        <f t="shared" si="1221"/>
        <v>0</v>
      </c>
      <c r="AO542" s="380"/>
      <c r="AP542" s="322" t="str">
        <f t="shared" si="1200"/>
        <v/>
      </c>
      <c r="AQ542" s="323" t="str">
        <f>IF(AC542=$V$3,IF(VLOOKUP(C542,[1]List1!$A:$E,5,FALSE)=0,1,VLOOKUP(C542,[1]List1!$A:$E,5,FALSE)),"")</f>
        <v/>
      </c>
      <c r="AR542" s="304" t="str">
        <f t="shared" si="1201"/>
        <v/>
      </c>
      <c r="AS542" s="423" t="str">
        <f t="shared" si="1202"/>
        <v/>
      </c>
      <c r="AT542" s="304" t="str">
        <f t="shared" si="1203"/>
        <v/>
      </c>
      <c r="AU542" s="342" t="e">
        <f t="shared" si="1204"/>
        <v>#N/A</v>
      </c>
      <c r="AV542" s="304" t="e">
        <f t="shared" si="1205"/>
        <v>#N/A</v>
      </c>
      <c r="AX542" s="304">
        <f>IF(AND('General price list'!$J542="F4",'General price list'!$AB542+0&gt;0),1,0)</f>
        <v>0</v>
      </c>
      <c r="AY542" s="304">
        <f t="shared" si="1206"/>
        <v>1</v>
      </c>
      <c r="AZ542" s="304">
        <f t="shared" si="1207"/>
        <v>0</v>
      </c>
    </row>
    <row r="543" spans="1:52" ht="15" customHeight="1">
      <c r="A543" s="712" t="str">
        <f>Kat.!C540</f>
        <v/>
      </c>
      <c r="B543" s="737">
        <f>IF(AND('General price list'!$J543="F4",$AI$1=FALSE),0,IF(AC543="SKLADEM",1,IF(AC543=$V$3,1,0)))</f>
        <v>0</v>
      </c>
      <c r="C543" s="714" t="s">
        <v>1289</v>
      </c>
      <c r="D543" s="715" t="s">
        <v>1290</v>
      </c>
      <c r="E543" s="716" t="s">
        <v>136</v>
      </c>
      <c r="F543" s="712">
        <f>IFERROR(ROUND(IF($AL$3=2,VLOOKUP(C543,[2]List1!$A:$D,2,FALSE)*1.08,VLOOKUP(C543,[2]List1!$A:$D,2,FALSE)),0),"NEUVEDENO!")</f>
        <v>6809</v>
      </c>
      <c r="G543" s="717">
        <f t="shared" si="1208"/>
        <v>6809</v>
      </c>
      <c r="H543" s="718">
        <f t="shared" si="1209"/>
        <v>276.68851513070479</v>
      </c>
      <c r="I543" s="738">
        <v>1</v>
      </c>
      <c r="J543" s="716" t="s">
        <v>137</v>
      </c>
      <c r="K543" s="716"/>
      <c r="L543" s="716" t="s">
        <v>24</v>
      </c>
      <c r="M543" s="716" t="s">
        <v>138</v>
      </c>
      <c r="N543" s="716">
        <f>IFERROR(VLOOKUP(C543,[3]List1!$A:$D,4,FALSE),"N/A!")</f>
        <v>9.2960000000000001E-2</v>
      </c>
      <c r="O543" s="716">
        <f>IFERROR(VLOOKUP(C543,[3]List1!$A:$D,3,FALSE),"N/A!")</f>
        <v>3996</v>
      </c>
      <c r="P543" s="716">
        <f>IFERROR(VLOOKUP(C543,[3]List1!$A:$D,2,FALSE),"N/A!")</f>
        <v>28900</v>
      </c>
      <c r="Q543" s="716" t="s">
        <v>14214</v>
      </c>
      <c r="R543" s="716" t="s">
        <v>24</v>
      </c>
      <c r="S543" s="716" t="str">
        <f>IF($W$17=$AF$1,"červená fólie",IFERROR(VLOOKUP("červená fólie",Jazyky_ceník!$A:$Q,MATCH($W$17,Jazyky_ceník!$A$1:$Q$1,0),FALSE),"!!!"))</f>
        <v>červená fólie</v>
      </c>
      <c r="T543" s="716">
        <v>240</v>
      </c>
      <c r="U543" s="716">
        <v>25</v>
      </c>
      <c r="V543" s="716">
        <v>16</v>
      </c>
      <c r="W543" s="716" t="str">
        <f>IFERROR(VLOOKUP('General price list'!$C543,Popisy!A:P,MATCH($W$17,Popisy!$A$7:$P$7,0),FALSE),"---------------")</f>
        <v>32 různobarevných efektů</v>
      </c>
      <c r="X543" s="716" t="str">
        <f t="shared" si="1210"/>
        <v/>
      </c>
      <c r="Y543" s="716" t="str">
        <f t="shared" si="1211"/>
        <v/>
      </c>
      <c r="Z543" s="716" t="str">
        <f>HYPERLINK("https://www.klasekpyrotechnics.cz/c53620f-c")</f>
        <v>https://www.klasekpyrotechnics.cz/c53620f-c</v>
      </c>
      <c r="AA543" s="716" t="str">
        <f>IFERROR(IF(VLOOKUP(C543,[4]List1!$A:$D,4,FALSE)=0,"",VLOOKUP(C543,[4]List1!$A:$D,4,FALSE)),"")</f>
        <v>20</v>
      </c>
      <c r="AB543" s="720"/>
      <c r="AC543" s="739" t="str">
        <f>IFERROR(IF(VLOOKUP(C543,[1]List1!$A:$D,2,FALSE)="VYPRODÁNO",$V$9,IF(VLOOKUP(C543,[1]List1!$A:$D,2,FALSE)="DOCHÁZÍ",$V$3,VLOOKUP(C543,[1]List1!$A:$D,2,FALSE))),"OFFLINE!")</f>
        <v>15.09.2024</v>
      </c>
      <c r="AD543" s="740" t="str">
        <f ca="1">IF(AP543="NE",$V$10,IF(AC543=$V$3,IF(AQ543&lt;1,$V$8,$V$2&amp;" "&amp;AQ543&amp;" "&amp;$V$1),IF(AC543="SKLADEM",$V$6,IFERROR(IF(OR(AC543-TODAY()&gt;45,VLOOKUP(C543,[1]List1!$A:$E,4,FALSE)=0),AC543,DAY(AC543)&amp;"."&amp;MONTH(AC543)&amp;"."&amp;YEAR(AC543)&amp;" "&amp;$V$4&amp;VLOOKUP(C543,[1]List1!$A:$E,4,FALSE)&amp;" "&amp;$V$1),AC543))))</f>
        <v>15.09.2024</v>
      </c>
      <c r="AE543" s="716" t="str">
        <f t="shared" ca="1" si="1212"/>
        <v>15.09.2024</v>
      </c>
      <c r="AF543" s="723">
        <f t="shared" si="1213"/>
        <v>0</v>
      </c>
      <c r="AG543" s="723">
        <f t="shared" si="1214"/>
        <v>0</v>
      </c>
      <c r="AH543" s="724">
        <f t="shared" si="1215"/>
        <v>0</v>
      </c>
      <c r="AI543" s="716">
        <f t="shared" si="1216"/>
        <v>0</v>
      </c>
      <c r="AJ543" s="716">
        <f t="shared" si="1217"/>
        <v>0</v>
      </c>
      <c r="AK543" s="716" t="str">
        <f t="shared" si="1218"/>
        <v/>
      </c>
      <c r="AL543" s="716">
        <f t="shared" si="1219"/>
        <v>0</v>
      </c>
      <c r="AM543" s="716" t="str">
        <f t="shared" si="1220"/>
        <v/>
      </c>
      <c r="AN543" s="716">
        <f t="shared" si="1221"/>
        <v>0</v>
      </c>
      <c r="AO543" s="380"/>
      <c r="AP543" s="322" t="str">
        <f t="shared" si="1200"/>
        <v/>
      </c>
      <c r="AQ543" s="323" t="str">
        <f>IF(AC543=$V$3,IF(VLOOKUP(C543,[1]List1!$A:$E,5,FALSE)=0,1,VLOOKUP(C543,[1]List1!$A:$E,5,FALSE)),"")</f>
        <v/>
      </c>
      <c r="AR543" s="304" t="str">
        <f t="shared" si="1201"/>
        <v/>
      </c>
      <c r="AS543" s="423" t="str">
        <f t="shared" si="1202"/>
        <v/>
      </c>
      <c r="AT543" s="304" t="str">
        <f t="shared" si="1203"/>
        <v/>
      </c>
      <c r="AU543" s="342" t="e">
        <f t="shared" si="1204"/>
        <v>#N/A</v>
      </c>
      <c r="AV543" s="304" t="e">
        <f t="shared" si="1205"/>
        <v>#N/A</v>
      </c>
      <c r="AX543" s="304">
        <f>IF(AND('General price list'!$J543="F4",'General price list'!$AB543+0&gt;0),1,0)</f>
        <v>0</v>
      </c>
      <c r="AY543" s="304">
        <f t="shared" si="1206"/>
        <v>1</v>
      </c>
      <c r="AZ543" s="304">
        <f t="shared" si="1207"/>
        <v>0</v>
      </c>
    </row>
    <row r="544" spans="1:52" ht="15" customHeight="1">
      <c r="A544" s="725" t="str">
        <f>Kat.!C541</f>
        <v/>
      </c>
      <c r="B544" s="726">
        <f>IF(AND('General price list'!$J544="F4",$AI$1=FALSE),0,IF(AC544="SKLADEM",1,IF(AC544=$V$3,1,0)))</f>
        <v>0</v>
      </c>
      <c r="C544" s="727" t="s">
        <v>13475</v>
      </c>
      <c r="D544" s="728" t="s">
        <v>13476</v>
      </c>
      <c r="E544" s="729" t="s">
        <v>136</v>
      </c>
      <c r="F544" s="725">
        <f>IFERROR(ROUND(IF($AL$3=2,VLOOKUP(C544,[2]List1!$A:$D,2,FALSE)*1.08,VLOOKUP(C544,[2]List1!$A:$D,2,FALSE)),0),"NEUVEDENO!")</f>
        <v>7198</v>
      </c>
      <c r="G544" s="730">
        <f t="shared" si="1208"/>
        <v>7198</v>
      </c>
      <c r="H544" s="731">
        <f t="shared" si="1209"/>
        <v>292.49580436346201</v>
      </c>
      <c r="I544" s="732">
        <v>1</v>
      </c>
      <c r="J544" s="729" t="s">
        <v>137</v>
      </c>
      <c r="K544" s="729"/>
      <c r="L544" s="729" t="s">
        <v>24</v>
      </c>
      <c r="M544" s="729" t="s">
        <v>138</v>
      </c>
      <c r="N544" s="729">
        <f>IFERROR(VLOOKUP(C544,[3]List1!$A:$D,4,FALSE),"N/A!")</f>
        <v>6.6555000000000003E-2</v>
      </c>
      <c r="O544" s="729">
        <f>IFERROR(VLOOKUP(C544,[3]List1!$A:$D,3,FALSE),"N/A!")</f>
        <v>3000</v>
      </c>
      <c r="P544" s="729">
        <f>IFERROR(VLOOKUP(C544,[3]List1!$A:$D,2,FALSE),"N/A!")</f>
        <v>30000</v>
      </c>
      <c r="Q544" s="729" t="s">
        <v>14195</v>
      </c>
      <c r="R544" s="729" t="s">
        <v>24</v>
      </c>
      <c r="S544" s="729" t="str">
        <f>IF($W$17=$AF$1,"červená fólie",IFERROR(VLOOKUP("červená fólie",Jazyky_ceník!$A:$Q,MATCH($W$17,Jazyky_ceník!$A$1:$Q$1,0),FALSE),"!!!"))</f>
        <v>červená fólie</v>
      </c>
      <c r="T544" s="729">
        <v>180</v>
      </c>
      <c r="U544" s="729">
        <v>25</v>
      </c>
      <c r="V544" s="729">
        <v>16</v>
      </c>
      <c r="W544" s="729" t="str">
        <f>IFERROR(VLOOKUP('General price list'!$C544,Popisy!A:P,MATCH($W$17,Popisy!$A$7:$P$7,0),FALSE),"---------------")</f>
        <v>60 různobarevných efektů</v>
      </c>
      <c r="X544" s="729" t="str">
        <f t="shared" si="1210"/>
        <v/>
      </c>
      <c r="Y544" s="729" t="str">
        <f t="shared" si="1211"/>
        <v/>
      </c>
      <c r="Z544" s="729" t="str">
        <f>HYPERLINK("https://www.klasekpyrotechnics.cz/c60020xpr-c")</f>
        <v>https://www.klasekpyrotechnics.cz/c60020xpr-c</v>
      </c>
      <c r="AA544" s="729">
        <f>IFERROR(IF(VLOOKUP(C544,[4]List1!$A:$D,4,FALSE)=0,"",VLOOKUP(C544,[4]List1!$A:$D,4,FALSE)),"")</f>
        <v>14</v>
      </c>
      <c r="AB544" s="720"/>
      <c r="AC544" s="733" t="str">
        <f>IFERROR(IF(VLOOKUP(C544,[1]List1!$A:$D,2,FALSE)="VYPRODÁNO",$V$9,IF(VLOOKUP(C544,[1]List1!$A:$D,2,FALSE)="DOCHÁZÍ",$V$3,VLOOKUP(C544,[1]List1!$A:$D,2,FALSE))),"OFFLINE!")</f>
        <v>15.05.2024</v>
      </c>
      <c r="AD544" s="734" t="str">
        <f ca="1">IF(AP544="NE",$V$10,IF(AC544=$V$3,IF(AQ544&lt;1,$V$8,$V$2&amp;" "&amp;AQ544&amp;" "&amp;$V$1),IF(AC544="SKLADEM",$V$6,IFERROR(IF(OR(AC544-TODAY()&gt;45,VLOOKUP(C544,[1]List1!$A:$E,4,FALSE)=0),AC544,DAY(AC544)&amp;"."&amp;MONTH(AC544)&amp;"."&amp;YEAR(AC544)&amp;" "&amp;$V$4&amp;VLOOKUP(C544,[1]List1!$A:$E,4,FALSE)&amp;" "&amp;$V$1),AC544))))</f>
        <v>15.05.2024</v>
      </c>
      <c r="AE544" s="729" t="str">
        <f t="shared" ca="1" si="1212"/>
        <v>15.05.2024</v>
      </c>
      <c r="AF544" s="735">
        <f t="shared" si="1213"/>
        <v>0</v>
      </c>
      <c r="AG544" s="735">
        <f t="shared" si="1214"/>
        <v>0</v>
      </c>
      <c r="AH544" s="736">
        <f t="shared" si="1215"/>
        <v>0</v>
      </c>
      <c r="AI544" s="729">
        <f t="shared" si="1216"/>
        <v>0</v>
      </c>
      <c r="AJ544" s="729">
        <f t="shared" si="1217"/>
        <v>0</v>
      </c>
      <c r="AK544" s="729" t="str">
        <f t="shared" si="1218"/>
        <v/>
      </c>
      <c r="AL544" s="729">
        <f t="shared" si="1219"/>
        <v>0</v>
      </c>
      <c r="AM544" s="729" t="str">
        <f t="shared" si="1220"/>
        <v/>
      </c>
      <c r="AN544" s="729">
        <f t="shared" si="1221"/>
        <v>0</v>
      </c>
      <c r="AO544" s="380"/>
      <c r="AP544" s="322" t="str">
        <f t="shared" si="1200"/>
        <v/>
      </c>
      <c r="AQ544" s="323" t="str">
        <f>IF(AC544=$V$3,IF(VLOOKUP(C544,[1]List1!$A:$E,5,FALSE)=0,1,VLOOKUP(C544,[1]List1!$A:$E,5,FALSE)),"")</f>
        <v/>
      </c>
      <c r="AR544" s="304" t="str">
        <f t="shared" si="1201"/>
        <v/>
      </c>
      <c r="AS544" s="423" t="str">
        <f t="shared" si="1202"/>
        <v/>
      </c>
      <c r="AT544" s="304" t="str">
        <f t="shared" si="1203"/>
        <v/>
      </c>
      <c r="AU544" s="342" t="e">
        <f t="shared" si="1204"/>
        <v>#N/A</v>
      </c>
      <c r="AV544" s="304" t="e">
        <f t="shared" si="1205"/>
        <v>#N/A</v>
      </c>
      <c r="AX544" s="304">
        <f>IF(AND('General price list'!$J544="F4",'General price list'!$AB544+0&gt;0),1,0)</f>
        <v>0</v>
      </c>
      <c r="AY544" s="304">
        <f t="shared" si="1206"/>
        <v>1</v>
      </c>
      <c r="AZ544" s="304">
        <f t="shared" si="1207"/>
        <v>0</v>
      </c>
    </row>
    <row r="545" spans="1:52" ht="15" customHeight="1">
      <c r="A545" s="773" t="str">
        <f>Kat.!C542</f>
        <v xml:space="preserve">                                                               Složený ohňostroj(s ochraným obalem) F3 - 1.3G</v>
      </c>
      <c r="B545" s="774"/>
      <c r="C545" s="774"/>
      <c r="D545" s="774"/>
      <c r="E545" s="774"/>
      <c r="F545" s="774"/>
      <c r="G545" s="774"/>
      <c r="H545" s="774"/>
      <c r="I545" s="774"/>
      <c r="J545" s="774"/>
      <c r="K545" s="774"/>
      <c r="L545" s="774"/>
      <c r="M545" s="774"/>
      <c r="N545" s="774"/>
      <c r="O545" s="774"/>
      <c r="P545" s="774"/>
      <c r="Q545" s="774"/>
      <c r="R545" s="774"/>
      <c r="S545" s="774"/>
      <c r="T545" s="774"/>
      <c r="U545" s="774"/>
      <c r="V545" s="774"/>
      <c r="W545" s="774"/>
      <c r="X545" s="774"/>
      <c r="Y545" s="774"/>
      <c r="Z545" s="774"/>
      <c r="AA545" s="774" t="str">
        <f>IFERROR(IF(VLOOKUP(C545,[4]List1!$A:$D,4,FALSE)=0,"",VLOOKUP(C545,[4]List1!$A:$D,4,FALSE)),"")</f>
        <v/>
      </c>
      <c r="AB545" s="774"/>
      <c r="AC545" s="775" t="str">
        <f>IFERROR(IF(VLOOKUP(C545,[1]List1!$A:$D,2,FALSE)="VYPRODÁNO",$V$9,IF(VLOOKUP(C545,[1]List1!$A:$D,2,FALSE)="DOCHÁZÍ",$V$3,VLOOKUP(C545,[1]List1!$A:$D,2,FALSE))),"OFFLINE!")</f>
        <v>OFFLINE!</v>
      </c>
      <c r="AD545" s="774"/>
      <c r="AE545" s="774"/>
      <c r="AF545" s="774"/>
      <c r="AG545" s="774"/>
      <c r="AH545" s="774"/>
      <c r="AI545" s="774"/>
      <c r="AJ545" s="774"/>
      <c r="AK545" s="774"/>
      <c r="AL545" s="774"/>
      <c r="AM545" s="774"/>
      <c r="AN545" s="774"/>
      <c r="AO545" s="380"/>
      <c r="AP545" s="322" t="str">
        <f t="shared" si="1200"/>
        <v/>
      </c>
      <c r="AQ545" s="323" t="str">
        <f>IF(AC545=$V$3,IF(VLOOKUP(C545,[1]List1!$A:$E,5,FALSE)=0,1,VLOOKUP(C545,[1]List1!$A:$E,5,FALSE)),"")</f>
        <v/>
      </c>
      <c r="AR545" s="304" t="str">
        <f t="shared" si="1201"/>
        <v/>
      </c>
      <c r="AS545" s="423" t="str">
        <f t="shared" si="1202"/>
        <v/>
      </c>
      <c r="AT545" s="304" t="str">
        <f t="shared" si="1203"/>
        <v/>
      </c>
      <c r="AU545" s="342" t="e">
        <f t="shared" si="1204"/>
        <v>#N/A</v>
      </c>
      <c r="AV545" s="304" t="e">
        <f t="shared" si="1205"/>
        <v>#N/A</v>
      </c>
      <c r="AX545" s="304">
        <f>IF(AND('General price list'!$J545="F4",'General price list'!$AB545+0&gt;0),1,0)</f>
        <v>0</v>
      </c>
      <c r="AY545" s="304">
        <f t="shared" si="1206"/>
        <v>0</v>
      </c>
      <c r="AZ545" s="304">
        <f t="shared" si="1207"/>
        <v>0</v>
      </c>
    </row>
    <row r="546" spans="1:52" ht="15" customHeight="1">
      <c r="A546" s="725" t="str">
        <f>Kat.!C543</f>
        <v/>
      </c>
      <c r="B546" s="741">
        <f>IF(AND('General price list'!$J546="F4",$AI$1=FALSE),0,IF(AC546="SKLADEM",1,IF(AC546=$V$3,1,0)))</f>
        <v>1</v>
      </c>
      <c r="C546" s="727" t="s">
        <v>2725</v>
      </c>
      <c r="D546" s="728" t="s">
        <v>1280</v>
      </c>
      <c r="E546" s="729" t="s">
        <v>136</v>
      </c>
      <c r="F546" s="725">
        <f>IFERROR(ROUND(IF($AL$3=2,VLOOKUP(C546,[2]List1!$A:$D,2,FALSE)*1.08,VLOOKUP(C546,[2]List1!$A:$D,2,FALSE)),0),"NEUVEDENO!")</f>
        <v>2340</v>
      </c>
      <c r="G546" s="730">
        <f t="shared" ref="G546:G552" si="1222">(F546)*$B$19</f>
        <v>2340</v>
      </c>
      <c r="H546" s="731">
        <f t="shared" ref="H546:H552" si="1223">G546/$F$19</f>
        <v>95.087549626354701</v>
      </c>
      <c r="I546" s="742">
        <v>1</v>
      </c>
      <c r="J546" s="729" t="s">
        <v>137</v>
      </c>
      <c r="K546" s="729">
        <v>6</v>
      </c>
      <c r="L546" s="729" t="s">
        <v>24</v>
      </c>
      <c r="M546" s="729" t="s">
        <v>138</v>
      </c>
      <c r="N546" s="729">
        <f>IFERROR(VLOOKUP(C546,[3]List1!$A:$D,4,FALSE),"N/A!")</f>
        <v>1.6449999999999999E-2</v>
      </c>
      <c r="O546" s="729">
        <f>IFERROR(VLOOKUP(C546,[3]List1!$A:$D,3,FALSE),"N/A!")</f>
        <v>1980</v>
      </c>
      <c r="P546" s="729">
        <f>IFERROR(VLOOKUP(C546,[3]List1!$A:$D,2,FALSE),"N/A!")</f>
        <v>9000</v>
      </c>
      <c r="Q546" s="729" t="s">
        <v>1281</v>
      </c>
      <c r="R546" s="729" t="s">
        <v>24</v>
      </c>
      <c r="S546" s="729" t="str">
        <f>IF($W$17=$AF$1,"červená fólie",IFERROR(VLOOKUP("červená fólie",Jazyky_ceník!$A:$Q,MATCH($W$17,Jazyky_ceník!$A$1:$Q$1,0),FALSE),"!!!"))</f>
        <v>červená fólie</v>
      </c>
      <c r="T546" s="729">
        <v>140</v>
      </c>
      <c r="U546" s="729">
        <v>27</v>
      </c>
      <c r="V546" s="729">
        <v>18</v>
      </c>
      <c r="W546" s="729" t="str">
        <f>IFERROR(VLOOKUP('General price list'!$C546,Popisy!A:P,MATCH($W$17,Popisy!$A$7:$P$7,0),FALSE),"---------------")</f>
        <v>10 různobarevných efektů</v>
      </c>
      <c r="X546" s="729" t="str">
        <f t="shared" ref="X546:X552" si="1224">IF(AB546&lt;0.0001,"",AB546)</f>
        <v/>
      </c>
      <c r="Y546" s="729" t="str">
        <f t="shared" ref="Y546:Y552" si="1225">IF($AL$3=2,IF(OR(AB546&lt;&gt;"",AB546&lt;&gt;0),AU546,""),IF(C546="","",IF(AB546&lt;0.0001,"",IF(B546=0,"",IF(AQ546&lt;AB546,"",AB546)))))</f>
        <v/>
      </c>
      <c r="Z546" s="729" t="str">
        <f>HYPERLINK("https://www.klasekpyrotechnics.cz/c18020sig-c_t")</f>
        <v>https://www.klasekpyrotechnics.cz/c18020sig-c_t</v>
      </c>
      <c r="AA546" s="729">
        <f>IFERROR(IF(VLOOKUP(C546,[4]List1!$A:$D,4,FALSE)=0,"",VLOOKUP(C546,[4]List1!$A:$D,4,FALSE)),"")</f>
        <v>66</v>
      </c>
      <c r="AB546" s="720"/>
      <c r="AC546" s="743" t="str">
        <f>IFERROR(IF(VLOOKUP(C546,[1]List1!$A:$D,2,FALSE)="VYPRODÁNO",$V$9,IF(VLOOKUP(C546,[1]List1!$A:$D,2,FALSE)="DOCHÁZÍ",$V$3,VLOOKUP(C546,[1]List1!$A:$D,2,FALSE))),"OFFLINE!")</f>
        <v>SKLADEM</v>
      </c>
      <c r="AD546" s="744" t="str">
        <f ca="1">IF(AP546="NE",$V$10,IF(AC546=$V$3,IF(AQ546&lt;1,$V$8,$V$2&amp;" "&amp;AQ546&amp;" "&amp;$V$1),IF(AC546="SKLADEM",$V$6,IFERROR(IF(OR(AC546-TODAY()&gt;45,VLOOKUP(C546,[1]List1!$A:$E,4,FALSE)=0),AC546,DAY(AC546)&amp;"."&amp;MONTH(AC546)&amp;"."&amp;YEAR(AC546)&amp;" "&amp;$V$4&amp;VLOOKUP(C546,[1]List1!$A:$E,4,FALSE)&amp;" "&amp;$V$1),AC546))))</f>
        <v>SKLADEM</v>
      </c>
      <c r="AE546" s="729" t="str">
        <f t="shared" ref="AE546:AE552" ca="1" si="1226">IFERROR(IF(AV546&lt;&gt;"",AV546,AD546),AD546)</f>
        <v>SKLADEM</v>
      </c>
      <c r="AF546" s="735">
        <f t="shared" ref="AF546:AF552" si="1227">IFERROR(IF(AB546=Y546,G546*I546*Y546,0),0)</f>
        <v>0</v>
      </c>
      <c r="AG546" s="735">
        <f t="shared" ref="AG546:AG552" si="1228">IF($W$17=$AF$8,AH546*1.23,AF546*1.21)</f>
        <v>0</v>
      </c>
      <c r="AH546" s="736">
        <f t="shared" ref="AH546:AH552" si="1229">IFERROR(IF(Y546=AB546,H546*I546*Y546,0),0)</f>
        <v>0</v>
      </c>
      <c r="AI546" s="729">
        <f t="shared" ref="AI546:AI552" si="1230">IFERROR(IF(Y546=AB546,(P546*Y546)/1000,1),0)</f>
        <v>0</v>
      </c>
      <c r="AJ546" s="729">
        <f t="shared" ref="AJ546:AJ552" si="1231">IFERROR(IF(Y546=AB546,N546*Y546,0.1),0)</f>
        <v>0</v>
      </c>
      <c r="AK546" s="729" t="str">
        <f t="shared" ref="AK546:AK552" si="1232">IFERROR(IF(Y546=AB546,IF(M546="1.1G",(O546/1000)*Y546,""),""),0)</f>
        <v/>
      </c>
      <c r="AL546" s="729">
        <f t="shared" ref="AL546:AL552" si="1233">IFERROR(IF(Y546=AB546,IF(M546="1.3G",(O546/1000)*AB546,""),""),0)</f>
        <v>0</v>
      </c>
      <c r="AM546" s="729" t="str">
        <f t="shared" ref="AM546:AM552" si="1234">IFERROR(IF(Y546=AB546,IF(M546="1.4G",(O546/1000)*AB546,""),""),0)</f>
        <v/>
      </c>
      <c r="AN546" s="729">
        <f t="shared" ref="AN546:AN552" si="1235">SUM(AK546:AM546)</f>
        <v>0</v>
      </c>
      <c r="AO546" s="380"/>
      <c r="AP546" s="322" t="str">
        <f t="shared" si="1200"/>
        <v/>
      </c>
      <c r="AQ546" s="323" t="str">
        <f>IF(AC546=$V$3,IF(VLOOKUP(C546,[1]List1!$A:$E,5,FALSE)=0,1,VLOOKUP(C546,[1]List1!$A:$E,5,FALSE)),"")</f>
        <v/>
      </c>
      <c r="AR546" s="304" t="str">
        <f t="shared" si="1201"/>
        <v/>
      </c>
      <c r="AS546" s="423" t="str">
        <f t="shared" si="1202"/>
        <v/>
      </c>
      <c r="AT546" s="304" t="str">
        <f t="shared" si="1203"/>
        <v/>
      </c>
      <c r="AU546" s="342" t="e">
        <f t="shared" si="1204"/>
        <v>#N/A</v>
      </c>
      <c r="AV546" s="304" t="e">
        <f t="shared" si="1205"/>
        <v>#N/A</v>
      </c>
      <c r="AX546" s="304">
        <f>IF(AND('General price list'!$J546="F4",'General price list'!$AB546+0&gt;0),1,0)</f>
        <v>0</v>
      </c>
      <c r="AY546" s="304">
        <f t="shared" si="1206"/>
        <v>1</v>
      </c>
      <c r="AZ546" s="304">
        <f t="shared" si="1207"/>
        <v>0</v>
      </c>
    </row>
    <row r="547" spans="1:52" ht="15" customHeight="1">
      <c r="A547" s="712" t="str">
        <f>Kat.!C544</f>
        <v/>
      </c>
      <c r="B547" s="745">
        <f>IF(AND('General price list'!$J547="F4",$AI$1=FALSE),0,IF(AC547="SKLADEM",1,IF(AC547=$V$3,1,0)))</f>
        <v>1</v>
      </c>
      <c r="C547" s="714" t="s">
        <v>2726</v>
      </c>
      <c r="D547" s="715" t="s">
        <v>1267</v>
      </c>
      <c r="E547" s="716" t="s">
        <v>136</v>
      </c>
      <c r="F547" s="712">
        <f>IFERROR(ROUND(IF($AL$3=2,VLOOKUP(C547,[2]List1!$A:$D,2,FALSE)*1.08,VLOOKUP(C547,[2]List1!$A:$D,2,FALSE)),0),"NEUVEDENO!")</f>
        <v>2902</v>
      </c>
      <c r="G547" s="717">
        <f t="shared" si="1222"/>
        <v>2902</v>
      </c>
      <c r="H547" s="718">
        <f t="shared" si="1223"/>
        <v>117.92481581866724</v>
      </c>
      <c r="I547" s="746">
        <v>1</v>
      </c>
      <c r="J547" s="716" t="s">
        <v>137</v>
      </c>
      <c r="K547" s="716">
        <v>6</v>
      </c>
      <c r="L547" s="716" t="s">
        <v>24</v>
      </c>
      <c r="M547" s="716" t="s">
        <v>138</v>
      </c>
      <c r="N547" s="716">
        <f>IFERROR(VLOOKUP(C547,[3]List1!$A:$D,4,FALSE),"N/A!")</f>
        <v>2.6389999999999997E-2</v>
      </c>
      <c r="O547" s="716">
        <f>IFERROR(VLOOKUP(C547,[3]List1!$A:$D,3,FALSE),"N/A!")</f>
        <v>1994</v>
      </c>
      <c r="P547" s="716">
        <f>IFERROR(VLOOKUP(C547,[3]List1!$A:$D,2,FALSE),"N/A!")</f>
        <v>12000</v>
      </c>
      <c r="Q547" s="716" t="s">
        <v>1283</v>
      </c>
      <c r="R547" s="716" t="s">
        <v>24</v>
      </c>
      <c r="S547" s="716" t="str">
        <f>IF($W$17=$AF$1,"červená fólie",IFERROR(VLOOKUP("červená fólie",Jazyky_ceník!$A:$Q,MATCH($W$17,Jazyky_ceník!$A$1:$Q$1,0),FALSE),"!!!"))</f>
        <v>červená fólie</v>
      </c>
      <c r="T547" s="716">
        <v>180</v>
      </c>
      <c r="U547" s="716">
        <v>25</v>
      </c>
      <c r="V547" s="716">
        <v>16</v>
      </c>
      <c r="W547" s="716" t="str">
        <f>IFERROR(VLOOKUP('General price list'!$C547,Popisy!A:P,MATCH($W$17,Popisy!$A$7:$P$7,0),FALSE),"---------------")</f>
        <v>26 různobarevných efektů</v>
      </c>
      <c r="X547" s="716" t="str">
        <f t="shared" si="1224"/>
        <v/>
      </c>
      <c r="Y547" s="716" t="str">
        <f t="shared" si="1225"/>
        <v/>
      </c>
      <c r="Z547" s="716" t="str">
        <f>HYPERLINK("https://www.klasekpyrotechnics.cz/c26020f-c_t")</f>
        <v>https://www.klasekpyrotechnics.cz/c26020f-c_t</v>
      </c>
      <c r="AA547" s="716" t="str">
        <f>IFERROR(IF(VLOOKUP(C547,[4]List1!$A:$D,4,FALSE)=0,"",VLOOKUP(C547,[4]List1!$A:$D,4,FALSE)),"")</f>
        <v>44</v>
      </c>
      <c r="AB547" s="720"/>
      <c r="AC547" s="747" t="str">
        <f>IFERROR(IF(VLOOKUP(C547,[1]List1!$A:$D,2,FALSE)="VYPRODÁNO",$V$9,IF(VLOOKUP(C547,[1]List1!$A:$D,2,FALSE)="DOCHÁZÍ",$V$3,VLOOKUP(C547,[1]List1!$A:$D,2,FALSE))),"OFFLINE!")</f>
        <v>SKLADEM</v>
      </c>
      <c r="AD547" s="748" t="str">
        <f ca="1">IF(AP547="NE",$V$10,IF(AC547=$V$3,IF(AQ547&lt;1,$V$8,$V$2&amp;" "&amp;AQ547&amp;" "&amp;$V$1),IF(AC547="SKLADEM",$V$6,IFERROR(IF(OR(AC547-TODAY()&gt;45,VLOOKUP(C547,[1]List1!$A:$E,4,FALSE)=0),AC547,DAY(AC547)&amp;"."&amp;MONTH(AC547)&amp;"."&amp;YEAR(AC547)&amp;" "&amp;$V$4&amp;VLOOKUP(C547,[1]List1!$A:$E,4,FALSE)&amp;" "&amp;$V$1),AC547))))</f>
        <v>SKLADEM</v>
      </c>
      <c r="AE547" s="716" t="str">
        <f t="shared" ca="1" si="1226"/>
        <v>SKLADEM</v>
      </c>
      <c r="AF547" s="723">
        <f t="shared" si="1227"/>
        <v>0</v>
      </c>
      <c r="AG547" s="723">
        <f t="shared" si="1228"/>
        <v>0</v>
      </c>
      <c r="AH547" s="724">
        <f t="shared" si="1229"/>
        <v>0</v>
      </c>
      <c r="AI547" s="716">
        <f t="shared" si="1230"/>
        <v>0</v>
      </c>
      <c r="AJ547" s="716">
        <f t="shared" si="1231"/>
        <v>0</v>
      </c>
      <c r="AK547" s="716" t="str">
        <f t="shared" si="1232"/>
        <v/>
      </c>
      <c r="AL547" s="716">
        <f t="shared" si="1233"/>
        <v>0</v>
      </c>
      <c r="AM547" s="716" t="str">
        <f t="shared" si="1234"/>
        <v/>
      </c>
      <c r="AN547" s="716">
        <f t="shared" si="1235"/>
        <v>0</v>
      </c>
      <c r="AO547" s="380"/>
      <c r="AP547" s="322" t="str">
        <f t="shared" si="1200"/>
        <v/>
      </c>
      <c r="AQ547" s="323" t="str">
        <f>IF(AC547=$V$3,IF(VLOOKUP(C547,[1]List1!$A:$E,5,FALSE)=0,1,VLOOKUP(C547,[1]List1!$A:$E,5,FALSE)),"")</f>
        <v/>
      </c>
      <c r="AR547" s="304" t="str">
        <f t="shared" si="1201"/>
        <v/>
      </c>
      <c r="AS547" s="423" t="str">
        <f t="shared" si="1202"/>
        <v/>
      </c>
      <c r="AT547" s="304" t="str">
        <f t="shared" si="1203"/>
        <v/>
      </c>
      <c r="AU547" s="342" t="e">
        <f t="shared" si="1204"/>
        <v>#N/A</v>
      </c>
      <c r="AV547" s="304" t="e">
        <f t="shared" si="1205"/>
        <v>#N/A</v>
      </c>
      <c r="AX547" s="304">
        <f>IF(AND('General price list'!$J547="F4",'General price list'!$AB547+0&gt;0),1,0)</f>
        <v>0</v>
      </c>
      <c r="AY547" s="304">
        <f t="shared" si="1206"/>
        <v>1</v>
      </c>
      <c r="AZ547" s="304">
        <f t="shared" si="1207"/>
        <v>0</v>
      </c>
    </row>
    <row r="548" spans="1:52" ht="15" customHeight="1">
      <c r="A548" s="725" t="str">
        <f>Kat.!C545</f>
        <v/>
      </c>
      <c r="B548" s="749">
        <f>IF(AND('General price list'!$J548="F4",$AI$1=FALSE),0,IF(AC548="SKLADEM",1,IF(AC548=$V$3,1,0)))</f>
        <v>0</v>
      </c>
      <c r="C548" s="727" t="s">
        <v>5239</v>
      </c>
      <c r="D548" s="728" t="s">
        <v>1285</v>
      </c>
      <c r="E548" s="729" t="s">
        <v>136</v>
      </c>
      <c r="F548" s="725">
        <f>IFERROR(ROUND(IF($AL$3=2,VLOOKUP(C548,[2]List1!$A:$D,2,FALSE)*1.08,VLOOKUP(C548,[2]List1!$A:$D,2,FALSE)),0),"NEUVEDENO!")</f>
        <v>2902</v>
      </c>
      <c r="G548" s="730">
        <f t="shared" si="1222"/>
        <v>2902</v>
      </c>
      <c r="H548" s="731">
        <f t="shared" si="1223"/>
        <v>117.92481581866724</v>
      </c>
      <c r="I548" s="750">
        <v>1</v>
      </c>
      <c r="J548" s="729" t="s">
        <v>137</v>
      </c>
      <c r="K548" s="729">
        <v>6</v>
      </c>
      <c r="L548" s="729" t="s">
        <v>24</v>
      </c>
      <c r="M548" s="729" t="s">
        <v>138</v>
      </c>
      <c r="N548" s="729">
        <f>IFERROR(VLOOKUP(C548,[3]List1!$A:$D,4,FALSE),"N/A!")</f>
        <v>2.6389999999999997E-2</v>
      </c>
      <c r="O548" s="729">
        <f>IFERROR(VLOOKUP(C548,[3]List1!$A:$D,3,FALSE),"N/A!")</f>
        <v>1994</v>
      </c>
      <c r="P548" s="729">
        <f>IFERROR(VLOOKUP(C548,[3]List1!$A:$D,2,FALSE),"N/A!")</f>
        <v>12000</v>
      </c>
      <c r="Q548" s="729" t="s">
        <v>1283</v>
      </c>
      <c r="R548" s="729" t="s">
        <v>24</v>
      </c>
      <c r="S548" s="729" t="str">
        <f>IF($W$17=$AF$1,"červená fólie",IFERROR(VLOOKUP("červená fólie",Jazyky_ceník!$A:$Q,MATCH($W$17,Jazyky_ceník!$A$1:$Q$1,0),FALSE),"!!!"))</f>
        <v>červená fólie</v>
      </c>
      <c r="T548" s="729">
        <v>180</v>
      </c>
      <c r="U548" s="729">
        <v>25</v>
      </c>
      <c r="V548" s="729">
        <v>16</v>
      </c>
      <c r="W548" s="729" t="str">
        <f>IFERROR(VLOOKUP('General price list'!$C548,Popisy!A:P,MATCH($W$17,Popisy!$A$7:$P$7,0),FALSE),"---------------")</f>
        <v>26 různobarevných efektů</v>
      </c>
      <c r="X548" s="729" t="str">
        <f t="shared" si="1224"/>
        <v/>
      </c>
      <c r="Y548" s="729" t="str">
        <f t="shared" si="1225"/>
        <v/>
      </c>
      <c r="Z548" s="729" t="str">
        <f>HYPERLINK("https://www.klasekpyrotechnics.cz/c26020nid-c_t")</f>
        <v>https://www.klasekpyrotechnics.cz/c26020nid-c_t</v>
      </c>
      <c r="AA548" s="729" t="str">
        <f>IFERROR(IF(VLOOKUP(C548,[4]List1!$A:$D,4,FALSE)=0,"",VLOOKUP(C548,[4]List1!$A:$D,4,FALSE)),"")</f>
        <v>44</v>
      </c>
      <c r="AB548" s="720"/>
      <c r="AC548" s="751" t="str">
        <f>IFERROR(IF(VLOOKUP(C548,[1]List1!$A:$D,2,FALSE)="VYPRODÁNO",$V$9,IF(VLOOKUP(C548,[1]List1!$A:$D,2,FALSE)="DOCHÁZÍ",$V$3,VLOOKUP(C548,[1]List1!$A:$D,2,FALSE))),"OFFLINE!")</f>
        <v>15.06.2024</v>
      </c>
      <c r="AD548" s="752" t="str">
        <f ca="1">IF(AP548="NE",$V$10,IF(AC548=$V$3,IF(AQ548&lt;1,$V$8,$V$2&amp;" "&amp;AQ548&amp;" "&amp;$V$1),IF(AC548="SKLADEM",$V$6,IFERROR(IF(OR(AC548-TODAY()&gt;45,VLOOKUP(C548,[1]List1!$A:$E,4,FALSE)=0),AC548,DAY(AC548)&amp;"."&amp;MONTH(AC548)&amp;"."&amp;YEAR(AC548)&amp;" "&amp;$V$4&amp;VLOOKUP(C548,[1]List1!$A:$E,4,FALSE)&amp;" "&amp;$V$1),AC548))))</f>
        <v>15.06.2024</v>
      </c>
      <c r="AE548" s="729" t="str">
        <f t="shared" ca="1" si="1226"/>
        <v>15.06.2024</v>
      </c>
      <c r="AF548" s="735">
        <f t="shared" si="1227"/>
        <v>0</v>
      </c>
      <c r="AG548" s="735">
        <f t="shared" si="1228"/>
        <v>0</v>
      </c>
      <c r="AH548" s="736">
        <f t="shared" si="1229"/>
        <v>0</v>
      </c>
      <c r="AI548" s="729">
        <f t="shared" si="1230"/>
        <v>0</v>
      </c>
      <c r="AJ548" s="729">
        <f t="shared" si="1231"/>
        <v>0</v>
      </c>
      <c r="AK548" s="729" t="str">
        <f t="shared" si="1232"/>
        <v/>
      </c>
      <c r="AL548" s="729">
        <f t="shared" si="1233"/>
        <v>0</v>
      </c>
      <c r="AM548" s="729" t="str">
        <f t="shared" si="1234"/>
        <v/>
      </c>
      <c r="AN548" s="729">
        <f t="shared" si="1235"/>
        <v>0</v>
      </c>
      <c r="AO548" s="380"/>
      <c r="AP548" s="322" t="str">
        <f t="shared" si="1200"/>
        <v/>
      </c>
      <c r="AQ548" s="323" t="str">
        <f>IF(AC548=$V$3,IF(VLOOKUP(C548,[1]List1!$A:$E,5,FALSE)=0,1,VLOOKUP(C548,[1]List1!$A:$E,5,FALSE)),"")</f>
        <v/>
      </c>
      <c r="AR548" s="304" t="str">
        <f t="shared" si="1201"/>
        <v/>
      </c>
      <c r="AS548" s="423" t="str">
        <f t="shared" si="1202"/>
        <v/>
      </c>
      <c r="AT548" s="304" t="str">
        <f t="shared" si="1203"/>
        <v/>
      </c>
      <c r="AU548" s="342" t="e">
        <f t="shared" si="1204"/>
        <v>#N/A</v>
      </c>
      <c r="AV548" s="304" t="e">
        <f t="shared" si="1205"/>
        <v>#N/A</v>
      </c>
      <c r="AX548" s="304">
        <f>IF(AND('General price list'!$J548="F4",'General price list'!$AB548+0&gt;0),1,0)</f>
        <v>0</v>
      </c>
      <c r="AY548" s="304">
        <f t="shared" si="1206"/>
        <v>1</v>
      </c>
      <c r="AZ548" s="304">
        <f t="shared" si="1207"/>
        <v>0</v>
      </c>
    </row>
    <row r="549" spans="1:52" ht="15" customHeight="1">
      <c r="A549" s="712" t="str">
        <f>Kat.!C546</f>
        <v/>
      </c>
      <c r="B549" s="745">
        <f>IF(AND('General price list'!$J549="F4",$AI$1=FALSE),0,IF(AC549="SKLADEM",1,IF(AC549=$V$3,1,0)))</f>
        <v>1</v>
      </c>
      <c r="C549" s="714" t="s">
        <v>5241</v>
      </c>
      <c r="D549" s="715" t="s">
        <v>1271</v>
      </c>
      <c r="E549" s="716" t="s">
        <v>136</v>
      </c>
      <c r="F549" s="712">
        <f>IFERROR(ROUND(IF($AL$3=2,VLOOKUP(C549,[2]List1!$A:$D,2,FALSE)*1.08,VLOOKUP(C549,[2]List1!$A:$D,2,FALSE)),0),"NEUVEDENO!")</f>
        <v>3638</v>
      </c>
      <c r="G549" s="717">
        <f t="shared" si="1222"/>
        <v>3638</v>
      </c>
      <c r="H549" s="718">
        <f t="shared" si="1223"/>
        <v>147.83269467550357</v>
      </c>
      <c r="I549" s="746">
        <v>1</v>
      </c>
      <c r="J549" s="716" t="s">
        <v>137</v>
      </c>
      <c r="K549" s="716">
        <v>6</v>
      </c>
      <c r="L549" s="716" t="s">
        <v>24</v>
      </c>
      <c r="M549" s="716" t="s">
        <v>138</v>
      </c>
      <c r="N549" s="716">
        <f>IFERROR(VLOOKUP(C549,[3]List1!$A:$D,4,FALSE),"N/A!")</f>
        <v>4.6304999999999992E-2</v>
      </c>
      <c r="O549" s="716">
        <f>IFERROR(VLOOKUP(C549,[3]List1!$A:$D,3,FALSE),"N/A!")</f>
        <v>1998</v>
      </c>
      <c r="P549" s="716">
        <f>IFERROR(VLOOKUP(C549,[3]List1!$A:$D,2,FALSE),"N/A!")</f>
        <v>14500</v>
      </c>
      <c r="Q549" s="716" t="s">
        <v>2793</v>
      </c>
      <c r="R549" s="716" t="s">
        <v>24</v>
      </c>
      <c r="S549" s="716" t="str">
        <f>IF($W$17=$AF$1,"červená fólie",IFERROR(VLOOKUP("červená fólie",Jazyky_ceník!$A:$Q,MATCH($W$17,Jazyky_ceník!$A$1:$Q$1,0),FALSE),"!!!"))</f>
        <v>červená fólie</v>
      </c>
      <c r="T549" s="716">
        <v>140</v>
      </c>
      <c r="U549" s="716">
        <v>25</v>
      </c>
      <c r="V549" s="716">
        <v>16</v>
      </c>
      <c r="W549" s="716" t="str">
        <f>IFERROR(VLOOKUP('General price list'!$C549,Popisy!A:P,MATCH($W$17,Popisy!$A$7:$P$7,0),FALSE),"---------------")</f>
        <v>32 různobarevných efektů</v>
      </c>
      <c r="X549" s="716" t="str">
        <f t="shared" si="1224"/>
        <v/>
      </c>
      <c r="Y549" s="716" t="str">
        <f t="shared" si="1225"/>
        <v/>
      </c>
      <c r="Z549" s="716" t="str">
        <f>HYPERLINK("https://www.klasekpyrotechnics.cz/c26820f-c_t")</f>
        <v>https://www.klasekpyrotechnics.cz/c26820f-c_t</v>
      </c>
      <c r="AA549" s="716" t="str">
        <f>IFERROR(IF(VLOOKUP(C549,[4]List1!$A:$D,4,FALSE)=0,"",VLOOKUP(C549,[4]List1!$A:$D,4,FALSE)),"")</f>
        <v>27</v>
      </c>
      <c r="AB549" s="720"/>
      <c r="AC549" s="747" t="str">
        <f>IFERROR(IF(VLOOKUP(C549,[1]List1!$A:$D,2,FALSE)="VYPRODÁNO",$V$9,IF(VLOOKUP(C549,[1]List1!$A:$D,2,FALSE)="DOCHÁZÍ",$V$3,VLOOKUP(C549,[1]List1!$A:$D,2,FALSE))),"OFFLINE!")</f>
        <v>DOCHÁZÍ</v>
      </c>
      <c r="AD549" s="748" t="str">
        <f ca="1">IF(AP549="NE",$V$10,IF(AC549=$V$3,IF(AQ549&lt;1,$V$8,$V$2&amp;" "&amp;AQ549&amp;" "&amp;$V$1),IF(AC549="SKLADEM",$V$6,IFERROR(IF(OR(AC549-TODAY()&gt;45,VLOOKUP(C549,[1]List1!$A:$E,4,FALSE)=0),AC549,DAY(AC549)&amp;"."&amp;MONTH(AC549)&amp;"."&amp;YEAR(AC549)&amp;" "&amp;$V$4&amp;VLOOKUP(C549,[1]List1!$A:$E,4,FALSE)&amp;" "&amp;$V$1),AC549))))</f>
        <v>POSLEDNÍCH 22 VK</v>
      </c>
      <c r="AE549" s="716" t="str">
        <f t="shared" ca="1" si="1226"/>
        <v>POSLEDNÍCH 22 VK</v>
      </c>
      <c r="AF549" s="723">
        <f t="shared" si="1227"/>
        <v>0</v>
      </c>
      <c r="AG549" s="723">
        <f t="shared" si="1228"/>
        <v>0</v>
      </c>
      <c r="AH549" s="724">
        <f t="shared" si="1229"/>
        <v>0</v>
      </c>
      <c r="AI549" s="716">
        <f t="shared" si="1230"/>
        <v>0</v>
      </c>
      <c r="AJ549" s="716">
        <f t="shared" si="1231"/>
        <v>0</v>
      </c>
      <c r="AK549" s="716" t="str">
        <f t="shared" si="1232"/>
        <v/>
      </c>
      <c r="AL549" s="716">
        <f t="shared" si="1233"/>
        <v>0</v>
      </c>
      <c r="AM549" s="716" t="str">
        <f t="shared" si="1234"/>
        <v/>
      </c>
      <c r="AN549" s="716">
        <f t="shared" si="1235"/>
        <v>0</v>
      </c>
      <c r="AO549" s="380"/>
      <c r="AP549" s="322" t="str">
        <f t="shared" si="1200"/>
        <v/>
      </c>
      <c r="AQ549" s="323">
        <f>IF(AC549=$V$3,IF(VLOOKUP(C549,[1]List1!$A:$E,5,FALSE)=0,1,VLOOKUP(C549,[1]List1!$A:$E,5,FALSE)),"")</f>
        <v>22</v>
      </c>
      <c r="AR549" s="304" t="str">
        <f t="shared" si="1201"/>
        <v/>
      </c>
      <c r="AS549" s="423" t="str">
        <f t="shared" si="1202"/>
        <v/>
      </c>
      <c r="AT549" s="304" t="str">
        <f t="shared" si="1203"/>
        <v/>
      </c>
      <c r="AU549" s="342" t="e">
        <f t="shared" si="1204"/>
        <v>#N/A</v>
      </c>
      <c r="AV549" s="304" t="e">
        <f t="shared" si="1205"/>
        <v>#N/A</v>
      </c>
      <c r="AX549" s="304">
        <f>IF(AND('General price list'!$J549="F4",'General price list'!$AB549+0&gt;0),1,0)</f>
        <v>0</v>
      </c>
      <c r="AY549" s="304">
        <f t="shared" si="1206"/>
        <v>1</v>
      </c>
      <c r="AZ549" s="304">
        <f t="shared" si="1207"/>
        <v>0</v>
      </c>
    </row>
    <row r="550" spans="1:52" ht="15" customHeight="1">
      <c r="A550" s="725" t="str">
        <f>Kat.!C547</f>
        <v/>
      </c>
      <c r="B550" s="749">
        <f>IF(AND('General price list'!$J550="F4",$AI$1=FALSE),0,IF(AC550="SKLADEM",1,IF(AC550=$V$3,1,0)))</f>
        <v>1</v>
      </c>
      <c r="C550" s="727" t="s">
        <v>2727</v>
      </c>
      <c r="D550" s="728" t="s">
        <v>1272</v>
      </c>
      <c r="E550" s="729" t="s">
        <v>136</v>
      </c>
      <c r="F550" s="725">
        <f>IFERROR(ROUND(IF($AL$3=2,VLOOKUP(C550,[2]List1!$A:$D,2,FALSE)*1.08,VLOOKUP(C550,[2]List1!$A:$D,2,FALSE)),0),"NEUVEDENO!")</f>
        <v>3914</v>
      </c>
      <c r="G550" s="730">
        <f t="shared" si="1222"/>
        <v>3914</v>
      </c>
      <c r="H550" s="731">
        <f t="shared" si="1223"/>
        <v>159.04814924681722</v>
      </c>
      <c r="I550" s="750">
        <v>1</v>
      </c>
      <c r="J550" s="729" t="s">
        <v>137</v>
      </c>
      <c r="K550" s="729" t="s">
        <v>12734</v>
      </c>
      <c r="L550" s="729" t="s">
        <v>24</v>
      </c>
      <c r="M550" s="729" t="s">
        <v>138</v>
      </c>
      <c r="N550" s="729">
        <f>IFERROR(VLOOKUP(C550,[3]List1!$A:$D,4,FALSE),"N/A!")</f>
        <v>3.7961000000000002E-2</v>
      </c>
      <c r="O550" s="729">
        <f>IFERROR(VLOOKUP(C550,[3]List1!$A:$D,3,FALSE),"N/A!")</f>
        <v>2985</v>
      </c>
      <c r="P550" s="729">
        <f>IFERROR(VLOOKUP(C550,[3]List1!$A:$D,2,FALSE),"N/A!")</f>
        <v>17000</v>
      </c>
      <c r="Q550" s="729" t="s">
        <v>1283</v>
      </c>
      <c r="R550" s="729" t="s">
        <v>24</v>
      </c>
      <c r="S550" s="729" t="str">
        <f>IF($W$17=$AF$1,"červená fólie",IFERROR(VLOOKUP("červená fólie",Jazyky_ceník!$A:$Q,MATCH($W$17,Jazyky_ceník!$A$1:$Q$1,0),FALSE),"!!!"))</f>
        <v>červená fólie</v>
      </c>
      <c r="T550" s="729">
        <v>240</v>
      </c>
      <c r="U550" s="729">
        <v>25</v>
      </c>
      <c r="V550" s="729">
        <v>16</v>
      </c>
      <c r="W550" s="729" t="str">
        <f>IFERROR(VLOOKUP('General price list'!$C550,Popisy!A:P,MATCH($W$17,Popisy!$A$7:$P$7,0),FALSE),"---------------")</f>
        <v>39 různobarevných efektů</v>
      </c>
      <c r="X550" s="729" t="str">
        <f t="shared" si="1224"/>
        <v/>
      </c>
      <c r="Y550" s="729" t="str">
        <f t="shared" si="1225"/>
        <v/>
      </c>
      <c r="Z550" s="729" t="str">
        <f>HYPERLINK("https://www.klasekpyrotechnics.cz/c39020f-c_t")</f>
        <v>https://www.klasekpyrotechnics.cz/c39020f-c_t</v>
      </c>
      <c r="AA550" s="729">
        <f>IFERROR(IF(VLOOKUP(C550,[4]List1!$A:$D,4,FALSE)=0,"",VLOOKUP(C550,[4]List1!$A:$D,4,FALSE)),"")</f>
        <v>36</v>
      </c>
      <c r="AB550" s="720"/>
      <c r="AC550" s="751" t="str">
        <f>IFERROR(IF(VLOOKUP(C550,[1]List1!$A:$D,2,FALSE)="VYPRODÁNO",$V$9,IF(VLOOKUP(C550,[1]List1!$A:$D,2,FALSE)="DOCHÁZÍ",$V$3,VLOOKUP(C550,[1]List1!$A:$D,2,FALSE))),"OFFLINE!")</f>
        <v>SKLADEM</v>
      </c>
      <c r="AD550" s="752" t="str">
        <f ca="1">IF(AP550="NE",$V$10,IF(AC550=$V$3,IF(AQ550&lt;1,$V$8,$V$2&amp;" "&amp;AQ550&amp;" "&amp;$V$1),IF(AC550="SKLADEM",$V$6,IFERROR(IF(OR(AC550-TODAY()&gt;45,VLOOKUP(C550,[1]List1!$A:$E,4,FALSE)=0),AC550,DAY(AC550)&amp;"."&amp;MONTH(AC550)&amp;"."&amp;YEAR(AC550)&amp;" "&amp;$V$4&amp;VLOOKUP(C550,[1]List1!$A:$E,4,FALSE)&amp;" "&amp;$V$1),AC550))))</f>
        <v>SKLADEM</v>
      </c>
      <c r="AE550" s="729" t="str">
        <f t="shared" ca="1" si="1226"/>
        <v>SKLADEM</v>
      </c>
      <c r="AF550" s="735">
        <f t="shared" si="1227"/>
        <v>0</v>
      </c>
      <c r="AG550" s="735">
        <f t="shared" si="1228"/>
        <v>0</v>
      </c>
      <c r="AH550" s="736">
        <f t="shared" si="1229"/>
        <v>0</v>
      </c>
      <c r="AI550" s="729">
        <f t="shared" si="1230"/>
        <v>0</v>
      </c>
      <c r="AJ550" s="729">
        <f t="shared" si="1231"/>
        <v>0</v>
      </c>
      <c r="AK550" s="729" t="str">
        <f t="shared" si="1232"/>
        <v/>
      </c>
      <c r="AL550" s="729">
        <f t="shared" si="1233"/>
        <v>0</v>
      </c>
      <c r="AM550" s="729" t="str">
        <f t="shared" si="1234"/>
        <v/>
      </c>
      <c r="AN550" s="729">
        <f t="shared" si="1235"/>
        <v>0</v>
      </c>
      <c r="AO550" s="380"/>
      <c r="AP550" s="322" t="str">
        <f t="shared" si="1200"/>
        <v/>
      </c>
      <c r="AQ550" s="323" t="str">
        <f>IF(AC550=$V$3,IF(VLOOKUP(C550,[1]List1!$A:$E,5,FALSE)=0,1,VLOOKUP(C550,[1]List1!$A:$E,5,FALSE)),"")</f>
        <v/>
      </c>
      <c r="AR550" s="304" t="str">
        <f t="shared" si="1201"/>
        <v/>
      </c>
      <c r="AS550" s="423" t="str">
        <f t="shared" si="1202"/>
        <v/>
      </c>
      <c r="AT550" s="304" t="str">
        <f t="shared" si="1203"/>
        <v/>
      </c>
      <c r="AU550" s="342" t="e">
        <f t="shared" si="1204"/>
        <v>#N/A</v>
      </c>
      <c r="AV550" s="304" t="e">
        <f t="shared" si="1205"/>
        <v>#N/A</v>
      </c>
      <c r="AX550" s="304">
        <f>IF(AND('General price list'!$J550="F4",'General price list'!$AB550+0&gt;0),1,0)</f>
        <v>0</v>
      </c>
      <c r="AY550" s="304">
        <f t="shared" si="1206"/>
        <v>1</v>
      </c>
      <c r="AZ550" s="304">
        <f t="shared" si="1207"/>
        <v>0</v>
      </c>
    </row>
    <row r="551" spans="1:52" ht="15" customHeight="1">
      <c r="A551" s="712" t="str">
        <f>Kat.!C548</f>
        <v/>
      </c>
      <c r="B551" s="745">
        <f>IF(AND('General price list'!$J551="F4",$AI$1=FALSE),0,IF(AC551="SKLADEM",1,IF(AC551=$V$3,1,0)))</f>
        <v>0</v>
      </c>
      <c r="C551" s="714" t="s">
        <v>2728</v>
      </c>
      <c r="D551" s="715" t="s">
        <v>1276</v>
      </c>
      <c r="E551" s="716" t="s">
        <v>136</v>
      </c>
      <c r="F551" s="712">
        <f>IFERROR(ROUND(IF($AL$3=2,VLOOKUP(C551,[2]List1!$A:$D,2,FALSE)*1.08,VLOOKUP(C551,[2]List1!$A:$D,2,FALSE)),0),"NEUVEDENO!")</f>
        <v>5925</v>
      </c>
      <c r="G551" s="717">
        <f t="shared" si="1222"/>
        <v>5925</v>
      </c>
      <c r="H551" s="718">
        <f t="shared" si="1223"/>
        <v>240.76655193852633</v>
      </c>
      <c r="I551" s="746">
        <v>1</v>
      </c>
      <c r="J551" s="716" t="s">
        <v>137</v>
      </c>
      <c r="K551" s="716">
        <v>6</v>
      </c>
      <c r="L551" s="716" t="s">
        <v>24</v>
      </c>
      <c r="M551" s="716" t="s">
        <v>138</v>
      </c>
      <c r="N551" s="716">
        <f>IFERROR(VLOOKUP(C551,[3]List1!$A:$D,4,FALSE),"N/A!")</f>
        <v>5.0405625000000003E-2</v>
      </c>
      <c r="O551" s="716">
        <f>IFERROR(VLOOKUP(C551,[3]List1!$A:$D,3,FALSE),"N/A!")</f>
        <v>3988</v>
      </c>
      <c r="P551" s="716">
        <f>IFERROR(VLOOKUP(C551,[3]List1!$A:$D,2,FALSE),"N/A!")</f>
        <v>24500</v>
      </c>
      <c r="Q551" s="716" t="s">
        <v>14193</v>
      </c>
      <c r="R551" s="716" t="s">
        <v>24</v>
      </c>
      <c r="S551" s="716" t="str">
        <f>IF($W$17=$AF$1,"červená fólie",IFERROR(VLOOKUP("červená fólie",Jazyky_ceník!$A:$Q,MATCH($W$17,Jazyky_ceník!$A$1:$Q$1,0),FALSE),"!!!"))</f>
        <v>červená fólie</v>
      </c>
      <c r="T551" s="716">
        <v>200</v>
      </c>
      <c r="U551" s="716">
        <v>25</v>
      </c>
      <c r="V551" s="716">
        <v>16</v>
      </c>
      <c r="W551" s="716" t="str">
        <f>IFERROR(VLOOKUP('General price list'!$C551,Popisy!A:P,MATCH($W$17,Popisy!$A$7:$P$7,0),FALSE),"---------------")</f>
        <v>52 různobarevných efektů</v>
      </c>
      <c r="X551" s="716" t="str">
        <f t="shared" si="1224"/>
        <v/>
      </c>
      <c r="Y551" s="716" t="str">
        <f t="shared" si="1225"/>
        <v/>
      </c>
      <c r="Z551" s="716" t="str">
        <f>HYPERLINK("https://www.klasekpyrotechnics.cz/c52020f-c_t")</f>
        <v>https://www.klasekpyrotechnics.cz/c52020f-c_t</v>
      </c>
      <c r="AA551" s="716">
        <f>IFERROR(IF(VLOOKUP(C551,[4]List1!$A:$D,4,FALSE)=0,"",VLOOKUP(C551,[4]List1!$A:$D,4,FALSE)),"")</f>
        <v>24</v>
      </c>
      <c r="AB551" s="720"/>
      <c r="AC551" s="747" t="str">
        <f>IFERROR(IF(VLOOKUP(C551,[1]List1!$A:$D,2,FALSE)="VYPRODÁNO",$V$9,IF(VLOOKUP(C551,[1]List1!$A:$D,2,FALSE)="DOCHÁZÍ",$V$3,VLOOKUP(C551,[1]List1!$A:$D,2,FALSE))),"OFFLINE!")</f>
        <v>15.09.2024</v>
      </c>
      <c r="AD551" s="748" t="str">
        <f ca="1">IF(AP551="NE",$V$10,IF(AC551=$V$3,IF(AQ551&lt;1,$V$8,$V$2&amp;" "&amp;AQ551&amp;" "&amp;$V$1),IF(AC551="SKLADEM",$V$6,IFERROR(IF(OR(AC551-TODAY()&gt;45,VLOOKUP(C551,[1]List1!$A:$E,4,FALSE)=0),AC551,DAY(AC551)&amp;"."&amp;MONTH(AC551)&amp;"."&amp;YEAR(AC551)&amp;" "&amp;$V$4&amp;VLOOKUP(C551,[1]List1!$A:$E,4,FALSE)&amp;" "&amp;$V$1),AC551))))</f>
        <v>15.09.2024</v>
      </c>
      <c r="AE551" s="716" t="str">
        <f t="shared" ca="1" si="1226"/>
        <v>15.09.2024</v>
      </c>
      <c r="AF551" s="723">
        <f t="shared" si="1227"/>
        <v>0</v>
      </c>
      <c r="AG551" s="723">
        <f t="shared" si="1228"/>
        <v>0</v>
      </c>
      <c r="AH551" s="724">
        <f t="shared" si="1229"/>
        <v>0</v>
      </c>
      <c r="AI551" s="716">
        <f t="shared" si="1230"/>
        <v>0</v>
      </c>
      <c r="AJ551" s="716">
        <f t="shared" si="1231"/>
        <v>0</v>
      </c>
      <c r="AK551" s="716" t="str">
        <f t="shared" si="1232"/>
        <v/>
      </c>
      <c r="AL551" s="716">
        <f t="shared" si="1233"/>
        <v>0</v>
      </c>
      <c r="AM551" s="716" t="str">
        <f t="shared" si="1234"/>
        <v/>
      </c>
      <c r="AN551" s="716">
        <f t="shared" si="1235"/>
        <v>0</v>
      </c>
      <c r="AO551" s="380"/>
      <c r="AP551" s="322" t="str">
        <f t="shared" si="1200"/>
        <v/>
      </c>
      <c r="AQ551" s="323" t="str">
        <f>IF(AC551=$V$3,IF(VLOOKUP(C551,[1]List1!$A:$E,5,FALSE)=0,1,VLOOKUP(C551,[1]List1!$A:$E,5,FALSE)),"")</f>
        <v/>
      </c>
      <c r="AR551" s="304" t="str">
        <f t="shared" si="1201"/>
        <v/>
      </c>
      <c r="AS551" s="423" t="str">
        <f t="shared" si="1202"/>
        <v/>
      </c>
      <c r="AT551" s="304" t="str">
        <f t="shared" si="1203"/>
        <v/>
      </c>
      <c r="AU551" s="342" t="e">
        <f t="shared" si="1204"/>
        <v>#N/A</v>
      </c>
      <c r="AV551" s="304" t="e">
        <f t="shared" si="1205"/>
        <v>#N/A</v>
      </c>
      <c r="AX551" s="304">
        <f>IF(AND('General price list'!$J551="F4",'General price list'!$AB551+0&gt;0),1,0)</f>
        <v>0</v>
      </c>
      <c r="AY551" s="304">
        <f t="shared" si="1206"/>
        <v>1</v>
      </c>
      <c r="AZ551" s="304">
        <f t="shared" si="1207"/>
        <v>0</v>
      </c>
    </row>
    <row r="552" spans="1:52" ht="15" customHeight="1">
      <c r="A552" s="725" t="str">
        <f>Kat.!C549</f>
        <v/>
      </c>
      <c r="B552" s="749">
        <f>IF(AND('General price list'!$J552="F4",$AI$1=FALSE),0,IF(AC552="SKLADEM",1,IF(AC552=$V$3,1,0)))</f>
        <v>0</v>
      </c>
      <c r="C552" s="727" t="s">
        <v>2729</v>
      </c>
      <c r="D552" s="728" t="s">
        <v>1290</v>
      </c>
      <c r="E552" s="729" t="s">
        <v>136</v>
      </c>
      <c r="F552" s="725">
        <f>IFERROR(ROUND(IF($AL$3=2,VLOOKUP(C552,[2]List1!$A:$D,2,FALSE)*1.08,VLOOKUP(C552,[2]List1!$A:$D,2,FALSE)),0),"NEUVEDENO!")</f>
        <v>7627</v>
      </c>
      <c r="G552" s="730">
        <f t="shared" si="1222"/>
        <v>7627</v>
      </c>
      <c r="H552" s="731">
        <f t="shared" si="1223"/>
        <v>309.92852179496037</v>
      </c>
      <c r="I552" s="750">
        <v>1</v>
      </c>
      <c r="J552" s="729" t="s">
        <v>137</v>
      </c>
      <c r="K552" s="729">
        <v>6</v>
      </c>
      <c r="L552" s="729" t="s">
        <v>24</v>
      </c>
      <c r="M552" s="729" t="s">
        <v>138</v>
      </c>
      <c r="N552" s="729">
        <f>IFERROR(VLOOKUP(C552,[3]List1!$A:$D,4,FALSE),"N/A!")</f>
        <v>8.8427499999999978E-2</v>
      </c>
      <c r="O552" s="729">
        <f>IFERROR(VLOOKUP(C552,[3]List1!$A:$D,3,FALSE),"N/A!")</f>
        <v>3996</v>
      </c>
      <c r="P552" s="729">
        <f>IFERROR(VLOOKUP(C552,[3]List1!$A:$D,2,FALSE),"N/A!")</f>
        <v>28900</v>
      </c>
      <c r="Q552" s="729" t="s">
        <v>14194</v>
      </c>
      <c r="R552" s="729" t="s">
        <v>24</v>
      </c>
      <c r="S552" s="729" t="str">
        <f>IF($W$17=$AF$1,"červená fólie",IFERROR(VLOOKUP("červená fólie",Jazyky_ceník!$A:$Q,MATCH($W$17,Jazyky_ceník!$A$1:$Q$1,0),FALSE),"!!!"))</f>
        <v>červená fólie</v>
      </c>
      <c r="T552" s="729">
        <v>240</v>
      </c>
      <c r="U552" s="729">
        <v>25</v>
      </c>
      <c r="V552" s="729">
        <v>16</v>
      </c>
      <c r="W552" s="729" t="str">
        <f>IFERROR(VLOOKUP('General price list'!$C552,Popisy!A:P,MATCH($W$17,Popisy!$A$7:$P$7,0),FALSE),"---------------")</f>
        <v>32 různobarevných efektů</v>
      </c>
      <c r="X552" s="729" t="str">
        <f t="shared" si="1224"/>
        <v/>
      </c>
      <c r="Y552" s="729" t="str">
        <f t="shared" si="1225"/>
        <v/>
      </c>
      <c r="Z552" s="729" t="str">
        <f>HYPERLINK("https://www.klasekpyrotechnics.cz/c53620f-c_t")</f>
        <v>https://www.klasekpyrotechnics.cz/c53620f-c_t</v>
      </c>
      <c r="AA552" s="729" t="str">
        <f>IFERROR(IF(VLOOKUP(C552,[4]List1!$A:$D,4,FALSE)=0,"",VLOOKUP(C552,[4]List1!$A:$D,4,FALSE)),"")</f>
        <v>20</v>
      </c>
      <c r="AB552" s="720"/>
      <c r="AC552" s="751" t="str">
        <f>IFERROR(IF(VLOOKUP(C552,[1]List1!$A:$D,2,FALSE)="VYPRODÁNO",$V$9,IF(VLOOKUP(C552,[1]List1!$A:$D,2,FALSE)="DOCHÁZÍ",$V$3,VLOOKUP(C552,[1]List1!$A:$D,2,FALSE))),"OFFLINE!")</f>
        <v>15.09.2024</v>
      </c>
      <c r="AD552" s="752" t="str">
        <f ca="1">IF(AP552="NE",$V$10,IF(AC552=$V$3,IF(AQ552&lt;1,$V$8,$V$2&amp;" "&amp;AQ552&amp;" "&amp;$V$1),IF(AC552="SKLADEM",$V$6,IFERROR(IF(OR(AC552-TODAY()&gt;45,VLOOKUP(C552,[1]List1!$A:$E,4,FALSE)=0),AC552,DAY(AC552)&amp;"."&amp;MONTH(AC552)&amp;"."&amp;YEAR(AC552)&amp;" "&amp;$V$4&amp;VLOOKUP(C552,[1]List1!$A:$E,4,FALSE)&amp;" "&amp;$V$1),AC552))))</f>
        <v>15.09.2024</v>
      </c>
      <c r="AE552" s="729" t="str">
        <f t="shared" ca="1" si="1226"/>
        <v>15.09.2024</v>
      </c>
      <c r="AF552" s="735">
        <f t="shared" si="1227"/>
        <v>0</v>
      </c>
      <c r="AG552" s="735">
        <f t="shared" si="1228"/>
        <v>0</v>
      </c>
      <c r="AH552" s="736">
        <f t="shared" si="1229"/>
        <v>0</v>
      </c>
      <c r="AI552" s="729">
        <f t="shared" si="1230"/>
        <v>0</v>
      </c>
      <c r="AJ552" s="729">
        <f t="shared" si="1231"/>
        <v>0</v>
      </c>
      <c r="AK552" s="729" t="str">
        <f t="shared" si="1232"/>
        <v/>
      </c>
      <c r="AL552" s="729">
        <f t="shared" si="1233"/>
        <v>0</v>
      </c>
      <c r="AM552" s="729" t="str">
        <f t="shared" si="1234"/>
        <v/>
      </c>
      <c r="AN552" s="729">
        <f t="shared" si="1235"/>
        <v>0</v>
      </c>
      <c r="AO552" s="380"/>
      <c r="AP552" s="322" t="str">
        <f t="shared" si="1200"/>
        <v/>
      </c>
      <c r="AQ552" s="323" t="str">
        <f>IF(AC552=$V$3,IF(VLOOKUP(C552,[1]List1!$A:$E,5,FALSE)=0,1,VLOOKUP(C552,[1]List1!$A:$E,5,FALSE)),"")</f>
        <v/>
      </c>
      <c r="AR552" s="304" t="str">
        <f t="shared" si="1201"/>
        <v/>
      </c>
      <c r="AS552" s="423" t="str">
        <f t="shared" si="1202"/>
        <v/>
      </c>
      <c r="AT552" s="304" t="str">
        <f t="shared" si="1203"/>
        <v/>
      </c>
      <c r="AU552" s="342" t="e">
        <f t="shared" si="1204"/>
        <v>#N/A</v>
      </c>
      <c r="AV552" s="304" t="e">
        <f t="shared" si="1205"/>
        <v>#N/A</v>
      </c>
      <c r="AX552" s="304">
        <f>IF(AND('General price list'!$J552="F4",'General price list'!$AB552+0&gt;0),1,0)</f>
        <v>0</v>
      </c>
      <c r="AY552" s="304">
        <f t="shared" si="1206"/>
        <v>1</v>
      </c>
      <c r="AZ552" s="304">
        <f t="shared" si="1207"/>
        <v>0</v>
      </c>
    </row>
    <row r="553" spans="1:52" ht="15" customHeight="1">
      <c r="A553" s="773" t="str">
        <f>Kat.!C550</f>
        <v xml:space="preserve">                                                               Baterie 16ran, 25mm moždíř-1.3G</v>
      </c>
      <c r="B553" s="774"/>
      <c r="C553" s="774"/>
      <c r="D553" s="774"/>
      <c r="E553" s="774"/>
      <c r="F553" s="774"/>
      <c r="G553" s="774"/>
      <c r="H553" s="774"/>
      <c r="I553" s="774"/>
      <c r="J553" s="774"/>
      <c r="K553" s="774"/>
      <c r="L553" s="774"/>
      <c r="M553" s="774"/>
      <c r="N553" s="774"/>
      <c r="O553" s="774"/>
      <c r="P553" s="774"/>
      <c r="Q553" s="774"/>
      <c r="R553" s="774"/>
      <c r="S553" s="774"/>
      <c r="T553" s="774"/>
      <c r="U553" s="774"/>
      <c r="V553" s="774"/>
      <c r="W553" s="774"/>
      <c r="X553" s="774"/>
      <c r="Y553" s="774"/>
      <c r="Z553" s="774"/>
      <c r="AA553" s="774" t="str">
        <f>IFERROR(IF(VLOOKUP(C553,[4]List1!$A:$D,4,FALSE)=0,"",VLOOKUP(C553,[4]List1!$A:$D,4,FALSE)),"")</f>
        <v/>
      </c>
      <c r="AB553" s="774"/>
      <c r="AC553" s="775" t="str">
        <f>IFERROR(IF(VLOOKUP(C553,[1]List1!$A:$D,2,FALSE)="VYPRODÁNO",$V$9,IF(VLOOKUP(C553,[1]List1!$A:$D,2,FALSE)="DOCHÁZÍ",$V$3,VLOOKUP(C553,[1]List1!$A:$D,2,FALSE))),"OFFLINE!")</f>
        <v>OFFLINE!</v>
      </c>
      <c r="AD553" s="774"/>
      <c r="AE553" s="774"/>
      <c r="AF553" s="774"/>
      <c r="AG553" s="774"/>
      <c r="AH553" s="774"/>
      <c r="AI553" s="774"/>
      <c r="AJ553" s="774"/>
      <c r="AK553" s="774"/>
      <c r="AL553" s="774"/>
      <c r="AM553" s="774"/>
      <c r="AN553" s="774"/>
      <c r="AO553" s="380"/>
      <c r="AP553" s="322" t="str">
        <f t="shared" si="1200"/>
        <v/>
      </c>
      <c r="AQ553" s="323" t="str">
        <f>IF(AC553=$V$3,IF(VLOOKUP(C553,[1]List1!$A:$E,5,FALSE)=0,1,VLOOKUP(C553,[1]List1!$A:$E,5,FALSE)),"")</f>
        <v/>
      </c>
      <c r="AR553" s="304" t="str">
        <f t="shared" si="1201"/>
        <v/>
      </c>
      <c r="AS553" s="423" t="str">
        <f t="shared" si="1202"/>
        <v/>
      </c>
      <c r="AT553" s="304" t="str">
        <f t="shared" si="1203"/>
        <v/>
      </c>
      <c r="AU553" s="342" t="e">
        <f t="shared" si="1204"/>
        <v>#N/A</v>
      </c>
      <c r="AV553" s="304" t="e">
        <f t="shared" si="1205"/>
        <v>#N/A</v>
      </c>
      <c r="AX553" s="304">
        <f>IF(AND('General price list'!$J553="F4",'General price list'!$AB553+0&gt;0),1,0)</f>
        <v>0</v>
      </c>
      <c r="AY553" s="304">
        <f t="shared" si="1206"/>
        <v>0</v>
      </c>
      <c r="AZ553" s="304">
        <f t="shared" si="1207"/>
        <v>0</v>
      </c>
    </row>
    <row r="554" spans="1:52" ht="15" customHeight="1">
      <c r="A554" s="725" t="str">
        <f>Kat.!C551</f>
        <v/>
      </c>
      <c r="B554" s="741">
        <f>IF(AND('General price list'!$J554="F4",$AI$1=FALSE),0,IF(AC554="SKLADEM",1,IF(AC554=$V$3,1,0)))</f>
        <v>1</v>
      </c>
      <c r="C554" s="727" t="s">
        <v>1292</v>
      </c>
      <c r="D554" s="728" t="s">
        <v>1293</v>
      </c>
      <c r="E554" s="729" t="s">
        <v>411</v>
      </c>
      <c r="F554" s="725">
        <f>IFERROR(ROUND(IF($AL$3=2,VLOOKUP(C554,[2]List1!$A:$D,2,FALSE)*1.08,VLOOKUP(C554,[2]List1!$A:$D,2,FALSE)),0),"NEUVEDENO!")</f>
        <v>222</v>
      </c>
      <c r="G554" s="730">
        <f t="shared" ref="G554:G557" si="1236">(F554)*$B$19</f>
        <v>222</v>
      </c>
      <c r="H554" s="731">
        <f t="shared" ref="H554:H557" si="1237">G554/$F$19</f>
        <v>9.0211265030131376</v>
      </c>
      <c r="I554" s="742">
        <v>12</v>
      </c>
      <c r="J554" s="729" t="s">
        <v>46</v>
      </c>
      <c r="K554" s="729" t="s">
        <v>14734</v>
      </c>
      <c r="L554" s="729" t="s">
        <v>14386</v>
      </c>
      <c r="M554" s="729" t="s">
        <v>138</v>
      </c>
      <c r="N554" s="729">
        <f>IFERROR(VLOOKUP(C554,[3]List1!$A:$D,4,FALSE),"N/A!")</f>
        <v>3.2864000000000004E-2</v>
      </c>
      <c r="O554" s="729">
        <f>IFERROR(VLOOKUP(C554,[3]List1!$A:$D,3,FALSE),"N/A!")</f>
        <v>2496</v>
      </c>
      <c r="P554" s="729">
        <f>IFERROR(VLOOKUP(C554,[3]List1!$A:$D,2,FALSE),"N/A!")</f>
        <v>15000</v>
      </c>
      <c r="Q554" s="729" t="s">
        <v>45</v>
      </c>
      <c r="R554" s="729" t="s">
        <v>24</v>
      </c>
      <c r="S554" s="729" t="str">
        <f>IF($W$17=$AF$1,"design",IFERROR(VLOOKUP("design",Jazyky_ceník!$A:$Q,MATCH($W$17,Jazyky_ceník!$A$1:$Q$1,0),FALSE),"!!!"))</f>
        <v>design</v>
      </c>
      <c r="T554" s="729">
        <v>25</v>
      </c>
      <c r="U554" s="729">
        <v>30</v>
      </c>
      <c r="V554" s="729">
        <v>22</v>
      </c>
      <c r="W554" s="729" t="str">
        <f>IFERROR(VLOOKUP('General price list'!$C554,Popisy!A:P,MATCH($W$17,Popisy!$A$7:$P$7,0),FALSE),"---------------")</f>
        <v>4 různobarevné efekty</v>
      </c>
      <c r="X554" s="729" t="str">
        <f t="shared" ref="X554:X557" si="1238">IF(AB554&lt;0.0001,"",AB554)</f>
        <v/>
      </c>
      <c r="Y554" s="729" t="str">
        <f t="shared" ref="Y554:Y557" si="1239">IF($AL$3=2,IF(OR(AB554&lt;&gt;"",AB554&lt;&gt;0),AU554,""),IF(C554="","",IF(AB554&lt;0.0001,"",IF(B554=0,"",IF(AQ554&lt;AB554,"",AB554)))))</f>
        <v/>
      </c>
      <c r="Z554" s="729" t="str">
        <f>HYPERLINK("https://www.klasekpyrotechnics.cz/c1625b")</f>
        <v>https://www.klasekpyrotechnics.cz/c1625b</v>
      </c>
      <c r="AA554" s="729">
        <f>IFERROR(IF(VLOOKUP(C554,[4]List1!$A:$D,4,FALSE)=0,"",VLOOKUP(C554,[4]List1!$A:$D,4,FALSE)),"")</f>
        <v>45</v>
      </c>
      <c r="AB554" s="720"/>
      <c r="AC554" s="743" t="str">
        <f>IFERROR(IF(VLOOKUP(C554,[1]List1!$A:$D,2,FALSE)="VYPRODÁNO",$V$9,IF(VLOOKUP(C554,[1]List1!$A:$D,2,FALSE)="DOCHÁZÍ",$V$3,VLOOKUP(C554,[1]List1!$A:$D,2,FALSE))),"OFFLINE!")</f>
        <v>SKLADEM</v>
      </c>
      <c r="AD554" s="744" t="str">
        <f ca="1">IF(AP554="NE",$V$10,IF(AC554=$V$3,IF(AQ554&lt;1,$V$8,$V$2&amp;" "&amp;AQ554&amp;" "&amp;$V$1),IF(AC554="SKLADEM",$V$6,IFERROR(IF(OR(AC554-TODAY()&gt;45,VLOOKUP(C554,[1]List1!$A:$E,4,FALSE)=0),AC554,DAY(AC554)&amp;"."&amp;MONTH(AC554)&amp;"."&amp;YEAR(AC554)&amp;" "&amp;$V$4&amp;VLOOKUP(C554,[1]List1!$A:$E,4,FALSE)&amp;" "&amp;$V$1),AC554))))</f>
        <v>SKLADEM</v>
      </c>
      <c r="AE554" s="729" t="str">
        <f t="shared" ref="AE554:AE557" ca="1" si="1240">IFERROR(IF(AV554&lt;&gt;"",AV554,AD554),AD554)</f>
        <v>SKLADEM</v>
      </c>
      <c r="AF554" s="735">
        <f t="shared" ref="AF554:AF557" si="1241">IFERROR(IF(AB554=Y554,G554*I554*Y554,0),0)</f>
        <v>0</v>
      </c>
      <c r="AG554" s="735">
        <f t="shared" ref="AG554:AG557" si="1242">IF($W$17=$AF$8,AH554*1.23,AF554*1.21)</f>
        <v>0</v>
      </c>
      <c r="AH554" s="736">
        <f t="shared" ref="AH554:AH557" si="1243">IFERROR(IF(Y554=AB554,H554*I554*Y554,0),0)</f>
        <v>0</v>
      </c>
      <c r="AI554" s="729">
        <f t="shared" ref="AI554:AI557" si="1244">IFERROR(IF(Y554=AB554,(P554*Y554)/1000,1),0)</f>
        <v>0</v>
      </c>
      <c r="AJ554" s="729">
        <f t="shared" ref="AJ554:AJ557" si="1245">IFERROR(IF(Y554=AB554,N554*Y554,0.1),0)</f>
        <v>0</v>
      </c>
      <c r="AK554" s="729" t="str">
        <f t="shared" ref="AK554:AK557" si="1246">IFERROR(IF(Y554=AB554,IF(M554="1.1G",(O554/1000)*Y554,""),""),0)</f>
        <v/>
      </c>
      <c r="AL554" s="729">
        <f t="shared" ref="AL554:AL557" si="1247">IFERROR(IF(Y554=AB554,IF(M554="1.3G",(O554/1000)*AB554,""),""),0)</f>
        <v>0</v>
      </c>
      <c r="AM554" s="729" t="str">
        <f t="shared" ref="AM554:AM557" si="1248">IFERROR(IF(Y554=AB554,IF(M554="1.4G",(O554/1000)*AB554,""),""),0)</f>
        <v/>
      </c>
      <c r="AN554" s="729">
        <f t="shared" ref="AN554:AN557" si="1249">SUM(AK554:AM554)</f>
        <v>0</v>
      </c>
      <c r="AO554" s="380"/>
      <c r="AP554" s="322" t="str">
        <f t="shared" si="1200"/>
        <v/>
      </c>
      <c r="AQ554" s="323" t="str">
        <f>IF(AC554=$V$3,IF(VLOOKUP(C554,[1]List1!$A:$E,5,FALSE)=0,1,VLOOKUP(C554,[1]List1!$A:$E,5,FALSE)),"")</f>
        <v/>
      </c>
      <c r="AR554" s="304" t="str">
        <f t="shared" si="1201"/>
        <v/>
      </c>
      <c r="AS554" s="423" t="str">
        <f t="shared" si="1202"/>
        <v/>
      </c>
      <c r="AT554" s="304" t="str">
        <f t="shared" si="1203"/>
        <v/>
      </c>
      <c r="AU554" s="342" t="e">
        <f t="shared" si="1204"/>
        <v>#N/A</v>
      </c>
      <c r="AV554" s="304" t="e">
        <f t="shared" si="1205"/>
        <v>#N/A</v>
      </c>
      <c r="AX554" s="304">
        <f>IF(AND('General price list'!$J554="F4",'General price list'!$AB554+0&gt;0),1,0)</f>
        <v>0</v>
      </c>
      <c r="AY554" s="304">
        <f t="shared" si="1206"/>
        <v>1</v>
      </c>
      <c r="AZ554" s="304">
        <f t="shared" si="1207"/>
        <v>0</v>
      </c>
    </row>
    <row r="555" spans="1:52" ht="15" customHeight="1">
      <c r="A555" s="712" t="str">
        <f>Kat.!C552</f>
        <v/>
      </c>
      <c r="B555" s="745">
        <f>IF(AND('General price list'!$J555="F4",$AI$1=FALSE),0,IF(AC555="SKLADEM",1,IF(AC555=$V$3,1,0)))</f>
        <v>1</v>
      </c>
      <c r="C555" s="714" t="s">
        <v>1294</v>
      </c>
      <c r="D555" s="715" t="s">
        <v>1295</v>
      </c>
      <c r="E555" s="716" t="s">
        <v>411</v>
      </c>
      <c r="F555" s="712">
        <f>IFERROR(ROUND(IF($AL$3=2,VLOOKUP(C555,[2]List1!$A:$D,2,FALSE)*1.08,VLOOKUP(C555,[2]List1!$A:$D,2,FALSE)),0),"NEUVEDENO!")</f>
        <v>222</v>
      </c>
      <c r="G555" s="717">
        <f t="shared" si="1236"/>
        <v>222</v>
      </c>
      <c r="H555" s="718">
        <f t="shared" si="1237"/>
        <v>9.0211265030131376</v>
      </c>
      <c r="I555" s="746">
        <v>12</v>
      </c>
      <c r="J555" s="716" t="s">
        <v>46</v>
      </c>
      <c r="K555" s="716" t="s">
        <v>14734</v>
      </c>
      <c r="L555" s="716" t="s">
        <v>14386</v>
      </c>
      <c r="M555" s="716" t="s">
        <v>138</v>
      </c>
      <c r="N555" s="716">
        <f>IFERROR(VLOOKUP(C555,[3]List1!$A:$D,4,FALSE),"N/A!")</f>
        <v>3.2864000000000004E-2</v>
      </c>
      <c r="O555" s="716">
        <f>IFERROR(VLOOKUP(C555,[3]List1!$A:$D,3,FALSE),"N/A!")</f>
        <v>2496</v>
      </c>
      <c r="P555" s="716">
        <f>IFERROR(VLOOKUP(C555,[3]List1!$A:$D,2,FALSE),"N/A!")</f>
        <v>14500</v>
      </c>
      <c r="Q555" s="716" t="s">
        <v>45</v>
      </c>
      <c r="R555" s="716" t="s">
        <v>24</v>
      </c>
      <c r="S555" s="716" t="str">
        <f>IF($W$17=$AF$1,"červená fólie",IFERROR(VLOOKUP("červená fólie",Jazyky_ceník!$A:$Q,MATCH($W$17,Jazyky_ceník!$A$1:$Q$1,0),FALSE),"!!!"))</f>
        <v>červená fólie</v>
      </c>
      <c r="T555" s="716">
        <v>25</v>
      </c>
      <c r="U555" s="716">
        <v>30</v>
      </c>
      <c r="V555" s="716">
        <v>22</v>
      </c>
      <c r="W555" s="716" t="str">
        <f>IFERROR(VLOOKUP('General price list'!$C555,Popisy!A:P,MATCH($W$17,Popisy!$A$7:$P$7,0),FALSE),"---------------")</f>
        <v>4 různobarevné efekty</v>
      </c>
      <c r="X555" s="716" t="str">
        <f t="shared" si="1238"/>
        <v/>
      </c>
      <c r="Y555" s="716" t="str">
        <f t="shared" si="1239"/>
        <v/>
      </c>
      <c r="Z555" s="716" t="str">
        <f>HYPERLINK("https://www.klasekpyrotechnics.cz/c1625d")</f>
        <v>https://www.klasekpyrotechnics.cz/c1625d</v>
      </c>
      <c r="AA555" s="716">
        <f>IFERROR(IF(VLOOKUP(C555,[4]List1!$A:$D,4,FALSE)=0,"",VLOOKUP(C555,[4]List1!$A:$D,4,FALSE)),"")</f>
        <v>45</v>
      </c>
      <c r="AB555" s="720"/>
      <c r="AC555" s="747" t="str">
        <f>IFERROR(IF(VLOOKUP(C555,[1]List1!$A:$D,2,FALSE)="VYPRODÁNO",$V$9,IF(VLOOKUP(C555,[1]List1!$A:$D,2,FALSE)="DOCHÁZÍ",$V$3,VLOOKUP(C555,[1]List1!$A:$D,2,FALSE))),"OFFLINE!")</f>
        <v>SKLADEM</v>
      </c>
      <c r="AD555" s="748" t="str">
        <f ca="1">IF(AP555="NE",$V$10,IF(AC555=$V$3,IF(AQ555&lt;1,$V$8,$V$2&amp;" "&amp;AQ555&amp;" "&amp;$V$1),IF(AC555="SKLADEM",$V$6,IFERROR(IF(OR(AC555-TODAY()&gt;45,VLOOKUP(C555,[1]List1!$A:$E,4,FALSE)=0),AC555,DAY(AC555)&amp;"."&amp;MONTH(AC555)&amp;"."&amp;YEAR(AC555)&amp;" "&amp;$V$4&amp;VLOOKUP(C555,[1]List1!$A:$E,4,FALSE)&amp;" "&amp;$V$1),AC555))))</f>
        <v>SKLADEM</v>
      </c>
      <c r="AE555" s="716" t="str">
        <f t="shared" ca="1" si="1240"/>
        <v>SKLADEM</v>
      </c>
      <c r="AF555" s="723">
        <f t="shared" si="1241"/>
        <v>0</v>
      </c>
      <c r="AG555" s="723">
        <f t="shared" si="1242"/>
        <v>0</v>
      </c>
      <c r="AH555" s="724">
        <f t="shared" si="1243"/>
        <v>0</v>
      </c>
      <c r="AI555" s="716">
        <f t="shared" si="1244"/>
        <v>0</v>
      </c>
      <c r="AJ555" s="716">
        <f t="shared" si="1245"/>
        <v>0</v>
      </c>
      <c r="AK555" s="716" t="str">
        <f t="shared" si="1246"/>
        <v/>
      </c>
      <c r="AL555" s="716">
        <f t="shared" si="1247"/>
        <v>0</v>
      </c>
      <c r="AM555" s="716" t="str">
        <f t="shared" si="1248"/>
        <v/>
      </c>
      <c r="AN555" s="716">
        <f t="shared" si="1249"/>
        <v>0</v>
      </c>
      <c r="AO555" s="380"/>
      <c r="AP555" s="322" t="str">
        <f t="shared" si="1200"/>
        <v/>
      </c>
      <c r="AQ555" s="323" t="str">
        <f>IF(AC555=$V$3,IF(VLOOKUP(C555,[1]List1!$A:$E,5,FALSE)=0,1,VLOOKUP(C555,[1]List1!$A:$E,5,FALSE)),"")</f>
        <v/>
      </c>
      <c r="AR555" s="304" t="str">
        <f t="shared" si="1201"/>
        <v/>
      </c>
      <c r="AS555" s="423" t="str">
        <f t="shared" si="1202"/>
        <v/>
      </c>
      <c r="AT555" s="304" t="str">
        <f t="shared" si="1203"/>
        <v/>
      </c>
      <c r="AU555" s="342" t="e">
        <f t="shared" si="1204"/>
        <v>#N/A</v>
      </c>
      <c r="AV555" s="304" t="e">
        <f t="shared" si="1205"/>
        <v>#N/A</v>
      </c>
      <c r="AX555" s="304">
        <f>IF(AND('General price list'!$J555="F4",'General price list'!$AB555+0&gt;0),1,0)</f>
        <v>0</v>
      </c>
      <c r="AY555" s="304">
        <f t="shared" si="1206"/>
        <v>1</v>
      </c>
      <c r="AZ555" s="304">
        <f t="shared" si="1207"/>
        <v>0</v>
      </c>
    </row>
    <row r="556" spans="1:52" ht="15" customHeight="1">
      <c r="A556" s="725" t="str">
        <f>Kat.!C553</f>
        <v/>
      </c>
      <c r="B556" s="749">
        <f>IF(AND('General price list'!$J556="F4",$AI$1=FALSE),0,IF(AC556="SKLADEM",1,IF(AC556=$V$3,1,0)))</f>
        <v>1</v>
      </c>
      <c r="C556" s="727" t="s">
        <v>1296</v>
      </c>
      <c r="D556" s="728" t="s">
        <v>1297</v>
      </c>
      <c r="E556" s="729" t="s">
        <v>411</v>
      </c>
      <c r="F556" s="725">
        <f>IFERROR(ROUND(IF($AL$3=2,VLOOKUP(C556,[2]List1!$A:$D,2,FALSE)*1.08,VLOOKUP(C556,[2]List1!$A:$D,2,FALSE)),0),"NEUVEDENO!")</f>
        <v>222</v>
      </c>
      <c r="G556" s="730">
        <f t="shared" si="1236"/>
        <v>222</v>
      </c>
      <c r="H556" s="731">
        <f t="shared" si="1237"/>
        <v>9.0211265030131376</v>
      </c>
      <c r="I556" s="750">
        <v>12</v>
      </c>
      <c r="J556" s="729" t="s">
        <v>46</v>
      </c>
      <c r="K556" s="729" t="s">
        <v>14734</v>
      </c>
      <c r="L556" s="729" t="s">
        <v>14386</v>
      </c>
      <c r="M556" s="729" t="s">
        <v>138</v>
      </c>
      <c r="N556" s="729">
        <f>IFERROR(VLOOKUP(C556,[3]List1!$A:$D,4,FALSE),"N/A!")</f>
        <v>3.2864000000000004E-2</v>
      </c>
      <c r="O556" s="729">
        <f>IFERROR(VLOOKUP(C556,[3]List1!$A:$D,3,FALSE),"N/A!")</f>
        <v>2496</v>
      </c>
      <c r="P556" s="729">
        <f>IFERROR(VLOOKUP(C556,[3]List1!$A:$D,2,FALSE),"N/A!")</f>
        <v>15400</v>
      </c>
      <c r="Q556" s="729" t="s">
        <v>45</v>
      </c>
      <c r="R556" s="729" t="s">
        <v>24</v>
      </c>
      <c r="S556" s="729" t="str">
        <f>IF($W$17=$AF$1,"design",IFERROR(VLOOKUP("design",Jazyky_ceník!$A:$Q,MATCH($W$17,Jazyky_ceník!$A$1:$Q$1,0),FALSE),"!!!"))</f>
        <v>design</v>
      </c>
      <c r="T556" s="729">
        <v>25</v>
      </c>
      <c r="U556" s="729">
        <v>30</v>
      </c>
      <c r="V556" s="729">
        <v>22</v>
      </c>
      <c r="W556" s="729" t="str">
        <f>IFERROR(VLOOKUP('General price list'!$C556,Popisy!A:P,MATCH($W$17,Popisy!$A$7:$P$7,0),FALSE),"---------------")</f>
        <v>4 různobarevné efekty</v>
      </c>
      <c r="X556" s="729" t="str">
        <f t="shared" si="1238"/>
        <v/>
      </c>
      <c r="Y556" s="729" t="str">
        <f t="shared" si="1239"/>
        <v/>
      </c>
      <c r="Z556" s="729" t="str">
        <f>HYPERLINK("https://www.klasekpyrotechnics.cz/c1625f")</f>
        <v>https://www.klasekpyrotechnics.cz/c1625f</v>
      </c>
      <c r="AA556" s="729">
        <f>IFERROR(IF(VLOOKUP(C556,[4]List1!$A:$D,4,FALSE)=0,"",VLOOKUP(C556,[4]List1!$A:$D,4,FALSE)),"")</f>
        <v>45</v>
      </c>
      <c r="AB556" s="720"/>
      <c r="AC556" s="751" t="str">
        <f>IFERROR(IF(VLOOKUP(C556,[1]List1!$A:$D,2,FALSE)="VYPRODÁNO",$V$9,IF(VLOOKUP(C556,[1]List1!$A:$D,2,FALSE)="DOCHÁZÍ",$V$3,VLOOKUP(C556,[1]List1!$A:$D,2,FALSE))),"OFFLINE!")</f>
        <v>SKLADEM</v>
      </c>
      <c r="AD556" s="752" t="str">
        <f ca="1">IF(AP556="NE",$V$10,IF(AC556=$V$3,IF(AQ556&lt;1,$V$8,$V$2&amp;" "&amp;AQ556&amp;" "&amp;$V$1),IF(AC556="SKLADEM",$V$6,IFERROR(IF(OR(AC556-TODAY()&gt;45,VLOOKUP(C556,[1]List1!$A:$E,4,FALSE)=0),AC556,DAY(AC556)&amp;"."&amp;MONTH(AC556)&amp;"."&amp;YEAR(AC556)&amp;" "&amp;$V$4&amp;VLOOKUP(C556,[1]List1!$A:$E,4,FALSE)&amp;" "&amp;$V$1),AC556))))</f>
        <v>SKLADEM</v>
      </c>
      <c r="AE556" s="729" t="str">
        <f t="shared" ca="1" si="1240"/>
        <v>SKLADEM</v>
      </c>
      <c r="AF556" s="735">
        <f t="shared" si="1241"/>
        <v>0</v>
      </c>
      <c r="AG556" s="735">
        <f t="shared" si="1242"/>
        <v>0</v>
      </c>
      <c r="AH556" s="736">
        <f t="shared" si="1243"/>
        <v>0</v>
      </c>
      <c r="AI556" s="729">
        <f t="shared" si="1244"/>
        <v>0</v>
      </c>
      <c r="AJ556" s="729">
        <f t="shared" si="1245"/>
        <v>0</v>
      </c>
      <c r="AK556" s="729" t="str">
        <f t="shared" si="1246"/>
        <v/>
      </c>
      <c r="AL556" s="729">
        <f t="shared" si="1247"/>
        <v>0</v>
      </c>
      <c r="AM556" s="729" t="str">
        <f t="shared" si="1248"/>
        <v/>
      </c>
      <c r="AN556" s="729">
        <f t="shared" si="1249"/>
        <v>0</v>
      </c>
      <c r="AO556" s="380"/>
      <c r="AP556" s="322" t="str">
        <f t="shared" si="1200"/>
        <v/>
      </c>
      <c r="AQ556" s="323" t="str">
        <f>IF(AC556=$V$3,IF(VLOOKUP(C556,[1]List1!$A:$E,5,FALSE)=0,1,VLOOKUP(C556,[1]List1!$A:$E,5,FALSE)),"")</f>
        <v/>
      </c>
      <c r="AR556" s="304" t="str">
        <f t="shared" si="1201"/>
        <v/>
      </c>
      <c r="AS556" s="423" t="str">
        <f t="shared" si="1202"/>
        <v/>
      </c>
      <c r="AT556" s="304" t="str">
        <f t="shared" si="1203"/>
        <v/>
      </c>
      <c r="AU556" s="342" t="e">
        <f t="shared" si="1204"/>
        <v>#N/A</v>
      </c>
      <c r="AV556" s="304" t="e">
        <f t="shared" si="1205"/>
        <v>#N/A</v>
      </c>
      <c r="AX556" s="304">
        <f>IF(AND('General price list'!$J556="F4",'General price list'!$AB556+0&gt;0),1,0)</f>
        <v>0</v>
      </c>
      <c r="AY556" s="304">
        <f t="shared" si="1206"/>
        <v>1</v>
      </c>
      <c r="AZ556" s="304">
        <f t="shared" si="1207"/>
        <v>0</v>
      </c>
    </row>
    <row r="557" spans="1:52" ht="15" customHeight="1">
      <c r="A557" s="712" t="str">
        <f>Kat.!C554</f>
        <v/>
      </c>
      <c r="B557" s="745">
        <f>IF(AND('General price list'!$J557="F4",$AI$1=FALSE),0,IF(AC557="SKLADEM",1,IF(AC557=$V$3,1,0)))</f>
        <v>1</v>
      </c>
      <c r="C557" s="714" t="s">
        <v>1298</v>
      </c>
      <c r="D557" s="715" t="s">
        <v>1299</v>
      </c>
      <c r="E557" s="716" t="s">
        <v>411</v>
      </c>
      <c r="F557" s="712">
        <f>IFERROR(ROUND(IF($AL$3=2,VLOOKUP(C557,[2]List1!$A:$D,2,FALSE)*1.08,VLOOKUP(C557,[2]List1!$A:$D,2,FALSE)),0),"NEUVEDENO!")</f>
        <v>222</v>
      </c>
      <c r="G557" s="717">
        <f t="shared" si="1236"/>
        <v>222</v>
      </c>
      <c r="H557" s="718">
        <f t="shared" si="1237"/>
        <v>9.0211265030131376</v>
      </c>
      <c r="I557" s="746">
        <v>12</v>
      </c>
      <c r="J557" s="716" t="s">
        <v>46</v>
      </c>
      <c r="K557" s="716" t="s">
        <v>14734</v>
      </c>
      <c r="L557" s="716" t="s">
        <v>14386</v>
      </c>
      <c r="M557" s="716" t="s">
        <v>138</v>
      </c>
      <c r="N557" s="716">
        <f>IFERROR(VLOOKUP(C557,[3]List1!$A:$D,4,FALSE),"N/A!")</f>
        <v>3.2864000000000004E-2</v>
      </c>
      <c r="O557" s="716">
        <f>IFERROR(VLOOKUP(C557,[3]List1!$A:$D,3,FALSE),"N/A!")</f>
        <v>2496</v>
      </c>
      <c r="P557" s="716">
        <f>IFERROR(VLOOKUP(C557,[3]List1!$A:$D,2,FALSE),"N/A!")</f>
        <v>16000</v>
      </c>
      <c r="Q557" s="716" t="s">
        <v>45</v>
      </c>
      <c r="R557" s="716" t="s">
        <v>24</v>
      </c>
      <c r="S557" s="716" t="str">
        <f>IF($W$17=$AF$1,"design",IFERROR(VLOOKUP("design",Jazyky_ceník!$A:$Q,MATCH($W$17,Jazyky_ceník!$A$1:$Q$1,0),FALSE),"!!!"))</f>
        <v>design</v>
      </c>
      <c r="T557" s="716">
        <v>25</v>
      </c>
      <c r="U557" s="716">
        <v>30</v>
      </c>
      <c r="V557" s="716">
        <v>22</v>
      </c>
      <c r="W557" s="716" t="str">
        <f>IFERROR(VLOOKUP('General price list'!$C557,Popisy!A:P,MATCH($W$17,Popisy!$A$7:$P$7,0),FALSE),"---------------")</f>
        <v>4 různobarevné efekty</v>
      </c>
      <c r="X557" s="716" t="str">
        <f t="shared" si="1238"/>
        <v/>
      </c>
      <c r="Y557" s="716" t="str">
        <f t="shared" si="1239"/>
        <v/>
      </c>
      <c r="Z557" s="716" t="str">
        <f>HYPERLINK("https://www.klasekpyrotechnics.cz/c1625g")</f>
        <v>https://www.klasekpyrotechnics.cz/c1625g</v>
      </c>
      <c r="AA557" s="716">
        <f>IFERROR(IF(VLOOKUP(C557,[4]List1!$A:$D,4,FALSE)=0,"",VLOOKUP(C557,[4]List1!$A:$D,4,FALSE)),"")</f>
        <v>45</v>
      </c>
      <c r="AB557" s="720"/>
      <c r="AC557" s="747" t="str">
        <f>IFERROR(IF(VLOOKUP(C557,[1]List1!$A:$D,2,FALSE)="VYPRODÁNO",$V$9,IF(VLOOKUP(C557,[1]List1!$A:$D,2,FALSE)="DOCHÁZÍ",$V$3,VLOOKUP(C557,[1]List1!$A:$D,2,FALSE))),"OFFLINE!")</f>
        <v>DOCHÁZÍ</v>
      </c>
      <c r="AD557" s="748" t="str">
        <f ca="1">IF(AP557="NE",$V$10,IF(AC557=$V$3,IF(AQ557&lt;1,$V$8,$V$2&amp;" "&amp;AQ557&amp;" "&amp;$V$1),IF(AC557="SKLADEM",$V$6,IFERROR(IF(OR(AC557-TODAY()&gt;45,VLOOKUP(C557,[1]List1!$A:$E,4,FALSE)=0),AC557,DAY(AC557)&amp;"."&amp;MONTH(AC557)&amp;"."&amp;YEAR(AC557)&amp;" "&amp;$V$4&amp;VLOOKUP(C557,[1]List1!$A:$E,4,FALSE)&amp;" "&amp;$V$1),AC557))))</f>
        <v>POSLEDNÍCH 13 VK</v>
      </c>
      <c r="AE557" s="716" t="str">
        <f t="shared" ca="1" si="1240"/>
        <v>POSLEDNÍCH 13 VK</v>
      </c>
      <c r="AF557" s="723">
        <f t="shared" si="1241"/>
        <v>0</v>
      </c>
      <c r="AG557" s="723">
        <f t="shared" si="1242"/>
        <v>0</v>
      </c>
      <c r="AH557" s="724">
        <f t="shared" si="1243"/>
        <v>0</v>
      </c>
      <c r="AI557" s="716">
        <f t="shared" si="1244"/>
        <v>0</v>
      </c>
      <c r="AJ557" s="716">
        <f t="shared" si="1245"/>
        <v>0</v>
      </c>
      <c r="AK557" s="716" t="str">
        <f t="shared" si="1246"/>
        <v/>
      </c>
      <c r="AL557" s="716">
        <f t="shared" si="1247"/>
        <v>0</v>
      </c>
      <c r="AM557" s="716" t="str">
        <f t="shared" si="1248"/>
        <v/>
      </c>
      <c r="AN557" s="716">
        <f t="shared" si="1249"/>
        <v>0</v>
      </c>
      <c r="AO557" s="380"/>
      <c r="AP557" s="322" t="str">
        <f t="shared" si="1200"/>
        <v/>
      </c>
      <c r="AQ557" s="323">
        <f>IF(AC557=$V$3,IF(VLOOKUP(C557,[1]List1!$A:$E,5,FALSE)=0,1,VLOOKUP(C557,[1]List1!$A:$E,5,FALSE)),"")</f>
        <v>13</v>
      </c>
      <c r="AR557" s="304" t="str">
        <f t="shared" si="1201"/>
        <v/>
      </c>
      <c r="AS557" s="423" t="str">
        <f t="shared" si="1202"/>
        <v/>
      </c>
      <c r="AT557" s="304" t="str">
        <f t="shared" si="1203"/>
        <v/>
      </c>
      <c r="AU557" s="342" t="e">
        <f t="shared" si="1204"/>
        <v>#N/A</v>
      </c>
      <c r="AV557" s="304" t="e">
        <f t="shared" si="1205"/>
        <v>#N/A</v>
      </c>
      <c r="AX557" s="304">
        <f>IF(AND('General price list'!$J557="F4",'General price list'!$AB557+0&gt;0),1,0)</f>
        <v>0</v>
      </c>
      <c r="AY557" s="304">
        <f t="shared" si="1206"/>
        <v>1</v>
      </c>
      <c r="AZ557" s="304">
        <f t="shared" si="1207"/>
        <v>0</v>
      </c>
    </row>
    <row r="558" spans="1:52" ht="15" customHeight="1">
      <c r="A558" s="773" t="str">
        <f>Kat.!C555</f>
        <v xml:space="preserve">                                                               Baterie 16ran, 25mm moždíř-1.4G</v>
      </c>
      <c r="B558" s="774"/>
      <c r="C558" s="774"/>
      <c r="D558" s="774"/>
      <c r="E558" s="774"/>
      <c r="F558" s="774"/>
      <c r="G558" s="774"/>
      <c r="H558" s="774"/>
      <c r="I558" s="774"/>
      <c r="J558" s="774"/>
      <c r="K558" s="774"/>
      <c r="L558" s="774"/>
      <c r="M558" s="774"/>
      <c r="N558" s="774"/>
      <c r="O558" s="774"/>
      <c r="P558" s="774"/>
      <c r="Q558" s="774"/>
      <c r="R558" s="774"/>
      <c r="S558" s="774"/>
      <c r="T558" s="774"/>
      <c r="U558" s="774"/>
      <c r="V558" s="774"/>
      <c r="W558" s="774"/>
      <c r="X558" s="774"/>
      <c r="Y558" s="774"/>
      <c r="Z558" s="774"/>
      <c r="AA558" s="774" t="str">
        <f>IFERROR(IF(VLOOKUP(C558,[4]List1!$A:$D,4,FALSE)=0,"",VLOOKUP(C558,[4]List1!$A:$D,4,FALSE)),"")</f>
        <v/>
      </c>
      <c r="AB558" s="774"/>
      <c r="AC558" s="775" t="str">
        <f>IFERROR(IF(VLOOKUP(C558,[1]List1!$A:$D,2,FALSE)="VYPRODÁNO",$V$9,IF(VLOOKUP(C558,[1]List1!$A:$D,2,FALSE)="DOCHÁZÍ",$V$3,VLOOKUP(C558,[1]List1!$A:$D,2,FALSE))),"OFFLINE!")</f>
        <v>OFFLINE!</v>
      </c>
      <c r="AD558" s="774"/>
      <c r="AE558" s="774"/>
      <c r="AF558" s="774"/>
      <c r="AG558" s="774"/>
      <c r="AH558" s="774"/>
      <c r="AI558" s="774"/>
      <c r="AJ558" s="774"/>
      <c r="AK558" s="774"/>
      <c r="AL558" s="774"/>
      <c r="AM558" s="774"/>
      <c r="AN558" s="774"/>
      <c r="AO558" s="380"/>
      <c r="AP558" s="322" t="str">
        <f t="shared" ref="AP558:AP561" si="1250">IF($AL$3=1,IF(Y558=AB558,"","NE"),IF(AR558=$V$10,"NE",""))</f>
        <v/>
      </c>
      <c r="AQ558" s="323" t="str">
        <f>IF(AC558=$V$3,IF(VLOOKUP(C558,[1]List1!$A:$E,5,FALSE)=0,1,VLOOKUP(C558,[1]List1!$A:$E,5,FALSE)),"")</f>
        <v/>
      </c>
      <c r="AR558" s="304" t="str">
        <f t="shared" ref="AR558:AR561" si="1251">IF($AL$3=1,"",IF(OR(AB558&lt;&gt;"",AB558&lt;&gt;0),IF(OR(AC558=$V$6,AC558=$V$3,AC558=$V$9),$V$10,""),""))</f>
        <v/>
      </c>
      <c r="AS558" s="423" t="str">
        <f t="shared" ref="AS558:AS561" si="1252">IF(AT558&lt;&gt;"","X","")</f>
        <v/>
      </c>
      <c r="AT558" s="304" t="str">
        <f t="shared" ref="AT558:AT561" si="1253">IF(AND($AL$3=2,AR558="",AB558&lt;&gt;""),AD558,"")</f>
        <v/>
      </c>
      <c r="AU558" s="342" t="e">
        <f t="shared" ref="AU558:AU561" si="1254">IF(AT558=$AS$21,AB558,"")</f>
        <v>#N/A</v>
      </c>
      <c r="AV558" s="304" t="e">
        <f t="shared" ref="AV558:AV561" si="1255">IF(OR(AB558="",AND(AT558&lt;&gt;"",AU558&lt;&gt;"")),"",$V$10)</f>
        <v>#N/A</v>
      </c>
      <c r="AX558" s="304">
        <f>IF(AND('General price list'!$J558="F4",'General price list'!$AB558+0&gt;0),1,0)</f>
        <v>0</v>
      </c>
      <c r="AY558" s="304">
        <f t="shared" ref="AY558:AY561" si="1256">IFERROR(FIND(VLOOKUP($AC$7,$AD$1:$AE$12,2,FALSE),Q558,1),0)</f>
        <v>0</v>
      </c>
      <c r="AZ558" s="304">
        <f t="shared" ref="AZ558:AZ561" si="1257">IFERROR(FIND(VLOOKUP($AC$7,$AD$1:$AE$12,2,FALSE),R558,1),0)</f>
        <v>0</v>
      </c>
    </row>
    <row r="559" spans="1:52" ht="15" customHeight="1">
      <c r="A559" s="712" t="str">
        <f>Kat.!C556</f>
        <v/>
      </c>
      <c r="B559" s="713">
        <f>IF(AND('General price list'!$J559="F4",$AI$1=FALSE),0,IF(AC559="SKLADEM",1,IF(AC559=$V$3,1,0)))</f>
        <v>1</v>
      </c>
      <c r="C559" s="714" t="s">
        <v>1300</v>
      </c>
      <c r="D559" s="715" t="s">
        <v>1293</v>
      </c>
      <c r="E559" s="716" t="s">
        <v>411</v>
      </c>
      <c r="F559" s="712">
        <f>IFERROR(ROUND(IF($AL$3=2,VLOOKUP(C559,[2]List1!$A:$D,2,FALSE)*1.08,VLOOKUP(C559,[2]List1!$A:$D,2,FALSE)),0),"NEUVEDENO!")</f>
        <v>222</v>
      </c>
      <c r="G559" s="717">
        <f t="shared" ref="G559:G561" si="1258">(F559)*$B$19</f>
        <v>222</v>
      </c>
      <c r="H559" s="718">
        <f t="shared" ref="H559:H561" si="1259">G559/$F$19</f>
        <v>9.0211265030131376</v>
      </c>
      <c r="I559" s="719">
        <v>12</v>
      </c>
      <c r="J559" s="716" t="s">
        <v>46</v>
      </c>
      <c r="K559" s="716" t="s">
        <v>14734</v>
      </c>
      <c r="L559" s="716" t="s">
        <v>14396</v>
      </c>
      <c r="M559" s="716" t="s">
        <v>25</v>
      </c>
      <c r="N559" s="716">
        <f>IFERROR(VLOOKUP(C559,[3]List1!$A:$D,4,FALSE),"N/A!")</f>
        <v>3.2864000000000004E-2</v>
      </c>
      <c r="O559" s="716">
        <f>IFERROR(VLOOKUP(C559,[3]List1!$A:$D,3,FALSE),"N/A!")</f>
        <v>2496</v>
      </c>
      <c r="P559" s="716">
        <f>IFERROR(VLOOKUP(C559,[3]List1!$A:$D,2,FALSE),"N/A!")</f>
        <v>15200</v>
      </c>
      <c r="Q559" s="716" t="s">
        <v>14196</v>
      </c>
      <c r="R559" s="716" t="s">
        <v>24</v>
      </c>
      <c r="S559" s="716" t="str">
        <f>IF($W$17=$AF$1,"design",IFERROR(VLOOKUP("design",Jazyky_ceník!$A:$Q,MATCH($W$17,Jazyky_ceník!$A$1:$Q$1,0),FALSE),"!!!"))</f>
        <v>design</v>
      </c>
      <c r="T559" s="716">
        <v>25</v>
      </c>
      <c r="U559" s="716">
        <v>30</v>
      </c>
      <c r="V559" s="716">
        <v>18</v>
      </c>
      <c r="W559" s="716" t="str">
        <f>IFERROR(VLOOKUP('General price list'!$C559,Popisy!A:P,MATCH($W$17,Popisy!$A$7:$P$7,0),FALSE),"---------------")</f>
        <v>4 různobarevné efekty</v>
      </c>
      <c r="X559" s="716" t="str">
        <f t="shared" ref="X559:X561" si="1260">IF(AB559&lt;0.0001,"",AB559)</f>
        <v/>
      </c>
      <c r="Y559" s="716" t="str">
        <f t="shared" ref="Y559:Y561" si="1261">IF($AL$3=2,IF(OR(AB559&lt;&gt;"",AB559&lt;&gt;0),AU559,""),IF(C559="","",IF(AB559&lt;0.0001,"",IF(B559=0,"",IF(AQ559&lt;AB559,"",AB559)))))</f>
        <v/>
      </c>
      <c r="Z559" s="716" t="str">
        <f>HYPERLINK("https://www.klasekpyrotechnics.cz/c1625b14")</f>
        <v>https://www.klasekpyrotechnics.cz/c1625b14</v>
      </c>
      <c r="AA559" s="716">
        <f>IFERROR(IF(VLOOKUP(C559,[4]List1!$A:$D,4,FALSE)=0,"",VLOOKUP(C559,[4]List1!$A:$D,4,FALSE)),"")</f>
        <v>45</v>
      </c>
      <c r="AB559" s="720"/>
      <c r="AC559" s="721" t="str">
        <f>IFERROR(IF(VLOOKUP(C559,[1]List1!$A:$D,2,FALSE)="VYPRODÁNO",$V$9,IF(VLOOKUP(C559,[1]List1!$A:$D,2,FALSE)="DOCHÁZÍ",$V$3,VLOOKUP(C559,[1]List1!$A:$D,2,FALSE))),"OFFLINE!")</f>
        <v>SKLADEM</v>
      </c>
      <c r="AD559" s="722" t="str">
        <f ca="1">IF(AP559="NE",$V$10,IF(AC559=$V$3,IF(AQ559&lt;1,$V$8,$V$2&amp;" "&amp;AQ559&amp;" "&amp;$V$1),IF(AC559="SKLADEM",$V$6,IFERROR(IF(OR(AC559-TODAY()&gt;45,VLOOKUP(C559,[1]List1!$A:$E,4,FALSE)=0),AC559,DAY(AC559)&amp;"."&amp;MONTH(AC559)&amp;"."&amp;YEAR(AC559)&amp;" "&amp;$V$4&amp;VLOOKUP(C559,[1]List1!$A:$E,4,FALSE)&amp;" "&amp;$V$1),AC559))))</f>
        <v>SKLADEM</v>
      </c>
      <c r="AE559" s="716" t="str">
        <f t="shared" ref="AE559:AE561" ca="1" si="1262">IFERROR(IF(AV559&lt;&gt;"",AV559,AD559),AD559)</f>
        <v>SKLADEM</v>
      </c>
      <c r="AF559" s="723">
        <f t="shared" ref="AF559:AF561" si="1263">IFERROR(IF(AB559=Y559,G559*I559*Y559,0),0)</f>
        <v>0</v>
      </c>
      <c r="AG559" s="723">
        <f t="shared" ref="AG559:AG561" si="1264">IF($W$17=$AF$8,AH559*1.23,AF559*1.21)</f>
        <v>0</v>
      </c>
      <c r="AH559" s="724">
        <f t="shared" ref="AH559:AH561" si="1265">IFERROR(IF(Y559=AB559,H559*I559*Y559,0),0)</f>
        <v>0</v>
      </c>
      <c r="AI559" s="716">
        <f t="shared" ref="AI559:AI561" si="1266">IFERROR(IF(Y559=AB559,(P559*Y559)/1000,1),0)</f>
        <v>0</v>
      </c>
      <c r="AJ559" s="716">
        <f t="shared" ref="AJ559:AJ561" si="1267">IFERROR(IF(Y559=AB559,N559*Y559,0.1),0)</f>
        <v>0</v>
      </c>
      <c r="AK559" s="716" t="str">
        <f t="shared" ref="AK559:AK561" si="1268">IFERROR(IF(Y559=AB559,IF(M559="1.1G",(O559/1000)*Y559,""),""),0)</f>
        <v/>
      </c>
      <c r="AL559" s="716" t="str">
        <f t="shared" ref="AL559:AL561" si="1269">IFERROR(IF(Y559=AB559,IF(M559="1.3G",(O559/1000)*AB559,""),""),0)</f>
        <v/>
      </c>
      <c r="AM559" s="716">
        <f t="shared" ref="AM559:AM561" si="1270">IFERROR(IF(Y559=AB559,IF(M559="1.4G",(O559/1000)*AB559,""),""),0)</f>
        <v>0</v>
      </c>
      <c r="AN559" s="716">
        <f t="shared" ref="AN559:AN561" si="1271">SUM(AK559:AM559)</f>
        <v>0</v>
      </c>
      <c r="AO559" s="380"/>
      <c r="AP559" s="322" t="str">
        <f t="shared" si="1250"/>
        <v/>
      </c>
      <c r="AQ559" s="323" t="str">
        <f>IF(AC559=$V$3,IF(VLOOKUP(C559,[1]List1!$A:$E,5,FALSE)=0,1,VLOOKUP(C559,[1]List1!$A:$E,5,FALSE)),"")</f>
        <v/>
      </c>
      <c r="AR559" s="304" t="str">
        <f t="shared" si="1251"/>
        <v/>
      </c>
      <c r="AS559" s="423" t="str">
        <f t="shared" si="1252"/>
        <v/>
      </c>
      <c r="AT559" s="304" t="str">
        <f t="shared" si="1253"/>
        <v/>
      </c>
      <c r="AU559" s="342" t="e">
        <f t="shared" si="1254"/>
        <v>#N/A</v>
      </c>
      <c r="AV559" s="304" t="e">
        <f t="shared" si="1255"/>
        <v>#N/A</v>
      </c>
      <c r="AX559" s="304">
        <f>IF(AND('General price list'!$J559="F4",'General price list'!$AB559+0&gt;0),1,0)</f>
        <v>0</v>
      </c>
      <c r="AY559" s="304">
        <f t="shared" si="1256"/>
        <v>1</v>
      </c>
      <c r="AZ559" s="304">
        <f t="shared" si="1257"/>
        <v>0</v>
      </c>
    </row>
    <row r="560" spans="1:52" ht="15" customHeight="1">
      <c r="A560" s="725" t="str">
        <f>Kat.!C557</f>
        <v/>
      </c>
      <c r="B560" s="726">
        <f>IF(AND('General price list'!$J560="F4",$AI$1=FALSE),0,IF(AC560="SKLADEM",1,IF(AC560=$V$3,1,0)))</f>
        <v>1</v>
      </c>
      <c r="C560" s="727" t="s">
        <v>1301</v>
      </c>
      <c r="D560" s="728" t="s">
        <v>1295</v>
      </c>
      <c r="E560" s="729" t="s">
        <v>411</v>
      </c>
      <c r="F560" s="725">
        <f>IFERROR(ROUND(IF($AL$3=2,VLOOKUP(C560,[2]List1!$A:$D,2,FALSE)*1.08,VLOOKUP(C560,[2]List1!$A:$D,2,FALSE)),0),"NEUVEDENO!")</f>
        <v>222</v>
      </c>
      <c r="G560" s="730">
        <f t="shared" si="1258"/>
        <v>222</v>
      </c>
      <c r="H560" s="731">
        <f t="shared" si="1259"/>
        <v>9.0211265030131376</v>
      </c>
      <c r="I560" s="732">
        <v>12</v>
      </c>
      <c r="J560" s="729" t="s">
        <v>46</v>
      </c>
      <c r="K560" s="729" t="s">
        <v>14734</v>
      </c>
      <c r="L560" s="729" t="s">
        <v>14396</v>
      </c>
      <c r="M560" s="729" t="s">
        <v>25</v>
      </c>
      <c r="N560" s="729">
        <f>IFERROR(VLOOKUP(C560,[3]List1!$A:$D,4,FALSE),"N/A!")</f>
        <v>3.2864000000000004E-2</v>
      </c>
      <c r="O560" s="729">
        <f>IFERROR(VLOOKUP(C560,[3]List1!$A:$D,3,FALSE),"N/A!")</f>
        <v>2496</v>
      </c>
      <c r="P560" s="729">
        <f>IFERROR(VLOOKUP(C560,[3]List1!$A:$D,2,FALSE),"N/A!")</f>
        <v>15000</v>
      </c>
      <c r="Q560" s="729" t="s">
        <v>12731</v>
      </c>
      <c r="R560" s="729" t="s">
        <v>24</v>
      </c>
      <c r="S560" s="729" t="str">
        <f>IF($W$17=$AF$1,"design",IFERROR(VLOOKUP("design",Jazyky_ceník!$A:$Q,MATCH($W$17,Jazyky_ceník!$A$1:$Q$1,0),FALSE),"!!!"))</f>
        <v>design</v>
      </c>
      <c r="T560" s="729">
        <v>25</v>
      </c>
      <c r="U560" s="729">
        <v>30</v>
      </c>
      <c r="V560" s="729">
        <v>18</v>
      </c>
      <c r="W560" s="729" t="str">
        <f>IFERROR(VLOOKUP('General price list'!$C560,Popisy!A:P,MATCH($W$17,Popisy!$A$7:$P$7,0),FALSE),"---------------")</f>
        <v>4 různobarevné efekty</v>
      </c>
      <c r="X560" s="729" t="str">
        <f t="shared" si="1260"/>
        <v/>
      </c>
      <c r="Y560" s="729" t="str">
        <f t="shared" si="1261"/>
        <v/>
      </c>
      <c r="Z560" s="729" t="str">
        <f>HYPERLINK("https://www.klasekpyrotechnics.cz/c1625d14")</f>
        <v>https://www.klasekpyrotechnics.cz/c1625d14</v>
      </c>
      <c r="AA560" s="729">
        <f>IFERROR(IF(VLOOKUP(C560,[4]List1!$A:$D,4,FALSE)=0,"",VLOOKUP(C560,[4]List1!$A:$D,4,FALSE)),"")</f>
        <v>45</v>
      </c>
      <c r="AB560" s="720"/>
      <c r="AC560" s="733" t="str">
        <f>IFERROR(IF(VLOOKUP(C560,[1]List1!$A:$D,2,FALSE)="VYPRODÁNO",$V$9,IF(VLOOKUP(C560,[1]List1!$A:$D,2,FALSE)="DOCHÁZÍ",$V$3,VLOOKUP(C560,[1]List1!$A:$D,2,FALSE))),"OFFLINE!")</f>
        <v>SKLADEM</v>
      </c>
      <c r="AD560" s="734" t="str">
        <f ca="1">IF(AP560="NE",$V$10,IF(AC560=$V$3,IF(AQ560&lt;1,$V$8,$V$2&amp;" "&amp;AQ560&amp;" "&amp;$V$1),IF(AC560="SKLADEM",$V$6,IFERROR(IF(OR(AC560-TODAY()&gt;45,VLOOKUP(C560,[1]List1!$A:$E,4,FALSE)=0),AC560,DAY(AC560)&amp;"."&amp;MONTH(AC560)&amp;"."&amp;YEAR(AC560)&amp;" "&amp;$V$4&amp;VLOOKUP(C560,[1]List1!$A:$E,4,FALSE)&amp;" "&amp;$V$1),AC560))))</f>
        <v>SKLADEM</v>
      </c>
      <c r="AE560" s="729" t="str">
        <f t="shared" ca="1" si="1262"/>
        <v>SKLADEM</v>
      </c>
      <c r="AF560" s="735">
        <f t="shared" si="1263"/>
        <v>0</v>
      </c>
      <c r="AG560" s="735">
        <f t="shared" si="1264"/>
        <v>0</v>
      </c>
      <c r="AH560" s="736">
        <f t="shared" si="1265"/>
        <v>0</v>
      </c>
      <c r="AI560" s="729">
        <f t="shared" si="1266"/>
        <v>0</v>
      </c>
      <c r="AJ560" s="729">
        <f t="shared" si="1267"/>
        <v>0</v>
      </c>
      <c r="AK560" s="729" t="str">
        <f t="shared" si="1268"/>
        <v/>
      </c>
      <c r="AL560" s="729" t="str">
        <f t="shared" si="1269"/>
        <v/>
      </c>
      <c r="AM560" s="729">
        <f t="shared" si="1270"/>
        <v>0</v>
      </c>
      <c r="AN560" s="729">
        <f t="shared" si="1271"/>
        <v>0</v>
      </c>
      <c r="AO560" s="380"/>
      <c r="AP560" s="322" t="str">
        <f t="shared" si="1250"/>
        <v/>
      </c>
      <c r="AQ560" s="323" t="str">
        <f>IF(AC560=$V$3,IF(VLOOKUP(C560,[1]List1!$A:$E,5,FALSE)=0,1,VLOOKUP(C560,[1]List1!$A:$E,5,FALSE)),"")</f>
        <v/>
      </c>
      <c r="AR560" s="304" t="str">
        <f t="shared" si="1251"/>
        <v/>
      </c>
      <c r="AS560" s="423" t="str">
        <f t="shared" si="1252"/>
        <v/>
      </c>
      <c r="AT560" s="304" t="str">
        <f t="shared" si="1253"/>
        <v/>
      </c>
      <c r="AU560" s="342" t="e">
        <f t="shared" si="1254"/>
        <v>#N/A</v>
      </c>
      <c r="AV560" s="304" t="e">
        <f t="shared" si="1255"/>
        <v>#N/A</v>
      </c>
      <c r="AX560" s="304">
        <f>IF(AND('General price list'!$J560="F4",'General price list'!$AB560+0&gt;0),1,0)</f>
        <v>0</v>
      </c>
      <c r="AY560" s="304">
        <f t="shared" si="1256"/>
        <v>1</v>
      </c>
      <c r="AZ560" s="304">
        <f t="shared" si="1257"/>
        <v>0</v>
      </c>
    </row>
    <row r="561" spans="1:52" ht="15" customHeight="1">
      <c r="A561" s="712" t="str">
        <f>Kat.!C558</f>
        <v/>
      </c>
      <c r="B561" s="737">
        <f>IF(AND('General price list'!$J561="F4",$AI$1=FALSE),0,IF(AC561="SKLADEM",1,IF(AC561=$V$3,1,0)))</f>
        <v>1</v>
      </c>
      <c r="C561" s="714" t="s">
        <v>1302</v>
      </c>
      <c r="D561" s="715" t="s">
        <v>1297</v>
      </c>
      <c r="E561" s="716" t="s">
        <v>411</v>
      </c>
      <c r="F561" s="712">
        <f>IFERROR(ROUND(IF($AL$3=2,VLOOKUP(C561,[2]List1!$A:$D,2,FALSE)*1.08,VLOOKUP(C561,[2]List1!$A:$D,2,FALSE)),0),"NEUVEDENO!")</f>
        <v>222</v>
      </c>
      <c r="G561" s="717">
        <f t="shared" si="1258"/>
        <v>222</v>
      </c>
      <c r="H561" s="718">
        <f t="shared" si="1259"/>
        <v>9.0211265030131376</v>
      </c>
      <c r="I561" s="738">
        <v>12</v>
      </c>
      <c r="J561" s="716" t="s">
        <v>46</v>
      </c>
      <c r="K561" s="716" t="s">
        <v>14734</v>
      </c>
      <c r="L561" s="716" t="s">
        <v>14396</v>
      </c>
      <c r="M561" s="716" t="s">
        <v>25</v>
      </c>
      <c r="N561" s="716">
        <f>IFERROR(VLOOKUP(C561,[3]List1!$A:$D,4,FALSE),"N/A!")</f>
        <v>3.2864000000000004E-2</v>
      </c>
      <c r="O561" s="716">
        <f>IFERROR(VLOOKUP(C561,[3]List1!$A:$D,3,FALSE),"N/A!")</f>
        <v>2496</v>
      </c>
      <c r="P561" s="716">
        <f>IFERROR(VLOOKUP(C561,[3]List1!$A:$D,2,FALSE),"N/A!")</f>
        <v>15060</v>
      </c>
      <c r="Q561" s="716" t="s">
        <v>12731</v>
      </c>
      <c r="R561" s="716" t="s">
        <v>24</v>
      </c>
      <c r="S561" s="716" t="str">
        <f>IF($W$17=$AF$1,"design",IFERROR(VLOOKUP("design",Jazyky_ceník!$A:$Q,MATCH($W$17,Jazyky_ceník!$A$1:$Q$1,0),FALSE),"!!!"))</f>
        <v>design</v>
      </c>
      <c r="T561" s="716">
        <v>25</v>
      </c>
      <c r="U561" s="716">
        <v>30</v>
      </c>
      <c r="V561" s="716">
        <v>18</v>
      </c>
      <c r="W561" s="716" t="str">
        <f>IFERROR(VLOOKUP('General price list'!$C561,Popisy!A:P,MATCH($W$17,Popisy!$A$7:$P$7,0),FALSE),"---------------")</f>
        <v>4 různobarevné efekty</v>
      </c>
      <c r="X561" s="716" t="str">
        <f t="shared" si="1260"/>
        <v/>
      </c>
      <c r="Y561" s="716" t="str">
        <f t="shared" si="1261"/>
        <v/>
      </c>
      <c r="Z561" s="716" t="str">
        <f>HYPERLINK("https://www.klasekpyrotechnics.cz/c1625f14")</f>
        <v>https://www.klasekpyrotechnics.cz/c1625f14</v>
      </c>
      <c r="AA561" s="716">
        <f>IFERROR(IF(VLOOKUP(C561,[4]List1!$A:$D,4,FALSE)=0,"",VLOOKUP(C561,[4]List1!$A:$D,4,FALSE)),"")</f>
        <v>45</v>
      </c>
      <c r="AB561" s="720"/>
      <c r="AC561" s="739" t="str">
        <f>IFERROR(IF(VLOOKUP(C561,[1]List1!$A:$D,2,FALSE)="VYPRODÁNO",$V$9,IF(VLOOKUP(C561,[1]List1!$A:$D,2,FALSE)="DOCHÁZÍ",$V$3,VLOOKUP(C561,[1]List1!$A:$D,2,FALSE))),"OFFLINE!")</f>
        <v>SKLADEM</v>
      </c>
      <c r="AD561" s="740" t="str">
        <f ca="1">IF(AP561="NE",$V$10,IF(AC561=$V$3,IF(AQ561&lt;1,$V$8,$V$2&amp;" "&amp;AQ561&amp;" "&amp;$V$1),IF(AC561="SKLADEM",$V$6,IFERROR(IF(OR(AC561-TODAY()&gt;45,VLOOKUP(C561,[1]List1!$A:$E,4,FALSE)=0),AC561,DAY(AC561)&amp;"."&amp;MONTH(AC561)&amp;"."&amp;YEAR(AC561)&amp;" "&amp;$V$4&amp;VLOOKUP(C561,[1]List1!$A:$E,4,FALSE)&amp;" "&amp;$V$1),AC561))))</f>
        <v>SKLADEM</v>
      </c>
      <c r="AE561" s="716" t="str">
        <f t="shared" ca="1" si="1262"/>
        <v>SKLADEM</v>
      </c>
      <c r="AF561" s="723">
        <f t="shared" si="1263"/>
        <v>0</v>
      </c>
      <c r="AG561" s="723">
        <f t="shared" si="1264"/>
        <v>0</v>
      </c>
      <c r="AH561" s="724">
        <f t="shared" si="1265"/>
        <v>0</v>
      </c>
      <c r="AI561" s="716">
        <f t="shared" si="1266"/>
        <v>0</v>
      </c>
      <c r="AJ561" s="716">
        <f t="shared" si="1267"/>
        <v>0</v>
      </c>
      <c r="AK561" s="716" t="str">
        <f t="shared" si="1268"/>
        <v/>
      </c>
      <c r="AL561" s="716" t="str">
        <f t="shared" si="1269"/>
        <v/>
      </c>
      <c r="AM561" s="716">
        <f t="shared" si="1270"/>
        <v>0</v>
      </c>
      <c r="AN561" s="716">
        <f t="shared" si="1271"/>
        <v>0</v>
      </c>
      <c r="AO561" s="380"/>
      <c r="AP561" s="322" t="str">
        <f t="shared" si="1250"/>
        <v/>
      </c>
      <c r="AQ561" s="323" t="str">
        <f>IF(AC561=$V$3,IF(VLOOKUP(C561,[1]List1!$A:$E,5,FALSE)=0,1,VLOOKUP(C561,[1]List1!$A:$E,5,FALSE)),"")</f>
        <v/>
      </c>
      <c r="AR561" s="304" t="str">
        <f t="shared" si="1251"/>
        <v/>
      </c>
      <c r="AS561" s="423" t="str">
        <f t="shared" si="1252"/>
        <v/>
      </c>
      <c r="AT561" s="304" t="str">
        <f t="shared" si="1253"/>
        <v/>
      </c>
      <c r="AU561" s="342" t="e">
        <f t="shared" si="1254"/>
        <v>#N/A</v>
      </c>
      <c r="AV561" s="304" t="e">
        <f t="shared" si="1255"/>
        <v>#N/A</v>
      </c>
      <c r="AX561" s="304">
        <f>IF(AND('General price list'!$J561="F4",'General price list'!$AB561+0&gt;0),1,0)</f>
        <v>0</v>
      </c>
      <c r="AY561" s="304">
        <f t="shared" si="1256"/>
        <v>1</v>
      </c>
      <c r="AZ561" s="304">
        <f t="shared" si="1257"/>
        <v>0</v>
      </c>
    </row>
    <row r="562" spans="1:52" ht="15" customHeight="1">
      <c r="A562" s="773" t="str">
        <f>Kat.!C559</f>
        <v xml:space="preserve">                                                               Baterie 25ran, 25mm moždíř-1.3G</v>
      </c>
      <c r="B562" s="774"/>
      <c r="C562" s="774"/>
      <c r="D562" s="774"/>
      <c r="E562" s="774"/>
      <c r="F562" s="774"/>
      <c r="G562" s="774"/>
      <c r="H562" s="774"/>
      <c r="I562" s="774"/>
      <c r="J562" s="774"/>
      <c r="K562" s="774"/>
      <c r="L562" s="774"/>
      <c r="M562" s="774"/>
      <c r="N562" s="774"/>
      <c r="O562" s="774"/>
      <c r="P562" s="774"/>
      <c r="Q562" s="774"/>
      <c r="R562" s="774"/>
      <c r="S562" s="774"/>
      <c r="T562" s="774"/>
      <c r="U562" s="774"/>
      <c r="V562" s="774"/>
      <c r="W562" s="774"/>
      <c r="X562" s="774"/>
      <c r="Y562" s="774"/>
      <c r="Z562" s="774"/>
      <c r="AA562" s="774" t="str">
        <f>IFERROR(IF(VLOOKUP(C562,[4]List1!$A:$D,4,FALSE)=0,"",VLOOKUP(C562,[4]List1!$A:$D,4,FALSE)),"")</f>
        <v/>
      </c>
      <c r="AB562" s="774"/>
      <c r="AC562" s="775" t="str">
        <f>IFERROR(IF(VLOOKUP(C562,[1]List1!$A:$D,2,FALSE)="VYPRODÁNO",$V$9,IF(VLOOKUP(C562,[1]List1!$A:$D,2,FALSE)="DOCHÁZÍ",$V$3,VLOOKUP(C562,[1]List1!$A:$D,2,FALSE))),"OFFLINE!")</f>
        <v>OFFLINE!</v>
      </c>
      <c r="AD562" s="774"/>
      <c r="AE562" s="774"/>
      <c r="AF562" s="774"/>
      <c r="AG562" s="774"/>
      <c r="AH562" s="774"/>
      <c r="AI562" s="774"/>
      <c r="AJ562" s="774"/>
      <c r="AK562" s="774"/>
      <c r="AL562" s="774"/>
      <c r="AM562" s="774"/>
      <c r="AN562" s="774"/>
      <c r="AO562" s="380"/>
      <c r="AP562" s="322" t="str">
        <f t="shared" si="1200"/>
        <v/>
      </c>
      <c r="AQ562" s="323" t="str">
        <f>IF(AC562=$V$3,IF(VLOOKUP(C562,[1]List1!$A:$E,5,FALSE)=0,1,VLOOKUP(C562,[1]List1!$A:$E,5,FALSE)),"")</f>
        <v/>
      </c>
      <c r="AR562" s="304" t="str">
        <f t="shared" si="1201"/>
        <v/>
      </c>
      <c r="AS562" s="423" t="str">
        <f t="shared" si="1202"/>
        <v/>
      </c>
      <c r="AT562" s="304" t="str">
        <f t="shared" si="1203"/>
        <v/>
      </c>
      <c r="AU562" s="342" t="e">
        <f t="shared" si="1204"/>
        <v>#N/A</v>
      </c>
      <c r="AV562" s="304" t="e">
        <f t="shared" si="1205"/>
        <v>#N/A</v>
      </c>
      <c r="AX562" s="304">
        <f>IF(AND('General price list'!$J562="F4",'General price list'!$AB562+0&gt;0),1,0)</f>
        <v>0</v>
      </c>
      <c r="AY562" s="304">
        <f t="shared" si="1206"/>
        <v>0</v>
      </c>
      <c r="AZ562" s="304">
        <f t="shared" si="1207"/>
        <v>0</v>
      </c>
    </row>
    <row r="563" spans="1:52" ht="15" customHeight="1">
      <c r="A563" s="712" t="str">
        <f>Kat.!C560</f>
        <v/>
      </c>
      <c r="B563" s="713">
        <f>IF(AND('General price list'!$J563="F4",$AI$1=FALSE),0,IF(AC563="SKLADEM",1,IF(AC563=$V$3,1,0)))</f>
        <v>1</v>
      </c>
      <c r="C563" s="714" t="s">
        <v>2545</v>
      </c>
      <c r="D563" s="715" t="s">
        <v>14589</v>
      </c>
      <c r="E563" s="716" t="s">
        <v>411</v>
      </c>
      <c r="F563" s="712">
        <f>IFERROR(ROUND(IF($AL$3=2,VLOOKUP(C563,[2]List1!$A:$D,2,FALSE)*1.08,VLOOKUP(C563,[2]List1!$A:$D,2,FALSE)),0),"NEUVEDENO!")</f>
        <v>324</v>
      </c>
      <c r="G563" s="717">
        <f t="shared" ref="G563:G567" si="1272">(F563)*$B$19</f>
        <v>324</v>
      </c>
      <c r="H563" s="718">
        <f t="shared" ref="H563:H567" si="1273">G563/$F$19</f>
        <v>13.165968409802959</v>
      </c>
      <c r="I563" s="719">
        <v>12</v>
      </c>
      <c r="J563" s="716" t="s">
        <v>46</v>
      </c>
      <c r="K563" s="716" t="s">
        <v>14734</v>
      </c>
      <c r="L563" s="716" t="s">
        <v>24</v>
      </c>
      <c r="M563" s="716" t="s">
        <v>138</v>
      </c>
      <c r="N563" s="716">
        <f>IFERROR(VLOOKUP(C563,[3]List1!$A:$D,4,FALSE),"N/A!")</f>
        <v>4.7185875000000009E-2</v>
      </c>
      <c r="O563" s="716">
        <f>IFERROR(VLOOKUP(C563,[3]List1!$A:$D,3,FALSE),"N/A!")</f>
        <v>3600</v>
      </c>
      <c r="P563" s="716">
        <f>IFERROR(VLOOKUP(C563,[3]List1!$A:$D,2,FALSE),"N/A!")</f>
        <v>21000</v>
      </c>
      <c r="Q563" s="716" t="s">
        <v>14104</v>
      </c>
      <c r="R563" s="716" t="s">
        <v>24</v>
      </c>
      <c r="S563" s="716" t="str">
        <f>IF($W$17=$AF$1,"design",IFERROR(VLOOKUP("design",Jazyky_ceník!$A:$Q,MATCH($W$17,Jazyky_ceník!$A$1:$Q$1,0),FALSE),"!!!"))</f>
        <v>design</v>
      </c>
      <c r="T563" s="716">
        <v>30</v>
      </c>
      <c r="U563" s="716">
        <v>30</v>
      </c>
      <c r="V563" s="716">
        <v>20</v>
      </c>
      <c r="W563" s="716" t="str">
        <f>IFERROR(VLOOKUP('General price list'!$C563,Popisy!A:P,MATCH($W$17,Popisy!$A$7:$P$7,0),FALSE),"---------------")</f>
        <v>5 různobarevných efektů</v>
      </c>
      <c r="X563" s="716" t="str">
        <f t="shared" ref="X563:X567" si="1274">IF(AB563&lt;0.0001,"",AB563)</f>
        <v/>
      </c>
      <c r="Y563" s="716" t="str">
        <f t="shared" ref="Y563:Y567" si="1275">IF($AL$3=2,IF(OR(AB563&lt;&gt;"",AB563&lt;&gt;0),AU563,""),IF(C563="","",IF(AB563&lt;0.0001,"",IF(B563=0,"",IF(AQ563&lt;AB563,"",AB563)))))</f>
        <v/>
      </c>
      <c r="Z563" s="716" t="str">
        <f>HYPERLINK("https://www.klasekpyrotechnics.cz/c2525bpw")</f>
        <v>https://www.klasekpyrotechnics.cz/c2525bpw</v>
      </c>
      <c r="AA563" s="716">
        <f>IFERROR(IF(VLOOKUP(C563,[4]List1!$A:$D,4,FALSE)=0,"",VLOOKUP(C563,[4]List1!$A:$D,4,FALSE)),"")</f>
        <v>20</v>
      </c>
      <c r="AB563" s="720"/>
      <c r="AC563" s="721" t="str">
        <f>IFERROR(IF(VLOOKUP(C563,[1]List1!$A:$D,2,FALSE)="VYPRODÁNO",$V$9,IF(VLOOKUP(C563,[1]List1!$A:$D,2,FALSE)="DOCHÁZÍ",$V$3,VLOOKUP(C563,[1]List1!$A:$D,2,FALSE))),"OFFLINE!")</f>
        <v>SKLADEM</v>
      </c>
      <c r="AD563" s="722" t="str">
        <f ca="1">IF(AP563="NE",$V$10,IF(AC563=$V$3,IF(AQ563&lt;1,$V$8,$V$2&amp;" "&amp;AQ563&amp;" "&amp;$V$1),IF(AC563="SKLADEM",$V$6,IFERROR(IF(OR(AC563-TODAY()&gt;45,VLOOKUP(C563,[1]List1!$A:$E,4,FALSE)=0),AC563,DAY(AC563)&amp;"."&amp;MONTH(AC563)&amp;"."&amp;YEAR(AC563)&amp;" "&amp;$V$4&amp;VLOOKUP(C563,[1]List1!$A:$E,4,FALSE)&amp;" "&amp;$V$1),AC563))))</f>
        <v>SKLADEM</v>
      </c>
      <c r="AE563" s="716" t="str">
        <f t="shared" ref="AE563:AE567" ca="1" si="1276">IFERROR(IF(AV563&lt;&gt;"",AV563,AD563),AD563)</f>
        <v>SKLADEM</v>
      </c>
      <c r="AF563" s="723">
        <f t="shared" ref="AF563:AF567" si="1277">IFERROR(IF(AB563=Y563,G563*I563*Y563,0),0)</f>
        <v>0</v>
      </c>
      <c r="AG563" s="723">
        <f t="shared" ref="AG563:AG567" si="1278">IF($W$17=$AF$8,AH563*1.23,AF563*1.21)</f>
        <v>0</v>
      </c>
      <c r="AH563" s="724">
        <f t="shared" ref="AH563:AH567" si="1279">IFERROR(IF(Y563=AB563,H563*I563*Y563,0),0)</f>
        <v>0</v>
      </c>
      <c r="AI563" s="716">
        <f t="shared" ref="AI563:AI567" si="1280">IFERROR(IF(Y563=AB563,(P563*Y563)/1000,1),0)</f>
        <v>0</v>
      </c>
      <c r="AJ563" s="716">
        <f t="shared" ref="AJ563:AJ567" si="1281">IFERROR(IF(Y563=AB563,N563*Y563,0.1),0)</f>
        <v>0</v>
      </c>
      <c r="AK563" s="716" t="str">
        <f t="shared" ref="AK563:AK567" si="1282">IFERROR(IF(Y563=AB563,IF(M563="1.1G",(O563/1000)*Y563,""),""),0)</f>
        <v/>
      </c>
      <c r="AL563" s="716">
        <f t="shared" ref="AL563:AL567" si="1283">IFERROR(IF(Y563=AB563,IF(M563="1.3G",(O563/1000)*AB563,""),""),0)</f>
        <v>0</v>
      </c>
      <c r="AM563" s="716" t="str">
        <f t="shared" ref="AM563:AM567" si="1284">IFERROR(IF(Y563=AB563,IF(M563="1.4G",(O563/1000)*AB563,""),""),0)</f>
        <v/>
      </c>
      <c r="AN563" s="716">
        <f t="shared" ref="AN563:AN567" si="1285">SUM(AK563:AM563)</f>
        <v>0</v>
      </c>
      <c r="AO563" s="380"/>
      <c r="AP563" s="322" t="str">
        <f t="shared" si="1200"/>
        <v/>
      </c>
      <c r="AQ563" s="323" t="str">
        <f>IF(AC563=$V$3,IF(VLOOKUP(C563,[1]List1!$A:$E,5,FALSE)=0,1,VLOOKUP(C563,[1]List1!$A:$E,5,FALSE)),"")</f>
        <v/>
      </c>
      <c r="AR563" s="304" t="str">
        <f t="shared" si="1201"/>
        <v/>
      </c>
      <c r="AS563" s="423" t="str">
        <f t="shared" si="1202"/>
        <v/>
      </c>
      <c r="AT563" s="304" t="str">
        <f t="shared" si="1203"/>
        <v/>
      </c>
      <c r="AU563" s="342" t="e">
        <f t="shared" si="1204"/>
        <v>#N/A</v>
      </c>
      <c r="AV563" s="304" t="e">
        <f t="shared" si="1205"/>
        <v>#N/A</v>
      </c>
      <c r="AX563" s="304">
        <f>IF(AND('General price list'!$J563="F4",'General price list'!$AB563+0&gt;0),1,0)</f>
        <v>0</v>
      </c>
      <c r="AY563" s="304">
        <f t="shared" si="1206"/>
        <v>1</v>
      </c>
      <c r="AZ563" s="304">
        <f t="shared" si="1207"/>
        <v>0</v>
      </c>
    </row>
    <row r="564" spans="1:52" ht="15" customHeight="1">
      <c r="A564" s="725" t="str">
        <f>Kat.!C561</f>
        <v/>
      </c>
      <c r="B564" s="726">
        <f>IF(AND('General price list'!$J564="F4",$AI$1=FALSE),0,IF(AC564="SKLADEM",1,IF(AC564=$V$3,1,0)))</f>
        <v>1</v>
      </c>
      <c r="C564" s="727" t="s">
        <v>1303</v>
      </c>
      <c r="D564" s="728" t="s">
        <v>14564</v>
      </c>
      <c r="E564" s="729" t="s">
        <v>411</v>
      </c>
      <c r="F564" s="725">
        <f>IFERROR(ROUND(IF($AL$3=2,VLOOKUP(C564,[2]List1!$A:$D,2,FALSE)*1.08,VLOOKUP(C564,[2]List1!$A:$D,2,FALSE)),0),"NEUVEDENO!")</f>
        <v>398</v>
      </c>
      <c r="G564" s="730">
        <f t="shared" si="1272"/>
        <v>398</v>
      </c>
      <c r="H564" s="731">
        <f t="shared" si="1273"/>
        <v>16.173010577474006</v>
      </c>
      <c r="I564" s="732">
        <v>12</v>
      </c>
      <c r="J564" s="729" t="s">
        <v>46</v>
      </c>
      <c r="K564" s="729"/>
      <c r="L564" s="729" t="s">
        <v>24</v>
      </c>
      <c r="M564" s="729" t="s">
        <v>138</v>
      </c>
      <c r="N564" s="729">
        <f>IFERROR(VLOOKUP(C564,[3]List1!$A:$D,4,FALSE),"N/A!")</f>
        <v>4.7185875000000009E-2</v>
      </c>
      <c r="O564" s="729">
        <f>IFERROR(VLOOKUP(C564,[3]List1!$A:$D,3,FALSE),"N/A!")</f>
        <v>5988</v>
      </c>
      <c r="P564" s="729">
        <f>IFERROR(VLOOKUP(C564,[3]List1!$A:$D,2,FALSE),"N/A!")</f>
        <v>22000</v>
      </c>
      <c r="Q564" s="729" t="s">
        <v>14197</v>
      </c>
      <c r="R564" s="729" t="s">
        <v>24</v>
      </c>
      <c r="S564" s="729" t="str">
        <f>IF($W$17=$AF$1,"design",IFERROR(VLOOKUP("design",Jazyky_ceník!$A:$Q,MATCH($W$17,Jazyky_ceník!$A$1:$Q$1,0),FALSE),"!!!"))</f>
        <v>design</v>
      </c>
      <c r="T564" s="729">
        <v>30</v>
      </c>
      <c r="U564" s="729">
        <v>33</v>
      </c>
      <c r="V564" s="729">
        <v>25</v>
      </c>
      <c r="W564" s="729" t="str">
        <f>IFERROR(VLOOKUP('General price list'!$C564,Popisy!A:P,MATCH($W$17,Popisy!$A$7:$P$7,0),FALSE),"---------------")</f>
        <v>5 různobarevných efektu</v>
      </c>
      <c r="X564" s="729" t="str">
        <f t="shared" si="1274"/>
        <v/>
      </c>
      <c r="Y564" s="729" t="str">
        <f t="shared" si="1275"/>
        <v/>
      </c>
      <c r="Z564" s="729" t="str">
        <f>HYPERLINK("https://www.klasekpyrotechnics.cz/c2525sig")</f>
        <v>https://www.klasekpyrotechnics.cz/c2525sig</v>
      </c>
      <c r="AA564" s="729">
        <f>IFERROR(IF(VLOOKUP(C564,[4]List1!$A:$D,4,FALSE)=0,"",VLOOKUP(C564,[4]List1!$A:$D,4,FALSE)),"")</f>
        <v>20</v>
      </c>
      <c r="AB564" s="720"/>
      <c r="AC564" s="733" t="str">
        <f>IFERROR(IF(VLOOKUP(C564,[1]List1!$A:$D,2,FALSE)="VYPRODÁNO",$V$9,IF(VLOOKUP(C564,[1]List1!$A:$D,2,FALSE)="DOCHÁZÍ",$V$3,VLOOKUP(C564,[1]List1!$A:$D,2,FALSE))),"OFFLINE!")</f>
        <v>SKLADEM</v>
      </c>
      <c r="AD564" s="734" t="str">
        <f ca="1">IF(AP564="NE",$V$10,IF(AC564=$V$3,IF(AQ564&lt;1,$V$8,$V$2&amp;" "&amp;AQ564&amp;" "&amp;$V$1),IF(AC564="SKLADEM",$V$6,IFERROR(IF(OR(AC564-TODAY()&gt;45,VLOOKUP(C564,[1]List1!$A:$E,4,FALSE)=0),AC564,DAY(AC564)&amp;"."&amp;MONTH(AC564)&amp;"."&amp;YEAR(AC564)&amp;" "&amp;$V$4&amp;VLOOKUP(C564,[1]List1!$A:$E,4,FALSE)&amp;" "&amp;$V$1),AC564))))</f>
        <v>SKLADEM</v>
      </c>
      <c r="AE564" s="729" t="str">
        <f t="shared" ca="1" si="1276"/>
        <v>SKLADEM</v>
      </c>
      <c r="AF564" s="735">
        <f t="shared" si="1277"/>
        <v>0</v>
      </c>
      <c r="AG564" s="735">
        <f t="shared" si="1278"/>
        <v>0</v>
      </c>
      <c r="AH564" s="736">
        <f t="shared" si="1279"/>
        <v>0</v>
      </c>
      <c r="AI564" s="729">
        <f t="shared" si="1280"/>
        <v>0</v>
      </c>
      <c r="AJ564" s="729">
        <f t="shared" si="1281"/>
        <v>0</v>
      </c>
      <c r="AK564" s="729" t="str">
        <f t="shared" si="1282"/>
        <v/>
      </c>
      <c r="AL564" s="729">
        <f t="shared" si="1283"/>
        <v>0</v>
      </c>
      <c r="AM564" s="729" t="str">
        <f t="shared" si="1284"/>
        <v/>
      </c>
      <c r="AN564" s="729">
        <f t="shared" si="1285"/>
        <v>0</v>
      </c>
      <c r="AO564" s="380"/>
      <c r="AP564" s="322" t="str">
        <f t="shared" si="1200"/>
        <v/>
      </c>
      <c r="AQ564" s="323" t="str">
        <f>IF(AC564=$V$3,IF(VLOOKUP(C564,[1]List1!$A:$E,5,FALSE)=0,1,VLOOKUP(C564,[1]List1!$A:$E,5,FALSE)),"")</f>
        <v/>
      </c>
      <c r="AR564" s="304" t="str">
        <f t="shared" si="1201"/>
        <v/>
      </c>
      <c r="AS564" s="423" t="str">
        <f t="shared" si="1202"/>
        <v/>
      </c>
      <c r="AT564" s="304" t="str">
        <f t="shared" si="1203"/>
        <v/>
      </c>
      <c r="AU564" s="342" t="e">
        <f t="shared" si="1204"/>
        <v>#N/A</v>
      </c>
      <c r="AV564" s="304" t="e">
        <f t="shared" si="1205"/>
        <v>#N/A</v>
      </c>
      <c r="AX564" s="304">
        <f>IF(AND('General price list'!$J564="F4",'General price list'!$AB564+0&gt;0),1,0)</f>
        <v>0</v>
      </c>
      <c r="AY564" s="304">
        <f t="shared" si="1206"/>
        <v>1</v>
      </c>
      <c r="AZ564" s="304">
        <f t="shared" si="1207"/>
        <v>0</v>
      </c>
    </row>
    <row r="565" spans="1:52" ht="15" customHeight="1">
      <c r="A565" s="712" t="str">
        <f>Kat.!C562</f>
        <v/>
      </c>
      <c r="B565" s="737">
        <f>IF(AND('General price list'!$J565="F4",$AI$1=FALSE),0,IF(AC565="SKLADEM",1,IF(AC565=$V$3,1,0)))</f>
        <v>1</v>
      </c>
      <c r="C565" s="714" t="s">
        <v>1304</v>
      </c>
      <c r="D565" s="715" t="s">
        <v>1305</v>
      </c>
      <c r="E565" s="716" t="s">
        <v>411</v>
      </c>
      <c r="F565" s="712">
        <f>IFERROR(ROUND(IF($AL$3=2,VLOOKUP(C565,[2]List1!$A:$D,2,FALSE)*1.08,VLOOKUP(C565,[2]List1!$A:$D,2,FALSE)),0),"NEUVEDENO!")</f>
        <v>345</v>
      </c>
      <c r="G565" s="717">
        <f t="shared" si="1272"/>
        <v>345</v>
      </c>
      <c r="H565" s="718">
        <f t="shared" si="1273"/>
        <v>14.019318214142039</v>
      </c>
      <c r="I565" s="738">
        <v>12</v>
      </c>
      <c r="J565" s="716" t="s">
        <v>137</v>
      </c>
      <c r="K565" s="716"/>
      <c r="L565" s="716" t="s">
        <v>24</v>
      </c>
      <c r="M565" s="716" t="s">
        <v>138</v>
      </c>
      <c r="N565" s="716">
        <f>IFERROR(VLOOKUP(C565,[3]List1!$A:$D,4,FALSE),"N/A!")</f>
        <v>4.7185875000000009E-2</v>
      </c>
      <c r="O565" s="716">
        <f>IFERROR(VLOOKUP(C565,[3]List1!$A:$D,3,FALSE),"N/A!")</f>
        <v>3600</v>
      </c>
      <c r="P565" s="716">
        <f>IFERROR(VLOOKUP(C565,[3]List1!$A:$D,2,FALSE),"N/A!")</f>
        <v>21000</v>
      </c>
      <c r="Q565" s="716" t="s">
        <v>14198</v>
      </c>
      <c r="R565" s="716" t="s">
        <v>24</v>
      </c>
      <c r="S565" s="716" t="str">
        <f>IF($W$17=$AF$1,"design",IFERROR(VLOOKUP("design",Jazyky_ceník!$A:$Q,MATCH($W$17,Jazyky_ceník!$A$1:$Q$1,0),FALSE),"!!!"))</f>
        <v>design</v>
      </c>
      <c r="T565" s="716">
        <v>20</v>
      </c>
      <c r="U565" s="716"/>
      <c r="V565" s="716"/>
      <c r="W565" s="716" t="str">
        <f>IFERROR(VLOOKUP('General price list'!$C565,Popisy!A:P,MATCH($W$17,Popisy!$A$7:$P$7,0),FALSE),"---------------")</f>
        <v>stříbrná mina s červenou stopou a titanovou detonací</v>
      </c>
      <c r="X565" s="716" t="str">
        <f t="shared" si="1274"/>
        <v/>
      </c>
      <c r="Y565" s="716" t="str">
        <f t="shared" si="1275"/>
        <v/>
      </c>
      <c r="Z565" s="716" t="str">
        <f>HYPERLINK("https://www.klasekpyrotechnics.cz/c2525du")</f>
        <v>https://www.klasekpyrotechnics.cz/c2525du</v>
      </c>
      <c r="AA565" s="716">
        <f>IFERROR(IF(VLOOKUP(C565,[4]List1!$A:$D,4,FALSE)=0,"",VLOOKUP(C565,[4]List1!$A:$D,4,FALSE)),"")</f>
        <v>20</v>
      </c>
      <c r="AB565" s="720"/>
      <c r="AC565" s="739" t="str">
        <f>IFERROR(IF(VLOOKUP(C565,[1]List1!$A:$D,2,FALSE)="VYPRODÁNO",$V$9,IF(VLOOKUP(C565,[1]List1!$A:$D,2,FALSE)="DOCHÁZÍ",$V$3,VLOOKUP(C565,[1]List1!$A:$D,2,FALSE))),"OFFLINE!")</f>
        <v>SKLADEM</v>
      </c>
      <c r="AD565" s="740" t="str">
        <f ca="1">IF(AP565="NE",$V$10,IF(AC565=$V$3,IF(AQ565&lt;1,$V$8,$V$2&amp;" "&amp;AQ565&amp;" "&amp;$V$1),IF(AC565="SKLADEM",$V$6,IFERROR(IF(OR(AC565-TODAY()&gt;45,VLOOKUP(C565,[1]List1!$A:$E,4,FALSE)=0),AC565,DAY(AC565)&amp;"."&amp;MONTH(AC565)&amp;"."&amp;YEAR(AC565)&amp;" "&amp;$V$4&amp;VLOOKUP(C565,[1]List1!$A:$E,4,FALSE)&amp;" "&amp;$V$1),AC565))))</f>
        <v>SKLADEM</v>
      </c>
      <c r="AE565" s="716" t="str">
        <f t="shared" ca="1" si="1276"/>
        <v>SKLADEM</v>
      </c>
      <c r="AF565" s="723">
        <f t="shared" si="1277"/>
        <v>0</v>
      </c>
      <c r="AG565" s="723">
        <f t="shared" si="1278"/>
        <v>0</v>
      </c>
      <c r="AH565" s="724">
        <f t="shared" si="1279"/>
        <v>0</v>
      </c>
      <c r="AI565" s="716">
        <f t="shared" si="1280"/>
        <v>0</v>
      </c>
      <c r="AJ565" s="716">
        <f t="shared" si="1281"/>
        <v>0</v>
      </c>
      <c r="AK565" s="716" t="str">
        <f t="shared" si="1282"/>
        <v/>
      </c>
      <c r="AL565" s="716">
        <f t="shared" si="1283"/>
        <v>0</v>
      </c>
      <c r="AM565" s="716" t="str">
        <f t="shared" si="1284"/>
        <v/>
      </c>
      <c r="AN565" s="716">
        <f t="shared" si="1285"/>
        <v>0</v>
      </c>
      <c r="AO565" s="380"/>
      <c r="AP565" s="322" t="str">
        <f t="shared" si="1200"/>
        <v/>
      </c>
      <c r="AQ565" s="323" t="str">
        <f>IF(AC565=$V$3,IF(VLOOKUP(C565,[1]List1!$A:$E,5,FALSE)=0,1,VLOOKUP(C565,[1]List1!$A:$E,5,FALSE)),"")</f>
        <v/>
      </c>
      <c r="AR565" s="304" t="str">
        <f t="shared" si="1201"/>
        <v/>
      </c>
      <c r="AS565" s="423" t="str">
        <f t="shared" si="1202"/>
        <v/>
      </c>
      <c r="AT565" s="304" t="str">
        <f t="shared" si="1203"/>
        <v/>
      </c>
      <c r="AU565" s="342" t="e">
        <f t="shared" si="1204"/>
        <v>#N/A</v>
      </c>
      <c r="AV565" s="304" t="e">
        <f t="shared" si="1205"/>
        <v>#N/A</v>
      </c>
      <c r="AX565" s="304">
        <f>IF(AND('General price list'!$J565="F4",'General price list'!$AB565+0&gt;0),1,0)</f>
        <v>0</v>
      </c>
      <c r="AY565" s="304">
        <f t="shared" si="1206"/>
        <v>1</v>
      </c>
      <c r="AZ565" s="304">
        <f t="shared" si="1207"/>
        <v>0</v>
      </c>
    </row>
    <row r="566" spans="1:52" ht="15" customHeight="1">
      <c r="A566" s="725" t="str">
        <f>Kat.!C563</f>
        <v/>
      </c>
      <c r="B566" s="726">
        <f>IF(AND('General price list'!$J566="F4",$AI$1=FALSE),0,IF(AC566="SKLADEM",1,IF(AC566=$V$3,1,0)))</f>
        <v>1</v>
      </c>
      <c r="C566" s="727" t="s">
        <v>1306</v>
      </c>
      <c r="D566" s="728" t="s">
        <v>1307</v>
      </c>
      <c r="E566" s="729" t="s">
        <v>411</v>
      </c>
      <c r="F566" s="725">
        <f>IFERROR(ROUND(IF($AL$3=2,VLOOKUP(C566,[2]List1!$A:$D,2,FALSE)*1.08,VLOOKUP(C566,[2]List1!$A:$D,2,FALSE)),0),"NEUVEDENO!")</f>
        <v>329</v>
      </c>
      <c r="G566" s="730">
        <f t="shared" si="1272"/>
        <v>329</v>
      </c>
      <c r="H566" s="731">
        <f t="shared" si="1273"/>
        <v>13.369146934645597</v>
      </c>
      <c r="I566" s="732">
        <v>12</v>
      </c>
      <c r="J566" s="729" t="s">
        <v>46</v>
      </c>
      <c r="K566" s="729" t="s">
        <v>14734</v>
      </c>
      <c r="L566" s="729" t="s">
        <v>14386</v>
      </c>
      <c r="M566" s="729" t="s">
        <v>138</v>
      </c>
      <c r="N566" s="729">
        <f>IFERROR(VLOOKUP(C566,[3]List1!$A:$D,4,FALSE),"N/A!")</f>
        <v>4.7185875000000009E-2</v>
      </c>
      <c r="O566" s="729">
        <f>IFERROR(VLOOKUP(C566,[3]List1!$A:$D,3,FALSE),"N/A!")</f>
        <v>3900</v>
      </c>
      <c r="P566" s="729">
        <f>IFERROR(VLOOKUP(C566,[3]List1!$A:$D,2,FALSE),"N/A!")</f>
        <v>21000</v>
      </c>
      <c r="Q566" s="729" t="s">
        <v>14104</v>
      </c>
      <c r="R566" s="729" t="s">
        <v>24</v>
      </c>
      <c r="S566" s="729" t="str">
        <f>IF($W$17=$AF$1,"červená fólie",IFERROR(VLOOKUP("červená fólie",Jazyky_ceník!$A:$Q,MATCH($W$17,Jazyky_ceník!$A$1:$Q$1,0),FALSE),"!!!"))</f>
        <v>červená fólie</v>
      </c>
      <c r="T566" s="729">
        <v>30</v>
      </c>
      <c r="U566" s="729">
        <v>30</v>
      </c>
      <c r="V566" s="729">
        <v>22</v>
      </c>
      <c r="W566" s="729" t="str">
        <f>IFERROR(VLOOKUP('General price list'!$C566,Popisy!A:P,MATCH($W$17,Popisy!$A$7:$P$7,0),FALSE),"---------------")</f>
        <v>5 různobarevných efektů</v>
      </c>
      <c r="X566" s="729" t="str">
        <f t="shared" si="1274"/>
        <v/>
      </c>
      <c r="Y566" s="729" t="str">
        <f t="shared" si="1275"/>
        <v/>
      </c>
      <c r="Z566" s="729" t="str">
        <f>HYPERLINK("https://www.klasekpyrotechnics.cz/c2525c")</f>
        <v>https://www.klasekpyrotechnics.cz/c2525c</v>
      </c>
      <c r="AA566" s="729">
        <f>IFERROR(IF(VLOOKUP(C566,[4]List1!$A:$D,4,FALSE)=0,"",VLOOKUP(C566,[4]List1!$A:$D,4,FALSE)),"")</f>
        <v>20</v>
      </c>
      <c r="AB566" s="720"/>
      <c r="AC566" s="733" t="str">
        <f>IFERROR(IF(VLOOKUP(C566,[1]List1!$A:$D,2,FALSE)="VYPRODÁNO",$V$9,IF(VLOOKUP(C566,[1]List1!$A:$D,2,FALSE)="DOCHÁZÍ",$V$3,VLOOKUP(C566,[1]List1!$A:$D,2,FALSE))),"OFFLINE!")</f>
        <v>SKLADEM</v>
      </c>
      <c r="AD566" s="734" t="str">
        <f ca="1">IF(AP566="NE",$V$10,IF(AC566=$V$3,IF(AQ566&lt;1,$V$8,$V$2&amp;" "&amp;AQ566&amp;" "&amp;$V$1),IF(AC566="SKLADEM",$V$6,IFERROR(IF(OR(AC566-TODAY()&gt;45,VLOOKUP(C566,[1]List1!$A:$E,4,FALSE)=0),AC566,DAY(AC566)&amp;"."&amp;MONTH(AC566)&amp;"."&amp;YEAR(AC566)&amp;" "&amp;$V$4&amp;VLOOKUP(C566,[1]List1!$A:$E,4,FALSE)&amp;" "&amp;$V$1),AC566))))</f>
        <v>SKLADEM</v>
      </c>
      <c r="AE566" s="729" t="str">
        <f t="shared" ca="1" si="1276"/>
        <v>SKLADEM</v>
      </c>
      <c r="AF566" s="735">
        <f t="shared" si="1277"/>
        <v>0</v>
      </c>
      <c r="AG566" s="735">
        <f t="shared" si="1278"/>
        <v>0</v>
      </c>
      <c r="AH566" s="736">
        <f t="shared" si="1279"/>
        <v>0</v>
      </c>
      <c r="AI566" s="729">
        <f t="shared" si="1280"/>
        <v>0</v>
      </c>
      <c r="AJ566" s="729">
        <f t="shared" si="1281"/>
        <v>0</v>
      </c>
      <c r="AK566" s="729" t="str">
        <f t="shared" si="1282"/>
        <v/>
      </c>
      <c r="AL566" s="729">
        <f t="shared" si="1283"/>
        <v>0</v>
      </c>
      <c r="AM566" s="729" t="str">
        <f t="shared" si="1284"/>
        <v/>
      </c>
      <c r="AN566" s="729">
        <f t="shared" si="1285"/>
        <v>0</v>
      </c>
      <c r="AO566" s="380"/>
      <c r="AP566" s="322" t="str">
        <f t="shared" si="1200"/>
        <v/>
      </c>
      <c r="AQ566" s="323" t="str">
        <f>IF(AC566=$V$3,IF(VLOOKUP(C566,[1]List1!$A:$E,5,FALSE)=0,1,VLOOKUP(C566,[1]List1!$A:$E,5,FALSE)),"")</f>
        <v/>
      </c>
      <c r="AR566" s="304" t="str">
        <f t="shared" si="1201"/>
        <v/>
      </c>
      <c r="AS566" s="423" t="str">
        <f t="shared" si="1202"/>
        <v/>
      </c>
      <c r="AT566" s="304" t="str">
        <f t="shared" si="1203"/>
        <v/>
      </c>
      <c r="AU566" s="342" t="e">
        <f t="shared" si="1204"/>
        <v>#N/A</v>
      </c>
      <c r="AV566" s="304" t="e">
        <f t="shared" si="1205"/>
        <v>#N/A</v>
      </c>
      <c r="AX566" s="304">
        <f>IF(AND('General price list'!$J566="F4",'General price list'!$AB566+0&gt;0),1,0)</f>
        <v>0</v>
      </c>
      <c r="AY566" s="304">
        <f t="shared" si="1206"/>
        <v>1</v>
      </c>
      <c r="AZ566" s="304">
        <f t="shared" si="1207"/>
        <v>0</v>
      </c>
    </row>
    <row r="567" spans="1:52" ht="15" customHeight="1">
      <c r="A567" s="712" t="str">
        <f>Kat.!C564</f>
        <v/>
      </c>
      <c r="B567" s="737">
        <f>IF(AND('General price list'!$J567="F4",$AI$1=FALSE),0,IF(AC567="SKLADEM",1,IF(AC567=$V$3,1,0)))</f>
        <v>1</v>
      </c>
      <c r="C567" s="714" t="s">
        <v>1308</v>
      </c>
      <c r="D567" s="715" t="s">
        <v>1309</v>
      </c>
      <c r="E567" s="716" t="s">
        <v>411</v>
      </c>
      <c r="F567" s="712">
        <f>IFERROR(ROUND(IF($AL$3=2,VLOOKUP(C567,[2]List1!$A:$D,2,FALSE)*1.08,VLOOKUP(C567,[2]List1!$A:$D,2,FALSE)),0),"NEUVEDENO!")</f>
        <v>329</v>
      </c>
      <c r="G567" s="717">
        <f t="shared" si="1272"/>
        <v>329</v>
      </c>
      <c r="H567" s="718">
        <f t="shared" si="1273"/>
        <v>13.369146934645597</v>
      </c>
      <c r="I567" s="738">
        <v>12</v>
      </c>
      <c r="J567" s="716" t="s">
        <v>46</v>
      </c>
      <c r="K567" s="716" t="s">
        <v>14734</v>
      </c>
      <c r="L567" s="716" t="s">
        <v>14386</v>
      </c>
      <c r="M567" s="716" t="s">
        <v>138</v>
      </c>
      <c r="N567" s="716">
        <f>IFERROR(VLOOKUP(C567,[3]List1!$A:$D,4,FALSE),"N/A!")</f>
        <v>4.7185875000000009E-2</v>
      </c>
      <c r="O567" s="716">
        <f>IFERROR(VLOOKUP(C567,[3]List1!$A:$D,3,FALSE),"N/A!")</f>
        <v>3900</v>
      </c>
      <c r="P567" s="716">
        <f>IFERROR(VLOOKUP(C567,[3]List1!$A:$D,2,FALSE),"N/A!")</f>
        <v>21000</v>
      </c>
      <c r="Q567" s="716" t="s">
        <v>14197</v>
      </c>
      <c r="R567" s="716" t="s">
        <v>24</v>
      </c>
      <c r="S567" s="716" t="str">
        <f>IF($W$17=$AF$1,"design",IFERROR(VLOOKUP("design",Jazyky_ceník!$A:$Q,MATCH($W$17,Jazyky_ceník!$A$1:$Q$1,0),FALSE),"!!!"))</f>
        <v>design</v>
      </c>
      <c r="T567" s="716">
        <v>30</v>
      </c>
      <c r="U567" s="716">
        <v>30</v>
      </c>
      <c r="V567" s="716">
        <v>22</v>
      </c>
      <c r="W567" s="716" t="str">
        <f>IFERROR(VLOOKUP('General price list'!$C567,Popisy!A:P,MATCH($W$17,Popisy!$A$7:$P$7,0),FALSE),"---------------")</f>
        <v>5 různobarevných efektů</v>
      </c>
      <c r="X567" s="716" t="str">
        <f t="shared" si="1274"/>
        <v/>
      </c>
      <c r="Y567" s="716" t="str">
        <f t="shared" si="1275"/>
        <v/>
      </c>
      <c r="Z567" s="716" t="str">
        <f>HYPERLINK("https://www.klasekpyrotechnics.cz/c2525l")</f>
        <v>https://www.klasekpyrotechnics.cz/c2525l</v>
      </c>
      <c r="AA567" s="716">
        <f>IFERROR(IF(VLOOKUP(C567,[4]List1!$A:$D,4,FALSE)=0,"",VLOOKUP(C567,[4]List1!$A:$D,4,FALSE)),"")</f>
        <v>20</v>
      </c>
      <c r="AB567" s="720"/>
      <c r="AC567" s="739" t="str">
        <f>IFERROR(IF(VLOOKUP(C567,[1]List1!$A:$D,2,FALSE)="VYPRODÁNO",$V$9,IF(VLOOKUP(C567,[1]List1!$A:$D,2,FALSE)="DOCHÁZÍ",$V$3,VLOOKUP(C567,[1]List1!$A:$D,2,FALSE))),"OFFLINE!")</f>
        <v>SKLADEM</v>
      </c>
      <c r="AD567" s="740" t="str">
        <f ca="1">IF(AP567="NE",$V$10,IF(AC567=$V$3,IF(AQ567&lt;1,$V$8,$V$2&amp;" "&amp;AQ567&amp;" "&amp;$V$1),IF(AC567="SKLADEM",$V$6,IFERROR(IF(OR(AC567-TODAY()&gt;45,VLOOKUP(C567,[1]List1!$A:$E,4,FALSE)=0),AC567,DAY(AC567)&amp;"."&amp;MONTH(AC567)&amp;"."&amp;YEAR(AC567)&amp;" "&amp;$V$4&amp;VLOOKUP(C567,[1]List1!$A:$E,4,FALSE)&amp;" "&amp;$V$1),AC567))))</f>
        <v>SKLADEM</v>
      </c>
      <c r="AE567" s="716" t="str">
        <f t="shared" ca="1" si="1276"/>
        <v>SKLADEM</v>
      </c>
      <c r="AF567" s="723">
        <f t="shared" si="1277"/>
        <v>0</v>
      </c>
      <c r="AG567" s="723">
        <f t="shared" si="1278"/>
        <v>0</v>
      </c>
      <c r="AH567" s="724">
        <f t="shared" si="1279"/>
        <v>0</v>
      </c>
      <c r="AI567" s="716">
        <f t="shared" si="1280"/>
        <v>0</v>
      </c>
      <c r="AJ567" s="716">
        <f t="shared" si="1281"/>
        <v>0</v>
      </c>
      <c r="AK567" s="716" t="str">
        <f t="shared" si="1282"/>
        <v/>
      </c>
      <c r="AL567" s="716">
        <f t="shared" si="1283"/>
        <v>0</v>
      </c>
      <c r="AM567" s="716" t="str">
        <f t="shared" si="1284"/>
        <v/>
      </c>
      <c r="AN567" s="716">
        <f t="shared" si="1285"/>
        <v>0</v>
      </c>
      <c r="AO567" s="380"/>
      <c r="AP567" s="322" t="str">
        <f t="shared" si="1200"/>
        <v/>
      </c>
      <c r="AQ567" s="323" t="str">
        <f>IF(AC567=$V$3,IF(VLOOKUP(C567,[1]List1!$A:$E,5,FALSE)=0,1,VLOOKUP(C567,[1]List1!$A:$E,5,FALSE)),"")</f>
        <v/>
      </c>
      <c r="AR567" s="304" t="str">
        <f t="shared" si="1201"/>
        <v/>
      </c>
      <c r="AS567" s="423" t="str">
        <f t="shared" si="1202"/>
        <v/>
      </c>
      <c r="AT567" s="304" t="str">
        <f t="shared" si="1203"/>
        <v/>
      </c>
      <c r="AU567" s="342" t="e">
        <f t="shared" si="1204"/>
        <v>#N/A</v>
      </c>
      <c r="AV567" s="304" t="e">
        <f t="shared" si="1205"/>
        <v>#N/A</v>
      </c>
      <c r="AX567" s="304">
        <f>IF(AND('General price list'!$J567="F4",'General price list'!$AB567+0&gt;0),1,0)</f>
        <v>0</v>
      </c>
      <c r="AY567" s="304">
        <f t="shared" si="1206"/>
        <v>1</v>
      </c>
      <c r="AZ567" s="304">
        <f t="shared" si="1207"/>
        <v>0</v>
      </c>
    </row>
    <row r="568" spans="1:52" ht="15" customHeight="1">
      <c r="A568" s="773" t="str">
        <f>Kat.!C565</f>
        <v xml:space="preserve">                                                               Baterie 25ran, 25mm moždíř-1.4G</v>
      </c>
      <c r="B568" s="774"/>
      <c r="C568" s="774"/>
      <c r="D568" s="774"/>
      <c r="E568" s="774"/>
      <c r="F568" s="774"/>
      <c r="G568" s="774"/>
      <c r="H568" s="774"/>
      <c r="I568" s="774"/>
      <c r="J568" s="774"/>
      <c r="K568" s="774"/>
      <c r="L568" s="774"/>
      <c r="M568" s="774"/>
      <c r="N568" s="774"/>
      <c r="O568" s="774"/>
      <c r="P568" s="774"/>
      <c r="Q568" s="774"/>
      <c r="R568" s="774"/>
      <c r="S568" s="774"/>
      <c r="T568" s="774"/>
      <c r="U568" s="774"/>
      <c r="V568" s="774"/>
      <c r="W568" s="774"/>
      <c r="X568" s="774"/>
      <c r="Y568" s="774"/>
      <c r="Z568" s="774"/>
      <c r="AA568" s="774" t="str">
        <f>IFERROR(IF(VLOOKUP(C568,[4]List1!$A:$D,4,FALSE)=0,"",VLOOKUP(C568,[4]List1!$A:$D,4,FALSE)),"")</f>
        <v/>
      </c>
      <c r="AB568" s="774"/>
      <c r="AC568" s="775" t="str">
        <f>IFERROR(IF(VLOOKUP(C568,[1]List1!$A:$D,2,FALSE)="VYPRODÁNO",$V$9,IF(VLOOKUP(C568,[1]List1!$A:$D,2,FALSE)="DOCHÁZÍ",$V$3,VLOOKUP(C568,[1]List1!$A:$D,2,FALSE))),"OFFLINE!")</f>
        <v>OFFLINE!</v>
      </c>
      <c r="AD568" s="774"/>
      <c r="AE568" s="774"/>
      <c r="AF568" s="774"/>
      <c r="AG568" s="774"/>
      <c r="AH568" s="774"/>
      <c r="AI568" s="774"/>
      <c r="AJ568" s="774"/>
      <c r="AK568" s="774"/>
      <c r="AL568" s="774"/>
      <c r="AM568" s="774"/>
      <c r="AN568" s="774"/>
      <c r="AO568" s="380"/>
      <c r="AP568" s="322" t="str">
        <f t="shared" si="1200"/>
        <v/>
      </c>
      <c r="AQ568" s="323" t="str">
        <f>IF(AC568=$V$3,IF(VLOOKUP(C568,[1]List1!$A:$E,5,FALSE)=0,1,VLOOKUP(C568,[1]List1!$A:$E,5,FALSE)),"")</f>
        <v/>
      </c>
      <c r="AR568" s="304" t="str">
        <f t="shared" si="1201"/>
        <v/>
      </c>
      <c r="AS568" s="423" t="str">
        <f t="shared" si="1202"/>
        <v/>
      </c>
      <c r="AT568" s="304" t="str">
        <f t="shared" si="1203"/>
        <v/>
      </c>
      <c r="AU568" s="342" t="e">
        <f t="shared" si="1204"/>
        <v>#N/A</v>
      </c>
      <c r="AV568" s="304" t="e">
        <f t="shared" si="1205"/>
        <v>#N/A</v>
      </c>
      <c r="AX568" s="304">
        <f>IF(AND('General price list'!$J568="F4",'General price list'!$AB568+0&gt;0),1,0)</f>
        <v>0</v>
      </c>
      <c r="AY568" s="304">
        <f t="shared" si="1206"/>
        <v>0</v>
      </c>
      <c r="AZ568" s="304">
        <f t="shared" si="1207"/>
        <v>0</v>
      </c>
    </row>
    <row r="569" spans="1:52" ht="15" customHeight="1">
      <c r="A569" s="712" t="str">
        <f>Kat.!C566</f>
        <v/>
      </c>
      <c r="B569" s="713">
        <f>IF(AND('General price list'!$J569="F4",$AI$1=FALSE),0,IF(AC569="SKLADEM",1,IF(AC569=$V$3,1,0)))</f>
        <v>0</v>
      </c>
      <c r="C569" s="714" t="s">
        <v>2546</v>
      </c>
      <c r="D569" s="715" t="s">
        <v>12846</v>
      </c>
      <c r="E569" s="716" t="s">
        <v>435</v>
      </c>
      <c r="F569" s="712">
        <f>IFERROR(ROUND(IF($AL$3=2,VLOOKUP(C569,[2]List1!$A:$D,2,FALSE)*1.08,VLOOKUP(C569,[2]List1!$A:$D,2,FALSE)),0),"NEUVEDENO!")</f>
        <v>680</v>
      </c>
      <c r="G569" s="717">
        <f>(F569)*$B$19</f>
        <v>680</v>
      </c>
      <c r="H569" s="718">
        <f>G569/$F$19</f>
        <v>27.632279378598803</v>
      </c>
      <c r="I569" s="719">
        <v>8</v>
      </c>
      <c r="J569" s="716" t="s">
        <v>46</v>
      </c>
      <c r="K569" s="716"/>
      <c r="L569" s="716"/>
      <c r="M569" s="716" t="s">
        <v>25</v>
      </c>
      <c r="N569" s="716">
        <f>IFERROR(VLOOKUP(C569,[3]List1!$A:$D,4,FALSE),"N/A!")</f>
        <v>3.7392000000000002E-2</v>
      </c>
      <c r="O569" s="716">
        <f>IFERROR(VLOOKUP(C569,[3]List1!$A:$D,3,FALSE),"N/A!")</f>
        <v>2000</v>
      </c>
      <c r="P569" s="716">
        <f>IFERROR(VLOOKUP(C569,[3]List1!$A:$D,2,FALSE),"N/A!")</f>
        <v>18500</v>
      </c>
      <c r="Q569" s="716" t="s">
        <v>14332</v>
      </c>
      <c r="R569" s="716" t="s">
        <v>24</v>
      </c>
      <c r="S569" s="716" t="str">
        <f>IF($W$17=$AF$1,"design",IFERROR(VLOOKUP("design",Jazyky_ceník!$A:$Q,MATCH($W$17,Jazyky_ceník!$A$1:$Q$1,0),FALSE),"!!!"))</f>
        <v>design</v>
      </c>
      <c r="T569" s="716">
        <v>35</v>
      </c>
      <c r="U569" s="716"/>
      <c r="V569" s="716"/>
      <c r="W569" s="716" t="str">
        <f>IFERROR(VLOOKUP('General price list'!$C569,Popisy!A:P,MATCH($W$17,Popisy!$A$7:$P$7,0),FALSE),"---------------")</f>
        <v xml:space="preserve">pískající kometa  </v>
      </c>
      <c r="X569" s="716" t="str">
        <f>IF(AB569&lt;0.0001,"",AB569)</f>
        <v/>
      </c>
      <c r="Y569" s="716" t="str">
        <f>IF($AL$3=2,IF(OR(AB569&lt;&gt;"",AB569&lt;&gt;0),AU569,""),IF(C569="","",IF(AB569&lt;0.0001,"",IF(B569=0,"",IF(AQ569&lt;AB569,"",AB569)))))</f>
        <v/>
      </c>
      <c r="Z569" s="716" t="str">
        <f>HYPERLINK("https://www.klasekpyrotechnics.cz/c2525sc14")</f>
        <v>https://www.klasekpyrotechnics.cz/c2525sc14</v>
      </c>
      <c r="AA569" s="716">
        <f>IFERROR(IF(VLOOKUP(C569,[4]List1!$A:$D,4,FALSE)=0,"",VLOOKUP(C569,[4]List1!$A:$D,4,FALSE)),"")</f>
        <v>16</v>
      </c>
      <c r="AB569" s="720"/>
      <c r="AC569" s="721" t="str">
        <f>IFERROR(IF(VLOOKUP(C569,[1]List1!$A:$D,2,FALSE)="VYPRODÁNO",$V$9,IF(VLOOKUP(C569,[1]List1!$A:$D,2,FALSE)="DOCHÁZÍ",$V$3,VLOOKUP(C569,[1]List1!$A:$D,2,FALSE))),"OFFLINE!")</f>
        <v>VYPRODÁNO</v>
      </c>
      <c r="AD569" s="722" t="str">
        <f ca="1">IF(AP569="NE",$V$10,IF(AC569=$V$3,IF(AQ569&lt;1,$V$8,$V$2&amp;" "&amp;AQ569&amp;" "&amp;$V$1),IF(AC569="SKLADEM",$V$6,IFERROR(IF(OR(AC569-TODAY()&gt;45,VLOOKUP(C569,[1]List1!$A:$E,4,FALSE)=0),AC569,DAY(AC569)&amp;"."&amp;MONTH(AC569)&amp;"."&amp;YEAR(AC569)&amp;" "&amp;$V$4&amp;VLOOKUP(C569,[1]List1!$A:$E,4,FALSE)&amp;" "&amp;$V$1),AC569))))</f>
        <v>VYPRODÁNO</v>
      </c>
      <c r="AE569" s="716" t="str">
        <f t="shared" ref="AE569" ca="1" si="1286">IFERROR(IF(AV569&lt;&gt;"",AV569,AD569),AD569)</f>
        <v>VYPRODÁNO</v>
      </c>
      <c r="AF569" s="723">
        <f t="shared" ref="AF569" si="1287">IFERROR(IF(AB569=Y569,G569*I569*Y569,0),0)</f>
        <v>0</v>
      </c>
      <c r="AG569" s="723">
        <f t="shared" ref="AG569" si="1288">IF($W$17=$AF$8,AH569*1.23,AF569*1.21)</f>
        <v>0</v>
      </c>
      <c r="AH569" s="724">
        <f t="shared" ref="AH569" si="1289">IFERROR(IF(Y569=AB569,H569*I569*Y569,0),0)</f>
        <v>0</v>
      </c>
      <c r="AI569" s="716">
        <f t="shared" ref="AI569" si="1290">IFERROR(IF(Y569=AB569,(P569*Y569)/1000,1),0)</f>
        <v>0</v>
      </c>
      <c r="AJ569" s="716">
        <f t="shared" ref="AJ569" si="1291">IFERROR(IF(Y569=AB569,N569*Y569,0.1),0)</f>
        <v>0</v>
      </c>
      <c r="AK569" s="716" t="str">
        <f t="shared" ref="AK569" si="1292">IFERROR(IF(Y569=AB569,IF(M569="1.1G",(O569/1000)*Y569,""),""),0)</f>
        <v/>
      </c>
      <c r="AL569" s="716" t="str">
        <f t="shared" ref="AL569" si="1293">IFERROR(IF(Y569=AB569,IF(M569="1.3G",(O569/1000)*AB569,""),""),0)</f>
        <v/>
      </c>
      <c r="AM569" s="716">
        <f t="shared" ref="AM569" si="1294">IFERROR(IF(Y569=AB569,IF(M569="1.4G",(O569/1000)*AB569,""),""),0)</f>
        <v>0</v>
      </c>
      <c r="AN569" s="716">
        <f t="shared" ref="AN569" si="1295">SUM(AK569:AM569)</f>
        <v>0</v>
      </c>
      <c r="AO569" s="380"/>
      <c r="AP569" s="322" t="str">
        <f t="shared" si="1200"/>
        <v/>
      </c>
      <c r="AQ569" s="323" t="str">
        <f>IF(AC569=$V$3,IF(VLOOKUP(C569,[1]List1!$A:$E,5,FALSE)=0,1,VLOOKUP(C569,[1]List1!$A:$E,5,FALSE)),"")</f>
        <v/>
      </c>
      <c r="AR569" s="304" t="str">
        <f t="shared" si="1201"/>
        <v/>
      </c>
      <c r="AS569" s="423" t="str">
        <f t="shared" si="1202"/>
        <v/>
      </c>
      <c r="AT569" s="304" t="str">
        <f t="shared" si="1203"/>
        <v/>
      </c>
      <c r="AU569" s="342" t="e">
        <f t="shared" si="1204"/>
        <v>#N/A</v>
      </c>
      <c r="AV569" s="304" t="e">
        <f t="shared" si="1205"/>
        <v>#N/A</v>
      </c>
      <c r="AX569" s="304">
        <f>IF(AND('General price list'!$J569="F4",'General price list'!$AB569+0&gt;0),1,0)</f>
        <v>0</v>
      </c>
      <c r="AY569" s="304">
        <f t="shared" si="1206"/>
        <v>1</v>
      </c>
      <c r="AZ569" s="304">
        <f t="shared" si="1207"/>
        <v>0</v>
      </c>
    </row>
    <row r="570" spans="1:52" ht="15" customHeight="1">
      <c r="A570" s="773" t="str">
        <f>Kat.!C567</f>
        <v xml:space="preserve">                                                               Baterie 25ran, 25mm šíkmý moždíř-1.3G</v>
      </c>
      <c r="B570" s="774"/>
      <c r="C570" s="774"/>
      <c r="D570" s="774"/>
      <c r="E570" s="774"/>
      <c r="F570" s="774"/>
      <c r="G570" s="774"/>
      <c r="H570" s="774"/>
      <c r="I570" s="774"/>
      <c r="J570" s="774"/>
      <c r="K570" s="774"/>
      <c r="L570" s="774"/>
      <c r="M570" s="774"/>
      <c r="N570" s="774"/>
      <c r="O570" s="774"/>
      <c r="P570" s="774"/>
      <c r="Q570" s="774"/>
      <c r="R570" s="774"/>
      <c r="S570" s="774"/>
      <c r="T570" s="774"/>
      <c r="U570" s="774"/>
      <c r="V570" s="774"/>
      <c r="W570" s="774"/>
      <c r="X570" s="774"/>
      <c r="Y570" s="774"/>
      <c r="Z570" s="774"/>
      <c r="AA570" s="774" t="str">
        <f>IFERROR(IF(VLOOKUP(C570,[4]List1!$A:$D,4,FALSE)=0,"",VLOOKUP(C570,[4]List1!$A:$D,4,FALSE)),"")</f>
        <v/>
      </c>
      <c r="AB570" s="774"/>
      <c r="AC570" s="775" t="str">
        <f>IFERROR(IF(VLOOKUP(C570,[1]List1!$A:$D,2,FALSE)="VYPRODÁNO",$V$9,IF(VLOOKUP(C570,[1]List1!$A:$D,2,FALSE)="DOCHÁZÍ",$V$3,VLOOKUP(C570,[1]List1!$A:$D,2,FALSE))),"OFFLINE!")</f>
        <v>OFFLINE!</v>
      </c>
      <c r="AD570" s="774"/>
      <c r="AE570" s="774"/>
      <c r="AF570" s="774"/>
      <c r="AG570" s="774"/>
      <c r="AH570" s="774"/>
      <c r="AI570" s="774"/>
      <c r="AJ570" s="774"/>
      <c r="AK570" s="774"/>
      <c r="AL570" s="774"/>
      <c r="AM570" s="774"/>
      <c r="AN570" s="774"/>
      <c r="AO570" s="380"/>
      <c r="AP570" s="322" t="str">
        <f t="shared" si="1200"/>
        <v/>
      </c>
      <c r="AQ570" s="323" t="str">
        <f>IF(AC570=$V$3,IF(VLOOKUP(C570,[1]List1!$A:$E,5,FALSE)=0,1,VLOOKUP(C570,[1]List1!$A:$E,5,FALSE)),"")</f>
        <v/>
      </c>
      <c r="AR570" s="304" t="str">
        <f t="shared" si="1201"/>
        <v/>
      </c>
      <c r="AS570" s="423" t="str">
        <f t="shared" si="1202"/>
        <v/>
      </c>
      <c r="AT570" s="304" t="str">
        <f t="shared" si="1203"/>
        <v/>
      </c>
      <c r="AU570" s="342" t="e">
        <f t="shared" si="1204"/>
        <v>#N/A</v>
      </c>
      <c r="AV570" s="304" t="e">
        <f t="shared" si="1205"/>
        <v>#N/A</v>
      </c>
      <c r="AX570" s="304">
        <f>IF(AND('General price list'!$J570="F4",'General price list'!$AB570+0&gt;0),1,0)</f>
        <v>0</v>
      </c>
      <c r="AY570" s="304">
        <f t="shared" si="1206"/>
        <v>0</v>
      </c>
      <c r="AZ570" s="304">
        <f t="shared" si="1207"/>
        <v>0</v>
      </c>
    </row>
    <row r="571" spans="1:52" ht="15" customHeight="1">
      <c r="A571" s="712" t="str">
        <f>Kat.!C568</f>
        <v/>
      </c>
      <c r="B571" s="713">
        <f>IF(AND('General price list'!$J571="F4",$AI$1=FALSE),0,IF(AC571="SKLADEM",1,IF(AC571=$V$3,1,0)))</f>
        <v>1</v>
      </c>
      <c r="C571" s="714" t="s">
        <v>1310</v>
      </c>
      <c r="D571" s="715" t="s">
        <v>1311</v>
      </c>
      <c r="E571" s="716" t="s">
        <v>1312</v>
      </c>
      <c r="F571" s="712">
        <f>IFERROR(ROUND(IF($AL$3=2,VLOOKUP(C571,[2]List1!$A:$D,2,FALSE)*1.08,VLOOKUP(C571,[2]List1!$A:$D,2,FALSE)),0),"NEUVEDENO!")</f>
        <v>414</v>
      </c>
      <c r="G571" s="717">
        <f t="shared" ref="G571:G573" si="1296">(F571)*$B$19</f>
        <v>414</v>
      </c>
      <c r="H571" s="718">
        <f t="shared" ref="H571:H573" si="1297">G571/$F$19</f>
        <v>16.823181856970447</v>
      </c>
      <c r="I571" s="719">
        <v>10</v>
      </c>
      <c r="J571" s="716" t="s">
        <v>46</v>
      </c>
      <c r="K571" s="716" t="s">
        <v>14734</v>
      </c>
      <c r="L571" s="716" t="s">
        <v>14386</v>
      </c>
      <c r="M571" s="716" t="s">
        <v>138</v>
      </c>
      <c r="N571" s="716">
        <f>IFERROR(VLOOKUP(C571,[3]List1!$A:$D,4,FALSE),"N/A!")</f>
        <v>7.3631250000000009E-2</v>
      </c>
      <c r="O571" s="716">
        <f>IFERROR(VLOOKUP(C571,[3]List1!$A:$D,3,FALSE),"N/A!")</f>
        <v>3250</v>
      </c>
      <c r="P571" s="716">
        <f>IFERROR(VLOOKUP(C571,[3]List1!$A:$D,2,FALSE),"N/A!")</f>
        <v>19500</v>
      </c>
      <c r="Q571" s="716" t="s">
        <v>1315</v>
      </c>
      <c r="R571" s="716" t="s">
        <v>24</v>
      </c>
      <c r="S571" s="716" t="str">
        <f>IF($W$17=$AF$1,"design",IFERROR(VLOOKUP("design",Jazyky_ceník!$A:$Q,MATCH($W$17,Jazyky_ceník!$A$1:$Q$1,0),FALSE),"!!!"))</f>
        <v>design</v>
      </c>
      <c r="T571" s="716">
        <v>30</v>
      </c>
      <c r="U571" s="716">
        <v>30</v>
      </c>
      <c r="V571" s="716">
        <v>22</v>
      </c>
      <c r="W571" s="716" t="str">
        <f>IFERROR(VLOOKUP('General price list'!$C571,Popisy!A:P,MATCH($W$17,Popisy!$A$7:$P$7,0),FALSE),"---------------")</f>
        <v>5 různobarevných efektů</v>
      </c>
      <c r="X571" s="716" t="str">
        <f t="shared" ref="X571:X573" si="1298">IF(AB571&lt;0.0001,"",AB571)</f>
        <v/>
      </c>
      <c r="Y571" s="716" t="str">
        <f t="shared" ref="Y571:Y573" si="1299">IF($AL$3=2,IF(OR(AB571&lt;&gt;"",AB571&lt;&gt;0),AU571,""),IF(C571="","",IF(AB571&lt;0.0001,"",IF(B571=0,"",IF(AQ571&lt;AB571,"",AB571)))))</f>
        <v/>
      </c>
      <c r="Z571" s="716" t="str">
        <f>HYPERLINK("https://www.klasekpyrotechnics.cz/cf2525d")</f>
        <v>https://www.klasekpyrotechnics.cz/cf2525d</v>
      </c>
      <c r="AA571" s="716" t="str">
        <f>IFERROR(IF(VLOOKUP(C571,[4]List1!$A:$D,4,FALSE)=0,"",VLOOKUP(C571,[4]List1!$A:$D,4,FALSE)),"")</f>
        <v>20</v>
      </c>
      <c r="AB571" s="720"/>
      <c r="AC571" s="721" t="str">
        <f>IFERROR(IF(VLOOKUP(C571,[1]List1!$A:$D,2,FALSE)="VYPRODÁNO",$V$9,IF(VLOOKUP(C571,[1]List1!$A:$D,2,FALSE)="DOCHÁZÍ",$V$3,VLOOKUP(C571,[1]List1!$A:$D,2,FALSE))),"OFFLINE!")</f>
        <v>SKLADEM</v>
      </c>
      <c r="AD571" s="722" t="str">
        <f ca="1">IF(AP571="NE",$V$10,IF(AC571=$V$3,IF(AQ571&lt;1,$V$8,$V$2&amp;" "&amp;AQ571&amp;" "&amp;$V$1),IF(AC571="SKLADEM",$V$6,IFERROR(IF(OR(AC571-TODAY()&gt;45,VLOOKUP(C571,[1]List1!$A:$E,4,FALSE)=0),AC571,DAY(AC571)&amp;"."&amp;MONTH(AC571)&amp;"."&amp;YEAR(AC571)&amp;" "&amp;$V$4&amp;VLOOKUP(C571,[1]List1!$A:$E,4,FALSE)&amp;" "&amp;$V$1),AC571))))</f>
        <v>SKLADEM</v>
      </c>
      <c r="AE571" s="716" t="str">
        <f t="shared" ref="AE571:AE573" ca="1" si="1300">IFERROR(IF(AV571&lt;&gt;"",AV571,AD571),AD571)</f>
        <v>SKLADEM</v>
      </c>
      <c r="AF571" s="723">
        <f t="shared" ref="AF571:AF573" si="1301">IFERROR(IF(AB571=Y571,G571*I571*Y571,0),0)</f>
        <v>0</v>
      </c>
      <c r="AG571" s="723">
        <f t="shared" ref="AG571:AG573" si="1302">IF($W$17=$AF$8,AH571*1.23,AF571*1.21)</f>
        <v>0</v>
      </c>
      <c r="AH571" s="724">
        <f t="shared" ref="AH571:AH573" si="1303">IFERROR(IF(Y571=AB571,H571*I571*Y571,0),0)</f>
        <v>0</v>
      </c>
      <c r="AI571" s="716">
        <f t="shared" ref="AI571:AI573" si="1304">IFERROR(IF(Y571=AB571,(P571*Y571)/1000,1),0)</f>
        <v>0</v>
      </c>
      <c r="AJ571" s="716">
        <f t="shared" ref="AJ571:AJ573" si="1305">IFERROR(IF(Y571=AB571,N571*Y571,0.1),0)</f>
        <v>0</v>
      </c>
      <c r="AK571" s="716" t="str">
        <f t="shared" ref="AK571:AK573" si="1306">IFERROR(IF(Y571=AB571,IF(M571="1.1G",(O571/1000)*Y571,""),""),0)</f>
        <v/>
      </c>
      <c r="AL571" s="716">
        <f t="shared" ref="AL571:AL573" si="1307">IFERROR(IF(Y571=AB571,IF(M571="1.3G",(O571/1000)*AB571,""),""),0)</f>
        <v>0</v>
      </c>
      <c r="AM571" s="716" t="str">
        <f t="shared" ref="AM571:AM573" si="1308">IFERROR(IF(Y571=AB571,IF(M571="1.4G",(O571/1000)*AB571,""),""),0)</f>
        <v/>
      </c>
      <c r="AN571" s="716">
        <f t="shared" ref="AN571:AN573" si="1309">SUM(AK571:AM571)</f>
        <v>0</v>
      </c>
      <c r="AO571" s="380"/>
      <c r="AP571" s="322" t="str">
        <f t="shared" si="1200"/>
        <v/>
      </c>
      <c r="AQ571" s="323" t="str">
        <f>IF(AC571=$V$3,IF(VLOOKUP(C571,[1]List1!$A:$E,5,FALSE)=0,1,VLOOKUP(C571,[1]List1!$A:$E,5,FALSE)),"")</f>
        <v/>
      </c>
      <c r="AR571" s="304" t="str">
        <f t="shared" si="1201"/>
        <v/>
      </c>
      <c r="AS571" s="423" t="str">
        <f t="shared" si="1202"/>
        <v/>
      </c>
      <c r="AT571" s="304" t="str">
        <f t="shared" si="1203"/>
        <v/>
      </c>
      <c r="AU571" s="342" t="e">
        <f t="shared" si="1204"/>
        <v>#N/A</v>
      </c>
      <c r="AV571" s="304" t="e">
        <f t="shared" si="1205"/>
        <v>#N/A</v>
      </c>
      <c r="AX571" s="304">
        <f>IF(AND('General price list'!$J571="F4",'General price list'!$AB571+0&gt;0),1,0)</f>
        <v>0</v>
      </c>
      <c r="AY571" s="304">
        <f t="shared" si="1206"/>
        <v>1</v>
      </c>
      <c r="AZ571" s="304">
        <f t="shared" si="1207"/>
        <v>0</v>
      </c>
    </row>
    <row r="572" spans="1:52" ht="15" customHeight="1">
      <c r="A572" s="725" t="str">
        <f>Kat.!C569</f>
        <v/>
      </c>
      <c r="B572" s="726">
        <f>IF(AND('General price list'!$J572="F4",$AI$1=FALSE),0,IF(AC572="SKLADEM",1,IF(AC572=$V$3,1,0)))</f>
        <v>1</v>
      </c>
      <c r="C572" s="727" t="s">
        <v>1313</v>
      </c>
      <c r="D572" s="728" t="s">
        <v>1314</v>
      </c>
      <c r="E572" s="729" t="s">
        <v>1312</v>
      </c>
      <c r="F572" s="725">
        <f>IFERROR(ROUND(IF($AL$3=2,VLOOKUP(C572,[2]List1!$A:$D,2,FALSE)*1.08,VLOOKUP(C572,[2]List1!$A:$D,2,FALSE)),0),"NEUVEDENO!")</f>
        <v>414</v>
      </c>
      <c r="G572" s="730">
        <f t="shared" si="1296"/>
        <v>414</v>
      </c>
      <c r="H572" s="731">
        <f t="shared" si="1297"/>
        <v>16.823181856970447</v>
      </c>
      <c r="I572" s="732">
        <v>10</v>
      </c>
      <c r="J572" s="729" t="s">
        <v>46</v>
      </c>
      <c r="K572" s="729" t="s">
        <v>14734</v>
      </c>
      <c r="L572" s="729" t="s">
        <v>14386</v>
      </c>
      <c r="M572" s="729" t="s">
        <v>138</v>
      </c>
      <c r="N572" s="729">
        <f>IFERROR(VLOOKUP(C572,[3]List1!$A:$D,4,FALSE),"N/A!")</f>
        <v>7.3631250000000009E-2</v>
      </c>
      <c r="O572" s="729">
        <f>IFERROR(VLOOKUP(C572,[3]List1!$A:$D,3,FALSE),"N/A!")</f>
        <v>3250</v>
      </c>
      <c r="P572" s="729">
        <f>IFERROR(VLOOKUP(C572,[3]List1!$A:$D,2,FALSE),"N/A!")</f>
        <v>19500</v>
      </c>
      <c r="Q572" s="729" t="s">
        <v>1315</v>
      </c>
      <c r="R572" s="729" t="s">
        <v>24</v>
      </c>
      <c r="S572" s="729" t="str">
        <f>IF($W$17=$AF$1,"design",IFERROR(VLOOKUP("design",Jazyky_ceník!$A:$Q,MATCH($W$17,Jazyky_ceník!$A$1:$Q$1,0),FALSE),"!!!"))</f>
        <v>design</v>
      </c>
      <c r="T572" s="729">
        <v>30</v>
      </c>
      <c r="U572" s="729">
        <v>30</v>
      </c>
      <c r="V572" s="729">
        <v>22</v>
      </c>
      <c r="W572" s="729" t="str">
        <f>IFERROR(VLOOKUP('General price list'!$C572,Popisy!A:P,MATCH($W$17,Popisy!$A$7:$P$7,0),FALSE),"---------------")</f>
        <v>5 různobarevných efektů</v>
      </c>
      <c r="X572" s="729" t="str">
        <f t="shared" si="1298"/>
        <v/>
      </c>
      <c r="Y572" s="729" t="str">
        <f t="shared" si="1299"/>
        <v/>
      </c>
      <c r="Z572" s="729" t="str">
        <f>HYPERLINK("https://www.klasekpyrotechnics.cz/cf2525o")</f>
        <v>https://www.klasekpyrotechnics.cz/cf2525o</v>
      </c>
      <c r="AA572" s="729" t="str">
        <f>IFERROR(IF(VLOOKUP(C572,[4]List1!$A:$D,4,FALSE)=0,"",VLOOKUP(C572,[4]List1!$A:$D,4,FALSE)),"")</f>
        <v>20</v>
      </c>
      <c r="AB572" s="720"/>
      <c r="AC572" s="733" t="str">
        <f>IFERROR(IF(VLOOKUP(C572,[1]List1!$A:$D,2,FALSE)="VYPRODÁNO",$V$9,IF(VLOOKUP(C572,[1]List1!$A:$D,2,FALSE)="DOCHÁZÍ",$V$3,VLOOKUP(C572,[1]List1!$A:$D,2,FALSE))),"OFFLINE!")</f>
        <v>SKLADEM</v>
      </c>
      <c r="AD572" s="734" t="str">
        <f ca="1">IF(AP572="NE",$V$10,IF(AC572=$V$3,IF(AQ572&lt;1,$V$8,$V$2&amp;" "&amp;AQ572&amp;" "&amp;$V$1),IF(AC572="SKLADEM",$V$6,IFERROR(IF(OR(AC572-TODAY()&gt;45,VLOOKUP(C572,[1]List1!$A:$E,4,FALSE)=0),AC572,DAY(AC572)&amp;"."&amp;MONTH(AC572)&amp;"."&amp;YEAR(AC572)&amp;" "&amp;$V$4&amp;VLOOKUP(C572,[1]List1!$A:$E,4,FALSE)&amp;" "&amp;$V$1),AC572))))</f>
        <v>SKLADEM</v>
      </c>
      <c r="AE572" s="729" t="str">
        <f t="shared" ca="1" si="1300"/>
        <v>SKLADEM</v>
      </c>
      <c r="AF572" s="735">
        <f t="shared" si="1301"/>
        <v>0</v>
      </c>
      <c r="AG572" s="735">
        <f t="shared" si="1302"/>
        <v>0</v>
      </c>
      <c r="AH572" s="736">
        <f t="shared" si="1303"/>
        <v>0</v>
      </c>
      <c r="AI572" s="729">
        <f t="shared" si="1304"/>
        <v>0</v>
      </c>
      <c r="AJ572" s="729">
        <f t="shared" si="1305"/>
        <v>0</v>
      </c>
      <c r="AK572" s="729" t="str">
        <f t="shared" si="1306"/>
        <v/>
      </c>
      <c r="AL572" s="729">
        <f t="shared" si="1307"/>
        <v>0</v>
      </c>
      <c r="AM572" s="729" t="str">
        <f t="shared" si="1308"/>
        <v/>
      </c>
      <c r="AN572" s="729">
        <f t="shared" si="1309"/>
        <v>0</v>
      </c>
      <c r="AO572" s="380"/>
      <c r="AP572" s="322" t="str">
        <f t="shared" si="1200"/>
        <v/>
      </c>
      <c r="AQ572" s="323" t="str">
        <f>IF(AC572=$V$3,IF(VLOOKUP(C572,[1]List1!$A:$E,5,FALSE)=0,1,VLOOKUP(C572,[1]List1!$A:$E,5,FALSE)),"")</f>
        <v/>
      </c>
      <c r="AR572" s="304" t="str">
        <f t="shared" si="1201"/>
        <v/>
      </c>
      <c r="AS572" s="423" t="str">
        <f t="shared" si="1202"/>
        <v/>
      </c>
      <c r="AT572" s="304" t="str">
        <f t="shared" si="1203"/>
        <v/>
      </c>
      <c r="AU572" s="342" t="e">
        <f t="shared" si="1204"/>
        <v>#N/A</v>
      </c>
      <c r="AV572" s="304" t="e">
        <f t="shared" si="1205"/>
        <v>#N/A</v>
      </c>
      <c r="AX572" s="304">
        <f>IF(AND('General price list'!$J572="F4",'General price list'!$AB572+0&gt;0),1,0)</f>
        <v>0</v>
      </c>
      <c r="AY572" s="304">
        <f t="shared" si="1206"/>
        <v>1</v>
      </c>
      <c r="AZ572" s="304">
        <f t="shared" si="1207"/>
        <v>0</v>
      </c>
    </row>
    <row r="573" spans="1:52" ht="15" customHeight="1">
      <c r="A573" s="712" t="str">
        <f>Kat.!C570</f>
        <v/>
      </c>
      <c r="B573" s="737">
        <f>IF(AND('General price list'!$J573="F4",$AI$1=FALSE),0,IF(AC573="SKLADEM",1,IF(AC573=$V$3,1,0)))</f>
        <v>1</v>
      </c>
      <c r="C573" s="714" t="s">
        <v>1316</v>
      </c>
      <c r="D573" s="715" t="s">
        <v>1317</v>
      </c>
      <c r="E573" s="716" t="s">
        <v>1312</v>
      </c>
      <c r="F573" s="712">
        <f>IFERROR(ROUND(IF($AL$3=2,VLOOKUP(C573,[2]List1!$A:$D,2,FALSE)*1.08,VLOOKUP(C573,[2]List1!$A:$D,2,FALSE)),0),"NEUVEDENO!")</f>
        <v>414</v>
      </c>
      <c r="G573" s="717">
        <f t="shared" si="1296"/>
        <v>414</v>
      </c>
      <c r="H573" s="718">
        <f t="shared" si="1297"/>
        <v>16.823181856970447</v>
      </c>
      <c r="I573" s="738">
        <v>10</v>
      </c>
      <c r="J573" s="716" t="s">
        <v>46</v>
      </c>
      <c r="K573" s="716" t="s">
        <v>14734</v>
      </c>
      <c r="L573" s="716" t="s">
        <v>14386</v>
      </c>
      <c r="M573" s="716" t="s">
        <v>138</v>
      </c>
      <c r="N573" s="716">
        <f>IFERROR(VLOOKUP(C573,[3]List1!$A:$D,4,FALSE),"N/A!")</f>
        <v>7.3631250000000009E-2</v>
      </c>
      <c r="O573" s="716">
        <f>IFERROR(VLOOKUP(C573,[3]List1!$A:$D,3,FALSE),"N/A!")</f>
        <v>3250</v>
      </c>
      <c r="P573" s="716">
        <f>IFERROR(VLOOKUP(C573,[3]List1!$A:$D,2,FALSE),"N/A!")</f>
        <v>19500</v>
      </c>
      <c r="Q573" s="716" t="s">
        <v>1283</v>
      </c>
      <c r="R573" s="716" t="s">
        <v>24</v>
      </c>
      <c r="S573" s="716" t="str">
        <f>IF($W$17=$AF$1,"design",IFERROR(VLOOKUP("design",Jazyky_ceník!$A:$Q,MATCH($W$17,Jazyky_ceník!$A$1:$Q$1,0),FALSE),"!!!"))</f>
        <v>design</v>
      </c>
      <c r="T573" s="716">
        <v>30</v>
      </c>
      <c r="U573" s="716">
        <v>30</v>
      </c>
      <c r="V573" s="716">
        <v>22</v>
      </c>
      <c r="W573" s="716" t="str">
        <f>IFERROR(VLOOKUP('General price list'!$C573,Popisy!A:P,MATCH($W$17,Popisy!$A$7:$P$7,0),FALSE),"---------------")</f>
        <v>5 různobarevných efektů</v>
      </c>
      <c r="X573" s="716" t="str">
        <f t="shared" si="1298"/>
        <v/>
      </c>
      <c r="Y573" s="716" t="str">
        <f t="shared" si="1299"/>
        <v/>
      </c>
      <c r="Z573" s="716" t="str">
        <f>HYPERLINK("https://www.klasekpyrotechnics.cz/cf2525s")</f>
        <v>https://www.klasekpyrotechnics.cz/cf2525s</v>
      </c>
      <c r="AA573" s="716" t="str">
        <f>IFERROR(IF(VLOOKUP(C573,[4]List1!$A:$D,4,FALSE)=0,"",VLOOKUP(C573,[4]List1!$A:$D,4,FALSE)),"")</f>
        <v>20</v>
      </c>
      <c r="AB573" s="720"/>
      <c r="AC573" s="739" t="str">
        <f>IFERROR(IF(VLOOKUP(C573,[1]List1!$A:$D,2,FALSE)="VYPRODÁNO",$V$9,IF(VLOOKUP(C573,[1]List1!$A:$D,2,FALSE)="DOCHÁZÍ",$V$3,VLOOKUP(C573,[1]List1!$A:$D,2,FALSE))),"OFFLINE!")</f>
        <v>SKLADEM</v>
      </c>
      <c r="AD573" s="740" t="str">
        <f ca="1">IF(AP573="NE",$V$10,IF(AC573=$V$3,IF(AQ573&lt;1,$V$8,$V$2&amp;" "&amp;AQ573&amp;" "&amp;$V$1),IF(AC573="SKLADEM",$V$6,IFERROR(IF(OR(AC573-TODAY()&gt;45,VLOOKUP(C573,[1]List1!$A:$E,4,FALSE)=0),AC573,DAY(AC573)&amp;"."&amp;MONTH(AC573)&amp;"."&amp;YEAR(AC573)&amp;" "&amp;$V$4&amp;VLOOKUP(C573,[1]List1!$A:$E,4,FALSE)&amp;" "&amp;$V$1),AC573))))</f>
        <v>SKLADEM</v>
      </c>
      <c r="AE573" s="716" t="str">
        <f t="shared" ca="1" si="1300"/>
        <v>SKLADEM</v>
      </c>
      <c r="AF573" s="723">
        <f t="shared" si="1301"/>
        <v>0</v>
      </c>
      <c r="AG573" s="723">
        <f t="shared" si="1302"/>
        <v>0</v>
      </c>
      <c r="AH573" s="724">
        <f t="shared" si="1303"/>
        <v>0</v>
      </c>
      <c r="AI573" s="716">
        <f t="shared" si="1304"/>
        <v>0</v>
      </c>
      <c r="AJ573" s="716">
        <f t="shared" si="1305"/>
        <v>0</v>
      </c>
      <c r="AK573" s="716" t="str">
        <f t="shared" si="1306"/>
        <v/>
      </c>
      <c r="AL573" s="716">
        <f t="shared" si="1307"/>
        <v>0</v>
      </c>
      <c r="AM573" s="716" t="str">
        <f t="shared" si="1308"/>
        <v/>
      </c>
      <c r="AN573" s="716">
        <f t="shared" si="1309"/>
        <v>0</v>
      </c>
      <c r="AO573" s="380"/>
      <c r="AP573" s="322" t="str">
        <f t="shared" si="1200"/>
        <v/>
      </c>
      <c r="AQ573" s="323" t="str">
        <f>IF(AC573=$V$3,IF(VLOOKUP(C573,[1]List1!$A:$E,5,FALSE)=0,1,VLOOKUP(C573,[1]List1!$A:$E,5,FALSE)),"")</f>
        <v/>
      </c>
      <c r="AR573" s="304" t="str">
        <f t="shared" si="1201"/>
        <v/>
      </c>
      <c r="AS573" s="423" t="str">
        <f t="shared" si="1202"/>
        <v/>
      </c>
      <c r="AT573" s="304" t="str">
        <f t="shared" si="1203"/>
        <v/>
      </c>
      <c r="AU573" s="342" t="e">
        <f t="shared" si="1204"/>
        <v>#N/A</v>
      </c>
      <c r="AV573" s="304" t="e">
        <f t="shared" si="1205"/>
        <v>#N/A</v>
      </c>
      <c r="AX573" s="304">
        <f>IF(AND('General price list'!$J573="F4",'General price list'!$AB573+0&gt;0),1,0)</f>
        <v>0</v>
      </c>
      <c r="AY573" s="304">
        <f t="shared" si="1206"/>
        <v>1</v>
      </c>
      <c r="AZ573" s="304">
        <f t="shared" si="1207"/>
        <v>0</v>
      </c>
    </row>
    <row r="574" spans="1:52" ht="15" customHeight="1">
      <c r="A574" s="773" t="str">
        <f>Kat.!C571</f>
        <v xml:space="preserve">                                                               Baterie 48ran, 25mm rovný+šikmý moždíř-1.3G</v>
      </c>
      <c r="B574" s="774"/>
      <c r="C574" s="774"/>
      <c r="D574" s="774"/>
      <c r="E574" s="774"/>
      <c r="F574" s="774"/>
      <c r="G574" s="774"/>
      <c r="H574" s="774"/>
      <c r="I574" s="774"/>
      <c r="J574" s="774"/>
      <c r="K574" s="774"/>
      <c r="L574" s="774"/>
      <c r="M574" s="774"/>
      <c r="N574" s="774"/>
      <c r="O574" s="774"/>
      <c r="P574" s="774"/>
      <c r="Q574" s="774"/>
      <c r="R574" s="774"/>
      <c r="S574" s="774"/>
      <c r="T574" s="774"/>
      <c r="U574" s="774"/>
      <c r="V574" s="774"/>
      <c r="W574" s="774"/>
      <c r="X574" s="774"/>
      <c r="Y574" s="774"/>
      <c r="Z574" s="774"/>
      <c r="AA574" s="774" t="str">
        <f>IFERROR(IF(VLOOKUP(C574,[4]List1!$A:$D,4,FALSE)=0,"",VLOOKUP(C574,[4]List1!$A:$D,4,FALSE)),"")</f>
        <v/>
      </c>
      <c r="AB574" s="774"/>
      <c r="AC574" s="775" t="str">
        <f>IFERROR(IF(VLOOKUP(C574,[1]List1!$A:$D,2,FALSE)="VYPRODÁNO",$V$9,IF(VLOOKUP(C574,[1]List1!$A:$D,2,FALSE)="DOCHÁZÍ",$V$3,VLOOKUP(C574,[1]List1!$A:$D,2,FALSE))),"OFFLINE!")</f>
        <v>OFFLINE!</v>
      </c>
      <c r="AD574" s="774"/>
      <c r="AE574" s="774"/>
      <c r="AF574" s="774"/>
      <c r="AG574" s="774"/>
      <c r="AH574" s="774"/>
      <c r="AI574" s="774"/>
      <c r="AJ574" s="774"/>
      <c r="AK574" s="774"/>
      <c r="AL574" s="774"/>
      <c r="AM574" s="774"/>
      <c r="AN574" s="774"/>
      <c r="AO574" s="380"/>
      <c r="AP574" s="322" t="str">
        <f t="shared" si="1200"/>
        <v/>
      </c>
      <c r="AQ574" s="323" t="str">
        <f>IF(AC574=$V$3,IF(VLOOKUP(C574,[1]List1!$A:$E,5,FALSE)=0,1,VLOOKUP(C574,[1]List1!$A:$E,5,FALSE)),"")</f>
        <v/>
      </c>
      <c r="AR574" s="304" t="str">
        <f t="shared" si="1201"/>
        <v/>
      </c>
      <c r="AS574" s="423" t="str">
        <f t="shared" si="1202"/>
        <v/>
      </c>
      <c r="AT574" s="304" t="str">
        <f t="shared" si="1203"/>
        <v/>
      </c>
      <c r="AU574" s="342" t="e">
        <f t="shared" si="1204"/>
        <v>#N/A</v>
      </c>
      <c r="AV574" s="304" t="e">
        <f t="shared" si="1205"/>
        <v>#N/A</v>
      </c>
      <c r="AX574" s="304">
        <f>IF(AND('General price list'!$J574="F4",'General price list'!$AB574+0&gt;0),1,0)</f>
        <v>0</v>
      </c>
      <c r="AY574" s="304">
        <f t="shared" si="1206"/>
        <v>0</v>
      </c>
      <c r="AZ574" s="304">
        <f t="shared" si="1207"/>
        <v>0</v>
      </c>
    </row>
    <row r="575" spans="1:52" ht="15" customHeight="1">
      <c r="A575" s="712" t="str">
        <f>Kat.!C572</f>
        <v>×</v>
      </c>
      <c r="B575" s="713">
        <f>IF(AND('General price list'!$J575="F4",$AI$1=FALSE),0,IF(AC575="SKLADEM",1,IF(AC575=$V$3,1,0)))</f>
        <v>1</v>
      </c>
      <c r="C575" s="714" t="s">
        <v>1318</v>
      </c>
      <c r="D575" s="715" t="s">
        <v>1319</v>
      </c>
      <c r="E575" s="716" t="s">
        <v>1077</v>
      </c>
      <c r="F575" s="712">
        <f>IFERROR(ROUND(IF($AL$3=2,VLOOKUP(C575,[2]List1!$A:$D,2,FALSE)*1.08,VLOOKUP(C575,[2]List1!$A:$D,2,FALSE)),0),"NEUVEDENO!")</f>
        <v>678</v>
      </c>
      <c r="G575" s="717">
        <f>(F575)*$B$19</f>
        <v>678</v>
      </c>
      <c r="H575" s="718">
        <f>G575/$F$19</f>
        <v>27.551007968661747</v>
      </c>
      <c r="I575" s="719">
        <v>6</v>
      </c>
      <c r="J575" s="716" t="s">
        <v>46</v>
      </c>
      <c r="K575" s="716"/>
      <c r="L575" s="716" t="s">
        <v>14386</v>
      </c>
      <c r="M575" s="716" t="s">
        <v>138</v>
      </c>
      <c r="N575" s="716">
        <f>IFERROR(VLOOKUP(C575,[3]List1!$A:$D,4,FALSE),"N/A!")</f>
        <v>6.2899999999999998E-2</v>
      </c>
      <c r="O575" s="716">
        <f>IFERROR(VLOOKUP(C575,[3]List1!$A:$D,3,FALSE),"N/A!")</f>
        <v>2976</v>
      </c>
      <c r="P575" s="716">
        <f>IFERROR(VLOOKUP(C575,[3]List1!$A:$D,2,FALSE),"N/A!")</f>
        <v>23500</v>
      </c>
      <c r="Q575" s="716" t="s">
        <v>14199</v>
      </c>
      <c r="R575" s="716" t="s">
        <v>24</v>
      </c>
      <c r="S575" s="716" t="str">
        <f>IF($W$17=$AF$1,"červená fólie",IFERROR(VLOOKUP("červená fólie",Jazyky_ceník!$A:$Q,MATCH($W$17,Jazyky_ceník!$A$1:$Q$1,0),FALSE),"!!!"))</f>
        <v>červená fólie</v>
      </c>
      <c r="T575" s="716">
        <v>35</v>
      </c>
      <c r="U575" s="716">
        <v>30</v>
      </c>
      <c r="V575" s="716">
        <v>22</v>
      </c>
      <c r="W575" s="716" t="str">
        <f>IFERROR(VLOOKUP('General price list'!$C575,Popisy!A:P,MATCH($W$17,Popisy!$A$7:$P$7,0),FALSE),"---------------")</f>
        <v>8 různobarevných efektů</v>
      </c>
      <c r="X575" s="716" t="str">
        <f>IF(AB575&lt;0.0001,"",AB575)</f>
        <v/>
      </c>
      <c r="Y575" s="716" t="str">
        <f>IF($AL$3=2,IF(OR(AB575&lt;&gt;"",AB575&lt;&gt;0),AU575,""),IF(C575="","",IF(AB575&lt;0.0001,"",IF(B575=0,"",IF(AQ575&lt;AB575,"",AB575)))))</f>
        <v/>
      </c>
      <c r="Z575" s="716" t="str">
        <f>HYPERLINK("https://www.klasekpyrotechnics.cz/c4825mp")</f>
        <v>https://www.klasekpyrotechnics.cz/c4825mp</v>
      </c>
      <c r="AA575" s="716">
        <f>IFERROR(IF(VLOOKUP(C575,[4]List1!$A:$D,4,FALSE)=0,"",VLOOKUP(C575,[4]List1!$A:$D,4,FALSE)),"")</f>
        <v>18</v>
      </c>
      <c r="AB575" s="720"/>
      <c r="AC575" s="721" t="str">
        <f>IFERROR(IF(VLOOKUP(C575,[1]List1!$A:$D,2,FALSE)="VYPRODÁNO",$V$9,IF(VLOOKUP(C575,[1]List1!$A:$D,2,FALSE)="DOCHÁZÍ",$V$3,VLOOKUP(C575,[1]List1!$A:$D,2,FALSE))),"OFFLINE!")</f>
        <v>SKLADEM</v>
      </c>
      <c r="AD575" s="722" t="str">
        <f ca="1">IF(AP575="NE",$V$10,IF(AC575=$V$3,IF(AQ575&lt;1,$V$8,$V$2&amp;" "&amp;AQ575&amp;" "&amp;$V$1),IF(AC575="SKLADEM",$V$6,IFERROR(IF(OR(AC575-TODAY()&gt;45,VLOOKUP(C575,[1]List1!$A:$E,4,FALSE)=0),AC575,DAY(AC575)&amp;"."&amp;MONTH(AC575)&amp;"."&amp;YEAR(AC575)&amp;" "&amp;$V$4&amp;VLOOKUP(C575,[1]List1!$A:$E,4,FALSE)&amp;" "&amp;$V$1),AC575))))</f>
        <v>SKLADEM</v>
      </c>
      <c r="AE575" s="716" t="str">
        <f t="shared" ref="AE575" ca="1" si="1310">IFERROR(IF(AV575&lt;&gt;"",AV575,AD575),AD575)</f>
        <v>SKLADEM</v>
      </c>
      <c r="AF575" s="723">
        <f t="shared" ref="AF575" si="1311">IFERROR(IF(AB575=Y575,G575*I575*Y575,0),0)</f>
        <v>0</v>
      </c>
      <c r="AG575" s="723">
        <f t="shared" ref="AG575" si="1312">IF($W$17=$AF$8,AH575*1.23,AF575*1.21)</f>
        <v>0</v>
      </c>
      <c r="AH575" s="724">
        <f t="shared" ref="AH575" si="1313">IFERROR(IF(Y575=AB575,H575*I575*Y575,0),0)</f>
        <v>0</v>
      </c>
      <c r="AI575" s="716">
        <f t="shared" ref="AI575" si="1314">IFERROR(IF(Y575=AB575,(P575*Y575)/1000,1),0)</f>
        <v>0</v>
      </c>
      <c r="AJ575" s="716">
        <f t="shared" ref="AJ575" si="1315">IFERROR(IF(Y575=AB575,N575*Y575,0.1),0)</f>
        <v>0</v>
      </c>
      <c r="AK575" s="716" t="str">
        <f t="shared" ref="AK575" si="1316">IFERROR(IF(Y575=AB575,IF(M575="1.1G",(O575/1000)*Y575,""),""),0)</f>
        <v/>
      </c>
      <c r="AL575" s="716">
        <f t="shared" ref="AL575" si="1317">IFERROR(IF(Y575=AB575,IF(M575="1.3G",(O575/1000)*AB575,""),""),0)</f>
        <v>0</v>
      </c>
      <c r="AM575" s="716" t="str">
        <f t="shared" ref="AM575" si="1318">IFERROR(IF(Y575=AB575,IF(M575="1.4G",(O575/1000)*AB575,""),""),0)</f>
        <v/>
      </c>
      <c r="AN575" s="716">
        <f t="shared" ref="AN575" si="1319">SUM(AK575:AM575)</f>
        <v>0</v>
      </c>
      <c r="AO575" s="380"/>
      <c r="AP575" s="322" t="str">
        <f t="shared" si="1200"/>
        <v/>
      </c>
      <c r="AQ575" s="323" t="str">
        <f>IF(AC575=$V$3,IF(VLOOKUP(C575,[1]List1!$A:$E,5,FALSE)=0,1,VLOOKUP(C575,[1]List1!$A:$E,5,FALSE)),"")</f>
        <v/>
      </c>
      <c r="AR575" s="304" t="str">
        <f t="shared" si="1201"/>
        <v/>
      </c>
      <c r="AS575" s="423" t="str">
        <f t="shared" si="1202"/>
        <v/>
      </c>
      <c r="AT575" s="304" t="str">
        <f t="shared" si="1203"/>
        <v/>
      </c>
      <c r="AU575" s="342" t="e">
        <f t="shared" si="1204"/>
        <v>#N/A</v>
      </c>
      <c r="AV575" s="304" t="e">
        <f t="shared" si="1205"/>
        <v>#N/A</v>
      </c>
      <c r="AX575" s="304">
        <f>IF(AND('General price list'!$J575="F4",'General price list'!$AB575+0&gt;0),1,0)</f>
        <v>0</v>
      </c>
      <c r="AY575" s="304">
        <f t="shared" si="1206"/>
        <v>1</v>
      </c>
      <c r="AZ575" s="304">
        <f t="shared" si="1207"/>
        <v>0</v>
      </c>
    </row>
    <row r="576" spans="1:52" ht="15" customHeight="1">
      <c r="A576" s="773" t="str">
        <f>Kat.!C573</f>
        <v xml:space="preserve">                                                               Baterie 49ran, 25mm moždíř-F2-1.3G</v>
      </c>
      <c r="B576" s="774"/>
      <c r="C576" s="774"/>
      <c r="D576" s="774"/>
      <c r="E576" s="774"/>
      <c r="F576" s="774"/>
      <c r="G576" s="774"/>
      <c r="H576" s="774"/>
      <c r="I576" s="774"/>
      <c r="J576" s="774"/>
      <c r="K576" s="774"/>
      <c r="L576" s="774"/>
      <c r="M576" s="774"/>
      <c r="N576" s="774"/>
      <c r="O576" s="774"/>
      <c r="P576" s="774"/>
      <c r="Q576" s="774"/>
      <c r="R576" s="774"/>
      <c r="S576" s="774"/>
      <c r="T576" s="774"/>
      <c r="U576" s="774"/>
      <c r="V576" s="774"/>
      <c r="W576" s="774"/>
      <c r="X576" s="774"/>
      <c r="Y576" s="774"/>
      <c r="Z576" s="774"/>
      <c r="AA576" s="774" t="str">
        <f>IFERROR(IF(VLOOKUP(C576,[4]List1!$A:$D,4,FALSE)=0,"",VLOOKUP(C576,[4]List1!$A:$D,4,FALSE)),"")</f>
        <v/>
      </c>
      <c r="AB576" s="774"/>
      <c r="AC576" s="775" t="str">
        <f>IFERROR(IF(VLOOKUP(C576,[1]List1!$A:$D,2,FALSE)="VYPRODÁNO",$V$9,IF(VLOOKUP(C576,[1]List1!$A:$D,2,FALSE)="DOCHÁZÍ",$V$3,VLOOKUP(C576,[1]List1!$A:$D,2,FALSE))),"OFFLINE!")</f>
        <v>OFFLINE!</v>
      </c>
      <c r="AD576" s="774"/>
      <c r="AE576" s="774"/>
      <c r="AF576" s="774"/>
      <c r="AG576" s="774"/>
      <c r="AH576" s="774"/>
      <c r="AI576" s="774"/>
      <c r="AJ576" s="774"/>
      <c r="AK576" s="774"/>
      <c r="AL576" s="774"/>
      <c r="AM576" s="774"/>
      <c r="AN576" s="774"/>
      <c r="AO576" s="380"/>
      <c r="AP576" s="322" t="str">
        <f t="shared" si="1200"/>
        <v/>
      </c>
      <c r="AQ576" s="323" t="str">
        <f>IF(AC576=$V$3,IF(VLOOKUP(C576,[1]List1!$A:$E,5,FALSE)=0,1,VLOOKUP(C576,[1]List1!$A:$E,5,FALSE)),"")</f>
        <v/>
      </c>
      <c r="AR576" s="304" t="str">
        <f t="shared" si="1201"/>
        <v/>
      </c>
      <c r="AS576" s="423" t="str">
        <f t="shared" si="1202"/>
        <v/>
      </c>
      <c r="AT576" s="304" t="str">
        <f t="shared" si="1203"/>
        <v/>
      </c>
      <c r="AU576" s="342" t="e">
        <f t="shared" si="1204"/>
        <v>#N/A</v>
      </c>
      <c r="AV576" s="304" t="e">
        <f t="shared" si="1205"/>
        <v>#N/A</v>
      </c>
      <c r="AX576" s="304">
        <f>IF(AND('General price list'!$J576="F4",'General price list'!$AB576+0&gt;0),1,0)</f>
        <v>0</v>
      </c>
      <c r="AY576" s="304">
        <f t="shared" si="1206"/>
        <v>0</v>
      </c>
      <c r="AZ576" s="304">
        <f t="shared" si="1207"/>
        <v>0</v>
      </c>
    </row>
    <row r="577" spans="1:52" ht="15" customHeight="1">
      <c r="A577" s="712" t="str">
        <f>Kat.!C574</f>
        <v/>
      </c>
      <c r="B577" s="713">
        <f>IF(AND('General price list'!$J577="F4",$AI$1=FALSE),0,IF(AC577="SKLADEM",1,IF(AC577=$V$3,1,0)))</f>
        <v>1</v>
      </c>
      <c r="C577" s="714" t="s">
        <v>1321</v>
      </c>
      <c r="D577" s="715" t="s">
        <v>1322</v>
      </c>
      <c r="E577" s="716" t="s">
        <v>1077</v>
      </c>
      <c r="F577" s="712">
        <f>IFERROR(ROUND(IF($AL$3=2,VLOOKUP(C577,[2]List1!$A:$D,2,FALSE)*1.08,VLOOKUP(C577,[2]List1!$A:$D,2,FALSE)),0),"NEUVEDENO!")</f>
        <v>652</v>
      </c>
      <c r="G577" s="717">
        <f t="shared" ref="G577:G579" si="1320">(F577)*$B$19</f>
        <v>652</v>
      </c>
      <c r="H577" s="718">
        <f t="shared" ref="H577:H579" si="1321">G577/$F$19</f>
        <v>26.494479639480026</v>
      </c>
      <c r="I577" s="719">
        <v>6</v>
      </c>
      <c r="J577" s="716" t="s">
        <v>46</v>
      </c>
      <c r="K577" s="716" t="s">
        <v>14734</v>
      </c>
      <c r="L577" s="716" t="s">
        <v>14386</v>
      </c>
      <c r="M577" s="716" t="s">
        <v>138</v>
      </c>
      <c r="N577" s="716">
        <f>IFERROR(VLOOKUP(C577,[3]List1!$A:$D,4,FALSE),"N/A!")</f>
        <v>4.8944000000000001E-2</v>
      </c>
      <c r="O577" s="716">
        <f>IFERROR(VLOOKUP(C577,[3]List1!$A:$D,3,FALSE),"N/A!")</f>
        <v>2988</v>
      </c>
      <c r="P577" s="716">
        <f>IFERROR(VLOOKUP(C577,[3]List1!$A:$D,2,FALSE),"N/A!")</f>
        <v>20000</v>
      </c>
      <c r="Q577" s="716" t="s">
        <v>1320</v>
      </c>
      <c r="R577" s="716" t="s">
        <v>24</v>
      </c>
      <c r="S577" s="716" t="str">
        <f>IF($W$17=$AF$1,"design",IFERROR(VLOOKUP("design",Jazyky_ceník!$A:$Q,MATCH($W$17,Jazyky_ceník!$A$1:$Q$1,0),FALSE),"!!!"))</f>
        <v>design</v>
      </c>
      <c r="T577" s="716">
        <v>43</v>
      </c>
      <c r="U577" s="716">
        <v>30</v>
      </c>
      <c r="V577" s="716">
        <v>22</v>
      </c>
      <c r="W577" s="716" t="str">
        <f>IFERROR(VLOOKUP('General price list'!$C577,Popisy!A:P,MATCH($W$17,Popisy!$A$7:$P$7,0),FALSE),"---------------")</f>
        <v>7 různobarevných efektů</v>
      </c>
      <c r="X577" s="716" t="str">
        <f t="shared" ref="X577:X579" si="1322">IF(AB577&lt;0.0001,"",AB577)</f>
        <v/>
      </c>
      <c r="Y577" s="716" t="str">
        <f t="shared" ref="Y577:Y579" si="1323">IF($AL$3=2,IF(OR(AB577&lt;&gt;"",AB577&lt;&gt;0),AU577,""),IF(C577="","",IF(AB577&lt;0.0001,"",IF(B577=0,"",IF(AQ577&lt;AB577,"",AB577)))))</f>
        <v/>
      </c>
      <c r="Z577" s="716" t="str">
        <f>HYPERLINK("https://www.klasekpyrotechnics.cz/c4925g")</f>
        <v>https://www.klasekpyrotechnics.cz/c4925g</v>
      </c>
      <c r="AA577" s="716">
        <f>IFERROR(IF(VLOOKUP(C577,[4]List1!$A:$D,4,FALSE)=0,"",VLOOKUP(C577,[4]List1!$A:$D,4,FALSE)),"")</f>
        <v>25</v>
      </c>
      <c r="AB577" s="720"/>
      <c r="AC577" s="721" t="str">
        <f>IFERROR(IF(VLOOKUP(C577,[1]List1!$A:$D,2,FALSE)="VYPRODÁNO",$V$9,IF(VLOOKUP(C577,[1]List1!$A:$D,2,FALSE)="DOCHÁZÍ",$V$3,VLOOKUP(C577,[1]List1!$A:$D,2,FALSE))),"OFFLINE!")</f>
        <v>SKLADEM</v>
      </c>
      <c r="AD577" s="722" t="str">
        <f ca="1">IF(AP577="NE",$V$10,IF(AC577=$V$3,IF(AQ577&lt;1,$V$8,$V$2&amp;" "&amp;AQ577&amp;" "&amp;$V$1),IF(AC577="SKLADEM",$V$6,IFERROR(IF(OR(AC577-TODAY()&gt;45,VLOOKUP(C577,[1]List1!$A:$E,4,FALSE)=0),AC577,DAY(AC577)&amp;"."&amp;MONTH(AC577)&amp;"."&amp;YEAR(AC577)&amp;" "&amp;$V$4&amp;VLOOKUP(C577,[1]List1!$A:$E,4,FALSE)&amp;" "&amp;$V$1),AC577))))</f>
        <v>SKLADEM</v>
      </c>
      <c r="AE577" s="716" t="str">
        <f t="shared" ref="AE577:AE579" ca="1" si="1324">IFERROR(IF(AV577&lt;&gt;"",AV577,AD577),AD577)</f>
        <v>SKLADEM</v>
      </c>
      <c r="AF577" s="723">
        <f t="shared" ref="AF577:AF579" si="1325">IFERROR(IF(AB577=Y577,G577*I577*Y577,0),0)</f>
        <v>0</v>
      </c>
      <c r="AG577" s="723">
        <f t="shared" ref="AG577:AG579" si="1326">IF($W$17=$AF$8,AH577*1.23,AF577*1.21)</f>
        <v>0</v>
      </c>
      <c r="AH577" s="724">
        <f t="shared" ref="AH577:AH579" si="1327">IFERROR(IF(Y577=AB577,H577*I577*Y577,0),0)</f>
        <v>0</v>
      </c>
      <c r="AI577" s="716">
        <f t="shared" ref="AI577:AI579" si="1328">IFERROR(IF(Y577=AB577,(P577*Y577)/1000,1),0)</f>
        <v>0</v>
      </c>
      <c r="AJ577" s="716">
        <f t="shared" ref="AJ577:AJ579" si="1329">IFERROR(IF(Y577=AB577,N577*Y577,0.1),0)</f>
        <v>0</v>
      </c>
      <c r="AK577" s="716" t="str">
        <f t="shared" ref="AK577:AK579" si="1330">IFERROR(IF(Y577=AB577,IF(M577="1.1G",(O577/1000)*Y577,""),""),0)</f>
        <v/>
      </c>
      <c r="AL577" s="716">
        <f t="shared" ref="AL577:AL579" si="1331">IFERROR(IF(Y577=AB577,IF(M577="1.3G",(O577/1000)*AB577,""),""),0)</f>
        <v>0</v>
      </c>
      <c r="AM577" s="716" t="str">
        <f t="shared" ref="AM577:AM579" si="1332">IFERROR(IF(Y577=AB577,IF(M577="1.4G",(O577/1000)*AB577,""),""),0)</f>
        <v/>
      </c>
      <c r="AN577" s="716">
        <f t="shared" ref="AN577:AN579" si="1333">SUM(AK577:AM577)</f>
        <v>0</v>
      </c>
      <c r="AO577" s="380"/>
      <c r="AP577" s="322" t="str">
        <f t="shared" si="1200"/>
        <v/>
      </c>
      <c r="AQ577" s="323" t="str">
        <f>IF(AC577=$V$3,IF(VLOOKUP(C577,[1]List1!$A:$E,5,FALSE)=0,1,VLOOKUP(C577,[1]List1!$A:$E,5,FALSE)),"")</f>
        <v/>
      </c>
      <c r="AR577" s="304" t="str">
        <f t="shared" si="1201"/>
        <v/>
      </c>
      <c r="AS577" s="423" t="str">
        <f t="shared" si="1202"/>
        <v/>
      </c>
      <c r="AT577" s="304" t="str">
        <f t="shared" si="1203"/>
        <v/>
      </c>
      <c r="AU577" s="342" t="e">
        <f t="shared" si="1204"/>
        <v>#N/A</v>
      </c>
      <c r="AV577" s="304" t="e">
        <f t="shared" si="1205"/>
        <v>#N/A</v>
      </c>
      <c r="AX577" s="304">
        <f>IF(AND('General price list'!$J577="F4",'General price list'!$AB577+0&gt;0),1,0)</f>
        <v>0</v>
      </c>
      <c r="AY577" s="304">
        <f t="shared" si="1206"/>
        <v>1</v>
      </c>
      <c r="AZ577" s="304">
        <f t="shared" si="1207"/>
        <v>0</v>
      </c>
    </row>
    <row r="578" spans="1:52" ht="15" customHeight="1">
      <c r="A578" s="725" t="str">
        <f>Kat.!C575</f>
        <v/>
      </c>
      <c r="B578" s="726">
        <f>IF(AND('General price list'!$J578="F4",$AI$1=FALSE),0,IF(AC578="SKLADEM",1,IF(AC578=$V$3,1,0)))</f>
        <v>1</v>
      </c>
      <c r="C578" s="727" t="s">
        <v>1323</v>
      </c>
      <c r="D578" s="728" t="s">
        <v>14590</v>
      </c>
      <c r="E578" s="729" t="s">
        <v>1077</v>
      </c>
      <c r="F578" s="725">
        <f>IFERROR(ROUND(IF($AL$3=2,VLOOKUP(C578,[2]List1!$A:$D,2,FALSE)*1.08,VLOOKUP(C578,[2]List1!$A:$D,2,FALSE)),0),"NEUVEDENO!")</f>
        <v>652</v>
      </c>
      <c r="G578" s="730">
        <f t="shared" si="1320"/>
        <v>652</v>
      </c>
      <c r="H578" s="731">
        <f t="shared" si="1321"/>
        <v>26.494479639480026</v>
      </c>
      <c r="I578" s="732">
        <v>6</v>
      </c>
      <c r="J578" s="729" t="s">
        <v>46</v>
      </c>
      <c r="K578" s="729" t="s">
        <v>14734</v>
      </c>
      <c r="L578" s="729" t="s">
        <v>14386</v>
      </c>
      <c r="M578" s="729" t="s">
        <v>138</v>
      </c>
      <c r="N578" s="729">
        <f>IFERROR(VLOOKUP(C578,[3]List1!$A:$D,4,FALSE),"N/A!")</f>
        <v>4.8944000000000001E-2</v>
      </c>
      <c r="O578" s="729">
        <f>IFERROR(VLOOKUP(C578,[3]List1!$A:$D,3,FALSE),"N/A!")</f>
        <v>2988</v>
      </c>
      <c r="P578" s="729">
        <f>IFERROR(VLOOKUP(C578,[3]List1!$A:$D,2,FALSE),"N/A!")</f>
        <v>20000</v>
      </c>
      <c r="Q578" s="729" t="s">
        <v>14097</v>
      </c>
      <c r="R578" s="729" t="s">
        <v>24</v>
      </c>
      <c r="S578" s="729" t="str">
        <f>IF($W$17=$AF$1,"design",IFERROR(VLOOKUP("design",Jazyky_ceník!$A:$Q,MATCH($W$17,Jazyky_ceník!$A$1:$Q$1,0),FALSE),"!!!"))</f>
        <v>design</v>
      </c>
      <c r="T578" s="729">
        <v>43</v>
      </c>
      <c r="U578" s="729">
        <v>30</v>
      </c>
      <c r="V578" s="729">
        <v>22</v>
      </c>
      <c r="W578" s="729" t="str">
        <f>IFERROR(VLOOKUP('General price list'!$C578,Popisy!A:P,MATCH($W$17,Popisy!$A$7:$P$7,0),FALSE),"---------------")</f>
        <v>7 různobarevných efektů</v>
      </c>
      <c r="X578" s="729" t="str">
        <f t="shared" si="1322"/>
        <v/>
      </c>
      <c r="Y578" s="729" t="str">
        <f t="shared" si="1323"/>
        <v/>
      </c>
      <c r="Z578" s="729" t="str">
        <f>HYPERLINK("https://www.klasekpyrotechnics.cz/c4925p")</f>
        <v>https://www.klasekpyrotechnics.cz/c4925p</v>
      </c>
      <c r="AA578" s="729">
        <f>IFERROR(IF(VLOOKUP(C578,[4]List1!$A:$D,4,FALSE)=0,"",VLOOKUP(C578,[4]List1!$A:$D,4,FALSE)),"")</f>
        <v>25</v>
      </c>
      <c r="AB578" s="720"/>
      <c r="AC578" s="733" t="str">
        <f>IFERROR(IF(VLOOKUP(C578,[1]List1!$A:$D,2,FALSE)="VYPRODÁNO",$V$9,IF(VLOOKUP(C578,[1]List1!$A:$D,2,FALSE)="DOCHÁZÍ",$V$3,VLOOKUP(C578,[1]List1!$A:$D,2,FALSE))),"OFFLINE!")</f>
        <v>SKLADEM</v>
      </c>
      <c r="AD578" s="734" t="str">
        <f ca="1">IF(AP578="NE",$V$10,IF(AC578=$V$3,IF(AQ578&lt;1,$V$8,$V$2&amp;" "&amp;AQ578&amp;" "&amp;$V$1),IF(AC578="SKLADEM",$V$6,IFERROR(IF(OR(AC578-TODAY()&gt;45,VLOOKUP(C578,[1]List1!$A:$E,4,FALSE)=0),AC578,DAY(AC578)&amp;"."&amp;MONTH(AC578)&amp;"."&amp;YEAR(AC578)&amp;" "&amp;$V$4&amp;VLOOKUP(C578,[1]List1!$A:$E,4,FALSE)&amp;" "&amp;$V$1),AC578))))</f>
        <v>SKLADEM</v>
      </c>
      <c r="AE578" s="729" t="str">
        <f t="shared" ca="1" si="1324"/>
        <v>SKLADEM</v>
      </c>
      <c r="AF578" s="735">
        <f t="shared" si="1325"/>
        <v>0</v>
      </c>
      <c r="AG578" s="735">
        <f t="shared" si="1326"/>
        <v>0</v>
      </c>
      <c r="AH578" s="736">
        <f t="shared" si="1327"/>
        <v>0</v>
      </c>
      <c r="AI578" s="729">
        <f t="shared" si="1328"/>
        <v>0</v>
      </c>
      <c r="AJ578" s="729">
        <f t="shared" si="1329"/>
        <v>0</v>
      </c>
      <c r="AK578" s="729" t="str">
        <f t="shared" si="1330"/>
        <v/>
      </c>
      <c r="AL578" s="729">
        <f t="shared" si="1331"/>
        <v>0</v>
      </c>
      <c r="AM578" s="729" t="str">
        <f t="shared" si="1332"/>
        <v/>
      </c>
      <c r="AN578" s="729">
        <f t="shared" si="1333"/>
        <v>0</v>
      </c>
      <c r="AO578" s="380"/>
      <c r="AP578" s="322" t="str">
        <f t="shared" si="1200"/>
        <v/>
      </c>
      <c r="AQ578" s="323" t="str">
        <f>IF(AC578=$V$3,IF(VLOOKUP(C578,[1]List1!$A:$E,5,FALSE)=0,1,VLOOKUP(C578,[1]List1!$A:$E,5,FALSE)),"")</f>
        <v/>
      </c>
      <c r="AR578" s="304" t="str">
        <f t="shared" si="1201"/>
        <v/>
      </c>
      <c r="AS578" s="423" t="str">
        <f t="shared" si="1202"/>
        <v/>
      </c>
      <c r="AT578" s="304" t="str">
        <f t="shared" si="1203"/>
        <v/>
      </c>
      <c r="AU578" s="342" t="e">
        <f t="shared" si="1204"/>
        <v>#N/A</v>
      </c>
      <c r="AV578" s="304" t="e">
        <f t="shared" si="1205"/>
        <v>#N/A</v>
      </c>
      <c r="AX578" s="304">
        <f>IF(AND('General price list'!$J578="F4",'General price list'!$AB578+0&gt;0),1,0)</f>
        <v>0</v>
      </c>
      <c r="AY578" s="304">
        <f t="shared" si="1206"/>
        <v>1</v>
      </c>
      <c r="AZ578" s="304">
        <f t="shared" si="1207"/>
        <v>0</v>
      </c>
    </row>
    <row r="579" spans="1:52" ht="15" customHeight="1">
      <c r="A579" s="712" t="str">
        <f>Kat.!C576</f>
        <v/>
      </c>
      <c r="B579" s="737">
        <f>IF(AND('General price list'!$J579="F4",$AI$1=FALSE),0,IF(AC579="SKLADEM",1,IF(AC579=$V$3,1,0)))</f>
        <v>1</v>
      </c>
      <c r="C579" s="714" t="s">
        <v>1324</v>
      </c>
      <c r="D579" s="715" t="s">
        <v>1325</v>
      </c>
      <c r="E579" s="716" t="s">
        <v>1077</v>
      </c>
      <c r="F579" s="712">
        <f>IFERROR(ROUND(IF($AL$3=2,VLOOKUP(C579,[2]List1!$A:$D,2,FALSE)*1.08,VLOOKUP(C579,[2]List1!$A:$D,2,FALSE)),0),"NEUVEDENO!")</f>
        <v>652</v>
      </c>
      <c r="G579" s="717">
        <f t="shared" si="1320"/>
        <v>652</v>
      </c>
      <c r="H579" s="718">
        <f t="shared" si="1321"/>
        <v>26.494479639480026</v>
      </c>
      <c r="I579" s="738">
        <v>6</v>
      </c>
      <c r="J579" s="716" t="s">
        <v>46</v>
      </c>
      <c r="K579" s="716" t="s">
        <v>14821</v>
      </c>
      <c r="L579" s="716" t="s">
        <v>14386</v>
      </c>
      <c r="M579" s="716" t="s">
        <v>138</v>
      </c>
      <c r="N579" s="716">
        <f>IFERROR(VLOOKUP(C579,[3]List1!$A:$D,4,FALSE),"N/A!")</f>
        <v>4.8944000000000001E-2</v>
      </c>
      <c r="O579" s="716">
        <f>IFERROR(VLOOKUP(C579,[3]List1!$A:$D,3,FALSE),"N/A!")</f>
        <v>2988</v>
      </c>
      <c r="P579" s="716">
        <f>IFERROR(VLOOKUP(C579,[3]List1!$A:$D,2,FALSE),"N/A!")</f>
        <v>20000</v>
      </c>
      <c r="Q579" s="716" t="s">
        <v>14200</v>
      </c>
      <c r="R579" s="716" t="s">
        <v>24</v>
      </c>
      <c r="S579" s="716" t="str">
        <f>IF($W$17=$AF$1,"design",IFERROR(VLOOKUP("design",Jazyky_ceník!$A:$Q,MATCH($W$17,Jazyky_ceník!$A$1:$Q$1,0),FALSE),"!!!"))</f>
        <v>design</v>
      </c>
      <c r="T579" s="716">
        <v>43</v>
      </c>
      <c r="U579" s="716">
        <v>30</v>
      </c>
      <c r="V579" s="716">
        <v>22</v>
      </c>
      <c r="W579" s="716" t="str">
        <f>IFERROR(VLOOKUP('General price list'!$C579,Popisy!A:P,MATCH($W$17,Popisy!$A$7:$P$7,0),FALSE),"---------------")</f>
        <v>7 různobarevných efektů</v>
      </c>
      <c r="X579" s="716" t="str">
        <f t="shared" si="1322"/>
        <v/>
      </c>
      <c r="Y579" s="716" t="str">
        <f t="shared" si="1323"/>
        <v/>
      </c>
      <c r="Z579" s="716" t="str">
        <f>HYPERLINK("https://www.klasekpyrotechnics.cz/c4925v")</f>
        <v>https://www.klasekpyrotechnics.cz/c4925v</v>
      </c>
      <c r="AA579" s="716">
        <f>IFERROR(IF(VLOOKUP(C579,[4]List1!$A:$D,4,FALSE)=0,"",VLOOKUP(C579,[4]List1!$A:$D,4,FALSE)),"")</f>
        <v>25</v>
      </c>
      <c r="AB579" s="720"/>
      <c r="AC579" s="739" t="str">
        <f>IFERROR(IF(VLOOKUP(C579,[1]List1!$A:$D,2,FALSE)="VYPRODÁNO",$V$9,IF(VLOOKUP(C579,[1]List1!$A:$D,2,FALSE)="DOCHÁZÍ",$V$3,VLOOKUP(C579,[1]List1!$A:$D,2,FALSE))),"OFFLINE!")</f>
        <v>SKLADEM</v>
      </c>
      <c r="AD579" s="740" t="str">
        <f ca="1">IF(AP579="NE",$V$10,IF(AC579=$V$3,IF(AQ579&lt;1,$V$8,$V$2&amp;" "&amp;AQ579&amp;" "&amp;$V$1),IF(AC579="SKLADEM",$V$6,IFERROR(IF(OR(AC579-TODAY()&gt;45,VLOOKUP(C579,[1]List1!$A:$E,4,FALSE)=0),AC579,DAY(AC579)&amp;"."&amp;MONTH(AC579)&amp;"."&amp;YEAR(AC579)&amp;" "&amp;$V$4&amp;VLOOKUP(C579,[1]List1!$A:$E,4,FALSE)&amp;" "&amp;$V$1),AC579))))</f>
        <v>SKLADEM</v>
      </c>
      <c r="AE579" s="716" t="str">
        <f t="shared" ca="1" si="1324"/>
        <v>SKLADEM</v>
      </c>
      <c r="AF579" s="723">
        <f t="shared" si="1325"/>
        <v>0</v>
      </c>
      <c r="AG579" s="723">
        <f t="shared" si="1326"/>
        <v>0</v>
      </c>
      <c r="AH579" s="724">
        <f t="shared" si="1327"/>
        <v>0</v>
      </c>
      <c r="AI579" s="716">
        <f t="shared" si="1328"/>
        <v>0</v>
      </c>
      <c r="AJ579" s="716">
        <f t="shared" si="1329"/>
        <v>0</v>
      </c>
      <c r="AK579" s="716" t="str">
        <f t="shared" si="1330"/>
        <v/>
      </c>
      <c r="AL579" s="716">
        <f t="shared" si="1331"/>
        <v>0</v>
      </c>
      <c r="AM579" s="716" t="str">
        <f t="shared" si="1332"/>
        <v/>
      </c>
      <c r="AN579" s="716">
        <f t="shared" si="1333"/>
        <v>0</v>
      </c>
      <c r="AO579" s="380"/>
      <c r="AP579" s="322" t="str">
        <f t="shared" si="1200"/>
        <v/>
      </c>
      <c r="AQ579" s="323" t="str">
        <f>IF(AC579=$V$3,IF(VLOOKUP(C579,[1]List1!$A:$E,5,FALSE)=0,1,VLOOKUP(C579,[1]List1!$A:$E,5,FALSE)),"")</f>
        <v/>
      </c>
      <c r="AR579" s="304" t="str">
        <f t="shared" si="1201"/>
        <v/>
      </c>
      <c r="AS579" s="423" t="str">
        <f t="shared" si="1202"/>
        <v/>
      </c>
      <c r="AT579" s="304" t="str">
        <f t="shared" si="1203"/>
        <v/>
      </c>
      <c r="AU579" s="342" t="e">
        <f t="shared" si="1204"/>
        <v>#N/A</v>
      </c>
      <c r="AV579" s="304" t="e">
        <f t="shared" si="1205"/>
        <v>#N/A</v>
      </c>
      <c r="AX579" s="304">
        <f>IF(AND('General price list'!$J579="F4",'General price list'!$AB579+0&gt;0),1,0)</f>
        <v>0</v>
      </c>
      <c r="AY579" s="304">
        <f t="shared" si="1206"/>
        <v>1</v>
      </c>
      <c r="AZ579" s="304">
        <f t="shared" si="1207"/>
        <v>0</v>
      </c>
    </row>
    <row r="580" spans="1:52" ht="15" customHeight="1">
      <c r="A580" s="773" t="str">
        <f>Kat.!C577</f>
        <v xml:space="preserve">                                                               Baterie 49ran, 25mm moždíř-F2-1.4G</v>
      </c>
      <c r="B580" s="774"/>
      <c r="C580" s="774"/>
      <c r="D580" s="774"/>
      <c r="E580" s="774"/>
      <c r="F580" s="774"/>
      <c r="G580" s="774"/>
      <c r="H580" s="774"/>
      <c r="I580" s="774"/>
      <c r="J580" s="774"/>
      <c r="K580" s="774"/>
      <c r="L580" s="774"/>
      <c r="M580" s="774"/>
      <c r="N580" s="774"/>
      <c r="O580" s="774"/>
      <c r="P580" s="774"/>
      <c r="Q580" s="774"/>
      <c r="R580" s="774"/>
      <c r="S580" s="774"/>
      <c r="T580" s="774"/>
      <c r="U580" s="774"/>
      <c r="V580" s="774"/>
      <c r="W580" s="774"/>
      <c r="X580" s="774"/>
      <c r="Y580" s="774"/>
      <c r="Z580" s="774"/>
      <c r="AA580" s="774" t="str">
        <f>IFERROR(IF(VLOOKUP(C580,[4]List1!$A:$D,4,FALSE)=0,"",VLOOKUP(C580,[4]List1!$A:$D,4,FALSE)),"")</f>
        <v/>
      </c>
      <c r="AB580" s="774"/>
      <c r="AC580" s="775" t="str">
        <f>IFERROR(IF(VLOOKUP(C580,[1]List1!$A:$D,2,FALSE)="VYPRODÁNO",$V$9,IF(VLOOKUP(C580,[1]List1!$A:$D,2,FALSE)="DOCHÁZÍ",$V$3,VLOOKUP(C580,[1]List1!$A:$D,2,FALSE))),"OFFLINE!")</f>
        <v>OFFLINE!</v>
      </c>
      <c r="AD580" s="774"/>
      <c r="AE580" s="774"/>
      <c r="AF580" s="774"/>
      <c r="AG580" s="774"/>
      <c r="AH580" s="774"/>
      <c r="AI580" s="774"/>
      <c r="AJ580" s="774"/>
      <c r="AK580" s="774"/>
      <c r="AL580" s="774"/>
      <c r="AM580" s="774"/>
      <c r="AN580" s="774"/>
      <c r="AO580" s="380"/>
      <c r="AP580" s="322" t="str">
        <f t="shared" si="1200"/>
        <v/>
      </c>
      <c r="AQ580" s="323" t="str">
        <f>IF(AC580=$V$3,IF(VLOOKUP(C580,[1]List1!$A:$E,5,FALSE)=0,1,VLOOKUP(C580,[1]List1!$A:$E,5,FALSE)),"")</f>
        <v/>
      </c>
      <c r="AR580" s="304" t="str">
        <f t="shared" si="1201"/>
        <v/>
      </c>
      <c r="AS580" s="423" t="str">
        <f t="shared" si="1202"/>
        <v/>
      </c>
      <c r="AT580" s="304" t="str">
        <f t="shared" si="1203"/>
        <v/>
      </c>
      <c r="AU580" s="342" t="e">
        <f t="shared" si="1204"/>
        <v>#N/A</v>
      </c>
      <c r="AV580" s="304" t="e">
        <f t="shared" si="1205"/>
        <v>#N/A</v>
      </c>
      <c r="AX580" s="304">
        <f>IF(AND('General price list'!$J580="F4",'General price list'!$AB580+0&gt;0),1,0)</f>
        <v>0</v>
      </c>
      <c r="AY580" s="304">
        <f t="shared" si="1206"/>
        <v>0</v>
      </c>
      <c r="AZ580" s="304">
        <f t="shared" si="1207"/>
        <v>0</v>
      </c>
    </row>
    <row r="581" spans="1:52" ht="15" customHeight="1">
      <c r="A581" s="712" t="str">
        <f>Kat.!C578</f>
        <v/>
      </c>
      <c r="B581" s="713">
        <f>IF(AND('General price list'!$J581="F4",$AI$1=FALSE),0,IF(AC581="SKLADEM",1,IF(AC581=$V$3,1,0)))</f>
        <v>1</v>
      </c>
      <c r="C581" s="714" t="s">
        <v>1326</v>
      </c>
      <c r="D581" s="715" t="s">
        <v>14591</v>
      </c>
      <c r="E581" s="716" t="s">
        <v>1077</v>
      </c>
      <c r="F581" s="712">
        <f>IFERROR(ROUND(IF($AL$3=2,VLOOKUP(C581,[2]List1!$A:$D,2,FALSE)*1.08,VLOOKUP(C581,[2]List1!$A:$D,2,FALSE)),0),"NEUVEDENO!")</f>
        <v>645</v>
      </c>
      <c r="G581" s="717">
        <f t="shared" ref="G581:G583" si="1334">(F581)*$B$19</f>
        <v>645</v>
      </c>
      <c r="H581" s="718">
        <f t="shared" ref="H581:H583" si="1335">G581/$F$19</f>
        <v>26.210029704700332</v>
      </c>
      <c r="I581" s="719">
        <v>6</v>
      </c>
      <c r="J581" s="716" t="s">
        <v>46</v>
      </c>
      <c r="K581" s="716" t="s">
        <v>14820</v>
      </c>
      <c r="L581" s="716" t="s">
        <v>14395</v>
      </c>
      <c r="M581" s="716" t="s">
        <v>25</v>
      </c>
      <c r="N581" s="716">
        <f>IFERROR(VLOOKUP(C581,[3]List1!$A:$D,4,FALSE),"N/A!")</f>
        <v>4.8944000000000001E-2</v>
      </c>
      <c r="O581" s="716">
        <f>IFERROR(VLOOKUP(C581,[3]List1!$A:$D,3,FALSE),"N/A!")</f>
        <v>3000</v>
      </c>
      <c r="P581" s="716">
        <f>IFERROR(VLOOKUP(C581,[3]List1!$A:$D,2,FALSE),"N/A!")</f>
        <v>20000</v>
      </c>
      <c r="Q581" s="716" t="s">
        <v>14200</v>
      </c>
      <c r="R581" s="716" t="s">
        <v>24</v>
      </c>
      <c r="S581" s="716" t="str">
        <f>IF($W$17=$AF$1,"červená fólie",IFERROR(VLOOKUP("červená fólie",Jazyky_ceník!$A:$Q,MATCH($W$17,Jazyky_ceník!$A$1:$Q$1,0),FALSE),"!!!"))</f>
        <v>červená fólie</v>
      </c>
      <c r="T581" s="716">
        <v>40</v>
      </c>
      <c r="U581" s="716">
        <v>30</v>
      </c>
      <c r="V581" s="716">
        <v>21</v>
      </c>
      <c r="W581" s="716" t="str">
        <f>IFERROR(VLOOKUP('General price list'!$C581,Popisy!A:P,MATCH($W$17,Popisy!$A$7:$P$7,0),FALSE),"---------------")</f>
        <v>7 různobarevných efektů</v>
      </c>
      <c r="X581" s="716" t="str">
        <f t="shared" ref="X581:X583" si="1336">IF(AB581&lt;0.0001,"",AB581)</f>
        <v/>
      </c>
      <c r="Y581" s="716" t="str">
        <f t="shared" ref="Y581:Y583" si="1337">IF($AL$3=2,IF(OR(AB581&lt;&gt;"",AB581&lt;&gt;0),AU581,""),IF(C581="","",IF(AB581&lt;0.0001,"",IF(B581=0,"",IF(AQ581&lt;AB581,"",AB581)))))</f>
        <v/>
      </c>
      <c r="Z581" s="716" t="str">
        <f>HYPERLINK("https://www.klasekpyrotechnics.cz/c4925bp14")</f>
        <v>https://www.klasekpyrotechnics.cz/c4925bp14</v>
      </c>
      <c r="AA581" s="716">
        <f>IFERROR(IF(VLOOKUP(C581,[4]List1!$A:$D,4,FALSE)=0,"",VLOOKUP(C581,[4]List1!$A:$D,4,FALSE)),"")</f>
        <v>25</v>
      </c>
      <c r="AB581" s="720"/>
      <c r="AC581" s="721" t="str">
        <f>IFERROR(IF(VLOOKUP(C581,[1]List1!$A:$D,2,FALSE)="VYPRODÁNO",$V$9,IF(VLOOKUP(C581,[1]List1!$A:$D,2,FALSE)="DOCHÁZÍ",$V$3,VLOOKUP(C581,[1]List1!$A:$D,2,FALSE))),"OFFLINE!")</f>
        <v>SKLADEM</v>
      </c>
      <c r="AD581" s="722" t="str">
        <f ca="1">IF(AP581="NE",$V$10,IF(AC581=$V$3,IF(AQ581&lt;1,$V$8,$V$2&amp;" "&amp;AQ581&amp;" "&amp;$V$1),IF(AC581="SKLADEM",$V$6,IFERROR(IF(OR(AC581-TODAY()&gt;45,VLOOKUP(C581,[1]List1!$A:$E,4,FALSE)=0),AC581,DAY(AC581)&amp;"."&amp;MONTH(AC581)&amp;"."&amp;YEAR(AC581)&amp;" "&amp;$V$4&amp;VLOOKUP(C581,[1]List1!$A:$E,4,FALSE)&amp;" "&amp;$V$1),AC581))))</f>
        <v>SKLADEM</v>
      </c>
      <c r="AE581" s="716" t="str">
        <f t="shared" ref="AE581:AE583" ca="1" si="1338">IFERROR(IF(AV581&lt;&gt;"",AV581,AD581),AD581)</f>
        <v>SKLADEM</v>
      </c>
      <c r="AF581" s="723">
        <f t="shared" ref="AF581:AF583" si="1339">IFERROR(IF(AB581=Y581,G581*I581*Y581,0),0)</f>
        <v>0</v>
      </c>
      <c r="AG581" s="723">
        <f t="shared" ref="AG581:AG583" si="1340">IF($W$17=$AF$8,AH581*1.23,AF581*1.21)</f>
        <v>0</v>
      </c>
      <c r="AH581" s="724">
        <f t="shared" ref="AH581:AH583" si="1341">IFERROR(IF(Y581=AB581,H581*I581*Y581,0),0)</f>
        <v>0</v>
      </c>
      <c r="AI581" s="716">
        <f t="shared" ref="AI581:AI583" si="1342">IFERROR(IF(Y581=AB581,(P581*Y581)/1000,1),0)</f>
        <v>0</v>
      </c>
      <c r="AJ581" s="716">
        <f t="shared" ref="AJ581:AJ583" si="1343">IFERROR(IF(Y581=AB581,N581*Y581,0.1),0)</f>
        <v>0</v>
      </c>
      <c r="AK581" s="716" t="str">
        <f t="shared" ref="AK581:AK583" si="1344">IFERROR(IF(Y581=AB581,IF(M581="1.1G",(O581/1000)*Y581,""),""),0)</f>
        <v/>
      </c>
      <c r="AL581" s="716" t="str">
        <f t="shared" ref="AL581:AL583" si="1345">IFERROR(IF(Y581=AB581,IF(M581="1.3G",(O581/1000)*AB581,""),""),0)</f>
        <v/>
      </c>
      <c r="AM581" s="716">
        <f t="shared" ref="AM581:AM583" si="1346">IFERROR(IF(Y581=AB581,IF(M581="1.4G",(O581/1000)*AB581,""),""),0)</f>
        <v>0</v>
      </c>
      <c r="AN581" s="716">
        <f t="shared" ref="AN581:AN583" si="1347">SUM(AK581:AM581)</f>
        <v>0</v>
      </c>
      <c r="AO581" s="380"/>
      <c r="AP581" s="322" t="str">
        <f t="shared" si="1200"/>
        <v/>
      </c>
      <c r="AQ581" s="323" t="str">
        <f>IF(AC581=$V$3,IF(VLOOKUP(C581,[1]List1!$A:$E,5,FALSE)=0,1,VLOOKUP(C581,[1]List1!$A:$E,5,FALSE)),"")</f>
        <v/>
      </c>
      <c r="AR581" s="304" t="str">
        <f t="shared" si="1201"/>
        <v/>
      </c>
      <c r="AS581" s="423" t="str">
        <f t="shared" si="1202"/>
        <v/>
      </c>
      <c r="AT581" s="304" t="str">
        <f t="shared" si="1203"/>
        <v/>
      </c>
      <c r="AU581" s="342" t="e">
        <f t="shared" si="1204"/>
        <v>#N/A</v>
      </c>
      <c r="AV581" s="304" t="e">
        <f t="shared" si="1205"/>
        <v>#N/A</v>
      </c>
      <c r="AX581" s="304">
        <f>IF(AND('General price list'!$J581="F4",'General price list'!$AB581+0&gt;0),1,0)</f>
        <v>0</v>
      </c>
      <c r="AY581" s="304">
        <f t="shared" si="1206"/>
        <v>1</v>
      </c>
      <c r="AZ581" s="304">
        <f t="shared" si="1207"/>
        <v>0</v>
      </c>
    </row>
    <row r="582" spans="1:52" ht="15" customHeight="1">
      <c r="A582" s="725" t="str">
        <f>Kat.!C579</f>
        <v/>
      </c>
      <c r="B582" s="726">
        <f>IF(AND('General price list'!$J582="F4",$AI$1=FALSE),0,IF(AC582="SKLADEM",1,IF(AC582=$V$3,1,0)))</f>
        <v>1</v>
      </c>
      <c r="C582" s="727" t="s">
        <v>1327</v>
      </c>
      <c r="D582" s="728" t="s">
        <v>1328</v>
      </c>
      <c r="E582" s="729" t="s">
        <v>1077</v>
      </c>
      <c r="F582" s="725">
        <f>IFERROR(ROUND(IF($AL$3=2,VLOOKUP(C582,[2]List1!$A:$D,2,FALSE)*1.08,VLOOKUP(C582,[2]List1!$A:$D,2,FALSE)),0),"NEUVEDENO!")</f>
        <v>728</v>
      </c>
      <c r="G582" s="730">
        <f t="shared" si="1334"/>
        <v>728</v>
      </c>
      <c r="H582" s="731">
        <f t="shared" si="1335"/>
        <v>29.582793217088128</v>
      </c>
      <c r="I582" s="732">
        <v>6</v>
      </c>
      <c r="J582" s="729" t="s">
        <v>46</v>
      </c>
      <c r="K582" s="729"/>
      <c r="L582" s="729" t="s">
        <v>14395</v>
      </c>
      <c r="M582" s="729" t="s">
        <v>25</v>
      </c>
      <c r="N582" s="729">
        <f>IFERROR(VLOOKUP(C582,[3]List1!$A:$D,4,FALSE),"N/A!")</f>
        <v>4.8944000000000001E-2</v>
      </c>
      <c r="O582" s="729">
        <f>IFERROR(VLOOKUP(C582,[3]List1!$A:$D,3,FALSE),"N/A!")</f>
        <v>2970</v>
      </c>
      <c r="P582" s="729">
        <f>IFERROR(VLOOKUP(C582,[3]List1!$A:$D,2,FALSE),"N/A!")</f>
        <v>20000</v>
      </c>
      <c r="Q582" s="729" t="s">
        <v>1320</v>
      </c>
      <c r="R582" s="729" t="s">
        <v>24</v>
      </c>
      <c r="S582" s="729" t="str">
        <f>IF($W$17=$AF$1,"design",IFERROR(VLOOKUP("design",Jazyky_ceník!$A:$Q,MATCH($W$17,Jazyky_ceník!$A$1:$Q$1,0),FALSE),"!!!"))</f>
        <v>design</v>
      </c>
      <c r="T582" s="729">
        <v>40</v>
      </c>
      <c r="U582" s="729">
        <v>30</v>
      </c>
      <c r="V582" s="729">
        <v>3</v>
      </c>
      <c r="W582" s="729" t="str">
        <f>IFERROR(VLOOKUP('General price list'!$C582,Popisy!A:P,MATCH($W$17,Popisy!$A$7:$P$7,0),FALSE),"---------------")</f>
        <v>7 různobarevných efektů - bez hluku</v>
      </c>
      <c r="X582" s="729" t="str">
        <f t="shared" si="1336"/>
        <v/>
      </c>
      <c r="Y582" s="729" t="str">
        <f t="shared" si="1337"/>
        <v/>
      </c>
      <c r="Z582" s="729" t="str">
        <f>HYPERLINK("https://www.klasekpyrotechnics.cz/c4925no14")</f>
        <v>https://www.klasekpyrotechnics.cz/c4925no14</v>
      </c>
      <c r="AA582" s="729">
        <f>IFERROR(IF(VLOOKUP(C582,[4]List1!$A:$D,4,FALSE)=0,"",VLOOKUP(C582,[4]List1!$A:$D,4,FALSE)),"")</f>
        <v>25</v>
      </c>
      <c r="AB582" s="720"/>
      <c r="AC582" s="733" t="str">
        <f>IFERROR(IF(VLOOKUP(C582,[1]List1!$A:$D,2,FALSE)="VYPRODÁNO",$V$9,IF(VLOOKUP(C582,[1]List1!$A:$D,2,FALSE)="DOCHÁZÍ",$V$3,VLOOKUP(C582,[1]List1!$A:$D,2,FALSE))),"OFFLINE!")</f>
        <v>SKLADEM</v>
      </c>
      <c r="AD582" s="734" t="str">
        <f ca="1">IF(AP582="NE",$V$10,IF(AC582=$V$3,IF(AQ582&lt;1,$V$8,$V$2&amp;" "&amp;AQ582&amp;" "&amp;$V$1),IF(AC582="SKLADEM",$V$6,IFERROR(IF(OR(AC582-TODAY()&gt;45,VLOOKUP(C582,[1]List1!$A:$E,4,FALSE)=0),AC582,DAY(AC582)&amp;"."&amp;MONTH(AC582)&amp;"."&amp;YEAR(AC582)&amp;" "&amp;$V$4&amp;VLOOKUP(C582,[1]List1!$A:$E,4,FALSE)&amp;" "&amp;$V$1),AC582))))</f>
        <v>SKLADEM</v>
      </c>
      <c r="AE582" s="729" t="str">
        <f t="shared" ca="1" si="1338"/>
        <v>SKLADEM</v>
      </c>
      <c r="AF582" s="735">
        <f t="shared" si="1339"/>
        <v>0</v>
      </c>
      <c r="AG582" s="735">
        <f t="shared" si="1340"/>
        <v>0</v>
      </c>
      <c r="AH582" s="736">
        <f t="shared" si="1341"/>
        <v>0</v>
      </c>
      <c r="AI582" s="729">
        <f t="shared" si="1342"/>
        <v>0</v>
      </c>
      <c r="AJ582" s="729">
        <f t="shared" si="1343"/>
        <v>0</v>
      </c>
      <c r="AK582" s="729" t="str">
        <f t="shared" si="1344"/>
        <v/>
      </c>
      <c r="AL582" s="729" t="str">
        <f t="shared" si="1345"/>
        <v/>
      </c>
      <c r="AM582" s="729">
        <f t="shared" si="1346"/>
        <v>0</v>
      </c>
      <c r="AN582" s="729">
        <f t="shared" si="1347"/>
        <v>0</v>
      </c>
      <c r="AO582" s="380"/>
      <c r="AP582" s="322" t="str">
        <f t="shared" si="1200"/>
        <v/>
      </c>
      <c r="AQ582" s="323" t="str">
        <f>IF(AC582=$V$3,IF(VLOOKUP(C582,[1]List1!$A:$E,5,FALSE)=0,1,VLOOKUP(C582,[1]List1!$A:$E,5,FALSE)),"")</f>
        <v/>
      </c>
      <c r="AR582" s="304" t="str">
        <f t="shared" si="1201"/>
        <v/>
      </c>
      <c r="AS582" s="423" t="str">
        <f t="shared" si="1202"/>
        <v/>
      </c>
      <c r="AT582" s="304" t="str">
        <f t="shared" si="1203"/>
        <v/>
      </c>
      <c r="AU582" s="342" t="e">
        <f t="shared" si="1204"/>
        <v>#N/A</v>
      </c>
      <c r="AV582" s="304" t="e">
        <f t="shared" si="1205"/>
        <v>#N/A</v>
      </c>
      <c r="AX582" s="304">
        <f>IF(AND('General price list'!$J582="F4",'General price list'!$AB582+0&gt;0),1,0)</f>
        <v>0</v>
      </c>
      <c r="AY582" s="304">
        <f t="shared" si="1206"/>
        <v>1</v>
      </c>
      <c r="AZ582" s="304">
        <f t="shared" si="1207"/>
        <v>0</v>
      </c>
    </row>
    <row r="583" spans="1:52" ht="15" customHeight="1">
      <c r="A583" s="712" t="str">
        <f>Kat.!C580</f>
        <v/>
      </c>
      <c r="B583" s="737">
        <f>IF(AND('General price list'!$J583="F4",$AI$1=FALSE),0,IF(AC583="SKLADEM",1,IF(AC583=$V$3,1,0)))</f>
        <v>0</v>
      </c>
      <c r="C583" s="714" t="s">
        <v>1331</v>
      </c>
      <c r="D583" s="715" t="s">
        <v>1325</v>
      </c>
      <c r="E583" s="716" t="s">
        <v>1077</v>
      </c>
      <c r="F583" s="712">
        <f>IFERROR(ROUND(IF($AL$3=2,VLOOKUP(C583,[2]List1!$A:$D,2,FALSE)*1.08,VLOOKUP(C583,[2]List1!$A:$D,2,FALSE)),0),"NEUVEDENO!")</f>
        <v>652</v>
      </c>
      <c r="G583" s="717">
        <f t="shared" si="1334"/>
        <v>652</v>
      </c>
      <c r="H583" s="718">
        <f t="shared" si="1335"/>
        <v>26.494479639480026</v>
      </c>
      <c r="I583" s="738">
        <v>6</v>
      </c>
      <c r="J583" s="716" t="s">
        <v>46</v>
      </c>
      <c r="K583" s="716" t="s">
        <v>14821</v>
      </c>
      <c r="L583" s="716" t="s">
        <v>14383</v>
      </c>
      <c r="M583" s="716" t="s">
        <v>25</v>
      </c>
      <c r="N583" s="716">
        <f>IFERROR(VLOOKUP(C583,[3]List1!$A:$D,4,FALSE),"N/A!")</f>
        <v>4.8944000000000001E-2</v>
      </c>
      <c r="O583" s="716">
        <f>IFERROR(VLOOKUP(C583,[3]List1!$A:$D,3,FALSE),"N/A!")</f>
        <v>2988</v>
      </c>
      <c r="P583" s="716">
        <f>IFERROR(VLOOKUP(C583,[3]List1!$A:$D,2,FALSE),"N/A!")</f>
        <v>20000</v>
      </c>
      <c r="Q583" s="716" t="s">
        <v>14097</v>
      </c>
      <c r="R583" s="716" t="s">
        <v>24</v>
      </c>
      <c r="S583" s="716" t="str">
        <f>IF($W$17=$AF$1,"design",IFERROR(VLOOKUP("design",Jazyky_ceník!$A:$Q,MATCH($W$17,Jazyky_ceník!$A$1:$Q$1,0),FALSE),"!!!"))</f>
        <v>design</v>
      </c>
      <c r="T583" s="716">
        <v>40</v>
      </c>
      <c r="U583" s="716">
        <v>30</v>
      </c>
      <c r="V583" s="716">
        <v>18</v>
      </c>
      <c r="W583" s="716" t="str">
        <f>IFERROR(VLOOKUP('General price list'!$C583,Popisy!A:P,MATCH($W$17,Popisy!$A$7:$P$7,0),FALSE),"---------------")</f>
        <v>7 různobarevných efektů</v>
      </c>
      <c r="X583" s="716" t="str">
        <f t="shared" si="1336"/>
        <v/>
      </c>
      <c r="Y583" s="716" t="str">
        <f t="shared" si="1337"/>
        <v/>
      </c>
      <c r="Z583" s="716" t="str">
        <f>HYPERLINK("https://www.klasekpyrotechnics.cz/c4925v14")</f>
        <v>https://www.klasekpyrotechnics.cz/c4925v14</v>
      </c>
      <c r="AA583" s="716">
        <f>IFERROR(IF(VLOOKUP(C583,[4]List1!$A:$D,4,FALSE)=0,"",VLOOKUP(C583,[4]List1!$A:$D,4,FALSE)),"")</f>
        <v>25</v>
      </c>
      <c r="AB583" s="720"/>
      <c r="AC583" s="739" t="str">
        <f>IFERROR(IF(VLOOKUP(C583,[1]List1!$A:$D,2,FALSE)="VYPRODÁNO",$V$9,IF(VLOOKUP(C583,[1]List1!$A:$D,2,FALSE)="DOCHÁZÍ",$V$3,VLOOKUP(C583,[1]List1!$A:$D,2,FALSE))),"OFFLINE!")</f>
        <v>15.06.2024</v>
      </c>
      <c r="AD583" s="740" t="str">
        <f ca="1">IF(AP583="NE",$V$10,IF(AC583=$V$3,IF(AQ583&lt;1,$V$8,$V$2&amp;" "&amp;AQ583&amp;" "&amp;$V$1),IF(AC583="SKLADEM",$V$6,IFERROR(IF(OR(AC583-TODAY()&gt;45,VLOOKUP(C583,[1]List1!$A:$E,4,FALSE)=0),AC583,DAY(AC583)&amp;"."&amp;MONTH(AC583)&amp;"."&amp;YEAR(AC583)&amp;" "&amp;$V$4&amp;VLOOKUP(C583,[1]List1!$A:$E,4,FALSE)&amp;" "&amp;$V$1),AC583))))</f>
        <v>15.06.2024</v>
      </c>
      <c r="AE583" s="716" t="str">
        <f t="shared" ca="1" si="1338"/>
        <v>15.06.2024</v>
      </c>
      <c r="AF583" s="723">
        <f t="shared" si="1339"/>
        <v>0</v>
      </c>
      <c r="AG583" s="723">
        <f t="shared" si="1340"/>
        <v>0</v>
      </c>
      <c r="AH583" s="724">
        <f t="shared" si="1341"/>
        <v>0</v>
      </c>
      <c r="AI583" s="716">
        <f t="shared" si="1342"/>
        <v>0</v>
      </c>
      <c r="AJ583" s="716">
        <f t="shared" si="1343"/>
        <v>0</v>
      </c>
      <c r="AK583" s="716" t="str">
        <f t="shared" si="1344"/>
        <v/>
      </c>
      <c r="AL583" s="716" t="str">
        <f t="shared" si="1345"/>
        <v/>
      </c>
      <c r="AM583" s="716">
        <f t="shared" si="1346"/>
        <v>0</v>
      </c>
      <c r="AN583" s="716">
        <f t="shared" si="1347"/>
        <v>0</v>
      </c>
      <c r="AO583" s="380"/>
      <c r="AP583" s="322" t="str">
        <f t="shared" si="1200"/>
        <v/>
      </c>
      <c r="AQ583" s="323" t="str">
        <f>IF(AC583=$V$3,IF(VLOOKUP(C583,[1]List1!$A:$E,5,FALSE)=0,1,VLOOKUP(C583,[1]List1!$A:$E,5,FALSE)),"")</f>
        <v/>
      </c>
      <c r="AR583" s="304" t="str">
        <f t="shared" si="1201"/>
        <v/>
      </c>
      <c r="AS583" s="423" t="str">
        <f t="shared" si="1202"/>
        <v/>
      </c>
      <c r="AT583" s="304" t="str">
        <f t="shared" si="1203"/>
        <v/>
      </c>
      <c r="AU583" s="342" t="e">
        <f t="shared" si="1204"/>
        <v>#N/A</v>
      </c>
      <c r="AV583" s="304" t="e">
        <f t="shared" si="1205"/>
        <v>#N/A</v>
      </c>
      <c r="AX583" s="304">
        <f>IF(AND('General price list'!$J583="F4",'General price list'!$AB583+0&gt;0),1,0)</f>
        <v>0</v>
      </c>
      <c r="AY583" s="304">
        <f t="shared" si="1206"/>
        <v>1</v>
      </c>
      <c r="AZ583" s="304">
        <f t="shared" si="1207"/>
        <v>0</v>
      </c>
    </row>
    <row r="584" spans="1:52" ht="15" customHeight="1">
      <c r="A584" s="773" t="str">
        <f>Kat.!C581</f>
        <v xml:space="preserve">                                                               Baterie 49ran, 25mm moždíř-F3-1.3G</v>
      </c>
      <c r="B584" s="774"/>
      <c r="C584" s="774"/>
      <c r="D584" s="774"/>
      <c r="E584" s="774"/>
      <c r="F584" s="774"/>
      <c r="G584" s="774"/>
      <c r="H584" s="774"/>
      <c r="I584" s="774"/>
      <c r="J584" s="774"/>
      <c r="K584" s="774"/>
      <c r="L584" s="774"/>
      <c r="M584" s="774"/>
      <c r="N584" s="774"/>
      <c r="O584" s="774"/>
      <c r="P584" s="774"/>
      <c r="Q584" s="774"/>
      <c r="R584" s="774"/>
      <c r="S584" s="774"/>
      <c r="T584" s="774"/>
      <c r="U584" s="774"/>
      <c r="V584" s="774"/>
      <c r="W584" s="774"/>
      <c r="X584" s="774"/>
      <c r="Y584" s="774"/>
      <c r="Z584" s="774"/>
      <c r="AA584" s="774" t="str">
        <f>IFERROR(IF(VLOOKUP(C584,[4]List1!$A:$D,4,FALSE)=0,"",VLOOKUP(C584,[4]List1!$A:$D,4,FALSE)),"")</f>
        <v/>
      </c>
      <c r="AB584" s="774"/>
      <c r="AC584" s="775" t="str">
        <f>IFERROR(IF(VLOOKUP(C584,[1]List1!$A:$D,2,FALSE)="VYPRODÁNO",$V$9,IF(VLOOKUP(C584,[1]List1!$A:$D,2,FALSE)="DOCHÁZÍ",$V$3,VLOOKUP(C584,[1]List1!$A:$D,2,FALSE))),"OFFLINE!")</f>
        <v>OFFLINE!</v>
      </c>
      <c r="AD584" s="774"/>
      <c r="AE584" s="774"/>
      <c r="AF584" s="774"/>
      <c r="AG584" s="774"/>
      <c r="AH584" s="774"/>
      <c r="AI584" s="774"/>
      <c r="AJ584" s="774"/>
      <c r="AK584" s="774"/>
      <c r="AL584" s="774"/>
      <c r="AM584" s="774"/>
      <c r="AN584" s="774"/>
      <c r="AO584" s="380"/>
      <c r="AP584" s="322" t="str">
        <f t="shared" si="1200"/>
        <v/>
      </c>
      <c r="AQ584" s="323" t="str">
        <f>IF(AC584=$V$3,IF(VLOOKUP(C584,[1]List1!$A:$E,5,FALSE)=0,1,VLOOKUP(C584,[1]List1!$A:$E,5,FALSE)),"")</f>
        <v/>
      </c>
      <c r="AR584" s="304" t="str">
        <f t="shared" si="1201"/>
        <v/>
      </c>
      <c r="AS584" s="423" t="str">
        <f t="shared" si="1202"/>
        <v/>
      </c>
      <c r="AT584" s="304" t="str">
        <f t="shared" si="1203"/>
        <v/>
      </c>
      <c r="AU584" s="342" t="e">
        <f t="shared" si="1204"/>
        <v>#N/A</v>
      </c>
      <c r="AV584" s="304" t="e">
        <f t="shared" si="1205"/>
        <v>#N/A</v>
      </c>
      <c r="AX584" s="304">
        <f>IF(AND('General price list'!$J584="F4",'General price list'!$AB584+0&gt;0),1,0)</f>
        <v>0</v>
      </c>
      <c r="AY584" s="304">
        <f t="shared" si="1206"/>
        <v>0</v>
      </c>
      <c r="AZ584" s="304">
        <f t="shared" si="1207"/>
        <v>0</v>
      </c>
    </row>
    <row r="585" spans="1:52" ht="15" customHeight="1">
      <c r="A585" s="712" t="str">
        <f>Kat.!C582</f>
        <v/>
      </c>
      <c r="B585" s="713">
        <f>IF(AND('General price list'!$J585="F4",$AI$1=FALSE),0,IF(AC585="SKLADEM",1,IF(AC585=$V$3,1,0)))</f>
        <v>1</v>
      </c>
      <c r="C585" s="714" t="s">
        <v>1332</v>
      </c>
      <c r="D585" s="715" t="s">
        <v>14592</v>
      </c>
      <c r="E585" s="716" t="s">
        <v>1077</v>
      </c>
      <c r="F585" s="712">
        <f>IFERROR(ROUND(IF($AL$3=2,VLOOKUP(C585,[2]List1!$A:$D,2,FALSE)*1.08,VLOOKUP(C585,[2]List1!$A:$D,2,FALSE)),0),"NEUVEDENO!")</f>
        <v>980</v>
      </c>
      <c r="G585" s="717">
        <f t="shared" ref="G585:G587" si="1348">(F585)*$B$19</f>
        <v>980</v>
      </c>
      <c r="H585" s="718">
        <f t="shared" ref="H585:H587" si="1349">G585/$F$19</f>
        <v>39.822990869157096</v>
      </c>
      <c r="I585" s="719">
        <v>6</v>
      </c>
      <c r="J585" s="716" t="s">
        <v>137</v>
      </c>
      <c r="K585" s="716"/>
      <c r="L585" s="716" t="s">
        <v>24</v>
      </c>
      <c r="M585" s="716" t="s">
        <v>138</v>
      </c>
      <c r="N585" s="716">
        <f>IFERROR(VLOOKUP(C585,[3]List1!$A:$D,4,FALSE),"N/A!")</f>
        <v>4.8944000000000001E-2</v>
      </c>
      <c r="O585" s="716">
        <f>IFERROR(VLOOKUP(C585,[3]List1!$A:$D,3,FALSE),"N/A!")</f>
        <v>5880</v>
      </c>
      <c r="P585" s="716">
        <f>IFERROR(VLOOKUP(C585,[3]List1!$A:$D,2,FALSE),"N/A!")</f>
        <v>20000</v>
      </c>
      <c r="Q585" s="716" t="s">
        <v>14147</v>
      </c>
      <c r="R585" s="716" t="s">
        <v>24</v>
      </c>
      <c r="S585" s="716" t="str">
        <f>IF($W$17=$AF$1,"design",IFERROR(VLOOKUP("design",Jazyky_ceník!$A:$Q,MATCH($W$17,Jazyky_ceník!$A$1:$Q$1,0),FALSE),"!!!"))</f>
        <v>design</v>
      </c>
      <c r="T585" s="716">
        <v>40</v>
      </c>
      <c r="U585" s="716">
        <v>33</v>
      </c>
      <c r="V585" s="716">
        <v>25</v>
      </c>
      <c r="W585" s="716" t="str">
        <f>IFERROR(VLOOKUP('General price list'!$C585,Popisy!A:P,MATCH($W$17,Popisy!$A$7:$P$7,0),FALSE),"---------------")</f>
        <v>7 různobarevných efektů</v>
      </c>
      <c r="X585" s="716" t="str">
        <f t="shared" ref="X585:X587" si="1350">IF(AB585&lt;0.0001,"",AB585)</f>
        <v/>
      </c>
      <c r="Y585" s="716" t="str">
        <f t="shared" ref="Y585:Y587" si="1351">IF($AL$3=2,IF(OR(AB585&lt;&gt;"",AB585&lt;&gt;0),AU585,""),IF(C585="","",IF(AB585&lt;0.0001,"",IF(B585=0,"",IF(AQ585&lt;AB585,"",AB585)))))</f>
        <v/>
      </c>
      <c r="Z585" s="716" t="str">
        <f>HYPERLINK("https://www.klasekpyrotechnics.cz/c4925sig")</f>
        <v>https://www.klasekpyrotechnics.cz/c4925sig</v>
      </c>
      <c r="AA585" s="716">
        <f>IFERROR(IF(VLOOKUP(C585,[4]List1!$A:$D,4,FALSE)=0,"",VLOOKUP(C585,[4]List1!$A:$D,4,FALSE)),"")</f>
        <v>25</v>
      </c>
      <c r="AB585" s="720"/>
      <c r="AC585" s="721" t="str">
        <f>IFERROR(IF(VLOOKUP(C585,[1]List1!$A:$D,2,FALSE)="VYPRODÁNO",$V$9,IF(VLOOKUP(C585,[1]List1!$A:$D,2,FALSE)="DOCHÁZÍ",$V$3,VLOOKUP(C585,[1]List1!$A:$D,2,FALSE))),"OFFLINE!")</f>
        <v>SKLADEM</v>
      </c>
      <c r="AD585" s="722" t="str">
        <f ca="1">IF(AP585="NE",$V$10,IF(AC585=$V$3,IF(AQ585&lt;1,$V$8,$V$2&amp;" "&amp;AQ585&amp;" "&amp;$V$1),IF(AC585="SKLADEM",$V$6,IFERROR(IF(OR(AC585-TODAY()&gt;45,VLOOKUP(C585,[1]List1!$A:$E,4,FALSE)=0),AC585,DAY(AC585)&amp;"."&amp;MONTH(AC585)&amp;"."&amp;YEAR(AC585)&amp;" "&amp;$V$4&amp;VLOOKUP(C585,[1]List1!$A:$E,4,FALSE)&amp;" "&amp;$V$1),AC585))))</f>
        <v>SKLADEM</v>
      </c>
      <c r="AE585" s="716" t="str">
        <f t="shared" ref="AE585:AE587" ca="1" si="1352">IFERROR(IF(AV585&lt;&gt;"",AV585,AD585),AD585)</f>
        <v>SKLADEM</v>
      </c>
      <c r="AF585" s="723">
        <f t="shared" ref="AF585:AF587" si="1353">IFERROR(IF(AB585=Y585,G585*I585*Y585,0),0)</f>
        <v>0</v>
      </c>
      <c r="AG585" s="723">
        <f t="shared" ref="AG585:AG587" si="1354">IF($W$17=$AF$8,AH585*1.23,AF585*1.21)</f>
        <v>0</v>
      </c>
      <c r="AH585" s="724">
        <f t="shared" ref="AH585:AH587" si="1355">IFERROR(IF(Y585=AB585,H585*I585*Y585,0),0)</f>
        <v>0</v>
      </c>
      <c r="AI585" s="716">
        <f t="shared" ref="AI585:AI587" si="1356">IFERROR(IF(Y585=AB585,(P585*Y585)/1000,1),0)</f>
        <v>0</v>
      </c>
      <c r="AJ585" s="716">
        <f t="shared" ref="AJ585:AJ587" si="1357">IFERROR(IF(Y585=AB585,N585*Y585,0.1),0)</f>
        <v>0</v>
      </c>
      <c r="AK585" s="716" t="str">
        <f t="shared" ref="AK585:AK587" si="1358">IFERROR(IF(Y585=AB585,IF(M585="1.1G",(O585/1000)*Y585,""),""),0)</f>
        <v/>
      </c>
      <c r="AL585" s="716">
        <f t="shared" ref="AL585:AL587" si="1359">IFERROR(IF(Y585=AB585,IF(M585="1.3G",(O585/1000)*AB585,""),""),0)</f>
        <v>0</v>
      </c>
      <c r="AM585" s="716" t="str">
        <f t="shared" ref="AM585:AM587" si="1360">IFERROR(IF(Y585=AB585,IF(M585="1.4G",(O585/1000)*AB585,""),""),0)</f>
        <v/>
      </c>
      <c r="AN585" s="716">
        <f t="shared" ref="AN585:AN587" si="1361">SUM(AK585:AM585)</f>
        <v>0</v>
      </c>
      <c r="AO585" s="380"/>
      <c r="AP585" s="322" t="str">
        <f t="shared" si="1200"/>
        <v/>
      </c>
      <c r="AQ585" s="323" t="str">
        <f>IF(AC585=$V$3,IF(VLOOKUP(C585,[1]List1!$A:$E,5,FALSE)=0,1,VLOOKUP(C585,[1]List1!$A:$E,5,FALSE)),"")</f>
        <v/>
      </c>
      <c r="AR585" s="304" t="str">
        <f t="shared" si="1201"/>
        <v/>
      </c>
      <c r="AS585" s="423" t="str">
        <f t="shared" si="1202"/>
        <v/>
      </c>
      <c r="AT585" s="304" t="str">
        <f t="shared" si="1203"/>
        <v/>
      </c>
      <c r="AU585" s="342" t="e">
        <f t="shared" si="1204"/>
        <v>#N/A</v>
      </c>
      <c r="AV585" s="304" t="e">
        <f t="shared" si="1205"/>
        <v>#N/A</v>
      </c>
      <c r="AX585" s="304">
        <f>IF(AND('General price list'!$J585="F4",'General price list'!$AB585+0&gt;0),1,0)</f>
        <v>0</v>
      </c>
      <c r="AY585" s="304">
        <f t="shared" si="1206"/>
        <v>1</v>
      </c>
      <c r="AZ585" s="304">
        <f t="shared" si="1207"/>
        <v>0</v>
      </c>
    </row>
    <row r="586" spans="1:52" ht="15" customHeight="1">
      <c r="A586" s="725" t="str">
        <f>Kat.!C583</f>
        <v/>
      </c>
      <c r="B586" s="726">
        <f>IF(AND('General price list'!$J586="F4",$AI$1=FALSE),0,IF(AC586="SKLADEM",1,IF(AC586=$V$3,1,0)))</f>
        <v>1</v>
      </c>
      <c r="C586" s="727" t="s">
        <v>1333</v>
      </c>
      <c r="D586" s="728" t="s">
        <v>12847</v>
      </c>
      <c r="E586" s="729" t="s">
        <v>1077</v>
      </c>
      <c r="F586" s="725">
        <f>IFERROR(ROUND(IF($AL$3=2,VLOOKUP(C586,[2]List1!$A:$D,2,FALSE)*1.08,VLOOKUP(C586,[2]List1!$A:$D,2,FALSE)),0),"NEUVEDENO!")</f>
        <v>671</v>
      </c>
      <c r="G586" s="730">
        <f t="shared" si="1348"/>
        <v>671</v>
      </c>
      <c r="H586" s="731">
        <f t="shared" si="1349"/>
        <v>27.266558033882053</v>
      </c>
      <c r="I586" s="732">
        <v>6</v>
      </c>
      <c r="J586" s="729" t="s">
        <v>137</v>
      </c>
      <c r="K586" s="729"/>
      <c r="L586" s="729" t="s">
        <v>24</v>
      </c>
      <c r="M586" s="729" t="s">
        <v>138</v>
      </c>
      <c r="N586" s="729">
        <f>IFERROR(VLOOKUP(C586,[3]List1!$A:$D,4,FALSE),"N/A!")</f>
        <v>4.8944000000000001E-2</v>
      </c>
      <c r="O586" s="729">
        <f>IFERROR(VLOOKUP(C586,[3]List1!$A:$D,3,FALSE),"N/A!")</f>
        <v>3528</v>
      </c>
      <c r="P586" s="729">
        <f>IFERROR(VLOOKUP(C586,[3]List1!$A:$D,2,FALSE),"N/A!")</f>
        <v>20000</v>
      </c>
      <c r="Q586" s="729" t="s">
        <v>14147</v>
      </c>
      <c r="R586" s="729" t="s">
        <v>24</v>
      </c>
      <c r="S586" s="729" t="str">
        <f>IF($W$17=$AF$1,"design",IFERROR(VLOOKUP("design",Jazyky_ceník!$A:$Q,MATCH($W$17,Jazyky_ceník!$A$1:$Q$1,0),FALSE),"!!!"))</f>
        <v>design</v>
      </c>
      <c r="T586" s="729">
        <v>35</v>
      </c>
      <c r="U586" s="729"/>
      <c r="V586" s="729"/>
      <c r="W586" s="729" t="str">
        <f>IFERROR(VLOOKUP('General price list'!$C586,Popisy!A:P,MATCH($W$17,Popisy!$A$7:$P$7,0),FALSE),"---------------")</f>
        <v>stříbrná mina s červenou stopou a titanovou detonací</v>
      </c>
      <c r="X586" s="729" t="str">
        <f t="shared" si="1350"/>
        <v/>
      </c>
      <c r="Y586" s="729" t="str">
        <f t="shared" si="1351"/>
        <v/>
      </c>
      <c r="Z586" s="729" t="str">
        <f>HYPERLINK("https://www.klasekpyrotechnics.cz/c4925d")</f>
        <v>https://www.klasekpyrotechnics.cz/c4925d</v>
      </c>
      <c r="AA586" s="729">
        <f>IFERROR(IF(VLOOKUP(C586,[4]List1!$A:$D,4,FALSE)=0,"",VLOOKUP(C586,[4]List1!$A:$D,4,FALSE)),"")</f>
        <v>25</v>
      </c>
      <c r="AB586" s="720"/>
      <c r="AC586" s="733" t="str">
        <f>IFERROR(IF(VLOOKUP(C586,[1]List1!$A:$D,2,FALSE)="VYPRODÁNO",$V$9,IF(VLOOKUP(C586,[1]List1!$A:$D,2,FALSE)="DOCHÁZÍ",$V$3,VLOOKUP(C586,[1]List1!$A:$D,2,FALSE))),"OFFLINE!")</f>
        <v>SKLADEM</v>
      </c>
      <c r="AD586" s="734" t="str">
        <f ca="1">IF(AP586="NE",$V$10,IF(AC586=$V$3,IF(AQ586&lt;1,$V$8,$V$2&amp;" "&amp;AQ586&amp;" "&amp;$V$1),IF(AC586="SKLADEM",$V$6,IFERROR(IF(OR(AC586-TODAY()&gt;45,VLOOKUP(C586,[1]List1!$A:$E,4,FALSE)=0),AC586,DAY(AC586)&amp;"."&amp;MONTH(AC586)&amp;"."&amp;YEAR(AC586)&amp;" "&amp;$V$4&amp;VLOOKUP(C586,[1]List1!$A:$E,4,FALSE)&amp;" "&amp;$V$1),AC586))))</f>
        <v>SKLADEM</v>
      </c>
      <c r="AE586" s="729" t="str">
        <f t="shared" ca="1" si="1352"/>
        <v>SKLADEM</v>
      </c>
      <c r="AF586" s="735">
        <f t="shared" si="1353"/>
        <v>0</v>
      </c>
      <c r="AG586" s="735">
        <f t="shared" si="1354"/>
        <v>0</v>
      </c>
      <c r="AH586" s="736">
        <f t="shared" si="1355"/>
        <v>0</v>
      </c>
      <c r="AI586" s="729">
        <f t="shared" si="1356"/>
        <v>0</v>
      </c>
      <c r="AJ586" s="729">
        <f t="shared" si="1357"/>
        <v>0</v>
      </c>
      <c r="AK586" s="729" t="str">
        <f t="shared" si="1358"/>
        <v/>
      </c>
      <c r="AL586" s="729">
        <f t="shared" si="1359"/>
        <v>0</v>
      </c>
      <c r="AM586" s="729" t="str">
        <f t="shared" si="1360"/>
        <v/>
      </c>
      <c r="AN586" s="729">
        <f t="shared" si="1361"/>
        <v>0</v>
      </c>
      <c r="AO586" s="380"/>
      <c r="AP586" s="322" t="str">
        <f t="shared" si="1200"/>
        <v/>
      </c>
      <c r="AQ586" s="323" t="str">
        <f>IF(AC586=$V$3,IF(VLOOKUP(C586,[1]List1!$A:$E,5,FALSE)=0,1,VLOOKUP(C586,[1]List1!$A:$E,5,FALSE)),"")</f>
        <v/>
      </c>
      <c r="AR586" s="304" t="str">
        <f t="shared" si="1201"/>
        <v/>
      </c>
      <c r="AS586" s="423" t="str">
        <f t="shared" si="1202"/>
        <v/>
      </c>
      <c r="AT586" s="304" t="str">
        <f t="shared" si="1203"/>
        <v/>
      </c>
      <c r="AU586" s="342" t="e">
        <f t="shared" si="1204"/>
        <v>#N/A</v>
      </c>
      <c r="AV586" s="304" t="e">
        <f t="shared" si="1205"/>
        <v>#N/A</v>
      </c>
      <c r="AX586" s="304">
        <f>IF(AND('General price list'!$J586="F4",'General price list'!$AB586+0&gt;0),1,0)</f>
        <v>0</v>
      </c>
      <c r="AY586" s="304">
        <f t="shared" si="1206"/>
        <v>1</v>
      </c>
      <c r="AZ586" s="304">
        <f t="shared" si="1207"/>
        <v>0</v>
      </c>
    </row>
    <row r="587" spans="1:52" ht="15" customHeight="1">
      <c r="A587" s="712" t="str">
        <f>Kat.!C584</f>
        <v/>
      </c>
      <c r="B587" s="737">
        <f>IF(AND('General price list'!$J587="F4",$AI$1=FALSE),0,IF(AC587="SKLADEM",1,IF(AC587=$V$3,1,0)))</f>
        <v>1</v>
      </c>
      <c r="C587" s="714" t="s">
        <v>1334</v>
      </c>
      <c r="D587" s="715" t="s">
        <v>1335</v>
      </c>
      <c r="E587" s="716" t="s">
        <v>1077</v>
      </c>
      <c r="F587" s="712">
        <f>IFERROR(ROUND(IF($AL$3=2,VLOOKUP(C587,[2]List1!$A:$D,2,FALSE)*1.08,VLOOKUP(C587,[2]List1!$A:$D,2,FALSE)),0),"NEUVEDENO!")</f>
        <v>678</v>
      </c>
      <c r="G587" s="717">
        <f t="shared" si="1348"/>
        <v>678</v>
      </c>
      <c r="H587" s="718">
        <f t="shared" si="1349"/>
        <v>27.551007968661747</v>
      </c>
      <c r="I587" s="738">
        <v>6</v>
      </c>
      <c r="J587" s="716" t="s">
        <v>137</v>
      </c>
      <c r="K587" s="716"/>
      <c r="L587" s="716" t="s">
        <v>24</v>
      </c>
      <c r="M587" s="716" t="s">
        <v>138</v>
      </c>
      <c r="N587" s="716">
        <f>IFERROR(VLOOKUP(C587,[3]List1!$A:$D,4,FALSE),"N/A!")</f>
        <v>4.8944000000000001E-2</v>
      </c>
      <c r="O587" s="716">
        <f>IFERROR(VLOOKUP(C587,[3]List1!$A:$D,3,FALSE),"N/A!")</f>
        <v>4410</v>
      </c>
      <c r="P587" s="716">
        <f>IFERROR(VLOOKUP(C587,[3]List1!$A:$D,2,FALSE),"N/A!")</f>
        <v>20000</v>
      </c>
      <c r="Q587" s="716" t="s">
        <v>14147</v>
      </c>
      <c r="R587" s="716" t="s">
        <v>24</v>
      </c>
      <c r="S587" s="716" t="str">
        <f>IF($W$17=$AF$1,"design",IFERROR(VLOOKUP("design",Jazyky_ceník!$A:$Q,MATCH($W$17,Jazyky_ceník!$A$1:$Q$1,0),FALSE),"!!!"))</f>
        <v>design</v>
      </c>
      <c r="T587" s="716">
        <v>40</v>
      </c>
      <c r="U587" s="716">
        <v>33</v>
      </c>
      <c r="V587" s="716">
        <v>25</v>
      </c>
      <c r="W587" s="716" t="str">
        <f>IFERROR(VLOOKUP('General price list'!$C587,Popisy!A:P,MATCH($W$17,Popisy!$A$7:$P$7,0),FALSE),"---------------")</f>
        <v>7 různobarevných efektu(Signature kvalita), karton obsahuje nálepky s různým věkem</v>
      </c>
      <c r="X587" s="716" t="str">
        <f t="shared" si="1350"/>
        <v/>
      </c>
      <c r="Y587" s="716" t="str">
        <f t="shared" si="1351"/>
        <v/>
      </c>
      <c r="Z587" s="716" t="str">
        <f>HYPERLINK("https://www.klasekpyrotechnics.cz/c4925vs")</f>
        <v>https://www.klasekpyrotechnics.cz/c4925vs</v>
      </c>
      <c r="AA587" s="716">
        <f>IFERROR(IF(VLOOKUP(C587,[4]List1!$A:$D,4,FALSE)=0,"",VLOOKUP(C587,[4]List1!$A:$D,4,FALSE)),"")</f>
        <v>25</v>
      </c>
      <c r="AB587" s="720"/>
      <c r="AC587" s="739" t="str">
        <f>IFERROR(IF(VLOOKUP(C587,[1]List1!$A:$D,2,FALSE)="VYPRODÁNO",$V$9,IF(VLOOKUP(C587,[1]List1!$A:$D,2,FALSE)="DOCHÁZÍ",$V$3,VLOOKUP(C587,[1]List1!$A:$D,2,FALSE))),"OFFLINE!")</f>
        <v>SKLADEM</v>
      </c>
      <c r="AD587" s="740" t="str">
        <f ca="1">IF(AP587="NE",$V$10,IF(AC587=$V$3,IF(AQ587&lt;1,$V$8,$V$2&amp;" "&amp;AQ587&amp;" "&amp;$V$1),IF(AC587="SKLADEM",$V$6,IFERROR(IF(OR(AC587-TODAY()&gt;45,VLOOKUP(C587,[1]List1!$A:$E,4,FALSE)=0),AC587,DAY(AC587)&amp;"."&amp;MONTH(AC587)&amp;"."&amp;YEAR(AC587)&amp;" "&amp;$V$4&amp;VLOOKUP(C587,[1]List1!$A:$E,4,FALSE)&amp;" "&amp;$V$1),AC587))))</f>
        <v>SKLADEM</v>
      </c>
      <c r="AE587" s="716" t="str">
        <f t="shared" ca="1" si="1352"/>
        <v>SKLADEM</v>
      </c>
      <c r="AF587" s="723">
        <f t="shared" si="1353"/>
        <v>0</v>
      </c>
      <c r="AG587" s="723">
        <f t="shared" si="1354"/>
        <v>0</v>
      </c>
      <c r="AH587" s="724">
        <f t="shared" si="1355"/>
        <v>0</v>
      </c>
      <c r="AI587" s="716">
        <f t="shared" si="1356"/>
        <v>0</v>
      </c>
      <c r="AJ587" s="716">
        <f t="shared" si="1357"/>
        <v>0</v>
      </c>
      <c r="AK587" s="716" t="str">
        <f t="shared" si="1358"/>
        <v/>
      </c>
      <c r="AL587" s="716">
        <f t="shared" si="1359"/>
        <v>0</v>
      </c>
      <c r="AM587" s="716" t="str">
        <f t="shared" si="1360"/>
        <v/>
      </c>
      <c r="AN587" s="716">
        <f t="shared" si="1361"/>
        <v>0</v>
      </c>
      <c r="AO587" s="380"/>
      <c r="AP587" s="322" t="str">
        <f t="shared" si="1200"/>
        <v/>
      </c>
      <c r="AQ587" s="323" t="str">
        <f>IF(AC587=$V$3,IF(VLOOKUP(C587,[1]List1!$A:$E,5,FALSE)=0,1,VLOOKUP(C587,[1]List1!$A:$E,5,FALSE)),"")</f>
        <v/>
      </c>
      <c r="AR587" s="304" t="str">
        <f t="shared" si="1201"/>
        <v/>
      </c>
      <c r="AS587" s="423" t="str">
        <f t="shared" si="1202"/>
        <v/>
      </c>
      <c r="AT587" s="304" t="str">
        <f t="shared" si="1203"/>
        <v/>
      </c>
      <c r="AU587" s="342" t="e">
        <f t="shared" si="1204"/>
        <v>#N/A</v>
      </c>
      <c r="AV587" s="304" t="e">
        <f t="shared" si="1205"/>
        <v>#N/A</v>
      </c>
      <c r="AX587" s="304">
        <f>IF(AND('General price list'!$J587="F4",'General price list'!$AB587+0&gt;0),1,0)</f>
        <v>0</v>
      </c>
      <c r="AY587" s="304">
        <f t="shared" si="1206"/>
        <v>1</v>
      </c>
      <c r="AZ587" s="304">
        <f t="shared" si="1207"/>
        <v>0</v>
      </c>
    </row>
    <row r="588" spans="1:52" ht="15" customHeight="1">
      <c r="A588" s="773" t="str">
        <f>Kat.!C585</f>
        <v xml:space="preserve">                                                               Baterie 49ran, 25mm šíkmý moždíř-1.3G</v>
      </c>
      <c r="B588" s="774"/>
      <c r="C588" s="774"/>
      <c r="D588" s="774"/>
      <c r="E588" s="774"/>
      <c r="F588" s="774"/>
      <c r="G588" s="774"/>
      <c r="H588" s="774"/>
      <c r="I588" s="774"/>
      <c r="J588" s="774"/>
      <c r="K588" s="774"/>
      <c r="L588" s="774"/>
      <c r="M588" s="774"/>
      <c r="N588" s="774"/>
      <c r="O588" s="774"/>
      <c r="P588" s="774"/>
      <c r="Q588" s="774"/>
      <c r="R588" s="774"/>
      <c r="S588" s="774"/>
      <c r="T588" s="774"/>
      <c r="U588" s="774"/>
      <c r="V588" s="774"/>
      <c r="W588" s="774"/>
      <c r="X588" s="774"/>
      <c r="Y588" s="774"/>
      <c r="Z588" s="774"/>
      <c r="AA588" s="774" t="str">
        <f>IFERROR(IF(VLOOKUP(C588,[4]List1!$A:$D,4,FALSE)=0,"",VLOOKUP(C588,[4]List1!$A:$D,4,FALSE)),"")</f>
        <v/>
      </c>
      <c r="AB588" s="774"/>
      <c r="AC588" s="775" t="str">
        <f>IFERROR(IF(VLOOKUP(C588,[1]List1!$A:$D,2,FALSE)="VYPRODÁNO",$V$9,IF(VLOOKUP(C588,[1]List1!$A:$D,2,FALSE)="DOCHÁZÍ",$V$3,VLOOKUP(C588,[1]List1!$A:$D,2,FALSE))),"OFFLINE!")</f>
        <v>OFFLINE!</v>
      </c>
      <c r="AD588" s="774"/>
      <c r="AE588" s="774"/>
      <c r="AF588" s="774"/>
      <c r="AG588" s="774"/>
      <c r="AH588" s="774"/>
      <c r="AI588" s="774"/>
      <c r="AJ588" s="774"/>
      <c r="AK588" s="774"/>
      <c r="AL588" s="774"/>
      <c r="AM588" s="774"/>
      <c r="AN588" s="774"/>
      <c r="AO588" s="380"/>
      <c r="AP588" s="322" t="str">
        <f t="shared" si="1200"/>
        <v/>
      </c>
      <c r="AQ588" s="323" t="str">
        <f>IF(AC588=$V$3,IF(VLOOKUP(C588,[1]List1!$A:$E,5,FALSE)=0,1,VLOOKUP(C588,[1]List1!$A:$E,5,FALSE)),"")</f>
        <v/>
      </c>
      <c r="AR588" s="304" t="str">
        <f t="shared" si="1201"/>
        <v/>
      </c>
      <c r="AS588" s="423" t="str">
        <f t="shared" si="1202"/>
        <v/>
      </c>
      <c r="AT588" s="304" t="str">
        <f t="shared" si="1203"/>
        <v/>
      </c>
      <c r="AU588" s="342" t="e">
        <f t="shared" si="1204"/>
        <v>#N/A</v>
      </c>
      <c r="AV588" s="304" t="e">
        <f t="shared" si="1205"/>
        <v>#N/A</v>
      </c>
      <c r="AX588" s="304">
        <f>IF(AND('General price list'!$J588="F4",'General price list'!$AB588+0&gt;0),1,0)</f>
        <v>0</v>
      </c>
      <c r="AY588" s="304">
        <f t="shared" si="1206"/>
        <v>0</v>
      </c>
      <c r="AZ588" s="304">
        <f t="shared" si="1207"/>
        <v>0</v>
      </c>
    </row>
    <row r="589" spans="1:52" ht="15" customHeight="1">
      <c r="A589" s="712" t="str">
        <f>Kat.!C586</f>
        <v/>
      </c>
      <c r="B589" s="713">
        <f>IF(AND('General price list'!$J589="F4",$AI$1=FALSE),0,IF(AC589="SKLADEM",1,IF(AC589=$V$3,1,0)))</f>
        <v>1</v>
      </c>
      <c r="C589" s="714" t="s">
        <v>2547</v>
      </c>
      <c r="D589" s="715" t="s">
        <v>2548</v>
      </c>
      <c r="E589" s="716" t="s">
        <v>1074</v>
      </c>
      <c r="F589" s="712">
        <f>IFERROR(ROUND(IF($AL$3=2,VLOOKUP(C589,[2]List1!$A:$D,2,FALSE)*1.08,VLOOKUP(C589,[2]List1!$A:$D,2,FALSE)),0),"NEUVEDENO!")</f>
        <v>806</v>
      </c>
      <c r="G589" s="717">
        <f t="shared" ref="G589:G591" si="1362">(F589)*$B$19</f>
        <v>806</v>
      </c>
      <c r="H589" s="718">
        <f t="shared" ref="H589:H591" si="1363">G589/$F$19</f>
        <v>32.752378204633288</v>
      </c>
      <c r="I589" s="719">
        <v>4</v>
      </c>
      <c r="J589" s="716" t="s">
        <v>137</v>
      </c>
      <c r="K589" s="716" t="s">
        <v>14734</v>
      </c>
      <c r="L589" s="716" t="s">
        <v>24</v>
      </c>
      <c r="M589" s="716" t="s">
        <v>138</v>
      </c>
      <c r="N589" s="716">
        <f>IFERROR(VLOOKUP(C589,[3]List1!$A:$D,4,FALSE),"N/A!")</f>
        <v>5.9094750000000001E-2</v>
      </c>
      <c r="O589" s="716">
        <f>IFERROR(VLOOKUP(C589,[3]List1!$A:$D,3,FALSE),"N/A!")</f>
        <v>2600</v>
      </c>
      <c r="P589" s="716">
        <f>IFERROR(VLOOKUP(C589,[3]List1!$A:$D,2,FALSE),"N/A!")</f>
        <v>18500</v>
      </c>
      <c r="Q589" s="716" t="s">
        <v>1340</v>
      </c>
      <c r="R589" s="716" t="s">
        <v>24</v>
      </c>
      <c r="S589" s="716" t="str">
        <f>IF($W$17=$AF$1,"design",IFERROR(VLOOKUP("design",Jazyky_ceník!$A:$Q,MATCH($W$17,Jazyky_ceník!$A$1:$Q$1,0),FALSE),"!!!"))</f>
        <v>design</v>
      </c>
      <c r="T589" s="716">
        <v>30</v>
      </c>
      <c r="U589" s="716">
        <v>30</v>
      </c>
      <c r="V589" s="716">
        <v>22</v>
      </c>
      <c r="W589" s="716" t="str">
        <f>IFERROR(VLOOKUP('General price list'!$C589,Popisy!A:P,MATCH($W$17,Popisy!$A$7:$P$7,0),FALSE),"---------------")</f>
        <v>7 různobarevných efektů</v>
      </c>
      <c r="X589" s="716" t="str">
        <f t="shared" ref="X589:X591" si="1364">IF(AB589&lt;0.0001,"",AB589)</f>
        <v/>
      </c>
      <c r="Y589" s="716" t="str">
        <f t="shared" ref="Y589:Y591" si="1365">IF($AL$3=2,IF(OR(AB589&lt;&gt;"",AB589&lt;&gt;0),AU589,""),IF(C589="","",IF(AB589&lt;0.0001,"",IF(B589=0,"",IF(AQ589&lt;AB589,"",AB589)))))</f>
        <v/>
      </c>
      <c r="Z589" s="716" t="str">
        <f>HYPERLINK("https://www.klasekpyrotechnics.cz/cf4925s")</f>
        <v>https://www.klasekpyrotechnics.cz/cf4925s</v>
      </c>
      <c r="AA589" s="716">
        <f>IFERROR(IF(VLOOKUP(C589,[4]List1!$A:$D,4,FALSE)=0,"",VLOOKUP(C589,[4]List1!$A:$D,4,FALSE)),"")</f>
        <v>16</v>
      </c>
      <c r="AB589" s="720"/>
      <c r="AC589" s="721" t="str">
        <f>IFERROR(IF(VLOOKUP(C589,[1]List1!$A:$D,2,FALSE)="VYPRODÁNO",$V$9,IF(VLOOKUP(C589,[1]List1!$A:$D,2,FALSE)="DOCHÁZÍ",$V$3,VLOOKUP(C589,[1]List1!$A:$D,2,FALSE))),"OFFLINE!")</f>
        <v>SKLADEM</v>
      </c>
      <c r="AD589" s="722" t="str">
        <f ca="1">IF(AP589="NE",$V$10,IF(AC589=$V$3,IF(AQ589&lt;1,$V$8,$V$2&amp;" "&amp;AQ589&amp;" "&amp;$V$1),IF(AC589="SKLADEM",$V$6,IFERROR(IF(OR(AC589-TODAY()&gt;45,VLOOKUP(C589,[1]List1!$A:$E,4,FALSE)=0),AC589,DAY(AC589)&amp;"."&amp;MONTH(AC589)&amp;"."&amp;YEAR(AC589)&amp;" "&amp;$V$4&amp;VLOOKUP(C589,[1]List1!$A:$E,4,FALSE)&amp;" "&amp;$V$1),AC589))))</f>
        <v>SKLADEM</v>
      </c>
      <c r="AE589" s="716" t="str">
        <f t="shared" ref="AE589:AE591" ca="1" si="1366">IFERROR(IF(AV589&lt;&gt;"",AV589,AD589),AD589)</f>
        <v>SKLADEM</v>
      </c>
      <c r="AF589" s="723">
        <f t="shared" ref="AF589:AF591" si="1367">IFERROR(IF(AB589=Y589,G589*I589*Y589,0),0)</f>
        <v>0</v>
      </c>
      <c r="AG589" s="723">
        <f t="shared" ref="AG589:AG591" si="1368">IF($W$17=$AF$8,AH589*1.23,AF589*1.21)</f>
        <v>0</v>
      </c>
      <c r="AH589" s="724">
        <f t="shared" ref="AH589:AH591" si="1369">IFERROR(IF(Y589=AB589,H589*I589*Y589,0),0)</f>
        <v>0</v>
      </c>
      <c r="AI589" s="716">
        <f t="shared" ref="AI589:AI591" si="1370">IFERROR(IF(Y589=AB589,(P589*Y589)/1000,1),0)</f>
        <v>0</v>
      </c>
      <c r="AJ589" s="716">
        <f t="shared" ref="AJ589:AJ591" si="1371">IFERROR(IF(Y589=AB589,N589*Y589,0.1),0)</f>
        <v>0</v>
      </c>
      <c r="AK589" s="716" t="str">
        <f t="shared" ref="AK589:AK591" si="1372">IFERROR(IF(Y589=AB589,IF(M589="1.1G",(O589/1000)*Y589,""),""),0)</f>
        <v/>
      </c>
      <c r="AL589" s="716">
        <f t="shared" ref="AL589:AL591" si="1373">IFERROR(IF(Y589=AB589,IF(M589="1.3G",(O589/1000)*AB589,""),""),0)</f>
        <v>0</v>
      </c>
      <c r="AM589" s="716" t="str">
        <f t="shared" ref="AM589:AM591" si="1374">IFERROR(IF(Y589=AB589,IF(M589="1.4G",(O589/1000)*AB589,""),""),0)</f>
        <v/>
      </c>
      <c r="AN589" s="716">
        <f t="shared" ref="AN589:AN591" si="1375">SUM(AK589:AM589)</f>
        <v>0</v>
      </c>
      <c r="AO589" s="380"/>
      <c r="AP589" s="322" t="str">
        <f t="shared" si="1200"/>
        <v/>
      </c>
      <c r="AQ589" s="323" t="str">
        <f>IF(AC589=$V$3,IF(VLOOKUP(C589,[1]List1!$A:$E,5,FALSE)=0,1,VLOOKUP(C589,[1]List1!$A:$E,5,FALSE)),"")</f>
        <v/>
      </c>
      <c r="AR589" s="304" t="str">
        <f t="shared" si="1201"/>
        <v/>
      </c>
      <c r="AS589" s="423" t="str">
        <f t="shared" si="1202"/>
        <v/>
      </c>
      <c r="AT589" s="304" t="str">
        <f t="shared" si="1203"/>
        <v/>
      </c>
      <c r="AU589" s="342" t="e">
        <f t="shared" si="1204"/>
        <v>#N/A</v>
      </c>
      <c r="AV589" s="304" t="e">
        <f t="shared" si="1205"/>
        <v>#N/A</v>
      </c>
      <c r="AX589" s="304">
        <f>IF(AND('General price list'!$J589="F4",'General price list'!$AB589+0&gt;0),1,0)</f>
        <v>0</v>
      </c>
      <c r="AY589" s="304">
        <f t="shared" si="1206"/>
        <v>1</v>
      </c>
      <c r="AZ589" s="304">
        <f t="shared" si="1207"/>
        <v>0</v>
      </c>
    </row>
    <row r="590" spans="1:52" ht="15" customHeight="1">
      <c r="A590" s="725" t="str">
        <f>Kat.!C587</f>
        <v/>
      </c>
      <c r="B590" s="726">
        <f>IF(AND('General price list'!$J590="F4",$AI$1=FALSE),0,IF(AC590="SKLADEM",1,IF(AC590=$V$3,1,0)))</f>
        <v>0</v>
      </c>
      <c r="C590" s="727" t="s">
        <v>1339</v>
      </c>
      <c r="D590" s="728" t="s">
        <v>14593</v>
      </c>
      <c r="E590" s="729" t="s">
        <v>1074</v>
      </c>
      <c r="F590" s="725">
        <f>IFERROR(ROUND(IF($AL$3=2,VLOOKUP(C590,[2]List1!$A:$D,2,FALSE)*1.08,VLOOKUP(C590,[2]List1!$A:$D,2,FALSE)),0),"NEUVEDENO!")</f>
        <v>849</v>
      </c>
      <c r="G590" s="730">
        <f t="shared" si="1362"/>
        <v>849</v>
      </c>
      <c r="H590" s="731">
        <f t="shared" si="1363"/>
        <v>34.499713518279975</v>
      </c>
      <c r="I590" s="732">
        <v>4</v>
      </c>
      <c r="J590" s="729" t="s">
        <v>137</v>
      </c>
      <c r="K590" s="729"/>
      <c r="L590" s="729" t="s">
        <v>24</v>
      </c>
      <c r="M590" s="729" t="s">
        <v>138</v>
      </c>
      <c r="N590" s="729">
        <f>IFERROR(VLOOKUP(C590,[3]List1!$A:$D,4,FALSE),"N/A!")</f>
        <v>5.9094750000000001E-2</v>
      </c>
      <c r="O590" s="729">
        <f>IFERROR(VLOOKUP(C590,[3]List1!$A:$D,3,FALSE),"N/A!")</f>
        <v>2352</v>
      </c>
      <c r="P590" s="729">
        <f>IFERROR(VLOOKUP(C590,[3]List1!$A:$D,2,FALSE),"N/A!")</f>
        <v>18000</v>
      </c>
      <c r="Q590" s="729" t="s">
        <v>14333</v>
      </c>
      <c r="R590" s="729" t="s">
        <v>24</v>
      </c>
      <c r="S590" s="729" t="str">
        <f>IF($W$17=$AF$1,"design",IFERROR(VLOOKUP("design",Jazyky_ceník!$A:$Q,MATCH($W$17,Jazyky_ceník!$A$1:$Q$1,0),FALSE),"!!!"))</f>
        <v>design</v>
      </c>
      <c r="T590" s="729">
        <v>18</v>
      </c>
      <c r="U590" s="729"/>
      <c r="V590" s="729"/>
      <c r="W590" s="729" t="str">
        <f>IFERROR(VLOOKUP('General price list'!$C590,Popisy!A:P,MATCH($W$17,Popisy!$A$7:$P$7,0),FALSE),"---------------")</f>
        <v>stříbrná mina s červenou stopou a titanovou detonací</v>
      </c>
      <c r="X590" s="729" t="str">
        <f t="shared" si="1364"/>
        <v/>
      </c>
      <c r="Y590" s="729" t="str">
        <f t="shared" si="1365"/>
        <v/>
      </c>
      <c r="Z590" s="729" t="str">
        <f>HYPERLINK("https://www.klasekpyrotechnics.cz/cf4925d")</f>
        <v>https://www.klasekpyrotechnics.cz/cf4925d</v>
      </c>
      <c r="AA590" s="729">
        <f>IFERROR(IF(VLOOKUP(C590,[4]List1!$A:$D,4,FALSE)=0,"",VLOOKUP(C590,[4]List1!$A:$D,4,FALSE)),"")</f>
        <v>16</v>
      </c>
      <c r="AB590" s="720"/>
      <c r="AC590" s="733" t="str">
        <f>IFERROR(IF(VLOOKUP(C590,[1]List1!$A:$D,2,FALSE)="VYPRODÁNO",$V$9,IF(VLOOKUP(C590,[1]List1!$A:$D,2,FALSE)="DOCHÁZÍ",$V$3,VLOOKUP(C590,[1]List1!$A:$D,2,FALSE))),"OFFLINE!")</f>
        <v>15.06.2024</v>
      </c>
      <c r="AD590" s="734" t="str">
        <f ca="1">IF(AP590="NE",$V$10,IF(AC590=$V$3,IF(AQ590&lt;1,$V$8,$V$2&amp;" "&amp;AQ590&amp;" "&amp;$V$1),IF(AC590="SKLADEM",$V$6,IFERROR(IF(OR(AC590-TODAY()&gt;45,VLOOKUP(C590,[1]List1!$A:$E,4,FALSE)=0),AC590,DAY(AC590)&amp;"."&amp;MONTH(AC590)&amp;"."&amp;YEAR(AC590)&amp;" "&amp;$V$4&amp;VLOOKUP(C590,[1]List1!$A:$E,4,FALSE)&amp;" "&amp;$V$1),AC590))))</f>
        <v>15.06.2024</v>
      </c>
      <c r="AE590" s="729" t="str">
        <f t="shared" ca="1" si="1366"/>
        <v>15.06.2024</v>
      </c>
      <c r="AF590" s="735">
        <f t="shared" si="1367"/>
        <v>0</v>
      </c>
      <c r="AG590" s="735">
        <f t="shared" si="1368"/>
        <v>0</v>
      </c>
      <c r="AH590" s="736">
        <f t="shared" si="1369"/>
        <v>0</v>
      </c>
      <c r="AI590" s="729">
        <f t="shared" si="1370"/>
        <v>0</v>
      </c>
      <c r="AJ590" s="729">
        <f t="shared" si="1371"/>
        <v>0</v>
      </c>
      <c r="AK590" s="729" t="str">
        <f t="shared" si="1372"/>
        <v/>
      </c>
      <c r="AL590" s="729">
        <f t="shared" si="1373"/>
        <v>0</v>
      </c>
      <c r="AM590" s="729" t="str">
        <f t="shared" si="1374"/>
        <v/>
      </c>
      <c r="AN590" s="729">
        <f t="shared" si="1375"/>
        <v>0</v>
      </c>
      <c r="AO590" s="380"/>
      <c r="AP590" s="322" t="str">
        <f t="shared" si="1200"/>
        <v/>
      </c>
      <c r="AQ590" s="323" t="str">
        <f>IF(AC590=$V$3,IF(VLOOKUP(C590,[1]List1!$A:$E,5,FALSE)=0,1,VLOOKUP(C590,[1]List1!$A:$E,5,FALSE)),"")</f>
        <v/>
      </c>
      <c r="AR590" s="304" t="str">
        <f t="shared" si="1201"/>
        <v/>
      </c>
      <c r="AS590" s="423" t="str">
        <f t="shared" si="1202"/>
        <v/>
      </c>
      <c r="AT590" s="304" t="str">
        <f t="shared" si="1203"/>
        <v/>
      </c>
      <c r="AU590" s="342" t="e">
        <f t="shared" si="1204"/>
        <v>#N/A</v>
      </c>
      <c r="AV590" s="304" t="e">
        <f t="shared" si="1205"/>
        <v>#N/A</v>
      </c>
      <c r="AX590" s="304">
        <f>IF(AND('General price list'!$J590="F4",'General price list'!$AB590+0&gt;0),1,0)</f>
        <v>0</v>
      </c>
      <c r="AY590" s="304">
        <f t="shared" si="1206"/>
        <v>1</v>
      </c>
      <c r="AZ590" s="304">
        <f t="shared" si="1207"/>
        <v>0</v>
      </c>
    </row>
    <row r="591" spans="1:52" ht="15" customHeight="1">
      <c r="A591" s="712" t="str">
        <f>Kat.!C588</f>
        <v/>
      </c>
      <c r="B591" s="737">
        <f>IF(AND('General price list'!$J591="F4",$AI$1=FALSE),0,IF(AC591="SKLADEM",1,IF(AC591=$V$3,1,0)))</f>
        <v>1</v>
      </c>
      <c r="C591" s="714" t="s">
        <v>1341</v>
      </c>
      <c r="D591" s="715" t="s">
        <v>14594</v>
      </c>
      <c r="E591" s="716" t="s">
        <v>1074</v>
      </c>
      <c r="F591" s="712">
        <f>IFERROR(ROUND(IF($AL$3=2,VLOOKUP(C591,[2]List1!$A:$D,2,FALSE)*1.08,VLOOKUP(C591,[2]List1!$A:$D,2,FALSE)),0),"NEUVEDENO!")</f>
        <v>806</v>
      </c>
      <c r="G591" s="717">
        <f t="shared" si="1362"/>
        <v>806</v>
      </c>
      <c r="H591" s="718">
        <f t="shared" si="1363"/>
        <v>32.752378204633288</v>
      </c>
      <c r="I591" s="738">
        <v>4</v>
      </c>
      <c r="J591" s="716" t="s">
        <v>137</v>
      </c>
      <c r="K591" s="716" t="s">
        <v>14734</v>
      </c>
      <c r="L591" s="716" t="s">
        <v>24</v>
      </c>
      <c r="M591" s="716" t="s">
        <v>138</v>
      </c>
      <c r="N591" s="716">
        <f>IFERROR(VLOOKUP(C591,[3]List1!$A:$D,4,FALSE),"N/A!")</f>
        <v>5.9094750000000001E-2</v>
      </c>
      <c r="O591" s="716">
        <f>IFERROR(VLOOKUP(C591,[3]List1!$A:$D,3,FALSE),"N/A!")</f>
        <v>2800</v>
      </c>
      <c r="P591" s="716">
        <f>IFERROR(VLOOKUP(C591,[3]List1!$A:$D,2,FALSE),"N/A!")</f>
        <v>18500</v>
      </c>
      <c r="Q591" s="716" t="s">
        <v>1340</v>
      </c>
      <c r="R591" s="716" t="s">
        <v>24</v>
      </c>
      <c r="S591" s="716" t="str">
        <f>IF($W$17=$AF$1,"design",IFERROR(VLOOKUP("design",Jazyky_ceník!$A:$Q,MATCH($W$17,Jazyky_ceník!$A$1:$Q$1,0),FALSE),"!!!"))</f>
        <v>design</v>
      </c>
      <c r="T591" s="716">
        <v>30</v>
      </c>
      <c r="U591" s="716">
        <v>30</v>
      </c>
      <c r="V591" s="716">
        <v>22</v>
      </c>
      <c r="W591" s="716" t="str">
        <f>IFERROR(VLOOKUP('General price list'!$C591,Popisy!A:P,MATCH($W$17,Popisy!$A$7:$P$7,0),FALSE),"---------------")</f>
        <v>28ran zlatá brokátová koruna s červenými/modrými konci, 21ran stříbrná mina s červenovu stopou+titanová exploze</v>
      </c>
      <c r="X591" s="716" t="str">
        <f t="shared" si="1364"/>
        <v/>
      </c>
      <c r="Y591" s="716" t="str">
        <f t="shared" si="1365"/>
        <v/>
      </c>
      <c r="Z591" s="716" t="str">
        <f>HYPERLINK("https://www.klasekpyrotechnics.cz/cf4925b")</f>
        <v>https://www.klasekpyrotechnics.cz/cf4925b</v>
      </c>
      <c r="AA591" s="716">
        <f>IFERROR(IF(VLOOKUP(C591,[4]List1!$A:$D,4,FALSE)=0,"",VLOOKUP(C591,[4]List1!$A:$D,4,FALSE)),"")</f>
        <v>16</v>
      </c>
      <c r="AB591" s="720"/>
      <c r="AC591" s="739" t="str">
        <f>IFERROR(IF(VLOOKUP(C591,[1]List1!$A:$D,2,FALSE)="VYPRODÁNO",$V$9,IF(VLOOKUP(C591,[1]List1!$A:$D,2,FALSE)="DOCHÁZÍ",$V$3,VLOOKUP(C591,[1]List1!$A:$D,2,FALSE))),"OFFLINE!")</f>
        <v>SKLADEM</v>
      </c>
      <c r="AD591" s="740" t="str">
        <f ca="1">IF(AP591="NE",$V$10,IF(AC591=$V$3,IF(AQ591&lt;1,$V$8,$V$2&amp;" "&amp;AQ591&amp;" "&amp;$V$1),IF(AC591="SKLADEM",$V$6,IFERROR(IF(OR(AC591-TODAY()&gt;45,VLOOKUP(C591,[1]List1!$A:$E,4,FALSE)=0),AC591,DAY(AC591)&amp;"."&amp;MONTH(AC591)&amp;"."&amp;YEAR(AC591)&amp;" "&amp;$V$4&amp;VLOOKUP(C591,[1]List1!$A:$E,4,FALSE)&amp;" "&amp;$V$1),AC591))))</f>
        <v>SKLADEM</v>
      </c>
      <c r="AE591" s="716" t="str">
        <f t="shared" ca="1" si="1366"/>
        <v>SKLADEM</v>
      </c>
      <c r="AF591" s="723">
        <f t="shared" si="1367"/>
        <v>0</v>
      </c>
      <c r="AG591" s="723">
        <f t="shared" si="1368"/>
        <v>0</v>
      </c>
      <c r="AH591" s="724">
        <f t="shared" si="1369"/>
        <v>0</v>
      </c>
      <c r="AI591" s="716">
        <f t="shared" si="1370"/>
        <v>0</v>
      </c>
      <c r="AJ591" s="716">
        <f t="shared" si="1371"/>
        <v>0</v>
      </c>
      <c r="AK591" s="716" t="str">
        <f t="shared" si="1372"/>
        <v/>
      </c>
      <c r="AL591" s="716">
        <f t="shared" si="1373"/>
        <v>0</v>
      </c>
      <c r="AM591" s="716" t="str">
        <f t="shared" si="1374"/>
        <v/>
      </c>
      <c r="AN591" s="716">
        <f t="shared" si="1375"/>
        <v>0</v>
      </c>
      <c r="AO591" s="380"/>
      <c r="AP591" s="322" t="str">
        <f t="shared" si="1200"/>
        <v/>
      </c>
      <c r="AQ591" s="323" t="str">
        <f>IF(AC591=$V$3,IF(VLOOKUP(C591,[1]List1!$A:$E,5,FALSE)=0,1,VLOOKUP(C591,[1]List1!$A:$E,5,FALSE)),"")</f>
        <v/>
      </c>
      <c r="AR591" s="304" t="str">
        <f t="shared" si="1201"/>
        <v/>
      </c>
      <c r="AS591" s="423" t="str">
        <f t="shared" si="1202"/>
        <v/>
      </c>
      <c r="AT591" s="304" t="str">
        <f t="shared" si="1203"/>
        <v/>
      </c>
      <c r="AU591" s="342" t="e">
        <f t="shared" si="1204"/>
        <v>#N/A</v>
      </c>
      <c r="AV591" s="304" t="e">
        <f t="shared" si="1205"/>
        <v>#N/A</v>
      </c>
      <c r="AX591" s="304">
        <f>IF(AND('General price list'!$J591="F4",'General price list'!$AB591+0&gt;0),1,0)</f>
        <v>0</v>
      </c>
      <c r="AY591" s="304">
        <f t="shared" si="1206"/>
        <v>1</v>
      </c>
      <c r="AZ591" s="304">
        <f t="shared" si="1207"/>
        <v>0</v>
      </c>
    </row>
    <row r="592" spans="1:52" ht="15" customHeight="1">
      <c r="A592" s="773" t="str">
        <f>Kat.!C589</f>
        <v xml:space="preserve">                                                               Baterie 64ran, 25mm moždíř(všechny směry)-1.3G</v>
      </c>
      <c r="B592" s="774"/>
      <c r="C592" s="774"/>
      <c r="D592" s="774"/>
      <c r="E592" s="774"/>
      <c r="F592" s="774"/>
      <c r="G592" s="774"/>
      <c r="H592" s="774"/>
      <c r="I592" s="774"/>
      <c r="J592" s="774"/>
      <c r="K592" s="774"/>
      <c r="L592" s="774"/>
      <c r="M592" s="774"/>
      <c r="N592" s="774"/>
      <c r="O592" s="774"/>
      <c r="P592" s="774"/>
      <c r="Q592" s="774"/>
      <c r="R592" s="774"/>
      <c r="S592" s="774"/>
      <c r="T592" s="774"/>
      <c r="U592" s="774"/>
      <c r="V592" s="774"/>
      <c r="W592" s="774"/>
      <c r="X592" s="774"/>
      <c r="Y592" s="774"/>
      <c r="Z592" s="774"/>
      <c r="AA592" s="774" t="str">
        <f>IFERROR(IF(VLOOKUP(C592,[4]List1!$A:$D,4,FALSE)=0,"",VLOOKUP(C592,[4]List1!$A:$D,4,FALSE)),"")</f>
        <v/>
      </c>
      <c r="AB592" s="774"/>
      <c r="AC592" s="775" t="str">
        <f>IFERROR(IF(VLOOKUP(C592,[1]List1!$A:$D,2,FALSE)="VYPRODÁNO",$V$9,IF(VLOOKUP(C592,[1]List1!$A:$D,2,FALSE)="DOCHÁZÍ",$V$3,VLOOKUP(C592,[1]List1!$A:$D,2,FALSE))),"OFFLINE!")</f>
        <v>OFFLINE!</v>
      </c>
      <c r="AD592" s="774"/>
      <c r="AE592" s="774"/>
      <c r="AF592" s="774"/>
      <c r="AG592" s="774"/>
      <c r="AH592" s="774"/>
      <c r="AI592" s="774"/>
      <c r="AJ592" s="774"/>
      <c r="AK592" s="774"/>
      <c r="AL592" s="774"/>
      <c r="AM592" s="774"/>
      <c r="AN592" s="774"/>
      <c r="AO592" s="380"/>
      <c r="AP592" s="322" t="str">
        <f t="shared" si="1200"/>
        <v/>
      </c>
      <c r="AQ592" s="323" t="str">
        <f>IF(AC592=$V$3,IF(VLOOKUP(C592,[1]List1!$A:$E,5,FALSE)=0,1,VLOOKUP(C592,[1]List1!$A:$E,5,FALSE)),"")</f>
        <v/>
      </c>
      <c r="AR592" s="304" t="str">
        <f t="shared" si="1201"/>
        <v/>
      </c>
      <c r="AS592" s="423" t="str">
        <f t="shared" si="1202"/>
        <v/>
      </c>
      <c r="AT592" s="304" t="str">
        <f t="shared" si="1203"/>
        <v/>
      </c>
      <c r="AU592" s="342" t="e">
        <f t="shared" si="1204"/>
        <v>#N/A</v>
      </c>
      <c r="AV592" s="304" t="e">
        <f t="shared" si="1205"/>
        <v>#N/A</v>
      </c>
      <c r="AX592" s="304">
        <f>IF(AND('General price list'!$J592="F4",'General price list'!$AB592+0&gt;0),1,0)</f>
        <v>0</v>
      </c>
      <c r="AY592" s="304">
        <f t="shared" si="1206"/>
        <v>0</v>
      </c>
      <c r="AZ592" s="304">
        <f t="shared" si="1207"/>
        <v>0</v>
      </c>
    </row>
    <row r="593" spans="1:52" ht="15" customHeight="1">
      <c r="A593" s="712" t="str">
        <f>Kat.!C590</f>
        <v/>
      </c>
      <c r="B593" s="713">
        <f>IF(AND('General price list'!$J593="F4",$AI$1=FALSE),0,IF(AC593="SKLADEM",1,IF(AC593=$V$3,1,0)))</f>
        <v>0</v>
      </c>
      <c r="C593" s="714" t="s">
        <v>2549</v>
      </c>
      <c r="D593" s="715" t="s">
        <v>12848</v>
      </c>
      <c r="E593" s="716" t="s">
        <v>810</v>
      </c>
      <c r="F593" s="712">
        <f>IFERROR(ROUND(IF($AL$3=2,VLOOKUP(C593,[2]List1!$A:$D,2,FALSE)*1.08,VLOOKUP(C593,[2]List1!$A:$D,2,FALSE)),0),"NEUVEDENO!")</f>
        <v>1099</v>
      </c>
      <c r="G593" s="717">
        <f>(F593)*$B$19</f>
        <v>1099</v>
      </c>
      <c r="H593" s="718">
        <f>G593/$F$19</f>
        <v>44.658639760411887</v>
      </c>
      <c r="I593" s="719">
        <v>3</v>
      </c>
      <c r="J593" s="716" t="s">
        <v>137</v>
      </c>
      <c r="K593" s="716"/>
      <c r="L593" s="716" t="s">
        <v>24</v>
      </c>
      <c r="M593" s="716" t="s">
        <v>138</v>
      </c>
      <c r="N593" s="716">
        <f>IFERROR(VLOOKUP(C593,[3]List1!$A:$D,4,FALSE),"N/A!")</f>
        <v>5.6998500000000007E-2</v>
      </c>
      <c r="O593" s="716">
        <f>IFERROR(VLOOKUP(C593,[3]List1!$A:$D,3,FALSE),"N/A!")</f>
        <v>2880</v>
      </c>
      <c r="P593" s="716">
        <f>IFERROR(VLOOKUP(C593,[3]List1!$A:$D,2,FALSE),"N/A!")</f>
        <v>18500</v>
      </c>
      <c r="Q593" s="716" t="s">
        <v>14334</v>
      </c>
      <c r="R593" s="716" t="s">
        <v>24</v>
      </c>
      <c r="S593" s="716" t="str">
        <f>IF($W$17=$AF$1,"červená fólie",IFERROR(VLOOKUP("červená fólie",Jazyky_ceník!$A:$Q,MATCH($W$17,Jazyky_ceník!$A$1:$Q$1,0),FALSE),"!!!"))</f>
        <v>červená fólie</v>
      </c>
      <c r="T593" s="716">
        <v>40</v>
      </c>
      <c r="U593" s="716">
        <v>33</v>
      </c>
      <c r="V593" s="716">
        <v>24</v>
      </c>
      <c r="W593" s="716" t="str">
        <f>IFERROR(VLOOKUP('General price list'!$C593,Popisy!A:P,MATCH($W$17,Popisy!$A$7:$P$7,0),FALSE),"---------------")</f>
        <v>14 různobarevných efektů</v>
      </c>
      <c r="X593" s="716" t="str">
        <f>IF(AB593&lt;0.0001,"",AB593)</f>
        <v/>
      </c>
      <c r="Y593" s="716" t="str">
        <f>IF($AL$3=2,IF(OR(AB593&lt;&gt;"",AB593&lt;&gt;0),AU593,""),IF(C593="","",IF(AB593&lt;0.0001,"",IF(B593=0,"",IF(AQ593&lt;AB593,"",AB593)))))</f>
        <v/>
      </c>
      <c r="Z593" s="716" t="str">
        <f>HYPERLINK("https://www.klasekpyrotechnics.cz/c6425xpt")</f>
        <v>https://www.klasekpyrotechnics.cz/c6425xpt</v>
      </c>
      <c r="AA593" s="716">
        <f>IFERROR(IF(VLOOKUP(C593,[4]List1!$A:$D,4,FALSE)=0,"",VLOOKUP(C593,[4]List1!$A:$D,4,FALSE)),"")</f>
        <v>24</v>
      </c>
      <c r="AB593" s="720"/>
      <c r="AC593" s="721" t="str">
        <f>IFERROR(IF(VLOOKUP(C593,[1]List1!$A:$D,2,FALSE)="VYPRODÁNO",$V$9,IF(VLOOKUP(C593,[1]List1!$A:$D,2,FALSE)="DOCHÁZÍ",$V$3,VLOOKUP(C593,[1]List1!$A:$D,2,FALSE))),"OFFLINE!")</f>
        <v>15.06.2024</v>
      </c>
      <c r="AD593" s="722" t="str">
        <f ca="1">IF(AP593="NE",$V$10,IF(AC593=$V$3,IF(AQ593&lt;1,$V$8,$V$2&amp;" "&amp;AQ593&amp;" "&amp;$V$1),IF(AC593="SKLADEM",$V$6,IFERROR(IF(OR(AC593-TODAY()&gt;45,VLOOKUP(C593,[1]List1!$A:$E,4,FALSE)=0),AC593,DAY(AC593)&amp;"."&amp;MONTH(AC593)&amp;"."&amp;YEAR(AC593)&amp;" "&amp;$V$4&amp;VLOOKUP(C593,[1]List1!$A:$E,4,FALSE)&amp;" "&amp;$V$1),AC593))))</f>
        <v>15.06.2024</v>
      </c>
      <c r="AE593" s="716" t="str">
        <f t="shared" ref="AE593" ca="1" si="1376">IFERROR(IF(AV593&lt;&gt;"",AV593,AD593),AD593)</f>
        <v>15.06.2024</v>
      </c>
      <c r="AF593" s="723">
        <f t="shared" ref="AF593" si="1377">IFERROR(IF(AB593=Y593,G593*I593*Y593,0),0)</f>
        <v>0</v>
      </c>
      <c r="AG593" s="723">
        <f t="shared" ref="AG593" si="1378">IF($W$17=$AF$8,AH593*1.23,AF593*1.21)</f>
        <v>0</v>
      </c>
      <c r="AH593" s="724">
        <f t="shared" ref="AH593" si="1379">IFERROR(IF(Y593=AB593,H593*I593*Y593,0),0)</f>
        <v>0</v>
      </c>
      <c r="AI593" s="716">
        <f t="shared" ref="AI593" si="1380">IFERROR(IF(Y593=AB593,(P593*Y593)/1000,1),0)</f>
        <v>0</v>
      </c>
      <c r="AJ593" s="716">
        <f t="shared" ref="AJ593" si="1381">IFERROR(IF(Y593=AB593,N593*Y593,0.1),0)</f>
        <v>0</v>
      </c>
      <c r="AK593" s="716" t="str">
        <f t="shared" ref="AK593" si="1382">IFERROR(IF(Y593=AB593,IF(M593="1.1G",(O593/1000)*Y593,""),""),0)</f>
        <v/>
      </c>
      <c r="AL593" s="716">
        <f t="shared" ref="AL593" si="1383">IFERROR(IF(Y593=AB593,IF(M593="1.3G",(O593/1000)*AB593,""),""),0)</f>
        <v>0</v>
      </c>
      <c r="AM593" s="716" t="str">
        <f t="shared" ref="AM593" si="1384">IFERROR(IF(Y593=AB593,IF(M593="1.4G",(O593/1000)*AB593,""),""),0)</f>
        <v/>
      </c>
      <c r="AN593" s="716">
        <f t="shared" ref="AN593" si="1385">SUM(AK593:AM593)</f>
        <v>0</v>
      </c>
      <c r="AO593" s="380"/>
      <c r="AP593" s="322" t="str">
        <f t="shared" si="1200"/>
        <v/>
      </c>
      <c r="AQ593" s="323" t="str">
        <f>IF(AC593=$V$3,IF(VLOOKUP(C593,[1]List1!$A:$E,5,FALSE)=0,1,VLOOKUP(C593,[1]List1!$A:$E,5,FALSE)),"")</f>
        <v/>
      </c>
      <c r="AR593" s="304" t="str">
        <f t="shared" si="1201"/>
        <v/>
      </c>
      <c r="AS593" s="423" t="str">
        <f t="shared" si="1202"/>
        <v/>
      </c>
      <c r="AT593" s="304" t="str">
        <f t="shared" si="1203"/>
        <v/>
      </c>
      <c r="AU593" s="342" t="e">
        <f t="shared" si="1204"/>
        <v>#N/A</v>
      </c>
      <c r="AV593" s="304" t="e">
        <f t="shared" si="1205"/>
        <v>#N/A</v>
      </c>
      <c r="AX593" s="304">
        <f>IF(AND('General price list'!$J593="F4",'General price list'!$AB593+0&gt;0),1,0)</f>
        <v>0</v>
      </c>
      <c r="AY593" s="304">
        <f t="shared" si="1206"/>
        <v>1</v>
      </c>
      <c r="AZ593" s="304">
        <f t="shared" si="1207"/>
        <v>0</v>
      </c>
    </row>
    <row r="594" spans="1:52" ht="15" customHeight="1">
      <c r="A594" s="773" t="str">
        <f>Kat.!C591</f>
        <v xml:space="preserve">                                                               Baterie 88ran, 25mm moždíř-1.3G</v>
      </c>
      <c r="B594" s="774"/>
      <c r="C594" s="774"/>
      <c r="D594" s="774"/>
      <c r="E594" s="774"/>
      <c r="F594" s="774"/>
      <c r="G594" s="774"/>
      <c r="H594" s="774"/>
      <c r="I594" s="774"/>
      <c r="J594" s="774"/>
      <c r="K594" s="774"/>
      <c r="L594" s="774"/>
      <c r="M594" s="774"/>
      <c r="N594" s="774"/>
      <c r="O594" s="774"/>
      <c r="P594" s="774"/>
      <c r="Q594" s="774"/>
      <c r="R594" s="774"/>
      <c r="S594" s="774"/>
      <c r="T594" s="774"/>
      <c r="U594" s="774"/>
      <c r="V594" s="774"/>
      <c r="W594" s="774"/>
      <c r="X594" s="774"/>
      <c r="Y594" s="774"/>
      <c r="Z594" s="774"/>
      <c r="AA594" s="774" t="str">
        <f>IFERROR(IF(VLOOKUP(C594,[4]List1!$A:$D,4,FALSE)=0,"",VLOOKUP(C594,[4]List1!$A:$D,4,FALSE)),"")</f>
        <v/>
      </c>
      <c r="AB594" s="774"/>
      <c r="AC594" s="775" t="str">
        <f>IFERROR(IF(VLOOKUP(C594,[1]List1!$A:$D,2,FALSE)="VYPRODÁNO",$V$9,IF(VLOOKUP(C594,[1]List1!$A:$D,2,FALSE)="DOCHÁZÍ",$V$3,VLOOKUP(C594,[1]List1!$A:$D,2,FALSE))),"OFFLINE!")</f>
        <v>OFFLINE!</v>
      </c>
      <c r="AD594" s="774"/>
      <c r="AE594" s="774"/>
      <c r="AF594" s="774"/>
      <c r="AG594" s="774"/>
      <c r="AH594" s="774"/>
      <c r="AI594" s="774"/>
      <c r="AJ594" s="774"/>
      <c r="AK594" s="774"/>
      <c r="AL594" s="774"/>
      <c r="AM594" s="774"/>
      <c r="AN594" s="774"/>
      <c r="AO594" s="380"/>
      <c r="AP594" s="322" t="str">
        <f t="shared" si="1200"/>
        <v/>
      </c>
      <c r="AQ594" s="323" t="str">
        <f>IF(AC594=$V$3,IF(VLOOKUP(C594,[1]List1!$A:$E,5,FALSE)=0,1,VLOOKUP(C594,[1]List1!$A:$E,5,FALSE)),"")</f>
        <v/>
      </c>
      <c r="AR594" s="304" t="str">
        <f t="shared" si="1201"/>
        <v/>
      </c>
      <c r="AS594" s="423" t="str">
        <f t="shared" si="1202"/>
        <v/>
      </c>
      <c r="AT594" s="304" t="str">
        <f t="shared" si="1203"/>
        <v/>
      </c>
      <c r="AU594" s="342" t="e">
        <f t="shared" si="1204"/>
        <v>#N/A</v>
      </c>
      <c r="AV594" s="304" t="e">
        <f t="shared" si="1205"/>
        <v>#N/A</v>
      </c>
      <c r="AX594" s="304">
        <f>IF(AND('General price list'!$J594="F4",'General price list'!$AB594+0&gt;0),1,0)</f>
        <v>0</v>
      </c>
      <c r="AY594" s="304">
        <f t="shared" si="1206"/>
        <v>0</v>
      </c>
      <c r="AZ594" s="304">
        <f t="shared" si="1207"/>
        <v>0</v>
      </c>
    </row>
    <row r="595" spans="1:52" ht="15" customHeight="1">
      <c r="A595" s="712" t="str">
        <f>Kat.!C592</f>
        <v/>
      </c>
      <c r="B595" s="713">
        <f>IF(AND('General price list'!$J595="F4",$AI$1=FALSE),0,IF(AC595="SKLADEM",1,IF(AC595=$V$3,1,0)))</f>
        <v>1</v>
      </c>
      <c r="C595" s="714" t="s">
        <v>1346</v>
      </c>
      <c r="D595" s="715" t="s">
        <v>1347</v>
      </c>
      <c r="E595" s="716" t="s">
        <v>1078</v>
      </c>
      <c r="F595" s="712">
        <f>IFERROR(ROUND(IF($AL$3=2,VLOOKUP(C595,[2]List1!$A:$D,2,FALSE)*1.08,VLOOKUP(C595,[2]List1!$A:$D,2,FALSE)),0),"NEUVEDENO!")</f>
        <v>1269</v>
      </c>
      <c r="G595" s="717">
        <f t="shared" ref="G595:G598" si="1386">(F595)*$B$19</f>
        <v>1269</v>
      </c>
      <c r="H595" s="718">
        <f t="shared" ref="H595:H598" si="1387">G595/$F$19</f>
        <v>51.56670960506159</v>
      </c>
      <c r="I595" s="719">
        <v>2</v>
      </c>
      <c r="J595" s="716" t="s">
        <v>137</v>
      </c>
      <c r="K595" s="716" t="s">
        <v>14734</v>
      </c>
      <c r="L595" s="716" t="s">
        <v>24</v>
      </c>
      <c r="M595" s="716" t="s">
        <v>138</v>
      </c>
      <c r="N595" s="716">
        <f>IFERROR(VLOOKUP(C595,[3]List1!$A:$D,4,FALSE),"N/A!")</f>
        <v>3.0778500000000004E-2</v>
      </c>
      <c r="O595" s="716">
        <f>IFERROR(VLOOKUP(C595,[3]List1!$A:$D,3,FALSE),"N/A!")</f>
        <v>1996</v>
      </c>
      <c r="P595" s="716">
        <f>IFERROR(VLOOKUP(C595,[3]List1!$A:$D,2,FALSE),"N/A!")</f>
        <v>12500</v>
      </c>
      <c r="Q595" s="716" t="s">
        <v>2794</v>
      </c>
      <c r="R595" s="716" t="s">
        <v>24</v>
      </c>
      <c r="S595" s="716" t="str">
        <f>IF($W$17=$AF$1,"design",IFERROR(VLOOKUP("design",Jazyky_ceník!$A:$Q,MATCH($W$17,Jazyky_ceník!$A$1:$Q$1,0),FALSE),"!!!"))</f>
        <v>design</v>
      </c>
      <c r="T595" s="716">
        <v>65</v>
      </c>
      <c r="U595" s="716">
        <v>30</v>
      </c>
      <c r="V595" s="716">
        <v>22</v>
      </c>
      <c r="W595" s="716" t="str">
        <f>IFERROR(VLOOKUP('General price list'!$C595,Popisy!A:P,MATCH($W$17,Popisy!$A$7:$P$7,0),FALSE),"---------------")</f>
        <v>11 různobarevných efektů</v>
      </c>
      <c r="X595" s="716" t="str">
        <f t="shared" ref="X595:X598" si="1388">IF(AB595&lt;0.0001,"",AB595)</f>
        <v/>
      </c>
      <c r="Y595" s="716" t="str">
        <f t="shared" ref="Y595:Y598" si="1389">IF($AL$3=2,IF(OR(AB595&lt;&gt;"",AB595&lt;&gt;0),AU595,""),IF(C595="","",IF(AB595&lt;0.0001,"",IF(B595=0,"",IF(AQ595&lt;AB595,"",AB595)))))</f>
        <v/>
      </c>
      <c r="Z595" s="716" t="str">
        <f>HYPERLINK("https://www.klasekpyrotechnics.cz/c8825m")</f>
        <v>https://www.klasekpyrotechnics.cz/c8825m</v>
      </c>
      <c r="AA595" s="716">
        <f>IFERROR(IF(VLOOKUP(C595,[4]List1!$A:$D,4,FALSE)=0,"",VLOOKUP(C595,[4]List1!$A:$D,4,FALSE)),"")</f>
        <v>40</v>
      </c>
      <c r="AB595" s="720"/>
      <c r="AC595" s="721" t="str">
        <f>IFERROR(IF(VLOOKUP(C595,[1]List1!$A:$D,2,FALSE)="VYPRODÁNO",$V$9,IF(VLOOKUP(C595,[1]List1!$A:$D,2,FALSE)="DOCHÁZÍ",$V$3,VLOOKUP(C595,[1]List1!$A:$D,2,FALSE))),"OFFLINE!")</f>
        <v>DOCHÁZÍ</v>
      </c>
      <c r="AD595" s="722" t="str">
        <f ca="1">IF(AP595="NE",$V$10,IF(AC595=$V$3,IF(AQ595&lt;1,$V$8,$V$2&amp;" "&amp;AQ595&amp;" "&amp;$V$1),IF(AC595="SKLADEM",$V$6,IFERROR(IF(OR(AC595-TODAY()&gt;45,VLOOKUP(C595,[1]List1!$A:$E,4,FALSE)=0),AC595,DAY(AC595)&amp;"."&amp;MONTH(AC595)&amp;"."&amp;YEAR(AC595)&amp;" "&amp;$V$4&amp;VLOOKUP(C595,[1]List1!$A:$E,4,FALSE)&amp;" "&amp;$V$1),AC595))))</f>
        <v>POSLEDNÍCH 59 VK</v>
      </c>
      <c r="AE595" s="716" t="str">
        <f t="shared" ref="AE595:AE598" ca="1" si="1390">IFERROR(IF(AV595&lt;&gt;"",AV595,AD595),AD595)</f>
        <v>POSLEDNÍCH 59 VK</v>
      </c>
      <c r="AF595" s="723">
        <f t="shared" ref="AF595:AF598" si="1391">IFERROR(IF(AB595=Y595,G595*I595*Y595,0),0)</f>
        <v>0</v>
      </c>
      <c r="AG595" s="723">
        <f t="shared" ref="AG595:AG598" si="1392">IF($W$17=$AF$8,AH595*1.23,AF595*1.21)</f>
        <v>0</v>
      </c>
      <c r="AH595" s="724">
        <f t="shared" ref="AH595:AH598" si="1393">IFERROR(IF(Y595=AB595,H595*I595*Y595,0),0)</f>
        <v>0</v>
      </c>
      <c r="AI595" s="716">
        <f t="shared" ref="AI595:AI598" si="1394">IFERROR(IF(Y595=AB595,(P595*Y595)/1000,1),0)</f>
        <v>0</v>
      </c>
      <c r="AJ595" s="716">
        <f t="shared" ref="AJ595:AJ598" si="1395">IFERROR(IF(Y595=AB595,N595*Y595,0.1),0)</f>
        <v>0</v>
      </c>
      <c r="AK595" s="716" t="str">
        <f t="shared" ref="AK595:AK598" si="1396">IFERROR(IF(Y595=AB595,IF(M595="1.1G",(O595/1000)*Y595,""),""),0)</f>
        <v/>
      </c>
      <c r="AL595" s="716">
        <f t="shared" ref="AL595:AL598" si="1397">IFERROR(IF(Y595=AB595,IF(M595="1.3G",(O595/1000)*AB595,""),""),0)</f>
        <v>0</v>
      </c>
      <c r="AM595" s="716" t="str">
        <f t="shared" ref="AM595:AM598" si="1398">IFERROR(IF(Y595=AB595,IF(M595="1.4G",(O595/1000)*AB595,""),""),0)</f>
        <v/>
      </c>
      <c r="AN595" s="716">
        <f t="shared" ref="AN595:AN598" si="1399">SUM(AK595:AM595)</f>
        <v>0</v>
      </c>
      <c r="AO595" s="380"/>
      <c r="AP595" s="322" t="str">
        <f t="shared" ref="AP595:AP598" si="1400">IF($AL$3=1,IF(Y595=AB595,"","NE"),IF(AR595=$V$10,"NE",""))</f>
        <v/>
      </c>
      <c r="AQ595" s="323">
        <f>IF(AC595=$V$3,IF(VLOOKUP(C595,[1]List1!$A:$E,5,FALSE)=0,1,VLOOKUP(C595,[1]List1!$A:$E,5,FALSE)),"")</f>
        <v>59</v>
      </c>
      <c r="AR595" s="304" t="str">
        <f t="shared" ref="AR595:AR598" si="1401">IF($AL$3=1,"",IF(OR(AB595&lt;&gt;"",AB595&lt;&gt;0),IF(OR(AC595=$V$6,AC595=$V$3,AC595=$V$9),$V$10,""),""))</f>
        <v/>
      </c>
      <c r="AS595" s="423" t="str">
        <f t="shared" ref="AS595:AS598" si="1402">IF(AT595&lt;&gt;"","X","")</f>
        <v/>
      </c>
      <c r="AT595" s="304" t="str">
        <f t="shared" ref="AT595:AT598" si="1403">IF(AND($AL$3=2,AR595="",AB595&lt;&gt;""),AD595,"")</f>
        <v/>
      </c>
      <c r="AU595" s="342" t="e">
        <f t="shared" ref="AU595:AU598" si="1404">IF(AT595=$AS$21,AB595,"")</f>
        <v>#N/A</v>
      </c>
      <c r="AV595" s="304" t="e">
        <f t="shared" ref="AV595:AV598" si="1405">IF(OR(AB595="",AND(AT595&lt;&gt;"",AU595&lt;&gt;"")),"",$V$10)</f>
        <v>#N/A</v>
      </c>
      <c r="AX595" s="304">
        <f>IF(AND('General price list'!$J595="F4",'General price list'!$AB595+0&gt;0),1,0)</f>
        <v>0</v>
      </c>
      <c r="AY595" s="304">
        <f t="shared" ref="AY595:AY598" si="1406">IFERROR(FIND(VLOOKUP($AC$7,$AD$1:$AE$12,2,FALSE),Q595,1),0)</f>
        <v>1</v>
      </c>
      <c r="AZ595" s="304">
        <f t="shared" ref="AZ595:AZ598" si="1407">IFERROR(FIND(VLOOKUP($AC$7,$AD$1:$AE$12,2,FALSE),R595,1),0)</f>
        <v>0</v>
      </c>
    </row>
    <row r="596" spans="1:52" ht="15" customHeight="1">
      <c r="A596" s="725" t="str">
        <f>Kat.!C593</f>
        <v/>
      </c>
      <c r="B596" s="726">
        <f>IF(AND('General price list'!$J596="F4",$AI$1=FALSE),0,IF(AC596="SKLADEM",1,IF(AC596=$V$3,1,0)))</f>
        <v>1</v>
      </c>
      <c r="C596" s="727" t="s">
        <v>1348</v>
      </c>
      <c r="D596" s="728" t="s">
        <v>1349</v>
      </c>
      <c r="E596" s="729" t="s">
        <v>1078</v>
      </c>
      <c r="F596" s="725">
        <f>IFERROR(ROUND(IF($AL$3=2,VLOOKUP(C596,[2]List1!$A:$D,2,FALSE)*1.08,VLOOKUP(C596,[2]List1!$A:$D,2,FALSE)),0),"NEUVEDENO!")</f>
        <v>1269</v>
      </c>
      <c r="G596" s="730">
        <f t="shared" si="1386"/>
        <v>1269</v>
      </c>
      <c r="H596" s="731">
        <f t="shared" si="1387"/>
        <v>51.56670960506159</v>
      </c>
      <c r="I596" s="732">
        <v>2</v>
      </c>
      <c r="J596" s="729" t="s">
        <v>137</v>
      </c>
      <c r="K596" s="729" t="s">
        <v>14734</v>
      </c>
      <c r="L596" s="729" t="s">
        <v>14393</v>
      </c>
      <c r="M596" s="729" t="s">
        <v>138</v>
      </c>
      <c r="N596" s="729">
        <f>IFERROR(VLOOKUP(C596,[3]List1!$A:$D,4,FALSE),"N/A!")</f>
        <v>3.0778500000000004E-2</v>
      </c>
      <c r="O596" s="729">
        <f>IFERROR(VLOOKUP(C596,[3]List1!$A:$D,3,FALSE),"N/A!")</f>
        <v>1996</v>
      </c>
      <c r="P596" s="729">
        <f>IFERROR(VLOOKUP(C596,[3]List1!$A:$D,2,FALSE),"N/A!")</f>
        <v>12500</v>
      </c>
      <c r="Q596" s="729" t="s">
        <v>2794</v>
      </c>
      <c r="R596" s="729" t="s">
        <v>24</v>
      </c>
      <c r="S596" s="729" t="str">
        <f>IF($W$17=$AF$1,"design",IFERROR(VLOOKUP("design",Jazyky_ceník!$A:$Q,MATCH($W$17,Jazyky_ceník!$A$1:$Q$1,0),FALSE),"!!!"))</f>
        <v>design</v>
      </c>
      <c r="T596" s="729">
        <v>65</v>
      </c>
      <c r="U596" s="729">
        <v>30</v>
      </c>
      <c r="V596" s="729">
        <v>22</v>
      </c>
      <c r="W596" s="729" t="str">
        <f>IFERROR(VLOOKUP('General price list'!$C596,Popisy!A:P,MATCH($W$17,Popisy!$A$7:$P$7,0),FALSE),"---------------")</f>
        <v>11 různobarevných efektů měnících se po každé ráně</v>
      </c>
      <c r="X596" s="729" t="str">
        <f t="shared" si="1388"/>
        <v/>
      </c>
      <c r="Y596" s="729" t="str">
        <f t="shared" si="1389"/>
        <v/>
      </c>
      <c r="Z596" s="729" t="str">
        <f>HYPERLINK("https://www.klasekpyrotechnics.cz/c8825g")</f>
        <v>https://www.klasekpyrotechnics.cz/c8825g</v>
      </c>
      <c r="AA596" s="729">
        <f>IFERROR(IF(VLOOKUP(C596,[4]List1!$A:$D,4,FALSE)=0,"",VLOOKUP(C596,[4]List1!$A:$D,4,FALSE)),"")</f>
        <v>40</v>
      </c>
      <c r="AB596" s="720"/>
      <c r="AC596" s="733" t="str">
        <f>IFERROR(IF(VLOOKUP(C596,[1]List1!$A:$D,2,FALSE)="VYPRODÁNO",$V$9,IF(VLOOKUP(C596,[1]List1!$A:$D,2,FALSE)="DOCHÁZÍ",$V$3,VLOOKUP(C596,[1]List1!$A:$D,2,FALSE))),"OFFLINE!")</f>
        <v>SKLADEM</v>
      </c>
      <c r="AD596" s="734" t="str">
        <f ca="1">IF(AP596="NE",$V$10,IF(AC596=$V$3,IF(AQ596&lt;1,$V$8,$V$2&amp;" "&amp;AQ596&amp;" "&amp;$V$1),IF(AC596="SKLADEM",$V$6,IFERROR(IF(OR(AC596-TODAY()&gt;45,VLOOKUP(C596,[1]List1!$A:$E,4,FALSE)=0),AC596,DAY(AC596)&amp;"."&amp;MONTH(AC596)&amp;"."&amp;YEAR(AC596)&amp;" "&amp;$V$4&amp;VLOOKUP(C596,[1]List1!$A:$E,4,FALSE)&amp;" "&amp;$V$1),AC596))))</f>
        <v>SKLADEM</v>
      </c>
      <c r="AE596" s="729" t="str">
        <f t="shared" ca="1" si="1390"/>
        <v>SKLADEM</v>
      </c>
      <c r="AF596" s="735">
        <f t="shared" si="1391"/>
        <v>0</v>
      </c>
      <c r="AG596" s="735">
        <f t="shared" si="1392"/>
        <v>0</v>
      </c>
      <c r="AH596" s="736">
        <f t="shared" si="1393"/>
        <v>0</v>
      </c>
      <c r="AI596" s="729">
        <f t="shared" si="1394"/>
        <v>0</v>
      </c>
      <c r="AJ596" s="729">
        <f t="shared" si="1395"/>
        <v>0</v>
      </c>
      <c r="AK596" s="729" t="str">
        <f t="shared" si="1396"/>
        <v/>
      </c>
      <c r="AL596" s="729">
        <f t="shared" si="1397"/>
        <v>0</v>
      </c>
      <c r="AM596" s="729" t="str">
        <f t="shared" si="1398"/>
        <v/>
      </c>
      <c r="AN596" s="729">
        <f t="shared" si="1399"/>
        <v>0</v>
      </c>
      <c r="AO596" s="380"/>
      <c r="AP596" s="322" t="str">
        <f t="shared" si="1400"/>
        <v/>
      </c>
      <c r="AQ596" s="323" t="str">
        <f>IF(AC596=$V$3,IF(VLOOKUP(C596,[1]List1!$A:$E,5,FALSE)=0,1,VLOOKUP(C596,[1]List1!$A:$E,5,FALSE)),"")</f>
        <v/>
      </c>
      <c r="AR596" s="304" t="str">
        <f t="shared" si="1401"/>
        <v/>
      </c>
      <c r="AS596" s="423" t="str">
        <f t="shared" si="1402"/>
        <v/>
      </c>
      <c r="AT596" s="304" t="str">
        <f t="shared" si="1403"/>
        <v/>
      </c>
      <c r="AU596" s="342" t="e">
        <f t="shared" si="1404"/>
        <v>#N/A</v>
      </c>
      <c r="AV596" s="304" t="e">
        <f t="shared" si="1405"/>
        <v>#N/A</v>
      </c>
      <c r="AX596" s="304">
        <f>IF(AND('General price list'!$J596="F4",'General price list'!$AB596+0&gt;0),1,0)</f>
        <v>0</v>
      </c>
      <c r="AY596" s="304">
        <f t="shared" si="1406"/>
        <v>1</v>
      </c>
      <c r="AZ596" s="304">
        <f t="shared" si="1407"/>
        <v>0</v>
      </c>
    </row>
    <row r="597" spans="1:52" ht="15" customHeight="1">
      <c r="A597" s="712" t="str">
        <f>Kat.!C594</f>
        <v/>
      </c>
      <c r="B597" s="737">
        <f>IF(AND('General price list'!$J597="F4",$AI$1=FALSE),0,IF(AC597="SKLADEM",1,IF(AC597=$V$3,1,0)))</f>
        <v>1</v>
      </c>
      <c r="C597" s="714" t="s">
        <v>1353</v>
      </c>
      <c r="D597" s="715" t="s">
        <v>1354</v>
      </c>
      <c r="E597" s="716" t="s">
        <v>1078</v>
      </c>
      <c r="F597" s="712">
        <f>IFERROR(ROUND(IF($AL$3=2,VLOOKUP(C597,[2]List1!$A:$D,2,FALSE)*1.08,VLOOKUP(C597,[2]List1!$A:$D,2,FALSE)),0),"NEUVEDENO!")</f>
        <v>1269</v>
      </c>
      <c r="G597" s="717">
        <f t="shared" si="1386"/>
        <v>1269</v>
      </c>
      <c r="H597" s="718">
        <f t="shared" si="1387"/>
        <v>51.56670960506159</v>
      </c>
      <c r="I597" s="738">
        <v>2</v>
      </c>
      <c r="J597" s="716" t="s">
        <v>137</v>
      </c>
      <c r="K597" s="716" t="s">
        <v>14734</v>
      </c>
      <c r="L597" s="716" t="s">
        <v>24</v>
      </c>
      <c r="M597" s="716" t="s">
        <v>138</v>
      </c>
      <c r="N597" s="716">
        <f>IFERROR(VLOOKUP(C597,[3]List1!$A:$D,4,FALSE),"N/A!")</f>
        <v>3.0778500000000004E-2</v>
      </c>
      <c r="O597" s="716">
        <f>IFERROR(VLOOKUP(C597,[3]List1!$A:$D,3,FALSE),"N/A!")</f>
        <v>1996</v>
      </c>
      <c r="P597" s="716">
        <f>IFERROR(VLOOKUP(C597,[3]List1!$A:$D,2,FALSE),"N/A!")</f>
        <v>12500</v>
      </c>
      <c r="Q597" s="716" t="s">
        <v>2794</v>
      </c>
      <c r="R597" s="716" t="s">
        <v>24</v>
      </c>
      <c r="S597" s="716" t="str">
        <f>IF($W$17=$AF$1,"design",IFERROR(VLOOKUP("design",Jazyky_ceník!$A:$Q,MATCH($W$17,Jazyky_ceník!$A$1:$Q$1,0),FALSE),"!!!"))</f>
        <v>design</v>
      </c>
      <c r="T597" s="716">
        <v>65</v>
      </c>
      <c r="U597" s="716">
        <v>30</v>
      </c>
      <c r="V597" s="716">
        <v>22</v>
      </c>
      <c r="W597" s="716" t="str">
        <f>IFERROR(VLOOKUP('General price list'!$C597,Popisy!A:P,MATCH($W$17,Popisy!$A$7:$P$7,0),FALSE),"---------------")</f>
        <v>11 různobarevných efektů</v>
      </c>
      <c r="X597" s="716" t="str">
        <f t="shared" si="1388"/>
        <v/>
      </c>
      <c r="Y597" s="716" t="str">
        <f t="shared" si="1389"/>
        <v/>
      </c>
      <c r="Z597" s="716" t="str">
        <f>HYPERLINK("https://www.klasekpyrotechnics.cz/c8825pa")</f>
        <v>https://www.klasekpyrotechnics.cz/c8825pa</v>
      </c>
      <c r="AA597" s="716">
        <f>IFERROR(IF(VLOOKUP(C597,[4]List1!$A:$D,4,FALSE)=0,"",VLOOKUP(C597,[4]List1!$A:$D,4,FALSE)),"")</f>
        <v>40</v>
      </c>
      <c r="AB597" s="720"/>
      <c r="AC597" s="739" t="str">
        <f>IFERROR(IF(VLOOKUP(C597,[1]List1!$A:$D,2,FALSE)="VYPRODÁNO",$V$9,IF(VLOOKUP(C597,[1]List1!$A:$D,2,FALSE)="DOCHÁZÍ",$V$3,VLOOKUP(C597,[1]List1!$A:$D,2,FALSE))),"OFFLINE!")</f>
        <v>SKLADEM</v>
      </c>
      <c r="AD597" s="740" t="str">
        <f ca="1">IF(AP597="NE",$V$10,IF(AC597=$V$3,IF(AQ597&lt;1,$V$8,$V$2&amp;" "&amp;AQ597&amp;" "&amp;$V$1),IF(AC597="SKLADEM",$V$6,IFERROR(IF(OR(AC597-TODAY()&gt;45,VLOOKUP(C597,[1]List1!$A:$E,4,FALSE)=0),AC597,DAY(AC597)&amp;"."&amp;MONTH(AC597)&amp;"."&amp;YEAR(AC597)&amp;" "&amp;$V$4&amp;VLOOKUP(C597,[1]List1!$A:$E,4,FALSE)&amp;" "&amp;$V$1),AC597))))</f>
        <v>SKLADEM</v>
      </c>
      <c r="AE597" s="716" t="str">
        <f t="shared" ca="1" si="1390"/>
        <v>SKLADEM</v>
      </c>
      <c r="AF597" s="723">
        <f t="shared" si="1391"/>
        <v>0</v>
      </c>
      <c r="AG597" s="723">
        <f t="shared" si="1392"/>
        <v>0</v>
      </c>
      <c r="AH597" s="724">
        <f t="shared" si="1393"/>
        <v>0</v>
      </c>
      <c r="AI597" s="716">
        <f t="shared" si="1394"/>
        <v>0</v>
      </c>
      <c r="AJ597" s="716">
        <f t="shared" si="1395"/>
        <v>0</v>
      </c>
      <c r="AK597" s="716" t="str">
        <f t="shared" si="1396"/>
        <v/>
      </c>
      <c r="AL597" s="716">
        <f t="shared" si="1397"/>
        <v>0</v>
      </c>
      <c r="AM597" s="716" t="str">
        <f t="shared" si="1398"/>
        <v/>
      </c>
      <c r="AN597" s="716">
        <f t="shared" si="1399"/>
        <v>0</v>
      </c>
      <c r="AO597" s="380"/>
      <c r="AP597" s="322" t="str">
        <f t="shared" si="1400"/>
        <v/>
      </c>
      <c r="AQ597" s="323" t="str">
        <f>IF(AC597=$V$3,IF(VLOOKUP(C597,[1]List1!$A:$E,5,FALSE)=0,1,VLOOKUP(C597,[1]List1!$A:$E,5,FALSE)),"")</f>
        <v/>
      </c>
      <c r="AR597" s="304" t="str">
        <f t="shared" si="1401"/>
        <v/>
      </c>
      <c r="AS597" s="423" t="str">
        <f t="shared" si="1402"/>
        <v/>
      </c>
      <c r="AT597" s="304" t="str">
        <f t="shared" si="1403"/>
        <v/>
      </c>
      <c r="AU597" s="342" t="e">
        <f t="shared" si="1404"/>
        <v>#N/A</v>
      </c>
      <c r="AV597" s="304" t="e">
        <f t="shared" si="1405"/>
        <v>#N/A</v>
      </c>
      <c r="AX597" s="304">
        <f>IF(AND('General price list'!$J597="F4",'General price list'!$AB597+0&gt;0),1,0)</f>
        <v>0</v>
      </c>
      <c r="AY597" s="304">
        <f t="shared" si="1406"/>
        <v>1</v>
      </c>
      <c r="AZ597" s="304">
        <f t="shared" si="1407"/>
        <v>0</v>
      </c>
    </row>
    <row r="598" spans="1:52" ht="15" customHeight="1">
      <c r="A598" s="725" t="str">
        <f>Kat.!C595</f>
        <v/>
      </c>
      <c r="B598" s="726">
        <f>IF(AND('General price list'!$J598="F4",$AI$1=FALSE),0,IF(AC598="SKLADEM",1,IF(AC598=$V$3,1,0)))</f>
        <v>1</v>
      </c>
      <c r="C598" s="727" t="s">
        <v>1355</v>
      </c>
      <c r="D598" s="728" t="s">
        <v>1356</v>
      </c>
      <c r="E598" s="729" t="s">
        <v>1078</v>
      </c>
      <c r="F598" s="725">
        <f>IFERROR(ROUND(IF($AL$3=2,VLOOKUP(C598,[2]List1!$A:$D,2,FALSE)*1.08,VLOOKUP(C598,[2]List1!$A:$D,2,FALSE)),0),"NEUVEDENO!")</f>
        <v>1269</v>
      </c>
      <c r="G598" s="730">
        <f t="shared" si="1386"/>
        <v>1269</v>
      </c>
      <c r="H598" s="731">
        <f t="shared" si="1387"/>
        <v>51.56670960506159</v>
      </c>
      <c r="I598" s="732">
        <v>2</v>
      </c>
      <c r="J598" s="729" t="s">
        <v>137</v>
      </c>
      <c r="K598" s="729" t="s">
        <v>14734</v>
      </c>
      <c r="L598" s="729" t="s">
        <v>24</v>
      </c>
      <c r="M598" s="729" t="s">
        <v>138</v>
      </c>
      <c r="N598" s="729">
        <f>IFERROR(VLOOKUP(C598,[3]List1!$A:$D,4,FALSE),"N/A!")</f>
        <v>3.2576250000000001E-2</v>
      </c>
      <c r="O598" s="729">
        <f>IFERROR(VLOOKUP(C598,[3]List1!$A:$D,3,FALSE),"N/A!")</f>
        <v>1996</v>
      </c>
      <c r="P598" s="729">
        <f>IFERROR(VLOOKUP(C598,[3]List1!$A:$D,2,FALSE),"N/A!")</f>
        <v>12500</v>
      </c>
      <c r="Q598" s="729" t="s">
        <v>2794</v>
      </c>
      <c r="R598" s="729" t="s">
        <v>24</v>
      </c>
      <c r="S598" s="729" t="str">
        <f>IF($W$17=$AF$1,"design",IFERROR(VLOOKUP("design",Jazyky_ceník!$A:$Q,MATCH($W$17,Jazyky_ceník!$A$1:$Q$1,0),FALSE),"!!!"))</f>
        <v>design</v>
      </c>
      <c r="T598" s="729">
        <v>65</v>
      </c>
      <c r="U598" s="729">
        <v>30</v>
      </c>
      <c r="V598" s="729">
        <v>22</v>
      </c>
      <c r="W598" s="729" t="str">
        <f>IFERROR(VLOOKUP('General price list'!$C598,Popisy!A:P,MATCH($W$17,Popisy!$A$7:$P$7,0),FALSE),"---------------")</f>
        <v>40ran zlatá brokátová koruna s červenými/modrými konci, 48ran stříbrná mina s červenovu stopou+titanová exploze</v>
      </c>
      <c r="X598" s="729" t="str">
        <f t="shared" si="1388"/>
        <v/>
      </c>
      <c r="Y598" s="729" t="str">
        <f t="shared" si="1389"/>
        <v/>
      </c>
      <c r="Z598" s="729" t="str">
        <f>HYPERLINK("https://www.klasekpyrotechnics.cz/c8825br")</f>
        <v>https://www.klasekpyrotechnics.cz/c8825br</v>
      </c>
      <c r="AA598" s="729">
        <f>IFERROR(IF(VLOOKUP(C598,[4]List1!$A:$D,4,FALSE)=0,"",VLOOKUP(C598,[4]List1!$A:$D,4,FALSE)),"")</f>
        <v>40</v>
      </c>
      <c r="AB598" s="720"/>
      <c r="AC598" s="733" t="str">
        <f>IFERROR(IF(VLOOKUP(C598,[1]List1!$A:$D,2,FALSE)="VYPRODÁNO",$V$9,IF(VLOOKUP(C598,[1]List1!$A:$D,2,FALSE)="DOCHÁZÍ",$V$3,VLOOKUP(C598,[1]List1!$A:$D,2,FALSE))),"OFFLINE!")</f>
        <v>SKLADEM</v>
      </c>
      <c r="AD598" s="734" t="str">
        <f ca="1">IF(AP598="NE",$V$10,IF(AC598=$V$3,IF(AQ598&lt;1,$V$8,$V$2&amp;" "&amp;AQ598&amp;" "&amp;$V$1),IF(AC598="SKLADEM",$V$6,IFERROR(IF(OR(AC598-TODAY()&gt;45,VLOOKUP(C598,[1]List1!$A:$E,4,FALSE)=0),AC598,DAY(AC598)&amp;"."&amp;MONTH(AC598)&amp;"."&amp;YEAR(AC598)&amp;" "&amp;$V$4&amp;VLOOKUP(C598,[1]List1!$A:$E,4,FALSE)&amp;" "&amp;$V$1),AC598))))</f>
        <v>SKLADEM</v>
      </c>
      <c r="AE598" s="729" t="str">
        <f t="shared" ca="1" si="1390"/>
        <v>SKLADEM</v>
      </c>
      <c r="AF598" s="735">
        <f t="shared" si="1391"/>
        <v>0</v>
      </c>
      <c r="AG598" s="735">
        <f t="shared" si="1392"/>
        <v>0</v>
      </c>
      <c r="AH598" s="736">
        <f t="shared" si="1393"/>
        <v>0</v>
      </c>
      <c r="AI598" s="729">
        <f t="shared" si="1394"/>
        <v>0</v>
      </c>
      <c r="AJ598" s="729">
        <f t="shared" si="1395"/>
        <v>0</v>
      </c>
      <c r="AK598" s="729" t="str">
        <f t="shared" si="1396"/>
        <v/>
      </c>
      <c r="AL598" s="729">
        <f t="shared" si="1397"/>
        <v>0</v>
      </c>
      <c r="AM598" s="729" t="str">
        <f t="shared" si="1398"/>
        <v/>
      </c>
      <c r="AN598" s="729">
        <f t="shared" si="1399"/>
        <v>0</v>
      </c>
      <c r="AO598" s="380"/>
      <c r="AP598" s="322" t="str">
        <f t="shared" si="1400"/>
        <v/>
      </c>
      <c r="AQ598" s="323" t="str">
        <f>IF(AC598=$V$3,IF(VLOOKUP(C598,[1]List1!$A:$E,5,FALSE)=0,1,VLOOKUP(C598,[1]List1!$A:$E,5,FALSE)),"")</f>
        <v/>
      </c>
      <c r="AR598" s="304" t="str">
        <f t="shared" si="1401"/>
        <v/>
      </c>
      <c r="AS598" s="423" t="str">
        <f t="shared" si="1402"/>
        <v/>
      </c>
      <c r="AT598" s="304" t="str">
        <f t="shared" si="1403"/>
        <v/>
      </c>
      <c r="AU598" s="342" t="e">
        <f t="shared" si="1404"/>
        <v>#N/A</v>
      </c>
      <c r="AV598" s="304" t="e">
        <f t="shared" si="1405"/>
        <v>#N/A</v>
      </c>
      <c r="AX598" s="304">
        <f>IF(AND('General price list'!$J598="F4",'General price list'!$AB598+0&gt;0),1,0)</f>
        <v>0</v>
      </c>
      <c r="AY598" s="304">
        <f t="shared" si="1406"/>
        <v>1</v>
      </c>
      <c r="AZ598" s="304">
        <f t="shared" si="1407"/>
        <v>0</v>
      </c>
    </row>
    <row r="599" spans="1:52" ht="15" customHeight="1">
      <c r="A599" s="773" t="str">
        <f>Kat.!C596</f>
        <v xml:space="preserve">                                                               Baterie 89ran, 25mm I+W+šikmý moždíř-1.3G</v>
      </c>
      <c r="B599" s="774"/>
      <c r="C599" s="774"/>
      <c r="D599" s="774"/>
      <c r="E599" s="774"/>
      <c r="F599" s="774"/>
      <c r="G599" s="774"/>
      <c r="H599" s="774"/>
      <c r="I599" s="774"/>
      <c r="J599" s="774"/>
      <c r="K599" s="774"/>
      <c r="L599" s="774"/>
      <c r="M599" s="774"/>
      <c r="N599" s="774"/>
      <c r="O599" s="774"/>
      <c r="P599" s="774"/>
      <c r="Q599" s="774"/>
      <c r="R599" s="774"/>
      <c r="S599" s="774"/>
      <c r="T599" s="774"/>
      <c r="U599" s="774"/>
      <c r="V599" s="774"/>
      <c r="W599" s="774"/>
      <c r="X599" s="774"/>
      <c r="Y599" s="774"/>
      <c r="Z599" s="774"/>
      <c r="AA599" s="774" t="str">
        <f>IFERROR(IF(VLOOKUP(C599,[4]List1!$A:$D,4,FALSE)=0,"",VLOOKUP(C599,[4]List1!$A:$D,4,FALSE)),"")</f>
        <v/>
      </c>
      <c r="AB599" s="774"/>
      <c r="AC599" s="775" t="str">
        <f>IFERROR(IF(VLOOKUP(C599,[1]List1!$A:$D,2,FALSE)="VYPRODÁNO",$V$9,IF(VLOOKUP(C599,[1]List1!$A:$D,2,FALSE)="DOCHÁZÍ",$V$3,VLOOKUP(C599,[1]List1!$A:$D,2,FALSE))),"OFFLINE!")</f>
        <v>OFFLINE!</v>
      </c>
      <c r="AD599" s="774"/>
      <c r="AE599" s="774"/>
      <c r="AF599" s="774"/>
      <c r="AG599" s="774"/>
      <c r="AH599" s="774"/>
      <c r="AI599" s="774"/>
      <c r="AJ599" s="774"/>
      <c r="AK599" s="774"/>
      <c r="AL599" s="774"/>
      <c r="AM599" s="774"/>
      <c r="AN599" s="774"/>
      <c r="AO599" s="380"/>
      <c r="AP599" s="322" t="str">
        <f t="shared" ref="AP599:AP658" si="1408">IF($AL$3=1,IF(Y599=AB599,"","NE"),IF(AR599=$V$10,"NE",""))</f>
        <v/>
      </c>
      <c r="AQ599" s="323" t="str">
        <f>IF(AC599=$V$3,IF(VLOOKUP(C599,[1]List1!$A:$E,5,FALSE)=0,1,VLOOKUP(C599,[1]List1!$A:$E,5,FALSE)),"")</f>
        <v/>
      </c>
      <c r="AR599" s="304" t="str">
        <f t="shared" ref="AR599:AR658" si="1409">IF($AL$3=1,"",IF(OR(AB599&lt;&gt;"",AB599&lt;&gt;0),IF(OR(AC599=$V$6,AC599=$V$3,AC599=$V$9),$V$10,""),""))</f>
        <v/>
      </c>
      <c r="AS599" s="423" t="str">
        <f t="shared" ref="AS599:AS658" si="1410">IF(AT599&lt;&gt;"","X","")</f>
        <v/>
      </c>
      <c r="AT599" s="304" t="str">
        <f t="shared" ref="AT599:AT658" si="1411">IF(AND($AL$3=2,AR599="",AB599&lt;&gt;""),AD599,"")</f>
        <v/>
      </c>
      <c r="AU599" s="342" t="e">
        <f t="shared" ref="AU599:AU658" si="1412">IF(AT599=$AS$21,AB599,"")</f>
        <v>#N/A</v>
      </c>
      <c r="AV599" s="304" t="e">
        <f t="shared" ref="AV599:AV658" si="1413">IF(OR(AB599="",AND(AT599&lt;&gt;"",AU599&lt;&gt;"")),"",$V$10)</f>
        <v>#N/A</v>
      </c>
      <c r="AX599" s="304">
        <f>IF(AND('General price list'!$J599="F4",'General price list'!$AB599+0&gt;0),1,0)</f>
        <v>0</v>
      </c>
      <c r="AY599" s="304">
        <f t="shared" ref="AY599:AY658" si="1414">IFERROR(FIND(VLOOKUP($AC$7,$AD$1:$AE$12,2,FALSE),Q599,1),0)</f>
        <v>0</v>
      </c>
      <c r="AZ599" s="304">
        <f t="shared" ref="AZ599:AZ658" si="1415">IFERROR(FIND(VLOOKUP($AC$7,$AD$1:$AE$12,2,FALSE),R599,1),0)</f>
        <v>0</v>
      </c>
    </row>
    <row r="600" spans="1:52" ht="15" customHeight="1">
      <c r="A600" s="725" t="str">
        <f>Kat.!C597</f>
        <v/>
      </c>
      <c r="B600" s="741">
        <f>IF(AND('General price list'!$J600="F4",$AI$1=FALSE),0,IF(AC600="SKLADEM",1,IF(AC600=$V$3,1,0)))</f>
        <v>1</v>
      </c>
      <c r="C600" s="727" t="s">
        <v>1360</v>
      </c>
      <c r="D600" s="728" t="s">
        <v>1361</v>
      </c>
      <c r="E600" s="729" t="s">
        <v>1078</v>
      </c>
      <c r="F600" s="725">
        <f>IFERROR(ROUND(IF($AL$3=2,VLOOKUP(C600,[2]List1!$A:$D,2,FALSE)*1.08,VLOOKUP(C600,[2]List1!$A:$D,2,FALSE)),0),"NEUVEDENO!")</f>
        <v>1591</v>
      </c>
      <c r="G600" s="730">
        <f t="shared" ref="G600:G601" si="1416">(F600)*$B$19</f>
        <v>1591</v>
      </c>
      <c r="H600" s="731">
        <f t="shared" ref="H600:H601" si="1417">G600/$F$19</f>
        <v>64.651406604927487</v>
      </c>
      <c r="I600" s="742">
        <v>2</v>
      </c>
      <c r="J600" s="729" t="s">
        <v>137</v>
      </c>
      <c r="K600" s="729"/>
      <c r="L600" s="729" t="s">
        <v>24</v>
      </c>
      <c r="M600" s="729" t="s">
        <v>138</v>
      </c>
      <c r="N600" s="729">
        <f>IFERROR(VLOOKUP(C600,[3]List1!$A:$D,4,FALSE),"N/A!")</f>
        <v>4.7376999999999996E-2</v>
      </c>
      <c r="O600" s="729">
        <f>IFERROR(VLOOKUP(C600,[3]List1!$A:$D,3,FALSE),"N/A!")</f>
        <v>1990</v>
      </c>
      <c r="P600" s="729">
        <f>IFERROR(VLOOKUP(C600,[3]List1!$A:$D,2,FALSE),"N/A!")</f>
        <v>15600</v>
      </c>
      <c r="Q600" s="729" t="s">
        <v>14201</v>
      </c>
      <c r="R600" s="729" t="s">
        <v>24</v>
      </c>
      <c r="S600" s="729" t="str">
        <f>IF($W$17=$AF$1,"design",IFERROR(VLOOKUP("design",Jazyky_ceník!$A:$Q,MATCH($W$17,Jazyky_ceník!$A$1:$Q$1,0),FALSE),"!!!"))</f>
        <v>design</v>
      </c>
      <c r="T600" s="729">
        <v>60</v>
      </c>
      <c r="U600" s="729">
        <v>30</v>
      </c>
      <c r="V600" s="729">
        <v>22</v>
      </c>
      <c r="W600" s="729" t="str">
        <f>IFERROR(VLOOKUP('General price list'!$C600,Popisy!A:P,MATCH($W$17,Popisy!$A$7:$P$7,0),FALSE),"---------------")</f>
        <v>6různých modrých efektů + 3 řady stříbrná mina s červenou stopou a titanovou explozí</v>
      </c>
      <c r="X600" s="729" t="str">
        <f t="shared" ref="X600:X601" si="1418">IF(AB600&lt;0.0001,"",AB600)</f>
        <v/>
      </c>
      <c r="Y600" s="729" t="str">
        <f t="shared" ref="Y600:Y601" si="1419">IF($AL$3=2,IF(OR(AB600&lt;&gt;"",AB600&lt;&gt;0),AU600,""),IF(C600="","",IF(AB600&lt;0.0001,"",IF(B600=0,"",IF(AQ600&lt;AB600,"",AB600)))))</f>
        <v/>
      </c>
      <c r="Z600" s="729" t="str">
        <f>HYPERLINK("https://www.klasekpyrotechnics.cz/c8925b")</f>
        <v>https://www.klasekpyrotechnics.cz/c8925b</v>
      </c>
      <c r="AA600" s="729">
        <f>IFERROR(IF(VLOOKUP(C600,[4]List1!$A:$D,4,FALSE)=0,"",VLOOKUP(C600,[4]List1!$A:$D,4,FALSE)),"")</f>
        <v>24</v>
      </c>
      <c r="AB600" s="720"/>
      <c r="AC600" s="743" t="str">
        <f>IFERROR(IF(VLOOKUP(C600,[1]List1!$A:$D,2,FALSE)="VYPRODÁNO",$V$9,IF(VLOOKUP(C600,[1]List1!$A:$D,2,FALSE)="DOCHÁZÍ",$V$3,VLOOKUP(C600,[1]List1!$A:$D,2,FALSE))),"OFFLINE!")</f>
        <v>SKLADEM</v>
      </c>
      <c r="AD600" s="744" t="str">
        <f ca="1">IF(AP600="NE",$V$10,IF(AC600=$V$3,IF(AQ600&lt;1,$V$8,$V$2&amp;" "&amp;AQ600&amp;" "&amp;$V$1),IF(AC600="SKLADEM",$V$6,IFERROR(IF(OR(AC600-TODAY()&gt;45,VLOOKUP(C600,[1]List1!$A:$E,4,FALSE)=0),AC600,DAY(AC600)&amp;"."&amp;MONTH(AC600)&amp;"."&amp;YEAR(AC600)&amp;" "&amp;$V$4&amp;VLOOKUP(C600,[1]List1!$A:$E,4,FALSE)&amp;" "&amp;$V$1),AC600))))</f>
        <v>SKLADEM</v>
      </c>
      <c r="AE600" s="729" t="str">
        <f t="shared" ref="AE600:AE601" ca="1" si="1420">IFERROR(IF(AV600&lt;&gt;"",AV600,AD600),AD600)</f>
        <v>SKLADEM</v>
      </c>
      <c r="AF600" s="735">
        <f t="shared" ref="AF600:AF601" si="1421">IFERROR(IF(AB600=Y600,G600*I600*Y600,0),0)</f>
        <v>0</v>
      </c>
      <c r="AG600" s="735">
        <f t="shared" ref="AG600:AG601" si="1422">IF($W$17=$AF$8,AH600*1.23,AF600*1.21)</f>
        <v>0</v>
      </c>
      <c r="AH600" s="736">
        <f t="shared" ref="AH600:AH601" si="1423">IFERROR(IF(Y600=AB600,H600*I600*Y600,0),0)</f>
        <v>0</v>
      </c>
      <c r="AI600" s="729">
        <f t="shared" ref="AI600:AI601" si="1424">IFERROR(IF(Y600=AB600,(P600*Y600)/1000,1),0)</f>
        <v>0</v>
      </c>
      <c r="AJ600" s="729">
        <f t="shared" ref="AJ600:AJ601" si="1425">IFERROR(IF(Y600=AB600,N600*Y600,0.1),0)</f>
        <v>0</v>
      </c>
      <c r="AK600" s="729" t="str">
        <f t="shared" ref="AK600:AK601" si="1426">IFERROR(IF(Y600=AB600,IF(M600="1.1G",(O600/1000)*Y600,""),""),0)</f>
        <v/>
      </c>
      <c r="AL600" s="729">
        <f t="shared" ref="AL600:AL601" si="1427">IFERROR(IF(Y600=AB600,IF(M600="1.3G",(O600/1000)*AB600,""),""),0)</f>
        <v>0</v>
      </c>
      <c r="AM600" s="729" t="str">
        <f t="shared" ref="AM600:AM601" si="1428">IFERROR(IF(Y600=AB600,IF(M600="1.4G",(O600/1000)*AB600,""),""),0)</f>
        <v/>
      </c>
      <c r="AN600" s="729">
        <f t="shared" ref="AN600:AN601" si="1429">SUM(AK600:AM600)</f>
        <v>0</v>
      </c>
      <c r="AO600" s="380"/>
      <c r="AP600" s="322" t="str">
        <f t="shared" si="1408"/>
        <v/>
      </c>
      <c r="AQ600" s="323" t="str">
        <f>IF(AC600=$V$3,IF(VLOOKUP(C600,[1]List1!$A:$E,5,FALSE)=0,1,VLOOKUP(C600,[1]List1!$A:$E,5,FALSE)),"")</f>
        <v/>
      </c>
      <c r="AR600" s="304" t="str">
        <f t="shared" si="1409"/>
        <v/>
      </c>
      <c r="AS600" s="423" t="str">
        <f t="shared" si="1410"/>
        <v/>
      </c>
      <c r="AT600" s="304" t="str">
        <f t="shared" si="1411"/>
        <v/>
      </c>
      <c r="AU600" s="342" t="e">
        <f t="shared" si="1412"/>
        <v>#N/A</v>
      </c>
      <c r="AV600" s="304" t="e">
        <f t="shared" si="1413"/>
        <v>#N/A</v>
      </c>
      <c r="AX600" s="304">
        <f>IF(AND('General price list'!$J600="F4",'General price list'!$AB600+0&gt;0),1,0)</f>
        <v>0</v>
      </c>
      <c r="AY600" s="304">
        <f t="shared" si="1414"/>
        <v>1</v>
      </c>
      <c r="AZ600" s="304">
        <f t="shared" si="1415"/>
        <v>0</v>
      </c>
    </row>
    <row r="601" spans="1:52" ht="15" customHeight="1">
      <c r="A601" s="712" t="str">
        <f>Kat.!C598</f>
        <v/>
      </c>
      <c r="B601" s="745">
        <f>IF(AND('General price list'!$J601="F4",$AI$1=FALSE),0,IF(AC601="SKLADEM",1,IF(AC601=$V$3,1,0)))</f>
        <v>1</v>
      </c>
      <c r="C601" s="714" t="s">
        <v>1365</v>
      </c>
      <c r="D601" s="715" t="s">
        <v>1366</v>
      </c>
      <c r="E601" s="716" t="s">
        <v>1078</v>
      </c>
      <c r="F601" s="712">
        <f>IFERROR(ROUND(IF($AL$3=2,VLOOKUP(C601,[2]List1!$A:$D,2,FALSE)*1.08,VLOOKUP(C601,[2]List1!$A:$D,2,FALSE)),0),"NEUVEDENO!")</f>
        <v>1591</v>
      </c>
      <c r="G601" s="717">
        <f t="shared" si="1416"/>
        <v>1591</v>
      </c>
      <c r="H601" s="718">
        <f t="shared" si="1417"/>
        <v>64.651406604927487</v>
      </c>
      <c r="I601" s="746">
        <v>2</v>
      </c>
      <c r="J601" s="716" t="s">
        <v>137</v>
      </c>
      <c r="K601" s="716"/>
      <c r="L601" s="716" t="s">
        <v>24</v>
      </c>
      <c r="M601" s="716" t="s">
        <v>138</v>
      </c>
      <c r="N601" s="716">
        <f>IFERROR(VLOOKUP(C601,[3]List1!$A:$D,4,FALSE),"N/A!")</f>
        <v>4.7376999999999996E-2</v>
      </c>
      <c r="O601" s="716">
        <f>IFERROR(VLOOKUP(C601,[3]List1!$A:$D,3,FALSE),"N/A!")</f>
        <v>1990</v>
      </c>
      <c r="P601" s="716">
        <f>IFERROR(VLOOKUP(C601,[3]List1!$A:$D,2,FALSE),"N/A!")</f>
        <v>14700</v>
      </c>
      <c r="Q601" s="716" t="s">
        <v>14202</v>
      </c>
      <c r="R601" s="716" t="s">
        <v>24</v>
      </c>
      <c r="S601" s="716" t="str">
        <f>IF($W$17=$AF$1,"design",IFERROR(VLOOKUP("design",Jazyky_ceník!$A:$Q,MATCH($W$17,Jazyky_ceník!$A$1:$Q$1,0),FALSE),"!!!"))</f>
        <v>design</v>
      </c>
      <c r="T601" s="716">
        <v>60</v>
      </c>
      <c r="U601" s="716">
        <v>30</v>
      </c>
      <c r="V601" s="716">
        <v>22</v>
      </c>
      <c r="W601" s="716" t="str">
        <f>IFERROR(VLOOKUP('General price list'!$C601,Popisy!A:P,MATCH($W$17,Popisy!$A$7:$P$7,0),FALSE),"---------------")</f>
        <v>9 různobarevných efektů</v>
      </c>
      <c r="X601" s="716" t="str">
        <f t="shared" si="1418"/>
        <v/>
      </c>
      <c r="Y601" s="716" t="str">
        <f t="shared" si="1419"/>
        <v/>
      </c>
      <c r="Z601" s="716" t="str">
        <f>HYPERLINK("https://www.klasekpyrotechnics.cz/c8925n")</f>
        <v>https://www.klasekpyrotechnics.cz/c8925n</v>
      </c>
      <c r="AA601" s="716">
        <f>IFERROR(IF(VLOOKUP(C601,[4]List1!$A:$D,4,FALSE)=0,"",VLOOKUP(C601,[4]List1!$A:$D,4,FALSE)),"")</f>
        <v>24</v>
      </c>
      <c r="AB601" s="720"/>
      <c r="AC601" s="747" t="str">
        <f>IFERROR(IF(VLOOKUP(C601,[1]List1!$A:$D,2,FALSE)="VYPRODÁNO",$V$9,IF(VLOOKUP(C601,[1]List1!$A:$D,2,FALSE)="DOCHÁZÍ",$V$3,VLOOKUP(C601,[1]List1!$A:$D,2,FALSE))),"OFFLINE!")</f>
        <v>DOCHÁZÍ</v>
      </c>
      <c r="AD601" s="748" t="str">
        <f ca="1">IF(AP601="NE",$V$10,IF(AC601=$V$3,IF(AQ601&lt;1,$V$8,$V$2&amp;" "&amp;AQ601&amp;" "&amp;$V$1),IF(AC601="SKLADEM",$V$6,IFERROR(IF(OR(AC601-TODAY()&gt;45,VLOOKUP(C601,[1]List1!$A:$E,4,FALSE)=0),AC601,DAY(AC601)&amp;"."&amp;MONTH(AC601)&amp;"."&amp;YEAR(AC601)&amp;" "&amp;$V$4&amp;VLOOKUP(C601,[1]List1!$A:$E,4,FALSE)&amp;" "&amp;$V$1),AC601))))</f>
        <v>POSLEDNÍCH 1 VK</v>
      </c>
      <c r="AE601" s="716" t="str">
        <f t="shared" ca="1" si="1420"/>
        <v>POSLEDNÍCH 1 VK</v>
      </c>
      <c r="AF601" s="723">
        <f t="shared" si="1421"/>
        <v>0</v>
      </c>
      <c r="AG601" s="723">
        <f t="shared" si="1422"/>
        <v>0</v>
      </c>
      <c r="AH601" s="724">
        <f t="shared" si="1423"/>
        <v>0</v>
      </c>
      <c r="AI601" s="716">
        <f t="shared" si="1424"/>
        <v>0</v>
      </c>
      <c r="AJ601" s="716">
        <f t="shared" si="1425"/>
        <v>0</v>
      </c>
      <c r="AK601" s="716" t="str">
        <f t="shared" si="1426"/>
        <v/>
      </c>
      <c r="AL601" s="716">
        <f t="shared" si="1427"/>
        <v>0</v>
      </c>
      <c r="AM601" s="716" t="str">
        <f t="shared" si="1428"/>
        <v/>
      </c>
      <c r="AN601" s="716">
        <f t="shared" si="1429"/>
        <v>0</v>
      </c>
      <c r="AO601" s="380"/>
      <c r="AP601" s="322" t="str">
        <f t="shared" si="1408"/>
        <v/>
      </c>
      <c r="AQ601" s="323">
        <f>IF(AC601=$V$3,IF(VLOOKUP(C601,[1]List1!$A:$E,5,FALSE)=0,1,VLOOKUP(C601,[1]List1!$A:$E,5,FALSE)),"")</f>
        <v>1</v>
      </c>
      <c r="AR601" s="304" t="str">
        <f t="shared" si="1409"/>
        <v/>
      </c>
      <c r="AS601" s="423" t="str">
        <f t="shared" si="1410"/>
        <v/>
      </c>
      <c r="AT601" s="304" t="str">
        <f t="shared" si="1411"/>
        <v/>
      </c>
      <c r="AU601" s="342" t="e">
        <f t="shared" si="1412"/>
        <v>#N/A</v>
      </c>
      <c r="AV601" s="304" t="e">
        <f t="shared" si="1413"/>
        <v>#N/A</v>
      </c>
      <c r="AX601" s="304">
        <f>IF(AND('General price list'!$J601="F4",'General price list'!$AB601+0&gt;0),1,0)</f>
        <v>0</v>
      </c>
      <c r="AY601" s="304">
        <f t="shared" si="1414"/>
        <v>1</v>
      </c>
      <c r="AZ601" s="304">
        <f t="shared" si="1415"/>
        <v>0</v>
      </c>
    </row>
    <row r="602" spans="1:52" ht="15" customHeight="1">
      <c r="A602" s="773" t="str">
        <f>Kat.!C599</f>
        <v xml:space="preserve">                                                               Baterie 100ran, 25mm moždíř-1.3G</v>
      </c>
      <c r="B602" s="774"/>
      <c r="C602" s="774"/>
      <c r="D602" s="774"/>
      <c r="E602" s="774"/>
      <c r="F602" s="774"/>
      <c r="G602" s="774"/>
      <c r="H602" s="774"/>
      <c r="I602" s="774"/>
      <c r="J602" s="774"/>
      <c r="K602" s="774"/>
      <c r="L602" s="774"/>
      <c r="M602" s="774"/>
      <c r="N602" s="774"/>
      <c r="O602" s="774"/>
      <c r="P602" s="774"/>
      <c r="Q602" s="774"/>
      <c r="R602" s="774"/>
      <c r="S602" s="774"/>
      <c r="T602" s="774"/>
      <c r="U602" s="774"/>
      <c r="V602" s="774"/>
      <c r="W602" s="774"/>
      <c r="X602" s="774"/>
      <c r="Y602" s="774"/>
      <c r="Z602" s="774"/>
      <c r="AA602" s="774" t="str">
        <f>IFERROR(IF(VLOOKUP(C602,[4]List1!$A:$D,4,FALSE)=0,"",VLOOKUP(C602,[4]List1!$A:$D,4,FALSE)),"")</f>
        <v/>
      </c>
      <c r="AB602" s="774"/>
      <c r="AC602" s="775" t="str">
        <f>IFERROR(IF(VLOOKUP(C602,[1]List1!$A:$D,2,FALSE)="VYPRODÁNO",$V$9,IF(VLOOKUP(C602,[1]List1!$A:$D,2,FALSE)="DOCHÁZÍ",$V$3,VLOOKUP(C602,[1]List1!$A:$D,2,FALSE))),"OFFLINE!")</f>
        <v>OFFLINE!</v>
      </c>
      <c r="AD602" s="774"/>
      <c r="AE602" s="774"/>
      <c r="AF602" s="774"/>
      <c r="AG602" s="774"/>
      <c r="AH602" s="774"/>
      <c r="AI602" s="774"/>
      <c r="AJ602" s="774"/>
      <c r="AK602" s="774"/>
      <c r="AL602" s="774"/>
      <c r="AM602" s="774"/>
      <c r="AN602" s="774"/>
      <c r="AO602" s="380"/>
      <c r="AP602" s="322" t="str">
        <f t="shared" si="1408"/>
        <v/>
      </c>
      <c r="AQ602" s="323" t="str">
        <f>IF(AC602=$V$3,IF(VLOOKUP(C602,[1]List1!$A:$E,5,FALSE)=0,1,VLOOKUP(C602,[1]List1!$A:$E,5,FALSE)),"")</f>
        <v/>
      </c>
      <c r="AR602" s="304" t="str">
        <f t="shared" si="1409"/>
        <v/>
      </c>
      <c r="AS602" s="423" t="str">
        <f t="shared" si="1410"/>
        <v/>
      </c>
      <c r="AT602" s="304" t="str">
        <f t="shared" si="1411"/>
        <v/>
      </c>
      <c r="AU602" s="342" t="e">
        <f t="shared" si="1412"/>
        <v>#N/A</v>
      </c>
      <c r="AV602" s="304" t="e">
        <f t="shared" si="1413"/>
        <v>#N/A</v>
      </c>
      <c r="AX602" s="304">
        <f>IF(AND('General price list'!$J602="F4",'General price list'!$AB602+0&gt;0),1,0)</f>
        <v>0</v>
      </c>
      <c r="AY602" s="304">
        <f t="shared" si="1414"/>
        <v>0</v>
      </c>
      <c r="AZ602" s="304">
        <f t="shared" si="1415"/>
        <v>0</v>
      </c>
    </row>
    <row r="603" spans="1:52" ht="15" customHeight="1">
      <c r="A603" s="712" t="str">
        <f>Kat.!C600</f>
        <v/>
      </c>
      <c r="B603" s="713">
        <f>IF(AND('General price list'!$J603="F4",$AI$1=FALSE),0,IF(AC603="SKLADEM",1,IF(AC603=$V$3,1,0)))</f>
        <v>1</v>
      </c>
      <c r="C603" s="714" t="s">
        <v>1367</v>
      </c>
      <c r="D603" s="715" t="s">
        <v>14569</v>
      </c>
      <c r="E603" s="716" t="s">
        <v>1078</v>
      </c>
      <c r="F603" s="712">
        <f>IFERROR(ROUND(IF($AL$3=2,VLOOKUP(C603,[2]List1!$A:$D,2,FALSE)*1.08,VLOOKUP(C603,[2]List1!$A:$D,2,FALSE)),0),"NEUVEDENO!")</f>
        <v>1309</v>
      </c>
      <c r="G603" s="717">
        <f t="shared" ref="G603:G607" si="1430">(F603)*$B$19</f>
        <v>1309</v>
      </c>
      <c r="H603" s="718">
        <f t="shared" ref="H603:H607" si="1431">G603/$F$19</f>
        <v>53.192137803802694</v>
      </c>
      <c r="I603" s="719">
        <v>2</v>
      </c>
      <c r="J603" s="716" t="s">
        <v>137</v>
      </c>
      <c r="K603" s="716" t="s">
        <v>14820</v>
      </c>
      <c r="L603" s="716" t="s">
        <v>24</v>
      </c>
      <c r="M603" s="716" t="s">
        <v>138</v>
      </c>
      <c r="N603" s="716">
        <f>IFERROR(VLOOKUP(C603,[3]List1!$A:$D,4,FALSE),"N/A!")</f>
        <v>3.3728000000000001E-2</v>
      </c>
      <c r="O603" s="716">
        <f>IFERROR(VLOOKUP(C603,[3]List1!$A:$D,3,FALSE),"N/A!")</f>
        <v>2000</v>
      </c>
      <c r="P603" s="716">
        <f>IFERROR(VLOOKUP(C603,[3]List1!$A:$D,2,FALSE),"N/A!")</f>
        <v>14000</v>
      </c>
      <c r="Q603" s="716" t="s">
        <v>14203</v>
      </c>
      <c r="R603" s="716" t="s">
        <v>24</v>
      </c>
      <c r="S603" s="716" t="str">
        <f>IF($W$17=$AF$1,"design",IFERROR(VLOOKUP("design",Jazyky_ceník!$A:$Q,MATCH($W$17,Jazyky_ceník!$A$1:$Q$1,0),FALSE),"!!!"))</f>
        <v>design</v>
      </c>
      <c r="T603" s="716">
        <v>75</v>
      </c>
      <c r="U603" s="716">
        <v>30</v>
      </c>
      <c r="V603" s="716">
        <v>21</v>
      </c>
      <c r="W603" s="716" t="str">
        <f>IFERROR(VLOOKUP('General price list'!$C603,Popisy!A:P,MATCH($W$17,Popisy!$A$7:$P$7,0),FALSE),"---------------")</f>
        <v>10 různobarevných efektů</v>
      </c>
      <c r="X603" s="716" t="str">
        <f t="shared" ref="X603:X607" si="1432">IF(AB603&lt;0.0001,"",AB603)</f>
        <v/>
      </c>
      <c r="Y603" s="716" t="str">
        <f t="shared" ref="Y603:Y607" si="1433">IF($AL$3=2,IF(OR(AB603&lt;&gt;"",AB603&lt;&gt;0),AU603,""),IF(C603="","",IF(AB603&lt;0.0001,"",IF(B603=0,"",IF(AQ603&lt;AB603,"",AB603)))))</f>
        <v/>
      </c>
      <c r="Z603" s="716" t="str">
        <f>HYPERLINK("https://www.klasekpyrotechnics.cz/c10025bp")</f>
        <v>https://www.klasekpyrotechnics.cz/c10025bp</v>
      </c>
      <c r="AA603" s="716">
        <f>IFERROR(IF(VLOOKUP(C603,[4]List1!$A:$D,4,FALSE)=0,"",VLOOKUP(C603,[4]List1!$A:$D,4,FALSE)),"")</f>
        <v>30</v>
      </c>
      <c r="AB603" s="720"/>
      <c r="AC603" s="721" t="str">
        <f>IFERROR(IF(VLOOKUP(C603,[1]List1!$A:$D,2,FALSE)="VYPRODÁNO",$V$9,IF(VLOOKUP(C603,[1]List1!$A:$D,2,FALSE)="DOCHÁZÍ",$V$3,VLOOKUP(C603,[1]List1!$A:$D,2,FALSE))),"OFFLINE!")</f>
        <v>SKLADEM</v>
      </c>
      <c r="AD603" s="722" t="str">
        <f ca="1">IF(AP603="NE",$V$10,IF(AC603=$V$3,IF(AQ603&lt;1,$V$8,$V$2&amp;" "&amp;AQ603&amp;" "&amp;$V$1),IF(AC603="SKLADEM",$V$6,IFERROR(IF(OR(AC603-TODAY()&gt;45,VLOOKUP(C603,[1]List1!$A:$E,4,FALSE)=0),AC603,DAY(AC603)&amp;"."&amp;MONTH(AC603)&amp;"."&amp;YEAR(AC603)&amp;" "&amp;$V$4&amp;VLOOKUP(C603,[1]List1!$A:$E,4,FALSE)&amp;" "&amp;$V$1),AC603))))</f>
        <v>SKLADEM</v>
      </c>
      <c r="AE603" s="716" t="str">
        <f t="shared" ref="AE603:AE607" ca="1" si="1434">IFERROR(IF(AV603&lt;&gt;"",AV603,AD603),AD603)</f>
        <v>SKLADEM</v>
      </c>
      <c r="AF603" s="723">
        <f t="shared" ref="AF603:AF607" si="1435">IFERROR(IF(AB603=Y603,G603*I603*Y603,0),0)</f>
        <v>0</v>
      </c>
      <c r="AG603" s="723">
        <f t="shared" ref="AG603:AG607" si="1436">IF($W$17=$AF$8,AH603*1.23,AF603*1.21)</f>
        <v>0</v>
      </c>
      <c r="AH603" s="724">
        <f t="shared" ref="AH603:AH607" si="1437">IFERROR(IF(Y603=AB603,H603*I603*Y603,0),0)</f>
        <v>0</v>
      </c>
      <c r="AI603" s="716">
        <f t="shared" ref="AI603:AI607" si="1438">IFERROR(IF(Y603=AB603,(P603*Y603)/1000,1),0)</f>
        <v>0</v>
      </c>
      <c r="AJ603" s="716">
        <f t="shared" ref="AJ603:AJ607" si="1439">IFERROR(IF(Y603=AB603,N603*Y603,0.1),0)</f>
        <v>0</v>
      </c>
      <c r="AK603" s="716" t="str">
        <f t="shared" ref="AK603:AK607" si="1440">IFERROR(IF(Y603=AB603,IF(M603="1.1G",(O603/1000)*Y603,""),""),0)</f>
        <v/>
      </c>
      <c r="AL603" s="716">
        <f t="shared" ref="AL603:AL607" si="1441">IFERROR(IF(Y603=AB603,IF(M603="1.3G",(O603/1000)*AB603,""),""),0)</f>
        <v>0</v>
      </c>
      <c r="AM603" s="716" t="str">
        <f t="shared" ref="AM603:AM607" si="1442">IFERROR(IF(Y603=AB603,IF(M603="1.4G",(O603/1000)*AB603,""),""),0)</f>
        <v/>
      </c>
      <c r="AN603" s="716">
        <f t="shared" ref="AN603:AN607" si="1443">SUM(AK603:AM603)</f>
        <v>0</v>
      </c>
      <c r="AO603" s="380"/>
      <c r="AP603" s="322" t="str">
        <f t="shared" si="1408"/>
        <v/>
      </c>
      <c r="AQ603" s="323" t="str">
        <f>IF(AC603=$V$3,IF(VLOOKUP(C603,[1]List1!$A:$E,5,FALSE)=0,1,VLOOKUP(C603,[1]List1!$A:$E,5,FALSE)),"")</f>
        <v/>
      </c>
      <c r="AR603" s="304" t="str">
        <f t="shared" si="1409"/>
        <v/>
      </c>
      <c r="AS603" s="423" t="str">
        <f t="shared" si="1410"/>
        <v/>
      </c>
      <c r="AT603" s="304" t="str">
        <f t="shared" si="1411"/>
        <v/>
      </c>
      <c r="AU603" s="342" t="e">
        <f t="shared" si="1412"/>
        <v>#N/A</v>
      </c>
      <c r="AV603" s="304" t="e">
        <f t="shared" si="1413"/>
        <v>#N/A</v>
      </c>
      <c r="AX603" s="304">
        <f>IF(AND('General price list'!$J603="F4",'General price list'!$AB603+0&gt;0),1,0)</f>
        <v>0</v>
      </c>
      <c r="AY603" s="304">
        <f t="shared" si="1414"/>
        <v>1</v>
      </c>
      <c r="AZ603" s="304">
        <f t="shared" si="1415"/>
        <v>0</v>
      </c>
    </row>
    <row r="604" spans="1:52" ht="15" customHeight="1">
      <c r="A604" s="725" t="str">
        <f>Kat.!C601</f>
        <v/>
      </c>
      <c r="B604" s="726">
        <f>IF(AND('General price list'!$J604="F4",$AI$1=FALSE),0,IF(AC604="SKLADEM",1,IF(AC604=$V$3,1,0)))</f>
        <v>0</v>
      </c>
      <c r="C604" s="727" t="s">
        <v>5292</v>
      </c>
      <c r="D604" s="728" t="s">
        <v>14571</v>
      </c>
      <c r="E604" s="729" t="s">
        <v>1078</v>
      </c>
      <c r="F604" s="725">
        <f>IFERROR(ROUND(IF($AL$3=2,VLOOKUP(C604,[2]List1!$A:$D,2,FALSE)*1.08,VLOOKUP(C604,[2]List1!$A:$D,2,FALSE)),0),"NEUVEDENO!")</f>
        <v>1309</v>
      </c>
      <c r="G604" s="730">
        <f t="shared" si="1430"/>
        <v>1309</v>
      </c>
      <c r="H604" s="731">
        <f t="shared" si="1431"/>
        <v>53.192137803802694</v>
      </c>
      <c r="I604" s="732">
        <v>2</v>
      </c>
      <c r="J604" s="729" t="s">
        <v>137</v>
      </c>
      <c r="K604" s="729" t="s">
        <v>14820</v>
      </c>
      <c r="L604" s="729" t="s">
        <v>24</v>
      </c>
      <c r="M604" s="729" t="s">
        <v>138</v>
      </c>
      <c r="N604" s="729">
        <f>IFERROR(VLOOKUP(C604,[3]List1!$A:$D,4,FALSE),"N/A!")</f>
        <v>3.3728000000000001E-2</v>
      </c>
      <c r="O604" s="729">
        <f>IFERROR(VLOOKUP(C604,[3]List1!$A:$D,3,FALSE),"N/A!")</f>
        <v>2000</v>
      </c>
      <c r="P604" s="729">
        <f>IFERROR(VLOOKUP(C604,[3]List1!$A:$D,2,FALSE),"N/A!")</f>
        <v>14000</v>
      </c>
      <c r="Q604" s="729" t="s">
        <v>14335</v>
      </c>
      <c r="R604" s="729" t="s">
        <v>24</v>
      </c>
      <c r="S604" s="729" t="str">
        <f>IF($W$17=$AF$1,"červená fólie",IFERROR(VLOOKUP("červená fólie",Jazyky_ceník!$A:$Q,MATCH($W$17,Jazyky_ceník!$A$1:$Q$1,0),FALSE),"!!!"))</f>
        <v>červená fólie</v>
      </c>
      <c r="T604" s="729">
        <v>100</v>
      </c>
      <c r="U604" s="729">
        <v>30</v>
      </c>
      <c r="V604" s="729">
        <v>21</v>
      </c>
      <c r="W604" s="729" t="str">
        <f>IFERROR(VLOOKUP('General price list'!$C604,Popisy!A:P,MATCH($W$17,Popisy!$A$7:$P$7,0),FALSE),"---------------")</f>
        <v>10 různobarevných efektů</v>
      </c>
      <c r="X604" s="729" t="str">
        <f t="shared" si="1432"/>
        <v/>
      </c>
      <c r="Y604" s="729" t="str">
        <f t="shared" si="1433"/>
        <v/>
      </c>
      <c r="Z604" s="729" t="str">
        <f>HYPERLINK("https://www.klasekpyrotechnics.cz/c10025bps")</f>
        <v>https://www.klasekpyrotechnics.cz/c10025bps</v>
      </c>
      <c r="AA604" s="729">
        <f>IFERROR(IF(VLOOKUP(C604,[4]List1!$A:$D,4,FALSE)=0,"",VLOOKUP(C604,[4]List1!$A:$D,4,FALSE)),"")</f>
        <v>30</v>
      </c>
      <c r="AB604" s="720"/>
      <c r="AC604" s="733" t="str">
        <f>IFERROR(IF(VLOOKUP(C604,[1]List1!$A:$D,2,FALSE)="VYPRODÁNO",$V$9,IF(VLOOKUP(C604,[1]List1!$A:$D,2,FALSE)="DOCHÁZÍ",$V$3,VLOOKUP(C604,[1]List1!$A:$D,2,FALSE))),"OFFLINE!")</f>
        <v>15.06.2024</v>
      </c>
      <c r="AD604" s="734" t="str">
        <f ca="1">IF(AP604="NE",$V$10,IF(AC604=$V$3,IF(AQ604&lt;1,$V$8,$V$2&amp;" "&amp;AQ604&amp;" "&amp;$V$1),IF(AC604="SKLADEM",$V$6,IFERROR(IF(OR(AC604-TODAY()&gt;45,VLOOKUP(C604,[1]List1!$A:$E,4,FALSE)=0),AC604,DAY(AC604)&amp;"."&amp;MONTH(AC604)&amp;"."&amp;YEAR(AC604)&amp;" "&amp;$V$4&amp;VLOOKUP(C604,[1]List1!$A:$E,4,FALSE)&amp;" "&amp;$V$1),AC604))))</f>
        <v>15.06.2024</v>
      </c>
      <c r="AE604" s="729" t="str">
        <f t="shared" ca="1" si="1434"/>
        <v>15.06.2024</v>
      </c>
      <c r="AF604" s="735">
        <f t="shared" si="1435"/>
        <v>0</v>
      </c>
      <c r="AG604" s="735">
        <f t="shared" si="1436"/>
        <v>0</v>
      </c>
      <c r="AH604" s="736">
        <f t="shared" si="1437"/>
        <v>0</v>
      </c>
      <c r="AI604" s="729">
        <f t="shared" si="1438"/>
        <v>0</v>
      </c>
      <c r="AJ604" s="729">
        <f t="shared" si="1439"/>
        <v>0</v>
      </c>
      <c r="AK604" s="729" t="str">
        <f t="shared" si="1440"/>
        <v/>
      </c>
      <c r="AL604" s="729">
        <f t="shared" si="1441"/>
        <v>0</v>
      </c>
      <c r="AM604" s="729" t="str">
        <f t="shared" si="1442"/>
        <v/>
      </c>
      <c r="AN604" s="729">
        <f t="shared" si="1443"/>
        <v>0</v>
      </c>
      <c r="AO604" s="380"/>
      <c r="AP604" s="322" t="str">
        <f t="shared" si="1408"/>
        <v/>
      </c>
      <c r="AQ604" s="323" t="str">
        <f>IF(AC604=$V$3,IF(VLOOKUP(C604,[1]List1!$A:$E,5,FALSE)=0,1,VLOOKUP(C604,[1]List1!$A:$E,5,FALSE)),"")</f>
        <v/>
      </c>
      <c r="AR604" s="304" t="str">
        <f t="shared" si="1409"/>
        <v/>
      </c>
      <c r="AS604" s="423" t="str">
        <f t="shared" si="1410"/>
        <v/>
      </c>
      <c r="AT604" s="304" t="str">
        <f t="shared" si="1411"/>
        <v/>
      </c>
      <c r="AU604" s="342" t="e">
        <f t="shared" si="1412"/>
        <v>#N/A</v>
      </c>
      <c r="AV604" s="304" t="e">
        <f t="shared" si="1413"/>
        <v>#N/A</v>
      </c>
      <c r="AX604" s="304">
        <f>IF(AND('General price list'!$J604="F4",'General price list'!$AB604+0&gt;0),1,0)</f>
        <v>0</v>
      </c>
      <c r="AY604" s="304">
        <f t="shared" si="1414"/>
        <v>1</v>
      </c>
      <c r="AZ604" s="304">
        <f t="shared" si="1415"/>
        <v>0</v>
      </c>
    </row>
    <row r="605" spans="1:52" ht="15" customHeight="1">
      <c r="A605" s="712" t="str">
        <f>Kat.!C602</f>
        <v/>
      </c>
      <c r="B605" s="737">
        <f>IF(AND('General price list'!$J605="F4",$AI$1=FALSE),0,IF(AC605="SKLADEM",1,IF(AC605=$V$3,1,0)))</f>
        <v>0</v>
      </c>
      <c r="C605" s="714" t="s">
        <v>2550</v>
      </c>
      <c r="D605" s="715" t="s">
        <v>2551</v>
      </c>
      <c r="E605" s="716" t="s">
        <v>1078</v>
      </c>
      <c r="F605" s="712">
        <f>IFERROR(ROUND(IF($AL$3=2,VLOOKUP(C605,[2]List1!$A:$D,2,FALSE)*1.08,VLOOKUP(C605,[2]List1!$A:$D,2,FALSE)),0),"NEUVEDENO!")</f>
        <v>1329</v>
      </c>
      <c r="G605" s="717">
        <f t="shared" si="1430"/>
        <v>1329</v>
      </c>
      <c r="H605" s="718">
        <f t="shared" si="1431"/>
        <v>54.004851903173247</v>
      </c>
      <c r="I605" s="738">
        <v>2</v>
      </c>
      <c r="J605" s="716" t="s">
        <v>137</v>
      </c>
      <c r="K605" s="716" t="s">
        <v>14734</v>
      </c>
      <c r="L605" s="716" t="s">
        <v>24</v>
      </c>
      <c r="M605" s="716" t="s">
        <v>138</v>
      </c>
      <c r="N605" s="716">
        <f>IFERROR(VLOOKUP(C605,[3]List1!$A:$D,4,FALSE),"N/A!")</f>
        <v>3.7696E-2</v>
      </c>
      <c r="O605" s="716">
        <f>IFERROR(VLOOKUP(C605,[3]List1!$A:$D,3,FALSE),"N/A!")</f>
        <v>2000</v>
      </c>
      <c r="P605" s="716">
        <f>IFERROR(VLOOKUP(C605,[3]List1!$A:$D,2,FALSE),"N/A!")</f>
        <v>14000</v>
      </c>
      <c r="Q605" s="716" t="s">
        <v>14204</v>
      </c>
      <c r="R605" s="716" t="s">
        <v>24</v>
      </c>
      <c r="S605" s="716" t="str">
        <f>IF($W$17=$AF$1,"design",IFERROR(VLOOKUP("design",Jazyky_ceník!$A:$Q,MATCH($W$17,Jazyky_ceník!$A$1:$Q$1,0),FALSE),"!!!"))</f>
        <v>design</v>
      </c>
      <c r="T605" s="716">
        <v>75</v>
      </c>
      <c r="U605" s="716">
        <v>30</v>
      </c>
      <c r="V605" s="716">
        <v>21</v>
      </c>
      <c r="W605" s="716" t="str">
        <f>IFERROR(VLOOKUP('General price list'!$C605,Popisy!A:P,MATCH($W$17,Popisy!$A$7:$P$7,0),FALSE),"---------------")</f>
        <v>10 různobarevných efektů</v>
      </c>
      <c r="X605" s="716" t="str">
        <f t="shared" si="1432"/>
        <v/>
      </c>
      <c r="Y605" s="716" t="str">
        <f t="shared" si="1433"/>
        <v/>
      </c>
      <c r="Z605" s="716" t="str">
        <f>HYPERLINK("https://www.klasekpyrotechnics.cz/c10025pr1")</f>
        <v>https://www.klasekpyrotechnics.cz/c10025pr1</v>
      </c>
      <c r="AA605" s="716">
        <f>IFERROR(IF(VLOOKUP(C605,[4]List1!$A:$D,4,FALSE)=0,"",VLOOKUP(C605,[4]List1!$A:$D,4,FALSE)),"")</f>
        <v>32</v>
      </c>
      <c r="AB605" s="720"/>
      <c r="AC605" s="739" t="str">
        <f>IFERROR(IF(VLOOKUP(C605,[1]List1!$A:$D,2,FALSE)="VYPRODÁNO",$V$9,IF(VLOOKUP(C605,[1]List1!$A:$D,2,FALSE)="DOCHÁZÍ",$V$3,VLOOKUP(C605,[1]List1!$A:$D,2,FALSE))),"OFFLINE!")</f>
        <v>15.05.2024</v>
      </c>
      <c r="AD605" s="740" t="str">
        <f ca="1">IF(AP605="NE",$V$10,IF(AC605=$V$3,IF(AQ605&lt;1,$V$8,$V$2&amp;" "&amp;AQ605&amp;" "&amp;$V$1),IF(AC605="SKLADEM",$V$6,IFERROR(IF(OR(AC605-TODAY()&gt;45,VLOOKUP(C605,[1]List1!$A:$E,4,FALSE)=0),AC605,DAY(AC605)&amp;"."&amp;MONTH(AC605)&amp;"."&amp;YEAR(AC605)&amp;" "&amp;$V$4&amp;VLOOKUP(C605,[1]List1!$A:$E,4,FALSE)&amp;" "&amp;$V$1),AC605))))</f>
        <v>15.05.2024</v>
      </c>
      <c r="AE605" s="716" t="str">
        <f t="shared" ca="1" si="1434"/>
        <v>15.05.2024</v>
      </c>
      <c r="AF605" s="723">
        <f t="shared" si="1435"/>
        <v>0</v>
      </c>
      <c r="AG605" s="723">
        <f t="shared" si="1436"/>
        <v>0</v>
      </c>
      <c r="AH605" s="724">
        <f t="shared" si="1437"/>
        <v>0</v>
      </c>
      <c r="AI605" s="716">
        <f t="shared" si="1438"/>
        <v>0</v>
      </c>
      <c r="AJ605" s="716">
        <f t="shared" si="1439"/>
        <v>0</v>
      </c>
      <c r="AK605" s="716" t="str">
        <f t="shared" si="1440"/>
        <v/>
      </c>
      <c r="AL605" s="716">
        <f t="shared" si="1441"/>
        <v>0</v>
      </c>
      <c r="AM605" s="716" t="str">
        <f t="shared" si="1442"/>
        <v/>
      </c>
      <c r="AN605" s="716">
        <f t="shared" si="1443"/>
        <v>0</v>
      </c>
      <c r="AO605" s="380"/>
      <c r="AP605" s="322" t="str">
        <f t="shared" si="1408"/>
        <v/>
      </c>
      <c r="AQ605" s="323" t="str">
        <f>IF(AC605=$V$3,IF(VLOOKUP(C605,[1]List1!$A:$E,5,FALSE)=0,1,VLOOKUP(C605,[1]List1!$A:$E,5,FALSE)),"")</f>
        <v/>
      </c>
      <c r="AR605" s="304" t="str">
        <f t="shared" si="1409"/>
        <v/>
      </c>
      <c r="AS605" s="423" t="str">
        <f t="shared" si="1410"/>
        <v/>
      </c>
      <c r="AT605" s="304" t="str">
        <f t="shared" si="1411"/>
        <v/>
      </c>
      <c r="AU605" s="342" t="e">
        <f t="shared" si="1412"/>
        <v>#N/A</v>
      </c>
      <c r="AV605" s="304" t="e">
        <f t="shared" si="1413"/>
        <v>#N/A</v>
      </c>
      <c r="AX605" s="304">
        <f>IF(AND('General price list'!$J605="F4",'General price list'!$AB605+0&gt;0),1,0)</f>
        <v>0</v>
      </c>
      <c r="AY605" s="304">
        <f t="shared" si="1414"/>
        <v>1</v>
      </c>
      <c r="AZ605" s="304">
        <f t="shared" si="1415"/>
        <v>0</v>
      </c>
    </row>
    <row r="606" spans="1:52" ht="15" customHeight="1">
      <c r="A606" s="725" t="str">
        <f>Kat.!C603</f>
        <v/>
      </c>
      <c r="B606" s="726">
        <f>IF(AND('General price list'!$J606="F4",$AI$1=FALSE),0,IF(AC606="SKLADEM",1,IF(AC606=$V$3,1,0)))</f>
        <v>0</v>
      </c>
      <c r="C606" s="727" t="s">
        <v>2552</v>
      </c>
      <c r="D606" s="728" t="s">
        <v>2553</v>
      </c>
      <c r="E606" s="729" t="s">
        <v>1078</v>
      </c>
      <c r="F606" s="725">
        <f>IFERROR(ROUND(IF($AL$3=2,VLOOKUP(C606,[2]List1!$A:$D,2,FALSE)*1.08,VLOOKUP(C606,[2]List1!$A:$D,2,FALSE)),0),"NEUVEDENO!")</f>
        <v>1329</v>
      </c>
      <c r="G606" s="730">
        <f t="shared" si="1430"/>
        <v>1329</v>
      </c>
      <c r="H606" s="731">
        <f t="shared" si="1431"/>
        <v>54.004851903173247</v>
      </c>
      <c r="I606" s="732">
        <v>2</v>
      </c>
      <c r="J606" s="729" t="s">
        <v>137</v>
      </c>
      <c r="K606" s="729" t="s">
        <v>14734</v>
      </c>
      <c r="L606" s="729" t="s">
        <v>24</v>
      </c>
      <c r="M606" s="729" t="s">
        <v>138</v>
      </c>
      <c r="N606" s="729">
        <f>IFERROR(VLOOKUP(C606,[3]List1!$A:$D,4,FALSE),"N/A!")</f>
        <v>3.7696E-2</v>
      </c>
      <c r="O606" s="729">
        <f>IFERROR(VLOOKUP(C606,[3]List1!$A:$D,3,FALSE),"N/A!")</f>
        <v>2000</v>
      </c>
      <c r="P606" s="729">
        <f>IFERROR(VLOOKUP(C606,[3]List1!$A:$D,2,FALSE),"N/A!")</f>
        <v>14000</v>
      </c>
      <c r="Q606" s="729" t="s">
        <v>14204</v>
      </c>
      <c r="R606" s="729" t="s">
        <v>24</v>
      </c>
      <c r="S606" s="729" t="str">
        <f>IF($W$17=$AF$1,"design",IFERROR(VLOOKUP("design",Jazyky_ceník!$A:$Q,MATCH($W$17,Jazyky_ceník!$A$1:$Q$1,0),FALSE),"!!!"))</f>
        <v>design</v>
      </c>
      <c r="T606" s="729">
        <v>75</v>
      </c>
      <c r="U606" s="729">
        <v>30</v>
      </c>
      <c r="V606" s="729">
        <v>21</v>
      </c>
      <c r="W606" s="729" t="str">
        <f>IFERROR(VLOOKUP('General price list'!$C606,Popisy!A:P,MATCH($W$17,Popisy!$A$7:$P$7,0),FALSE),"---------------")</f>
        <v>10 různobarevných efektů</v>
      </c>
      <c r="X606" s="729" t="str">
        <f t="shared" si="1432"/>
        <v/>
      </c>
      <c r="Y606" s="729" t="str">
        <f t="shared" si="1433"/>
        <v/>
      </c>
      <c r="Z606" s="729" t="str">
        <f>HYPERLINK("https://www.klasekpyrotechnics.cz/c10025pr2")</f>
        <v>https://www.klasekpyrotechnics.cz/c10025pr2</v>
      </c>
      <c r="AA606" s="729">
        <f>IFERROR(IF(VLOOKUP(C606,[4]List1!$A:$D,4,FALSE)=0,"",VLOOKUP(C606,[4]List1!$A:$D,4,FALSE)),"")</f>
        <v>32</v>
      </c>
      <c r="AB606" s="720"/>
      <c r="AC606" s="733" t="str">
        <f>IFERROR(IF(VLOOKUP(C606,[1]List1!$A:$D,2,FALSE)="VYPRODÁNO",$V$9,IF(VLOOKUP(C606,[1]List1!$A:$D,2,FALSE)="DOCHÁZÍ",$V$3,VLOOKUP(C606,[1]List1!$A:$D,2,FALSE))),"OFFLINE!")</f>
        <v>15.05.2024</v>
      </c>
      <c r="AD606" s="734" t="str">
        <f ca="1">IF(AP606="NE",$V$10,IF(AC606=$V$3,IF(AQ606&lt;1,$V$8,$V$2&amp;" "&amp;AQ606&amp;" "&amp;$V$1),IF(AC606="SKLADEM",$V$6,IFERROR(IF(OR(AC606-TODAY()&gt;45,VLOOKUP(C606,[1]List1!$A:$E,4,FALSE)=0),AC606,DAY(AC606)&amp;"."&amp;MONTH(AC606)&amp;"."&amp;YEAR(AC606)&amp;" "&amp;$V$4&amp;VLOOKUP(C606,[1]List1!$A:$E,4,FALSE)&amp;" "&amp;$V$1),AC606))))</f>
        <v>15.05.2024</v>
      </c>
      <c r="AE606" s="729" t="str">
        <f t="shared" ca="1" si="1434"/>
        <v>15.05.2024</v>
      </c>
      <c r="AF606" s="735">
        <f t="shared" si="1435"/>
        <v>0</v>
      </c>
      <c r="AG606" s="735">
        <f t="shared" si="1436"/>
        <v>0</v>
      </c>
      <c r="AH606" s="736">
        <f t="shared" si="1437"/>
        <v>0</v>
      </c>
      <c r="AI606" s="729">
        <f t="shared" si="1438"/>
        <v>0</v>
      </c>
      <c r="AJ606" s="729">
        <f t="shared" si="1439"/>
        <v>0</v>
      </c>
      <c r="AK606" s="729" t="str">
        <f t="shared" si="1440"/>
        <v/>
      </c>
      <c r="AL606" s="729">
        <f t="shared" si="1441"/>
        <v>0</v>
      </c>
      <c r="AM606" s="729" t="str">
        <f t="shared" si="1442"/>
        <v/>
      </c>
      <c r="AN606" s="729">
        <f t="shared" si="1443"/>
        <v>0</v>
      </c>
      <c r="AO606" s="380"/>
      <c r="AP606" s="322" t="str">
        <f t="shared" si="1408"/>
        <v/>
      </c>
      <c r="AQ606" s="323" t="str">
        <f>IF(AC606=$V$3,IF(VLOOKUP(C606,[1]List1!$A:$E,5,FALSE)=0,1,VLOOKUP(C606,[1]List1!$A:$E,5,FALSE)),"")</f>
        <v/>
      </c>
      <c r="AR606" s="304" t="str">
        <f t="shared" si="1409"/>
        <v/>
      </c>
      <c r="AS606" s="423" t="str">
        <f t="shared" si="1410"/>
        <v/>
      </c>
      <c r="AT606" s="304" t="str">
        <f t="shared" si="1411"/>
        <v/>
      </c>
      <c r="AU606" s="342" t="e">
        <f t="shared" si="1412"/>
        <v>#N/A</v>
      </c>
      <c r="AV606" s="304" t="e">
        <f t="shared" si="1413"/>
        <v>#N/A</v>
      </c>
      <c r="AX606" s="304">
        <f>IF(AND('General price list'!$J606="F4",'General price list'!$AB606+0&gt;0),1,0)</f>
        <v>0</v>
      </c>
      <c r="AY606" s="304">
        <f t="shared" si="1414"/>
        <v>1</v>
      </c>
      <c r="AZ606" s="304">
        <f t="shared" si="1415"/>
        <v>0</v>
      </c>
    </row>
    <row r="607" spans="1:52" ht="15" customHeight="1">
      <c r="A607" s="712" t="str">
        <f>Kat.!C604</f>
        <v/>
      </c>
      <c r="B607" s="737">
        <f>IF(AND('General price list'!$J607="F4",$AI$1=FALSE),0,IF(AC607="SKLADEM",1,IF(AC607=$V$3,1,0)))</f>
        <v>1</v>
      </c>
      <c r="C607" s="714" t="s">
        <v>1369</v>
      </c>
      <c r="D607" s="715" t="s">
        <v>1370</v>
      </c>
      <c r="E607" s="716" t="s">
        <v>1078</v>
      </c>
      <c r="F607" s="712">
        <f>IFERROR(ROUND(IF($AL$3=2,VLOOKUP(C607,[2]List1!$A:$D,2,FALSE)*1.08,VLOOKUP(C607,[2]List1!$A:$D,2,FALSE)),0),"NEUVEDENO!")</f>
        <v>1329</v>
      </c>
      <c r="G607" s="717">
        <f t="shared" si="1430"/>
        <v>1329</v>
      </c>
      <c r="H607" s="718">
        <f t="shared" si="1431"/>
        <v>54.004851903173247</v>
      </c>
      <c r="I607" s="738">
        <v>2</v>
      </c>
      <c r="J607" s="716" t="s">
        <v>137</v>
      </c>
      <c r="K607" s="716" t="s">
        <v>14734</v>
      </c>
      <c r="L607" s="716" t="s">
        <v>24</v>
      </c>
      <c r="M607" s="716" t="s">
        <v>138</v>
      </c>
      <c r="N607" s="716">
        <f>IFERROR(VLOOKUP(C607,[3]List1!$A:$D,4,FALSE),"N/A!")</f>
        <v>3.3728000000000001E-2</v>
      </c>
      <c r="O607" s="716">
        <f>IFERROR(VLOOKUP(C607,[3]List1!$A:$D,3,FALSE),"N/A!")</f>
        <v>1990</v>
      </c>
      <c r="P607" s="716">
        <f>IFERROR(VLOOKUP(C607,[3]List1!$A:$D,2,FALSE),"N/A!")</f>
        <v>14500</v>
      </c>
      <c r="Q607" s="716" t="s">
        <v>14203</v>
      </c>
      <c r="R607" s="716" t="s">
        <v>24</v>
      </c>
      <c r="S607" s="716" t="str">
        <f>IF($W$17=$AF$1,"design",IFERROR(VLOOKUP("design",Jazyky_ceník!$A:$Q,MATCH($W$17,Jazyky_ceník!$A$1:$Q$1,0),FALSE),"!!!"))</f>
        <v>design</v>
      </c>
      <c r="T607" s="716">
        <v>75</v>
      </c>
      <c r="U607" s="716">
        <v>30</v>
      </c>
      <c r="V607" s="716">
        <v>22</v>
      </c>
      <c r="W607" s="716" t="str">
        <f>IFERROR(VLOOKUP('General price list'!$C607,Popisy!A:P,MATCH($W$17,Popisy!$A$7:$P$7,0),FALSE),"---------------")</f>
        <v>10 různobarevných efektů</v>
      </c>
      <c r="X607" s="716" t="str">
        <f t="shared" si="1432"/>
        <v/>
      </c>
      <c r="Y607" s="716" t="str">
        <f t="shared" si="1433"/>
        <v/>
      </c>
      <c r="Z607" s="716" t="str">
        <f>HYPERLINK("https://www.klasekpyrotechnics.cz/c10025i")</f>
        <v>https://www.klasekpyrotechnics.cz/c10025i</v>
      </c>
      <c r="AA607" s="716">
        <f>IFERROR(IF(VLOOKUP(C607,[4]List1!$A:$D,4,FALSE)=0,"",VLOOKUP(C607,[4]List1!$A:$D,4,FALSE)),"")</f>
        <v>30</v>
      </c>
      <c r="AB607" s="720"/>
      <c r="AC607" s="739" t="str">
        <f>IFERROR(IF(VLOOKUP(C607,[1]List1!$A:$D,2,FALSE)="VYPRODÁNO",$V$9,IF(VLOOKUP(C607,[1]List1!$A:$D,2,FALSE)="DOCHÁZÍ",$V$3,VLOOKUP(C607,[1]List1!$A:$D,2,FALSE))),"OFFLINE!")</f>
        <v>SKLADEM</v>
      </c>
      <c r="AD607" s="740" t="str">
        <f ca="1">IF(AP607="NE",$V$10,IF(AC607=$V$3,IF(AQ607&lt;1,$V$8,$V$2&amp;" "&amp;AQ607&amp;" "&amp;$V$1),IF(AC607="SKLADEM",$V$6,IFERROR(IF(OR(AC607-TODAY()&gt;45,VLOOKUP(C607,[1]List1!$A:$E,4,FALSE)=0),AC607,DAY(AC607)&amp;"."&amp;MONTH(AC607)&amp;"."&amp;YEAR(AC607)&amp;" "&amp;$V$4&amp;VLOOKUP(C607,[1]List1!$A:$E,4,FALSE)&amp;" "&amp;$V$1),AC607))))</f>
        <v>SKLADEM</v>
      </c>
      <c r="AE607" s="716" t="str">
        <f t="shared" ca="1" si="1434"/>
        <v>SKLADEM</v>
      </c>
      <c r="AF607" s="723">
        <f t="shared" si="1435"/>
        <v>0</v>
      </c>
      <c r="AG607" s="723">
        <f t="shared" si="1436"/>
        <v>0</v>
      </c>
      <c r="AH607" s="724">
        <f t="shared" si="1437"/>
        <v>0</v>
      </c>
      <c r="AI607" s="716">
        <f t="shared" si="1438"/>
        <v>0</v>
      </c>
      <c r="AJ607" s="716">
        <f t="shared" si="1439"/>
        <v>0</v>
      </c>
      <c r="AK607" s="716" t="str">
        <f t="shared" si="1440"/>
        <v/>
      </c>
      <c r="AL607" s="716">
        <f t="shared" si="1441"/>
        <v>0</v>
      </c>
      <c r="AM607" s="716" t="str">
        <f t="shared" si="1442"/>
        <v/>
      </c>
      <c r="AN607" s="716">
        <f t="shared" si="1443"/>
        <v>0</v>
      </c>
      <c r="AO607" s="380"/>
      <c r="AP607" s="322" t="str">
        <f t="shared" si="1408"/>
        <v/>
      </c>
      <c r="AQ607" s="323" t="str">
        <f>IF(AC607=$V$3,IF(VLOOKUP(C607,[1]List1!$A:$E,5,FALSE)=0,1,VLOOKUP(C607,[1]List1!$A:$E,5,FALSE)),"")</f>
        <v/>
      </c>
      <c r="AR607" s="304" t="str">
        <f t="shared" si="1409"/>
        <v/>
      </c>
      <c r="AS607" s="423" t="str">
        <f t="shared" si="1410"/>
        <v/>
      </c>
      <c r="AT607" s="304" t="str">
        <f t="shared" si="1411"/>
        <v/>
      </c>
      <c r="AU607" s="342" t="e">
        <f t="shared" si="1412"/>
        <v>#N/A</v>
      </c>
      <c r="AV607" s="304" t="e">
        <f t="shared" si="1413"/>
        <v>#N/A</v>
      </c>
      <c r="AX607" s="304">
        <f>IF(AND('General price list'!$J607="F4",'General price list'!$AB607+0&gt;0),1,0)</f>
        <v>0</v>
      </c>
      <c r="AY607" s="304">
        <f t="shared" si="1414"/>
        <v>1</v>
      </c>
      <c r="AZ607" s="304">
        <f t="shared" si="1415"/>
        <v>0</v>
      </c>
    </row>
    <row r="608" spans="1:52" ht="15" customHeight="1">
      <c r="A608" s="773" t="str">
        <f>Kat.!C605</f>
        <v xml:space="preserve">                                                               Složený ohňostroj 25mm - F2 - 1.4G</v>
      </c>
      <c r="B608" s="774"/>
      <c r="C608" s="774"/>
      <c r="D608" s="774"/>
      <c r="E608" s="774"/>
      <c r="F608" s="774"/>
      <c r="G608" s="774"/>
      <c r="H608" s="774"/>
      <c r="I608" s="774"/>
      <c r="J608" s="774"/>
      <c r="K608" s="774"/>
      <c r="L608" s="774"/>
      <c r="M608" s="774"/>
      <c r="N608" s="774"/>
      <c r="O608" s="774"/>
      <c r="P608" s="774"/>
      <c r="Q608" s="774"/>
      <c r="R608" s="774"/>
      <c r="S608" s="774"/>
      <c r="T608" s="774"/>
      <c r="U608" s="774"/>
      <c r="V608" s="774"/>
      <c r="W608" s="774"/>
      <c r="X608" s="774"/>
      <c r="Y608" s="774"/>
      <c r="Z608" s="774"/>
      <c r="AA608" s="774" t="str">
        <f>IFERROR(IF(VLOOKUP(C608,[4]List1!$A:$D,4,FALSE)=0,"",VLOOKUP(C608,[4]List1!$A:$D,4,FALSE)),"")</f>
        <v/>
      </c>
      <c r="AB608" s="774"/>
      <c r="AC608" s="775" t="str">
        <f>IFERROR(IF(VLOOKUP(C608,[1]List1!$A:$D,2,FALSE)="VYPRODÁNO",$V$9,IF(VLOOKUP(C608,[1]List1!$A:$D,2,FALSE)="DOCHÁZÍ",$V$3,VLOOKUP(C608,[1]List1!$A:$D,2,FALSE))),"OFFLINE!")</f>
        <v>OFFLINE!</v>
      </c>
      <c r="AD608" s="774"/>
      <c r="AE608" s="774"/>
      <c r="AF608" s="774"/>
      <c r="AG608" s="774"/>
      <c r="AH608" s="774"/>
      <c r="AI608" s="774"/>
      <c r="AJ608" s="774"/>
      <c r="AK608" s="774"/>
      <c r="AL608" s="774"/>
      <c r="AM608" s="774"/>
      <c r="AN608" s="774"/>
      <c r="AO608" s="380"/>
      <c r="AP608" s="322" t="str">
        <f t="shared" si="1408"/>
        <v/>
      </c>
      <c r="AQ608" s="323" t="str">
        <f>IF(AC608=$V$3,IF(VLOOKUP(C608,[1]List1!$A:$E,5,FALSE)=0,1,VLOOKUP(C608,[1]List1!$A:$E,5,FALSE)),"")</f>
        <v/>
      </c>
      <c r="AR608" s="304" t="str">
        <f t="shared" si="1409"/>
        <v/>
      </c>
      <c r="AS608" s="423" t="str">
        <f t="shared" si="1410"/>
        <v/>
      </c>
      <c r="AT608" s="304" t="str">
        <f t="shared" si="1411"/>
        <v/>
      </c>
      <c r="AU608" s="342" t="e">
        <f t="shared" si="1412"/>
        <v>#N/A</v>
      </c>
      <c r="AV608" s="304" t="e">
        <f t="shared" si="1413"/>
        <v>#N/A</v>
      </c>
      <c r="AX608" s="304">
        <f>IF(AND('General price list'!$J608="F4",'General price list'!$AB608+0&gt;0),1,0)</f>
        <v>0</v>
      </c>
      <c r="AY608" s="304">
        <f t="shared" si="1414"/>
        <v>0</v>
      </c>
      <c r="AZ608" s="304">
        <f t="shared" si="1415"/>
        <v>0</v>
      </c>
    </row>
    <row r="609" spans="1:52" ht="15" customHeight="1">
      <c r="A609" s="712" t="str">
        <f>Kat.!C606</f>
        <v>×</v>
      </c>
      <c r="B609" s="713">
        <f>IF(AND('General price list'!$J609="F4",$AI$1=FALSE),0,IF(AC609="SKLADEM",1,IF(AC609=$V$3,1,0)))</f>
        <v>1</v>
      </c>
      <c r="C609" s="714" t="s">
        <v>1371</v>
      </c>
      <c r="D609" s="715" t="s">
        <v>12726</v>
      </c>
      <c r="E609" s="716" t="s">
        <v>136</v>
      </c>
      <c r="F609" s="712">
        <f>IFERROR(ROUND(IF($AL$3=2,VLOOKUP(C609,[2]List1!$A:$D,2,FALSE)*1.08,VLOOKUP(C609,[2]List1!$A:$D,2,FALSE)),0),"NEUVEDENO!")</f>
        <v>1872</v>
      </c>
      <c r="G609" s="717">
        <f t="shared" ref="G609:G615" si="1444">(F609)*$B$19</f>
        <v>1872</v>
      </c>
      <c r="H609" s="718">
        <f t="shared" ref="H609:H615" si="1445">G609/$F$19</f>
        <v>76.070039701083758</v>
      </c>
      <c r="I609" s="719">
        <v>1</v>
      </c>
      <c r="J609" s="716" t="s">
        <v>46</v>
      </c>
      <c r="K609" s="716"/>
      <c r="L609" s="716" t="s">
        <v>14383</v>
      </c>
      <c r="M609" s="716" t="s">
        <v>25</v>
      </c>
      <c r="N609" s="716">
        <f>IFERROR(VLOOKUP(C609,[3]List1!$A:$D,4,FALSE),"N/A!")</f>
        <v>2.4570000000000002E-2</v>
      </c>
      <c r="O609" s="716">
        <f>IFERROR(VLOOKUP(C609,[3]List1!$A:$D,3,FALSE),"N/A!")</f>
        <v>992</v>
      </c>
      <c r="P609" s="716">
        <f>IFERROR(VLOOKUP(C609,[3]List1!$A:$D,2,FALSE),"N/A!")</f>
        <v>9000</v>
      </c>
      <c r="Q609" s="716" t="s">
        <v>14205</v>
      </c>
      <c r="R609" s="716" t="s">
        <v>24</v>
      </c>
      <c r="S609" s="716" t="str">
        <f>IF($W$17=$AF$1,"červená fólie",IFERROR(VLOOKUP("červená fólie",Jazyky_ceník!$A:$Q,MATCH($W$17,Jazyky_ceník!$A$1:$Q$1,0),FALSE),"!!!"))</f>
        <v>červená fólie</v>
      </c>
      <c r="T609" s="716">
        <v>80</v>
      </c>
      <c r="U609" s="716">
        <v>30</v>
      </c>
      <c r="V609" s="716">
        <v>18</v>
      </c>
      <c r="W609" s="716" t="str">
        <f>IFERROR(VLOOKUP('General price list'!$C609,Popisy!A:P,MATCH($W$17,Popisy!$A$7:$P$7,0),FALSE),"---------------")</f>
        <v>16 různobarevných efektů</v>
      </c>
      <c r="X609" s="716" t="str">
        <f t="shared" ref="X609:X615" si="1446">IF(AB609&lt;0.0001,"",AB609)</f>
        <v/>
      </c>
      <c r="Y609" s="716" t="str">
        <f t="shared" ref="Y609:Y615" si="1447">IF($AL$3=2,IF(OR(AB609&lt;&gt;"",AB609&lt;&gt;0),AU609,""),IF(C609="","",IF(AB609&lt;0.0001,"",IF(B609=0,"",IF(AQ609&lt;AB609,"",AB609)))))</f>
        <v/>
      </c>
      <c r="Z609" s="716" t="str">
        <f>HYPERLINK("https://www.klasekpyrotechnics.cz/c9625mf-c14")</f>
        <v>https://www.klasekpyrotechnics.cz/c9625mf-c14</v>
      </c>
      <c r="AA609" s="716" t="str">
        <f>IFERROR(IF(VLOOKUP(C609,[4]List1!$A:$D,4,FALSE)=0,"",VLOOKUP(C609,[4]List1!$A:$D,4,FALSE)),"")</f>
        <v>54</v>
      </c>
      <c r="AB609" s="720"/>
      <c r="AC609" s="721" t="str">
        <f>IFERROR(IF(VLOOKUP(C609,[1]List1!$A:$D,2,FALSE)="VYPRODÁNO",$V$9,IF(VLOOKUP(C609,[1]List1!$A:$D,2,FALSE)="DOCHÁZÍ",$V$3,VLOOKUP(C609,[1]List1!$A:$D,2,FALSE))),"OFFLINE!")</f>
        <v>SKLADEM</v>
      </c>
      <c r="AD609" s="722" t="str">
        <f ca="1">IF(AP609="NE",$V$10,IF(AC609=$V$3,IF(AQ609&lt;1,$V$8,$V$2&amp;" "&amp;AQ609&amp;" "&amp;$V$1),IF(AC609="SKLADEM",$V$6,IFERROR(IF(OR(AC609-TODAY()&gt;45,VLOOKUP(C609,[1]List1!$A:$E,4,FALSE)=0),AC609,DAY(AC609)&amp;"."&amp;MONTH(AC609)&amp;"."&amp;YEAR(AC609)&amp;" "&amp;$V$4&amp;VLOOKUP(C609,[1]List1!$A:$E,4,FALSE)&amp;" "&amp;$V$1),AC609))))</f>
        <v>SKLADEM</v>
      </c>
      <c r="AE609" s="716" t="str">
        <f t="shared" ref="AE609:AE615" ca="1" si="1448">IFERROR(IF(AV609&lt;&gt;"",AV609,AD609),AD609)</f>
        <v>SKLADEM</v>
      </c>
      <c r="AF609" s="723">
        <f t="shared" ref="AF609:AF615" si="1449">IFERROR(IF(AB609=Y609,G609*I609*Y609,0),0)</f>
        <v>0</v>
      </c>
      <c r="AG609" s="723">
        <f t="shared" ref="AG609:AG615" si="1450">IF($W$17=$AF$8,AH609*1.23,AF609*1.21)</f>
        <v>0</v>
      </c>
      <c r="AH609" s="724">
        <f t="shared" ref="AH609:AH615" si="1451">IFERROR(IF(Y609=AB609,H609*I609*Y609,0),0)</f>
        <v>0</v>
      </c>
      <c r="AI609" s="716">
        <f t="shared" ref="AI609:AI615" si="1452">IFERROR(IF(Y609=AB609,(P609*Y609)/1000,1),0)</f>
        <v>0</v>
      </c>
      <c r="AJ609" s="716">
        <f t="shared" ref="AJ609:AJ615" si="1453">IFERROR(IF(Y609=AB609,N609*Y609,0.1),0)</f>
        <v>0</v>
      </c>
      <c r="AK609" s="716" t="str">
        <f t="shared" ref="AK609:AK615" si="1454">IFERROR(IF(Y609=AB609,IF(M609="1.1G",(O609/1000)*Y609,""),""),0)</f>
        <v/>
      </c>
      <c r="AL609" s="716" t="str">
        <f t="shared" ref="AL609:AL615" si="1455">IFERROR(IF(Y609=AB609,IF(M609="1.3G",(O609/1000)*AB609,""),""),0)</f>
        <v/>
      </c>
      <c r="AM609" s="716">
        <f t="shared" ref="AM609:AM615" si="1456">IFERROR(IF(Y609=AB609,IF(M609="1.4G",(O609/1000)*AB609,""),""),0)</f>
        <v>0</v>
      </c>
      <c r="AN609" s="716">
        <f t="shared" ref="AN609:AN615" si="1457">SUM(AK609:AM609)</f>
        <v>0</v>
      </c>
      <c r="AO609" s="380"/>
      <c r="AP609" s="322" t="str">
        <f t="shared" si="1408"/>
        <v/>
      </c>
      <c r="AQ609" s="323" t="str">
        <f>IF(AC609=$V$3,IF(VLOOKUP(C609,[1]List1!$A:$E,5,FALSE)=0,1,VLOOKUP(C609,[1]List1!$A:$E,5,FALSE)),"")</f>
        <v/>
      </c>
      <c r="AR609" s="304" t="str">
        <f t="shared" si="1409"/>
        <v/>
      </c>
      <c r="AS609" s="423" t="str">
        <f t="shared" si="1410"/>
        <v/>
      </c>
      <c r="AT609" s="304" t="str">
        <f t="shared" si="1411"/>
        <v/>
      </c>
      <c r="AU609" s="342" t="e">
        <f t="shared" si="1412"/>
        <v>#N/A</v>
      </c>
      <c r="AV609" s="304" t="e">
        <f t="shared" si="1413"/>
        <v>#N/A</v>
      </c>
      <c r="AX609" s="304">
        <f>IF(AND('General price list'!$J609="F4",'General price list'!$AB609+0&gt;0),1,0)</f>
        <v>0</v>
      </c>
      <c r="AY609" s="304">
        <f t="shared" si="1414"/>
        <v>1</v>
      </c>
      <c r="AZ609" s="304">
        <f t="shared" si="1415"/>
        <v>0</v>
      </c>
    </row>
    <row r="610" spans="1:52" ht="15" customHeight="1">
      <c r="A610" s="725" t="str">
        <f>Kat.!C607</f>
        <v/>
      </c>
      <c r="B610" s="726">
        <f>IF(AND('General price list'!$J610="F4",$AI$1=FALSE),0,IF(AC610="SKLADEM",1,IF(AC610=$V$3,1,0)))</f>
        <v>0</v>
      </c>
      <c r="C610" s="727" t="s">
        <v>1373</v>
      </c>
      <c r="D610" s="728" t="s">
        <v>1374</v>
      </c>
      <c r="E610" s="729" t="s">
        <v>136</v>
      </c>
      <c r="F610" s="725">
        <f>IFERROR(ROUND(IF($AL$3=2,VLOOKUP(C610,[2]List1!$A:$D,2,FALSE)*1.08,VLOOKUP(C610,[2]List1!$A:$D,2,FALSE)),0),"NEUVEDENO!")</f>
        <v>1786</v>
      </c>
      <c r="G610" s="730">
        <f t="shared" si="1444"/>
        <v>1786</v>
      </c>
      <c r="H610" s="731">
        <f t="shared" si="1445"/>
        <v>72.575369073790384</v>
      </c>
      <c r="I610" s="732">
        <v>1</v>
      </c>
      <c r="J610" s="729" t="s">
        <v>46</v>
      </c>
      <c r="K610" s="729"/>
      <c r="L610" s="729" t="s">
        <v>14395</v>
      </c>
      <c r="M610" s="729" t="s">
        <v>25</v>
      </c>
      <c r="N610" s="729">
        <f>IFERROR(VLOOKUP(C610,[3]List1!$A:$D,4,FALSE),"N/A!")</f>
        <v>1.6192000000000002E-2</v>
      </c>
      <c r="O610" s="729">
        <f>IFERROR(VLOOKUP(C610,[3]List1!$A:$D,3,FALSE),"N/A!")</f>
        <v>996</v>
      </c>
      <c r="P610" s="729">
        <f>IFERROR(VLOOKUP(C610,[3]List1!$A:$D,2,FALSE),"N/A!")</f>
        <v>8000</v>
      </c>
      <c r="Q610" s="729" t="s">
        <v>14336</v>
      </c>
      <c r="R610" s="729" t="s">
        <v>24</v>
      </c>
      <c r="S610" s="729" t="str">
        <f>IF($W$17=$AF$1,"červená fólie",IFERROR(VLOOKUP("červená fólie",Jazyky_ceník!$A:$Q,MATCH($W$17,Jazyky_ceník!$A$1:$Q$1,0),FALSE),"!!!"))</f>
        <v>červená fólie</v>
      </c>
      <c r="T610" s="729">
        <v>85</v>
      </c>
      <c r="U610" s="729">
        <v>30</v>
      </c>
      <c r="V610" s="729">
        <v>18</v>
      </c>
      <c r="W610" s="729" t="str">
        <f>IFERROR(VLOOKUP('General price list'!$C610,Popisy!A:P,MATCH($W$17,Popisy!$A$7:$P$7,0),FALSE),"---------------")</f>
        <v>14 různobarevných efektů</v>
      </c>
      <c r="X610" s="729" t="str">
        <f t="shared" si="1446"/>
        <v/>
      </c>
      <c r="Y610" s="729" t="str">
        <f t="shared" si="1447"/>
        <v/>
      </c>
      <c r="Z610" s="729" t="str">
        <f>HYPERLINK("https://www.klasekpyrotechnics.cz/c9825c-c14")</f>
        <v>https://www.klasekpyrotechnics.cz/c9825c-c14</v>
      </c>
      <c r="AA610" s="729">
        <f>IFERROR(IF(VLOOKUP(C610,[4]List1!$A:$D,4,FALSE)=0,"",VLOOKUP(C610,[4]List1!$A:$D,4,FALSE)),"")</f>
        <v>63</v>
      </c>
      <c r="AB610" s="720"/>
      <c r="AC610" s="733" t="str">
        <f>IFERROR(IF(VLOOKUP(C610,[1]List1!$A:$D,2,FALSE)="VYPRODÁNO",$V$9,IF(VLOOKUP(C610,[1]List1!$A:$D,2,FALSE)="DOCHÁZÍ",$V$3,VLOOKUP(C610,[1]List1!$A:$D,2,FALSE))),"OFFLINE!")</f>
        <v>30.04.2024</v>
      </c>
      <c r="AD610" s="734" t="str">
        <f ca="1">IF(AP610="NE",$V$10,IF(AC610=$V$3,IF(AQ610&lt;1,$V$8,$V$2&amp;" "&amp;AQ610&amp;" "&amp;$V$1),IF(AC610="SKLADEM",$V$6,IFERROR(IF(OR(AC610-TODAY()&gt;45,VLOOKUP(C610,[1]List1!$A:$E,4,FALSE)=0),AC610,DAY(AC610)&amp;"."&amp;MONTH(AC610)&amp;"."&amp;YEAR(AC610)&amp;" "&amp;$V$4&amp;VLOOKUP(C610,[1]List1!$A:$E,4,FALSE)&amp;" "&amp;$V$1),AC610))))</f>
        <v>30.04.2024</v>
      </c>
      <c r="AE610" s="729" t="str">
        <f t="shared" ca="1" si="1448"/>
        <v>30.04.2024</v>
      </c>
      <c r="AF610" s="735">
        <f t="shared" si="1449"/>
        <v>0</v>
      </c>
      <c r="AG610" s="735">
        <f t="shared" si="1450"/>
        <v>0</v>
      </c>
      <c r="AH610" s="736">
        <f t="shared" si="1451"/>
        <v>0</v>
      </c>
      <c r="AI610" s="729">
        <f t="shared" si="1452"/>
        <v>0</v>
      </c>
      <c r="AJ610" s="729">
        <f t="shared" si="1453"/>
        <v>0</v>
      </c>
      <c r="AK610" s="729" t="str">
        <f t="shared" si="1454"/>
        <v/>
      </c>
      <c r="AL610" s="729" t="str">
        <f t="shared" si="1455"/>
        <v/>
      </c>
      <c r="AM610" s="729">
        <f t="shared" si="1456"/>
        <v>0</v>
      </c>
      <c r="AN610" s="729">
        <f t="shared" si="1457"/>
        <v>0</v>
      </c>
      <c r="AO610" s="380"/>
      <c r="AP610" s="322" t="str">
        <f t="shared" si="1408"/>
        <v/>
      </c>
      <c r="AQ610" s="323" t="str">
        <f>IF(AC610=$V$3,IF(VLOOKUP(C610,[1]List1!$A:$E,5,FALSE)=0,1,VLOOKUP(C610,[1]List1!$A:$E,5,FALSE)),"")</f>
        <v/>
      </c>
      <c r="AR610" s="304" t="str">
        <f t="shared" si="1409"/>
        <v/>
      </c>
      <c r="AS610" s="423" t="str">
        <f t="shared" si="1410"/>
        <v/>
      </c>
      <c r="AT610" s="304" t="str">
        <f t="shared" si="1411"/>
        <v/>
      </c>
      <c r="AU610" s="342" t="e">
        <f t="shared" si="1412"/>
        <v>#N/A</v>
      </c>
      <c r="AV610" s="304" t="e">
        <f t="shared" si="1413"/>
        <v>#N/A</v>
      </c>
      <c r="AX610" s="304">
        <f>IF(AND('General price list'!$J610="F4",'General price list'!$AB610+0&gt;0),1,0)</f>
        <v>0</v>
      </c>
      <c r="AY610" s="304">
        <f t="shared" si="1414"/>
        <v>1</v>
      </c>
      <c r="AZ610" s="304">
        <f t="shared" si="1415"/>
        <v>0</v>
      </c>
    </row>
    <row r="611" spans="1:52" ht="15" customHeight="1">
      <c r="A611" s="712" t="str">
        <f>Kat.!C608</f>
        <v/>
      </c>
      <c r="B611" s="737">
        <f>IF(AND('General price list'!$J611="F4",$AI$1=FALSE),0,IF(AC611="SKLADEM",1,IF(AC611=$V$3,1,0)))</f>
        <v>0</v>
      </c>
      <c r="C611" s="714" t="s">
        <v>5293</v>
      </c>
      <c r="D611" s="715" t="s">
        <v>12849</v>
      </c>
      <c r="E611" s="716" t="s">
        <v>136</v>
      </c>
      <c r="F611" s="712">
        <f>IFERROR(ROUND(IF($AL$3=2,VLOOKUP(C611,[2]List1!$A:$D,2,FALSE)*1.08,VLOOKUP(C611,[2]List1!$A:$D,2,FALSE)),0),"NEUVEDENO!")</f>
        <v>2098</v>
      </c>
      <c r="G611" s="717">
        <f t="shared" si="1444"/>
        <v>2098</v>
      </c>
      <c r="H611" s="718">
        <f t="shared" si="1445"/>
        <v>85.253709023971012</v>
      </c>
      <c r="I611" s="738">
        <v>1</v>
      </c>
      <c r="J611" s="716" t="s">
        <v>46</v>
      </c>
      <c r="K611" s="716"/>
      <c r="L611" s="716" t="s">
        <v>14395</v>
      </c>
      <c r="M611" s="716" t="s">
        <v>25</v>
      </c>
      <c r="N611" s="716">
        <f>IFERROR(VLOOKUP(C611,[3]List1!$A:$D,4,FALSE),"N/A!")</f>
        <v>1.6192000000000002E-2</v>
      </c>
      <c r="O611" s="716">
        <f>IFERROR(VLOOKUP(C611,[3]List1!$A:$D,3,FALSE),"N/A!")</f>
        <v>1000</v>
      </c>
      <c r="P611" s="716">
        <f>IFERROR(VLOOKUP(C611,[3]List1!$A:$D,2,FALSE),"N/A!")</f>
        <v>8300</v>
      </c>
      <c r="Q611" s="716" t="s">
        <v>14336</v>
      </c>
      <c r="R611" s="716" t="s">
        <v>24</v>
      </c>
      <c r="S611" s="716" t="str">
        <f>IF($W$17=$AF$1,"červená fólie",IFERROR(VLOOKUP("červená fólie",Jazyky_ceník!$A:$Q,MATCH($W$17,Jazyky_ceník!$A$1:$Q$1,0),FALSE),"!!!"))</f>
        <v>červená fólie</v>
      </c>
      <c r="T611" s="716">
        <v>70</v>
      </c>
      <c r="U611" s="716">
        <v>33</v>
      </c>
      <c r="V611" s="716">
        <v>20</v>
      </c>
      <c r="W611" s="716" t="str">
        <f>IFERROR(VLOOKUP('General price list'!$C611,Popisy!A:P,MATCH($W$17,Popisy!$A$7:$P$7,0),FALSE),"---------------")</f>
        <v>7 různobarevných efektů</v>
      </c>
      <c r="X611" s="716" t="str">
        <f t="shared" si="1446"/>
        <v/>
      </c>
      <c r="Y611" s="716" t="str">
        <f t="shared" si="1447"/>
        <v/>
      </c>
      <c r="Z611" s="716" t="str">
        <f>HYPERLINK("https://www.klasekpyrotechnics.cz/c9825sig-c14")</f>
        <v>https://www.klasekpyrotechnics.cz/c9825sig-c14</v>
      </c>
      <c r="AA611" s="716">
        <f>IFERROR(IF(VLOOKUP(C611,[4]List1!$A:$D,4,FALSE)=0,"",VLOOKUP(C611,[4]List1!$A:$D,4,FALSE)),"")</f>
        <v>55</v>
      </c>
      <c r="AB611" s="720"/>
      <c r="AC611" s="739" t="str">
        <f>IFERROR(IF(VLOOKUP(C611,[1]List1!$A:$D,2,FALSE)="VYPRODÁNO",$V$9,IF(VLOOKUP(C611,[1]List1!$A:$D,2,FALSE)="DOCHÁZÍ",$V$3,VLOOKUP(C611,[1]List1!$A:$D,2,FALSE))),"OFFLINE!")</f>
        <v>15.09.2024</v>
      </c>
      <c r="AD611" s="740" t="str">
        <f ca="1">IF(AP611="NE",$V$10,IF(AC611=$V$3,IF(AQ611&lt;1,$V$8,$V$2&amp;" "&amp;AQ611&amp;" "&amp;$V$1),IF(AC611="SKLADEM",$V$6,IFERROR(IF(OR(AC611-TODAY()&gt;45,VLOOKUP(C611,[1]List1!$A:$E,4,FALSE)=0),AC611,DAY(AC611)&amp;"."&amp;MONTH(AC611)&amp;"."&amp;YEAR(AC611)&amp;" "&amp;$V$4&amp;VLOOKUP(C611,[1]List1!$A:$E,4,FALSE)&amp;" "&amp;$V$1),AC611))))</f>
        <v>15.09.2024</v>
      </c>
      <c r="AE611" s="716" t="str">
        <f t="shared" ca="1" si="1448"/>
        <v>15.09.2024</v>
      </c>
      <c r="AF611" s="723">
        <f t="shared" si="1449"/>
        <v>0</v>
      </c>
      <c r="AG611" s="723">
        <f t="shared" si="1450"/>
        <v>0</v>
      </c>
      <c r="AH611" s="724">
        <f t="shared" si="1451"/>
        <v>0</v>
      </c>
      <c r="AI611" s="716">
        <f t="shared" si="1452"/>
        <v>0</v>
      </c>
      <c r="AJ611" s="716">
        <f t="shared" si="1453"/>
        <v>0</v>
      </c>
      <c r="AK611" s="716" t="str">
        <f t="shared" si="1454"/>
        <v/>
      </c>
      <c r="AL611" s="716" t="str">
        <f t="shared" si="1455"/>
        <v/>
      </c>
      <c r="AM611" s="716">
        <f t="shared" si="1456"/>
        <v>0</v>
      </c>
      <c r="AN611" s="716">
        <f t="shared" si="1457"/>
        <v>0</v>
      </c>
      <c r="AO611" s="380"/>
      <c r="AP611" s="322" t="str">
        <f t="shared" si="1408"/>
        <v/>
      </c>
      <c r="AQ611" s="323" t="str">
        <f>IF(AC611=$V$3,IF(VLOOKUP(C611,[1]List1!$A:$E,5,FALSE)=0,1,VLOOKUP(C611,[1]List1!$A:$E,5,FALSE)),"")</f>
        <v/>
      </c>
      <c r="AR611" s="304" t="str">
        <f t="shared" si="1409"/>
        <v/>
      </c>
      <c r="AS611" s="423" t="str">
        <f t="shared" si="1410"/>
        <v/>
      </c>
      <c r="AT611" s="304" t="str">
        <f t="shared" si="1411"/>
        <v/>
      </c>
      <c r="AU611" s="342" t="e">
        <f t="shared" si="1412"/>
        <v>#N/A</v>
      </c>
      <c r="AV611" s="304" t="e">
        <f t="shared" si="1413"/>
        <v>#N/A</v>
      </c>
      <c r="AX611" s="304">
        <f>IF(AND('General price list'!$J611="F4",'General price list'!$AB611+0&gt;0),1,0)</f>
        <v>0</v>
      </c>
      <c r="AY611" s="304">
        <f t="shared" si="1414"/>
        <v>1</v>
      </c>
      <c r="AZ611" s="304">
        <f t="shared" si="1415"/>
        <v>0</v>
      </c>
    </row>
    <row r="612" spans="1:52" ht="15" customHeight="1">
      <c r="A612" s="725" t="str">
        <f>Kat.!C609</f>
        <v/>
      </c>
      <c r="B612" s="726">
        <f>IF(AND('General price list'!$J612="F4",$AI$1=FALSE),0,IF(AC612="SKLADEM",1,IF(AC612=$V$3,1,0)))</f>
        <v>1</v>
      </c>
      <c r="C612" s="727" t="s">
        <v>2554</v>
      </c>
      <c r="D612" s="728" t="s">
        <v>14595</v>
      </c>
      <c r="E612" s="729" t="s">
        <v>136</v>
      </c>
      <c r="F612" s="725">
        <f>IFERROR(ROUND(IF($AL$3=2,VLOOKUP(C612,[2]List1!$A:$D,2,FALSE)*1.08,VLOOKUP(C612,[2]List1!$A:$D,2,FALSE)),0),"NEUVEDENO!")</f>
        <v>1750</v>
      </c>
      <c r="G612" s="730">
        <f t="shared" si="1444"/>
        <v>1750</v>
      </c>
      <c r="H612" s="731">
        <f t="shared" si="1445"/>
        <v>71.112483694923384</v>
      </c>
      <c r="I612" s="732">
        <v>1</v>
      </c>
      <c r="J612" s="729" t="s">
        <v>46</v>
      </c>
      <c r="K612" s="729"/>
      <c r="L612" s="729" t="s">
        <v>14395</v>
      </c>
      <c r="M612" s="729" t="s">
        <v>25</v>
      </c>
      <c r="N612" s="729">
        <f>IFERROR(VLOOKUP(C612,[3]List1!$A:$D,4,FALSE),"N/A!")</f>
        <v>1.6868250000000001E-2</v>
      </c>
      <c r="O612" s="729">
        <f>IFERROR(VLOOKUP(C612,[3]List1!$A:$D,3,FALSE),"N/A!")</f>
        <v>1300</v>
      </c>
      <c r="P612" s="729">
        <f>IFERROR(VLOOKUP(C612,[3]List1!$A:$D,2,FALSE),"N/A!")</f>
        <v>9000</v>
      </c>
      <c r="Q612" s="729" t="s">
        <v>45</v>
      </c>
      <c r="R612" s="729" t="s">
        <v>24</v>
      </c>
      <c r="S612" s="729" t="str">
        <f>IF($W$17=$AF$1,"červená fólie",IFERROR(VLOOKUP("červená fólie",Jazyky_ceník!$A:$Q,MATCH($W$17,Jazyky_ceník!$A$1:$Q$1,0),FALSE),"!!!"))</f>
        <v>červená fólie</v>
      </c>
      <c r="T612" s="729">
        <v>70</v>
      </c>
      <c r="U612" s="729">
        <v>30</v>
      </c>
      <c r="V612" s="729">
        <v>18</v>
      </c>
      <c r="W612" s="729" t="str">
        <f>IFERROR(VLOOKUP('General price list'!$C612,Popisy!A:P,MATCH($W$17,Popisy!$A$7:$P$7,0),FALSE),"---------------")</f>
        <v>20 různobarevných efektů</v>
      </c>
      <c r="X612" s="729" t="str">
        <f t="shared" si="1446"/>
        <v/>
      </c>
      <c r="Y612" s="729" t="str">
        <f t="shared" si="1447"/>
        <v/>
      </c>
      <c r="Z612" s="729" t="str">
        <f>HYPERLINK("https://www.klasekpyrotechnics.cz/c10025bpw-c14")</f>
        <v>https://www.klasekpyrotechnics.cz/c10025bpw-c14</v>
      </c>
      <c r="AA612" s="729">
        <f>IFERROR(IF(VLOOKUP(C612,[4]List1!$A:$D,4,FALSE)=0,"",VLOOKUP(C612,[4]List1!$A:$D,4,FALSE)),"")</f>
        <v>54</v>
      </c>
      <c r="AB612" s="720"/>
      <c r="AC612" s="733" t="str">
        <f>IFERROR(IF(VLOOKUP(C612,[1]List1!$A:$D,2,FALSE)="VYPRODÁNO",$V$9,IF(VLOOKUP(C612,[1]List1!$A:$D,2,FALSE)="DOCHÁZÍ",$V$3,VLOOKUP(C612,[1]List1!$A:$D,2,FALSE))),"OFFLINE!")</f>
        <v>SKLADEM</v>
      </c>
      <c r="AD612" s="734" t="str">
        <f ca="1">IF(AP612="NE",$V$10,IF(AC612=$V$3,IF(AQ612&lt;1,$V$8,$V$2&amp;" "&amp;AQ612&amp;" "&amp;$V$1),IF(AC612="SKLADEM",$V$6,IFERROR(IF(OR(AC612-TODAY()&gt;45,VLOOKUP(C612,[1]List1!$A:$E,4,FALSE)=0),AC612,DAY(AC612)&amp;"."&amp;MONTH(AC612)&amp;"."&amp;YEAR(AC612)&amp;" "&amp;$V$4&amp;VLOOKUP(C612,[1]List1!$A:$E,4,FALSE)&amp;" "&amp;$V$1),AC612))))</f>
        <v>SKLADEM</v>
      </c>
      <c r="AE612" s="729" t="str">
        <f t="shared" ca="1" si="1448"/>
        <v>SKLADEM</v>
      </c>
      <c r="AF612" s="735">
        <f t="shared" si="1449"/>
        <v>0</v>
      </c>
      <c r="AG612" s="735">
        <f t="shared" si="1450"/>
        <v>0</v>
      </c>
      <c r="AH612" s="736">
        <f t="shared" si="1451"/>
        <v>0</v>
      </c>
      <c r="AI612" s="729">
        <f t="shared" si="1452"/>
        <v>0</v>
      </c>
      <c r="AJ612" s="729">
        <f t="shared" si="1453"/>
        <v>0</v>
      </c>
      <c r="AK612" s="729" t="str">
        <f t="shared" si="1454"/>
        <v/>
      </c>
      <c r="AL612" s="729" t="str">
        <f t="shared" si="1455"/>
        <v/>
      </c>
      <c r="AM612" s="729">
        <f t="shared" si="1456"/>
        <v>0</v>
      </c>
      <c r="AN612" s="729">
        <f t="shared" si="1457"/>
        <v>0</v>
      </c>
      <c r="AO612" s="380"/>
      <c r="AP612" s="322" t="str">
        <f t="shared" si="1408"/>
        <v/>
      </c>
      <c r="AQ612" s="323" t="str">
        <f>IF(AC612=$V$3,IF(VLOOKUP(C612,[1]List1!$A:$E,5,FALSE)=0,1,VLOOKUP(C612,[1]List1!$A:$E,5,FALSE)),"")</f>
        <v/>
      </c>
      <c r="AR612" s="304" t="str">
        <f t="shared" si="1409"/>
        <v/>
      </c>
      <c r="AS612" s="423" t="str">
        <f t="shared" si="1410"/>
        <v/>
      </c>
      <c r="AT612" s="304" t="str">
        <f t="shared" si="1411"/>
        <v/>
      </c>
      <c r="AU612" s="342" t="e">
        <f t="shared" si="1412"/>
        <v>#N/A</v>
      </c>
      <c r="AV612" s="304" t="e">
        <f t="shared" si="1413"/>
        <v>#N/A</v>
      </c>
      <c r="AX612" s="304">
        <f>IF(AND('General price list'!$J612="F4",'General price list'!$AB612+0&gt;0),1,0)</f>
        <v>0</v>
      </c>
      <c r="AY612" s="304">
        <f t="shared" si="1414"/>
        <v>1</v>
      </c>
      <c r="AZ612" s="304">
        <f t="shared" si="1415"/>
        <v>0</v>
      </c>
    </row>
    <row r="613" spans="1:52" ht="15" customHeight="1">
      <c r="A613" s="712" t="str">
        <f>Kat.!C610</f>
        <v/>
      </c>
      <c r="B613" s="737">
        <f>IF(AND('General price list'!$J613="F4",$AI$1=FALSE),0,IF(AC613="SKLADEM",1,IF(AC613=$V$3,1,0)))</f>
        <v>0</v>
      </c>
      <c r="C613" s="714" t="s">
        <v>2555</v>
      </c>
      <c r="D613" s="715" t="s">
        <v>12727</v>
      </c>
      <c r="E613" s="716" t="s">
        <v>136</v>
      </c>
      <c r="F613" s="712">
        <f>IFERROR(ROUND(IF($AL$3=2,VLOOKUP(C613,[2]List1!$A:$D,2,FALSE)*1.08,VLOOKUP(C613,[2]List1!$A:$D,2,FALSE)),0),"NEUVEDENO!")</f>
        <v>2916</v>
      </c>
      <c r="G613" s="717">
        <f t="shared" si="1444"/>
        <v>2916</v>
      </c>
      <c r="H613" s="718">
        <f t="shared" si="1445"/>
        <v>118.49371568822663</v>
      </c>
      <c r="I613" s="738">
        <v>1</v>
      </c>
      <c r="J613" s="716" t="s">
        <v>46</v>
      </c>
      <c r="K613" s="716"/>
      <c r="L613" s="716" t="s">
        <v>14395</v>
      </c>
      <c r="M613" s="716" t="s">
        <v>25</v>
      </c>
      <c r="N613" s="716">
        <f>IFERROR(VLOOKUP(C613,[3]List1!$A:$D,4,FALSE),"N/A!")</f>
        <v>3.7949999999999998E-2</v>
      </c>
      <c r="O613" s="716">
        <f>IFERROR(VLOOKUP(C613,[3]List1!$A:$D,3,FALSE),"N/A!")</f>
        <v>1820</v>
      </c>
      <c r="P613" s="716">
        <f>IFERROR(VLOOKUP(C613,[3]List1!$A:$D,2,FALSE),"N/A!")</f>
        <v>12800</v>
      </c>
      <c r="Q613" s="716" t="s">
        <v>45</v>
      </c>
      <c r="R613" s="716" t="s">
        <v>24</v>
      </c>
      <c r="S613" s="716" t="str">
        <f>IF($W$17=$AF$1,"červená fólie",IFERROR(VLOOKUP("červená fólie",Jazyky_ceník!$A:$Q,MATCH($W$17,Jazyky_ceník!$A$1:$Q$1,0),FALSE),"!!!"))</f>
        <v>červená fólie</v>
      </c>
      <c r="T613" s="716">
        <v>90</v>
      </c>
      <c r="U613" s="716">
        <v>30</v>
      </c>
      <c r="V613" s="716">
        <v>18</v>
      </c>
      <c r="W613" s="716" t="str">
        <f>IFERROR(VLOOKUP('General price list'!$C613,Popisy!A:P,MATCH($W$17,Popisy!$A$7:$P$7,0),FALSE),"---------------")</f>
        <v>20 různobarevných efektů</v>
      </c>
      <c r="X613" s="716" t="str">
        <f t="shared" si="1446"/>
        <v/>
      </c>
      <c r="Y613" s="716" t="str">
        <f t="shared" si="1447"/>
        <v/>
      </c>
      <c r="Z613" s="716" t="str">
        <f>HYPERLINK("https://www.klasekpyrotechnics.cz/c14025xfs-c14")</f>
        <v>https://www.klasekpyrotechnics.cz/c14025xfs-c14</v>
      </c>
      <c r="AA613" s="716" t="str">
        <f>IFERROR(IF(VLOOKUP(C613,[4]List1!$A:$D,4,FALSE)=0,"",VLOOKUP(C613,[4]List1!$A:$D,4,FALSE)),"")</f>
        <v>32</v>
      </c>
      <c r="AB613" s="720"/>
      <c r="AC613" s="739" t="str">
        <f>IFERROR(IF(VLOOKUP(C613,[1]List1!$A:$D,2,FALSE)="VYPRODÁNO",$V$9,IF(VLOOKUP(C613,[1]List1!$A:$D,2,FALSE)="DOCHÁZÍ",$V$3,VLOOKUP(C613,[1]List1!$A:$D,2,FALSE))),"OFFLINE!")</f>
        <v>20.06.2024</v>
      </c>
      <c r="AD613" s="740" t="str">
        <f ca="1">IF(AP613="NE",$V$10,IF(AC613=$V$3,IF(AQ613&lt;1,$V$8,$V$2&amp;" "&amp;AQ613&amp;" "&amp;$V$1),IF(AC613="SKLADEM",$V$6,IFERROR(IF(OR(AC613-TODAY()&gt;45,VLOOKUP(C613,[1]List1!$A:$E,4,FALSE)=0),AC613,DAY(AC613)&amp;"."&amp;MONTH(AC613)&amp;"."&amp;YEAR(AC613)&amp;" "&amp;$V$4&amp;VLOOKUP(C613,[1]List1!$A:$E,4,FALSE)&amp;" "&amp;$V$1),AC613))))</f>
        <v>20.06.2024</v>
      </c>
      <c r="AE613" s="716" t="str">
        <f t="shared" ca="1" si="1448"/>
        <v>20.06.2024</v>
      </c>
      <c r="AF613" s="723">
        <f t="shared" si="1449"/>
        <v>0</v>
      </c>
      <c r="AG613" s="723">
        <f t="shared" si="1450"/>
        <v>0</v>
      </c>
      <c r="AH613" s="724">
        <f t="shared" si="1451"/>
        <v>0</v>
      </c>
      <c r="AI613" s="716">
        <f t="shared" si="1452"/>
        <v>0</v>
      </c>
      <c r="AJ613" s="716">
        <f t="shared" si="1453"/>
        <v>0</v>
      </c>
      <c r="AK613" s="716" t="str">
        <f t="shared" si="1454"/>
        <v/>
      </c>
      <c r="AL613" s="716" t="str">
        <f t="shared" si="1455"/>
        <v/>
      </c>
      <c r="AM613" s="716">
        <f t="shared" si="1456"/>
        <v>0</v>
      </c>
      <c r="AN613" s="716">
        <f t="shared" si="1457"/>
        <v>0</v>
      </c>
      <c r="AO613" s="380"/>
      <c r="AP613" s="322" t="str">
        <f t="shared" si="1408"/>
        <v/>
      </c>
      <c r="AQ613" s="323" t="str">
        <f>IF(AC613=$V$3,IF(VLOOKUP(C613,[1]List1!$A:$E,5,FALSE)=0,1,VLOOKUP(C613,[1]List1!$A:$E,5,FALSE)),"")</f>
        <v/>
      </c>
      <c r="AR613" s="304" t="str">
        <f t="shared" si="1409"/>
        <v/>
      </c>
      <c r="AS613" s="423" t="str">
        <f t="shared" si="1410"/>
        <v/>
      </c>
      <c r="AT613" s="304" t="str">
        <f t="shared" si="1411"/>
        <v/>
      </c>
      <c r="AU613" s="342" t="e">
        <f t="shared" si="1412"/>
        <v>#N/A</v>
      </c>
      <c r="AV613" s="304" t="e">
        <f t="shared" si="1413"/>
        <v>#N/A</v>
      </c>
      <c r="AX613" s="304">
        <f>IF(AND('General price list'!$J613="F4",'General price list'!$AB613+0&gt;0),1,0)</f>
        <v>0</v>
      </c>
      <c r="AY613" s="304">
        <f t="shared" si="1414"/>
        <v>1</v>
      </c>
      <c r="AZ613" s="304">
        <f t="shared" si="1415"/>
        <v>0</v>
      </c>
    </row>
    <row r="614" spans="1:52" ht="15" customHeight="1">
      <c r="A614" s="725" t="str">
        <f>Kat.!C611</f>
        <v/>
      </c>
      <c r="B614" s="726">
        <f>IF(AND('General price list'!$J614="F4",$AI$1=FALSE),0,IF(AC614="SKLADEM",1,IF(AC614=$V$3,1,0)))</f>
        <v>1</v>
      </c>
      <c r="C614" s="727" t="s">
        <v>1379</v>
      </c>
      <c r="D614" s="728" t="s">
        <v>12374</v>
      </c>
      <c r="E614" s="729" t="s">
        <v>136</v>
      </c>
      <c r="F614" s="725">
        <f>IFERROR(ROUND(IF($AL$3=2,VLOOKUP(C614,[2]List1!$A:$D,2,FALSE)*1.08,VLOOKUP(C614,[2]List1!$A:$D,2,FALSE)),0),"NEUVEDENO!")</f>
        <v>3425</v>
      </c>
      <c r="G614" s="730">
        <f t="shared" si="1444"/>
        <v>3425</v>
      </c>
      <c r="H614" s="731">
        <f t="shared" si="1445"/>
        <v>139.17728951720719</v>
      </c>
      <c r="I614" s="732">
        <v>1</v>
      </c>
      <c r="J614" s="729" t="s">
        <v>46</v>
      </c>
      <c r="K614" s="729"/>
      <c r="L614" s="729" t="s">
        <v>14383</v>
      </c>
      <c r="M614" s="729" t="s">
        <v>25</v>
      </c>
      <c r="N614" s="729">
        <f>IFERROR(VLOOKUP(C614,[3]List1!$A:$D,4,FALSE),"N/A!")</f>
        <v>4.8234375000000003E-2</v>
      </c>
      <c r="O614" s="729">
        <f>IFERROR(VLOOKUP(C614,[3]List1!$A:$D,3,FALSE),"N/A!")</f>
        <v>1984</v>
      </c>
      <c r="P614" s="729">
        <f>IFERROR(VLOOKUP(C614,[3]List1!$A:$D,2,FALSE),"N/A!")</f>
        <v>18000</v>
      </c>
      <c r="Q614" s="729" t="s">
        <v>14206</v>
      </c>
      <c r="R614" s="729" t="s">
        <v>24</v>
      </c>
      <c r="S614" s="729" t="str">
        <f>IF($W$17=$AF$1,"červená fólie",IFERROR(VLOOKUP("červená fólie",Jazyky_ceník!$A:$Q,MATCH($W$17,Jazyky_ceník!$A$1:$Q$1,0),FALSE),"!!!"))</f>
        <v>červená fólie</v>
      </c>
      <c r="T614" s="729">
        <v>160</v>
      </c>
      <c r="U614" s="729">
        <v>30</v>
      </c>
      <c r="V614" s="729">
        <v>18</v>
      </c>
      <c r="W614" s="729" t="str">
        <f>IFERROR(VLOOKUP('General price list'!$C614,Popisy!A:P,MATCH($W$17,Popisy!$A$7:$P$7,0),FALSE),"---------------")</f>
        <v>32 různobarevných efektů</v>
      </c>
      <c r="X614" s="729" t="str">
        <f t="shared" si="1446"/>
        <v/>
      </c>
      <c r="Y614" s="729" t="str">
        <f t="shared" si="1447"/>
        <v/>
      </c>
      <c r="Z614" s="729" t="str">
        <f>HYPERLINK("https://www.klasekpyrotechnics.cz/c19225mf-c14")</f>
        <v>https://www.klasekpyrotechnics.cz/c19225mf-c14</v>
      </c>
      <c r="AA614" s="729">
        <f>IFERROR(IF(VLOOKUP(C614,[4]List1!$A:$D,4,FALSE)=0,"",VLOOKUP(C614,[4]List1!$A:$D,4,FALSE)),"")</f>
        <v>20</v>
      </c>
      <c r="AB614" s="720"/>
      <c r="AC614" s="733" t="str">
        <f>IFERROR(IF(VLOOKUP(C614,[1]List1!$A:$D,2,FALSE)="VYPRODÁNO",$V$9,IF(VLOOKUP(C614,[1]List1!$A:$D,2,FALSE)="DOCHÁZÍ",$V$3,VLOOKUP(C614,[1]List1!$A:$D,2,FALSE))),"OFFLINE!")</f>
        <v>SKLADEM</v>
      </c>
      <c r="AD614" s="734" t="str">
        <f ca="1">IF(AP614="NE",$V$10,IF(AC614=$V$3,IF(AQ614&lt;1,$V$8,$V$2&amp;" "&amp;AQ614&amp;" "&amp;$V$1),IF(AC614="SKLADEM",$V$6,IFERROR(IF(OR(AC614-TODAY()&gt;45,VLOOKUP(C614,[1]List1!$A:$E,4,FALSE)=0),AC614,DAY(AC614)&amp;"."&amp;MONTH(AC614)&amp;"."&amp;YEAR(AC614)&amp;" "&amp;$V$4&amp;VLOOKUP(C614,[1]List1!$A:$E,4,FALSE)&amp;" "&amp;$V$1),AC614))))</f>
        <v>SKLADEM</v>
      </c>
      <c r="AE614" s="729" t="str">
        <f t="shared" ca="1" si="1448"/>
        <v>SKLADEM</v>
      </c>
      <c r="AF614" s="735">
        <f t="shared" si="1449"/>
        <v>0</v>
      </c>
      <c r="AG614" s="735">
        <f t="shared" si="1450"/>
        <v>0</v>
      </c>
      <c r="AH614" s="736">
        <f t="shared" si="1451"/>
        <v>0</v>
      </c>
      <c r="AI614" s="729">
        <f t="shared" si="1452"/>
        <v>0</v>
      </c>
      <c r="AJ614" s="729">
        <f t="shared" si="1453"/>
        <v>0</v>
      </c>
      <c r="AK614" s="729" t="str">
        <f t="shared" si="1454"/>
        <v/>
      </c>
      <c r="AL614" s="729" t="str">
        <f t="shared" si="1455"/>
        <v/>
      </c>
      <c r="AM614" s="729">
        <f t="shared" si="1456"/>
        <v>0</v>
      </c>
      <c r="AN614" s="729">
        <f t="shared" si="1457"/>
        <v>0</v>
      </c>
      <c r="AO614" s="380"/>
      <c r="AP614" s="322" t="str">
        <f t="shared" si="1408"/>
        <v/>
      </c>
      <c r="AQ614" s="323" t="str">
        <f>IF(AC614=$V$3,IF(VLOOKUP(C614,[1]List1!$A:$E,5,FALSE)=0,1,VLOOKUP(C614,[1]List1!$A:$E,5,FALSE)),"")</f>
        <v/>
      </c>
      <c r="AR614" s="304" t="str">
        <f t="shared" si="1409"/>
        <v/>
      </c>
      <c r="AS614" s="423" t="str">
        <f t="shared" si="1410"/>
        <v/>
      </c>
      <c r="AT614" s="304" t="str">
        <f t="shared" si="1411"/>
        <v/>
      </c>
      <c r="AU614" s="342" t="e">
        <f t="shared" si="1412"/>
        <v>#N/A</v>
      </c>
      <c r="AV614" s="304" t="e">
        <f t="shared" si="1413"/>
        <v>#N/A</v>
      </c>
      <c r="AX614" s="304">
        <f>IF(AND('General price list'!$J614="F4",'General price list'!$AB614+0&gt;0),1,0)</f>
        <v>0</v>
      </c>
      <c r="AY614" s="304">
        <f t="shared" si="1414"/>
        <v>1</v>
      </c>
      <c r="AZ614" s="304">
        <f t="shared" si="1415"/>
        <v>0</v>
      </c>
    </row>
    <row r="615" spans="1:52" ht="15" customHeight="1">
      <c r="A615" s="712" t="str">
        <f>Kat.!C612</f>
        <v/>
      </c>
      <c r="B615" s="737">
        <f>IF(AND('General price list'!$J615="F4",$AI$1=FALSE),0,IF(AC615="SKLADEM",1,IF(AC615=$V$3,1,0)))</f>
        <v>1</v>
      </c>
      <c r="C615" s="714" t="s">
        <v>1381</v>
      </c>
      <c r="D615" s="715" t="s">
        <v>1382</v>
      </c>
      <c r="E615" s="716" t="s">
        <v>136</v>
      </c>
      <c r="F615" s="712">
        <f>IFERROR(ROUND(IF($AL$3=2,VLOOKUP(C615,[2]List1!$A:$D,2,FALSE)*1.08,VLOOKUP(C615,[2]List1!$A:$D,2,FALSE)),0),"NEUVEDENO!")</f>
        <v>3255</v>
      </c>
      <c r="G615" s="717">
        <f t="shared" si="1444"/>
        <v>3255</v>
      </c>
      <c r="H615" s="718">
        <f t="shared" si="1445"/>
        <v>132.26921967255751</v>
      </c>
      <c r="I615" s="738">
        <v>1</v>
      </c>
      <c r="J615" s="716" t="s">
        <v>46</v>
      </c>
      <c r="K615" s="716"/>
      <c r="L615" s="716" t="s">
        <v>14383</v>
      </c>
      <c r="M615" s="716" t="s">
        <v>25</v>
      </c>
      <c r="N615" s="716">
        <f>IFERROR(VLOOKUP(C615,[3]List1!$A:$D,4,FALSE),"N/A!")</f>
        <v>3.2912000000000004E-2</v>
      </c>
      <c r="O615" s="716">
        <f>IFERROR(VLOOKUP(C615,[3]List1!$A:$D,3,FALSE),"N/A!")</f>
        <v>1992</v>
      </c>
      <c r="P615" s="716">
        <f>IFERROR(VLOOKUP(C615,[3]List1!$A:$D,2,FALSE),"N/A!")</f>
        <v>17500</v>
      </c>
      <c r="Q615" s="716" t="s">
        <v>14207</v>
      </c>
      <c r="R615" s="716" t="s">
        <v>24</v>
      </c>
      <c r="S615" s="716" t="str">
        <f>IF($W$17=$AF$1,"červená fólie",IFERROR(VLOOKUP("červená fólie",Jazyky_ceník!$A:$Q,MATCH($W$17,Jazyky_ceník!$A$1:$Q$1,0),FALSE),"!!!"))</f>
        <v>červená fólie</v>
      </c>
      <c r="T615" s="716">
        <v>140</v>
      </c>
      <c r="U615" s="716">
        <v>30</v>
      </c>
      <c r="V615" s="716">
        <v>18</v>
      </c>
      <c r="W615" s="716" t="str">
        <f>IFERROR(VLOOKUP('General price list'!$C615,Popisy!A:P,MATCH($W$17,Popisy!$A$7:$P$7,0),FALSE),"---------------")</f>
        <v>28 různobarevných efektů</v>
      </c>
      <c r="X615" s="716" t="str">
        <f t="shared" si="1446"/>
        <v/>
      </c>
      <c r="Y615" s="716" t="str">
        <f t="shared" si="1447"/>
        <v/>
      </c>
      <c r="Z615" s="716" t="str">
        <f>HYPERLINK("https://www.klasekpyrotechnics.cz/c19625-c14")</f>
        <v>https://www.klasekpyrotechnics.cz/c19625-c14</v>
      </c>
      <c r="AA615" s="716" t="str">
        <f>IFERROR(IF(VLOOKUP(C615,[4]List1!$A:$D,4,FALSE)=0,"",VLOOKUP(C615,[4]List1!$A:$D,4,FALSE)),"")</f>
        <v>18</v>
      </c>
      <c r="AB615" s="720"/>
      <c r="AC615" s="739" t="str">
        <f>IFERROR(IF(VLOOKUP(C615,[1]List1!$A:$D,2,FALSE)="VYPRODÁNO",$V$9,IF(VLOOKUP(C615,[1]List1!$A:$D,2,FALSE)="DOCHÁZÍ",$V$3,VLOOKUP(C615,[1]List1!$A:$D,2,FALSE))),"OFFLINE!")</f>
        <v>SKLADEM</v>
      </c>
      <c r="AD615" s="740" t="str">
        <f ca="1">IF(AP615="NE",$V$10,IF(AC615=$V$3,IF(AQ615&lt;1,$V$8,$V$2&amp;" "&amp;AQ615&amp;" "&amp;$V$1),IF(AC615="SKLADEM",$V$6,IFERROR(IF(OR(AC615-TODAY()&gt;45,VLOOKUP(C615,[1]List1!$A:$E,4,FALSE)=0),AC615,DAY(AC615)&amp;"."&amp;MONTH(AC615)&amp;"."&amp;YEAR(AC615)&amp;" "&amp;$V$4&amp;VLOOKUP(C615,[1]List1!$A:$E,4,FALSE)&amp;" "&amp;$V$1),AC615))))</f>
        <v>SKLADEM</v>
      </c>
      <c r="AE615" s="716" t="str">
        <f t="shared" ca="1" si="1448"/>
        <v>SKLADEM</v>
      </c>
      <c r="AF615" s="723">
        <f t="shared" si="1449"/>
        <v>0</v>
      </c>
      <c r="AG615" s="723">
        <f t="shared" si="1450"/>
        <v>0</v>
      </c>
      <c r="AH615" s="724">
        <f t="shared" si="1451"/>
        <v>0</v>
      </c>
      <c r="AI615" s="716">
        <f t="shared" si="1452"/>
        <v>0</v>
      </c>
      <c r="AJ615" s="716">
        <f t="shared" si="1453"/>
        <v>0</v>
      </c>
      <c r="AK615" s="716" t="str">
        <f t="shared" si="1454"/>
        <v/>
      </c>
      <c r="AL615" s="716" t="str">
        <f t="shared" si="1455"/>
        <v/>
      </c>
      <c r="AM615" s="716">
        <f t="shared" si="1456"/>
        <v>0</v>
      </c>
      <c r="AN615" s="716">
        <f t="shared" si="1457"/>
        <v>0</v>
      </c>
      <c r="AO615" s="380"/>
      <c r="AP615" s="322" t="str">
        <f t="shared" si="1408"/>
        <v/>
      </c>
      <c r="AQ615" s="323" t="str">
        <f>IF(AC615=$V$3,IF(VLOOKUP(C615,[1]List1!$A:$E,5,FALSE)=0,1,VLOOKUP(C615,[1]List1!$A:$E,5,FALSE)),"")</f>
        <v/>
      </c>
      <c r="AR615" s="304" t="str">
        <f t="shared" si="1409"/>
        <v/>
      </c>
      <c r="AS615" s="423" t="str">
        <f t="shared" si="1410"/>
        <v/>
      </c>
      <c r="AT615" s="304" t="str">
        <f t="shared" si="1411"/>
        <v/>
      </c>
      <c r="AU615" s="342" t="e">
        <f t="shared" si="1412"/>
        <v>#N/A</v>
      </c>
      <c r="AV615" s="304" t="e">
        <f t="shared" si="1413"/>
        <v>#N/A</v>
      </c>
      <c r="AX615" s="304">
        <f>IF(AND('General price list'!$J615="F4",'General price list'!$AB615+0&gt;0),1,0)</f>
        <v>0</v>
      </c>
      <c r="AY615" s="304">
        <f t="shared" si="1414"/>
        <v>1</v>
      </c>
      <c r="AZ615" s="304">
        <f t="shared" si="1415"/>
        <v>0</v>
      </c>
    </row>
    <row r="616" spans="1:52" ht="15" customHeight="1">
      <c r="A616" s="773" t="str">
        <f>Kat.!C613</f>
        <v xml:space="preserve">                                                               Složený ohňostroj(s ochraným obalem) 25mm - F2 - 1.4G</v>
      </c>
      <c r="B616" s="774"/>
      <c r="C616" s="774"/>
      <c r="D616" s="774"/>
      <c r="E616" s="774"/>
      <c r="F616" s="774"/>
      <c r="G616" s="774"/>
      <c r="H616" s="774"/>
      <c r="I616" s="774"/>
      <c r="J616" s="774"/>
      <c r="K616" s="774"/>
      <c r="L616" s="774"/>
      <c r="M616" s="774"/>
      <c r="N616" s="774"/>
      <c r="O616" s="774"/>
      <c r="P616" s="774"/>
      <c r="Q616" s="774"/>
      <c r="R616" s="774"/>
      <c r="S616" s="774"/>
      <c r="T616" s="774"/>
      <c r="U616" s="774"/>
      <c r="V616" s="774"/>
      <c r="W616" s="774"/>
      <c r="X616" s="774"/>
      <c r="Y616" s="774"/>
      <c r="Z616" s="774"/>
      <c r="AA616" s="774" t="str">
        <f>IFERROR(IF(VLOOKUP(C616,[4]List1!$A:$D,4,FALSE)=0,"",VLOOKUP(C616,[4]List1!$A:$D,4,FALSE)),"")</f>
        <v/>
      </c>
      <c r="AB616" s="774"/>
      <c r="AC616" s="775" t="str">
        <f>IFERROR(IF(VLOOKUP(C616,[1]List1!$A:$D,2,FALSE)="VYPRODÁNO",$V$9,IF(VLOOKUP(C616,[1]List1!$A:$D,2,FALSE)="DOCHÁZÍ",$V$3,VLOOKUP(C616,[1]List1!$A:$D,2,FALSE))),"OFFLINE!")</f>
        <v>OFFLINE!</v>
      </c>
      <c r="AD616" s="774"/>
      <c r="AE616" s="774"/>
      <c r="AF616" s="774"/>
      <c r="AG616" s="774"/>
      <c r="AH616" s="774"/>
      <c r="AI616" s="774"/>
      <c r="AJ616" s="774"/>
      <c r="AK616" s="774"/>
      <c r="AL616" s="774"/>
      <c r="AM616" s="774"/>
      <c r="AN616" s="774"/>
      <c r="AO616" s="380"/>
      <c r="AP616" s="322" t="str">
        <f t="shared" si="1408"/>
        <v/>
      </c>
      <c r="AQ616" s="323" t="str">
        <f>IF(AC616=$V$3,IF(VLOOKUP(C616,[1]List1!$A:$E,5,FALSE)=0,1,VLOOKUP(C616,[1]List1!$A:$E,5,FALSE)),"")</f>
        <v/>
      </c>
      <c r="AR616" s="304" t="str">
        <f t="shared" si="1409"/>
        <v/>
      </c>
      <c r="AS616" s="423" t="str">
        <f t="shared" si="1410"/>
        <v/>
      </c>
      <c r="AT616" s="304" t="str">
        <f t="shared" si="1411"/>
        <v/>
      </c>
      <c r="AU616" s="342" t="e">
        <f t="shared" si="1412"/>
        <v>#N/A</v>
      </c>
      <c r="AV616" s="304" t="e">
        <f t="shared" si="1413"/>
        <v>#N/A</v>
      </c>
      <c r="AX616" s="304">
        <f>IF(AND('General price list'!$J616="F4",'General price list'!$AB616+0&gt;0),1,0)</f>
        <v>0</v>
      </c>
      <c r="AY616" s="304">
        <f t="shared" si="1414"/>
        <v>0</v>
      </c>
      <c r="AZ616" s="304">
        <f t="shared" si="1415"/>
        <v>0</v>
      </c>
    </row>
    <row r="617" spans="1:52" ht="15" customHeight="1">
      <c r="A617" s="712" t="str">
        <f>Kat.!C614</f>
        <v/>
      </c>
      <c r="B617" s="713">
        <f>IF(AND('General price list'!$J617="F4",$AI$1=FALSE),0,IF(AC617="SKLADEM",1,IF(AC617=$V$3,1,0)))</f>
        <v>1</v>
      </c>
      <c r="C617" s="714" t="s">
        <v>2730</v>
      </c>
      <c r="D617" s="715" t="s">
        <v>1372</v>
      </c>
      <c r="E617" s="716" t="s">
        <v>136</v>
      </c>
      <c r="F617" s="712">
        <f>IFERROR(ROUND(IF($AL$3=2,VLOOKUP(C617,[2]List1!$A:$D,2,FALSE)*1.08,VLOOKUP(C617,[2]List1!$A:$D,2,FALSE)),0),"NEUVEDENO!")</f>
        <v>2097</v>
      </c>
      <c r="G617" s="717">
        <f t="shared" ref="G617:G622" si="1458">(F617)*$B$19</f>
        <v>2097</v>
      </c>
      <c r="H617" s="718">
        <f t="shared" ref="H617:H622" si="1459">G617/$F$19</f>
        <v>85.213073319002476</v>
      </c>
      <c r="I617" s="719">
        <v>1</v>
      </c>
      <c r="J617" s="716" t="s">
        <v>46</v>
      </c>
      <c r="K617" s="716">
        <v>6</v>
      </c>
      <c r="L617" s="716" t="s">
        <v>24</v>
      </c>
      <c r="M617" s="716" t="s">
        <v>25</v>
      </c>
      <c r="N617" s="716">
        <f>IFERROR(VLOOKUP(C617,[3]List1!$A:$D,4,FALSE),"N/A!")</f>
        <v>2.4570000000000002E-2</v>
      </c>
      <c r="O617" s="716">
        <f>IFERROR(VLOOKUP(C617,[3]List1!$A:$D,3,FALSE),"N/A!")</f>
        <v>992</v>
      </c>
      <c r="P617" s="716">
        <f>IFERROR(VLOOKUP(C617,[3]List1!$A:$D,2,FALSE),"N/A!")</f>
        <v>9000</v>
      </c>
      <c r="Q617" s="716" t="s">
        <v>14208</v>
      </c>
      <c r="R617" s="716" t="s">
        <v>24</v>
      </c>
      <c r="S617" s="716" t="str">
        <f>IF($W$17=$AF$1,"červená fólie",IFERROR(VLOOKUP("červená fólie",Jazyky_ceník!$A:$Q,MATCH($W$17,Jazyky_ceník!$A$1:$Q$1,0),FALSE),"!!!"))</f>
        <v>červená fólie</v>
      </c>
      <c r="T617" s="716">
        <v>80</v>
      </c>
      <c r="U617" s="716">
        <v>30</v>
      </c>
      <c r="V617" s="716">
        <v>18</v>
      </c>
      <c r="W617" s="716" t="str">
        <f>IFERROR(VLOOKUP('General price list'!$C617,Popisy!A:P,MATCH($W$17,Popisy!$A$7:$P$7,0),FALSE),"---------------")</f>
        <v>16 různobarevných efektů</v>
      </c>
      <c r="X617" s="716" t="str">
        <f t="shared" ref="X617:X622" si="1460">IF(AB617&lt;0.0001,"",AB617)</f>
        <v/>
      </c>
      <c r="Y617" s="716" t="str">
        <f t="shared" ref="Y617:Y622" si="1461">IF($AL$3=2,IF(OR(AB617&lt;&gt;"",AB617&lt;&gt;0),AU617,""),IF(C617="","",IF(AB617&lt;0.0001,"",IF(B617=0,"",IF(AQ617&lt;AB617,"",AB617)))))</f>
        <v/>
      </c>
      <c r="Z617" s="716" t="str">
        <f>HYPERLINK("https://www.klasekpyrotechnics.cz/c9625mf-c14_t")</f>
        <v>https://www.klasekpyrotechnics.cz/c9625mf-c14_t</v>
      </c>
      <c r="AA617" s="716" t="str">
        <f>IFERROR(IF(VLOOKUP(C617,[4]List1!$A:$D,4,FALSE)=0,"",VLOOKUP(C617,[4]List1!$A:$D,4,FALSE)),"")</f>
        <v>54</v>
      </c>
      <c r="AB617" s="720"/>
      <c r="AC617" s="721" t="str">
        <f>IFERROR(IF(VLOOKUP(C617,[1]List1!$A:$D,2,FALSE)="VYPRODÁNO",$V$9,IF(VLOOKUP(C617,[1]List1!$A:$D,2,FALSE)="DOCHÁZÍ",$V$3,VLOOKUP(C617,[1]List1!$A:$D,2,FALSE))),"OFFLINE!")</f>
        <v>SKLADEM</v>
      </c>
      <c r="AD617" s="722" t="str">
        <f ca="1">IF(AP617="NE",$V$10,IF(AC617=$V$3,IF(AQ617&lt;1,$V$8,$V$2&amp;" "&amp;AQ617&amp;" "&amp;$V$1),IF(AC617="SKLADEM",$V$6,IFERROR(IF(OR(AC617-TODAY()&gt;45,VLOOKUP(C617,[1]List1!$A:$E,4,FALSE)=0),AC617,DAY(AC617)&amp;"."&amp;MONTH(AC617)&amp;"."&amp;YEAR(AC617)&amp;" "&amp;$V$4&amp;VLOOKUP(C617,[1]List1!$A:$E,4,FALSE)&amp;" "&amp;$V$1),AC617))))</f>
        <v>SKLADEM</v>
      </c>
      <c r="AE617" s="716" t="str">
        <f t="shared" ref="AE617:AE622" ca="1" si="1462">IFERROR(IF(AV617&lt;&gt;"",AV617,AD617),AD617)</f>
        <v>SKLADEM</v>
      </c>
      <c r="AF617" s="723">
        <f t="shared" ref="AF617:AF622" si="1463">IFERROR(IF(AB617=Y617,G617*I617*Y617,0),0)</f>
        <v>0</v>
      </c>
      <c r="AG617" s="723">
        <f t="shared" ref="AG617:AG622" si="1464">IF($W$17=$AF$8,AH617*1.23,AF617*1.21)</f>
        <v>0</v>
      </c>
      <c r="AH617" s="724">
        <f t="shared" ref="AH617:AH622" si="1465">IFERROR(IF(Y617=AB617,H617*I617*Y617,0),0)</f>
        <v>0</v>
      </c>
      <c r="AI617" s="716">
        <f t="shared" ref="AI617:AI622" si="1466">IFERROR(IF(Y617=AB617,(P617*Y617)/1000,1),0)</f>
        <v>0</v>
      </c>
      <c r="AJ617" s="716">
        <f t="shared" ref="AJ617:AJ622" si="1467">IFERROR(IF(Y617=AB617,N617*Y617,0.1),0)</f>
        <v>0</v>
      </c>
      <c r="AK617" s="716" t="str">
        <f t="shared" ref="AK617:AK622" si="1468">IFERROR(IF(Y617=AB617,IF(M617="1.1G",(O617/1000)*Y617,""),""),0)</f>
        <v/>
      </c>
      <c r="AL617" s="716" t="str">
        <f t="shared" ref="AL617:AL622" si="1469">IFERROR(IF(Y617=AB617,IF(M617="1.3G",(O617/1000)*AB617,""),""),0)</f>
        <v/>
      </c>
      <c r="AM617" s="716">
        <f t="shared" ref="AM617:AM622" si="1470">IFERROR(IF(Y617=AB617,IF(M617="1.4G",(O617/1000)*AB617,""),""),0)</f>
        <v>0</v>
      </c>
      <c r="AN617" s="716">
        <f t="shared" ref="AN617:AN622" si="1471">SUM(AK617:AM617)</f>
        <v>0</v>
      </c>
      <c r="AO617" s="380"/>
      <c r="AP617" s="322" t="str">
        <f t="shared" si="1408"/>
        <v/>
      </c>
      <c r="AQ617" s="323" t="str">
        <f>IF(AC617=$V$3,IF(VLOOKUP(C617,[1]List1!$A:$E,5,FALSE)=0,1,VLOOKUP(C617,[1]List1!$A:$E,5,FALSE)),"")</f>
        <v/>
      </c>
      <c r="AR617" s="304" t="str">
        <f t="shared" si="1409"/>
        <v/>
      </c>
      <c r="AS617" s="423" t="str">
        <f t="shared" si="1410"/>
        <v/>
      </c>
      <c r="AT617" s="304" t="str">
        <f t="shared" si="1411"/>
        <v/>
      </c>
      <c r="AU617" s="342" t="e">
        <f t="shared" si="1412"/>
        <v>#N/A</v>
      </c>
      <c r="AV617" s="304" t="e">
        <f t="shared" si="1413"/>
        <v>#N/A</v>
      </c>
      <c r="AX617" s="304">
        <f>IF(AND('General price list'!$J617="F4",'General price list'!$AB617+0&gt;0),1,0)</f>
        <v>0</v>
      </c>
      <c r="AY617" s="304">
        <f t="shared" si="1414"/>
        <v>1</v>
      </c>
      <c r="AZ617" s="304">
        <f t="shared" si="1415"/>
        <v>0</v>
      </c>
    </row>
    <row r="618" spans="1:52" ht="15" customHeight="1">
      <c r="A618" s="725" t="str">
        <f>Kat.!C615</f>
        <v/>
      </c>
      <c r="B618" s="726">
        <f>IF(AND('General price list'!$J618="F4",$AI$1=FALSE),0,IF(AC618="SKLADEM",1,IF(AC618=$V$3,1,0)))</f>
        <v>0</v>
      </c>
      <c r="C618" s="727" t="s">
        <v>2731</v>
      </c>
      <c r="D618" s="728" t="s">
        <v>1374</v>
      </c>
      <c r="E618" s="729" t="s">
        <v>136</v>
      </c>
      <c r="F618" s="725">
        <f>IFERROR(ROUND(IF($AL$3=2,VLOOKUP(C618,[2]List1!$A:$D,2,FALSE)*1.08,VLOOKUP(C618,[2]List1!$A:$D,2,FALSE)),0),"NEUVEDENO!")</f>
        <v>2001</v>
      </c>
      <c r="G618" s="730">
        <f t="shared" si="1458"/>
        <v>2001</v>
      </c>
      <c r="H618" s="731">
        <f t="shared" si="1459"/>
        <v>81.312045642023833</v>
      </c>
      <c r="I618" s="732">
        <v>1</v>
      </c>
      <c r="J618" s="729" t="s">
        <v>46</v>
      </c>
      <c r="K618" s="729">
        <v>6</v>
      </c>
      <c r="L618" s="729" t="s">
        <v>24</v>
      </c>
      <c r="M618" s="729" t="s">
        <v>25</v>
      </c>
      <c r="N618" s="729">
        <f>IFERROR(VLOOKUP(C618,[3]List1!$A:$D,4,FALSE),"N/A!")</f>
        <v>1.6192000000000002E-2</v>
      </c>
      <c r="O618" s="729">
        <f>IFERROR(VLOOKUP(C618,[3]List1!$A:$D,3,FALSE),"N/A!")</f>
        <v>996</v>
      </c>
      <c r="P618" s="729">
        <f>IFERROR(VLOOKUP(C618,[3]List1!$A:$D,2,FALSE),"N/A!")</f>
        <v>8000</v>
      </c>
      <c r="Q618" s="729" t="s">
        <v>1375</v>
      </c>
      <c r="R618" s="729" t="s">
        <v>24</v>
      </c>
      <c r="S618" s="729" t="str">
        <f>IF($W$17=$AF$1,"červená fólie",IFERROR(VLOOKUP("červená fólie",Jazyky_ceník!$A:$Q,MATCH($W$17,Jazyky_ceník!$A$1:$Q$1,0),FALSE),"!!!"))</f>
        <v>červená fólie</v>
      </c>
      <c r="T618" s="729">
        <v>85</v>
      </c>
      <c r="U618" s="729">
        <v>30</v>
      </c>
      <c r="V618" s="729">
        <v>18</v>
      </c>
      <c r="W618" s="729" t="str">
        <f>IFERROR(VLOOKUP('General price list'!$C618,Popisy!A:P,MATCH($W$17,Popisy!$A$7:$P$7,0),FALSE),"---------------")</f>
        <v>14 různobarevných efektů</v>
      </c>
      <c r="X618" s="729" t="str">
        <f t="shared" si="1460"/>
        <v/>
      </c>
      <c r="Y618" s="729" t="str">
        <f t="shared" si="1461"/>
        <v/>
      </c>
      <c r="Z618" s="729" t="str">
        <f>HYPERLINK("https://www.klasekpyrotechnics.cz/c9825c-c14_t")</f>
        <v>https://www.klasekpyrotechnics.cz/c9825c-c14_t</v>
      </c>
      <c r="AA618" s="729">
        <f>IFERROR(IF(VLOOKUP(C618,[4]List1!$A:$D,4,FALSE)=0,"",VLOOKUP(C618,[4]List1!$A:$D,4,FALSE)),"")</f>
        <v>60</v>
      </c>
      <c r="AB618" s="720"/>
      <c r="AC618" s="733" t="str">
        <f>IFERROR(IF(VLOOKUP(C618,[1]List1!$A:$D,2,FALSE)="VYPRODÁNO",$V$9,IF(VLOOKUP(C618,[1]List1!$A:$D,2,FALSE)="DOCHÁZÍ",$V$3,VLOOKUP(C618,[1]List1!$A:$D,2,FALSE))),"OFFLINE!")</f>
        <v>30.04.2024</v>
      </c>
      <c r="AD618" s="734" t="str">
        <f ca="1">IF(AP618="NE",$V$10,IF(AC618=$V$3,IF(AQ618&lt;1,$V$8,$V$2&amp;" "&amp;AQ618&amp;" "&amp;$V$1),IF(AC618="SKLADEM",$V$6,IFERROR(IF(OR(AC618-TODAY()&gt;45,VLOOKUP(C618,[1]List1!$A:$E,4,FALSE)=0),AC618,DAY(AC618)&amp;"."&amp;MONTH(AC618)&amp;"."&amp;YEAR(AC618)&amp;" "&amp;$V$4&amp;VLOOKUP(C618,[1]List1!$A:$E,4,FALSE)&amp;" "&amp;$V$1),AC618))))</f>
        <v>30.04.2024</v>
      </c>
      <c r="AE618" s="729" t="str">
        <f t="shared" ca="1" si="1462"/>
        <v>30.04.2024</v>
      </c>
      <c r="AF618" s="735">
        <f t="shared" si="1463"/>
        <v>0</v>
      </c>
      <c r="AG618" s="735">
        <f t="shared" si="1464"/>
        <v>0</v>
      </c>
      <c r="AH618" s="736">
        <f t="shared" si="1465"/>
        <v>0</v>
      </c>
      <c r="AI618" s="729">
        <f t="shared" si="1466"/>
        <v>0</v>
      </c>
      <c r="AJ618" s="729">
        <f t="shared" si="1467"/>
        <v>0</v>
      </c>
      <c r="AK618" s="729" t="str">
        <f t="shared" si="1468"/>
        <v/>
      </c>
      <c r="AL618" s="729" t="str">
        <f t="shared" si="1469"/>
        <v/>
      </c>
      <c r="AM618" s="729">
        <f t="shared" si="1470"/>
        <v>0</v>
      </c>
      <c r="AN618" s="729">
        <f t="shared" si="1471"/>
        <v>0</v>
      </c>
      <c r="AO618" s="380"/>
      <c r="AP618" s="322" t="str">
        <f t="shared" si="1408"/>
        <v/>
      </c>
      <c r="AQ618" s="323" t="str">
        <f>IF(AC618=$V$3,IF(VLOOKUP(C618,[1]List1!$A:$E,5,FALSE)=0,1,VLOOKUP(C618,[1]List1!$A:$E,5,FALSE)),"")</f>
        <v/>
      </c>
      <c r="AR618" s="304" t="str">
        <f t="shared" si="1409"/>
        <v/>
      </c>
      <c r="AS618" s="423" t="str">
        <f t="shared" si="1410"/>
        <v/>
      </c>
      <c r="AT618" s="304" t="str">
        <f t="shared" si="1411"/>
        <v/>
      </c>
      <c r="AU618" s="342" t="e">
        <f t="shared" si="1412"/>
        <v>#N/A</v>
      </c>
      <c r="AV618" s="304" t="e">
        <f t="shared" si="1413"/>
        <v>#N/A</v>
      </c>
      <c r="AX618" s="304">
        <f>IF(AND('General price list'!$J618="F4",'General price list'!$AB618+0&gt;0),1,0)</f>
        <v>0</v>
      </c>
      <c r="AY618" s="304">
        <f t="shared" si="1414"/>
        <v>1</v>
      </c>
      <c r="AZ618" s="304">
        <f t="shared" si="1415"/>
        <v>0</v>
      </c>
    </row>
    <row r="619" spans="1:52" ht="15" customHeight="1">
      <c r="A619" s="712" t="str">
        <f>Kat.!C616</f>
        <v/>
      </c>
      <c r="B619" s="737">
        <f>IF(AND('General price list'!$J619="F4",$AI$1=FALSE),0,IF(AC619="SKLADEM",1,IF(AC619=$V$3,1,0)))</f>
        <v>0</v>
      </c>
      <c r="C619" s="714" t="s">
        <v>5302</v>
      </c>
      <c r="D619" s="715" t="s">
        <v>12849</v>
      </c>
      <c r="E619" s="716" t="s">
        <v>136</v>
      </c>
      <c r="F619" s="712">
        <f>IFERROR(ROUND(IF($AL$3=2,VLOOKUP(C619,[2]List1!$A:$D,2,FALSE)*1.08,VLOOKUP(C619,[2]List1!$A:$D,2,FALSE)),0),"NEUVEDENO!")</f>
        <v>2350</v>
      </c>
      <c r="G619" s="717">
        <f t="shared" si="1458"/>
        <v>2350</v>
      </c>
      <c r="H619" s="718">
        <f t="shared" si="1459"/>
        <v>95.49390667603997</v>
      </c>
      <c r="I619" s="738">
        <v>1</v>
      </c>
      <c r="J619" s="716" t="s">
        <v>46</v>
      </c>
      <c r="K619" s="716">
        <v>6</v>
      </c>
      <c r="L619" s="716" t="s">
        <v>24</v>
      </c>
      <c r="M619" s="716" t="s">
        <v>25</v>
      </c>
      <c r="N619" s="716">
        <f>IFERROR(VLOOKUP(C619,[3]List1!$A:$D,4,FALSE),"N/A!")</f>
        <v>1.6192000000000002E-2</v>
      </c>
      <c r="O619" s="716">
        <f>IFERROR(VLOOKUP(C619,[3]List1!$A:$D,3,FALSE),"N/A!")</f>
        <v>1000</v>
      </c>
      <c r="P619" s="716">
        <f>IFERROR(VLOOKUP(C619,[3]List1!$A:$D,2,FALSE),"N/A!")</f>
        <v>8300</v>
      </c>
      <c r="Q619" s="716" t="s">
        <v>14205</v>
      </c>
      <c r="R619" s="716" t="s">
        <v>24</v>
      </c>
      <c r="S619" s="716" t="str">
        <f>IF($W$17=$AF$1,"červená fólie",IFERROR(VLOOKUP("červená fólie",Jazyky_ceník!$A:$Q,MATCH($W$17,Jazyky_ceník!$A$1:$Q$1,0),FALSE),"!!!"))</f>
        <v>červená fólie</v>
      </c>
      <c r="T619" s="716">
        <v>70</v>
      </c>
      <c r="U619" s="716">
        <v>33</v>
      </c>
      <c r="V619" s="716">
        <v>20</v>
      </c>
      <c r="W619" s="716" t="str">
        <f>IFERROR(VLOOKUP('General price list'!$C619,Popisy!A:P,MATCH($W$17,Popisy!$A$7:$P$7,0),FALSE),"---------------")</f>
        <v>7 různobarevných efektů</v>
      </c>
      <c r="X619" s="716" t="str">
        <f t="shared" si="1460"/>
        <v/>
      </c>
      <c r="Y619" s="716" t="str">
        <f t="shared" si="1461"/>
        <v/>
      </c>
      <c r="Z619" s="716" t="str">
        <f>HYPERLINK("https://www.klasekpyrotechnics.cz/c9825sig-c14_t")</f>
        <v>https://www.klasekpyrotechnics.cz/c9825sig-c14_t</v>
      </c>
      <c r="AA619" s="716">
        <f>IFERROR(IF(VLOOKUP(C619,[4]List1!$A:$D,4,FALSE)=0,"",VLOOKUP(C619,[4]List1!$A:$D,4,FALSE)),"")</f>
        <v>55</v>
      </c>
      <c r="AB619" s="720"/>
      <c r="AC619" s="739" t="str">
        <f>IFERROR(IF(VLOOKUP(C619,[1]List1!$A:$D,2,FALSE)="VYPRODÁNO",$V$9,IF(VLOOKUP(C619,[1]List1!$A:$D,2,FALSE)="DOCHÁZÍ",$V$3,VLOOKUP(C619,[1]List1!$A:$D,2,FALSE))),"OFFLINE!")</f>
        <v>15.09.2024</v>
      </c>
      <c r="AD619" s="740" t="str">
        <f ca="1">IF(AP619="NE",$V$10,IF(AC619=$V$3,IF(AQ619&lt;1,$V$8,$V$2&amp;" "&amp;AQ619&amp;" "&amp;$V$1),IF(AC619="SKLADEM",$V$6,IFERROR(IF(OR(AC619-TODAY()&gt;45,VLOOKUP(C619,[1]List1!$A:$E,4,FALSE)=0),AC619,DAY(AC619)&amp;"."&amp;MONTH(AC619)&amp;"."&amp;YEAR(AC619)&amp;" "&amp;$V$4&amp;VLOOKUP(C619,[1]List1!$A:$E,4,FALSE)&amp;" "&amp;$V$1),AC619))))</f>
        <v>15.09.2024</v>
      </c>
      <c r="AE619" s="716" t="str">
        <f t="shared" ca="1" si="1462"/>
        <v>15.09.2024</v>
      </c>
      <c r="AF619" s="723">
        <f t="shared" si="1463"/>
        <v>0</v>
      </c>
      <c r="AG619" s="723">
        <f t="shared" si="1464"/>
        <v>0</v>
      </c>
      <c r="AH619" s="724">
        <f t="shared" si="1465"/>
        <v>0</v>
      </c>
      <c r="AI619" s="716">
        <f t="shared" si="1466"/>
        <v>0</v>
      </c>
      <c r="AJ619" s="716">
        <f t="shared" si="1467"/>
        <v>0</v>
      </c>
      <c r="AK619" s="716" t="str">
        <f t="shared" si="1468"/>
        <v/>
      </c>
      <c r="AL619" s="716" t="str">
        <f t="shared" si="1469"/>
        <v/>
      </c>
      <c r="AM619" s="716">
        <f t="shared" si="1470"/>
        <v>0</v>
      </c>
      <c r="AN619" s="716">
        <f t="shared" si="1471"/>
        <v>0</v>
      </c>
      <c r="AO619" s="380"/>
      <c r="AP619" s="322" t="str">
        <f t="shared" si="1408"/>
        <v/>
      </c>
      <c r="AQ619" s="323" t="str">
        <f>IF(AC619=$V$3,IF(VLOOKUP(C619,[1]List1!$A:$E,5,FALSE)=0,1,VLOOKUP(C619,[1]List1!$A:$E,5,FALSE)),"")</f>
        <v/>
      </c>
      <c r="AR619" s="304" t="str">
        <f t="shared" si="1409"/>
        <v/>
      </c>
      <c r="AS619" s="423" t="str">
        <f t="shared" si="1410"/>
        <v/>
      </c>
      <c r="AT619" s="304" t="str">
        <f t="shared" si="1411"/>
        <v/>
      </c>
      <c r="AU619" s="342" t="e">
        <f t="shared" si="1412"/>
        <v>#N/A</v>
      </c>
      <c r="AV619" s="304" t="e">
        <f t="shared" si="1413"/>
        <v>#N/A</v>
      </c>
      <c r="AX619" s="304">
        <f>IF(AND('General price list'!$J619="F4",'General price list'!$AB619+0&gt;0),1,0)</f>
        <v>0</v>
      </c>
      <c r="AY619" s="304">
        <f t="shared" si="1414"/>
        <v>1</v>
      </c>
      <c r="AZ619" s="304">
        <f t="shared" si="1415"/>
        <v>0</v>
      </c>
    </row>
    <row r="620" spans="1:52" ht="15" customHeight="1">
      <c r="A620" s="725" t="str">
        <f>Kat.!C617</f>
        <v/>
      </c>
      <c r="B620" s="726">
        <f>IF(AND('General price list'!$J620="F4",$AI$1=FALSE),0,IF(AC620="SKLADEM",1,IF(AC620=$V$3,1,0)))</f>
        <v>0</v>
      </c>
      <c r="C620" s="727" t="s">
        <v>2732</v>
      </c>
      <c r="D620" s="728" t="s">
        <v>2556</v>
      </c>
      <c r="E620" s="729" t="s">
        <v>136</v>
      </c>
      <c r="F620" s="725">
        <f>IFERROR(ROUND(IF($AL$3=2,VLOOKUP(C620,[2]List1!$A:$D,2,FALSE)*1.08,VLOOKUP(C620,[2]List1!$A:$D,2,FALSE)),0),"NEUVEDENO!")</f>
        <v>3266</v>
      </c>
      <c r="G620" s="730">
        <f t="shared" si="1458"/>
        <v>3266</v>
      </c>
      <c r="H620" s="731">
        <f t="shared" si="1459"/>
        <v>132.7162124272113</v>
      </c>
      <c r="I620" s="732">
        <v>1</v>
      </c>
      <c r="J620" s="729" t="s">
        <v>46</v>
      </c>
      <c r="K620" s="729">
        <v>6</v>
      </c>
      <c r="L620" s="729" t="s">
        <v>24</v>
      </c>
      <c r="M620" s="729" t="s">
        <v>25</v>
      </c>
      <c r="N620" s="729">
        <f>IFERROR(VLOOKUP(C620,[3]List1!$A:$D,4,FALSE),"N/A!")</f>
        <v>3.7949999999999998E-2</v>
      </c>
      <c r="O620" s="729">
        <f>IFERROR(VLOOKUP(C620,[3]List1!$A:$D,3,FALSE),"N/A!")</f>
        <v>1820</v>
      </c>
      <c r="P620" s="729">
        <f>IFERROR(VLOOKUP(C620,[3]List1!$A:$D,2,FALSE),"N/A!")</f>
        <v>12800</v>
      </c>
      <c r="Q620" s="729" t="s">
        <v>14110</v>
      </c>
      <c r="R620" s="729" t="s">
        <v>24</v>
      </c>
      <c r="S620" s="729" t="str">
        <f>IF($W$17=$AF$1,"červená fólie",IFERROR(VLOOKUP("červená fólie",Jazyky_ceník!$A:$Q,MATCH($W$17,Jazyky_ceník!$A$1:$Q$1,0),FALSE),"!!!"))</f>
        <v>červená fólie</v>
      </c>
      <c r="T620" s="729">
        <v>90</v>
      </c>
      <c r="U620" s="729">
        <v>30</v>
      </c>
      <c r="V620" s="729">
        <v>18</v>
      </c>
      <c r="W620" s="729" t="str">
        <f>IFERROR(VLOOKUP('General price list'!$C620,Popisy!A:P,MATCH($W$17,Popisy!$A$7:$P$7,0),FALSE),"---------------")</f>
        <v>20 různobarevných efektů</v>
      </c>
      <c r="X620" s="729" t="str">
        <f t="shared" si="1460"/>
        <v/>
      </c>
      <c r="Y620" s="729" t="str">
        <f t="shared" si="1461"/>
        <v/>
      </c>
      <c r="Z620" s="729" t="str">
        <f>HYPERLINK("https://www.klasekpyrotechnics.cz/c14025xfs-c14_t")</f>
        <v>https://www.klasekpyrotechnics.cz/c14025xfs-c14_t</v>
      </c>
      <c r="AA620" s="729" t="str">
        <f>IFERROR(IF(VLOOKUP(C620,[4]List1!$A:$D,4,FALSE)=0,"",VLOOKUP(C620,[4]List1!$A:$D,4,FALSE)),"")</f>
        <v>32</v>
      </c>
      <c r="AB620" s="720"/>
      <c r="AC620" s="733" t="str">
        <f>IFERROR(IF(VLOOKUP(C620,[1]List1!$A:$D,2,FALSE)="VYPRODÁNO",$V$9,IF(VLOOKUP(C620,[1]List1!$A:$D,2,FALSE)="DOCHÁZÍ",$V$3,VLOOKUP(C620,[1]List1!$A:$D,2,FALSE))),"OFFLINE!")</f>
        <v>20.06.2024</v>
      </c>
      <c r="AD620" s="734" t="str">
        <f ca="1">IF(AP620="NE",$V$10,IF(AC620=$V$3,IF(AQ620&lt;1,$V$8,$V$2&amp;" "&amp;AQ620&amp;" "&amp;$V$1),IF(AC620="SKLADEM",$V$6,IFERROR(IF(OR(AC620-TODAY()&gt;45,VLOOKUP(C620,[1]List1!$A:$E,4,FALSE)=0),AC620,DAY(AC620)&amp;"."&amp;MONTH(AC620)&amp;"."&amp;YEAR(AC620)&amp;" "&amp;$V$4&amp;VLOOKUP(C620,[1]List1!$A:$E,4,FALSE)&amp;" "&amp;$V$1),AC620))))</f>
        <v>20.06.2024</v>
      </c>
      <c r="AE620" s="729" t="str">
        <f t="shared" ca="1" si="1462"/>
        <v>20.06.2024</v>
      </c>
      <c r="AF620" s="735">
        <f t="shared" si="1463"/>
        <v>0</v>
      </c>
      <c r="AG620" s="735">
        <f t="shared" si="1464"/>
        <v>0</v>
      </c>
      <c r="AH620" s="736">
        <f t="shared" si="1465"/>
        <v>0</v>
      </c>
      <c r="AI620" s="729">
        <f t="shared" si="1466"/>
        <v>0</v>
      </c>
      <c r="AJ620" s="729">
        <f t="shared" si="1467"/>
        <v>0</v>
      </c>
      <c r="AK620" s="729" t="str">
        <f t="shared" si="1468"/>
        <v/>
      </c>
      <c r="AL620" s="729" t="str">
        <f t="shared" si="1469"/>
        <v/>
      </c>
      <c r="AM620" s="729">
        <f t="shared" si="1470"/>
        <v>0</v>
      </c>
      <c r="AN620" s="729">
        <f t="shared" si="1471"/>
        <v>0</v>
      </c>
      <c r="AO620" s="380"/>
      <c r="AP620" s="322" t="str">
        <f t="shared" si="1408"/>
        <v/>
      </c>
      <c r="AQ620" s="323" t="str">
        <f>IF(AC620=$V$3,IF(VLOOKUP(C620,[1]List1!$A:$E,5,FALSE)=0,1,VLOOKUP(C620,[1]List1!$A:$E,5,FALSE)),"")</f>
        <v/>
      </c>
      <c r="AR620" s="304" t="str">
        <f t="shared" si="1409"/>
        <v/>
      </c>
      <c r="AS620" s="423" t="str">
        <f t="shared" si="1410"/>
        <v/>
      </c>
      <c r="AT620" s="304" t="str">
        <f t="shared" si="1411"/>
        <v/>
      </c>
      <c r="AU620" s="342" t="e">
        <f t="shared" si="1412"/>
        <v>#N/A</v>
      </c>
      <c r="AV620" s="304" t="e">
        <f t="shared" si="1413"/>
        <v>#N/A</v>
      </c>
      <c r="AX620" s="304">
        <f>IF(AND('General price list'!$J620="F4",'General price list'!$AB620+0&gt;0),1,0)</f>
        <v>0</v>
      </c>
      <c r="AY620" s="304">
        <f t="shared" si="1414"/>
        <v>1</v>
      </c>
      <c r="AZ620" s="304">
        <f t="shared" si="1415"/>
        <v>0</v>
      </c>
    </row>
    <row r="621" spans="1:52" ht="15" customHeight="1">
      <c r="A621" s="712" t="str">
        <f>Kat.!C618</f>
        <v/>
      </c>
      <c r="B621" s="737">
        <f>IF(AND('General price list'!$J621="F4",$AI$1=FALSE),0,IF(AC621="SKLADEM",1,IF(AC621=$V$3,1,0)))</f>
        <v>1</v>
      </c>
      <c r="C621" s="714" t="s">
        <v>2733</v>
      </c>
      <c r="D621" s="715" t="s">
        <v>1380</v>
      </c>
      <c r="E621" s="716" t="s">
        <v>136</v>
      </c>
      <c r="F621" s="712">
        <f>IFERROR(ROUND(IF($AL$3=2,VLOOKUP(C621,[2]List1!$A:$D,2,FALSE)*1.08,VLOOKUP(C621,[2]List1!$A:$D,2,FALSE)),0),"NEUVEDENO!")</f>
        <v>3836</v>
      </c>
      <c r="G621" s="717">
        <f t="shared" si="1458"/>
        <v>3836</v>
      </c>
      <c r="H621" s="718">
        <f t="shared" si="1459"/>
        <v>155.87856425927205</v>
      </c>
      <c r="I621" s="738">
        <v>1</v>
      </c>
      <c r="J621" s="716" t="s">
        <v>46</v>
      </c>
      <c r="K621" s="716">
        <v>6</v>
      </c>
      <c r="L621" s="716" t="s">
        <v>24</v>
      </c>
      <c r="M621" s="716" t="s">
        <v>25</v>
      </c>
      <c r="N621" s="716">
        <f>IFERROR(VLOOKUP(C621,[3]List1!$A:$D,4,FALSE),"N/A!")</f>
        <v>4.8234375000000003E-2</v>
      </c>
      <c r="O621" s="716">
        <f>IFERROR(VLOOKUP(C621,[3]List1!$A:$D,3,FALSE),"N/A!")</f>
        <v>1984</v>
      </c>
      <c r="P621" s="716">
        <f>IFERROR(VLOOKUP(C621,[3]List1!$A:$D,2,FALSE),"N/A!")</f>
        <v>18000</v>
      </c>
      <c r="Q621" s="716" t="s">
        <v>14209</v>
      </c>
      <c r="R621" s="716" t="s">
        <v>24</v>
      </c>
      <c r="S621" s="716" t="str">
        <f>IF($W$17=$AF$1,"červená fólie",IFERROR(VLOOKUP("červená fólie",Jazyky_ceník!$A:$Q,MATCH($W$17,Jazyky_ceník!$A$1:$Q$1,0),FALSE),"!!!"))</f>
        <v>červená fólie</v>
      </c>
      <c r="T621" s="716">
        <v>160</v>
      </c>
      <c r="U621" s="716">
        <v>30</v>
      </c>
      <c r="V621" s="716">
        <v>18</v>
      </c>
      <c r="W621" s="716" t="str">
        <f>IFERROR(VLOOKUP('General price list'!$C621,Popisy!A:P,MATCH($W$17,Popisy!$A$7:$P$7,0),FALSE),"---------------")</f>
        <v>32 různobarevných efektů</v>
      </c>
      <c r="X621" s="716" t="str">
        <f t="shared" si="1460"/>
        <v/>
      </c>
      <c r="Y621" s="716" t="str">
        <f t="shared" si="1461"/>
        <v/>
      </c>
      <c r="Z621" s="716" t="str">
        <f>HYPERLINK("https://www.klasekpyrotechnics.cz/c19225mf-c14_t")</f>
        <v>https://www.klasekpyrotechnics.cz/c19225mf-c14_t</v>
      </c>
      <c r="AA621" s="716">
        <f>IFERROR(IF(VLOOKUP(C621,[4]List1!$A:$D,4,FALSE)=0,"",VLOOKUP(C621,[4]List1!$A:$D,4,FALSE)),"")</f>
        <v>20</v>
      </c>
      <c r="AB621" s="720"/>
      <c r="AC621" s="739" t="str">
        <f>IFERROR(IF(VLOOKUP(C621,[1]List1!$A:$D,2,FALSE)="VYPRODÁNO",$V$9,IF(VLOOKUP(C621,[1]List1!$A:$D,2,FALSE)="DOCHÁZÍ",$V$3,VLOOKUP(C621,[1]List1!$A:$D,2,FALSE))),"OFFLINE!")</f>
        <v>SKLADEM</v>
      </c>
      <c r="AD621" s="740" t="str">
        <f ca="1">IF(AP621="NE",$V$10,IF(AC621=$V$3,IF(AQ621&lt;1,$V$8,$V$2&amp;" "&amp;AQ621&amp;" "&amp;$V$1),IF(AC621="SKLADEM",$V$6,IFERROR(IF(OR(AC621-TODAY()&gt;45,VLOOKUP(C621,[1]List1!$A:$E,4,FALSE)=0),AC621,DAY(AC621)&amp;"."&amp;MONTH(AC621)&amp;"."&amp;YEAR(AC621)&amp;" "&amp;$V$4&amp;VLOOKUP(C621,[1]List1!$A:$E,4,FALSE)&amp;" "&amp;$V$1),AC621))))</f>
        <v>SKLADEM</v>
      </c>
      <c r="AE621" s="716" t="str">
        <f t="shared" ca="1" si="1462"/>
        <v>SKLADEM</v>
      </c>
      <c r="AF621" s="723">
        <f t="shared" si="1463"/>
        <v>0</v>
      </c>
      <c r="AG621" s="723">
        <f t="shared" si="1464"/>
        <v>0</v>
      </c>
      <c r="AH621" s="724">
        <f t="shared" si="1465"/>
        <v>0</v>
      </c>
      <c r="AI621" s="716">
        <f t="shared" si="1466"/>
        <v>0</v>
      </c>
      <c r="AJ621" s="716">
        <f t="shared" si="1467"/>
        <v>0</v>
      </c>
      <c r="AK621" s="716" t="str">
        <f t="shared" si="1468"/>
        <v/>
      </c>
      <c r="AL621" s="716" t="str">
        <f t="shared" si="1469"/>
        <v/>
      </c>
      <c r="AM621" s="716">
        <f t="shared" si="1470"/>
        <v>0</v>
      </c>
      <c r="AN621" s="716">
        <f t="shared" si="1471"/>
        <v>0</v>
      </c>
      <c r="AO621" s="380"/>
      <c r="AP621" s="322" t="str">
        <f t="shared" si="1408"/>
        <v/>
      </c>
      <c r="AQ621" s="323" t="str">
        <f>IF(AC621=$V$3,IF(VLOOKUP(C621,[1]List1!$A:$E,5,FALSE)=0,1,VLOOKUP(C621,[1]List1!$A:$E,5,FALSE)),"")</f>
        <v/>
      </c>
      <c r="AR621" s="304" t="str">
        <f t="shared" si="1409"/>
        <v/>
      </c>
      <c r="AS621" s="423" t="str">
        <f t="shared" si="1410"/>
        <v/>
      </c>
      <c r="AT621" s="304" t="str">
        <f t="shared" si="1411"/>
        <v/>
      </c>
      <c r="AU621" s="342" t="e">
        <f t="shared" si="1412"/>
        <v>#N/A</v>
      </c>
      <c r="AV621" s="304" t="e">
        <f t="shared" si="1413"/>
        <v>#N/A</v>
      </c>
      <c r="AX621" s="304">
        <f>IF(AND('General price list'!$J621="F4",'General price list'!$AB621+0&gt;0),1,0)</f>
        <v>0</v>
      </c>
      <c r="AY621" s="304">
        <f t="shared" si="1414"/>
        <v>1</v>
      </c>
      <c r="AZ621" s="304">
        <f t="shared" si="1415"/>
        <v>0</v>
      </c>
    </row>
    <row r="622" spans="1:52" ht="15" customHeight="1">
      <c r="A622" s="725" t="str">
        <f>Kat.!C619</f>
        <v/>
      </c>
      <c r="B622" s="726">
        <f>IF(AND('General price list'!$J622="F4",$AI$1=FALSE),0,IF(AC622="SKLADEM",1,IF(AC622=$V$3,1,0)))</f>
        <v>1</v>
      </c>
      <c r="C622" s="727" t="s">
        <v>5304</v>
      </c>
      <c r="D622" s="728" t="s">
        <v>1382</v>
      </c>
      <c r="E622" s="729" t="s">
        <v>136</v>
      </c>
      <c r="F622" s="725">
        <f>IFERROR(ROUND(IF($AL$3=2,VLOOKUP(C622,[2]List1!$A:$D,2,FALSE)*1.08,VLOOKUP(C622,[2]List1!$A:$D,2,FALSE)),0),"NEUVEDENO!")</f>
        <v>3646</v>
      </c>
      <c r="G622" s="730">
        <f t="shared" si="1458"/>
        <v>3646</v>
      </c>
      <c r="H622" s="731">
        <f t="shared" si="1459"/>
        <v>148.15778031525181</v>
      </c>
      <c r="I622" s="732">
        <v>1</v>
      </c>
      <c r="J622" s="729" t="s">
        <v>46</v>
      </c>
      <c r="K622" s="729">
        <v>6</v>
      </c>
      <c r="L622" s="729" t="s">
        <v>24</v>
      </c>
      <c r="M622" s="729" t="s">
        <v>25</v>
      </c>
      <c r="N622" s="729">
        <f>IFERROR(VLOOKUP(C622,[3]List1!$A:$D,4,FALSE),"N/A!")</f>
        <v>3.2912000000000004E-2</v>
      </c>
      <c r="O622" s="729">
        <f>IFERROR(VLOOKUP(C622,[3]List1!$A:$D,3,FALSE),"N/A!")</f>
        <v>1992</v>
      </c>
      <c r="P622" s="729">
        <f>IFERROR(VLOOKUP(C622,[3]List1!$A:$D,2,FALSE),"N/A!")</f>
        <v>17500</v>
      </c>
      <c r="Q622" s="729" t="s">
        <v>14210</v>
      </c>
      <c r="R622" s="729" t="s">
        <v>24</v>
      </c>
      <c r="S622" s="729" t="str">
        <f>IF($W$17=$AF$1,"červená fólie",IFERROR(VLOOKUP("červená fólie",Jazyky_ceník!$A:$Q,MATCH($W$17,Jazyky_ceník!$A$1:$Q$1,0),FALSE),"!!!"))</f>
        <v>červená fólie</v>
      </c>
      <c r="T622" s="729">
        <v>140</v>
      </c>
      <c r="U622" s="729">
        <v>30</v>
      </c>
      <c r="V622" s="729">
        <v>18</v>
      </c>
      <c r="W622" s="729" t="str">
        <f>IFERROR(VLOOKUP('General price list'!$C622,Popisy!A:P,MATCH($W$17,Popisy!$A$7:$P$7,0),FALSE),"---------------")</f>
        <v>28 různobarevných efektů</v>
      </c>
      <c r="X622" s="729" t="str">
        <f t="shared" si="1460"/>
        <v/>
      </c>
      <c r="Y622" s="729" t="str">
        <f t="shared" si="1461"/>
        <v/>
      </c>
      <c r="Z622" s="729" t="str">
        <f>HYPERLINK("https://www.klasekpyrotechnics.cz/c19625-c14_t")</f>
        <v>https://www.klasekpyrotechnics.cz/c19625-c14_t</v>
      </c>
      <c r="AA622" s="729" t="str">
        <f>IFERROR(IF(VLOOKUP(C622,[4]List1!$A:$D,4,FALSE)=0,"",VLOOKUP(C622,[4]List1!$A:$D,4,FALSE)),"")</f>
        <v>18</v>
      </c>
      <c r="AB622" s="720"/>
      <c r="AC622" s="733" t="str">
        <f>IFERROR(IF(VLOOKUP(C622,[1]List1!$A:$D,2,FALSE)="VYPRODÁNO",$V$9,IF(VLOOKUP(C622,[1]List1!$A:$D,2,FALSE)="DOCHÁZÍ",$V$3,VLOOKUP(C622,[1]List1!$A:$D,2,FALSE))),"OFFLINE!")</f>
        <v>SKLADEM</v>
      </c>
      <c r="AD622" s="734" t="str">
        <f ca="1">IF(AP622="NE",$V$10,IF(AC622=$V$3,IF(AQ622&lt;1,$V$8,$V$2&amp;" "&amp;AQ622&amp;" "&amp;$V$1),IF(AC622="SKLADEM",$V$6,IFERROR(IF(OR(AC622-TODAY()&gt;45,VLOOKUP(C622,[1]List1!$A:$E,4,FALSE)=0),AC622,DAY(AC622)&amp;"."&amp;MONTH(AC622)&amp;"."&amp;YEAR(AC622)&amp;" "&amp;$V$4&amp;VLOOKUP(C622,[1]List1!$A:$E,4,FALSE)&amp;" "&amp;$V$1),AC622))))</f>
        <v>SKLADEM</v>
      </c>
      <c r="AE622" s="729" t="str">
        <f t="shared" ca="1" si="1462"/>
        <v>SKLADEM</v>
      </c>
      <c r="AF622" s="735">
        <f t="shared" si="1463"/>
        <v>0</v>
      </c>
      <c r="AG622" s="735">
        <f t="shared" si="1464"/>
        <v>0</v>
      </c>
      <c r="AH622" s="736">
        <f t="shared" si="1465"/>
        <v>0</v>
      </c>
      <c r="AI622" s="729">
        <f t="shared" si="1466"/>
        <v>0</v>
      </c>
      <c r="AJ622" s="729">
        <f t="shared" si="1467"/>
        <v>0</v>
      </c>
      <c r="AK622" s="729" t="str">
        <f t="shared" si="1468"/>
        <v/>
      </c>
      <c r="AL622" s="729" t="str">
        <f t="shared" si="1469"/>
        <v/>
      </c>
      <c r="AM622" s="729">
        <f t="shared" si="1470"/>
        <v>0</v>
      </c>
      <c r="AN622" s="729">
        <f t="shared" si="1471"/>
        <v>0</v>
      </c>
      <c r="AO622" s="380"/>
      <c r="AP622" s="322" t="str">
        <f t="shared" si="1408"/>
        <v/>
      </c>
      <c r="AQ622" s="323" t="str">
        <f>IF(AC622=$V$3,IF(VLOOKUP(C622,[1]List1!$A:$E,5,FALSE)=0,1,VLOOKUP(C622,[1]List1!$A:$E,5,FALSE)),"")</f>
        <v/>
      </c>
      <c r="AR622" s="304" t="str">
        <f t="shared" si="1409"/>
        <v/>
      </c>
      <c r="AS622" s="423" t="str">
        <f t="shared" si="1410"/>
        <v/>
      </c>
      <c r="AT622" s="304" t="str">
        <f t="shared" si="1411"/>
        <v/>
      </c>
      <c r="AU622" s="342" t="e">
        <f t="shared" si="1412"/>
        <v>#N/A</v>
      </c>
      <c r="AV622" s="304" t="e">
        <f t="shared" si="1413"/>
        <v>#N/A</v>
      </c>
      <c r="AX622" s="304">
        <f>IF(AND('General price list'!$J622="F4",'General price list'!$AB622+0&gt;0),1,0)</f>
        <v>0</v>
      </c>
      <c r="AY622" s="304">
        <f t="shared" si="1414"/>
        <v>1</v>
      </c>
      <c r="AZ622" s="304">
        <f t="shared" si="1415"/>
        <v>0</v>
      </c>
    </row>
    <row r="623" spans="1:52" ht="15" customHeight="1">
      <c r="A623" s="773" t="str">
        <f>Kat.!C620</f>
        <v xml:space="preserve">                                                               Složený ohňostroj 25mm - F2 - 1.3G</v>
      </c>
      <c r="B623" s="774"/>
      <c r="C623" s="774"/>
      <c r="D623" s="774"/>
      <c r="E623" s="774"/>
      <c r="F623" s="774"/>
      <c r="G623" s="774"/>
      <c r="H623" s="774"/>
      <c r="I623" s="774"/>
      <c r="J623" s="774"/>
      <c r="K623" s="774"/>
      <c r="L623" s="774"/>
      <c r="M623" s="774"/>
      <c r="N623" s="774"/>
      <c r="O623" s="774"/>
      <c r="P623" s="774"/>
      <c r="Q623" s="774"/>
      <c r="R623" s="774"/>
      <c r="S623" s="774"/>
      <c r="T623" s="774"/>
      <c r="U623" s="774"/>
      <c r="V623" s="774"/>
      <c r="W623" s="774"/>
      <c r="X623" s="774"/>
      <c r="Y623" s="774"/>
      <c r="Z623" s="774"/>
      <c r="AA623" s="774" t="str">
        <f>IFERROR(IF(VLOOKUP(C623,[4]List1!$A:$D,4,FALSE)=0,"",VLOOKUP(C623,[4]List1!$A:$D,4,FALSE)),"")</f>
        <v/>
      </c>
      <c r="AB623" s="774"/>
      <c r="AC623" s="775" t="str">
        <f>IFERROR(IF(VLOOKUP(C623,[1]List1!$A:$D,2,FALSE)="VYPRODÁNO",$V$9,IF(VLOOKUP(C623,[1]List1!$A:$D,2,FALSE)="DOCHÁZÍ",$V$3,VLOOKUP(C623,[1]List1!$A:$D,2,FALSE))),"OFFLINE!")</f>
        <v>OFFLINE!</v>
      </c>
      <c r="AD623" s="774"/>
      <c r="AE623" s="774"/>
      <c r="AF623" s="774"/>
      <c r="AG623" s="774"/>
      <c r="AH623" s="774"/>
      <c r="AI623" s="774"/>
      <c r="AJ623" s="774"/>
      <c r="AK623" s="774"/>
      <c r="AL623" s="774"/>
      <c r="AM623" s="774"/>
      <c r="AN623" s="774"/>
      <c r="AO623" s="380"/>
      <c r="AP623" s="322" t="str">
        <f t="shared" si="1408"/>
        <v/>
      </c>
      <c r="AQ623" s="323" t="str">
        <f>IF(AC623=$V$3,IF(VLOOKUP(C623,[1]List1!$A:$E,5,FALSE)=0,1,VLOOKUP(C623,[1]List1!$A:$E,5,FALSE)),"")</f>
        <v/>
      </c>
      <c r="AR623" s="304" t="str">
        <f t="shared" si="1409"/>
        <v/>
      </c>
      <c r="AS623" s="423" t="str">
        <f t="shared" si="1410"/>
        <v/>
      </c>
      <c r="AT623" s="304" t="str">
        <f t="shared" si="1411"/>
        <v/>
      </c>
      <c r="AU623" s="342" t="e">
        <f t="shared" si="1412"/>
        <v>#N/A</v>
      </c>
      <c r="AV623" s="304" t="e">
        <f t="shared" si="1413"/>
        <v>#N/A</v>
      </c>
      <c r="AX623" s="304">
        <f>IF(AND('General price list'!$J623="F4",'General price list'!$AB623+0&gt;0),1,0)</f>
        <v>0</v>
      </c>
      <c r="AY623" s="304">
        <f t="shared" si="1414"/>
        <v>0</v>
      </c>
      <c r="AZ623" s="304">
        <f t="shared" si="1415"/>
        <v>0</v>
      </c>
    </row>
    <row r="624" spans="1:52" ht="15" customHeight="1">
      <c r="A624" s="725" t="str">
        <f>Kat.!C621</f>
        <v/>
      </c>
      <c r="B624" s="741">
        <f>IF(AND('General price list'!$J624="F4",$AI$1=FALSE),0,IF(AC624="SKLADEM",1,IF(AC624=$V$3,1,0)))</f>
        <v>0</v>
      </c>
      <c r="C624" s="727" t="s">
        <v>1386</v>
      </c>
      <c r="D624" s="728" t="s">
        <v>1374</v>
      </c>
      <c r="E624" s="729" t="s">
        <v>136</v>
      </c>
      <c r="F624" s="725">
        <f>IFERROR(ROUND(IF($AL$3=2,VLOOKUP(C624,[2]List1!$A:$D,2,FALSE)*1.08,VLOOKUP(C624,[2]List1!$A:$D,2,FALSE)),0),"NEUVEDENO!")</f>
        <v>1736</v>
      </c>
      <c r="G624" s="730">
        <f t="shared" ref="G624:G626" si="1472">(F624)*$B$19</f>
        <v>1736</v>
      </c>
      <c r="H624" s="731">
        <f t="shared" ref="H624:H626" si="1473">G624/$F$19</f>
        <v>70.543583825363996</v>
      </c>
      <c r="I624" s="742">
        <v>1</v>
      </c>
      <c r="J624" s="729" t="s">
        <v>46</v>
      </c>
      <c r="K624" s="729"/>
      <c r="L624" s="729" t="s">
        <v>24</v>
      </c>
      <c r="M624" s="729" t="s">
        <v>138</v>
      </c>
      <c r="N624" s="729">
        <f>IFERROR(VLOOKUP(C624,[3]List1!$A:$D,4,FALSE),"N/A!")</f>
        <v>1.7204000000000001E-2</v>
      </c>
      <c r="O624" s="729">
        <f>IFERROR(VLOOKUP(C624,[3]List1!$A:$D,3,FALSE),"N/A!")</f>
        <v>996</v>
      </c>
      <c r="P624" s="729">
        <f>IFERROR(VLOOKUP(C624,[3]List1!$A:$D,2,FALSE),"N/A!")</f>
        <v>8800</v>
      </c>
      <c r="Q624" s="729" t="s">
        <v>14336</v>
      </c>
      <c r="R624" s="729" t="s">
        <v>24</v>
      </c>
      <c r="S624" s="729" t="str">
        <f>IF($W$17=$AF$1,"červená fólie",IFERROR(VLOOKUP("červená fólie",Jazyky_ceník!$A:$Q,MATCH($W$17,Jazyky_ceník!$A$1:$Q$1,0),FALSE),"!!!"))</f>
        <v>červená fólie</v>
      </c>
      <c r="T624" s="729">
        <v>85</v>
      </c>
      <c r="U624" s="729">
        <v>30</v>
      </c>
      <c r="V624" s="729">
        <v>22</v>
      </c>
      <c r="W624" s="729" t="str">
        <f>IFERROR(VLOOKUP('General price list'!$C624,Popisy!A:P,MATCH($W$17,Popisy!$A$7:$P$7,0),FALSE),"---------------")</f>
        <v>14 různobarevných efektů</v>
      </c>
      <c r="X624" s="729" t="str">
        <f t="shared" ref="X624:X626" si="1474">IF(AB624&lt;0.0001,"",AB624)</f>
        <v/>
      </c>
      <c r="Y624" s="729" t="str">
        <f t="shared" ref="Y624:Y626" si="1475">IF($AL$3=2,IF(OR(AB624&lt;&gt;"",AB624&lt;&gt;0),AU624,""),IF(C624="","",IF(AB624&lt;0.0001,"",IF(B624=0,"",IF(AQ624&lt;AB624,"",AB624)))))</f>
        <v/>
      </c>
      <c r="Z624" s="729" t="str">
        <f>HYPERLINK("https://www.klasekpyrotechnics.cz/c9825c-c")</f>
        <v>https://www.klasekpyrotechnics.cz/c9825c-c</v>
      </c>
      <c r="AA624" s="729">
        <f>IFERROR(IF(VLOOKUP(C624,[4]List1!$A:$D,4,FALSE)=0,"",VLOOKUP(C624,[4]List1!$A:$D,4,FALSE)),"")</f>
        <v>63</v>
      </c>
      <c r="AB624" s="720"/>
      <c r="AC624" s="743" t="str">
        <f>IFERROR(IF(VLOOKUP(C624,[1]List1!$A:$D,2,FALSE)="VYPRODÁNO",$V$9,IF(VLOOKUP(C624,[1]List1!$A:$D,2,FALSE)="DOCHÁZÍ",$V$3,VLOOKUP(C624,[1]List1!$A:$D,2,FALSE))),"OFFLINE!")</f>
        <v>15.09.2024</v>
      </c>
      <c r="AD624" s="744" t="str">
        <f ca="1">IF(AP624="NE",$V$10,IF(AC624=$V$3,IF(AQ624&lt;1,$V$8,$V$2&amp;" "&amp;AQ624&amp;" "&amp;$V$1),IF(AC624="SKLADEM",$V$6,IFERROR(IF(OR(AC624-TODAY()&gt;45,VLOOKUP(C624,[1]List1!$A:$E,4,FALSE)=0),AC624,DAY(AC624)&amp;"."&amp;MONTH(AC624)&amp;"."&amp;YEAR(AC624)&amp;" "&amp;$V$4&amp;VLOOKUP(C624,[1]List1!$A:$E,4,FALSE)&amp;" "&amp;$V$1),AC624))))</f>
        <v>15.09.2024</v>
      </c>
      <c r="AE624" s="729" t="str">
        <f t="shared" ref="AE624:AE626" ca="1" si="1476">IFERROR(IF(AV624&lt;&gt;"",AV624,AD624),AD624)</f>
        <v>15.09.2024</v>
      </c>
      <c r="AF624" s="735">
        <f t="shared" ref="AF624:AF626" si="1477">IFERROR(IF(AB624=Y624,G624*I624*Y624,0),0)</f>
        <v>0</v>
      </c>
      <c r="AG624" s="735">
        <f t="shared" ref="AG624:AG626" si="1478">IF($W$17=$AF$8,AH624*1.23,AF624*1.21)</f>
        <v>0</v>
      </c>
      <c r="AH624" s="736">
        <f t="shared" ref="AH624:AH626" si="1479">IFERROR(IF(Y624=AB624,H624*I624*Y624,0),0)</f>
        <v>0</v>
      </c>
      <c r="AI624" s="729">
        <f t="shared" ref="AI624:AI626" si="1480">IFERROR(IF(Y624=AB624,(P624*Y624)/1000,1),0)</f>
        <v>0</v>
      </c>
      <c r="AJ624" s="729">
        <f t="shared" ref="AJ624:AJ626" si="1481">IFERROR(IF(Y624=AB624,N624*Y624,0.1),0)</f>
        <v>0</v>
      </c>
      <c r="AK624" s="729" t="str">
        <f t="shared" ref="AK624:AK626" si="1482">IFERROR(IF(Y624=AB624,IF(M624="1.1G",(O624/1000)*Y624,""),""),0)</f>
        <v/>
      </c>
      <c r="AL624" s="729">
        <f t="shared" ref="AL624:AL626" si="1483">IFERROR(IF(Y624=AB624,IF(M624="1.3G",(O624/1000)*AB624,""),""),0)</f>
        <v>0</v>
      </c>
      <c r="AM624" s="729" t="str">
        <f t="shared" ref="AM624:AM626" si="1484">IFERROR(IF(Y624=AB624,IF(M624="1.4G",(O624/1000)*AB624,""),""),0)</f>
        <v/>
      </c>
      <c r="AN624" s="729">
        <f t="shared" ref="AN624:AN626" si="1485">SUM(AK624:AM624)</f>
        <v>0</v>
      </c>
      <c r="AO624" s="380"/>
      <c r="AP624" s="322" t="str">
        <f t="shared" si="1408"/>
        <v/>
      </c>
      <c r="AQ624" s="323" t="str">
        <f>IF(AC624=$V$3,IF(VLOOKUP(C624,[1]List1!$A:$E,5,FALSE)=0,1,VLOOKUP(C624,[1]List1!$A:$E,5,FALSE)),"")</f>
        <v/>
      </c>
      <c r="AR624" s="304" t="str">
        <f t="shared" si="1409"/>
        <v/>
      </c>
      <c r="AS624" s="423" t="str">
        <f t="shared" si="1410"/>
        <v/>
      </c>
      <c r="AT624" s="304" t="str">
        <f t="shared" si="1411"/>
        <v/>
      </c>
      <c r="AU624" s="342" t="e">
        <f t="shared" si="1412"/>
        <v>#N/A</v>
      </c>
      <c r="AV624" s="304" t="e">
        <f t="shared" si="1413"/>
        <v>#N/A</v>
      </c>
      <c r="AX624" s="304">
        <f>IF(AND('General price list'!$J624="F4",'General price list'!$AB624+0&gt;0),1,0)</f>
        <v>0</v>
      </c>
      <c r="AY624" s="304">
        <f t="shared" si="1414"/>
        <v>1</v>
      </c>
      <c r="AZ624" s="304">
        <f t="shared" si="1415"/>
        <v>0</v>
      </c>
    </row>
    <row r="625" spans="1:52" ht="15" customHeight="1">
      <c r="A625" s="712" t="str">
        <f>Kat.!C622</f>
        <v/>
      </c>
      <c r="B625" s="745">
        <f>IF(AND('General price list'!$J625="F4",$AI$1=FALSE),0,IF(AC625="SKLADEM",1,IF(AC625=$V$3,1,0)))</f>
        <v>0</v>
      </c>
      <c r="C625" s="714" t="s">
        <v>2557</v>
      </c>
      <c r="D625" s="715" t="s">
        <v>2556</v>
      </c>
      <c r="E625" s="716" t="s">
        <v>136</v>
      </c>
      <c r="F625" s="712">
        <f>IFERROR(ROUND(IF($AL$3=2,VLOOKUP(C625,[2]List1!$A:$D,2,FALSE)*1.08,VLOOKUP(C625,[2]List1!$A:$D,2,FALSE)),0),"NEUVEDENO!")</f>
        <v>2916</v>
      </c>
      <c r="G625" s="717">
        <f t="shared" si="1472"/>
        <v>2916</v>
      </c>
      <c r="H625" s="718">
        <f t="shared" si="1473"/>
        <v>118.49371568822663</v>
      </c>
      <c r="I625" s="746">
        <v>1</v>
      </c>
      <c r="J625" s="716" t="s">
        <v>46</v>
      </c>
      <c r="K625" s="716"/>
      <c r="L625" s="716" t="s">
        <v>24</v>
      </c>
      <c r="M625" s="716" t="s">
        <v>138</v>
      </c>
      <c r="N625" s="716">
        <f>IFERROR(VLOOKUP(C625,[3]List1!$A:$D,4,FALSE),"N/A!")</f>
        <v>3.7949999999999998E-2</v>
      </c>
      <c r="O625" s="716">
        <f>IFERROR(VLOOKUP(C625,[3]List1!$A:$D,3,FALSE),"N/A!")</f>
        <v>1820</v>
      </c>
      <c r="P625" s="716">
        <f>IFERROR(VLOOKUP(C625,[3]List1!$A:$D,2,FALSE),"N/A!")</f>
        <v>12800</v>
      </c>
      <c r="Q625" s="716" t="s">
        <v>14104</v>
      </c>
      <c r="R625" s="716" t="s">
        <v>24</v>
      </c>
      <c r="S625" s="716" t="str">
        <f>IF($W$17=$AF$1,"červená fólie",IFERROR(VLOOKUP("červená fólie",Jazyky_ceník!$A:$Q,MATCH($W$17,Jazyky_ceník!$A$1:$Q$1,0),FALSE),"!!!"))</f>
        <v>červená fólie</v>
      </c>
      <c r="T625" s="716">
        <v>90</v>
      </c>
      <c r="U625" s="716">
        <v>30</v>
      </c>
      <c r="V625" s="716">
        <v>22</v>
      </c>
      <c r="W625" s="716" t="str">
        <f>IFERROR(VLOOKUP('General price list'!$C625,Popisy!A:P,MATCH($W$17,Popisy!$A$7:$P$7,0),FALSE),"---------------")</f>
        <v>20 různobarevných efektů</v>
      </c>
      <c r="X625" s="716" t="str">
        <f t="shared" si="1474"/>
        <v/>
      </c>
      <c r="Y625" s="716" t="str">
        <f t="shared" si="1475"/>
        <v/>
      </c>
      <c r="Z625" s="716" t="str">
        <f>HYPERLINK("https://www.klasekpyrotechnics.cz/c14025xfs-c")</f>
        <v>https://www.klasekpyrotechnics.cz/c14025xfs-c</v>
      </c>
      <c r="AA625" s="716" t="str">
        <f>IFERROR(IF(VLOOKUP(C625,[4]List1!$A:$D,4,FALSE)=0,"",VLOOKUP(C625,[4]List1!$A:$D,4,FALSE)),"")</f>
        <v>32</v>
      </c>
      <c r="AB625" s="720"/>
      <c r="AC625" s="747" t="str">
        <f>IFERROR(IF(VLOOKUP(C625,[1]List1!$A:$D,2,FALSE)="VYPRODÁNO",$V$9,IF(VLOOKUP(C625,[1]List1!$A:$D,2,FALSE)="DOCHÁZÍ",$V$3,VLOOKUP(C625,[1]List1!$A:$D,2,FALSE))),"OFFLINE!")</f>
        <v>15.09.2024</v>
      </c>
      <c r="AD625" s="748" t="str">
        <f ca="1">IF(AP625="NE",$V$10,IF(AC625=$V$3,IF(AQ625&lt;1,$V$8,$V$2&amp;" "&amp;AQ625&amp;" "&amp;$V$1),IF(AC625="SKLADEM",$V$6,IFERROR(IF(OR(AC625-TODAY()&gt;45,VLOOKUP(C625,[1]List1!$A:$E,4,FALSE)=0),AC625,DAY(AC625)&amp;"."&amp;MONTH(AC625)&amp;"."&amp;YEAR(AC625)&amp;" "&amp;$V$4&amp;VLOOKUP(C625,[1]List1!$A:$E,4,FALSE)&amp;" "&amp;$V$1),AC625))))</f>
        <v>15.09.2024</v>
      </c>
      <c r="AE625" s="716" t="str">
        <f t="shared" ca="1" si="1476"/>
        <v>15.09.2024</v>
      </c>
      <c r="AF625" s="723">
        <f t="shared" si="1477"/>
        <v>0</v>
      </c>
      <c r="AG625" s="723">
        <f t="shared" si="1478"/>
        <v>0</v>
      </c>
      <c r="AH625" s="724">
        <f t="shared" si="1479"/>
        <v>0</v>
      </c>
      <c r="AI625" s="716">
        <f t="shared" si="1480"/>
        <v>0</v>
      </c>
      <c r="AJ625" s="716">
        <f t="shared" si="1481"/>
        <v>0</v>
      </c>
      <c r="AK625" s="716" t="str">
        <f t="shared" si="1482"/>
        <v/>
      </c>
      <c r="AL625" s="716">
        <f t="shared" si="1483"/>
        <v>0</v>
      </c>
      <c r="AM625" s="716" t="str">
        <f t="shared" si="1484"/>
        <v/>
      </c>
      <c r="AN625" s="716">
        <f t="shared" si="1485"/>
        <v>0</v>
      </c>
      <c r="AO625" s="380"/>
      <c r="AP625" s="322" t="str">
        <f t="shared" si="1408"/>
        <v/>
      </c>
      <c r="AQ625" s="323" t="str">
        <f>IF(AC625=$V$3,IF(VLOOKUP(C625,[1]List1!$A:$E,5,FALSE)=0,1,VLOOKUP(C625,[1]List1!$A:$E,5,FALSE)),"")</f>
        <v/>
      </c>
      <c r="AR625" s="304" t="str">
        <f t="shared" si="1409"/>
        <v/>
      </c>
      <c r="AS625" s="423" t="str">
        <f t="shared" si="1410"/>
        <v/>
      </c>
      <c r="AT625" s="304" t="str">
        <f t="shared" si="1411"/>
        <v/>
      </c>
      <c r="AU625" s="342" t="e">
        <f t="shared" si="1412"/>
        <v>#N/A</v>
      </c>
      <c r="AV625" s="304" t="e">
        <f t="shared" si="1413"/>
        <v>#N/A</v>
      </c>
      <c r="AX625" s="304">
        <f>IF(AND('General price list'!$J625="F4",'General price list'!$AB625+0&gt;0),1,0)</f>
        <v>0</v>
      </c>
      <c r="AY625" s="304">
        <f t="shared" si="1414"/>
        <v>1</v>
      </c>
      <c r="AZ625" s="304">
        <f t="shared" si="1415"/>
        <v>0</v>
      </c>
    </row>
    <row r="626" spans="1:52" ht="15" customHeight="1">
      <c r="A626" s="725" t="str">
        <f>Kat.!C623</f>
        <v/>
      </c>
      <c r="B626" s="749">
        <f>IF(AND('General price list'!$J626="F4",$AI$1=FALSE),0,IF(AC626="SKLADEM",1,IF(AC626=$V$3,1,0)))</f>
        <v>0</v>
      </c>
      <c r="C626" s="727" t="s">
        <v>1388</v>
      </c>
      <c r="D626" s="728" t="s">
        <v>1382</v>
      </c>
      <c r="E626" s="729" t="s">
        <v>136</v>
      </c>
      <c r="F626" s="725">
        <f>IFERROR(ROUND(IF($AL$3=2,VLOOKUP(C626,[2]List1!$A:$D,2,FALSE)*1.08,VLOOKUP(C626,[2]List1!$A:$D,2,FALSE)),0),"NEUVEDENO!")</f>
        <v>3255</v>
      </c>
      <c r="G626" s="730">
        <f t="shared" si="1472"/>
        <v>3255</v>
      </c>
      <c r="H626" s="731">
        <f t="shared" si="1473"/>
        <v>132.26921967255751</v>
      </c>
      <c r="I626" s="750">
        <v>1</v>
      </c>
      <c r="J626" s="729" t="s">
        <v>46</v>
      </c>
      <c r="K626" s="729"/>
      <c r="L626" s="729" t="s">
        <v>24</v>
      </c>
      <c r="M626" s="729" t="s">
        <v>138</v>
      </c>
      <c r="N626" s="729">
        <f>IFERROR(VLOOKUP(C626,[3]List1!$A:$D,4,FALSE),"N/A!")</f>
        <v>3.2912000000000004E-2</v>
      </c>
      <c r="O626" s="729">
        <f>IFERROR(VLOOKUP(C626,[3]List1!$A:$D,3,FALSE),"N/A!")</f>
        <v>1992</v>
      </c>
      <c r="P626" s="729">
        <f>IFERROR(VLOOKUP(C626,[3]List1!$A:$D,2,FALSE),"N/A!")</f>
        <v>17500</v>
      </c>
      <c r="Q626" s="729" t="s">
        <v>14337</v>
      </c>
      <c r="R626" s="729" t="s">
        <v>24</v>
      </c>
      <c r="S626" s="729" t="str">
        <f>IF($W$17=$AF$1,"červená fólie",IFERROR(VLOOKUP("červená fólie",Jazyky_ceník!$A:$Q,MATCH($W$17,Jazyky_ceník!$A$1:$Q$1,0),FALSE),"!!!"))</f>
        <v>červená fólie</v>
      </c>
      <c r="T626" s="729">
        <v>140</v>
      </c>
      <c r="U626" s="729">
        <v>30</v>
      </c>
      <c r="V626" s="729">
        <v>22</v>
      </c>
      <c r="W626" s="729" t="str">
        <f>IFERROR(VLOOKUP('General price list'!$C626,Popisy!A:P,MATCH($W$17,Popisy!$A$7:$P$7,0),FALSE),"---------------")</f>
        <v>28 různobarevných efektů</v>
      </c>
      <c r="X626" s="729" t="str">
        <f t="shared" si="1474"/>
        <v/>
      </c>
      <c r="Y626" s="729" t="str">
        <f t="shared" si="1475"/>
        <v/>
      </c>
      <c r="Z626" s="729" t="str">
        <f>HYPERLINK("https://www.klasekpyrotechnics.cz/c19625f-c")</f>
        <v>https://www.klasekpyrotechnics.cz/c19625f-c</v>
      </c>
      <c r="AA626" s="729" t="str">
        <f>IFERROR(IF(VLOOKUP(C626,[4]List1!$A:$D,4,FALSE)=0,"",VLOOKUP(C626,[4]List1!$A:$D,4,FALSE)),"")</f>
        <v>18</v>
      </c>
      <c r="AB626" s="720"/>
      <c r="AC626" s="751" t="str">
        <f>IFERROR(IF(VLOOKUP(C626,[1]List1!$A:$D,2,FALSE)="VYPRODÁNO",$V$9,IF(VLOOKUP(C626,[1]List1!$A:$D,2,FALSE)="DOCHÁZÍ",$V$3,VLOOKUP(C626,[1]List1!$A:$D,2,FALSE))),"OFFLINE!")</f>
        <v>15.09.2024</v>
      </c>
      <c r="AD626" s="752" t="str">
        <f ca="1">IF(AP626="NE",$V$10,IF(AC626=$V$3,IF(AQ626&lt;1,$V$8,$V$2&amp;" "&amp;AQ626&amp;" "&amp;$V$1),IF(AC626="SKLADEM",$V$6,IFERROR(IF(OR(AC626-TODAY()&gt;45,VLOOKUP(C626,[1]List1!$A:$E,4,FALSE)=0),AC626,DAY(AC626)&amp;"."&amp;MONTH(AC626)&amp;"."&amp;YEAR(AC626)&amp;" "&amp;$V$4&amp;VLOOKUP(C626,[1]List1!$A:$E,4,FALSE)&amp;" "&amp;$V$1),AC626))))</f>
        <v>15.09.2024</v>
      </c>
      <c r="AE626" s="729" t="str">
        <f t="shared" ca="1" si="1476"/>
        <v>15.09.2024</v>
      </c>
      <c r="AF626" s="735">
        <f t="shared" si="1477"/>
        <v>0</v>
      </c>
      <c r="AG626" s="735">
        <f t="shared" si="1478"/>
        <v>0</v>
      </c>
      <c r="AH626" s="736">
        <f t="shared" si="1479"/>
        <v>0</v>
      </c>
      <c r="AI626" s="729">
        <f t="shared" si="1480"/>
        <v>0</v>
      </c>
      <c r="AJ626" s="729">
        <f t="shared" si="1481"/>
        <v>0</v>
      </c>
      <c r="AK626" s="729" t="str">
        <f t="shared" si="1482"/>
        <v/>
      </c>
      <c r="AL626" s="729">
        <f t="shared" si="1483"/>
        <v>0</v>
      </c>
      <c r="AM626" s="729" t="str">
        <f t="shared" si="1484"/>
        <v/>
      </c>
      <c r="AN626" s="729">
        <f t="shared" si="1485"/>
        <v>0</v>
      </c>
      <c r="AO626" s="380"/>
      <c r="AP626" s="322" t="str">
        <f t="shared" si="1408"/>
        <v/>
      </c>
      <c r="AQ626" s="323" t="str">
        <f>IF(AC626=$V$3,IF(VLOOKUP(C626,[1]List1!$A:$E,5,FALSE)=0,1,VLOOKUP(C626,[1]List1!$A:$E,5,FALSE)),"")</f>
        <v/>
      </c>
      <c r="AR626" s="304" t="str">
        <f t="shared" si="1409"/>
        <v/>
      </c>
      <c r="AS626" s="423" t="str">
        <f t="shared" si="1410"/>
        <v/>
      </c>
      <c r="AT626" s="304" t="str">
        <f t="shared" si="1411"/>
        <v/>
      </c>
      <c r="AU626" s="342" t="e">
        <f t="shared" si="1412"/>
        <v>#N/A</v>
      </c>
      <c r="AV626" s="304" t="e">
        <f t="shared" si="1413"/>
        <v>#N/A</v>
      </c>
      <c r="AX626" s="304">
        <f>IF(AND('General price list'!$J626="F4",'General price list'!$AB626+0&gt;0),1,0)</f>
        <v>0</v>
      </c>
      <c r="AY626" s="304">
        <f t="shared" si="1414"/>
        <v>1</v>
      </c>
      <c r="AZ626" s="304">
        <f t="shared" si="1415"/>
        <v>0</v>
      </c>
    </row>
    <row r="627" spans="1:52" ht="15" customHeight="1">
      <c r="A627" s="773" t="str">
        <f>Kat.!C624</f>
        <v xml:space="preserve">                                                               Složený ohňostroj(s ochraným obalem) 25mm - F2 - 1.3G</v>
      </c>
      <c r="B627" s="774"/>
      <c r="C627" s="774"/>
      <c r="D627" s="774"/>
      <c r="E627" s="774"/>
      <c r="F627" s="774"/>
      <c r="G627" s="774"/>
      <c r="H627" s="774"/>
      <c r="I627" s="774"/>
      <c r="J627" s="774"/>
      <c r="K627" s="774"/>
      <c r="L627" s="774"/>
      <c r="M627" s="774"/>
      <c r="N627" s="774"/>
      <c r="O627" s="774"/>
      <c r="P627" s="774"/>
      <c r="Q627" s="774"/>
      <c r="R627" s="774"/>
      <c r="S627" s="774"/>
      <c r="T627" s="774"/>
      <c r="U627" s="774"/>
      <c r="V627" s="774"/>
      <c r="W627" s="774"/>
      <c r="X627" s="774"/>
      <c r="Y627" s="774"/>
      <c r="Z627" s="774"/>
      <c r="AA627" s="774" t="str">
        <f>IFERROR(IF(VLOOKUP(C627,[4]List1!$A:$D,4,FALSE)=0,"",VLOOKUP(C627,[4]List1!$A:$D,4,FALSE)),"")</f>
        <v/>
      </c>
      <c r="AB627" s="774"/>
      <c r="AC627" s="775" t="str">
        <f>IFERROR(IF(VLOOKUP(C627,[1]List1!$A:$D,2,FALSE)="VYPRODÁNO",$V$9,IF(VLOOKUP(C627,[1]List1!$A:$D,2,FALSE)="DOCHÁZÍ",$V$3,VLOOKUP(C627,[1]List1!$A:$D,2,FALSE))),"OFFLINE!")</f>
        <v>OFFLINE!</v>
      </c>
      <c r="AD627" s="774"/>
      <c r="AE627" s="774"/>
      <c r="AF627" s="774"/>
      <c r="AG627" s="774"/>
      <c r="AH627" s="774"/>
      <c r="AI627" s="774"/>
      <c r="AJ627" s="774"/>
      <c r="AK627" s="774"/>
      <c r="AL627" s="774"/>
      <c r="AM627" s="774"/>
      <c r="AN627" s="774"/>
      <c r="AO627" s="380"/>
      <c r="AP627" s="322" t="str">
        <f t="shared" si="1408"/>
        <v/>
      </c>
      <c r="AQ627" s="323" t="str">
        <f>IF(AC627=$V$3,IF(VLOOKUP(C627,[1]List1!$A:$E,5,FALSE)=0,1,VLOOKUP(C627,[1]List1!$A:$E,5,FALSE)),"")</f>
        <v/>
      </c>
      <c r="AR627" s="304" t="str">
        <f t="shared" si="1409"/>
        <v/>
      </c>
      <c r="AS627" s="423" t="str">
        <f t="shared" si="1410"/>
        <v/>
      </c>
      <c r="AT627" s="304" t="str">
        <f t="shared" si="1411"/>
        <v/>
      </c>
      <c r="AU627" s="342" t="e">
        <f t="shared" si="1412"/>
        <v>#N/A</v>
      </c>
      <c r="AV627" s="304" t="e">
        <f t="shared" si="1413"/>
        <v>#N/A</v>
      </c>
      <c r="AX627" s="304">
        <f>IF(AND('General price list'!$J627="F4",'General price list'!$AB627+0&gt;0),1,0)</f>
        <v>0</v>
      </c>
      <c r="AY627" s="304">
        <f t="shared" si="1414"/>
        <v>0</v>
      </c>
      <c r="AZ627" s="304">
        <f t="shared" si="1415"/>
        <v>0</v>
      </c>
    </row>
    <row r="628" spans="1:52" ht="15" customHeight="1">
      <c r="A628" s="725" t="str">
        <f>Kat.!C625</f>
        <v/>
      </c>
      <c r="B628" s="741">
        <f>IF(AND('General price list'!$J628="F4",$AI$1=FALSE),0,IF(AC628="SKLADEM",1,IF(AC628=$V$3,1,0)))</f>
        <v>0</v>
      </c>
      <c r="C628" s="727" t="s">
        <v>2734</v>
      </c>
      <c r="D628" s="728" t="s">
        <v>1374</v>
      </c>
      <c r="E628" s="729" t="s">
        <v>136</v>
      </c>
      <c r="F628" s="725">
        <f>IFERROR(ROUND(IF($AL$3=2,VLOOKUP(C628,[2]List1!$A:$D,2,FALSE)*1.08,VLOOKUP(C628,[2]List1!$A:$D,2,FALSE)),0),"NEUVEDENO!")</f>
        <v>1945</v>
      </c>
      <c r="G628" s="730">
        <f t="shared" ref="G628:G630" si="1486">(F628)*$B$19</f>
        <v>1945</v>
      </c>
      <c r="H628" s="731">
        <f t="shared" ref="H628:H630" si="1487">G628/$F$19</f>
        <v>79.03644616378628</v>
      </c>
      <c r="I628" s="742">
        <v>1</v>
      </c>
      <c r="J628" s="729" t="s">
        <v>46</v>
      </c>
      <c r="K628" s="729">
        <v>6</v>
      </c>
      <c r="L628" s="729" t="s">
        <v>24</v>
      </c>
      <c r="M628" s="729" t="s">
        <v>138</v>
      </c>
      <c r="N628" s="729">
        <f>IFERROR(VLOOKUP(C628,[3]List1!$A:$D,4,FALSE),"N/A!")</f>
        <v>1.7204000000000001E-2</v>
      </c>
      <c r="O628" s="729">
        <f>IFERROR(VLOOKUP(C628,[3]List1!$A:$D,3,FALSE),"N/A!")</f>
        <v>996</v>
      </c>
      <c r="P628" s="729">
        <f>IFERROR(VLOOKUP(C628,[3]List1!$A:$D,2,FALSE),"N/A!")</f>
        <v>8800</v>
      </c>
      <c r="Q628" s="729" t="s">
        <v>1387</v>
      </c>
      <c r="R628" s="729" t="s">
        <v>24</v>
      </c>
      <c r="S628" s="729" t="str">
        <f>IF($W$17=$AF$1,"červená fólie",IFERROR(VLOOKUP("červená fólie",Jazyky_ceník!$A:$Q,MATCH($W$17,Jazyky_ceník!$A$1:$Q$1,0),FALSE),"!!!"))</f>
        <v>červená fólie</v>
      </c>
      <c r="T628" s="729">
        <v>85</v>
      </c>
      <c r="U628" s="729">
        <v>30</v>
      </c>
      <c r="V628" s="729">
        <v>22</v>
      </c>
      <c r="W628" s="729" t="str">
        <f>IFERROR(VLOOKUP('General price list'!$C628,Popisy!A:P,MATCH($W$17,Popisy!$A$7:$P$7,0),FALSE),"---------------")</f>
        <v>14 různobarevných efektů</v>
      </c>
      <c r="X628" s="729" t="str">
        <f t="shared" ref="X628:X630" si="1488">IF(AB628&lt;0.0001,"",AB628)</f>
        <v/>
      </c>
      <c r="Y628" s="729" t="str">
        <f t="shared" ref="Y628:Y630" si="1489">IF($AL$3=2,IF(OR(AB628&lt;&gt;"",AB628&lt;&gt;0),AU628,""),IF(C628="","",IF(AB628&lt;0.0001,"",IF(B628=0,"",IF(AQ628&lt;AB628,"",AB628)))))</f>
        <v/>
      </c>
      <c r="Z628" s="729" t="str">
        <f>HYPERLINK("https://www.klasekpyrotechnics.cz/c9825c-c_t")</f>
        <v>https://www.klasekpyrotechnics.cz/c9825c-c_t</v>
      </c>
      <c r="AA628" s="729">
        <f>IFERROR(IF(VLOOKUP(C628,[4]List1!$A:$D,4,FALSE)=0,"",VLOOKUP(C628,[4]List1!$A:$D,4,FALSE)),"")</f>
        <v>60</v>
      </c>
      <c r="AB628" s="720"/>
      <c r="AC628" s="743" t="str">
        <f>IFERROR(IF(VLOOKUP(C628,[1]List1!$A:$D,2,FALSE)="VYPRODÁNO",$V$9,IF(VLOOKUP(C628,[1]List1!$A:$D,2,FALSE)="DOCHÁZÍ",$V$3,VLOOKUP(C628,[1]List1!$A:$D,2,FALSE))),"OFFLINE!")</f>
        <v>15.09.2024</v>
      </c>
      <c r="AD628" s="744" t="str">
        <f ca="1">IF(AP628="NE",$V$10,IF(AC628=$V$3,IF(AQ628&lt;1,$V$8,$V$2&amp;" "&amp;AQ628&amp;" "&amp;$V$1),IF(AC628="SKLADEM",$V$6,IFERROR(IF(OR(AC628-TODAY()&gt;45,VLOOKUP(C628,[1]List1!$A:$E,4,FALSE)=0),AC628,DAY(AC628)&amp;"."&amp;MONTH(AC628)&amp;"."&amp;YEAR(AC628)&amp;" "&amp;$V$4&amp;VLOOKUP(C628,[1]List1!$A:$E,4,FALSE)&amp;" "&amp;$V$1),AC628))))</f>
        <v>15.09.2024</v>
      </c>
      <c r="AE628" s="729" t="str">
        <f t="shared" ref="AE628:AE630" ca="1" si="1490">IFERROR(IF(AV628&lt;&gt;"",AV628,AD628),AD628)</f>
        <v>15.09.2024</v>
      </c>
      <c r="AF628" s="735">
        <f t="shared" ref="AF628:AF630" si="1491">IFERROR(IF(AB628=Y628,G628*I628*Y628,0),0)</f>
        <v>0</v>
      </c>
      <c r="AG628" s="735">
        <f t="shared" ref="AG628:AG630" si="1492">IF($W$17=$AF$8,AH628*1.23,AF628*1.21)</f>
        <v>0</v>
      </c>
      <c r="AH628" s="736">
        <f t="shared" ref="AH628:AH630" si="1493">IFERROR(IF(Y628=AB628,H628*I628*Y628,0),0)</f>
        <v>0</v>
      </c>
      <c r="AI628" s="729">
        <f t="shared" ref="AI628:AI630" si="1494">IFERROR(IF(Y628=AB628,(P628*Y628)/1000,1),0)</f>
        <v>0</v>
      </c>
      <c r="AJ628" s="729">
        <f t="shared" ref="AJ628:AJ630" si="1495">IFERROR(IF(Y628=AB628,N628*Y628,0.1),0)</f>
        <v>0</v>
      </c>
      <c r="AK628" s="729" t="str">
        <f t="shared" ref="AK628:AK630" si="1496">IFERROR(IF(Y628=AB628,IF(M628="1.1G",(O628/1000)*Y628,""),""),0)</f>
        <v/>
      </c>
      <c r="AL628" s="729">
        <f t="shared" ref="AL628:AL630" si="1497">IFERROR(IF(Y628=AB628,IF(M628="1.3G",(O628/1000)*AB628,""),""),0)</f>
        <v>0</v>
      </c>
      <c r="AM628" s="729" t="str">
        <f t="shared" ref="AM628:AM630" si="1498">IFERROR(IF(Y628=AB628,IF(M628="1.4G",(O628/1000)*AB628,""),""),0)</f>
        <v/>
      </c>
      <c r="AN628" s="729">
        <f t="shared" ref="AN628:AN630" si="1499">SUM(AK628:AM628)</f>
        <v>0</v>
      </c>
      <c r="AO628" s="380"/>
      <c r="AP628" s="322" t="str">
        <f t="shared" si="1408"/>
        <v/>
      </c>
      <c r="AQ628" s="323" t="str">
        <f>IF(AC628=$V$3,IF(VLOOKUP(C628,[1]List1!$A:$E,5,FALSE)=0,1,VLOOKUP(C628,[1]List1!$A:$E,5,FALSE)),"")</f>
        <v/>
      </c>
      <c r="AR628" s="304" t="str">
        <f t="shared" si="1409"/>
        <v/>
      </c>
      <c r="AS628" s="423" t="str">
        <f t="shared" si="1410"/>
        <v/>
      </c>
      <c r="AT628" s="304" t="str">
        <f t="shared" si="1411"/>
        <v/>
      </c>
      <c r="AU628" s="342" t="e">
        <f t="shared" si="1412"/>
        <v>#N/A</v>
      </c>
      <c r="AV628" s="304" t="e">
        <f t="shared" si="1413"/>
        <v>#N/A</v>
      </c>
      <c r="AX628" s="304">
        <f>IF(AND('General price list'!$J628="F4",'General price list'!$AB628+0&gt;0),1,0)</f>
        <v>0</v>
      </c>
      <c r="AY628" s="304">
        <f t="shared" si="1414"/>
        <v>1</v>
      </c>
      <c r="AZ628" s="304">
        <f t="shared" si="1415"/>
        <v>0</v>
      </c>
    </row>
    <row r="629" spans="1:52" ht="15" customHeight="1">
      <c r="A629" s="712" t="str">
        <f>Kat.!C626</f>
        <v/>
      </c>
      <c r="B629" s="745">
        <f>IF(AND('General price list'!$J629="F4",$AI$1=FALSE),0,IF(AC629="SKLADEM",1,IF(AC629=$V$3,1,0)))</f>
        <v>0</v>
      </c>
      <c r="C629" s="714" t="s">
        <v>2735</v>
      </c>
      <c r="D629" s="715" t="s">
        <v>2556</v>
      </c>
      <c r="E629" s="716" t="s">
        <v>136</v>
      </c>
      <c r="F629" s="712">
        <f>IFERROR(ROUND(IF($AL$3=2,VLOOKUP(C629,[2]List1!$A:$D,2,FALSE)*1.08,VLOOKUP(C629,[2]List1!$A:$D,2,FALSE)),0),"NEUVEDENO!")</f>
        <v>3266</v>
      </c>
      <c r="G629" s="717">
        <f t="shared" si="1486"/>
        <v>3266</v>
      </c>
      <c r="H629" s="718">
        <f t="shared" si="1487"/>
        <v>132.7162124272113</v>
      </c>
      <c r="I629" s="746">
        <v>1</v>
      </c>
      <c r="J629" s="716" t="s">
        <v>46</v>
      </c>
      <c r="K629" s="716">
        <v>6</v>
      </c>
      <c r="L629" s="716" t="s">
        <v>24</v>
      </c>
      <c r="M629" s="716" t="s">
        <v>138</v>
      </c>
      <c r="N629" s="716">
        <f>IFERROR(VLOOKUP(C629,[3]List1!$A:$D,4,FALSE),"N/A!")</f>
        <v>3.7949999999999998E-2</v>
      </c>
      <c r="O629" s="716">
        <f>IFERROR(VLOOKUP(C629,[3]List1!$A:$D,3,FALSE),"N/A!")</f>
        <v>1820</v>
      </c>
      <c r="P629" s="716">
        <f>IFERROR(VLOOKUP(C629,[3]List1!$A:$D,2,FALSE),"N/A!")</f>
        <v>12800</v>
      </c>
      <c r="Q629" s="716" t="s">
        <v>14208</v>
      </c>
      <c r="R629" s="716" t="s">
        <v>24</v>
      </c>
      <c r="S629" s="716" t="str">
        <f>IF($W$17=$AF$1,"červená fólie",IFERROR(VLOOKUP("červená fólie",Jazyky_ceník!$A:$Q,MATCH($W$17,Jazyky_ceník!$A$1:$Q$1,0),FALSE),"!!!"))</f>
        <v>červená fólie</v>
      </c>
      <c r="T629" s="716">
        <v>90</v>
      </c>
      <c r="U629" s="716">
        <v>30</v>
      </c>
      <c r="V629" s="716">
        <v>22</v>
      </c>
      <c r="W629" s="716" t="str">
        <f>IFERROR(VLOOKUP('General price list'!$C629,Popisy!A:P,MATCH($W$17,Popisy!$A$7:$P$7,0),FALSE),"---------------")</f>
        <v>20 různobarevných efektů</v>
      </c>
      <c r="X629" s="716" t="str">
        <f t="shared" si="1488"/>
        <v/>
      </c>
      <c r="Y629" s="716" t="str">
        <f t="shared" si="1489"/>
        <v/>
      </c>
      <c r="Z629" s="716" t="str">
        <f>HYPERLINK("https://www.klasekpyrotechnics.cz/c14025xfs-c_t")</f>
        <v>https://www.klasekpyrotechnics.cz/c14025xfs-c_t</v>
      </c>
      <c r="AA629" s="716" t="str">
        <f>IFERROR(IF(VLOOKUP(C629,[4]List1!$A:$D,4,FALSE)=0,"",VLOOKUP(C629,[4]List1!$A:$D,4,FALSE)),"")</f>
        <v>32</v>
      </c>
      <c r="AB629" s="720"/>
      <c r="AC629" s="747" t="str">
        <f>IFERROR(IF(VLOOKUP(C629,[1]List1!$A:$D,2,FALSE)="VYPRODÁNO",$V$9,IF(VLOOKUP(C629,[1]List1!$A:$D,2,FALSE)="DOCHÁZÍ",$V$3,VLOOKUP(C629,[1]List1!$A:$D,2,FALSE))),"OFFLINE!")</f>
        <v>15.09.2024</v>
      </c>
      <c r="AD629" s="748" t="str">
        <f ca="1">IF(AP629="NE",$V$10,IF(AC629=$V$3,IF(AQ629&lt;1,$V$8,$V$2&amp;" "&amp;AQ629&amp;" "&amp;$V$1),IF(AC629="SKLADEM",$V$6,IFERROR(IF(OR(AC629-TODAY()&gt;45,VLOOKUP(C629,[1]List1!$A:$E,4,FALSE)=0),AC629,DAY(AC629)&amp;"."&amp;MONTH(AC629)&amp;"."&amp;YEAR(AC629)&amp;" "&amp;$V$4&amp;VLOOKUP(C629,[1]List1!$A:$E,4,FALSE)&amp;" "&amp;$V$1),AC629))))</f>
        <v>15.09.2024</v>
      </c>
      <c r="AE629" s="716" t="str">
        <f t="shared" ca="1" si="1490"/>
        <v>15.09.2024</v>
      </c>
      <c r="AF629" s="723">
        <f t="shared" si="1491"/>
        <v>0</v>
      </c>
      <c r="AG629" s="723">
        <f t="shared" si="1492"/>
        <v>0</v>
      </c>
      <c r="AH629" s="724">
        <f t="shared" si="1493"/>
        <v>0</v>
      </c>
      <c r="AI629" s="716">
        <f t="shared" si="1494"/>
        <v>0</v>
      </c>
      <c r="AJ629" s="716">
        <f t="shared" si="1495"/>
        <v>0</v>
      </c>
      <c r="AK629" s="716" t="str">
        <f t="shared" si="1496"/>
        <v/>
      </c>
      <c r="AL629" s="716">
        <f t="shared" si="1497"/>
        <v>0</v>
      </c>
      <c r="AM629" s="716" t="str">
        <f t="shared" si="1498"/>
        <v/>
      </c>
      <c r="AN629" s="716">
        <f t="shared" si="1499"/>
        <v>0</v>
      </c>
      <c r="AO629" s="380"/>
      <c r="AP629" s="322" t="str">
        <f t="shared" si="1408"/>
        <v/>
      </c>
      <c r="AQ629" s="323" t="str">
        <f>IF(AC629=$V$3,IF(VLOOKUP(C629,[1]List1!$A:$E,5,FALSE)=0,1,VLOOKUP(C629,[1]List1!$A:$E,5,FALSE)),"")</f>
        <v/>
      </c>
      <c r="AR629" s="304" t="str">
        <f t="shared" si="1409"/>
        <v/>
      </c>
      <c r="AS629" s="423" t="str">
        <f t="shared" si="1410"/>
        <v/>
      </c>
      <c r="AT629" s="304" t="str">
        <f t="shared" si="1411"/>
        <v/>
      </c>
      <c r="AU629" s="342" t="e">
        <f t="shared" si="1412"/>
        <v>#N/A</v>
      </c>
      <c r="AV629" s="304" t="e">
        <f t="shared" si="1413"/>
        <v>#N/A</v>
      </c>
      <c r="AX629" s="304">
        <f>IF(AND('General price list'!$J629="F4",'General price list'!$AB629+0&gt;0),1,0)</f>
        <v>0</v>
      </c>
      <c r="AY629" s="304">
        <f t="shared" si="1414"/>
        <v>1</v>
      </c>
      <c r="AZ629" s="304">
        <f t="shared" si="1415"/>
        <v>0</v>
      </c>
    </row>
    <row r="630" spans="1:52" ht="15" customHeight="1">
      <c r="A630" s="725" t="str">
        <f>Kat.!C627</f>
        <v/>
      </c>
      <c r="B630" s="749">
        <f>IF(AND('General price list'!$J630="F4",$AI$1=FALSE),0,IF(AC630="SKLADEM",1,IF(AC630=$V$3,1,0)))</f>
        <v>0</v>
      </c>
      <c r="C630" s="727" t="s">
        <v>5306</v>
      </c>
      <c r="D630" s="728" t="s">
        <v>1382</v>
      </c>
      <c r="E630" s="729" t="s">
        <v>136</v>
      </c>
      <c r="F630" s="725">
        <f>IFERROR(ROUND(IF($AL$3=2,VLOOKUP(C630,[2]List1!$A:$D,2,FALSE)*1.08,VLOOKUP(C630,[2]List1!$A:$D,2,FALSE)),0),"NEUVEDENO!")</f>
        <v>3646</v>
      </c>
      <c r="G630" s="730">
        <f t="shared" si="1486"/>
        <v>3646</v>
      </c>
      <c r="H630" s="731">
        <f t="shared" si="1487"/>
        <v>148.15778031525181</v>
      </c>
      <c r="I630" s="750">
        <v>1</v>
      </c>
      <c r="J630" s="729" t="s">
        <v>46</v>
      </c>
      <c r="K630" s="729">
        <v>6</v>
      </c>
      <c r="L630" s="729" t="s">
        <v>24</v>
      </c>
      <c r="M630" s="729" t="s">
        <v>138</v>
      </c>
      <c r="N630" s="729">
        <f>IFERROR(VLOOKUP(C630,[3]List1!$A:$D,4,FALSE),"N/A!")</f>
        <v>3.2912000000000004E-2</v>
      </c>
      <c r="O630" s="729">
        <f>IFERROR(VLOOKUP(C630,[3]List1!$A:$D,3,FALSE),"N/A!")</f>
        <v>1992</v>
      </c>
      <c r="P630" s="729">
        <f>IFERROR(VLOOKUP(C630,[3]List1!$A:$D,2,FALSE),"N/A!")</f>
        <v>17500</v>
      </c>
      <c r="Q630" s="729" t="s">
        <v>11852</v>
      </c>
      <c r="R630" s="729" t="s">
        <v>24</v>
      </c>
      <c r="S630" s="729" t="str">
        <f>IF($W$17=$AF$1,"červená fólie",IFERROR(VLOOKUP("červená fólie",Jazyky_ceník!$A:$Q,MATCH($W$17,Jazyky_ceník!$A$1:$Q$1,0),FALSE),"!!!"))</f>
        <v>červená fólie</v>
      </c>
      <c r="T630" s="729">
        <v>140</v>
      </c>
      <c r="U630" s="729">
        <v>30</v>
      </c>
      <c r="V630" s="729">
        <v>22</v>
      </c>
      <c r="W630" s="729" t="str">
        <f>IFERROR(VLOOKUP('General price list'!$C630,Popisy!A:P,MATCH($W$17,Popisy!$A$7:$P$7,0),FALSE),"---------------")</f>
        <v>28 různobarevných efektů</v>
      </c>
      <c r="X630" s="729" t="str">
        <f t="shared" si="1488"/>
        <v/>
      </c>
      <c r="Y630" s="729" t="str">
        <f t="shared" si="1489"/>
        <v/>
      </c>
      <c r="Z630" s="729" t="str">
        <f>HYPERLINK("https://www.klasekpyrotechnics.cz/c19625f-c_t")</f>
        <v>https://www.klasekpyrotechnics.cz/c19625f-c_t</v>
      </c>
      <c r="AA630" s="729" t="str">
        <f>IFERROR(IF(VLOOKUP(C630,[4]List1!$A:$D,4,FALSE)=0,"",VLOOKUP(C630,[4]List1!$A:$D,4,FALSE)),"")</f>
        <v>18</v>
      </c>
      <c r="AB630" s="720"/>
      <c r="AC630" s="751" t="str">
        <f>IFERROR(IF(VLOOKUP(C630,[1]List1!$A:$D,2,FALSE)="VYPRODÁNO",$V$9,IF(VLOOKUP(C630,[1]List1!$A:$D,2,FALSE)="DOCHÁZÍ",$V$3,VLOOKUP(C630,[1]List1!$A:$D,2,FALSE))),"OFFLINE!")</f>
        <v>15.09.2024</v>
      </c>
      <c r="AD630" s="752" t="str">
        <f ca="1">IF(AP630="NE",$V$10,IF(AC630=$V$3,IF(AQ630&lt;1,$V$8,$V$2&amp;" "&amp;AQ630&amp;" "&amp;$V$1),IF(AC630="SKLADEM",$V$6,IFERROR(IF(OR(AC630-TODAY()&gt;45,VLOOKUP(C630,[1]List1!$A:$E,4,FALSE)=0),AC630,DAY(AC630)&amp;"."&amp;MONTH(AC630)&amp;"."&amp;YEAR(AC630)&amp;" "&amp;$V$4&amp;VLOOKUP(C630,[1]List1!$A:$E,4,FALSE)&amp;" "&amp;$V$1),AC630))))</f>
        <v>15.09.2024</v>
      </c>
      <c r="AE630" s="729" t="str">
        <f t="shared" ca="1" si="1490"/>
        <v>15.09.2024</v>
      </c>
      <c r="AF630" s="735">
        <f t="shared" si="1491"/>
        <v>0</v>
      </c>
      <c r="AG630" s="735">
        <f t="shared" si="1492"/>
        <v>0</v>
      </c>
      <c r="AH630" s="736">
        <f t="shared" si="1493"/>
        <v>0</v>
      </c>
      <c r="AI630" s="729">
        <f t="shared" si="1494"/>
        <v>0</v>
      </c>
      <c r="AJ630" s="729">
        <f t="shared" si="1495"/>
        <v>0</v>
      </c>
      <c r="AK630" s="729" t="str">
        <f t="shared" si="1496"/>
        <v/>
      </c>
      <c r="AL630" s="729">
        <f t="shared" si="1497"/>
        <v>0</v>
      </c>
      <c r="AM630" s="729" t="str">
        <f t="shared" si="1498"/>
        <v/>
      </c>
      <c r="AN630" s="729">
        <f t="shared" si="1499"/>
        <v>0</v>
      </c>
      <c r="AO630" s="380"/>
      <c r="AP630" s="322" t="str">
        <f t="shared" si="1408"/>
        <v/>
      </c>
      <c r="AQ630" s="323" t="str">
        <f>IF(AC630=$V$3,IF(VLOOKUP(C630,[1]List1!$A:$E,5,FALSE)=0,1,VLOOKUP(C630,[1]List1!$A:$E,5,FALSE)),"")</f>
        <v/>
      </c>
      <c r="AR630" s="304" t="str">
        <f t="shared" si="1409"/>
        <v/>
      </c>
      <c r="AS630" s="423" t="str">
        <f t="shared" si="1410"/>
        <v/>
      </c>
      <c r="AT630" s="304" t="str">
        <f t="shared" si="1411"/>
        <v/>
      </c>
      <c r="AU630" s="342" t="e">
        <f t="shared" si="1412"/>
        <v>#N/A</v>
      </c>
      <c r="AV630" s="304" t="e">
        <f t="shared" si="1413"/>
        <v>#N/A</v>
      </c>
      <c r="AX630" s="304">
        <f>IF(AND('General price list'!$J630="F4",'General price list'!$AB630+0&gt;0),1,0)</f>
        <v>0</v>
      </c>
      <c r="AY630" s="304">
        <f t="shared" si="1414"/>
        <v>1</v>
      </c>
      <c r="AZ630" s="304">
        <f t="shared" si="1415"/>
        <v>0</v>
      </c>
    </row>
    <row r="631" spans="1:52" ht="15" customHeight="1">
      <c r="A631" s="773" t="str">
        <f>Kat.!C628</f>
        <v xml:space="preserve">                                                               Složený ohňostroj 25mm - F3 - 1.3G</v>
      </c>
      <c r="B631" s="774"/>
      <c r="C631" s="774"/>
      <c r="D631" s="774"/>
      <c r="E631" s="774"/>
      <c r="F631" s="774"/>
      <c r="G631" s="774"/>
      <c r="H631" s="774"/>
      <c r="I631" s="774"/>
      <c r="J631" s="774"/>
      <c r="K631" s="774"/>
      <c r="L631" s="774"/>
      <c r="M631" s="774"/>
      <c r="N631" s="774"/>
      <c r="O631" s="774"/>
      <c r="P631" s="774"/>
      <c r="Q631" s="774"/>
      <c r="R631" s="774"/>
      <c r="S631" s="774"/>
      <c r="T631" s="774"/>
      <c r="U631" s="774"/>
      <c r="V631" s="774"/>
      <c r="W631" s="774"/>
      <c r="X631" s="774"/>
      <c r="Y631" s="774"/>
      <c r="Z631" s="774"/>
      <c r="AA631" s="774" t="str">
        <f>IFERROR(IF(VLOOKUP(C631,[4]List1!$A:$D,4,FALSE)=0,"",VLOOKUP(C631,[4]List1!$A:$D,4,FALSE)),"")</f>
        <v/>
      </c>
      <c r="AB631" s="774"/>
      <c r="AC631" s="775" t="str">
        <f>IFERROR(IF(VLOOKUP(C631,[1]List1!$A:$D,2,FALSE)="VYPRODÁNO",$V$9,IF(VLOOKUP(C631,[1]List1!$A:$D,2,FALSE)="DOCHÁZÍ",$V$3,VLOOKUP(C631,[1]List1!$A:$D,2,FALSE))),"OFFLINE!")</f>
        <v>OFFLINE!</v>
      </c>
      <c r="AD631" s="774"/>
      <c r="AE631" s="774"/>
      <c r="AF631" s="774"/>
      <c r="AG631" s="774"/>
      <c r="AH631" s="774"/>
      <c r="AI631" s="774"/>
      <c r="AJ631" s="774"/>
      <c r="AK631" s="774"/>
      <c r="AL631" s="774"/>
      <c r="AM631" s="774"/>
      <c r="AN631" s="774"/>
      <c r="AO631" s="380"/>
      <c r="AP631" s="322" t="str">
        <f t="shared" si="1408"/>
        <v/>
      </c>
      <c r="AQ631" s="323" t="str">
        <f>IF(AC631=$V$3,IF(VLOOKUP(C631,[1]List1!$A:$E,5,FALSE)=0,1,VLOOKUP(C631,[1]List1!$A:$E,5,FALSE)),"")</f>
        <v/>
      </c>
      <c r="AR631" s="304" t="str">
        <f t="shared" si="1409"/>
        <v/>
      </c>
      <c r="AS631" s="423" t="str">
        <f t="shared" si="1410"/>
        <v/>
      </c>
      <c r="AT631" s="304" t="str">
        <f t="shared" si="1411"/>
        <v/>
      </c>
      <c r="AU631" s="342" t="e">
        <f t="shared" si="1412"/>
        <v>#N/A</v>
      </c>
      <c r="AV631" s="304" t="e">
        <f t="shared" si="1413"/>
        <v>#N/A</v>
      </c>
      <c r="AX631" s="304">
        <f>IF(AND('General price list'!$J631="F4",'General price list'!$AB631+0&gt;0),1,0)</f>
        <v>0</v>
      </c>
      <c r="AY631" s="304">
        <f t="shared" si="1414"/>
        <v>0</v>
      </c>
      <c r="AZ631" s="304">
        <f t="shared" si="1415"/>
        <v>0</v>
      </c>
    </row>
    <row r="632" spans="1:52" ht="15" customHeight="1">
      <c r="A632" s="725" t="str">
        <f>Kat.!C629</f>
        <v>×</v>
      </c>
      <c r="B632" s="741">
        <f>IF(AND('General price list'!$J632="F4",$AI$1=FALSE),0,IF(AC632="SKLADEM",1,IF(AC632=$V$3,1,0)))</f>
        <v>1</v>
      </c>
      <c r="C632" s="727" t="s">
        <v>1398</v>
      </c>
      <c r="D632" s="728" t="s">
        <v>12849</v>
      </c>
      <c r="E632" s="729" t="s">
        <v>136</v>
      </c>
      <c r="F632" s="725">
        <f>IFERROR(ROUND(IF($AL$3=2,VLOOKUP(C632,[2]List1!$A:$D,2,FALSE)*1.08,VLOOKUP(C632,[2]List1!$A:$D,2,FALSE)),0),"NEUVEDENO!")</f>
        <v>1827</v>
      </c>
      <c r="G632" s="730">
        <f t="shared" ref="G632:G638" si="1500">(F632)*$B$19</f>
        <v>1827</v>
      </c>
      <c r="H632" s="731">
        <f t="shared" ref="H632:H638" si="1501">G632/$F$19</f>
        <v>74.241432977500011</v>
      </c>
      <c r="I632" s="742">
        <v>1</v>
      </c>
      <c r="J632" s="729" t="s">
        <v>137</v>
      </c>
      <c r="K632" s="729"/>
      <c r="L632" s="729" t="s">
        <v>24</v>
      </c>
      <c r="M632" s="729" t="s">
        <v>138</v>
      </c>
      <c r="N632" s="729">
        <f>IFERROR(VLOOKUP(C632,[3]List1!$A:$D,4,FALSE),"N/A!")</f>
        <v>1.81125E-2</v>
      </c>
      <c r="O632" s="729">
        <f>IFERROR(VLOOKUP(C632,[3]List1!$A:$D,3,FALSE),"N/A!")</f>
        <v>1960</v>
      </c>
      <c r="P632" s="729">
        <f>IFERROR(VLOOKUP(C632,[3]List1!$A:$D,2,FALSE),"N/A!")</f>
        <v>8300</v>
      </c>
      <c r="Q632" s="729" t="s">
        <v>14211</v>
      </c>
      <c r="R632" s="729" t="s">
        <v>24</v>
      </c>
      <c r="S632" s="729" t="str">
        <f>IF($W$17=$AF$1,"červená fólie",IFERROR(VLOOKUP("červená fólie",Jazyky_ceník!$A:$Q,MATCH($W$17,Jazyky_ceník!$A$1:$Q$1,0),FALSE),"!!!"))</f>
        <v>červená fólie</v>
      </c>
      <c r="T632" s="729">
        <v>70</v>
      </c>
      <c r="U632" s="729">
        <v>33</v>
      </c>
      <c r="V632" s="729">
        <v>25</v>
      </c>
      <c r="W632" s="729" t="str">
        <f>IFERROR(VLOOKUP('General price list'!$C632,Popisy!A:P,MATCH($W$17,Popisy!$A$7:$P$7,0),FALSE),"---------------")</f>
        <v>14 různobarevných efektů</v>
      </c>
      <c r="X632" s="729" t="str">
        <f t="shared" ref="X632:X638" si="1502">IF(AB632&lt;0.0001,"",AB632)</f>
        <v/>
      </c>
      <c r="Y632" s="729" t="str">
        <f t="shared" ref="Y632:Y638" si="1503">IF($AL$3=2,IF(OR(AB632&lt;&gt;"",AB632&lt;&gt;0),AU632,""),IF(C632="","",IF(AB632&lt;0.0001,"",IF(B632=0,"",IF(AQ632&lt;AB632,"",AB632)))))</f>
        <v/>
      </c>
      <c r="Z632" s="729" t="str">
        <f>HYPERLINK("https://www.klasekpyrotechnics.cz/c9825sig-c")</f>
        <v>https://www.klasekpyrotechnics.cz/c9825sig-c</v>
      </c>
      <c r="AA632" s="729" t="str">
        <f>IFERROR(IF(VLOOKUP(C632,[4]List1!$A:$D,4,FALSE)=0,"",VLOOKUP(C632,[4]List1!$A:$D,4,FALSE)),"")</f>
        <v>63</v>
      </c>
      <c r="AB632" s="720"/>
      <c r="AC632" s="743" t="str">
        <f>IFERROR(IF(VLOOKUP(C632,[1]List1!$A:$D,2,FALSE)="VYPRODÁNO",$V$9,IF(VLOOKUP(C632,[1]List1!$A:$D,2,FALSE)="DOCHÁZÍ",$V$3,VLOOKUP(C632,[1]List1!$A:$D,2,FALSE))),"OFFLINE!")</f>
        <v>SKLADEM</v>
      </c>
      <c r="AD632" s="744" t="str">
        <f ca="1">IF(AP632="NE",$V$10,IF(AC632=$V$3,IF(AQ632&lt;1,$V$8,$V$2&amp;" "&amp;AQ632&amp;" "&amp;$V$1),IF(AC632="SKLADEM",$V$6,IFERROR(IF(OR(AC632-TODAY()&gt;45,VLOOKUP(C632,[1]List1!$A:$E,4,FALSE)=0),AC632,DAY(AC632)&amp;"."&amp;MONTH(AC632)&amp;"."&amp;YEAR(AC632)&amp;" "&amp;$V$4&amp;VLOOKUP(C632,[1]List1!$A:$E,4,FALSE)&amp;" "&amp;$V$1),AC632))))</f>
        <v>SKLADEM</v>
      </c>
      <c r="AE632" s="729" t="str">
        <f t="shared" ref="AE632:AE638" ca="1" si="1504">IFERROR(IF(AV632&lt;&gt;"",AV632,AD632),AD632)</f>
        <v>SKLADEM</v>
      </c>
      <c r="AF632" s="735">
        <f t="shared" ref="AF632:AF638" si="1505">IFERROR(IF(AB632=Y632,G632*I632*Y632,0),0)</f>
        <v>0</v>
      </c>
      <c r="AG632" s="735">
        <f t="shared" ref="AG632:AG638" si="1506">IF($W$17=$AF$8,AH632*1.23,AF632*1.21)</f>
        <v>0</v>
      </c>
      <c r="AH632" s="736">
        <f t="shared" ref="AH632:AH638" si="1507">IFERROR(IF(Y632=AB632,H632*I632*Y632,0),0)</f>
        <v>0</v>
      </c>
      <c r="AI632" s="729">
        <f t="shared" ref="AI632:AI638" si="1508">IFERROR(IF(Y632=AB632,(P632*Y632)/1000,1),0)</f>
        <v>0</v>
      </c>
      <c r="AJ632" s="729">
        <f t="shared" ref="AJ632:AJ638" si="1509">IFERROR(IF(Y632=AB632,N632*Y632,0.1),0)</f>
        <v>0</v>
      </c>
      <c r="AK632" s="729" t="str">
        <f t="shared" ref="AK632:AK638" si="1510">IFERROR(IF(Y632=AB632,IF(M632="1.1G",(O632/1000)*Y632,""),""),0)</f>
        <v/>
      </c>
      <c r="AL632" s="729">
        <f t="shared" ref="AL632:AL638" si="1511">IFERROR(IF(Y632=AB632,IF(M632="1.3G",(O632/1000)*AB632,""),""),0)</f>
        <v>0</v>
      </c>
      <c r="AM632" s="729" t="str">
        <f t="shared" ref="AM632:AM638" si="1512">IFERROR(IF(Y632=AB632,IF(M632="1.4G",(O632/1000)*AB632,""),""),0)</f>
        <v/>
      </c>
      <c r="AN632" s="729">
        <f t="shared" ref="AN632:AN638" si="1513">SUM(AK632:AM632)</f>
        <v>0</v>
      </c>
      <c r="AO632" s="380"/>
      <c r="AP632" s="322" t="str">
        <f t="shared" si="1408"/>
        <v/>
      </c>
      <c r="AQ632" s="323" t="str">
        <f>IF(AC632=$V$3,IF(VLOOKUP(C632,[1]List1!$A:$E,5,FALSE)=0,1,VLOOKUP(C632,[1]List1!$A:$E,5,FALSE)),"")</f>
        <v/>
      </c>
      <c r="AR632" s="304" t="str">
        <f t="shared" si="1409"/>
        <v/>
      </c>
      <c r="AS632" s="423" t="str">
        <f t="shared" si="1410"/>
        <v/>
      </c>
      <c r="AT632" s="304" t="str">
        <f t="shared" si="1411"/>
        <v/>
      </c>
      <c r="AU632" s="342" t="e">
        <f t="shared" si="1412"/>
        <v>#N/A</v>
      </c>
      <c r="AV632" s="304" t="e">
        <f t="shared" si="1413"/>
        <v>#N/A</v>
      </c>
      <c r="AX632" s="304">
        <f>IF(AND('General price list'!$J632="F4",'General price list'!$AB632+0&gt;0),1,0)</f>
        <v>0</v>
      </c>
      <c r="AY632" s="304">
        <f t="shared" si="1414"/>
        <v>1</v>
      </c>
      <c r="AZ632" s="304">
        <f t="shared" si="1415"/>
        <v>0</v>
      </c>
    </row>
    <row r="633" spans="1:52" ht="15" customHeight="1">
      <c r="A633" s="712" t="str">
        <f>Kat.!C630</f>
        <v/>
      </c>
      <c r="B633" s="745">
        <f>IF(AND('General price list'!$J633="F4",$AI$1=FALSE),0,IF(AC633="SKLADEM",1,IF(AC633=$V$3,1,0)))</f>
        <v>1</v>
      </c>
      <c r="C633" s="714" t="s">
        <v>1400</v>
      </c>
      <c r="D633" s="715" t="s">
        <v>1389</v>
      </c>
      <c r="E633" s="716" t="s">
        <v>136</v>
      </c>
      <c r="F633" s="712">
        <f>IFERROR(ROUND(IF($AL$3=2,VLOOKUP(C633,[2]List1!$A:$D,2,FALSE)*1.08,VLOOKUP(C633,[2]List1!$A:$D,2,FALSE)),0),"NEUVEDENO!")</f>
        <v>3368</v>
      </c>
      <c r="G633" s="717">
        <f t="shared" si="1500"/>
        <v>3368</v>
      </c>
      <c r="H633" s="718">
        <f t="shared" si="1501"/>
        <v>136.86105433400112</v>
      </c>
      <c r="I633" s="746">
        <v>1</v>
      </c>
      <c r="J633" s="716" t="s">
        <v>137</v>
      </c>
      <c r="K633" s="716"/>
      <c r="L633" s="716" t="s">
        <v>24</v>
      </c>
      <c r="M633" s="716" t="s">
        <v>138</v>
      </c>
      <c r="N633" s="716">
        <f>IFERROR(VLOOKUP(C633,[3]List1!$A:$D,4,FALSE),"N/A!")</f>
        <v>5.1275624999999991E-2</v>
      </c>
      <c r="O633" s="716">
        <f>IFERROR(VLOOKUP(C633,[3]List1!$A:$D,3,FALSE),"N/A!")</f>
        <v>1990</v>
      </c>
      <c r="P633" s="716">
        <f>IFERROR(VLOOKUP(C633,[3]List1!$A:$D,2,FALSE),"N/A!")</f>
        <v>17300</v>
      </c>
      <c r="Q633" s="716" t="s">
        <v>12733</v>
      </c>
      <c r="R633" s="716" t="s">
        <v>24</v>
      </c>
      <c r="S633" s="716" t="str">
        <f>IF($W$17=$AF$1,"červená fólie",IFERROR(VLOOKUP("červená fólie",Jazyky_ceník!$A:$Q,MATCH($W$17,Jazyky_ceník!$A$1:$Q$1,0),FALSE),"!!!"))</f>
        <v>červená fólie</v>
      </c>
      <c r="T633" s="716">
        <v>120</v>
      </c>
      <c r="U633" s="716">
        <v>30</v>
      </c>
      <c r="V633" s="716">
        <v>22</v>
      </c>
      <c r="W633" s="716" t="str">
        <f>IFERROR(VLOOKUP('General price list'!$C633,Popisy!A:P,MATCH($W$17,Popisy!$A$7:$P$7,0),FALSE),"---------------")</f>
        <v>18 různobarevných efektů</v>
      </c>
      <c r="X633" s="716" t="str">
        <f t="shared" si="1502"/>
        <v/>
      </c>
      <c r="Y633" s="716" t="str">
        <f t="shared" si="1503"/>
        <v/>
      </c>
      <c r="Z633" s="716" t="str">
        <f>HYPERLINK("https://www.klasekpyrotechnics.cz/c17825w-c")</f>
        <v>https://www.klasekpyrotechnics.cz/c17825w-c</v>
      </c>
      <c r="AA633" s="716" t="str">
        <f>IFERROR(IF(VLOOKUP(C633,[4]List1!$A:$D,4,FALSE)=0,"",VLOOKUP(C633,[4]List1!$A:$D,4,FALSE)),"")</f>
        <v>18</v>
      </c>
      <c r="AB633" s="720"/>
      <c r="AC633" s="747" t="str">
        <f>IFERROR(IF(VLOOKUP(C633,[1]List1!$A:$D,2,FALSE)="VYPRODÁNO",$V$9,IF(VLOOKUP(C633,[1]List1!$A:$D,2,FALSE)="DOCHÁZÍ",$V$3,VLOOKUP(C633,[1]List1!$A:$D,2,FALSE))),"OFFLINE!")</f>
        <v>SKLADEM</v>
      </c>
      <c r="AD633" s="748" t="str">
        <f ca="1">IF(AP633="NE",$V$10,IF(AC633=$V$3,IF(AQ633&lt;1,$V$8,$V$2&amp;" "&amp;AQ633&amp;" "&amp;$V$1),IF(AC633="SKLADEM",$V$6,IFERROR(IF(OR(AC633-TODAY()&gt;45,VLOOKUP(C633,[1]List1!$A:$E,4,FALSE)=0),AC633,DAY(AC633)&amp;"."&amp;MONTH(AC633)&amp;"."&amp;YEAR(AC633)&amp;" "&amp;$V$4&amp;VLOOKUP(C633,[1]List1!$A:$E,4,FALSE)&amp;" "&amp;$V$1),AC633))))</f>
        <v>SKLADEM</v>
      </c>
      <c r="AE633" s="716" t="str">
        <f t="shared" ca="1" si="1504"/>
        <v>SKLADEM</v>
      </c>
      <c r="AF633" s="723">
        <f t="shared" si="1505"/>
        <v>0</v>
      </c>
      <c r="AG633" s="723">
        <f t="shared" si="1506"/>
        <v>0</v>
      </c>
      <c r="AH633" s="724">
        <f t="shared" si="1507"/>
        <v>0</v>
      </c>
      <c r="AI633" s="716">
        <f t="shared" si="1508"/>
        <v>0</v>
      </c>
      <c r="AJ633" s="716">
        <f t="shared" si="1509"/>
        <v>0</v>
      </c>
      <c r="AK633" s="716" t="str">
        <f t="shared" si="1510"/>
        <v/>
      </c>
      <c r="AL633" s="716">
        <f t="shared" si="1511"/>
        <v>0</v>
      </c>
      <c r="AM633" s="716" t="str">
        <f t="shared" si="1512"/>
        <v/>
      </c>
      <c r="AN633" s="716">
        <f t="shared" si="1513"/>
        <v>0</v>
      </c>
      <c r="AO633" s="380"/>
      <c r="AP633" s="322" t="str">
        <f t="shared" si="1408"/>
        <v/>
      </c>
      <c r="AQ633" s="323" t="str">
        <f>IF(AC633=$V$3,IF(VLOOKUP(C633,[1]List1!$A:$E,5,FALSE)=0,1,VLOOKUP(C633,[1]List1!$A:$E,5,FALSE)),"")</f>
        <v/>
      </c>
      <c r="AR633" s="304" t="str">
        <f t="shared" si="1409"/>
        <v/>
      </c>
      <c r="AS633" s="423" t="str">
        <f t="shared" si="1410"/>
        <v/>
      </c>
      <c r="AT633" s="304" t="str">
        <f t="shared" si="1411"/>
        <v/>
      </c>
      <c r="AU633" s="342" t="e">
        <f t="shared" si="1412"/>
        <v>#N/A</v>
      </c>
      <c r="AV633" s="304" t="e">
        <f t="shared" si="1413"/>
        <v>#N/A</v>
      </c>
      <c r="AX633" s="304">
        <f>IF(AND('General price list'!$J633="F4",'General price list'!$AB633+0&gt;0),1,0)</f>
        <v>0</v>
      </c>
      <c r="AY633" s="304">
        <f t="shared" si="1414"/>
        <v>1</v>
      </c>
      <c r="AZ633" s="304">
        <f t="shared" si="1415"/>
        <v>0</v>
      </c>
    </row>
    <row r="634" spans="1:52" ht="15" customHeight="1">
      <c r="A634" s="725" t="str">
        <f>Kat.!C631</f>
        <v/>
      </c>
      <c r="B634" s="749">
        <f>IF(AND('General price list'!$J634="F4",$AI$1=FALSE),0,IF(AC634="SKLADEM",1,IF(AC634=$V$3,1,0)))</f>
        <v>1</v>
      </c>
      <c r="C634" s="727" t="s">
        <v>1401</v>
      </c>
      <c r="D634" s="728" t="s">
        <v>1589</v>
      </c>
      <c r="E634" s="729" t="s">
        <v>136</v>
      </c>
      <c r="F634" s="725">
        <f>IFERROR(ROUND(IF($AL$3=2,VLOOKUP(C634,[2]List1!$A:$D,2,FALSE)*1.08,VLOOKUP(C634,[2]List1!$A:$D,2,FALSE)),0),"NEUVEDENO!")</f>
        <v>2899</v>
      </c>
      <c r="G634" s="730">
        <f t="shared" si="1500"/>
        <v>2899</v>
      </c>
      <c r="H634" s="731">
        <f t="shared" si="1501"/>
        <v>117.80290870376166</v>
      </c>
      <c r="I634" s="750">
        <v>1</v>
      </c>
      <c r="J634" s="729" t="s">
        <v>137</v>
      </c>
      <c r="K634" s="729" t="s">
        <v>14820</v>
      </c>
      <c r="L634" s="729" t="s">
        <v>24</v>
      </c>
      <c r="M634" s="729" t="s">
        <v>138</v>
      </c>
      <c r="N634" s="729">
        <f>IFERROR(VLOOKUP(C634,[3]List1!$A:$D,4,FALSE),"N/A!")</f>
        <v>3.6115624999999998E-2</v>
      </c>
      <c r="O634" s="729">
        <f>IFERROR(VLOOKUP(C634,[3]List1!$A:$D,3,FALSE),"N/A!")</f>
        <v>1990</v>
      </c>
      <c r="P634" s="729">
        <f>IFERROR(VLOOKUP(C634,[3]List1!$A:$D,2,FALSE),"N/A!")</f>
        <v>18200</v>
      </c>
      <c r="Q634" s="729" t="s">
        <v>632</v>
      </c>
      <c r="R634" s="729" t="s">
        <v>24</v>
      </c>
      <c r="S634" s="729" t="str">
        <f>IF($W$17=$AF$1,"červená fólie",IFERROR(VLOOKUP("červená fólie",Jazyky_ceník!$A:$Q,MATCH($W$17,Jazyky_ceník!$A$1:$Q$1,0),FALSE),"!!!"))</f>
        <v>červená fólie</v>
      </c>
      <c r="T634" s="729">
        <v>160</v>
      </c>
      <c r="U634" s="729">
        <v>30</v>
      </c>
      <c r="V634" s="729">
        <v>22</v>
      </c>
      <c r="W634" s="729" t="str">
        <f>IFERROR(VLOOKUP('General price list'!$C634,Popisy!A:P,MATCH($W$17,Popisy!$A$7:$P$7,0),FALSE),"---------------")</f>
        <v>20 různobarevných efektů</v>
      </c>
      <c r="X634" s="729" t="str">
        <f t="shared" si="1502"/>
        <v/>
      </c>
      <c r="Y634" s="729" t="str">
        <f t="shared" si="1503"/>
        <v/>
      </c>
      <c r="Z634" s="729" t="str">
        <f>HYPERLINK("https://www.klasekpyrotechnics.cz/c20025f-c")</f>
        <v>https://www.klasekpyrotechnics.cz/c20025f-c</v>
      </c>
      <c r="AA634" s="729">
        <f>IFERROR(IF(VLOOKUP(C634,[4]List1!$A:$D,4,FALSE)=0,"",VLOOKUP(C634,[4]List1!$A:$D,4,FALSE)),"")</f>
        <v>36</v>
      </c>
      <c r="AB634" s="720"/>
      <c r="AC634" s="751" t="str">
        <f>IFERROR(IF(VLOOKUP(C634,[1]List1!$A:$D,2,FALSE)="VYPRODÁNO",$V$9,IF(VLOOKUP(C634,[1]List1!$A:$D,2,FALSE)="DOCHÁZÍ",$V$3,VLOOKUP(C634,[1]List1!$A:$D,2,FALSE))),"OFFLINE!")</f>
        <v>SKLADEM</v>
      </c>
      <c r="AD634" s="752" t="str">
        <f ca="1">IF(AP634="NE",$V$10,IF(AC634=$V$3,IF(AQ634&lt;1,$V$8,$V$2&amp;" "&amp;AQ634&amp;" "&amp;$V$1),IF(AC634="SKLADEM",$V$6,IFERROR(IF(OR(AC634-TODAY()&gt;45,VLOOKUP(C634,[1]List1!$A:$E,4,FALSE)=0),AC634,DAY(AC634)&amp;"."&amp;MONTH(AC634)&amp;"."&amp;YEAR(AC634)&amp;" "&amp;$V$4&amp;VLOOKUP(C634,[1]List1!$A:$E,4,FALSE)&amp;" "&amp;$V$1),AC634))))</f>
        <v>SKLADEM</v>
      </c>
      <c r="AE634" s="729" t="str">
        <f t="shared" ca="1" si="1504"/>
        <v>SKLADEM</v>
      </c>
      <c r="AF634" s="735">
        <f t="shared" si="1505"/>
        <v>0</v>
      </c>
      <c r="AG634" s="735">
        <f t="shared" si="1506"/>
        <v>0</v>
      </c>
      <c r="AH634" s="736">
        <f t="shared" si="1507"/>
        <v>0</v>
      </c>
      <c r="AI634" s="729">
        <f t="shared" si="1508"/>
        <v>0</v>
      </c>
      <c r="AJ634" s="729">
        <f t="shared" si="1509"/>
        <v>0</v>
      </c>
      <c r="AK634" s="729" t="str">
        <f t="shared" si="1510"/>
        <v/>
      </c>
      <c r="AL634" s="729">
        <f t="shared" si="1511"/>
        <v>0</v>
      </c>
      <c r="AM634" s="729" t="str">
        <f t="shared" si="1512"/>
        <v/>
      </c>
      <c r="AN634" s="729">
        <f t="shared" si="1513"/>
        <v>0</v>
      </c>
      <c r="AO634" s="380"/>
      <c r="AP634" s="322" t="str">
        <f t="shared" si="1408"/>
        <v/>
      </c>
      <c r="AQ634" s="323" t="str">
        <f>IF(AC634=$V$3,IF(VLOOKUP(C634,[1]List1!$A:$E,5,FALSE)=0,1,VLOOKUP(C634,[1]List1!$A:$E,5,FALSE)),"")</f>
        <v/>
      </c>
      <c r="AR634" s="304" t="str">
        <f t="shared" si="1409"/>
        <v/>
      </c>
      <c r="AS634" s="423" t="str">
        <f t="shared" si="1410"/>
        <v/>
      </c>
      <c r="AT634" s="304" t="str">
        <f t="shared" si="1411"/>
        <v/>
      </c>
      <c r="AU634" s="342" t="e">
        <f t="shared" si="1412"/>
        <v>#N/A</v>
      </c>
      <c r="AV634" s="304" t="e">
        <f t="shared" si="1413"/>
        <v>#N/A</v>
      </c>
      <c r="AX634" s="304">
        <f>IF(AND('General price list'!$J634="F4",'General price list'!$AB634+0&gt;0),1,0)</f>
        <v>0</v>
      </c>
      <c r="AY634" s="304">
        <f t="shared" si="1414"/>
        <v>1</v>
      </c>
      <c r="AZ634" s="304">
        <f t="shared" si="1415"/>
        <v>0</v>
      </c>
    </row>
    <row r="635" spans="1:52" ht="15" customHeight="1">
      <c r="A635" s="712" t="str">
        <f>Kat.!C632</f>
        <v/>
      </c>
      <c r="B635" s="745">
        <f>IF(AND('General price list'!$J635="F4",$AI$1=FALSE),0,IF(AC635="SKLADEM",1,IF(AC635=$V$3,1,0)))</f>
        <v>1</v>
      </c>
      <c r="C635" s="714" t="s">
        <v>5307</v>
      </c>
      <c r="D635" s="715" t="s">
        <v>14581</v>
      </c>
      <c r="E635" s="716" t="s">
        <v>136</v>
      </c>
      <c r="F635" s="712">
        <f>IFERROR(ROUND(IF($AL$3=2,VLOOKUP(C635,[2]List1!$A:$D,2,FALSE)*1.08,VLOOKUP(C635,[2]List1!$A:$D,2,FALSE)),0),"NEUVEDENO!")</f>
        <v>2799</v>
      </c>
      <c r="G635" s="717">
        <f t="shared" si="1500"/>
        <v>2799</v>
      </c>
      <c r="H635" s="718">
        <f t="shared" si="1501"/>
        <v>113.73933820690888</v>
      </c>
      <c r="I635" s="746">
        <v>1</v>
      </c>
      <c r="J635" s="716" t="s">
        <v>137</v>
      </c>
      <c r="K635" s="716" t="s">
        <v>14820</v>
      </c>
      <c r="L635" s="716" t="s">
        <v>24</v>
      </c>
      <c r="M635" s="716" t="s">
        <v>138</v>
      </c>
      <c r="N635" s="716">
        <f>IFERROR(VLOOKUP(C635,[3]List1!$A:$D,4,FALSE),"N/A!")</f>
        <v>3.6115624999999998E-2</v>
      </c>
      <c r="O635" s="716">
        <f>IFERROR(VLOOKUP(C635,[3]List1!$A:$D,3,FALSE),"N/A!")</f>
        <v>1990</v>
      </c>
      <c r="P635" s="716">
        <f>IFERROR(VLOOKUP(C635,[3]List1!$A:$D,2,FALSE),"N/A!")</f>
        <v>18200</v>
      </c>
      <c r="Q635" s="716" t="s">
        <v>14212</v>
      </c>
      <c r="R635" s="716" t="s">
        <v>24</v>
      </c>
      <c r="S635" s="716" t="str">
        <f>IF($W$17=$AF$1,"červená fólie",IFERROR(VLOOKUP("červená fólie",Jazyky_ceník!$A:$Q,MATCH($W$17,Jazyky_ceník!$A$1:$Q$1,0),FALSE),"!!!"))</f>
        <v>červená fólie</v>
      </c>
      <c r="T635" s="716">
        <v>210</v>
      </c>
      <c r="U635" s="716">
        <v>30</v>
      </c>
      <c r="V635" s="716">
        <v>22</v>
      </c>
      <c r="W635" s="716" t="str">
        <f>IFERROR(VLOOKUP('General price list'!$C635,Popisy!A:P,MATCH($W$17,Popisy!$A$7:$P$7,0),FALSE),"---------------")</f>
        <v>20 různobarevných efektů</v>
      </c>
      <c r="X635" s="716" t="str">
        <f t="shared" si="1502"/>
        <v/>
      </c>
      <c r="Y635" s="716" t="str">
        <f t="shared" si="1503"/>
        <v/>
      </c>
      <c r="Z635" s="716" t="str">
        <f>HYPERLINK("https://www.klasekpyrotechnics.cz/c20025bps-c")</f>
        <v>https://www.klasekpyrotechnics.cz/c20025bps-c</v>
      </c>
      <c r="AA635" s="716">
        <f>IFERROR(IF(VLOOKUP(C635,[4]List1!$A:$D,4,FALSE)=0,"",VLOOKUP(C635,[4]List1!$A:$D,4,FALSE)),"")</f>
        <v>36</v>
      </c>
      <c r="AB635" s="720"/>
      <c r="AC635" s="747" t="str">
        <f>IFERROR(IF(VLOOKUP(C635,[1]List1!$A:$D,2,FALSE)="VYPRODÁNO",$V$9,IF(VLOOKUP(C635,[1]List1!$A:$D,2,FALSE)="DOCHÁZÍ",$V$3,VLOOKUP(C635,[1]List1!$A:$D,2,FALSE))),"OFFLINE!")</f>
        <v>SKLADEM</v>
      </c>
      <c r="AD635" s="748" t="str">
        <f ca="1">IF(AP635="NE",$V$10,IF(AC635=$V$3,IF(AQ635&lt;1,$V$8,$V$2&amp;" "&amp;AQ635&amp;" "&amp;$V$1),IF(AC635="SKLADEM",$V$6,IFERROR(IF(OR(AC635-TODAY()&gt;45,VLOOKUP(C635,[1]List1!$A:$E,4,FALSE)=0),AC635,DAY(AC635)&amp;"."&amp;MONTH(AC635)&amp;"."&amp;YEAR(AC635)&amp;" "&amp;$V$4&amp;VLOOKUP(C635,[1]List1!$A:$E,4,FALSE)&amp;" "&amp;$V$1),AC635))))</f>
        <v>SKLADEM</v>
      </c>
      <c r="AE635" s="716" t="str">
        <f t="shared" ca="1" si="1504"/>
        <v>SKLADEM</v>
      </c>
      <c r="AF635" s="723">
        <f t="shared" si="1505"/>
        <v>0</v>
      </c>
      <c r="AG635" s="723">
        <f t="shared" si="1506"/>
        <v>0</v>
      </c>
      <c r="AH635" s="724">
        <f t="shared" si="1507"/>
        <v>0</v>
      </c>
      <c r="AI635" s="716">
        <f t="shared" si="1508"/>
        <v>0</v>
      </c>
      <c r="AJ635" s="716">
        <f t="shared" si="1509"/>
        <v>0</v>
      </c>
      <c r="AK635" s="716" t="str">
        <f t="shared" si="1510"/>
        <v/>
      </c>
      <c r="AL635" s="716">
        <f t="shared" si="1511"/>
        <v>0</v>
      </c>
      <c r="AM635" s="716" t="str">
        <f t="shared" si="1512"/>
        <v/>
      </c>
      <c r="AN635" s="716">
        <f t="shared" si="1513"/>
        <v>0</v>
      </c>
      <c r="AO635" s="380"/>
      <c r="AP635" s="322" t="str">
        <f t="shared" si="1408"/>
        <v/>
      </c>
      <c r="AQ635" s="323" t="str">
        <f>IF(AC635=$V$3,IF(VLOOKUP(C635,[1]List1!$A:$E,5,FALSE)=0,1,VLOOKUP(C635,[1]List1!$A:$E,5,FALSE)),"")</f>
        <v/>
      </c>
      <c r="AR635" s="304" t="str">
        <f t="shared" si="1409"/>
        <v/>
      </c>
      <c r="AS635" s="423" t="str">
        <f t="shared" si="1410"/>
        <v/>
      </c>
      <c r="AT635" s="304" t="str">
        <f t="shared" si="1411"/>
        <v/>
      </c>
      <c r="AU635" s="342" t="e">
        <f t="shared" si="1412"/>
        <v>#N/A</v>
      </c>
      <c r="AV635" s="304" t="e">
        <f t="shared" si="1413"/>
        <v>#N/A</v>
      </c>
      <c r="AX635" s="304">
        <f>IF(AND('General price list'!$J635="F4",'General price list'!$AB635+0&gt;0),1,0)</f>
        <v>0</v>
      </c>
      <c r="AY635" s="304">
        <f t="shared" si="1414"/>
        <v>1</v>
      </c>
      <c r="AZ635" s="304">
        <f t="shared" si="1415"/>
        <v>0</v>
      </c>
    </row>
    <row r="636" spans="1:52" ht="15" customHeight="1">
      <c r="A636" s="725" t="str">
        <f>Kat.!C633</f>
        <v/>
      </c>
      <c r="B636" s="749">
        <f>IF(AND('General price list'!$J636="F4",$AI$1=FALSE),0,IF(AC636="SKLADEM",1,IF(AC636=$V$3,1,0)))</f>
        <v>1</v>
      </c>
      <c r="C636" s="727" t="s">
        <v>1402</v>
      </c>
      <c r="D636" s="728" t="s">
        <v>1390</v>
      </c>
      <c r="E636" s="729" t="s">
        <v>136</v>
      </c>
      <c r="F636" s="725">
        <f>IFERROR(ROUND(IF($AL$3=2,VLOOKUP(C636,[2]List1!$A:$D,2,FALSE)*1.08,VLOOKUP(C636,[2]List1!$A:$D,2,FALSE)),0),"NEUVEDENO!")</f>
        <v>4499</v>
      </c>
      <c r="G636" s="730">
        <f t="shared" si="1500"/>
        <v>4499</v>
      </c>
      <c r="H636" s="731">
        <f t="shared" si="1501"/>
        <v>182.82003665340591</v>
      </c>
      <c r="I636" s="750">
        <v>1</v>
      </c>
      <c r="J636" s="729" t="s">
        <v>137</v>
      </c>
      <c r="K636" s="729" t="s">
        <v>14820</v>
      </c>
      <c r="L636" s="729" t="s">
        <v>24</v>
      </c>
      <c r="M636" s="729" t="s">
        <v>138</v>
      </c>
      <c r="N636" s="729">
        <f>IFERROR(VLOOKUP(C636,[3]List1!$A:$D,4,FALSE),"N/A!")</f>
        <v>5.3746875E-2</v>
      </c>
      <c r="O636" s="729">
        <f>IFERROR(VLOOKUP(C636,[3]List1!$A:$D,3,FALSE),"N/A!")</f>
        <v>2985</v>
      </c>
      <c r="P636" s="729">
        <f>IFERROR(VLOOKUP(C636,[3]List1!$A:$D,2,FALSE),"N/A!")</f>
        <v>26800</v>
      </c>
      <c r="Q636" s="729" t="s">
        <v>14213</v>
      </c>
      <c r="R636" s="729" t="s">
        <v>24</v>
      </c>
      <c r="S636" s="729" t="str">
        <f>IF($W$17=$AF$1,"červená fólie",IFERROR(VLOOKUP("červená fólie",Jazyky_ceník!$A:$Q,MATCH($W$17,Jazyky_ceník!$A$1:$Q$1,0),FALSE),"!!!"))</f>
        <v>červená fólie</v>
      </c>
      <c r="T636" s="729">
        <v>240</v>
      </c>
      <c r="U636" s="729">
        <v>30</v>
      </c>
      <c r="V636" s="729">
        <v>22</v>
      </c>
      <c r="W636" s="729" t="str">
        <f>IFERROR(VLOOKUP('General price list'!$C636,Popisy!A:P,MATCH($W$17,Popisy!$A$7:$P$7,0),FALSE),"---------------")</f>
        <v>30 různobarevných efektů</v>
      </c>
      <c r="X636" s="729" t="str">
        <f t="shared" si="1502"/>
        <v/>
      </c>
      <c r="Y636" s="729" t="str">
        <f t="shared" si="1503"/>
        <v/>
      </c>
      <c r="Z636" s="729" t="str">
        <f>HYPERLINK("https://www.klasekpyrotechnics.cz/c30025f-c")</f>
        <v>https://www.klasekpyrotechnics.cz/c30025f-c</v>
      </c>
      <c r="AA636" s="729">
        <f>IFERROR(IF(VLOOKUP(C636,[4]List1!$A:$D,4,FALSE)=0,"",VLOOKUP(C636,[4]List1!$A:$D,4,FALSE)),"")</f>
        <v>18</v>
      </c>
      <c r="AB636" s="720"/>
      <c r="AC636" s="751" t="str">
        <f>IFERROR(IF(VLOOKUP(C636,[1]List1!$A:$D,2,FALSE)="VYPRODÁNO",$V$9,IF(VLOOKUP(C636,[1]List1!$A:$D,2,FALSE)="DOCHÁZÍ",$V$3,VLOOKUP(C636,[1]List1!$A:$D,2,FALSE))),"OFFLINE!")</f>
        <v>DOCHÁZÍ</v>
      </c>
      <c r="AD636" s="752" t="str">
        <f ca="1">IF(AP636="NE",$V$10,IF(AC636=$V$3,IF(AQ636&lt;1,$V$8,$V$2&amp;" "&amp;AQ636&amp;" "&amp;$V$1),IF(AC636="SKLADEM",$V$6,IFERROR(IF(OR(AC636-TODAY()&gt;45,VLOOKUP(C636,[1]List1!$A:$E,4,FALSE)=0),AC636,DAY(AC636)&amp;"."&amp;MONTH(AC636)&amp;"."&amp;YEAR(AC636)&amp;" "&amp;$V$4&amp;VLOOKUP(C636,[1]List1!$A:$E,4,FALSE)&amp;" "&amp;$V$1),AC636))))</f>
        <v>POSLEDNÍCH 38 VK</v>
      </c>
      <c r="AE636" s="729" t="str">
        <f t="shared" ca="1" si="1504"/>
        <v>POSLEDNÍCH 38 VK</v>
      </c>
      <c r="AF636" s="735">
        <f t="shared" si="1505"/>
        <v>0</v>
      </c>
      <c r="AG636" s="735">
        <f t="shared" si="1506"/>
        <v>0</v>
      </c>
      <c r="AH636" s="736">
        <f t="shared" si="1507"/>
        <v>0</v>
      </c>
      <c r="AI636" s="729">
        <f t="shared" si="1508"/>
        <v>0</v>
      </c>
      <c r="AJ636" s="729">
        <f t="shared" si="1509"/>
        <v>0</v>
      </c>
      <c r="AK636" s="729" t="str">
        <f t="shared" si="1510"/>
        <v/>
      </c>
      <c r="AL636" s="729">
        <f t="shared" si="1511"/>
        <v>0</v>
      </c>
      <c r="AM636" s="729" t="str">
        <f t="shared" si="1512"/>
        <v/>
      </c>
      <c r="AN636" s="729">
        <f t="shared" si="1513"/>
        <v>0</v>
      </c>
      <c r="AO636" s="380"/>
      <c r="AP636" s="322" t="str">
        <f t="shared" si="1408"/>
        <v/>
      </c>
      <c r="AQ636" s="323">
        <f>IF(AC636=$V$3,IF(VLOOKUP(C636,[1]List1!$A:$E,5,FALSE)=0,1,VLOOKUP(C636,[1]List1!$A:$E,5,FALSE)),"")</f>
        <v>38</v>
      </c>
      <c r="AR636" s="304" t="str">
        <f t="shared" si="1409"/>
        <v/>
      </c>
      <c r="AS636" s="423" t="str">
        <f t="shared" si="1410"/>
        <v/>
      </c>
      <c r="AT636" s="304" t="str">
        <f t="shared" si="1411"/>
        <v/>
      </c>
      <c r="AU636" s="342" t="e">
        <f t="shared" si="1412"/>
        <v>#N/A</v>
      </c>
      <c r="AV636" s="304" t="e">
        <f t="shared" si="1413"/>
        <v>#N/A</v>
      </c>
      <c r="AX636" s="304">
        <f>IF(AND('General price list'!$J636="F4",'General price list'!$AB636+0&gt;0),1,0)</f>
        <v>0</v>
      </c>
      <c r="AY636" s="304">
        <f t="shared" si="1414"/>
        <v>1</v>
      </c>
      <c r="AZ636" s="304">
        <f t="shared" si="1415"/>
        <v>0</v>
      </c>
    </row>
    <row r="637" spans="1:52" ht="15" customHeight="1">
      <c r="A637" s="712" t="str">
        <f>Kat.!C634</f>
        <v>×</v>
      </c>
      <c r="B637" s="745">
        <f>IF(AND('General price list'!$J637="F4",$AI$1=FALSE),0,IF(AC637="SKLADEM",1,IF(AC637=$V$3,1,0)))</f>
        <v>1</v>
      </c>
      <c r="C637" s="714" t="s">
        <v>2558</v>
      </c>
      <c r="D637" s="715" t="s">
        <v>14596</v>
      </c>
      <c r="E637" s="716" t="s">
        <v>136</v>
      </c>
      <c r="F637" s="712">
        <f>IFERROR(ROUND(IF($AL$3=2,VLOOKUP(C637,[2]List1!$A:$D,2,FALSE)*1.08,VLOOKUP(C637,[2]List1!$A:$D,2,FALSE)),0),"NEUVEDENO!")</f>
        <v>4399</v>
      </c>
      <c r="G637" s="717">
        <f t="shared" si="1500"/>
        <v>4399</v>
      </c>
      <c r="H637" s="718">
        <f t="shared" si="1501"/>
        <v>178.75646615655313</v>
      </c>
      <c r="I637" s="746">
        <v>1</v>
      </c>
      <c r="J637" s="716" t="s">
        <v>137</v>
      </c>
      <c r="K637" s="716" t="s">
        <v>14820</v>
      </c>
      <c r="L637" s="716" t="s">
        <v>24</v>
      </c>
      <c r="M637" s="716" t="s">
        <v>138</v>
      </c>
      <c r="N637" s="716">
        <f>IFERROR(VLOOKUP(C637,[3]List1!$A:$D,4,FALSE),"N/A!")</f>
        <v>5.3746875E-2</v>
      </c>
      <c r="O637" s="716">
        <f>IFERROR(VLOOKUP(C637,[3]List1!$A:$D,3,FALSE),"N/A!")</f>
        <v>2990</v>
      </c>
      <c r="P637" s="716">
        <f>IFERROR(VLOOKUP(C637,[3]List1!$A:$D,2,FALSE),"N/A!")</f>
        <v>23000</v>
      </c>
      <c r="Q637" s="716" t="s">
        <v>632</v>
      </c>
      <c r="R637" s="716" t="s">
        <v>24</v>
      </c>
      <c r="S637" s="716" t="str">
        <f>IF($W$17=$AF$1,"červená fólie",IFERROR(VLOOKUP("červená fólie",Jazyky_ceník!$A:$Q,MATCH($W$17,Jazyky_ceník!$A$1:$Q$1,0),FALSE),"!!!"))</f>
        <v>červená fólie</v>
      </c>
      <c r="T637" s="716">
        <v>200</v>
      </c>
      <c r="U637" s="716">
        <v>30</v>
      </c>
      <c r="V637" s="716">
        <v>20</v>
      </c>
      <c r="W637" s="716" t="str">
        <f>IFERROR(VLOOKUP('General price list'!$C637,Popisy!A:P,MATCH($W$17,Popisy!$A$7:$P$7,0),FALSE),"---------------")</f>
        <v>30 různobarevných efektů</v>
      </c>
      <c r="X637" s="716" t="str">
        <f t="shared" si="1502"/>
        <v/>
      </c>
      <c r="Y637" s="716" t="str">
        <f t="shared" si="1503"/>
        <v/>
      </c>
      <c r="Z637" s="716" t="str">
        <f>HYPERLINK("https://www.klasekpyrotechnics.cz/c30025bpw-c")</f>
        <v>https://www.klasekpyrotechnics.cz/c30025bpw-c</v>
      </c>
      <c r="AA637" s="716">
        <f>IFERROR(IF(VLOOKUP(C637,[4]List1!$A:$D,4,FALSE)=0,"",VLOOKUP(C637,[4]List1!$A:$D,4,FALSE)),"")</f>
        <v>18</v>
      </c>
      <c r="AB637" s="720"/>
      <c r="AC637" s="747" t="str">
        <f>IFERROR(IF(VLOOKUP(C637,[1]List1!$A:$D,2,FALSE)="VYPRODÁNO",$V$9,IF(VLOOKUP(C637,[1]List1!$A:$D,2,FALSE)="DOCHÁZÍ",$V$3,VLOOKUP(C637,[1]List1!$A:$D,2,FALSE))),"OFFLINE!")</f>
        <v>SKLADEM</v>
      </c>
      <c r="AD637" s="748" t="str">
        <f ca="1">IF(AP637="NE",$V$10,IF(AC637=$V$3,IF(AQ637&lt;1,$V$8,$V$2&amp;" "&amp;AQ637&amp;" "&amp;$V$1),IF(AC637="SKLADEM",$V$6,IFERROR(IF(OR(AC637-TODAY()&gt;45,VLOOKUP(C637,[1]List1!$A:$E,4,FALSE)=0),AC637,DAY(AC637)&amp;"."&amp;MONTH(AC637)&amp;"."&amp;YEAR(AC637)&amp;" "&amp;$V$4&amp;VLOOKUP(C637,[1]List1!$A:$E,4,FALSE)&amp;" "&amp;$V$1),AC637))))</f>
        <v>SKLADEM</v>
      </c>
      <c r="AE637" s="716" t="str">
        <f t="shared" ca="1" si="1504"/>
        <v>SKLADEM</v>
      </c>
      <c r="AF637" s="723">
        <f t="shared" si="1505"/>
        <v>0</v>
      </c>
      <c r="AG637" s="723">
        <f t="shared" si="1506"/>
        <v>0</v>
      </c>
      <c r="AH637" s="724">
        <f t="shared" si="1507"/>
        <v>0</v>
      </c>
      <c r="AI637" s="716">
        <f t="shared" si="1508"/>
        <v>0</v>
      </c>
      <c r="AJ637" s="716">
        <f t="shared" si="1509"/>
        <v>0</v>
      </c>
      <c r="AK637" s="716" t="str">
        <f t="shared" si="1510"/>
        <v/>
      </c>
      <c r="AL637" s="716">
        <f t="shared" si="1511"/>
        <v>0</v>
      </c>
      <c r="AM637" s="716" t="str">
        <f t="shared" si="1512"/>
        <v/>
      </c>
      <c r="AN637" s="716">
        <f t="shared" si="1513"/>
        <v>0</v>
      </c>
      <c r="AO637" s="380"/>
      <c r="AP637" s="322" t="str">
        <f t="shared" si="1408"/>
        <v/>
      </c>
      <c r="AQ637" s="323" t="str">
        <f>IF(AC637=$V$3,IF(VLOOKUP(C637,[1]List1!$A:$E,5,FALSE)=0,1,VLOOKUP(C637,[1]List1!$A:$E,5,FALSE)),"")</f>
        <v/>
      </c>
      <c r="AR637" s="304" t="str">
        <f t="shared" si="1409"/>
        <v/>
      </c>
      <c r="AS637" s="423" t="str">
        <f t="shared" si="1410"/>
        <v/>
      </c>
      <c r="AT637" s="304" t="str">
        <f t="shared" si="1411"/>
        <v/>
      </c>
      <c r="AU637" s="342" t="e">
        <f t="shared" si="1412"/>
        <v>#N/A</v>
      </c>
      <c r="AV637" s="304" t="e">
        <f t="shared" si="1413"/>
        <v>#N/A</v>
      </c>
      <c r="AX637" s="304">
        <f>IF(AND('General price list'!$J637="F4",'General price list'!$AB637+0&gt;0),1,0)</f>
        <v>0</v>
      </c>
      <c r="AY637" s="304">
        <f t="shared" si="1414"/>
        <v>1</v>
      </c>
      <c r="AZ637" s="304">
        <f t="shared" si="1415"/>
        <v>0</v>
      </c>
    </row>
    <row r="638" spans="1:52" ht="15" customHeight="1">
      <c r="A638" s="725" t="str">
        <f>Kat.!C635</f>
        <v/>
      </c>
      <c r="B638" s="749">
        <f>IF(AND('General price list'!$J638="F4",$AI$1=FALSE),0,IF(AC638="SKLADEM",1,IF(AC638=$V$3,1,0)))</f>
        <v>1</v>
      </c>
      <c r="C638" s="727" t="s">
        <v>1403</v>
      </c>
      <c r="D638" s="728" t="s">
        <v>1394</v>
      </c>
      <c r="E638" s="729" t="s">
        <v>136</v>
      </c>
      <c r="F638" s="725">
        <f>IFERROR(ROUND(IF($AL$3=2,VLOOKUP(C638,[2]List1!$A:$D,2,FALSE)*1.08,VLOOKUP(C638,[2]List1!$A:$D,2,FALSE)),0),"NEUVEDENO!")</f>
        <v>5880</v>
      </c>
      <c r="G638" s="730">
        <f t="shared" si="1500"/>
        <v>5880</v>
      </c>
      <c r="H638" s="731">
        <f t="shared" si="1501"/>
        <v>238.93794521494257</v>
      </c>
      <c r="I638" s="750">
        <v>1</v>
      </c>
      <c r="J638" s="729" t="s">
        <v>137</v>
      </c>
      <c r="K638" s="729" t="s">
        <v>12734</v>
      </c>
      <c r="L638" s="729" t="s">
        <v>24</v>
      </c>
      <c r="M638" s="729" t="s">
        <v>138</v>
      </c>
      <c r="N638" s="729">
        <f>IFERROR(VLOOKUP(C638,[3]List1!$A:$D,4,FALSE),"N/A!")</f>
        <v>6.4054374999999997E-2</v>
      </c>
      <c r="O638" s="729">
        <f>IFERROR(VLOOKUP(C638,[3]List1!$A:$D,3,FALSE),"N/A!")</f>
        <v>3980</v>
      </c>
      <c r="P638" s="729">
        <f>IFERROR(VLOOKUP(C638,[3]List1!$A:$D,2,FALSE),"N/A!")</f>
        <v>33500</v>
      </c>
      <c r="Q638" s="729" t="s">
        <v>14214</v>
      </c>
      <c r="R638" s="729" t="s">
        <v>24</v>
      </c>
      <c r="S638" s="729" t="str">
        <f>IF($W$17=$AF$1,"červená fólie",IFERROR(VLOOKUP("červená fólie",Jazyky_ceník!$A:$Q,MATCH($W$17,Jazyky_ceník!$A$1:$Q$1,0),FALSE),"!!!"))</f>
        <v>červená fólie</v>
      </c>
      <c r="T638" s="729">
        <v>300</v>
      </c>
      <c r="U638" s="729">
        <v>30</v>
      </c>
      <c r="V638" s="729">
        <v>22</v>
      </c>
      <c r="W638" s="729" t="str">
        <f>IFERROR(VLOOKUP('General price list'!$C638,Popisy!A:P,MATCH($W$17,Popisy!$A$7:$P$7,0),FALSE),"---------------")</f>
        <v>40 různobarevných efektů</v>
      </c>
      <c r="X638" s="729" t="str">
        <f t="shared" si="1502"/>
        <v/>
      </c>
      <c r="Y638" s="729" t="str">
        <f t="shared" si="1503"/>
        <v/>
      </c>
      <c r="Z638" s="729" t="str">
        <f>HYPERLINK("https://www.klasekpyrotechnics.cz/c40025f-c")</f>
        <v>https://www.klasekpyrotechnics.cz/c40025f-c</v>
      </c>
      <c r="AA638" s="729">
        <f>IFERROR(IF(VLOOKUP(C638,[4]List1!$A:$D,4,FALSE)=0,"",VLOOKUP(C638,[4]List1!$A:$D,4,FALSE)),"")</f>
        <v>18</v>
      </c>
      <c r="AB638" s="720"/>
      <c r="AC638" s="751" t="str">
        <f>IFERROR(IF(VLOOKUP(C638,[1]List1!$A:$D,2,FALSE)="VYPRODÁNO",$V$9,IF(VLOOKUP(C638,[1]List1!$A:$D,2,FALSE)="DOCHÁZÍ",$V$3,VLOOKUP(C638,[1]List1!$A:$D,2,FALSE))),"OFFLINE!")</f>
        <v>DOCHÁZÍ</v>
      </c>
      <c r="AD638" s="752" t="str">
        <f ca="1">IF(AP638="NE",$V$10,IF(AC638=$V$3,IF(AQ638&lt;1,$V$8,$V$2&amp;" "&amp;AQ638&amp;" "&amp;$V$1),IF(AC638="SKLADEM",$V$6,IFERROR(IF(OR(AC638-TODAY()&gt;45,VLOOKUP(C638,[1]List1!$A:$E,4,FALSE)=0),AC638,DAY(AC638)&amp;"."&amp;MONTH(AC638)&amp;"."&amp;YEAR(AC638)&amp;" "&amp;$V$4&amp;VLOOKUP(C638,[1]List1!$A:$E,4,FALSE)&amp;" "&amp;$V$1),AC638))))</f>
        <v>POSLEDNÍCH 71 VK</v>
      </c>
      <c r="AE638" s="729" t="str">
        <f t="shared" ca="1" si="1504"/>
        <v>POSLEDNÍCH 71 VK</v>
      </c>
      <c r="AF638" s="735">
        <f t="shared" si="1505"/>
        <v>0</v>
      </c>
      <c r="AG638" s="735">
        <f t="shared" si="1506"/>
        <v>0</v>
      </c>
      <c r="AH638" s="736">
        <f t="shared" si="1507"/>
        <v>0</v>
      </c>
      <c r="AI638" s="729">
        <f t="shared" si="1508"/>
        <v>0</v>
      </c>
      <c r="AJ638" s="729">
        <f t="shared" si="1509"/>
        <v>0</v>
      </c>
      <c r="AK638" s="729" t="str">
        <f t="shared" si="1510"/>
        <v/>
      </c>
      <c r="AL638" s="729">
        <f t="shared" si="1511"/>
        <v>0</v>
      </c>
      <c r="AM638" s="729" t="str">
        <f t="shared" si="1512"/>
        <v/>
      </c>
      <c r="AN638" s="729">
        <f t="shared" si="1513"/>
        <v>0</v>
      </c>
      <c r="AO638" s="380"/>
      <c r="AP638" s="322" t="str">
        <f t="shared" si="1408"/>
        <v/>
      </c>
      <c r="AQ638" s="323">
        <f>IF(AC638=$V$3,IF(VLOOKUP(C638,[1]List1!$A:$E,5,FALSE)=0,1,VLOOKUP(C638,[1]List1!$A:$E,5,FALSE)),"")</f>
        <v>71</v>
      </c>
      <c r="AR638" s="304" t="str">
        <f t="shared" si="1409"/>
        <v/>
      </c>
      <c r="AS638" s="423" t="str">
        <f t="shared" si="1410"/>
        <v/>
      </c>
      <c r="AT638" s="304" t="str">
        <f t="shared" si="1411"/>
        <v/>
      </c>
      <c r="AU638" s="342" t="e">
        <f t="shared" si="1412"/>
        <v>#N/A</v>
      </c>
      <c r="AV638" s="304" t="e">
        <f t="shared" si="1413"/>
        <v>#N/A</v>
      </c>
      <c r="AX638" s="304">
        <f>IF(AND('General price list'!$J638="F4",'General price list'!$AB638+0&gt;0),1,0)</f>
        <v>0</v>
      </c>
      <c r="AY638" s="304">
        <f t="shared" si="1414"/>
        <v>1</v>
      </c>
      <c r="AZ638" s="304">
        <f t="shared" si="1415"/>
        <v>0</v>
      </c>
    </row>
    <row r="639" spans="1:52" ht="15" customHeight="1">
      <c r="A639" s="773" t="str">
        <f>Kat.!C636</f>
        <v xml:space="preserve">                                                               Složený ohňostroj(s ochraným obalem) 25mm - F3 - 1.3G</v>
      </c>
      <c r="B639" s="774"/>
      <c r="C639" s="774"/>
      <c r="D639" s="774"/>
      <c r="E639" s="774"/>
      <c r="F639" s="774"/>
      <c r="G639" s="774"/>
      <c r="H639" s="774"/>
      <c r="I639" s="774"/>
      <c r="J639" s="774"/>
      <c r="K639" s="774"/>
      <c r="L639" s="774"/>
      <c r="M639" s="774"/>
      <c r="N639" s="774"/>
      <c r="O639" s="774"/>
      <c r="P639" s="774"/>
      <c r="Q639" s="774"/>
      <c r="R639" s="774"/>
      <c r="S639" s="774"/>
      <c r="T639" s="774"/>
      <c r="U639" s="774"/>
      <c r="V639" s="774"/>
      <c r="W639" s="774"/>
      <c r="X639" s="774"/>
      <c r="Y639" s="774"/>
      <c r="Z639" s="774"/>
      <c r="AA639" s="774" t="str">
        <f>IFERROR(IF(VLOOKUP(C639,[4]List1!$A:$D,4,FALSE)=0,"",VLOOKUP(C639,[4]List1!$A:$D,4,FALSE)),"")</f>
        <v/>
      </c>
      <c r="AB639" s="774"/>
      <c r="AC639" s="775" t="str">
        <f>IFERROR(IF(VLOOKUP(C639,[1]List1!$A:$D,2,FALSE)="VYPRODÁNO",$V$9,IF(VLOOKUP(C639,[1]List1!$A:$D,2,FALSE)="DOCHÁZÍ",$V$3,VLOOKUP(C639,[1]List1!$A:$D,2,FALSE))),"OFFLINE!")</f>
        <v>OFFLINE!</v>
      </c>
      <c r="AD639" s="774"/>
      <c r="AE639" s="774"/>
      <c r="AF639" s="774"/>
      <c r="AG639" s="774"/>
      <c r="AH639" s="774"/>
      <c r="AI639" s="774"/>
      <c r="AJ639" s="774"/>
      <c r="AK639" s="774"/>
      <c r="AL639" s="774"/>
      <c r="AM639" s="774"/>
      <c r="AN639" s="774"/>
      <c r="AO639" s="380"/>
      <c r="AP639" s="322" t="str">
        <f t="shared" si="1408"/>
        <v/>
      </c>
      <c r="AQ639" s="323" t="str">
        <f>IF(AC639=$V$3,IF(VLOOKUP(C639,[1]List1!$A:$E,5,FALSE)=0,1,VLOOKUP(C639,[1]List1!$A:$E,5,FALSE)),"")</f>
        <v/>
      </c>
      <c r="AR639" s="304" t="str">
        <f t="shared" si="1409"/>
        <v/>
      </c>
      <c r="AS639" s="423" t="str">
        <f t="shared" si="1410"/>
        <v/>
      </c>
      <c r="AT639" s="304" t="str">
        <f t="shared" si="1411"/>
        <v/>
      </c>
      <c r="AU639" s="342" t="e">
        <f t="shared" si="1412"/>
        <v>#N/A</v>
      </c>
      <c r="AV639" s="304" t="e">
        <f t="shared" si="1413"/>
        <v>#N/A</v>
      </c>
      <c r="AX639" s="304">
        <f>IF(AND('General price list'!$J639="F4",'General price list'!$AB639+0&gt;0),1,0)</f>
        <v>0</v>
      </c>
      <c r="AY639" s="304">
        <f t="shared" si="1414"/>
        <v>0</v>
      </c>
      <c r="AZ639" s="304">
        <f t="shared" si="1415"/>
        <v>0</v>
      </c>
    </row>
    <row r="640" spans="1:52" ht="15" customHeight="1">
      <c r="A640" s="725" t="str">
        <f>Kat.!C637</f>
        <v/>
      </c>
      <c r="B640" s="741">
        <f>IF(AND('General price list'!$J640="F4",$AI$1=FALSE),0,IF(AC640="SKLADEM",1,IF(AC640=$V$3,1,0)))</f>
        <v>1</v>
      </c>
      <c r="C640" s="727" t="s">
        <v>5314</v>
      </c>
      <c r="D640" s="728" t="s">
        <v>12849</v>
      </c>
      <c r="E640" s="729" t="s">
        <v>136</v>
      </c>
      <c r="F640" s="725">
        <f>IFERROR(ROUND(IF($AL$3=2,VLOOKUP(C640,[2]List1!$A:$D,2,FALSE)*1.08,VLOOKUP(C640,[2]List1!$A:$D,2,FALSE)),0),"NEUVEDENO!")</f>
        <v>2047</v>
      </c>
      <c r="G640" s="730">
        <f t="shared" ref="G640:G645" si="1514">(F640)*$B$19</f>
        <v>2047</v>
      </c>
      <c r="H640" s="731">
        <f t="shared" ref="H640:H645" si="1515">G640/$F$19</f>
        <v>83.181288070576102</v>
      </c>
      <c r="I640" s="742">
        <v>1</v>
      </c>
      <c r="J640" s="729" t="s">
        <v>137</v>
      </c>
      <c r="K640" s="729">
        <v>6</v>
      </c>
      <c r="L640" s="729" t="s">
        <v>24</v>
      </c>
      <c r="M640" s="729" t="s">
        <v>138</v>
      </c>
      <c r="N640" s="729">
        <f>IFERROR(VLOOKUP(C640,[3]List1!$A:$D,4,FALSE),"N/A!")</f>
        <v>1.81125E-2</v>
      </c>
      <c r="O640" s="729">
        <f>IFERROR(VLOOKUP(C640,[3]List1!$A:$D,3,FALSE),"N/A!")</f>
        <v>1960</v>
      </c>
      <c r="P640" s="729">
        <f>IFERROR(VLOOKUP(C640,[3]List1!$A:$D,2,FALSE),"N/A!")</f>
        <v>8300</v>
      </c>
      <c r="Q640" s="729" t="s">
        <v>1399</v>
      </c>
      <c r="R640" s="729" t="s">
        <v>24</v>
      </c>
      <c r="S640" s="729" t="str">
        <f>IF($W$17=$AF$1,"červená fólie",IFERROR(VLOOKUP("červená fólie",Jazyky_ceník!$A:$Q,MATCH($W$17,Jazyky_ceník!$A$1:$Q$1,0),FALSE),"!!!"))</f>
        <v>červená fólie</v>
      </c>
      <c r="T640" s="729">
        <v>70</v>
      </c>
      <c r="U640" s="729">
        <v>33</v>
      </c>
      <c r="V640" s="729">
        <v>25</v>
      </c>
      <c r="W640" s="729" t="str">
        <f>IFERROR(VLOOKUP('General price list'!$C640,Popisy!A:P,MATCH($W$17,Popisy!$A$7:$P$7,0),FALSE),"---------------")</f>
        <v>14 různobarevných efektů</v>
      </c>
      <c r="X640" s="729" t="str">
        <f t="shared" ref="X640:X645" si="1516">IF(AB640&lt;0.0001,"",AB640)</f>
        <v/>
      </c>
      <c r="Y640" s="729" t="str">
        <f t="shared" ref="Y640:Y645" si="1517">IF($AL$3=2,IF(OR(AB640&lt;&gt;"",AB640&lt;&gt;0),AU640,""),IF(C640="","",IF(AB640&lt;0.0001,"",IF(B640=0,"",IF(AQ640&lt;AB640,"",AB640)))))</f>
        <v/>
      </c>
      <c r="Z640" s="729" t="str">
        <f>HYPERLINK("https://www.klasekpyrotechnics.cz/c9825sig-c_t")</f>
        <v>https://www.klasekpyrotechnics.cz/c9825sig-c_t</v>
      </c>
      <c r="AA640" s="729" t="str">
        <f>IFERROR(IF(VLOOKUP(C640,[4]List1!$A:$D,4,FALSE)=0,"",VLOOKUP(C640,[4]List1!$A:$D,4,FALSE)),"")</f>
        <v>63</v>
      </c>
      <c r="AB640" s="720"/>
      <c r="AC640" s="743" t="str">
        <f>IFERROR(IF(VLOOKUP(C640,[1]List1!$A:$D,2,FALSE)="VYPRODÁNO",$V$9,IF(VLOOKUP(C640,[1]List1!$A:$D,2,FALSE)="DOCHÁZÍ",$V$3,VLOOKUP(C640,[1]List1!$A:$D,2,FALSE))),"OFFLINE!")</f>
        <v>SKLADEM</v>
      </c>
      <c r="AD640" s="744" t="str">
        <f ca="1">IF(AP640="NE",$V$10,IF(AC640=$V$3,IF(AQ640&lt;1,$V$8,$V$2&amp;" "&amp;AQ640&amp;" "&amp;$V$1),IF(AC640="SKLADEM",$V$6,IFERROR(IF(OR(AC640-TODAY()&gt;45,VLOOKUP(C640,[1]List1!$A:$E,4,FALSE)=0),AC640,DAY(AC640)&amp;"."&amp;MONTH(AC640)&amp;"."&amp;YEAR(AC640)&amp;" "&amp;$V$4&amp;VLOOKUP(C640,[1]List1!$A:$E,4,FALSE)&amp;" "&amp;$V$1),AC640))))</f>
        <v>SKLADEM</v>
      </c>
      <c r="AE640" s="729" t="str">
        <f t="shared" ref="AE640:AE645" ca="1" si="1518">IFERROR(IF(AV640&lt;&gt;"",AV640,AD640),AD640)</f>
        <v>SKLADEM</v>
      </c>
      <c r="AF640" s="735">
        <f t="shared" ref="AF640:AF645" si="1519">IFERROR(IF(AB640=Y640,G640*I640*Y640,0),0)</f>
        <v>0</v>
      </c>
      <c r="AG640" s="735">
        <f t="shared" ref="AG640:AG645" si="1520">IF($W$17=$AF$8,AH640*1.23,AF640*1.21)</f>
        <v>0</v>
      </c>
      <c r="AH640" s="736">
        <f t="shared" ref="AH640:AH645" si="1521">IFERROR(IF(Y640=AB640,H640*I640*Y640,0),0)</f>
        <v>0</v>
      </c>
      <c r="AI640" s="729">
        <f t="shared" ref="AI640:AI645" si="1522">IFERROR(IF(Y640=AB640,(P640*Y640)/1000,1),0)</f>
        <v>0</v>
      </c>
      <c r="AJ640" s="729">
        <f t="shared" ref="AJ640:AJ645" si="1523">IFERROR(IF(Y640=AB640,N640*Y640,0.1),0)</f>
        <v>0</v>
      </c>
      <c r="AK640" s="729" t="str">
        <f t="shared" ref="AK640:AK645" si="1524">IFERROR(IF(Y640=AB640,IF(M640="1.1G",(O640/1000)*Y640,""),""),0)</f>
        <v/>
      </c>
      <c r="AL640" s="729">
        <f t="shared" ref="AL640:AL645" si="1525">IFERROR(IF(Y640=AB640,IF(M640="1.3G",(O640/1000)*AB640,""),""),0)</f>
        <v>0</v>
      </c>
      <c r="AM640" s="729" t="str">
        <f t="shared" ref="AM640:AM645" si="1526">IFERROR(IF(Y640=AB640,IF(M640="1.4G",(O640/1000)*AB640,""),""),0)</f>
        <v/>
      </c>
      <c r="AN640" s="729">
        <f t="shared" ref="AN640:AN645" si="1527">SUM(AK640:AM640)</f>
        <v>0</v>
      </c>
      <c r="AO640" s="380"/>
      <c r="AP640" s="322" t="str">
        <f t="shared" si="1408"/>
        <v/>
      </c>
      <c r="AQ640" s="323" t="str">
        <f>IF(AC640=$V$3,IF(VLOOKUP(C640,[1]List1!$A:$E,5,FALSE)=0,1,VLOOKUP(C640,[1]List1!$A:$E,5,FALSE)),"")</f>
        <v/>
      </c>
      <c r="AR640" s="304" t="str">
        <f t="shared" si="1409"/>
        <v/>
      </c>
      <c r="AS640" s="423" t="str">
        <f t="shared" si="1410"/>
        <v/>
      </c>
      <c r="AT640" s="304" t="str">
        <f t="shared" si="1411"/>
        <v/>
      </c>
      <c r="AU640" s="342" t="e">
        <f t="shared" si="1412"/>
        <v>#N/A</v>
      </c>
      <c r="AV640" s="304" t="e">
        <f t="shared" si="1413"/>
        <v>#N/A</v>
      </c>
      <c r="AX640" s="304">
        <f>IF(AND('General price list'!$J640="F4",'General price list'!$AB640+0&gt;0),1,0)</f>
        <v>0</v>
      </c>
      <c r="AY640" s="304">
        <f t="shared" si="1414"/>
        <v>1</v>
      </c>
      <c r="AZ640" s="304">
        <f t="shared" si="1415"/>
        <v>0</v>
      </c>
    </row>
    <row r="641" spans="1:52" ht="15" customHeight="1">
      <c r="A641" s="712" t="str">
        <f>Kat.!C638</f>
        <v/>
      </c>
      <c r="B641" s="745">
        <f>IF(AND('General price list'!$J641="F4",$AI$1=FALSE),0,IF(AC641="SKLADEM",1,IF(AC641=$V$3,1,0)))</f>
        <v>1</v>
      </c>
      <c r="C641" s="714" t="s">
        <v>5315</v>
      </c>
      <c r="D641" s="715" t="s">
        <v>1389</v>
      </c>
      <c r="E641" s="716" t="s">
        <v>136</v>
      </c>
      <c r="F641" s="712">
        <f>IFERROR(ROUND(IF($AL$3=2,VLOOKUP(C641,[2]List1!$A:$D,2,FALSE)*1.08,VLOOKUP(C641,[2]List1!$A:$D,2,FALSE)),0),"NEUVEDENO!")</f>
        <v>3773</v>
      </c>
      <c r="G641" s="717">
        <f t="shared" si="1514"/>
        <v>3773</v>
      </c>
      <c r="H641" s="718">
        <f t="shared" si="1515"/>
        <v>153.31851484625483</v>
      </c>
      <c r="I641" s="746">
        <v>1</v>
      </c>
      <c r="J641" s="716" t="s">
        <v>137</v>
      </c>
      <c r="K641" s="716">
        <v>6</v>
      </c>
      <c r="L641" s="716" t="s">
        <v>24</v>
      </c>
      <c r="M641" s="716" t="s">
        <v>138</v>
      </c>
      <c r="N641" s="716">
        <f>IFERROR(VLOOKUP(C641,[3]List1!$A:$D,4,FALSE),"N/A!")</f>
        <v>5.1275624999999991E-2</v>
      </c>
      <c r="O641" s="716">
        <f>IFERROR(VLOOKUP(C641,[3]List1!$A:$D,3,FALSE),"N/A!")</f>
        <v>1990</v>
      </c>
      <c r="P641" s="716">
        <f>IFERROR(VLOOKUP(C641,[3]List1!$A:$D,2,FALSE),"N/A!")</f>
        <v>17300</v>
      </c>
      <c r="Q641" s="716" t="s">
        <v>11321</v>
      </c>
      <c r="R641" s="716" t="s">
        <v>24</v>
      </c>
      <c r="S641" s="716" t="str">
        <f>IF($W$17=$AF$1,"červená fólie",IFERROR(VLOOKUP("červená fólie",Jazyky_ceník!$A:$Q,MATCH($W$17,Jazyky_ceník!$A$1:$Q$1,0),FALSE),"!!!"))</f>
        <v>červená fólie</v>
      </c>
      <c r="T641" s="716">
        <v>120</v>
      </c>
      <c r="U641" s="716">
        <v>30</v>
      </c>
      <c r="V641" s="716">
        <v>22</v>
      </c>
      <c r="W641" s="716" t="str">
        <f>IFERROR(VLOOKUP('General price list'!$C641,Popisy!A:P,MATCH($W$17,Popisy!$A$7:$P$7,0),FALSE),"---------------")</f>
        <v>18 různobarevných efektů</v>
      </c>
      <c r="X641" s="716" t="str">
        <f t="shared" si="1516"/>
        <v/>
      </c>
      <c r="Y641" s="716" t="str">
        <f t="shared" si="1517"/>
        <v/>
      </c>
      <c r="Z641" s="716" t="str">
        <f>HYPERLINK("https://www.klasekpyrotechnics.cz/c17825w-c_t")</f>
        <v>https://www.klasekpyrotechnics.cz/c17825w-c_t</v>
      </c>
      <c r="AA641" s="716" t="str">
        <f>IFERROR(IF(VLOOKUP(C641,[4]List1!$A:$D,4,FALSE)=0,"",VLOOKUP(C641,[4]List1!$A:$D,4,FALSE)),"")</f>
        <v>18</v>
      </c>
      <c r="AB641" s="720"/>
      <c r="AC641" s="747" t="str">
        <f>IFERROR(IF(VLOOKUP(C641,[1]List1!$A:$D,2,FALSE)="VYPRODÁNO",$V$9,IF(VLOOKUP(C641,[1]List1!$A:$D,2,FALSE)="DOCHÁZÍ",$V$3,VLOOKUP(C641,[1]List1!$A:$D,2,FALSE))),"OFFLINE!")</f>
        <v>SKLADEM</v>
      </c>
      <c r="AD641" s="748" t="str">
        <f ca="1">IF(AP641="NE",$V$10,IF(AC641=$V$3,IF(AQ641&lt;1,$V$8,$V$2&amp;" "&amp;AQ641&amp;" "&amp;$V$1),IF(AC641="SKLADEM",$V$6,IFERROR(IF(OR(AC641-TODAY()&gt;45,VLOOKUP(C641,[1]List1!$A:$E,4,FALSE)=0),AC641,DAY(AC641)&amp;"."&amp;MONTH(AC641)&amp;"."&amp;YEAR(AC641)&amp;" "&amp;$V$4&amp;VLOOKUP(C641,[1]List1!$A:$E,4,FALSE)&amp;" "&amp;$V$1),AC641))))</f>
        <v>SKLADEM</v>
      </c>
      <c r="AE641" s="716" t="str">
        <f t="shared" ca="1" si="1518"/>
        <v>SKLADEM</v>
      </c>
      <c r="AF641" s="723">
        <f t="shared" si="1519"/>
        <v>0</v>
      </c>
      <c r="AG641" s="723">
        <f t="shared" si="1520"/>
        <v>0</v>
      </c>
      <c r="AH641" s="724">
        <f t="shared" si="1521"/>
        <v>0</v>
      </c>
      <c r="AI641" s="716">
        <f t="shared" si="1522"/>
        <v>0</v>
      </c>
      <c r="AJ641" s="716">
        <f t="shared" si="1523"/>
        <v>0</v>
      </c>
      <c r="AK641" s="716" t="str">
        <f t="shared" si="1524"/>
        <v/>
      </c>
      <c r="AL641" s="716">
        <f t="shared" si="1525"/>
        <v>0</v>
      </c>
      <c r="AM641" s="716" t="str">
        <f t="shared" si="1526"/>
        <v/>
      </c>
      <c r="AN641" s="716">
        <f t="shared" si="1527"/>
        <v>0</v>
      </c>
      <c r="AO641" s="380"/>
      <c r="AP641" s="322" t="str">
        <f t="shared" si="1408"/>
        <v/>
      </c>
      <c r="AQ641" s="323" t="str">
        <f>IF(AC641=$V$3,IF(VLOOKUP(C641,[1]List1!$A:$E,5,FALSE)=0,1,VLOOKUP(C641,[1]List1!$A:$E,5,FALSE)),"")</f>
        <v/>
      </c>
      <c r="AR641" s="304" t="str">
        <f t="shared" si="1409"/>
        <v/>
      </c>
      <c r="AS641" s="423" t="str">
        <f t="shared" si="1410"/>
        <v/>
      </c>
      <c r="AT641" s="304" t="str">
        <f t="shared" si="1411"/>
        <v/>
      </c>
      <c r="AU641" s="342" t="e">
        <f t="shared" si="1412"/>
        <v>#N/A</v>
      </c>
      <c r="AV641" s="304" t="e">
        <f t="shared" si="1413"/>
        <v>#N/A</v>
      </c>
      <c r="AX641" s="304">
        <f>IF(AND('General price list'!$J641="F4",'General price list'!$AB641+0&gt;0),1,0)</f>
        <v>0</v>
      </c>
      <c r="AY641" s="304">
        <f t="shared" si="1414"/>
        <v>1</v>
      </c>
      <c r="AZ641" s="304">
        <f t="shared" si="1415"/>
        <v>0</v>
      </c>
    </row>
    <row r="642" spans="1:52" ht="15" customHeight="1">
      <c r="A642" s="725" t="str">
        <f>Kat.!C639</f>
        <v/>
      </c>
      <c r="B642" s="749">
        <f>IF(AND('General price list'!$J642="F4",$AI$1=FALSE),0,IF(AC642="SKLADEM",1,IF(AC642=$V$3,1,0)))</f>
        <v>1</v>
      </c>
      <c r="C642" s="727" t="s">
        <v>2736</v>
      </c>
      <c r="D642" s="728" t="s">
        <v>1589</v>
      </c>
      <c r="E642" s="729" t="s">
        <v>136</v>
      </c>
      <c r="F642" s="725">
        <f>IFERROR(ROUND(IF($AL$3=2,VLOOKUP(C642,[2]List1!$A:$D,2,FALSE)*1.08,VLOOKUP(C642,[2]List1!$A:$D,2,FALSE)),0),"NEUVEDENO!")</f>
        <v>3247</v>
      </c>
      <c r="G642" s="730">
        <f t="shared" si="1514"/>
        <v>3247</v>
      </c>
      <c r="H642" s="731">
        <f t="shared" si="1515"/>
        <v>131.94413403280927</v>
      </c>
      <c r="I642" s="750">
        <v>1</v>
      </c>
      <c r="J642" s="729" t="s">
        <v>137</v>
      </c>
      <c r="K642" s="729">
        <v>6</v>
      </c>
      <c r="L642" s="729" t="s">
        <v>24</v>
      </c>
      <c r="M642" s="729" t="s">
        <v>138</v>
      </c>
      <c r="N642" s="729">
        <f>IFERROR(VLOOKUP(C642,[3]List1!$A:$D,4,FALSE),"N/A!")</f>
        <v>3.6115624999999998E-2</v>
      </c>
      <c r="O642" s="729">
        <f>IFERROR(VLOOKUP(C642,[3]List1!$A:$D,3,FALSE),"N/A!")</f>
        <v>1990</v>
      </c>
      <c r="P642" s="729">
        <f>IFERROR(VLOOKUP(C642,[3]List1!$A:$D,2,FALSE),"N/A!")</f>
        <v>18200</v>
      </c>
      <c r="Q642" s="729" t="s">
        <v>1110</v>
      </c>
      <c r="R642" s="729" t="s">
        <v>24</v>
      </c>
      <c r="S642" s="729" t="str">
        <f>IF($W$17=$AF$1,"červená fólie",IFERROR(VLOOKUP("červená fólie",Jazyky_ceník!$A:$Q,MATCH($W$17,Jazyky_ceník!$A$1:$Q$1,0),FALSE),"!!!"))</f>
        <v>červená fólie</v>
      </c>
      <c r="T642" s="729">
        <v>160</v>
      </c>
      <c r="U642" s="729">
        <v>30</v>
      </c>
      <c r="V642" s="729">
        <v>22</v>
      </c>
      <c r="W642" s="729" t="str">
        <f>IFERROR(VLOOKUP('General price list'!$C642,Popisy!A:P,MATCH($W$17,Popisy!$A$7:$P$7,0),FALSE),"---------------")</f>
        <v>20 různobarevných efektů</v>
      </c>
      <c r="X642" s="729" t="str">
        <f t="shared" si="1516"/>
        <v/>
      </c>
      <c r="Y642" s="729" t="str">
        <f t="shared" si="1517"/>
        <v/>
      </c>
      <c r="Z642" s="729" t="str">
        <f>HYPERLINK("https://www.klasekpyrotechnics.cz/c20025f-c_t")</f>
        <v>https://www.klasekpyrotechnics.cz/c20025f-c_t</v>
      </c>
      <c r="AA642" s="729">
        <f>IFERROR(IF(VLOOKUP(C642,[4]List1!$A:$D,4,FALSE)=0,"",VLOOKUP(C642,[4]List1!$A:$D,4,FALSE)),"")</f>
        <v>30</v>
      </c>
      <c r="AB642" s="720"/>
      <c r="AC642" s="751" t="str">
        <f>IFERROR(IF(VLOOKUP(C642,[1]List1!$A:$D,2,FALSE)="VYPRODÁNO",$V$9,IF(VLOOKUP(C642,[1]List1!$A:$D,2,FALSE)="DOCHÁZÍ",$V$3,VLOOKUP(C642,[1]List1!$A:$D,2,FALSE))),"OFFLINE!")</f>
        <v>SKLADEM</v>
      </c>
      <c r="AD642" s="752" t="str">
        <f ca="1">IF(AP642="NE",$V$10,IF(AC642=$V$3,IF(AQ642&lt;1,$V$8,$V$2&amp;" "&amp;AQ642&amp;" "&amp;$V$1),IF(AC642="SKLADEM",$V$6,IFERROR(IF(OR(AC642-TODAY()&gt;45,VLOOKUP(C642,[1]List1!$A:$E,4,FALSE)=0),AC642,DAY(AC642)&amp;"."&amp;MONTH(AC642)&amp;"."&amp;YEAR(AC642)&amp;" "&amp;$V$4&amp;VLOOKUP(C642,[1]List1!$A:$E,4,FALSE)&amp;" "&amp;$V$1),AC642))))</f>
        <v>SKLADEM</v>
      </c>
      <c r="AE642" s="729" t="str">
        <f t="shared" ca="1" si="1518"/>
        <v>SKLADEM</v>
      </c>
      <c r="AF642" s="735">
        <f t="shared" si="1519"/>
        <v>0</v>
      </c>
      <c r="AG642" s="735">
        <f t="shared" si="1520"/>
        <v>0</v>
      </c>
      <c r="AH642" s="736">
        <f t="shared" si="1521"/>
        <v>0</v>
      </c>
      <c r="AI642" s="729">
        <f t="shared" si="1522"/>
        <v>0</v>
      </c>
      <c r="AJ642" s="729">
        <f t="shared" si="1523"/>
        <v>0</v>
      </c>
      <c r="AK642" s="729" t="str">
        <f t="shared" si="1524"/>
        <v/>
      </c>
      <c r="AL642" s="729">
        <f t="shared" si="1525"/>
        <v>0</v>
      </c>
      <c r="AM642" s="729" t="str">
        <f t="shared" si="1526"/>
        <v/>
      </c>
      <c r="AN642" s="729">
        <f t="shared" si="1527"/>
        <v>0</v>
      </c>
      <c r="AO642" s="380"/>
      <c r="AP642" s="322" t="str">
        <f t="shared" si="1408"/>
        <v/>
      </c>
      <c r="AQ642" s="323" t="str">
        <f>IF(AC642=$V$3,IF(VLOOKUP(C642,[1]List1!$A:$E,5,FALSE)=0,1,VLOOKUP(C642,[1]List1!$A:$E,5,FALSE)),"")</f>
        <v/>
      </c>
      <c r="AR642" s="304" t="str">
        <f t="shared" si="1409"/>
        <v/>
      </c>
      <c r="AS642" s="423" t="str">
        <f t="shared" si="1410"/>
        <v/>
      </c>
      <c r="AT642" s="304" t="str">
        <f t="shared" si="1411"/>
        <v/>
      </c>
      <c r="AU642" s="342" t="e">
        <f t="shared" si="1412"/>
        <v>#N/A</v>
      </c>
      <c r="AV642" s="304" t="e">
        <f t="shared" si="1413"/>
        <v>#N/A</v>
      </c>
      <c r="AX642" s="304">
        <f>IF(AND('General price list'!$J642="F4",'General price list'!$AB642+0&gt;0),1,0)</f>
        <v>0</v>
      </c>
      <c r="AY642" s="304">
        <f t="shared" si="1414"/>
        <v>1</v>
      </c>
      <c r="AZ642" s="304">
        <f t="shared" si="1415"/>
        <v>0</v>
      </c>
    </row>
    <row r="643" spans="1:52" ht="15" customHeight="1">
      <c r="A643" s="712" t="str">
        <f>Kat.!C640</f>
        <v/>
      </c>
      <c r="B643" s="745">
        <f>IF(AND('General price list'!$J643="F4",$AI$1=FALSE),0,IF(AC643="SKLADEM",1,IF(AC643=$V$3,1,0)))</f>
        <v>1</v>
      </c>
      <c r="C643" s="714" t="s">
        <v>2737</v>
      </c>
      <c r="D643" s="715" t="s">
        <v>1390</v>
      </c>
      <c r="E643" s="716" t="s">
        <v>136</v>
      </c>
      <c r="F643" s="712">
        <f>IFERROR(ROUND(IF($AL$3=2,VLOOKUP(C643,[2]List1!$A:$D,2,FALSE)*1.08,VLOOKUP(C643,[2]List1!$A:$D,2,FALSE)),0),"NEUVEDENO!")</f>
        <v>5039</v>
      </c>
      <c r="G643" s="717">
        <f t="shared" si="1514"/>
        <v>5039</v>
      </c>
      <c r="H643" s="718">
        <f t="shared" si="1515"/>
        <v>204.76331733641084</v>
      </c>
      <c r="I643" s="746">
        <v>1</v>
      </c>
      <c r="J643" s="716" t="s">
        <v>137</v>
      </c>
      <c r="K643" s="716">
        <v>6</v>
      </c>
      <c r="L643" s="716" t="s">
        <v>24</v>
      </c>
      <c r="M643" s="716" t="s">
        <v>138</v>
      </c>
      <c r="N643" s="716">
        <f>IFERROR(VLOOKUP(C643,[3]List1!$A:$D,4,FALSE),"N/A!")</f>
        <v>5.3746875E-2</v>
      </c>
      <c r="O643" s="716">
        <f>IFERROR(VLOOKUP(C643,[3]List1!$A:$D,3,FALSE),"N/A!")</f>
        <v>2985</v>
      </c>
      <c r="P643" s="716">
        <f>IFERROR(VLOOKUP(C643,[3]List1!$A:$D,2,FALSE),"N/A!")</f>
        <v>26800</v>
      </c>
      <c r="Q643" s="716" t="s">
        <v>1121</v>
      </c>
      <c r="R643" s="716" t="s">
        <v>24</v>
      </c>
      <c r="S643" s="716" t="str">
        <f>IF($W$17=$AF$1,"červená fólie",IFERROR(VLOOKUP("červená fólie",Jazyky_ceník!$A:$Q,MATCH($W$17,Jazyky_ceník!$A$1:$Q$1,0),FALSE),"!!!"))</f>
        <v>červená fólie</v>
      </c>
      <c r="T643" s="716">
        <v>240</v>
      </c>
      <c r="U643" s="716">
        <v>30</v>
      </c>
      <c r="V643" s="716">
        <v>22</v>
      </c>
      <c r="W643" s="716" t="str">
        <f>IFERROR(VLOOKUP('General price list'!$C643,Popisy!A:P,MATCH($W$17,Popisy!$A$7:$P$7,0),FALSE),"---------------")</f>
        <v>30 různobarevných efektů</v>
      </c>
      <c r="X643" s="716" t="str">
        <f t="shared" si="1516"/>
        <v/>
      </c>
      <c r="Y643" s="716" t="str">
        <f t="shared" si="1517"/>
        <v/>
      </c>
      <c r="Z643" s="716" t="str">
        <f>HYPERLINK("https://www.klasekpyrotechnics.cz/c30025f-c_t")</f>
        <v>https://www.klasekpyrotechnics.cz/c30025f-c_t</v>
      </c>
      <c r="AA643" s="716">
        <f>IFERROR(IF(VLOOKUP(C643,[4]List1!$A:$D,4,FALSE)=0,"",VLOOKUP(C643,[4]List1!$A:$D,4,FALSE)),"")</f>
        <v>18</v>
      </c>
      <c r="AB643" s="720"/>
      <c r="AC643" s="747" t="str">
        <f>IFERROR(IF(VLOOKUP(C643,[1]List1!$A:$D,2,FALSE)="VYPRODÁNO",$V$9,IF(VLOOKUP(C643,[1]List1!$A:$D,2,FALSE)="DOCHÁZÍ",$V$3,VLOOKUP(C643,[1]List1!$A:$D,2,FALSE))),"OFFLINE!")</f>
        <v>DOCHÁZÍ</v>
      </c>
      <c r="AD643" s="748" t="str">
        <f ca="1">IF(AP643="NE",$V$10,IF(AC643=$V$3,IF(AQ643&lt;1,$V$8,$V$2&amp;" "&amp;AQ643&amp;" "&amp;$V$1),IF(AC643="SKLADEM",$V$6,IFERROR(IF(OR(AC643-TODAY()&gt;45,VLOOKUP(C643,[1]List1!$A:$E,4,FALSE)=0),AC643,DAY(AC643)&amp;"."&amp;MONTH(AC643)&amp;"."&amp;YEAR(AC643)&amp;" "&amp;$V$4&amp;VLOOKUP(C643,[1]List1!$A:$E,4,FALSE)&amp;" "&amp;$V$1),AC643))))</f>
        <v>POSLEDNÍCH 38 VK</v>
      </c>
      <c r="AE643" s="716" t="str">
        <f t="shared" ca="1" si="1518"/>
        <v>POSLEDNÍCH 38 VK</v>
      </c>
      <c r="AF643" s="723">
        <f t="shared" si="1519"/>
        <v>0</v>
      </c>
      <c r="AG643" s="723">
        <f t="shared" si="1520"/>
        <v>0</v>
      </c>
      <c r="AH643" s="724">
        <f t="shared" si="1521"/>
        <v>0</v>
      </c>
      <c r="AI643" s="716">
        <f t="shared" si="1522"/>
        <v>0</v>
      </c>
      <c r="AJ643" s="716">
        <f t="shared" si="1523"/>
        <v>0</v>
      </c>
      <c r="AK643" s="716" t="str">
        <f t="shared" si="1524"/>
        <v/>
      </c>
      <c r="AL643" s="716">
        <f t="shared" si="1525"/>
        <v>0</v>
      </c>
      <c r="AM643" s="716" t="str">
        <f t="shared" si="1526"/>
        <v/>
      </c>
      <c r="AN643" s="716">
        <f t="shared" si="1527"/>
        <v>0</v>
      </c>
      <c r="AO643" s="380"/>
      <c r="AP643" s="322" t="str">
        <f t="shared" si="1408"/>
        <v/>
      </c>
      <c r="AQ643" s="323">
        <f>IF(AC643=$V$3,IF(VLOOKUP(C643,[1]List1!$A:$E,5,FALSE)=0,1,VLOOKUP(C643,[1]List1!$A:$E,5,FALSE)),"")</f>
        <v>38</v>
      </c>
      <c r="AR643" s="304" t="str">
        <f t="shared" si="1409"/>
        <v/>
      </c>
      <c r="AS643" s="423" t="str">
        <f t="shared" si="1410"/>
        <v/>
      </c>
      <c r="AT643" s="304" t="str">
        <f t="shared" si="1411"/>
        <v/>
      </c>
      <c r="AU643" s="342" t="e">
        <f t="shared" si="1412"/>
        <v>#N/A</v>
      </c>
      <c r="AV643" s="304" t="e">
        <f t="shared" si="1413"/>
        <v>#N/A</v>
      </c>
      <c r="AX643" s="304">
        <f>IF(AND('General price list'!$J643="F4",'General price list'!$AB643+0&gt;0),1,0)</f>
        <v>0</v>
      </c>
      <c r="AY643" s="304">
        <f t="shared" si="1414"/>
        <v>1</v>
      </c>
      <c r="AZ643" s="304">
        <f t="shared" si="1415"/>
        <v>0</v>
      </c>
    </row>
    <row r="644" spans="1:52" ht="15" customHeight="1">
      <c r="A644" s="725" t="str">
        <f>Kat.!C641</f>
        <v/>
      </c>
      <c r="B644" s="749">
        <f>IF(AND('General price list'!$J644="F4",$AI$1=FALSE),0,IF(AC644="SKLADEM",1,IF(AC644=$V$3,1,0)))</f>
        <v>1</v>
      </c>
      <c r="C644" s="727" t="s">
        <v>2738</v>
      </c>
      <c r="D644" s="728" t="s">
        <v>14596</v>
      </c>
      <c r="E644" s="729" t="s">
        <v>136</v>
      </c>
      <c r="F644" s="725">
        <f>IFERROR(ROUND(IF($AL$3=2,VLOOKUP(C644,[2]List1!$A:$D,2,FALSE)*1.08,VLOOKUP(C644,[2]List1!$A:$D,2,FALSE)),0),"NEUVEDENO!")</f>
        <v>4927</v>
      </c>
      <c r="G644" s="730">
        <f t="shared" si="1514"/>
        <v>4927</v>
      </c>
      <c r="H644" s="731">
        <f t="shared" si="1515"/>
        <v>200.21211837993573</v>
      </c>
      <c r="I644" s="750">
        <v>1</v>
      </c>
      <c r="J644" s="729" t="s">
        <v>137</v>
      </c>
      <c r="K644" s="729">
        <v>6</v>
      </c>
      <c r="L644" s="729" t="s">
        <v>24</v>
      </c>
      <c r="M644" s="729" t="s">
        <v>138</v>
      </c>
      <c r="N644" s="729">
        <f>IFERROR(VLOOKUP(C644,[3]List1!$A:$D,4,FALSE),"N/A!")</f>
        <v>5.3746875E-2</v>
      </c>
      <c r="O644" s="729">
        <f>IFERROR(VLOOKUP(C644,[3]List1!$A:$D,3,FALSE),"N/A!")</f>
        <v>2990</v>
      </c>
      <c r="P644" s="729">
        <f>IFERROR(VLOOKUP(C644,[3]List1!$A:$D,2,FALSE),"N/A!")</f>
        <v>23000</v>
      </c>
      <c r="Q644" s="729" t="s">
        <v>1110</v>
      </c>
      <c r="R644" s="729" t="s">
        <v>24</v>
      </c>
      <c r="S644" s="729" t="str">
        <f>IF($W$17=$AF$1,"červená fólie",IFERROR(VLOOKUP("červená fólie",Jazyky_ceník!$A:$Q,MATCH($W$17,Jazyky_ceník!$A$1:$Q$1,0),FALSE),"!!!"))</f>
        <v>červená fólie</v>
      </c>
      <c r="T644" s="729">
        <v>200</v>
      </c>
      <c r="U644" s="729">
        <v>30</v>
      </c>
      <c r="V644" s="729">
        <v>20</v>
      </c>
      <c r="W644" s="729" t="str">
        <f>IFERROR(VLOOKUP('General price list'!$C644,Popisy!A:P,MATCH($W$17,Popisy!$A$7:$P$7,0),FALSE),"---------------")</f>
        <v>30 různobarevných efektů</v>
      </c>
      <c r="X644" s="729" t="str">
        <f t="shared" si="1516"/>
        <v/>
      </c>
      <c r="Y644" s="729" t="str">
        <f t="shared" si="1517"/>
        <v/>
      </c>
      <c r="Z644" s="729" t="str">
        <f>HYPERLINK("https://www.klasekpyrotechnics.cz/c30025bpw-c_t")</f>
        <v>https://www.klasekpyrotechnics.cz/c30025bpw-c_t</v>
      </c>
      <c r="AA644" s="729">
        <f>IFERROR(IF(VLOOKUP(C644,[4]List1!$A:$D,4,FALSE)=0,"",VLOOKUP(C644,[4]List1!$A:$D,4,FALSE)),"")</f>
        <v>18</v>
      </c>
      <c r="AB644" s="720"/>
      <c r="AC644" s="751" t="str">
        <f>IFERROR(IF(VLOOKUP(C644,[1]List1!$A:$D,2,FALSE)="VYPRODÁNO",$V$9,IF(VLOOKUP(C644,[1]List1!$A:$D,2,FALSE)="DOCHÁZÍ",$V$3,VLOOKUP(C644,[1]List1!$A:$D,2,FALSE))),"OFFLINE!")</f>
        <v>SKLADEM</v>
      </c>
      <c r="AD644" s="752" t="str">
        <f ca="1">IF(AP644="NE",$V$10,IF(AC644=$V$3,IF(AQ644&lt;1,$V$8,$V$2&amp;" "&amp;AQ644&amp;" "&amp;$V$1),IF(AC644="SKLADEM",$V$6,IFERROR(IF(OR(AC644-TODAY()&gt;45,VLOOKUP(C644,[1]List1!$A:$E,4,FALSE)=0),AC644,DAY(AC644)&amp;"."&amp;MONTH(AC644)&amp;"."&amp;YEAR(AC644)&amp;" "&amp;$V$4&amp;VLOOKUP(C644,[1]List1!$A:$E,4,FALSE)&amp;" "&amp;$V$1),AC644))))</f>
        <v>SKLADEM</v>
      </c>
      <c r="AE644" s="729" t="str">
        <f t="shared" ca="1" si="1518"/>
        <v>SKLADEM</v>
      </c>
      <c r="AF644" s="735">
        <f t="shared" si="1519"/>
        <v>0</v>
      </c>
      <c r="AG644" s="735">
        <f t="shared" si="1520"/>
        <v>0</v>
      </c>
      <c r="AH644" s="736">
        <f t="shared" si="1521"/>
        <v>0</v>
      </c>
      <c r="AI644" s="729">
        <f t="shared" si="1522"/>
        <v>0</v>
      </c>
      <c r="AJ644" s="729">
        <f t="shared" si="1523"/>
        <v>0</v>
      </c>
      <c r="AK644" s="729" t="str">
        <f t="shared" si="1524"/>
        <v/>
      </c>
      <c r="AL644" s="729">
        <f t="shared" si="1525"/>
        <v>0</v>
      </c>
      <c r="AM644" s="729" t="str">
        <f t="shared" si="1526"/>
        <v/>
      </c>
      <c r="AN644" s="729">
        <f t="shared" si="1527"/>
        <v>0</v>
      </c>
      <c r="AO644" s="380"/>
      <c r="AP644" s="322" t="str">
        <f t="shared" si="1408"/>
        <v/>
      </c>
      <c r="AQ644" s="323" t="str">
        <f>IF(AC644=$V$3,IF(VLOOKUP(C644,[1]List1!$A:$E,5,FALSE)=0,1,VLOOKUP(C644,[1]List1!$A:$E,5,FALSE)),"")</f>
        <v/>
      </c>
      <c r="AR644" s="304" t="str">
        <f t="shared" si="1409"/>
        <v/>
      </c>
      <c r="AS644" s="423" t="str">
        <f t="shared" si="1410"/>
        <v/>
      </c>
      <c r="AT644" s="304" t="str">
        <f t="shared" si="1411"/>
        <v/>
      </c>
      <c r="AU644" s="342" t="e">
        <f t="shared" si="1412"/>
        <v>#N/A</v>
      </c>
      <c r="AV644" s="304" t="e">
        <f t="shared" si="1413"/>
        <v>#N/A</v>
      </c>
      <c r="AX644" s="304">
        <f>IF(AND('General price list'!$J644="F4",'General price list'!$AB644+0&gt;0),1,0)</f>
        <v>0</v>
      </c>
      <c r="AY644" s="304">
        <f t="shared" si="1414"/>
        <v>1</v>
      </c>
      <c r="AZ644" s="304">
        <f t="shared" si="1415"/>
        <v>0</v>
      </c>
    </row>
    <row r="645" spans="1:52" ht="15" customHeight="1">
      <c r="A645" s="712" t="str">
        <f>Kat.!C642</f>
        <v/>
      </c>
      <c r="B645" s="745">
        <f>IF(AND('General price list'!$J645="F4",$AI$1=FALSE),0,IF(AC645="SKLADEM",1,IF(AC645=$V$3,1,0)))</f>
        <v>1</v>
      </c>
      <c r="C645" s="714" t="s">
        <v>2739</v>
      </c>
      <c r="D645" s="715" t="s">
        <v>1394</v>
      </c>
      <c r="E645" s="716" t="s">
        <v>136</v>
      </c>
      <c r="F645" s="712">
        <f>IFERROR(ROUND(IF($AL$3=2,VLOOKUP(C645,[2]List1!$A:$D,2,FALSE)*1.08,VLOOKUP(C645,[2]List1!$A:$D,2,FALSE)),0),"NEUVEDENO!")</f>
        <v>6586</v>
      </c>
      <c r="G645" s="717">
        <f t="shared" si="1514"/>
        <v>6586</v>
      </c>
      <c r="H645" s="718">
        <f t="shared" si="1515"/>
        <v>267.62675292272309</v>
      </c>
      <c r="I645" s="746">
        <v>1</v>
      </c>
      <c r="J645" s="716" t="s">
        <v>137</v>
      </c>
      <c r="K645" s="716">
        <v>6</v>
      </c>
      <c r="L645" s="716" t="s">
        <v>24</v>
      </c>
      <c r="M645" s="716" t="s">
        <v>138</v>
      </c>
      <c r="N645" s="716">
        <f>IFERROR(VLOOKUP(C645,[3]List1!$A:$D,4,FALSE),"N/A!")</f>
        <v>7.0564374999999999E-2</v>
      </c>
      <c r="O645" s="716">
        <f>IFERROR(VLOOKUP(C645,[3]List1!$A:$D,3,FALSE),"N/A!")</f>
        <v>3980</v>
      </c>
      <c r="P645" s="716">
        <f>IFERROR(VLOOKUP(C645,[3]List1!$A:$D,2,FALSE),"N/A!")</f>
        <v>33500</v>
      </c>
      <c r="Q645" s="716" t="s">
        <v>11853</v>
      </c>
      <c r="R645" s="716" t="s">
        <v>24</v>
      </c>
      <c r="S645" s="716" t="str">
        <f>IF($W$17=$AF$1,"červená fólie",IFERROR(VLOOKUP("červená fólie",Jazyky_ceník!$A:$Q,MATCH($W$17,Jazyky_ceník!$A$1:$Q$1,0),FALSE),"!!!"))</f>
        <v>červená fólie</v>
      </c>
      <c r="T645" s="716">
        <v>300</v>
      </c>
      <c r="U645" s="716">
        <v>30</v>
      </c>
      <c r="V645" s="716">
        <v>22</v>
      </c>
      <c r="W645" s="716" t="str">
        <f>IFERROR(VLOOKUP('General price list'!$C645,Popisy!A:P,MATCH($W$17,Popisy!$A$7:$P$7,0),FALSE),"---------------")</f>
        <v>40 různobarevných efektů</v>
      </c>
      <c r="X645" s="716" t="str">
        <f t="shared" si="1516"/>
        <v/>
      </c>
      <c r="Y645" s="716" t="str">
        <f t="shared" si="1517"/>
        <v/>
      </c>
      <c r="Z645" s="716" t="str">
        <f>HYPERLINK("https://www.klasekpyrotechnics.cz/c40025f-c_t")</f>
        <v>https://www.klasekpyrotechnics.cz/c40025f-c_t</v>
      </c>
      <c r="AA645" s="716" t="str">
        <f>IFERROR(IF(VLOOKUP(C645,[4]List1!$A:$D,4,FALSE)=0,"",VLOOKUP(C645,[4]List1!$A:$D,4,FALSE)),"")</f>
        <v>20</v>
      </c>
      <c r="AB645" s="720"/>
      <c r="AC645" s="747" t="str">
        <f>IFERROR(IF(VLOOKUP(C645,[1]List1!$A:$D,2,FALSE)="VYPRODÁNO",$V$9,IF(VLOOKUP(C645,[1]List1!$A:$D,2,FALSE)="DOCHÁZÍ",$V$3,VLOOKUP(C645,[1]List1!$A:$D,2,FALSE))),"OFFLINE!")</f>
        <v>DOCHÁZÍ</v>
      </c>
      <c r="AD645" s="748" t="str">
        <f ca="1">IF(AP645="NE",$V$10,IF(AC645=$V$3,IF(AQ645&lt;1,$V$8,$V$2&amp;" "&amp;AQ645&amp;" "&amp;$V$1),IF(AC645="SKLADEM",$V$6,IFERROR(IF(OR(AC645-TODAY()&gt;45,VLOOKUP(C645,[1]List1!$A:$E,4,FALSE)=0),AC645,DAY(AC645)&amp;"."&amp;MONTH(AC645)&amp;"."&amp;YEAR(AC645)&amp;" "&amp;$V$4&amp;VLOOKUP(C645,[1]List1!$A:$E,4,FALSE)&amp;" "&amp;$V$1),AC645))))</f>
        <v>POSLEDNÍCH 71 VK</v>
      </c>
      <c r="AE645" s="716" t="str">
        <f t="shared" ca="1" si="1518"/>
        <v>POSLEDNÍCH 71 VK</v>
      </c>
      <c r="AF645" s="723">
        <f t="shared" si="1519"/>
        <v>0</v>
      </c>
      <c r="AG645" s="723">
        <f t="shared" si="1520"/>
        <v>0</v>
      </c>
      <c r="AH645" s="724">
        <f t="shared" si="1521"/>
        <v>0</v>
      </c>
      <c r="AI645" s="716">
        <f t="shared" si="1522"/>
        <v>0</v>
      </c>
      <c r="AJ645" s="716">
        <f t="shared" si="1523"/>
        <v>0</v>
      </c>
      <c r="AK645" s="716" t="str">
        <f t="shared" si="1524"/>
        <v/>
      </c>
      <c r="AL645" s="716">
        <f t="shared" si="1525"/>
        <v>0</v>
      </c>
      <c r="AM645" s="716" t="str">
        <f t="shared" si="1526"/>
        <v/>
      </c>
      <c r="AN645" s="716">
        <f t="shared" si="1527"/>
        <v>0</v>
      </c>
      <c r="AO645" s="380"/>
      <c r="AP645" s="322" t="str">
        <f t="shared" si="1408"/>
        <v/>
      </c>
      <c r="AQ645" s="323">
        <f>IF(AC645=$V$3,IF(VLOOKUP(C645,[1]List1!$A:$E,5,FALSE)=0,1,VLOOKUP(C645,[1]List1!$A:$E,5,FALSE)),"")</f>
        <v>71</v>
      </c>
      <c r="AR645" s="304" t="str">
        <f t="shared" si="1409"/>
        <v/>
      </c>
      <c r="AS645" s="423" t="str">
        <f t="shared" si="1410"/>
        <v/>
      </c>
      <c r="AT645" s="304" t="str">
        <f t="shared" si="1411"/>
        <v/>
      </c>
      <c r="AU645" s="342" t="e">
        <f t="shared" si="1412"/>
        <v>#N/A</v>
      </c>
      <c r="AV645" s="304" t="e">
        <f t="shared" si="1413"/>
        <v>#N/A</v>
      </c>
      <c r="AX645" s="304">
        <f>IF(AND('General price list'!$J645="F4",'General price list'!$AB645+0&gt;0),1,0)</f>
        <v>0</v>
      </c>
      <c r="AY645" s="304">
        <f t="shared" si="1414"/>
        <v>1</v>
      </c>
      <c r="AZ645" s="304">
        <f t="shared" si="1415"/>
        <v>0</v>
      </c>
    </row>
    <row r="646" spans="1:52" ht="15" customHeight="1">
      <c r="A646" s="773" t="str">
        <f>Kat.!C643</f>
        <v xml:space="preserve">                                                               Baterie 16ran, 30mm moždíř-1.3G</v>
      </c>
      <c r="B646" s="774"/>
      <c r="C646" s="774"/>
      <c r="D646" s="774"/>
      <c r="E646" s="774"/>
      <c r="F646" s="774"/>
      <c r="G646" s="774"/>
      <c r="H646" s="774"/>
      <c r="I646" s="774"/>
      <c r="J646" s="774"/>
      <c r="K646" s="774"/>
      <c r="L646" s="774"/>
      <c r="M646" s="774"/>
      <c r="N646" s="774"/>
      <c r="O646" s="774"/>
      <c r="P646" s="774"/>
      <c r="Q646" s="774"/>
      <c r="R646" s="774"/>
      <c r="S646" s="774"/>
      <c r="T646" s="774"/>
      <c r="U646" s="774"/>
      <c r="V646" s="774"/>
      <c r="W646" s="774"/>
      <c r="X646" s="774"/>
      <c r="Y646" s="774"/>
      <c r="Z646" s="774"/>
      <c r="AA646" s="774" t="str">
        <f>IFERROR(IF(VLOOKUP(C646,[4]List1!$A:$D,4,FALSE)=0,"",VLOOKUP(C646,[4]List1!$A:$D,4,FALSE)),"")</f>
        <v/>
      </c>
      <c r="AB646" s="774"/>
      <c r="AC646" s="775" t="str">
        <f>IFERROR(IF(VLOOKUP(C646,[1]List1!$A:$D,2,FALSE)="VYPRODÁNO",$V$9,IF(VLOOKUP(C646,[1]List1!$A:$D,2,FALSE)="DOCHÁZÍ",$V$3,VLOOKUP(C646,[1]List1!$A:$D,2,FALSE))),"OFFLINE!")</f>
        <v>OFFLINE!</v>
      </c>
      <c r="AD646" s="774"/>
      <c r="AE646" s="774"/>
      <c r="AF646" s="774"/>
      <c r="AG646" s="774"/>
      <c r="AH646" s="774"/>
      <c r="AI646" s="774"/>
      <c r="AJ646" s="774"/>
      <c r="AK646" s="774"/>
      <c r="AL646" s="774"/>
      <c r="AM646" s="774"/>
      <c r="AN646" s="774"/>
      <c r="AO646" s="380"/>
      <c r="AP646" s="322" t="str">
        <f t="shared" si="1408"/>
        <v/>
      </c>
      <c r="AQ646" s="323" t="str">
        <f>IF(AC646=$V$3,IF(VLOOKUP(C646,[1]List1!$A:$E,5,FALSE)=0,1,VLOOKUP(C646,[1]List1!$A:$E,5,FALSE)),"")</f>
        <v/>
      </c>
      <c r="AR646" s="304" t="str">
        <f t="shared" si="1409"/>
        <v/>
      </c>
      <c r="AS646" s="423" t="str">
        <f t="shared" si="1410"/>
        <v/>
      </c>
      <c r="AT646" s="304" t="str">
        <f t="shared" si="1411"/>
        <v/>
      </c>
      <c r="AU646" s="342" t="e">
        <f t="shared" si="1412"/>
        <v>#N/A</v>
      </c>
      <c r="AV646" s="304" t="e">
        <f t="shared" si="1413"/>
        <v>#N/A</v>
      </c>
      <c r="AX646" s="304">
        <f>IF(AND('General price list'!$J646="F4",'General price list'!$AB646+0&gt;0),1,0)</f>
        <v>0</v>
      </c>
      <c r="AY646" s="304">
        <f t="shared" si="1414"/>
        <v>0</v>
      </c>
      <c r="AZ646" s="304">
        <f t="shared" si="1415"/>
        <v>0</v>
      </c>
    </row>
    <row r="647" spans="1:52" ht="15" customHeight="1">
      <c r="A647" s="712" t="str">
        <f>Kat.!C644</f>
        <v/>
      </c>
      <c r="B647" s="713">
        <f>IF(AND('General price list'!$J647="F4",$AI$1=FALSE),0,IF(AC647="SKLADEM",1,IF(AC647=$V$3,1,0)))</f>
        <v>1</v>
      </c>
      <c r="C647" s="714" t="s">
        <v>1407</v>
      </c>
      <c r="D647" s="715" t="s">
        <v>14597</v>
      </c>
      <c r="E647" s="716" t="s">
        <v>1312</v>
      </c>
      <c r="F647" s="712">
        <f>IFERROR(ROUND(IF($AL$3=2,VLOOKUP(C647,[2]List1!$A:$D,2,FALSE)*1.08,VLOOKUP(C647,[2]List1!$A:$D,2,FALSE)),0),"NEUVEDENO!")</f>
        <v>299</v>
      </c>
      <c r="G647" s="717">
        <f t="shared" ref="G647:G653" si="1528">(F647)*$B$19</f>
        <v>299</v>
      </c>
      <c r="H647" s="718">
        <f t="shared" ref="H647:H653" si="1529">G647/$F$19</f>
        <v>12.150075785589767</v>
      </c>
      <c r="I647" s="719">
        <v>10</v>
      </c>
      <c r="J647" s="716" t="s">
        <v>46</v>
      </c>
      <c r="K647" s="716" t="s">
        <v>14820</v>
      </c>
      <c r="L647" s="716" t="s">
        <v>14380</v>
      </c>
      <c r="M647" s="716" t="s">
        <v>138</v>
      </c>
      <c r="N647" s="716">
        <f>IFERROR(VLOOKUP(C647,[3]List1!$A:$D,4,FALSE),"N/A!")</f>
        <v>4.6068749999999999E-2</v>
      </c>
      <c r="O647" s="716">
        <f>IFERROR(VLOOKUP(C647,[3]List1!$A:$D,3,FALSE),"N/A!")</f>
        <v>2800</v>
      </c>
      <c r="P647" s="716">
        <f>IFERROR(VLOOKUP(C647,[3]List1!$A:$D,2,FALSE),"N/A!")</f>
        <v>18500</v>
      </c>
      <c r="Q647" s="716" t="s">
        <v>14133</v>
      </c>
      <c r="R647" s="716" t="s">
        <v>24</v>
      </c>
      <c r="S647" s="716" t="str">
        <f>IF($W$17=$AF$1,"design",IFERROR(VLOOKUP("design",Jazyky_ceník!$A:$Q,MATCH($W$17,Jazyky_ceník!$A$1:$Q$1,0),FALSE),"!!!"))</f>
        <v>design</v>
      </c>
      <c r="T647" s="716">
        <v>23</v>
      </c>
      <c r="U647" s="716">
        <v>40</v>
      </c>
      <c r="V647" s="716">
        <v>29</v>
      </c>
      <c r="W647" s="716" t="str">
        <f>IFERROR(VLOOKUP('General price list'!$C647,Popisy!A:P,MATCH($W$17,Popisy!$A$7:$P$7,0),FALSE),"---------------")</f>
        <v>4 různobarevné efekty</v>
      </c>
      <c r="X647" s="716" t="str">
        <f t="shared" ref="X647:X653" si="1530">IF(AB647&lt;0.0001,"",AB647)</f>
        <v/>
      </c>
      <c r="Y647" s="716" t="str">
        <f t="shared" ref="Y647:Y653" si="1531">IF($AL$3=2,IF(OR(AB647&lt;&gt;"",AB647&lt;&gt;0),AU647,""),IF(C647="","",IF(AB647&lt;0.0001,"",IF(B647=0,"",IF(AQ647&lt;AB647,"",AB647)))))</f>
        <v/>
      </c>
      <c r="Z647" s="716" t="str">
        <f>HYPERLINK("https://www.klasekpyrotechnics.cz/c163bp")</f>
        <v>https://www.klasekpyrotechnics.cz/c163bp</v>
      </c>
      <c r="AA647" s="716">
        <f>IFERROR(IF(VLOOKUP(C647,[4]List1!$A:$D,4,FALSE)=0,"",VLOOKUP(C647,[4]List1!$A:$D,4,FALSE)),"")</f>
        <v>32</v>
      </c>
      <c r="AB647" s="720"/>
      <c r="AC647" s="721" t="str">
        <f>IFERROR(IF(VLOOKUP(C647,[1]List1!$A:$D,2,FALSE)="VYPRODÁNO",$V$9,IF(VLOOKUP(C647,[1]List1!$A:$D,2,FALSE)="DOCHÁZÍ",$V$3,VLOOKUP(C647,[1]List1!$A:$D,2,FALSE))),"OFFLINE!")</f>
        <v>SKLADEM</v>
      </c>
      <c r="AD647" s="722" t="str">
        <f ca="1">IF(AP647="NE",$V$10,IF(AC647=$V$3,IF(AQ647&lt;1,$V$8,$V$2&amp;" "&amp;AQ647&amp;" "&amp;$V$1),IF(AC647="SKLADEM",$V$6,IFERROR(IF(OR(AC647-TODAY()&gt;45,VLOOKUP(C647,[1]List1!$A:$E,4,FALSE)=0),AC647,DAY(AC647)&amp;"."&amp;MONTH(AC647)&amp;"."&amp;YEAR(AC647)&amp;" "&amp;$V$4&amp;VLOOKUP(C647,[1]List1!$A:$E,4,FALSE)&amp;" "&amp;$V$1),AC647))))</f>
        <v>SKLADEM</v>
      </c>
      <c r="AE647" s="716" t="str">
        <f t="shared" ref="AE647:AE653" ca="1" si="1532">IFERROR(IF(AV647&lt;&gt;"",AV647,AD647),AD647)</f>
        <v>SKLADEM</v>
      </c>
      <c r="AF647" s="723">
        <f t="shared" ref="AF647:AF653" si="1533">IFERROR(IF(AB647=Y647,G647*I647*Y647,0),0)</f>
        <v>0</v>
      </c>
      <c r="AG647" s="723">
        <f t="shared" ref="AG647:AG653" si="1534">IF($W$17=$AF$8,AH647*1.23,AF647*1.21)</f>
        <v>0</v>
      </c>
      <c r="AH647" s="724">
        <f t="shared" ref="AH647:AH653" si="1535">IFERROR(IF(Y647=AB647,H647*I647*Y647,0),0)</f>
        <v>0</v>
      </c>
      <c r="AI647" s="716">
        <f t="shared" ref="AI647:AI653" si="1536">IFERROR(IF(Y647=AB647,(P647*Y647)/1000,1),0)</f>
        <v>0</v>
      </c>
      <c r="AJ647" s="716">
        <f t="shared" ref="AJ647:AJ653" si="1537">IFERROR(IF(Y647=AB647,N647*Y647,0.1),0)</f>
        <v>0</v>
      </c>
      <c r="AK647" s="716" t="str">
        <f t="shared" ref="AK647:AK653" si="1538">IFERROR(IF(Y647=AB647,IF(M647="1.1G",(O647/1000)*Y647,""),""),0)</f>
        <v/>
      </c>
      <c r="AL647" s="716">
        <f t="shared" ref="AL647:AL653" si="1539">IFERROR(IF(Y647=AB647,IF(M647="1.3G",(O647/1000)*AB647,""),""),0)</f>
        <v>0</v>
      </c>
      <c r="AM647" s="716" t="str">
        <f t="shared" ref="AM647:AM653" si="1540">IFERROR(IF(Y647=AB647,IF(M647="1.4G",(O647/1000)*AB647,""),""),0)</f>
        <v/>
      </c>
      <c r="AN647" s="716">
        <f t="shared" ref="AN647:AN653" si="1541">SUM(AK647:AM647)</f>
        <v>0</v>
      </c>
      <c r="AO647" s="380"/>
      <c r="AP647" s="322" t="str">
        <f t="shared" si="1408"/>
        <v/>
      </c>
      <c r="AQ647" s="323" t="str">
        <f>IF(AC647=$V$3,IF(VLOOKUP(C647,[1]List1!$A:$E,5,FALSE)=0,1,VLOOKUP(C647,[1]List1!$A:$E,5,FALSE)),"")</f>
        <v/>
      </c>
      <c r="AR647" s="304" t="str">
        <f t="shared" si="1409"/>
        <v/>
      </c>
      <c r="AS647" s="423" t="str">
        <f t="shared" si="1410"/>
        <v/>
      </c>
      <c r="AT647" s="304" t="str">
        <f t="shared" si="1411"/>
        <v/>
      </c>
      <c r="AU647" s="342" t="e">
        <f t="shared" si="1412"/>
        <v>#N/A</v>
      </c>
      <c r="AV647" s="304" t="e">
        <f t="shared" si="1413"/>
        <v>#N/A</v>
      </c>
      <c r="AX647" s="304">
        <f>IF(AND('General price list'!$J647="F4",'General price list'!$AB647+0&gt;0),1,0)</f>
        <v>0</v>
      </c>
      <c r="AY647" s="304">
        <f t="shared" si="1414"/>
        <v>1</v>
      </c>
      <c r="AZ647" s="304">
        <f t="shared" si="1415"/>
        <v>0</v>
      </c>
    </row>
    <row r="648" spans="1:52" ht="15" customHeight="1">
      <c r="A648" s="725" t="str">
        <f>Kat.!C645</f>
        <v/>
      </c>
      <c r="B648" s="726">
        <f>IF(AND('General price list'!$J648="F4",$AI$1=FALSE),0,IF(AC648="SKLADEM",1,IF(AC648=$V$3,1,0)))</f>
        <v>0</v>
      </c>
      <c r="C648" s="727" t="s">
        <v>1408</v>
      </c>
      <c r="D648" s="728" t="s">
        <v>12850</v>
      </c>
      <c r="E648" s="729" t="s">
        <v>1312</v>
      </c>
      <c r="F648" s="725">
        <f>IFERROR(ROUND(IF($AL$3=2,VLOOKUP(C648,[2]List1!$A:$D,2,FALSE)*1.08,VLOOKUP(C648,[2]List1!$A:$D,2,FALSE)),0),"NEUVEDENO!")</f>
        <v>394</v>
      </c>
      <c r="G648" s="730">
        <f t="shared" si="1528"/>
        <v>394</v>
      </c>
      <c r="H648" s="731">
        <f t="shared" si="1529"/>
        <v>16.010467757599894</v>
      </c>
      <c r="I648" s="732">
        <v>10</v>
      </c>
      <c r="J648" s="729" t="s">
        <v>46</v>
      </c>
      <c r="K648" s="729"/>
      <c r="L648" s="729" t="s">
        <v>14380</v>
      </c>
      <c r="M648" s="729" t="s">
        <v>138</v>
      </c>
      <c r="N648" s="729">
        <f>IFERROR(VLOOKUP(C648,[3]List1!$A:$D,4,FALSE),"N/A!")</f>
        <v>4.6068749999999999E-2</v>
      </c>
      <c r="O648" s="729">
        <f>IFERROR(VLOOKUP(C648,[3]List1!$A:$D,3,FALSE),"N/A!")</f>
        <v>4000</v>
      </c>
      <c r="P648" s="729">
        <f>IFERROR(VLOOKUP(C648,[3]List1!$A:$D,2,FALSE),"N/A!")</f>
        <v>18500</v>
      </c>
      <c r="Q648" s="729" t="s">
        <v>14215</v>
      </c>
      <c r="R648" s="729" t="s">
        <v>24</v>
      </c>
      <c r="S648" s="729" t="str">
        <f>IF($W$17=$AF$1,"design",IFERROR(VLOOKUP("design",Jazyky_ceník!$A:$Q,MATCH($W$17,Jazyky_ceník!$A$1:$Q$1,0),FALSE),"!!!"))</f>
        <v>design</v>
      </c>
      <c r="T648" s="729">
        <v>23</v>
      </c>
      <c r="U648" s="729">
        <v>44</v>
      </c>
      <c r="V648" s="729">
        <v>33</v>
      </c>
      <c r="W648" s="729" t="str">
        <f>IFERROR(VLOOKUP('General price list'!$C648,Popisy!A:P,MATCH($W$17,Popisy!$A$7:$P$7,0),FALSE),"---------------")</f>
        <v>4 různobarevné efekty</v>
      </c>
      <c r="X648" s="729" t="str">
        <f t="shared" si="1530"/>
        <v/>
      </c>
      <c r="Y648" s="729" t="str">
        <f t="shared" si="1531"/>
        <v/>
      </c>
      <c r="Z648" s="729" t="str">
        <f>HYPERLINK("https://www.klasekpyrotechnics.cz/c163sig")</f>
        <v>https://www.klasekpyrotechnics.cz/c163sig</v>
      </c>
      <c r="AA648" s="729">
        <f>IFERROR(IF(VLOOKUP(C648,[4]List1!$A:$D,4,FALSE)=0,"",VLOOKUP(C648,[4]List1!$A:$D,4,FALSE)),"")</f>
        <v>32</v>
      </c>
      <c r="AB648" s="720"/>
      <c r="AC648" s="733" t="str">
        <f>IFERROR(IF(VLOOKUP(C648,[1]List1!$A:$D,2,FALSE)="VYPRODÁNO",$V$9,IF(VLOOKUP(C648,[1]List1!$A:$D,2,FALSE)="DOCHÁZÍ",$V$3,VLOOKUP(C648,[1]List1!$A:$D,2,FALSE))),"OFFLINE!")</f>
        <v>30.04.2024</v>
      </c>
      <c r="AD648" s="734" t="str">
        <f ca="1">IF(AP648="NE",$V$10,IF(AC648=$V$3,IF(AQ648&lt;1,$V$8,$V$2&amp;" "&amp;AQ648&amp;" "&amp;$V$1),IF(AC648="SKLADEM",$V$6,IFERROR(IF(OR(AC648-TODAY()&gt;45,VLOOKUP(C648,[1]List1!$A:$E,4,FALSE)=0),AC648,DAY(AC648)&amp;"."&amp;MONTH(AC648)&amp;"."&amp;YEAR(AC648)&amp;" "&amp;$V$4&amp;VLOOKUP(C648,[1]List1!$A:$E,4,FALSE)&amp;" "&amp;$V$1),AC648))))</f>
        <v>30.04.2024</v>
      </c>
      <c r="AE648" s="729" t="str">
        <f t="shared" ca="1" si="1532"/>
        <v>30.04.2024</v>
      </c>
      <c r="AF648" s="735">
        <f t="shared" si="1533"/>
        <v>0</v>
      </c>
      <c r="AG648" s="735">
        <f t="shared" si="1534"/>
        <v>0</v>
      </c>
      <c r="AH648" s="736">
        <f t="shared" si="1535"/>
        <v>0</v>
      </c>
      <c r="AI648" s="729">
        <f t="shared" si="1536"/>
        <v>0</v>
      </c>
      <c r="AJ648" s="729">
        <f t="shared" si="1537"/>
        <v>0</v>
      </c>
      <c r="AK648" s="729" t="str">
        <f t="shared" si="1538"/>
        <v/>
      </c>
      <c r="AL648" s="729">
        <f t="shared" si="1539"/>
        <v>0</v>
      </c>
      <c r="AM648" s="729" t="str">
        <f t="shared" si="1540"/>
        <v/>
      </c>
      <c r="AN648" s="729">
        <f t="shared" si="1541"/>
        <v>0</v>
      </c>
      <c r="AO648" s="380"/>
      <c r="AP648" s="322" t="str">
        <f t="shared" si="1408"/>
        <v/>
      </c>
      <c r="AQ648" s="323" t="str">
        <f>IF(AC648=$V$3,IF(VLOOKUP(C648,[1]List1!$A:$E,5,FALSE)=0,1,VLOOKUP(C648,[1]List1!$A:$E,5,FALSE)),"")</f>
        <v/>
      </c>
      <c r="AR648" s="304" t="str">
        <f t="shared" si="1409"/>
        <v/>
      </c>
      <c r="AS648" s="423" t="str">
        <f t="shared" si="1410"/>
        <v/>
      </c>
      <c r="AT648" s="304" t="str">
        <f t="shared" si="1411"/>
        <v/>
      </c>
      <c r="AU648" s="342" t="e">
        <f t="shared" si="1412"/>
        <v>#N/A</v>
      </c>
      <c r="AV648" s="304" t="e">
        <f t="shared" si="1413"/>
        <v>#N/A</v>
      </c>
      <c r="AX648" s="304">
        <f>IF(AND('General price list'!$J648="F4",'General price list'!$AB648+0&gt;0),1,0)</f>
        <v>0</v>
      </c>
      <c r="AY648" s="304">
        <f t="shared" si="1414"/>
        <v>1</v>
      </c>
      <c r="AZ648" s="304">
        <f t="shared" si="1415"/>
        <v>0</v>
      </c>
    </row>
    <row r="649" spans="1:52" ht="15" customHeight="1">
      <c r="A649" s="712" t="str">
        <f>Kat.!C646</f>
        <v/>
      </c>
      <c r="B649" s="737">
        <f>IF(AND('General price list'!$J649="F4",$AI$1=FALSE),0,IF(AC649="SKLADEM",1,IF(AC649=$V$3,1,0)))</f>
        <v>1</v>
      </c>
      <c r="C649" s="714" t="s">
        <v>1409</v>
      </c>
      <c r="D649" s="715" t="s">
        <v>1410</v>
      </c>
      <c r="E649" s="716" t="s">
        <v>1312</v>
      </c>
      <c r="F649" s="712">
        <f>IFERROR(ROUND(IF($AL$3=2,VLOOKUP(C649,[2]List1!$A:$D,2,FALSE)*1.08,VLOOKUP(C649,[2]List1!$A:$D,2,FALSE)),0),"NEUVEDENO!")</f>
        <v>329</v>
      </c>
      <c r="G649" s="717">
        <f t="shared" si="1528"/>
        <v>329</v>
      </c>
      <c r="H649" s="718">
        <f t="shared" si="1529"/>
        <v>13.369146934645597</v>
      </c>
      <c r="I649" s="738">
        <v>10</v>
      </c>
      <c r="J649" s="716" t="s">
        <v>46</v>
      </c>
      <c r="K649" s="716" t="s">
        <v>14821</v>
      </c>
      <c r="L649" s="716" t="s">
        <v>14386</v>
      </c>
      <c r="M649" s="716" t="s">
        <v>138</v>
      </c>
      <c r="N649" s="716">
        <f>IFERROR(VLOOKUP(C649,[3]List1!$A:$D,4,FALSE),"N/A!")</f>
        <v>4.6068749999999999E-2</v>
      </c>
      <c r="O649" s="716">
        <f>IFERROR(VLOOKUP(C649,[3]List1!$A:$D,3,FALSE),"N/A!")</f>
        <v>3040</v>
      </c>
      <c r="P649" s="716">
        <f>IFERROR(VLOOKUP(C649,[3]List1!$A:$D,2,FALSE),"N/A!")</f>
        <v>18500</v>
      </c>
      <c r="Q649" s="716" t="s">
        <v>1121</v>
      </c>
      <c r="R649" s="716" t="s">
        <v>24</v>
      </c>
      <c r="S649" s="716" t="str">
        <f>IF($W$17=$AF$1,"design",IFERROR(VLOOKUP("design",Jazyky_ceník!$A:$Q,MATCH($W$17,Jazyky_ceník!$A$1:$Q$1,0),FALSE),"!!!"))</f>
        <v>design</v>
      </c>
      <c r="T649" s="716">
        <v>30</v>
      </c>
      <c r="U649" s="716">
        <v>40</v>
      </c>
      <c r="V649" s="716">
        <v>30</v>
      </c>
      <c r="W649" s="716" t="str">
        <f>IFERROR(VLOOKUP('General price list'!$C649,Popisy!A:P,MATCH($W$17,Popisy!$A$7:$P$7,0),FALSE),"---------------")</f>
        <v>4 různobarevné efekty</v>
      </c>
      <c r="X649" s="716" t="str">
        <f t="shared" si="1530"/>
        <v/>
      </c>
      <c r="Y649" s="716" t="str">
        <f t="shared" si="1531"/>
        <v/>
      </c>
      <c r="Z649" s="716" t="str">
        <f>HYPERLINK("https://www.klasekpyrotechnics.cz/c163a")</f>
        <v>https://www.klasekpyrotechnics.cz/c163a</v>
      </c>
      <c r="AA649" s="716">
        <f>IFERROR(IF(VLOOKUP(C649,[4]List1!$A:$D,4,FALSE)=0,"",VLOOKUP(C649,[4]List1!$A:$D,4,FALSE)),"")</f>
        <v>32</v>
      </c>
      <c r="AB649" s="720"/>
      <c r="AC649" s="739" t="str">
        <f>IFERROR(IF(VLOOKUP(C649,[1]List1!$A:$D,2,FALSE)="VYPRODÁNO",$V$9,IF(VLOOKUP(C649,[1]List1!$A:$D,2,FALSE)="DOCHÁZÍ",$V$3,VLOOKUP(C649,[1]List1!$A:$D,2,FALSE))),"OFFLINE!")</f>
        <v>SKLADEM</v>
      </c>
      <c r="AD649" s="740" t="str">
        <f ca="1">IF(AP649="NE",$V$10,IF(AC649=$V$3,IF(AQ649&lt;1,$V$8,$V$2&amp;" "&amp;AQ649&amp;" "&amp;$V$1),IF(AC649="SKLADEM",$V$6,IFERROR(IF(OR(AC649-TODAY()&gt;45,VLOOKUP(C649,[1]List1!$A:$E,4,FALSE)=0),AC649,DAY(AC649)&amp;"."&amp;MONTH(AC649)&amp;"."&amp;YEAR(AC649)&amp;" "&amp;$V$4&amp;VLOOKUP(C649,[1]List1!$A:$E,4,FALSE)&amp;" "&amp;$V$1),AC649))))</f>
        <v>SKLADEM</v>
      </c>
      <c r="AE649" s="716" t="str">
        <f t="shared" ca="1" si="1532"/>
        <v>SKLADEM</v>
      </c>
      <c r="AF649" s="723">
        <f t="shared" si="1533"/>
        <v>0</v>
      </c>
      <c r="AG649" s="723">
        <f t="shared" si="1534"/>
        <v>0</v>
      </c>
      <c r="AH649" s="724">
        <f t="shared" si="1535"/>
        <v>0</v>
      </c>
      <c r="AI649" s="716">
        <f t="shared" si="1536"/>
        <v>0</v>
      </c>
      <c r="AJ649" s="716">
        <f t="shared" si="1537"/>
        <v>0</v>
      </c>
      <c r="AK649" s="716" t="str">
        <f t="shared" si="1538"/>
        <v/>
      </c>
      <c r="AL649" s="716">
        <f t="shared" si="1539"/>
        <v>0</v>
      </c>
      <c r="AM649" s="716" t="str">
        <f t="shared" si="1540"/>
        <v/>
      </c>
      <c r="AN649" s="716">
        <f t="shared" si="1541"/>
        <v>0</v>
      </c>
      <c r="AO649" s="380"/>
      <c r="AP649" s="322" t="str">
        <f t="shared" si="1408"/>
        <v/>
      </c>
      <c r="AQ649" s="323" t="str">
        <f>IF(AC649=$V$3,IF(VLOOKUP(C649,[1]List1!$A:$E,5,FALSE)=0,1,VLOOKUP(C649,[1]List1!$A:$E,5,FALSE)),"")</f>
        <v/>
      </c>
      <c r="AR649" s="304" t="str">
        <f t="shared" si="1409"/>
        <v/>
      </c>
      <c r="AS649" s="423" t="str">
        <f t="shared" si="1410"/>
        <v/>
      </c>
      <c r="AT649" s="304" t="str">
        <f t="shared" si="1411"/>
        <v/>
      </c>
      <c r="AU649" s="342" t="e">
        <f t="shared" si="1412"/>
        <v>#N/A</v>
      </c>
      <c r="AV649" s="304" t="e">
        <f t="shared" si="1413"/>
        <v>#N/A</v>
      </c>
      <c r="AX649" s="304">
        <f>IF(AND('General price list'!$J649="F4",'General price list'!$AB649+0&gt;0),1,0)</f>
        <v>0</v>
      </c>
      <c r="AY649" s="304">
        <f t="shared" si="1414"/>
        <v>1</v>
      </c>
      <c r="AZ649" s="304">
        <f t="shared" si="1415"/>
        <v>0</v>
      </c>
    </row>
    <row r="650" spans="1:52" ht="15" customHeight="1">
      <c r="A650" s="725" t="str">
        <f>Kat.!C647</f>
        <v/>
      </c>
      <c r="B650" s="726">
        <f>IF(AND('General price list'!$J650="F4",$AI$1=FALSE),0,IF(AC650="SKLADEM",1,IF(AC650=$V$3,1,0)))</f>
        <v>1</v>
      </c>
      <c r="C650" s="727" t="s">
        <v>1411</v>
      </c>
      <c r="D650" s="728" t="s">
        <v>1412</v>
      </c>
      <c r="E650" s="729" t="s">
        <v>1312</v>
      </c>
      <c r="F650" s="725">
        <f>IFERROR(ROUND(IF($AL$3=2,VLOOKUP(C650,[2]List1!$A:$D,2,FALSE)*1.08,VLOOKUP(C650,[2]List1!$A:$D,2,FALSE)),0),"NEUVEDENO!")</f>
        <v>329</v>
      </c>
      <c r="G650" s="730">
        <f t="shared" si="1528"/>
        <v>329</v>
      </c>
      <c r="H650" s="731">
        <f t="shared" si="1529"/>
        <v>13.369146934645597</v>
      </c>
      <c r="I650" s="732">
        <v>10</v>
      </c>
      <c r="J650" s="729" t="s">
        <v>46</v>
      </c>
      <c r="K650" s="729" t="s">
        <v>14821</v>
      </c>
      <c r="L650" s="729" t="s">
        <v>14386</v>
      </c>
      <c r="M650" s="729" t="s">
        <v>138</v>
      </c>
      <c r="N650" s="729">
        <f>IFERROR(VLOOKUP(C650,[3]List1!$A:$D,4,FALSE),"N/A!")</f>
        <v>4.6068749999999999E-2</v>
      </c>
      <c r="O650" s="729">
        <f>IFERROR(VLOOKUP(C650,[3]List1!$A:$D,3,FALSE),"N/A!")</f>
        <v>3040</v>
      </c>
      <c r="P650" s="729">
        <f>IFERROR(VLOOKUP(C650,[3]List1!$A:$D,2,FALSE),"N/A!")</f>
        <v>18500</v>
      </c>
      <c r="Q650" s="729" t="s">
        <v>1121</v>
      </c>
      <c r="R650" s="729" t="s">
        <v>24</v>
      </c>
      <c r="S650" s="729" t="str">
        <f>IF($W$17=$AF$1,"červená fólie",IFERROR(VLOOKUP("červená fólie",Jazyky_ceník!$A:$Q,MATCH($W$17,Jazyky_ceník!$A$1:$Q$1,0),FALSE),"!!!"))</f>
        <v>červená fólie</v>
      </c>
      <c r="T650" s="729">
        <v>30</v>
      </c>
      <c r="U650" s="729">
        <v>40</v>
      </c>
      <c r="V650" s="729">
        <v>30</v>
      </c>
      <c r="W650" s="729" t="str">
        <f>IFERROR(VLOOKUP('General price list'!$C650,Popisy!A:P,MATCH($W$17,Popisy!$A$7:$P$7,0),FALSE),"---------------")</f>
        <v>4 různobarevné efekty</v>
      </c>
      <c r="X650" s="729" t="str">
        <f t="shared" si="1530"/>
        <v/>
      </c>
      <c r="Y650" s="729" t="str">
        <f t="shared" si="1531"/>
        <v/>
      </c>
      <c r="Z650" s="729" t="str">
        <f>HYPERLINK("https://www.klasekpyrotechnics.cz/c163b")</f>
        <v>https://www.klasekpyrotechnics.cz/c163b</v>
      </c>
      <c r="AA650" s="729">
        <f>IFERROR(IF(VLOOKUP(C650,[4]List1!$A:$D,4,FALSE)=0,"",VLOOKUP(C650,[4]List1!$A:$D,4,FALSE)),"")</f>
        <v>32</v>
      </c>
      <c r="AB650" s="720"/>
      <c r="AC650" s="733" t="str">
        <f>IFERROR(IF(VLOOKUP(C650,[1]List1!$A:$D,2,FALSE)="VYPRODÁNO",$V$9,IF(VLOOKUP(C650,[1]List1!$A:$D,2,FALSE)="DOCHÁZÍ",$V$3,VLOOKUP(C650,[1]List1!$A:$D,2,FALSE))),"OFFLINE!")</f>
        <v>SKLADEM</v>
      </c>
      <c r="AD650" s="734" t="str">
        <f ca="1">IF(AP650="NE",$V$10,IF(AC650=$V$3,IF(AQ650&lt;1,$V$8,$V$2&amp;" "&amp;AQ650&amp;" "&amp;$V$1),IF(AC650="SKLADEM",$V$6,IFERROR(IF(OR(AC650-TODAY()&gt;45,VLOOKUP(C650,[1]List1!$A:$E,4,FALSE)=0),AC650,DAY(AC650)&amp;"."&amp;MONTH(AC650)&amp;"."&amp;YEAR(AC650)&amp;" "&amp;$V$4&amp;VLOOKUP(C650,[1]List1!$A:$E,4,FALSE)&amp;" "&amp;$V$1),AC650))))</f>
        <v>SKLADEM</v>
      </c>
      <c r="AE650" s="729" t="str">
        <f t="shared" ca="1" si="1532"/>
        <v>SKLADEM</v>
      </c>
      <c r="AF650" s="735">
        <f t="shared" si="1533"/>
        <v>0</v>
      </c>
      <c r="AG650" s="735">
        <f t="shared" si="1534"/>
        <v>0</v>
      </c>
      <c r="AH650" s="736">
        <f t="shared" si="1535"/>
        <v>0</v>
      </c>
      <c r="AI650" s="729">
        <f t="shared" si="1536"/>
        <v>0</v>
      </c>
      <c r="AJ650" s="729">
        <f t="shared" si="1537"/>
        <v>0</v>
      </c>
      <c r="AK650" s="729" t="str">
        <f t="shared" si="1538"/>
        <v/>
      </c>
      <c r="AL650" s="729">
        <f t="shared" si="1539"/>
        <v>0</v>
      </c>
      <c r="AM650" s="729" t="str">
        <f t="shared" si="1540"/>
        <v/>
      </c>
      <c r="AN650" s="729">
        <f t="shared" si="1541"/>
        <v>0</v>
      </c>
      <c r="AO650" s="380"/>
      <c r="AP650" s="322" t="str">
        <f t="shared" si="1408"/>
        <v/>
      </c>
      <c r="AQ650" s="323" t="str">
        <f>IF(AC650=$V$3,IF(VLOOKUP(C650,[1]List1!$A:$E,5,FALSE)=0,1,VLOOKUP(C650,[1]List1!$A:$E,5,FALSE)),"")</f>
        <v/>
      </c>
      <c r="AR650" s="304" t="str">
        <f t="shared" si="1409"/>
        <v/>
      </c>
      <c r="AS650" s="423" t="str">
        <f t="shared" si="1410"/>
        <v/>
      </c>
      <c r="AT650" s="304" t="str">
        <f t="shared" si="1411"/>
        <v/>
      </c>
      <c r="AU650" s="342" t="e">
        <f t="shared" si="1412"/>
        <v>#N/A</v>
      </c>
      <c r="AV650" s="304" t="e">
        <f t="shared" si="1413"/>
        <v>#N/A</v>
      </c>
      <c r="AX650" s="304">
        <f>IF(AND('General price list'!$J650="F4",'General price list'!$AB650+0&gt;0),1,0)</f>
        <v>0</v>
      </c>
      <c r="AY650" s="304">
        <f t="shared" si="1414"/>
        <v>1</v>
      </c>
      <c r="AZ650" s="304">
        <f t="shared" si="1415"/>
        <v>0</v>
      </c>
    </row>
    <row r="651" spans="1:52" ht="15" customHeight="1">
      <c r="A651" s="712" t="str">
        <f>Kat.!C648</f>
        <v/>
      </c>
      <c r="B651" s="737">
        <f>IF(AND('General price list'!$J651="F4",$AI$1=FALSE),0,IF(AC651="SKLADEM",1,IF(AC651=$V$3,1,0)))</f>
        <v>0</v>
      </c>
      <c r="C651" s="714" t="s">
        <v>1414</v>
      </c>
      <c r="D651" s="715" t="s">
        <v>1415</v>
      </c>
      <c r="E651" s="716" t="s">
        <v>1312</v>
      </c>
      <c r="F651" s="712">
        <f>IFERROR(ROUND(IF($AL$3=2,VLOOKUP(C651,[2]List1!$A:$D,2,FALSE)*1.08,VLOOKUP(C651,[2]List1!$A:$D,2,FALSE)),0),"NEUVEDENO!")</f>
        <v>329</v>
      </c>
      <c r="G651" s="717">
        <f t="shared" si="1528"/>
        <v>329</v>
      </c>
      <c r="H651" s="718">
        <f t="shared" si="1529"/>
        <v>13.369146934645597</v>
      </c>
      <c r="I651" s="738">
        <v>10</v>
      </c>
      <c r="J651" s="716" t="s">
        <v>46</v>
      </c>
      <c r="K651" s="716" t="s">
        <v>14821</v>
      </c>
      <c r="L651" s="716" t="s">
        <v>14386</v>
      </c>
      <c r="M651" s="716" t="s">
        <v>138</v>
      </c>
      <c r="N651" s="716">
        <f>IFERROR(VLOOKUP(C651,[3]List1!$A:$D,4,FALSE),"N/A!")</f>
        <v>4.6068749999999999E-2</v>
      </c>
      <c r="O651" s="716">
        <f>IFERROR(VLOOKUP(C651,[3]List1!$A:$D,3,FALSE),"N/A!")</f>
        <v>3040</v>
      </c>
      <c r="P651" s="716">
        <f>IFERROR(VLOOKUP(C651,[3]List1!$A:$D,2,FALSE),"N/A!")</f>
        <v>18500</v>
      </c>
      <c r="Q651" s="716" t="s">
        <v>14133</v>
      </c>
      <c r="R651" s="716" t="s">
        <v>24</v>
      </c>
      <c r="S651" s="716" t="str">
        <f>IF($W$17=$AF$1,"červená fólie",IFERROR(VLOOKUP("červená fólie",Jazyky_ceník!$A:$Q,MATCH($W$17,Jazyky_ceník!$A$1:$Q$1,0),FALSE),"!!!"))</f>
        <v>červená fólie</v>
      </c>
      <c r="T651" s="716">
        <v>30</v>
      </c>
      <c r="U651" s="716">
        <v>40</v>
      </c>
      <c r="V651" s="716">
        <v>30</v>
      </c>
      <c r="W651" s="716" t="str">
        <f>IFERROR(VLOOKUP('General price list'!$C651,Popisy!A:P,MATCH($W$17,Popisy!$A$7:$P$7,0),FALSE),"---------------")</f>
        <v>4 různobarevné efekty měnící se po každé ráně</v>
      </c>
      <c r="X651" s="716" t="str">
        <f t="shared" si="1530"/>
        <v/>
      </c>
      <c r="Y651" s="716" t="str">
        <f t="shared" si="1531"/>
        <v/>
      </c>
      <c r="Z651" s="716" t="str">
        <f>HYPERLINK("https://www.klasekpyrotechnics.cz/c163l")</f>
        <v>https://www.klasekpyrotechnics.cz/c163l</v>
      </c>
      <c r="AA651" s="716">
        <f>IFERROR(IF(VLOOKUP(C651,[4]List1!$A:$D,4,FALSE)=0,"",VLOOKUP(C651,[4]List1!$A:$D,4,FALSE)),"")</f>
        <v>32</v>
      </c>
      <c r="AB651" s="720"/>
      <c r="AC651" s="739" t="str">
        <f>IFERROR(IF(VLOOKUP(C651,[1]List1!$A:$D,2,FALSE)="VYPRODÁNO",$V$9,IF(VLOOKUP(C651,[1]List1!$A:$D,2,FALSE)="DOCHÁZÍ",$V$3,VLOOKUP(C651,[1]List1!$A:$D,2,FALSE))),"OFFLINE!")</f>
        <v>15.09.2024</v>
      </c>
      <c r="AD651" s="740" t="str">
        <f ca="1">IF(AP651="NE",$V$10,IF(AC651=$V$3,IF(AQ651&lt;1,$V$8,$V$2&amp;" "&amp;AQ651&amp;" "&amp;$V$1),IF(AC651="SKLADEM",$V$6,IFERROR(IF(OR(AC651-TODAY()&gt;45,VLOOKUP(C651,[1]List1!$A:$E,4,FALSE)=0),AC651,DAY(AC651)&amp;"."&amp;MONTH(AC651)&amp;"."&amp;YEAR(AC651)&amp;" "&amp;$V$4&amp;VLOOKUP(C651,[1]List1!$A:$E,4,FALSE)&amp;" "&amp;$V$1),AC651))))</f>
        <v>15.09.2024</v>
      </c>
      <c r="AE651" s="716" t="str">
        <f t="shared" ca="1" si="1532"/>
        <v>15.09.2024</v>
      </c>
      <c r="AF651" s="723">
        <f t="shared" si="1533"/>
        <v>0</v>
      </c>
      <c r="AG651" s="723">
        <f t="shared" si="1534"/>
        <v>0</v>
      </c>
      <c r="AH651" s="724">
        <f t="shared" si="1535"/>
        <v>0</v>
      </c>
      <c r="AI651" s="716">
        <f t="shared" si="1536"/>
        <v>0</v>
      </c>
      <c r="AJ651" s="716">
        <f t="shared" si="1537"/>
        <v>0</v>
      </c>
      <c r="AK651" s="716" t="str">
        <f t="shared" si="1538"/>
        <v/>
      </c>
      <c r="AL651" s="716">
        <f t="shared" si="1539"/>
        <v>0</v>
      </c>
      <c r="AM651" s="716" t="str">
        <f t="shared" si="1540"/>
        <v/>
      </c>
      <c r="AN651" s="716">
        <f t="shared" si="1541"/>
        <v>0</v>
      </c>
      <c r="AO651" s="380"/>
      <c r="AP651" s="322" t="str">
        <f t="shared" si="1408"/>
        <v/>
      </c>
      <c r="AQ651" s="323" t="str">
        <f>IF(AC651=$V$3,IF(VLOOKUP(C651,[1]List1!$A:$E,5,FALSE)=0,1,VLOOKUP(C651,[1]List1!$A:$E,5,FALSE)),"")</f>
        <v/>
      </c>
      <c r="AR651" s="304" t="str">
        <f t="shared" si="1409"/>
        <v/>
      </c>
      <c r="AS651" s="423" t="str">
        <f t="shared" si="1410"/>
        <v/>
      </c>
      <c r="AT651" s="304" t="str">
        <f t="shared" si="1411"/>
        <v/>
      </c>
      <c r="AU651" s="342" t="e">
        <f t="shared" si="1412"/>
        <v>#N/A</v>
      </c>
      <c r="AV651" s="304" t="e">
        <f t="shared" si="1413"/>
        <v>#N/A</v>
      </c>
      <c r="AX651" s="304">
        <f>IF(AND('General price list'!$J651="F4",'General price list'!$AB651+0&gt;0),1,0)</f>
        <v>0</v>
      </c>
      <c r="AY651" s="304">
        <f t="shared" si="1414"/>
        <v>1</v>
      </c>
      <c r="AZ651" s="304">
        <f t="shared" si="1415"/>
        <v>0</v>
      </c>
    </row>
    <row r="652" spans="1:52" ht="15" customHeight="1">
      <c r="A652" s="725" t="str">
        <f>Kat.!C649</f>
        <v/>
      </c>
      <c r="B652" s="726">
        <f>IF(AND('General price list'!$J652="F4",$AI$1=FALSE),0,IF(AC652="SKLADEM",1,IF(AC652=$V$3,1,0)))</f>
        <v>0</v>
      </c>
      <c r="C652" s="727" t="s">
        <v>1421</v>
      </c>
      <c r="D652" s="728" t="s">
        <v>1422</v>
      </c>
      <c r="E652" s="729" t="s">
        <v>1312</v>
      </c>
      <c r="F652" s="725">
        <f>IFERROR(ROUND(IF($AL$3=2,VLOOKUP(C652,[2]List1!$A:$D,2,FALSE)*1.08,VLOOKUP(C652,[2]List1!$A:$D,2,FALSE)),0),"NEUVEDENO!")</f>
        <v>329</v>
      </c>
      <c r="G652" s="730">
        <f t="shared" si="1528"/>
        <v>329</v>
      </c>
      <c r="H652" s="731">
        <f t="shared" si="1529"/>
        <v>13.369146934645597</v>
      </c>
      <c r="I652" s="732">
        <v>10</v>
      </c>
      <c r="J652" s="729" t="s">
        <v>46</v>
      </c>
      <c r="K652" s="729" t="s">
        <v>14734</v>
      </c>
      <c r="L652" s="729" t="s">
        <v>14386</v>
      </c>
      <c r="M652" s="729" t="s">
        <v>138</v>
      </c>
      <c r="N652" s="729">
        <f>IFERROR(VLOOKUP(C652,[3]List1!$A:$D,4,FALSE),"N/A!")</f>
        <v>4.6068749999999999E-2</v>
      </c>
      <c r="O652" s="729">
        <f>IFERROR(VLOOKUP(C652,[3]List1!$A:$D,3,FALSE),"N/A!")</f>
        <v>3040</v>
      </c>
      <c r="P652" s="729">
        <f>IFERROR(VLOOKUP(C652,[3]List1!$A:$D,2,FALSE),"N/A!")</f>
        <v>18500</v>
      </c>
      <c r="Q652" s="729" t="s">
        <v>14216</v>
      </c>
      <c r="R652" s="729" t="s">
        <v>24</v>
      </c>
      <c r="S652" s="729" t="str">
        <f>IF($W$17=$AF$1,"design",IFERROR(VLOOKUP("design",Jazyky_ceník!$A:$Q,MATCH($W$17,Jazyky_ceník!$A$1:$Q$1,0),FALSE),"!!!"))</f>
        <v>design</v>
      </c>
      <c r="T652" s="729">
        <v>25</v>
      </c>
      <c r="U652" s="729">
        <v>40</v>
      </c>
      <c r="V652" s="729">
        <v>30</v>
      </c>
      <c r="W652" s="729" t="str">
        <f>IFERROR(VLOOKUP('General price list'!$C652,Popisy!A:P,MATCH($W$17,Popisy!$A$7:$P$7,0),FALSE),"---------------")</f>
        <v>brokátová stopa+brokátová koruna s práskajícími hvězdami</v>
      </c>
      <c r="X652" s="729" t="str">
        <f t="shared" si="1530"/>
        <v/>
      </c>
      <c r="Y652" s="729" t="str">
        <f t="shared" si="1531"/>
        <v/>
      </c>
      <c r="Z652" s="729" t="str">
        <f>HYPERLINK("https://www.klasekpyrotechnics.cz/c163e")</f>
        <v>https://www.klasekpyrotechnics.cz/c163e</v>
      </c>
      <c r="AA652" s="729">
        <f>IFERROR(IF(VLOOKUP(C652,[4]List1!$A:$D,4,FALSE)=0,"",VLOOKUP(C652,[4]List1!$A:$D,4,FALSE)),"")</f>
        <v>32</v>
      </c>
      <c r="AB652" s="720"/>
      <c r="AC652" s="733" t="str">
        <f>IFERROR(IF(VLOOKUP(C652,[1]List1!$A:$D,2,FALSE)="VYPRODÁNO",$V$9,IF(VLOOKUP(C652,[1]List1!$A:$D,2,FALSE)="DOCHÁZÍ",$V$3,VLOOKUP(C652,[1]List1!$A:$D,2,FALSE))),"OFFLINE!")</f>
        <v>15.09.2024</v>
      </c>
      <c r="AD652" s="734" t="str">
        <f ca="1">IF(AP652="NE",$V$10,IF(AC652=$V$3,IF(AQ652&lt;1,$V$8,$V$2&amp;" "&amp;AQ652&amp;" "&amp;$V$1),IF(AC652="SKLADEM",$V$6,IFERROR(IF(OR(AC652-TODAY()&gt;45,VLOOKUP(C652,[1]List1!$A:$E,4,FALSE)=0),AC652,DAY(AC652)&amp;"."&amp;MONTH(AC652)&amp;"."&amp;YEAR(AC652)&amp;" "&amp;$V$4&amp;VLOOKUP(C652,[1]List1!$A:$E,4,FALSE)&amp;" "&amp;$V$1),AC652))))</f>
        <v>15.09.2024</v>
      </c>
      <c r="AE652" s="729" t="str">
        <f t="shared" ca="1" si="1532"/>
        <v>15.09.2024</v>
      </c>
      <c r="AF652" s="735">
        <f t="shared" si="1533"/>
        <v>0</v>
      </c>
      <c r="AG652" s="735">
        <f t="shared" si="1534"/>
        <v>0</v>
      </c>
      <c r="AH652" s="736">
        <f t="shared" si="1535"/>
        <v>0</v>
      </c>
      <c r="AI652" s="729">
        <f t="shared" si="1536"/>
        <v>0</v>
      </c>
      <c r="AJ652" s="729">
        <f t="shared" si="1537"/>
        <v>0</v>
      </c>
      <c r="AK652" s="729" t="str">
        <f t="shared" si="1538"/>
        <v/>
      </c>
      <c r="AL652" s="729">
        <f t="shared" si="1539"/>
        <v>0</v>
      </c>
      <c r="AM652" s="729" t="str">
        <f t="shared" si="1540"/>
        <v/>
      </c>
      <c r="AN652" s="729">
        <f t="shared" si="1541"/>
        <v>0</v>
      </c>
      <c r="AO652" s="380"/>
      <c r="AP652" s="322" t="str">
        <f t="shared" si="1408"/>
        <v/>
      </c>
      <c r="AQ652" s="323" t="str">
        <f>IF(AC652=$V$3,IF(VLOOKUP(C652,[1]List1!$A:$E,5,FALSE)=0,1,VLOOKUP(C652,[1]List1!$A:$E,5,FALSE)),"")</f>
        <v/>
      </c>
      <c r="AR652" s="304" t="str">
        <f t="shared" si="1409"/>
        <v/>
      </c>
      <c r="AS652" s="423" t="str">
        <f t="shared" si="1410"/>
        <v/>
      </c>
      <c r="AT652" s="304" t="str">
        <f t="shared" si="1411"/>
        <v/>
      </c>
      <c r="AU652" s="342" t="e">
        <f t="shared" si="1412"/>
        <v>#N/A</v>
      </c>
      <c r="AV652" s="304" t="e">
        <f t="shared" si="1413"/>
        <v>#N/A</v>
      </c>
      <c r="AX652" s="304">
        <f>IF(AND('General price list'!$J652="F4",'General price list'!$AB652+0&gt;0),1,0)</f>
        <v>0</v>
      </c>
      <c r="AY652" s="304">
        <f t="shared" si="1414"/>
        <v>1</v>
      </c>
      <c r="AZ652" s="304">
        <f t="shared" si="1415"/>
        <v>0</v>
      </c>
    </row>
    <row r="653" spans="1:52" ht="15" customHeight="1">
      <c r="A653" s="712" t="str">
        <f>Kat.!C650</f>
        <v/>
      </c>
      <c r="B653" s="737">
        <f>IF(AND('General price list'!$J653="F4",$AI$1=FALSE),0,IF(AC653="SKLADEM",1,IF(AC653=$V$3,1,0)))</f>
        <v>0</v>
      </c>
      <c r="C653" s="714" t="s">
        <v>1426</v>
      </c>
      <c r="D653" s="715" t="s">
        <v>1427</v>
      </c>
      <c r="E653" s="716" t="s">
        <v>1312</v>
      </c>
      <c r="F653" s="712">
        <f>IFERROR(ROUND(IF($AL$3=2,VLOOKUP(C653,[2]List1!$A:$D,2,FALSE)*1.08,VLOOKUP(C653,[2]List1!$A:$D,2,FALSE)),0),"NEUVEDENO!")</f>
        <v>329</v>
      </c>
      <c r="G653" s="717">
        <f t="shared" si="1528"/>
        <v>329</v>
      </c>
      <c r="H653" s="718">
        <f t="shared" si="1529"/>
        <v>13.369146934645597</v>
      </c>
      <c r="I653" s="738">
        <v>10</v>
      </c>
      <c r="J653" s="716" t="s">
        <v>46</v>
      </c>
      <c r="K653" s="716" t="s">
        <v>14821</v>
      </c>
      <c r="L653" s="716" t="s">
        <v>14386</v>
      </c>
      <c r="M653" s="716" t="s">
        <v>138</v>
      </c>
      <c r="N653" s="716">
        <f>IFERROR(VLOOKUP(C653,[3]List1!$A:$D,4,FALSE),"N/A!")</f>
        <v>4.6068749999999999E-2</v>
      </c>
      <c r="O653" s="716">
        <f>IFERROR(VLOOKUP(C653,[3]List1!$A:$D,3,FALSE),"N/A!")</f>
        <v>3040</v>
      </c>
      <c r="P653" s="716">
        <f>IFERROR(VLOOKUP(C653,[3]List1!$A:$D,2,FALSE),"N/A!")</f>
        <v>18500</v>
      </c>
      <c r="Q653" s="716" t="s">
        <v>14070</v>
      </c>
      <c r="R653" s="716" t="s">
        <v>24</v>
      </c>
      <c r="S653" s="716" t="str">
        <f>IF($W$17=$AF$1,"červená fólie",IFERROR(VLOOKUP("červená fólie",Jazyky_ceník!$A:$Q,MATCH($W$17,Jazyky_ceník!$A$1:$Q$1,0),FALSE),"!!!"))</f>
        <v>červená fólie</v>
      </c>
      <c r="T653" s="716">
        <v>25</v>
      </c>
      <c r="U653" s="716">
        <v>40</v>
      </c>
      <c r="V653" s="716">
        <v>30</v>
      </c>
      <c r="W653" s="716" t="str">
        <f>IFERROR(VLOOKUP('General price list'!$C653,Popisy!A:P,MATCH($W$17,Popisy!$A$7:$P$7,0),FALSE),"---------------")</f>
        <v>stříbrná mina s červenou stopou+stříbrná chryzantéma</v>
      </c>
      <c r="X653" s="716" t="str">
        <f t="shared" si="1530"/>
        <v/>
      </c>
      <c r="Y653" s="716" t="str">
        <f t="shared" si="1531"/>
        <v/>
      </c>
      <c r="Z653" s="716" t="str">
        <f>HYPERLINK("https://www.klasekpyrotechnics.cz/c163k")</f>
        <v>https://www.klasekpyrotechnics.cz/c163k</v>
      </c>
      <c r="AA653" s="716">
        <f>IFERROR(IF(VLOOKUP(C653,[4]List1!$A:$D,4,FALSE)=0,"",VLOOKUP(C653,[4]List1!$A:$D,4,FALSE)),"")</f>
        <v>32</v>
      </c>
      <c r="AB653" s="720"/>
      <c r="AC653" s="739" t="str">
        <f>IFERROR(IF(VLOOKUP(C653,[1]List1!$A:$D,2,FALSE)="VYPRODÁNO",$V$9,IF(VLOOKUP(C653,[1]List1!$A:$D,2,FALSE)="DOCHÁZÍ",$V$3,VLOOKUP(C653,[1]List1!$A:$D,2,FALSE))),"OFFLINE!")</f>
        <v>15.09.2024</v>
      </c>
      <c r="AD653" s="740" t="str">
        <f ca="1">IF(AP653="NE",$V$10,IF(AC653=$V$3,IF(AQ653&lt;1,$V$8,$V$2&amp;" "&amp;AQ653&amp;" "&amp;$V$1),IF(AC653="SKLADEM",$V$6,IFERROR(IF(OR(AC653-TODAY()&gt;45,VLOOKUP(C653,[1]List1!$A:$E,4,FALSE)=0),AC653,DAY(AC653)&amp;"."&amp;MONTH(AC653)&amp;"."&amp;YEAR(AC653)&amp;" "&amp;$V$4&amp;VLOOKUP(C653,[1]List1!$A:$E,4,FALSE)&amp;" "&amp;$V$1),AC653))))</f>
        <v>15.09.2024</v>
      </c>
      <c r="AE653" s="716" t="str">
        <f t="shared" ca="1" si="1532"/>
        <v>15.09.2024</v>
      </c>
      <c r="AF653" s="723">
        <f t="shared" si="1533"/>
        <v>0</v>
      </c>
      <c r="AG653" s="723">
        <f t="shared" si="1534"/>
        <v>0</v>
      </c>
      <c r="AH653" s="724">
        <f t="shared" si="1535"/>
        <v>0</v>
      </c>
      <c r="AI653" s="716">
        <f t="shared" si="1536"/>
        <v>0</v>
      </c>
      <c r="AJ653" s="716">
        <f t="shared" si="1537"/>
        <v>0</v>
      </c>
      <c r="AK653" s="716" t="str">
        <f t="shared" si="1538"/>
        <v/>
      </c>
      <c r="AL653" s="716">
        <f t="shared" si="1539"/>
        <v>0</v>
      </c>
      <c r="AM653" s="716" t="str">
        <f t="shared" si="1540"/>
        <v/>
      </c>
      <c r="AN653" s="716">
        <f t="shared" si="1541"/>
        <v>0</v>
      </c>
      <c r="AO653" s="380"/>
      <c r="AP653" s="322" t="str">
        <f t="shared" si="1408"/>
        <v/>
      </c>
      <c r="AQ653" s="323" t="str">
        <f>IF(AC653=$V$3,IF(VLOOKUP(C653,[1]List1!$A:$E,5,FALSE)=0,1,VLOOKUP(C653,[1]List1!$A:$E,5,FALSE)),"")</f>
        <v/>
      </c>
      <c r="AR653" s="304" t="str">
        <f t="shared" si="1409"/>
        <v/>
      </c>
      <c r="AS653" s="423" t="str">
        <f t="shared" si="1410"/>
        <v/>
      </c>
      <c r="AT653" s="304" t="str">
        <f t="shared" si="1411"/>
        <v/>
      </c>
      <c r="AU653" s="342" t="e">
        <f t="shared" si="1412"/>
        <v>#N/A</v>
      </c>
      <c r="AV653" s="304" t="e">
        <f t="shared" si="1413"/>
        <v>#N/A</v>
      </c>
      <c r="AX653" s="304">
        <f>IF(AND('General price list'!$J653="F4",'General price list'!$AB653+0&gt;0),1,0)</f>
        <v>0</v>
      </c>
      <c r="AY653" s="304">
        <f t="shared" si="1414"/>
        <v>1</v>
      </c>
      <c r="AZ653" s="304">
        <f t="shared" si="1415"/>
        <v>0</v>
      </c>
    </row>
    <row r="654" spans="1:52" ht="15" customHeight="1">
      <c r="A654" s="773" t="str">
        <f>Kat.!C651</f>
        <v xml:space="preserve">                                                               Baterie 16ran, 30mm moždíř-1.4G</v>
      </c>
      <c r="B654" s="774"/>
      <c r="C654" s="774"/>
      <c r="D654" s="774"/>
      <c r="E654" s="774"/>
      <c r="F654" s="774"/>
      <c r="G654" s="774"/>
      <c r="H654" s="774"/>
      <c r="I654" s="774"/>
      <c r="J654" s="774"/>
      <c r="K654" s="774"/>
      <c r="L654" s="774"/>
      <c r="M654" s="774"/>
      <c r="N654" s="774"/>
      <c r="O654" s="774"/>
      <c r="P654" s="774"/>
      <c r="Q654" s="774"/>
      <c r="R654" s="774"/>
      <c r="S654" s="774"/>
      <c r="T654" s="774"/>
      <c r="U654" s="774"/>
      <c r="V654" s="774"/>
      <c r="W654" s="774"/>
      <c r="X654" s="774"/>
      <c r="Y654" s="774"/>
      <c r="Z654" s="774"/>
      <c r="AA654" s="774" t="str">
        <f>IFERROR(IF(VLOOKUP(C654,[4]List1!$A:$D,4,FALSE)=0,"",VLOOKUP(C654,[4]List1!$A:$D,4,FALSE)),"")</f>
        <v/>
      </c>
      <c r="AB654" s="774"/>
      <c r="AC654" s="775" t="str">
        <f>IFERROR(IF(VLOOKUP(C654,[1]List1!$A:$D,2,FALSE)="VYPRODÁNO",$V$9,IF(VLOOKUP(C654,[1]List1!$A:$D,2,FALSE)="DOCHÁZÍ",$V$3,VLOOKUP(C654,[1]List1!$A:$D,2,FALSE))),"OFFLINE!")</f>
        <v>OFFLINE!</v>
      </c>
      <c r="AD654" s="774"/>
      <c r="AE654" s="774"/>
      <c r="AF654" s="774"/>
      <c r="AG654" s="774"/>
      <c r="AH654" s="774"/>
      <c r="AI654" s="774"/>
      <c r="AJ654" s="774"/>
      <c r="AK654" s="774"/>
      <c r="AL654" s="774"/>
      <c r="AM654" s="774"/>
      <c r="AN654" s="774"/>
      <c r="AO654" s="380"/>
      <c r="AP654" s="322" t="str">
        <f t="shared" si="1408"/>
        <v/>
      </c>
      <c r="AQ654" s="323" t="str">
        <f>IF(AC654=$V$3,IF(VLOOKUP(C654,[1]List1!$A:$E,5,FALSE)=0,1,VLOOKUP(C654,[1]List1!$A:$E,5,FALSE)),"")</f>
        <v/>
      </c>
      <c r="AR654" s="304" t="str">
        <f t="shared" si="1409"/>
        <v/>
      </c>
      <c r="AS654" s="423" t="str">
        <f t="shared" si="1410"/>
        <v/>
      </c>
      <c r="AT654" s="304" t="str">
        <f t="shared" si="1411"/>
        <v/>
      </c>
      <c r="AU654" s="342" t="e">
        <f t="shared" si="1412"/>
        <v>#N/A</v>
      </c>
      <c r="AV654" s="304" t="e">
        <f t="shared" si="1413"/>
        <v>#N/A</v>
      </c>
      <c r="AX654" s="304">
        <f>IF(AND('General price list'!$J654="F4",'General price list'!$AB654+0&gt;0),1,0)</f>
        <v>0</v>
      </c>
      <c r="AY654" s="304">
        <f t="shared" si="1414"/>
        <v>0</v>
      </c>
      <c r="AZ654" s="304">
        <f t="shared" si="1415"/>
        <v>0</v>
      </c>
    </row>
    <row r="655" spans="1:52" ht="15" customHeight="1">
      <c r="A655" s="712" t="str">
        <f>Kat.!C652</f>
        <v/>
      </c>
      <c r="B655" s="713">
        <f>IF(AND('General price list'!$J655="F4",$AI$1=FALSE),0,IF(AC655="SKLADEM",1,IF(AC655=$V$3,1,0)))</f>
        <v>1</v>
      </c>
      <c r="C655" s="714" t="s">
        <v>1419</v>
      </c>
      <c r="D655" s="715" t="s">
        <v>1410</v>
      </c>
      <c r="E655" s="716" t="s">
        <v>1312</v>
      </c>
      <c r="F655" s="712">
        <f>IFERROR(ROUND(IF($AL$3=2,VLOOKUP(C655,[2]List1!$A:$D,2,FALSE)*1.08,VLOOKUP(C655,[2]List1!$A:$D,2,FALSE)),0),"NEUVEDENO!")</f>
        <v>329</v>
      </c>
      <c r="G655" s="717">
        <f>(F655)*$B$19</f>
        <v>329</v>
      </c>
      <c r="H655" s="718">
        <f>G655/$F$19</f>
        <v>13.369146934645597</v>
      </c>
      <c r="I655" s="719">
        <v>10</v>
      </c>
      <c r="J655" s="716" t="s">
        <v>46</v>
      </c>
      <c r="K655" s="716" t="s">
        <v>14821</v>
      </c>
      <c r="L655" s="716" t="s">
        <v>14397</v>
      </c>
      <c r="M655" s="716" t="s">
        <v>25</v>
      </c>
      <c r="N655" s="716">
        <f>IFERROR(VLOOKUP(C655,[3]List1!$A:$D,4,FALSE),"N/A!")</f>
        <v>4.6068749999999999E-2</v>
      </c>
      <c r="O655" s="716">
        <f>IFERROR(VLOOKUP(C655,[3]List1!$A:$D,3,FALSE),"N/A!")</f>
        <v>3040</v>
      </c>
      <c r="P655" s="716">
        <f>IFERROR(VLOOKUP(C655,[3]List1!$A:$D,2,FALSE),"N/A!")</f>
        <v>18500</v>
      </c>
      <c r="Q655" s="716" t="s">
        <v>14329</v>
      </c>
      <c r="R655" s="716" t="s">
        <v>24</v>
      </c>
      <c r="S655" s="716" t="str">
        <f>IF($W$17=$AF$1,"červená fólie",IFERROR(VLOOKUP("červená fólie",Jazyky_ceník!$A:$Q,MATCH($W$17,Jazyky_ceník!$A$1:$Q$1,0),FALSE),"!!!"))</f>
        <v>červená fólie</v>
      </c>
      <c r="T655" s="716">
        <v>30</v>
      </c>
      <c r="U655" s="716">
        <v>40</v>
      </c>
      <c r="V655" s="716">
        <v>24</v>
      </c>
      <c r="W655" s="716" t="str">
        <f>IFERROR(VLOOKUP('General price list'!$C655,Popisy!A:P,MATCH($W$17,Popisy!$A$7:$P$7,0),FALSE),"---------------")</f>
        <v>4 různobarevné efekty</v>
      </c>
      <c r="X655" s="716" t="str">
        <f>IF(AB655&lt;0.0001,"",AB655)</f>
        <v/>
      </c>
      <c r="Y655" s="716" t="str">
        <f>IF($AL$3=2,IF(OR(AB655&lt;&gt;"",AB655&lt;&gt;0),AU655,""),IF(C655="","",IF(AB655&lt;0.0001,"",IF(B655=0,"",IF(AQ655&lt;AB655,"",AB655)))))</f>
        <v/>
      </c>
      <c r="Z655" s="716" t="str">
        <f>HYPERLINK("https://www.klasekpyrotechnics.cz/c163a14")</f>
        <v>https://www.klasekpyrotechnics.cz/c163a14</v>
      </c>
      <c r="AA655" s="716">
        <f>IFERROR(IF(VLOOKUP(C655,[4]List1!$A:$D,4,FALSE)=0,"",VLOOKUP(C655,[4]List1!$A:$D,4,FALSE)),"")</f>
        <v>32</v>
      </c>
      <c r="AB655" s="720"/>
      <c r="AC655" s="721" t="str">
        <f>IFERROR(IF(VLOOKUP(C655,[1]List1!$A:$D,2,FALSE)="VYPRODÁNO",$V$9,IF(VLOOKUP(C655,[1]List1!$A:$D,2,FALSE)="DOCHÁZÍ",$V$3,VLOOKUP(C655,[1]List1!$A:$D,2,FALSE))),"OFFLINE!")</f>
        <v>DOCHÁZÍ</v>
      </c>
      <c r="AD655" s="722" t="str">
        <f ca="1">IF(AP655="NE",$V$10,IF(AC655=$V$3,IF(AQ655&lt;1,$V$8,$V$2&amp;" "&amp;AQ655&amp;" "&amp;$V$1),IF(AC655="SKLADEM",$V$6,IFERROR(IF(OR(AC655-TODAY()&gt;45,VLOOKUP(C655,[1]List1!$A:$E,4,FALSE)=0),AC655,DAY(AC655)&amp;"."&amp;MONTH(AC655)&amp;"."&amp;YEAR(AC655)&amp;" "&amp;$V$4&amp;VLOOKUP(C655,[1]List1!$A:$E,4,FALSE)&amp;" "&amp;$V$1),AC655))))</f>
        <v>POSLEDNÍCH 2 VK</v>
      </c>
      <c r="AE655" s="716" t="str">
        <f t="shared" ref="AE655" ca="1" si="1542">IFERROR(IF(AV655&lt;&gt;"",AV655,AD655),AD655)</f>
        <v>POSLEDNÍCH 2 VK</v>
      </c>
      <c r="AF655" s="723">
        <f t="shared" ref="AF655" si="1543">IFERROR(IF(AB655=Y655,G655*I655*Y655,0),0)</f>
        <v>0</v>
      </c>
      <c r="AG655" s="723">
        <f t="shared" ref="AG655" si="1544">IF($W$17=$AF$8,AH655*1.23,AF655*1.21)</f>
        <v>0</v>
      </c>
      <c r="AH655" s="724">
        <f t="shared" ref="AH655" si="1545">IFERROR(IF(Y655=AB655,H655*I655*Y655,0),0)</f>
        <v>0</v>
      </c>
      <c r="AI655" s="716">
        <f t="shared" ref="AI655" si="1546">IFERROR(IF(Y655=AB655,(P655*Y655)/1000,1),0)</f>
        <v>0</v>
      </c>
      <c r="AJ655" s="716">
        <f t="shared" ref="AJ655" si="1547">IFERROR(IF(Y655=AB655,N655*Y655,0.1),0)</f>
        <v>0</v>
      </c>
      <c r="AK655" s="716" t="str">
        <f t="shared" ref="AK655" si="1548">IFERROR(IF(Y655=AB655,IF(M655="1.1G",(O655/1000)*Y655,""),""),0)</f>
        <v/>
      </c>
      <c r="AL655" s="716" t="str">
        <f t="shared" ref="AL655" si="1549">IFERROR(IF(Y655=AB655,IF(M655="1.3G",(O655/1000)*AB655,""),""),0)</f>
        <v/>
      </c>
      <c r="AM655" s="716">
        <f t="shared" ref="AM655" si="1550">IFERROR(IF(Y655=AB655,IF(M655="1.4G",(O655/1000)*AB655,""),""),0)</f>
        <v>0</v>
      </c>
      <c r="AN655" s="716">
        <f t="shared" ref="AN655" si="1551">SUM(AK655:AM655)</f>
        <v>0</v>
      </c>
      <c r="AO655" s="380"/>
      <c r="AP655" s="322" t="str">
        <f t="shared" si="1408"/>
        <v/>
      </c>
      <c r="AQ655" s="323">
        <f>IF(AC655=$V$3,IF(VLOOKUP(C655,[1]List1!$A:$E,5,FALSE)=0,1,VLOOKUP(C655,[1]List1!$A:$E,5,FALSE)),"")</f>
        <v>2</v>
      </c>
      <c r="AR655" s="304" t="str">
        <f t="shared" si="1409"/>
        <v/>
      </c>
      <c r="AS655" s="423" t="str">
        <f t="shared" si="1410"/>
        <v/>
      </c>
      <c r="AT655" s="304" t="str">
        <f t="shared" si="1411"/>
        <v/>
      </c>
      <c r="AU655" s="342" t="e">
        <f t="shared" si="1412"/>
        <v>#N/A</v>
      </c>
      <c r="AV655" s="304" t="e">
        <f t="shared" si="1413"/>
        <v>#N/A</v>
      </c>
      <c r="AX655" s="304">
        <f>IF(AND('General price list'!$J655="F4",'General price list'!$AB655+0&gt;0),1,0)</f>
        <v>0</v>
      </c>
      <c r="AY655" s="304">
        <f t="shared" si="1414"/>
        <v>1</v>
      </c>
      <c r="AZ655" s="304">
        <f t="shared" si="1415"/>
        <v>0</v>
      </c>
    </row>
    <row r="656" spans="1:52" ht="15" customHeight="1">
      <c r="A656" s="773" t="str">
        <f>Kat.!C653</f>
        <v xml:space="preserve">                                                               Baterie 19ran, 30mm moždíř-1.3G</v>
      </c>
      <c r="B656" s="774"/>
      <c r="C656" s="774"/>
      <c r="D656" s="774"/>
      <c r="E656" s="774"/>
      <c r="F656" s="774"/>
      <c r="G656" s="774"/>
      <c r="H656" s="774"/>
      <c r="I656" s="774"/>
      <c r="J656" s="774"/>
      <c r="K656" s="774"/>
      <c r="L656" s="774"/>
      <c r="M656" s="774"/>
      <c r="N656" s="774"/>
      <c r="O656" s="774"/>
      <c r="P656" s="774"/>
      <c r="Q656" s="774"/>
      <c r="R656" s="774"/>
      <c r="S656" s="774"/>
      <c r="T656" s="774"/>
      <c r="U656" s="774"/>
      <c r="V656" s="774"/>
      <c r="W656" s="774"/>
      <c r="X656" s="774"/>
      <c r="Y656" s="774"/>
      <c r="Z656" s="774"/>
      <c r="AA656" s="774" t="str">
        <f>IFERROR(IF(VLOOKUP(C656,[4]List1!$A:$D,4,FALSE)=0,"",VLOOKUP(C656,[4]List1!$A:$D,4,FALSE)),"")</f>
        <v/>
      </c>
      <c r="AB656" s="774"/>
      <c r="AC656" s="775" t="str">
        <f>IFERROR(IF(VLOOKUP(C656,[1]List1!$A:$D,2,FALSE)="VYPRODÁNO",$V$9,IF(VLOOKUP(C656,[1]List1!$A:$D,2,FALSE)="DOCHÁZÍ",$V$3,VLOOKUP(C656,[1]List1!$A:$D,2,FALSE))),"OFFLINE!")</f>
        <v>OFFLINE!</v>
      </c>
      <c r="AD656" s="774"/>
      <c r="AE656" s="774"/>
      <c r="AF656" s="774"/>
      <c r="AG656" s="774"/>
      <c r="AH656" s="774"/>
      <c r="AI656" s="774"/>
      <c r="AJ656" s="774"/>
      <c r="AK656" s="774"/>
      <c r="AL656" s="774"/>
      <c r="AM656" s="774"/>
      <c r="AN656" s="774"/>
      <c r="AO656" s="380"/>
      <c r="AP656" s="322" t="str">
        <f t="shared" si="1408"/>
        <v/>
      </c>
      <c r="AQ656" s="323" t="str">
        <f>IF(AC656=$V$3,IF(VLOOKUP(C656,[1]List1!$A:$E,5,FALSE)=0,1,VLOOKUP(C656,[1]List1!$A:$E,5,FALSE)),"")</f>
        <v/>
      </c>
      <c r="AR656" s="304" t="str">
        <f t="shared" si="1409"/>
        <v/>
      </c>
      <c r="AS656" s="423" t="str">
        <f t="shared" si="1410"/>
        <v/>
      </c>
      <c r="AT656" s="304" t="str">
        <f t="shared" si="1411"/>
        <v/>
      </c>
      <c r="AU656" s="342" t="e">
        <f t="shared" si="1412"/>
        <v>#N/A</v>
      </c>
      <c r="AV656" s="304" t="e">
        <f t="shared" si="1413"/>
        <v>#N/A</v>
      </c>
      <c r="AX656" s="304">
        <f>IF(AND('General price list'!$J656="F4",'General price list'!$AB656+0&gt;0),1,0)</f>
        <v>0</v>
      </c>
      <c r="AY656" s="304">
        <f t="shared" si="1414"/>
        <v>0</v>
      </c>
      <c r="AZ656" s="304">
        <f t="shared" si="1415"/>
        <v>0</v>
      </c>
    </row>
    <row r="657" spans="1:52" ht="15" customHeight="1">
      <c r="A657" s="712" t="str">
        <f>Kat.!C654</f>
        <v>×</v>
      </c>
      <c r="B657" s="713">
        <f>IF(AND('General price list'!$J657="F4",$AI$1=FALSE),0,IF(AC657="SKLADEM",1,IF(AC657=$V$3,1,0)))</f>
        <v>1</v>
      </c>
      <c r="C657" s="714" t="s">
        <v>1432</v>
      </c>
      <c r="D657" s="715" t="s">
        <v>14598</v>
      </c>
      <c r="E657" s="716" t="s">
        <v>435</v>
      </c>
      <c r="F657" s="712">
        <f>IFERROR(ROUND(IF($AL$3=2,VLOOKUP(C657,[2]List1!$A:$D,2,FALSE)*1.08,VLOOKUP(C657,[2]List1!$A:$D,2,FALSE)),0),"NEUVEDENO!")</f>
        <v>399</v>
      </c>
      <c r="G657" s="717">
        <f t="shared" ref="G657:G662" si="1552">(F657)*$B$19</f>
        <v>399</v>
      </c>
      <c r="H657" s="718">
        <f t="shared" ref="H657:H662" si="1553">G657/$F$19</f>
        <v>16.213646282442532</v>
      </c>
      <c r="I657" s="719">
        <v>8</v>
      </c>
      <c r="J657" s="716" t="s">
        <v>46</v>
      </c>
      <c r="K657" s="716" t="s">
        <v>14734</v>
      </c>
      <c r="L657" s="716" t="s">
        <v>14380</v>
      </c>
      <c r="M657" s="716" t="s">
        <v>138</v>
      </c>
      <c r="N657" s="716">
        <f>IFERROR(VLOOKUP(C657,[3]List1!$A:$D,4,FALSE),"N/A!")</f>
        <v>5.4169499999999995E-2</v>
      </c>
      <c r="O657" s="716">
        <f>IFERROR(VLOOKUP(C657,[3]List1!$A:$D,3,FALSE),"N/A!")</f>
        <v>2584</v>
      </c>
      <c r="P657" s="716">
        <f>IFERROR(VLOOKUP(C657,[3]List1!$A:$D,2,FALSE),"N/A!")</f>
        <v>17600</v>
      </c>
      <c r="Q657" s="716" t="s">
        <v>14217</v>
      </c>
      <c r="R657" s="716" t="s">
        <v>24</v>
      </c>
      <c r="S657" s="716" t="str">
        <f>IF($W$17=$AF$1,"červená fólie",IFERROR(VLOOKUP("červená fólie",Jazyky_ceník!$A:$Q,MATCH($W$17,Jazyky_ceník!$A$1:$Q$1,0),FALSE),"!!!"))</f>
        <v>červená fólie</v>
      </c>
      <c r="T657" s="716">
        <v>28</v>
      </c>
      <c r="U657" s="716">
        <v>40</v>
      </c>
      <c r="V657" s="716">
        <v>29</v>
      </c>
      <c r="W657" s="716" t="str">
        <f>IFERROR(VLOOKUP('General price list'!$C657,Popisy!A:P,MATCH($W$17,Popisy!$A$7:$P$7,0),FALSE),"---------------")</f>
        <v>4 různobarevné efekty</v>
      </c>
      <c r="X657" s="716" t="str">
        <f t="shared" ref="X657:X662" si="1554">IF(AB657&lt;0.0001,"",AB657)</f>
        <v/>
      </c>
      <c r="Y657" s="716" t="str">
        <f t="shared" ref="Y657:Y662" si="1555">IF($AL$3=2,IF(OR(AB657&lt;&gt;"",AB657&lt;&gt;0),AU657,""),IF(C657="","",IF(AB657&lt;0.0001,"",IF(B657=0,"",IF(AQ657&lt;AB657,"",AB657)))))</f>
        <v/>
      </c>
      <c r="Z657" s="716" t="str">
        <f>HYPERLINK("https://www.klasekpyrotechnics.cz/c193bp")</f>
        <v>https://www.klasekpyrotechnics.cz/c193bp</v>
      </c>
      <c r="AA657" s="716">
        <f>IFERROR(IF(VLOOKUP(C657,[4]List1!$A:$D,4,FALSE)=0,"",VLOOKUP(C657,[4]List1!$A:$D,4,FALSE)),"")</f>
        <v>24</v>
      </c>
      <c r="AB657" s="720"/>
      <c r="AC657" s="721" t="str">
        <f>IFERROR(IF(VLOOKUP(C657,[1]List1!$A:$D,2,FALSE)="VYPRODÁNO",$V$9,IF(VLOOKUP(C657,[1]List1!$A:$D,2,FALSE)="DOCHÁZÍ",$V$3,VLOOKUP(C657,[1]List1!$A:$D,2,FALSE))),"OFFLINE!")</f>
        <v>SKLADEM</v>
      </c>
      <c r="AD657" s="722" t="str">
        <f ca="1">IF(AP657="NE",$V$10,IF(AC657=$V$3,IF(AQ657&lt;1,$V$8,$V$2&amp;" "&amp;AQ657&amp;" "&amp;$V$1),IF(AC657="SKLADEM",$V$6,IFERROR(IF(OR(AC657-TODAY()&gt;45,VLOOKUP(C657,[1]List1!$A:$E,4,FALSE)=0),AC657,DAY(AC657)&amp;"."&amp;MONTH(AC657)&amp;"."&amp;YEAR(AC657)&amp;" "&amp;$V$4&amp;VLOOKUP(C657,[1]List1!$A:$E,4,FALSE)&amp;" "&amp;$V$1),AC657))))</f>
        <v>SKLADEM</v>
      </c>
      <c r="AE657" s="716" t="str">
        <f t="shared" ref="AE657:AE662" ca="1" si="1556">IFERROR(IF(AV657&lt;&gt;"",AV657,AD657),AD657)</f>
        <v>SKLADEM</v>
      </c>
      <c r="AF657" s="723">
        <f t="shared" ref="AF657:AF662" si="1557">IFERROR(IF(AB657=Y657,G657*I657*Y657,0),0)</f>
        <v>0</v>
      </c>
      <c r="AG657" s="723">
        <f t="shared" ref="AG657:AG662" si="1558">IF($W$17=$AF$8,AH657*1.23,AF657*1.21)</f>
        <v>0</v>
      </c>
      <c r="AH657" s="724">
        <f t="shared" ref="AH657:AH662" si="1559">IFERROR(IF(Y657=AB657,H657*I657*Y657,0),0)</f>
        <v>0</v>
      </c>
      <c r="AI657" s="716">
        <f t="shared" ref="AI657:AI662" si="1560">IFERROR(IF(Y657=AB657,(P657*Y657)/1000,1),0)</f>
        <v>0</v>
      </c>
      <c r="AJ657" s="716">
        <f t="shared" ref="AJ657:AJ662" si="1561">IFERROR(IF(Y657=AB657,N657*Y657,0.1),0)</f>
        <v>0</v>
      </c>
      <c r="AK657" s="716" t="str">
        <f t="shared" ref="AK657:AK662" si="1562">IFERROR(IF(Y657=AB657,IF(M657="1.1G",(O657/1000)*Y657,""),""),0)</f>
        <v/>
      </c>
      <c r="AL657" s="716">
        <f t="shared" ref="AL657:AL662" si="1563">IFERROR(IF(Y657=AB657,IF(M657="1.3G",(O657/1000)*AB657,""),""),0)</f>
        <v>0</v>
      </c>
      <c r="AM657" s="716" t="str">
        <f t="shared" ref="AM657:AM662" si="1564">IFERROR(IF(Y657=AB657,IF(M657="1.4G",(O657/1000)*AB657,""),""),0)</f>
        <v/>
      </c>
      <c r="AN657" s="716">
        <f t="shared" ref="AN657:AN662" si="1565">SUM(AK657:AM657)</f>
        <v>0</v>
      </c>
      <c r="AO657" s="380"/>
      <c r="AP657" s="322" t="str">
        <f t="shared" si="1408"/>
        <v/>
      </c>
      <c r="AQ657" s="323" t="str">
        <f>IF(AC657=$V$3,IF(VLOOKUP(C657,[1]List1!$A:$E,5,FALSE)=0,1,VLOOKUP(C657,[1]List1!$A:$E,5,FALSE)),"")</f>
        <v/>
      </c>
      <c r="AR657" s="304" t="str">
        <f t="shared" si="1409"/>
        <v/>
      </c>
      <c r="AS657" s="423" t="str">
        <f t="shared" si="1410"/>
        <v/>
      </c>
      <c r="AT657" s="304" t="str">
        <f t="shared" si="1411"/>
        <v/>
      </c>
      <c r="AU657" s="342" t="e">
        <f t="shared" si="1412"/>
        <v>#N/A</v>
      </c>
      <c r="AV657" s="304" t="e">
        <f t="shared" si="1413"/>
        <v>#N/A</v>
      </c>
      <c r="AX657" s="304">
        <f>IF(AND('General price list'!$J657="F4",'General price list'!$AB657+0&gt;0),1,0)</f>
        <v>0</v>
      </c>
      <c r="AY657" s="304">
        <f t="shared" si="1414"/>
        <v>1</v>
      </c>
      <c r="AZ657" s="304">
        <f t="shared" si="1415"/>
        <v>0</v>
      </c>
    </row>
    <row r="658" spans="1:52" ht="15" customHeight="1">
      <c r="A658" s="725" t="str">
        <f>Kat.!C655</f>
        <v/>
      </c>
      <c r="B658" s="726">
        <f>IF(AND('General price list'!$J658="F4",$AI$1=FALSE),0,IF(AC658="SKLADEM",1,IF(AC658=$V$3,1,0)))</f>
        <v>1</v>
      </c>
      <c r="C658" s="727" t="s">
        <v>1433</v>
      </c>
      <c r="D658" s="728" t="s">
        <v>1434</v>
      </c>
      <c r="E658" s="729" t="s">
        <v>435</v>
      </c>
      <c r="F658" s="725">
        <f>IFERROR(ROUND(IF($AL$3=2,VLOOKUP(C658,[2]List1!$A:$D,2,FALSE)*1.08,VLOOKUP(C658,[2]List1!$A:$D,2,FALSE)),0),"NEUVEDENO!")</f>
        <v>409</v>
      </c>
      <c r="G658" s="730">
        <f t="shared" si="1552"/>
        <v>409</v>
      </c>
      <c r="H658" s="731">
        <f t="shared" si="1553"/>
        <v>16.620003332127808</v>
      </c>
      <c r="I658" s="732">
        <v>8</v>
      </c>
      <c r="J658" s="729" t="s">
        <v>46</v>
      </c>
      <c r="K658" s="729" t="s">
        <v>14734</v>
      </c>
      <c r="L658" s="729" t="s">
        <v>14386</v>
      </c>
      <c r="M658" s="729" t="s">
        <v>138</v>
      </c>
      <c r="N658" s="729">
        <f>IFERROR(VLOOKUP(C658,[3]List1!$A:$D,4,FALSE),"N/A!")</f>
        <v>5.4169499999999995E-2</v>
      </c>
      <c r="O658" s="729">
        <f>IFERROR(VLOOKUP(C658,[3]List1!$A:$D,3,FALSE),"N/A!")</f>
        <v>2888</v>
      </c>
      <c r="P658" s="729">
        <f>IFERROR(VLOOKUP(C658,[3]List1!$A:$D,2,FALSE),"N/A!")</f>
        <v>17600</v>
      </c>
      <c r="Q658" s="729" t="s">
        <v>14217</v>
      </c>
      <c r="R658" s="729" t="s">
        <v>24</v>
      </c>
      <c r="S658" s="729" t="str">
        <f>IF($W$17=$AF$1,"design",IFERROR(VLOOKUP("design",Jazyky_ceník!$A:$Q,MATCH($W$17,Jazyky_ceník!$A$1:$Q$1,0),FALSE),"!!!"))</f>
        <v>design</v>
      </c>
      <c r="T658" s="729">
        <v>35</v>
      </c>
      <c r="U658" s="729">
        <v>40</v>
      </c>
      <c r="V658" s="729">
        <v>30</v>
      </c>
      <c r="W658" s="729" t="str">
        <f>IFERROR(VLOOKUP('General price list'!$C658,Popisy!A:P,MATCH($W$17,Popisy!$A$7:$P$7,0),FALSE),"---------------")</f>
        <v>4 různobarevné efekty</v>
      </c>
      <c r="X658" s="729" t="str">
        <f t="shared" si="1554"/>
        <v/>
      </c>
      <c r="Y658" s="729" t="str">
        <f t="shared" si="1555"/>
        <v/>
      </c>
      <c r="Z658" s="729" t="str">
        <f>HYPERLINK("https://www.klasekpyrotechnics.cz/c193c")</f>
        <v>https://www.klasekpyrotechnics.cz/c193c</v>
      </c>
      <c r="AA658" s="729">
        <f>IFERROR(IF(VLOOKUP(C658,[4]List1!$A:$D,4,FALSE)=0,"",VLOOKUP(C658,[4]List1!$A:$D,4,FALSE)),"")</f>
        <v>24</v>
      </c>
      <c r="AB658" s="720"/>
      <c r="AC658" s="733" t="str">
        <f>IFERROR(IF(VLOOKUP(C658,[1]List1!$A:$D,2,FALSE)="VYPRODÁNO",$V$9,IF(VLOOKUP(C658,[1]List1!$A:$D,2,FALSE)="DOCHÁZÍ",$V$3,VLOOKUP(C658,[1]List1!$A:$D,2,FALSE))),"OFFLINE!")</f>
        <v>SKLADEM</v>
      </c>
      <c r="AD658" s="734" t="str">
        <f ca="1">IF(AP658="NE",$V$10,IF(AC658=$V$3,IF(AQ658&lt;1,$V$8,$V$2&amp;" "&amp;AQ658&amp;" "&amp;$V$1),IF(AC658="SKLADEM",$V$6,IFERROR(IF(OR(AC658-TODAY()&gt;45,VLOOKUP(C658,[1]List1!$A:$E,4,FALSE)=0),AC658,DAY(AC658)&amp;"."&amp;MONTH(AC658)&amp;"."&amp;YEAR(AC658)&amp;" "&amp;$V$4&amp;VLOOKUP(C658,[1]List1!$A:$E,4,FALSE)&amp;" "&amp;$V$1),AC658))))</f>
        <v>SKLADEM</v>
      </c>
      <c r="AE658" s="729" t="str">
        <f t="shared" ca="1" si="1556"/>
        <v>SKLADEM</v>
      </c>
      <c r="AF658" s="735">
        <f t="shared" si="1557"/>
        <v>0</v>
      </c>
      <c r="AG658" s="735">
        <f t="shared" si="1558"/>
        <v>0</v>
      </c>
      <c r="AH658" s="736">
        <f t="shared" si="1559"/>
        <v>0</v>
      </c>
      <c r="AI658" s="729">
        <f t="shared" si="1560"/>
        <v>0</v>
      </c>
      <c r="AJ658" s="729">
        <f t="shared" si="1561"/>
        <v>0</v>
      </c>
      <c r="AK658" s="729" t="str">
        <f t="shared" si="1562"/>
        <v/>
      </c>
      <c r="AL658" s="729">
        <f t="shared" si="1563"/>
        <v>0</v>
      </c>
      <c r="AM658" s="729" t="str">
        <f t="shared" si="1564"/>
        <v/>
      </c>
      <c r="AN658" s="729">
        <f t="shared" si="1565"/>
        <v>0</v>
      </c>
      <c r="AO658" s="380"/>
      <c r="AP658" s="322" t="str">
        <f t="shared" si="1408"/>
        <v/>
      </c>
      <c r="AQ658" s="323" t="str">
        <f>IF(AC658=$V$3,IF(VLOOKUP(C658,[1]List1!$A:$E,5,FALSE)=0,1,VLOOKUP(C658,[1]List1!$A:$E,5,FALSE)),"")</f>
        <v/>
      </c>
      <c r="AR658" s="304" t="str">
        <f t="shared" si="1409"/>
        <v/>
      </c>
      <c r="AS658" s="423" t="str">
        <f t="shared" si="1410"/>
        <v/>
      </c>
      <c r="AT658" s="304" t="str">
        <f t="shared" si="1411"/>
        <v/>
      </c>
      <c r="AU658" s="342" t="e">
        <f t="shared" si="1412"/>
        <v>#N/A</v>
      </c>
      <c r="AV658" s="304" t="e">
        <f t="shared" si="1413"/>
        <v>#N/A</v>
      </c>
      <c r="AX658" s="304">
        <f>IF(AND('General price list'!$J658="F4",'General price list'!$AB658+0&gt;0),1,0)</f>
        <v>0</v>
      </c>
      <c r="AY658" s="304">
        <f t="shared" si="1414"/>
        <v>1</v>
      </c>
      <c r="AZ658" s="304">
        <f t="shared" si="1415"/>
        <v>0</v>
      </c>
    </row>
    <row r="659" spans="1:52" ht="15" customHeight="1">
      <c r="A659" s="712" t="str">
        <f>Kat.!C656</f>
        <v/>
      </c>
      <c r="B659" s="737">
        <f>IF(AND('General price list'!$J659="F4",$AI$1=FALSE),0,IF(AC659="SKLADEM",1,IF(AC659=$V$3,1,0)))</f>
        <v>1</v>
      </c>
      <c r="C659" s="714" t="s">
        <v>1435</v>
      </c>
      <c r="D659" s="715" t="s">
        <v>1436</v>
      </c>
      <c r="E659" s="716" t="s">
        <v>435</v>
      </c>
      <c r="F659" s="712">
        <f>IFERROR(ROUND(IF($AL$3=2,VLOOKUP(C659,[2]List1!$A:$D,2,FALSE)*1.08,VLOOKUP(C659,[2]List1!$A:$D,2,FALSE)),0),"NEUVEDENO!")</f>
        <v>409</v>
      </c>
      <c r="G659" s="717">
        <f t="shared" si="1552"/>
        <v>409</v>
      </c>
      <c r="H659" s="718">
        <f t="shared" si="1553"/>
        <v>16.620003332127808</v>
      </c>
      <c r="I659" s="738">
        <v>8</v>
      </c>
      <c r="J659" s="716" t="s">
        <v>46</v>
      </c>
      <c r="K659" s="716" t="s">
        <v>14734</v>
      </c>
      <c r="L659" s="716" t="s">
        <v>14386</v>
      </c>
      <c r="M659" s="716" t="s">
        <v>138</v>
      </c>
      <c r="N659" s="716">
        <f>IFERROR(VLOOKUP(C659,[3]List1!$A:$D,4,FALSE),"N/A!")</f>
        <v>5.4169499999999995E-2</v>
      </c>
      <c r="O659" s="716">
        <f>IFERROR(VLOOKUP(C659,[3]List1!$A:$D,3,FALSE),"N/A!")</f>
        <v>2888</v>
      </c>
      <c r="P659" s="716">
        <f>IFERROR(VLOOKUP(C659,[3]List1!$A:$D,2,FALSE),"N/A!")</f>
        <v>17600</v>
      </c>
      <c r="Q659" s="716" t="s">
        <v>14217</v>
      </c>
      <c r="R659" s="716" t="s">
        <v>24</v>
      </c>
      <c r="S659" s="716" t="str">
        <f>IF($W$17=$AF$1,"design",IFERROR(VLOOKUP("design",Jazyky_ceník!$A:$Q,MATCH($W$17,Jazyky_ceník!$A$1:$Q$1,0),FALSE),"!!!"))</f>
        <v>design</v>
      </c>
      <c r="T659" s="716">
        <v>35</v>
      </c>
      <c r="U659" s="716">
        <v>40</v>
      </c>
      <c r="V659" s="716">
        <v>30</v>
      </c>
      <c r="W659" s="716" t="str">
        <f>IFERROR(VLOOKUP('General price list'!$C659,Popisy!A:P,MATCH($W$17,Popisy!$A$7:$P$7,0),FALSE),"---------------")</f>
        <v>4 různobarevné efekty</v>
      </c>
      <c r="X659" s="716" t="str">
        <f t="shared" si="1554"/>
        <v/>
      </c>
      <c r="Y659" s="716" t="str">
        <f t="shared" si="1555"/>
        <v/>
      </c>
      <c r="Z659" s="716" t="str">
        <f>HYPERLINK("https://www.klasekpyrotechnics.cz/c193d")</f>
        <v>https://www.klasekpyrotechnics.cz/c193d</v>
      </c>
      <c r="AA659" s="716">
        <f>IFERROR(IF(VLOOKUP(C659,[4]List1!$A:$D,4,FALSE)=0,"",VLOOKUP(C659,[4]List1!$A:$D,4,FALSE)),"")</f>
        <v>24</v>
      </c>
      <c r="AB659" s="720"/>
      <c r="AC659" s="739" t="str">
        <f>IFERROR(IF(VLOOKUP(C659,[1]List1!$A:$D,2,FALSE)="VYPRODÁNO",$V$9,IF(VLOOKUP(C659,[1]List1!$A:$D,2,FALSE)="DOCHÁZÍ",$V$3,VLOOKUP(C659,[1]List1!$A:$D,2,FALSE))),"OFFLINE!")</f>
        <v>SKLADEM</v>
      </c>
      <c r="AD659" s="740" t="str">
        <f ca="1">IF(AP659="NE",$V$10,IF(AC659=$V$3,IF(AQ659&lt;1,$V$8,$V$2&amp;" "&amp;AQ659&amp;" "&amp;$V$1),IF(AC659="SKLADEM",$V$6,IFERROR(IF(OR(AC659-TODAY()&gt;45,VLOOKUP(C659,[1]List1!$A:$E,4,FALSE)=0),AC659,DAY(AC659)&amp;"."&amp;MONTH(AC659)&amp;"."&amp;YEAR(AC659)&amp;" "&amp;$V$4&amp;VLOOKUP(C659,[1]List1!$A:$E,4,FALSE)&amp;" "&amp;$V$1),AC659))))</f>
        <v>SKLADEM</v>
      </c>
      <c r="AE659" s="716" t="str">
        <f t="shared" ca="1" si="1556"/>
        <v>SKLADEM</v>
      </c>
      <c r="AF659" s="723">
        <f t="shared" si="1557"/>
        <v>0</v>
      </c>
      <c r="AG659" s="723">
        <f t="shared" si="1558"/>
        <v>0</v>
      </c>
      <c r="AH659" s="724">
        <f t="shared" si="1559"/>
        <v>0</v>
      </c>
      <c r="AI659" s="716">
        <f t="shared" si="1560"/>
        <v>0</v>
      </c>
      <c r="AJ659" s="716">
        <f t="shared" si="1561"/>
        <v>0</v>
      </c>
      <c r="AK659" s="716" t="str">
        <f t="shared" si="1562"/>
        <v/>
      </c>
      <c r="AL659" s="716">
        <f t="shared" si="1563"/>
        <v>0</v>
      </c>
      <c r="AM659" s="716" t="str">
        <f t="shared" si="1564"/>
        <v/>
      </c>
      <c r="AN659" s="716">
        <f t="shared" si="1565"/>
        <v>0</v>
      </c>
      <c r="AO659" s="380"/>
      <c r="AP659" s="322" t="str">
        <f t="shared" ref="AP659:AP662" si="1566">IF($AL$3=1,IF(Y659=AB659,"","NE"),IF(AR659=$V$10,"NE",""))</f>
        <v/>
      </c>
      <c r="AQ659" s="323" t="str">
        <f>IF(AC659=$V$3,IF(VLOOKUP(C659,[1]List1!$A:$E,5,FALSE)=0,1,VLOOKUP(C659,[1]List1!$A:$E,5,FALSE)),"")</f>
        <v/>
      </c>
      <c r="AR659" s="304" t="str">
        <f t="shared" ref="AR659:AR662" si="1567">IF($AL$3=1,"",IF(OR(AB659&lt;&gt;"",AB659&lt;&gt;0),IF(OR(AC659=$V$6,AC659=$V$3,AC659=$V$9),$V$10,""),""))</f>
        <v/>
      </c>
      <c r="AS659" s="423" t="str">
        <f t="shared" ref="AS659:AS662" si="1568">IF(AT659&lt;&gt;"","X","")</f>
        <v/>
      </c>
      <c r="AT659" s="304" t="str">
        <f t="shared" ref="AT659:AT662" si="1569">IF(AND($AL$3=2,AR659="",AB659&lt;&gt;""),AD659,"")</f>
        <v/>
      </c>
      <c r="AU659" s="342" t="e">
        <f t="shared" ref="AU659:AU662" si="1570">IF(AT659=$AS$21,AB659,"")</f>
        <v>#N/A</v>
      </c>
      <c r="AV659" s="304" t="e">
        <f t="shared" ref="AV659:AV662" si="1571">IF(OR(AB659="",AND(AT659&lt;&gt;"",AU659&lt;&gt;"")),"",$V$10)</f>
        <v>#N/A</v>
      </c>
      <c r="AX659" s="304">
        <f>IF(AND('General price list'!$J659="F4",'General price list'!$AB659+0&gt;0),1,0)</f>
        <v>0</v>
      </c>
      <c r="AY659" s="304">
        <f t="shared" ref="AY659:AY662" si="1572">IFERROR(FIND(VLOOKUP($AC$7,$AD$1:$AE$12,2,FALSE),Q659,1),0)</f>
        <v>1</v>
      </c>
      <c r="AZ659" s="304">
        <f t="shared" ref="AZ659:AZ662" si="1573">IFERROR(FIND(VLOOKUP($AC$7,$AD$1:$AE$12,2,FALSE),R659,1),0)</f>
        <v>0</v>
      </c>
    </row>
    <row r="660" spans="1:52" ht="15" customHeight="1">
      <c r="A660" s="725" t="str">
        <f>Kat.!C657</f>
        <v/>
      </c>
      <c r="B660" s="726">
        <f>IF(AND('General price list'!$J660="F4",$AI$1=FALSE),0,IF(AC660="SKLADEM",1,IF(AC660=$V$3,1,0)))</f>
        <v>1</v>
      </c>
      <c r="C660" s="727" t="s">
        <v>1437</v>
      </c>
      <c r="D660" s="728" t="s">
        <v>1438</v>
      </c>
      <c r="E660" s="729" t="s">
        <v>435</v>
      </c>
      <c r="F660" s="725">
        <f>IFERROR(ROUND(IF($AL$3=2,VLOOKUP(C660,[2]List1!$A:$D,2,FALSE)*1.08,VLOOKUP(C660,[2]List1!$A:$D,2,FALSE)),0),"NEUVEDENO!")</f>
        <v>409</v>
      </c>
      <c r="G660" s="730">
        <f t="shared" si="1552"/>
        <v>409</v>
      </c>
      <c r="H660" s="731">
        <f t="shared" si="1553"/>
        <v>16.620003332127808</v>
      </c>
      <c r="I660" s="732">
        <v>8</v>
      </c>
      <c r="J660" s="729" t="s">
        <v>46</v>
      </c>
      <c r="K660" s="729" t="s">
        <v>14734</v>
      </c>
      <c r="L660" s="729" t="s">
        <v>14386</v>
      </c>
      <c r="M660" s="729" t="s">
        <v>138</v>
      </c>
      <c r="N660" s="729">
        <f>IFERROR(VLOOKUP(C660,[3]List1!$A:$D,4,FALSE),"N/A!")</f>
        <v>5.4169499999999995E-2</v>
      </c>
      <c r="O660" s="729">
        <f>IFERROR(VLOOKUP(C660,[3]List1!$A:$D,3,FALSE),"N/A!")</f>
        <v>2888</v>
      </c>
      <c r="P660" s="729">
        <f>IFERROR(VLOOKUP(C660,[3]List1!$A:$D,2,FALSE),"N/A!")</f>
        <v>17600</v>
      </c>
      <c r="Q660" s="729" t="s">
        <v>632</v>
      </c>
      <c r="R660" s="729" t="s">
        <v>24</v>
      </c>
      <c r="S660" s="729" t="str">
        <f>IF($W$17=$AF$1,"červená fólie",IFERROR(VLOOKUP("červená fólie",Jazyky_ceník!$A:$Q,MATCH($W$17,Jazyky_ceník!$A$1:$Q$1,0),FALSE),"!!!"))</f>
        <v>červená fólie</v>
      </c>
      <c r="T660" s="729">
        <v>35</v>
      </c>
      <c r="U660" s="729">
        <v>40</v>
      </c>
      <c r="V660" s="729">
        <v>30</v>
      </c>
      <c r="W660" s="729" t="str">
        <f>IFERROR(VLOOKUP('General price list'!$C660,Popisy!A:P,MATCH($W$17,Popisy!$A$7:$P$7,0),FALSE),"---------------")</f>
        <v>4 různobarevné efekty měnící se po každé ráně</v>
      </c>
      <c r="X660" s="729" t="str">
        <f t="shared" si="1554"/>
        <v/>
      </c>
      <c r="Y660" s="729" t="str">
        <f t="shared" si="1555"/>
        <v/>
      </c>
      <c r="Z660" s="729" t="str">
        <f>HYPERLINK("https://www.klasekpyrotechnics.cz/c193j")</f>
        <v>https://www.klasekpyrotechnics.cz/c193j</v>
      </c>
      <c r="AA660" s="729">
        <f>IFERROR(IF(VLOOKUP(C660,[4]List1!$A:$D,4,FALSE)=0,"",VLOOKUP(C660,[4]List1!$A:$D,4,FALSE)),"")</f>
        <v>24</v>
      </c>
      <c r="AB660" s="720"/>
      <c r="AC660" s="733" t="str">
        <f>IFERROR(IF(VLOOKUP(C660,[1]List1!$A:$D,2,FALSE)="VYPRODÁNO",$V$9,IF(VLOOKUP(C660,[1]List1!$A:$D,2,FALSE)="DOCHÁZÍ",$V$3,VLOOKUP(C660,[1]List1!$A:$D,2,FALSE))),"OFFLINE!")</f>
        <v>SKLADEM</v>
      </c>
      <c r="AD660" s="734" t="str">
        <f ca="1">IF(AP660="NE",$V$10,IF(AC660=$V$3,IF(AQ660&lt;1,$V$8,$V$2&amp;" "&amp;AQ660&amp;" "&amp;$V$1),IF(AC660="SKLADEM",$V$6,IFERROR(IF(OR(AC660-TODAY()&gt;45,VLOOKUP(C660,[1]List1!$A:$E,4,FALSE)=0),AC660,DAY(AC660)&amp;"."&amp;MONTH(AC660)&amp;"."&amp;YEAR(AC660)&amp;" "&amp;$V$4&amp;VLOOKUP(C660,[1]List1!$A:$E,4,FALSE)&amp;" "&amp;$V$1),AC660))))</f>
        <v>SKLADEM</v>
      </c>
      <c r="AE660" s="729" t="str">
        <f t="shared" ca="1" si="1556"/>
        <v>SKLADEM</v>
      </c>
      <c r="AF660" s="735">
        <f t="shared" si="1557"/>
        <v>0</v>
      </c>
      <c r="AG660" s="735">
        <f t="shared" si="1558"/>
        <v>0</v>
      </c>
      <c r="AH660" s="736">
        <f t="shared" si="1559"/>
        <v>0</v>
      </c>
      <c r="AI660" s="729">
        <f t="shared" si="1560"/>
        <v>0</v>
      </c>
      <c r="AJ660" s="729">
        <f t="shared" si="1561"/>
        <v>0</v>
      </c>
      <c r="AK660" s="729" t="str">
        <f t="shared" si="1562"/>
        <v/>
      </c>
      <c r="AL660" s="729">
        <f t="shared" si="1563"/>
        <v>0</v>
      </c>
      <c r="AM660" s="729" t="str">
        <f t="shared" si="1564"/>
        <v/>
      </c>
      <c r="AN660" s="729">
        <f t="shared" si="1565"/>
        <v>0</v>
      </c>
      <c r="AO660" s="380"/>
      <c r="AP660" s="322" t="str">
        <f t="shared" si="1566"/>
        <v/>
      </c>
      <c r="AQ660" s="323" t="str">
        <f>IF(AC660=$V$3,IF(VLOOKUP(C660,[1]List1!$A:$E,5,FALSE)=0,1,VLOOKUP(C660,[1]List1!$A:$E,5,FALSE)),"")</f>
        <v/>
      </c>
      <c r="AR660" s="304" t="str">
        <f t="shared" si="1567"/>
        <v/>
      </c>
      <c r="AS660" s="423" t="str">
        <f t="shared" si="1568"/>
        <v/>
      </c>
      <c r="AT660" s="304" t="str">
        <f t="shared" si="1569"/>
        <v/>
      </c>
      <c r="AU660" s="342" t="e">
        <f t="shared" si="1570"/>
        <v>#N/A</v>
      </c>
      <c r="AV660" s="304" t="e">
        <f t="shared" si="1571"/>
        <v>#N/A</v>
      </c>
      <c r="AX660" s="304">
        <f>IF(AND('General price list'!$J660="F4",'General price list'!$AB660+0&gt;0),1,0)</f>
        <v>0</v>
      </c>
      <c r="AY660" s="304">
        <f t="shared" si="1572"/>
        <v>1</v>
      </c>
      <c r="AZ660" s="304">
        <f t="shared" si="1573"/>
        <v>0</v>
      </c>
    </row>
    <row r="661" spans="1:52" ht="15" customHeight="1">
      <c r="A661" s="712" t="str">
        <f>Kat.!C658</f>
        <v/>
      </c>
      <c r="B661" s="737">
        <f>IF(AND('General price list'!$J661="F4",$AI$1=FALSE),0,IF(AC661="SKLADEM",1,IF(AC661=$V$3,1,0)))</f>
        <v>1</v>
      </c>
      <c r="C661" s="714" t="s">
        <v>1439</v>
      </c>
      <c r="D661" s="715" t="s">
        <v>1440</v>
      </c>
      <c r="E661" s="716" t="s">
        <v>435</v>
      </c>
      <c r="F661" s="712">
        <f>IFERROR(ROUND(IF($AL$3=2,VLOOKUP(C661,[2]List1!$A:$D,2,FALSE)*1.08,VLOOKUP(C661,[2]List1!$A:$D,2,FALSE)),0),"NEUVEDENO!")</f>
        <v>409</v>
      </c>
      <c r="G661" s="717">
        <f t="shared" si="1552"/>
        <v>409</v>
      </c>
      <c r="H661" s="718">
        <f t="shared" si="1553"/>
        <v>16.620003332127808</v>
      </c>
      <c r="I661" s="738">
        <v>8</v>
      </c>
      <c r="J661" s="716" t="s">
        <v>46</v>
      </c>
      <c r="K661" s="716" t="s">
        <v>14734</v>
      </c>
      <c r="L661" s="716" t="s">
        <v>14386</v>
      </c>
      <c r="M661" s="716" t="s">
        <v>138</v>
      </c>
      <c r="N661" s="716">
        <f>IFERROR(VLOOKUP(C661,[3]List1!$A:$D,4,FALSE),"N/A!")</f>
        <v>5.4169499999999995E-2</v>
      </c>
      <c r="O661" s="716">
        <f>IFERROR(VLOOKUP(C661,[3]List1!$A:$D,3,FALSE),"N/A!")</f>
        <v>2888</v>
      </c>
      <c r="P661" s="716">
        <f>IFERROR(VLOOKUP(C661,[3]List1!$A:$D,2,FALSE),"N/A!")</f>
        <v>17600</v>
      </c>
      <c r="Q661" s="716" t="s">
        <v>632</v>
      </c>
      <c r="R661" s="716" t="s">
        <v>24</v>
      </c>
      <c r="S661" s="716" t="str">
        <f>IF($W$17=$AF$1,"design",IFERROR(VLOOKUP("design",Jazyky_ceník!$A:$Q,MATCH($W$17,Jazyky_ceník!$A$1:$Q$1,0),FALSE),"!!!"))</f>
        <v>design</v>
      </c>
      <c r="T661" s="716">
        <v>25</v>
      </c>
      <c r="U661" s="716">
        <v>40</v>
      </c>
      <c r="V661" s="716">
        <v>30</v>
      </c>
      <c r="W661" s="716" t="str">
        <f>IFERROR(VLOOKUP('General price list'!$C661,Popisy!A:P,MATCH($W$17,Popisy!$A$7:$P$7,0),FALSE),"---------------")</f>
        <v>stříbrná stopa+stříbrná palma s fialovým středem</v>
      </c>
      <c r="X661" s="716" t="str">
        <f t="shared" si="1554"/>
        <v/>
      </c>
      <c r="Y661" s="716" t="str">
        <f t="shared" si="1555"/>
        <v/>
      </c>
      <c r="Z661" s="716" t="str">
        <f>HYPERLINK("https://www.klasekpyrotechnics.cz/c193f")</f>
        <v>https://www.klasekpyrotechnics.cz/c193f</v>
      </c>
      <c r="AA661" s="716">
        <f>IFERROR(IF(VLOOKUP(C661,[4]List1!$A:$D,4,FALSE)=0,"",VLOOKUP(C661,[4]List1!$A:$D,4,FALSE)),"")</f>
        <v>24</v>
      </c>
      <c r="AB661" s="720"/>
      <c r="AC661" s="739" t="str">
        <f>IFERROR(IF(VLOOKUP(C661,[1]List1!$A:$D,2,FALSE)="VYPRODÁNO",$V$9,IF(VLOOKUP(C661,[1]List1!$A:$D,2,FALSE)="DOCHÁZÍ",$V$3,VLOOKUP(C661,[1]List1!$A:$D,2,FALSE))),"OFFLINE!")</f>
        <v>SKLADEM</v>
      </c>
      <c r="AD661" s="740" t="str">
        <f ca="1">IF(AP661="NE",$V$10,IF(AC661=$V$3,IF(AQ661&lt;1,$V$8,$V$2&amp;" "&amp;AQ661&amp;" "&amp;$V$1),IF(AC661="SKLADEM",$V$6,IFERROR(IF(OR(AC661-TODAY()&gt;45,VLOOKUP(C661,[1]List1!$A:$E,4,FALSE)=0),AC661,DAY(AC661)&amp;"."&amp;MONTH(AC661)&amp;"."&amp;YEAR(AC661)&amp;" "&amp;$V$4&amp;VLOOKUP(C661,[1]List1!$A:$E,4,FALSE)&amp;" "&amp;$V$1),AC661))))</f>
        <v>SKLADEM</v>
      </c>
      <c r="AE661" s="716" t="str">
        <f t="shared" ca="1" si="1556"/>
        <v>SKLADEM</v>
      </c>
      <c r="AF661" s="723">
        <f t="shared" si="1557"/>
        <v>0</v>
      </c>
      <c r="AG661" s="723">
        <f t="shared" si="1558"/>
        <v>0</v>
      </c>
      <c r="AH661" s="724">
        <f t="shared" si="1559"/>
        <v>0</v>
      </c>
      <c r="AI661" s="716">
        <f t="shared" si="1560"/>
        <v>0</v>
      </c>
      <c r="AJ661" s="716">
        <f t="shared" si="1561"/>
        <v>0</v>
      </c>
      <c r="AK661" s="716" t="str">
        <f t="shared" si="1562"/>
        <v/>
      </c>
      <c r="AL661" s="716">
        <f t="shared" si="1563"/>
        <v>0</v>
      </c>
      <c r="AM661" s="716" t="str">
        <f t="shared" si="1564"/>
        <v/>
      </c>
      <c r="AN661" s="716">
        <f t="shared" si="1565"/>
        <v>0</v>
      </c>
      <c r="AO661" s="380"/>
      <c r="AP661" s="322" t="str">
        <f t="shared" si="1566"/>
        <v/>
      </c>
      <c r="AQ661" s="323" t="str">
        <f>IF(AC661=$V$3,IF(VLOOKUP(C661,[1]List1!$A:$E,5,FALSE)=0,1,VLOOKUP(C661,[1]List1!$A:$E,5,FALSE)),"")</f>
        <v/>
      </c>
      <c r="AR661" s="304" t="str">
        <f t="shared" si="1567"/>
        <v/>
      </c>
      <c r="AS661" s="423" t="str">
        <f t="shared" si="1568"/>
        <v/>
      </c>
      <c r="AT661" s="304" t="str">
        <f t="shared" si="1569"/>
        <v/>
      </c>
      <c r="AU661" s="342" t="e">
        <f t="shared" si="1570"/>
        <v>#N/A</v>
      </c>
      <c r="AV661" s="304" t="e">
        <f t="shared" si="1571"/>
        <v>#N/A</v>
      </c>
      <c r="AX661" s="304">
        <f>IF(AND('General price list'!$J661="F4",'General price list'!$AB661+0&gt;0),1,0)</f>
        <v>0</v>
      </c>
      <c r="AY661" s="304">
        <f t="shared" si="1572"/>
        <v>1</v>
      </c>
      <c r="AZ661" s="304">
        <f t="shared" si="1573"/>
        <v>0</v>
      </c>
    </row>
    <row r="662" spans="1:52" ht="15" customHeight="1">
      <c r="A662" s="725" t="str">
        <f>Kat.!C659</f>
        <v/>
      </c>
      <c r="B662" s="726">
        <f>IF(AND('General price list'!$J662="F4",$AI$1=FALSE),0,IF(AC662="SKLADEM",1,IF(AC662=$V$3,1,0)))</f>
        <v>1</v>
      </c>
      <c r="C662" s="727" t="s">
        <v>1444</v>
      </c>
      <c r="D662" s="728" t="s">
        <v>1445</v>
      </c>
      <c r="E662" s="729" t="s">
        <v>435</v>
      </c>
      <c r="F662" s="725">
        <f>IFERROR(ROUND(IF($AL$3=2,VLOOKUP(C662,[2]List1!$A:$D,2,FALSE)*1.08,VLOOKUP(C662,[2]List1!$A:$D,2,FALSE)),0),"NEUVEDENO!")</f>
        <v>409</v>
      </c>
      <c r="G662" s="730">
        <f t="shared" si="1552"/>
        <v>409</v>
      </c>
      <c r="H662" s="731">
        <f t="shared" si="1553"/>
        <v>16.620003332127808</v>
      </c>
      <c r="I662" s="732">
        <v>8</v>
      </c>
      <c r="J662" s="729" t="s">
        <v>46</v>
      </c>
      <c r="K662" s="729" t="s">
        <v>14734</v>
      </c>
      <c r="L662" s="729" t="s">
        <v>14386</v>
      </c>
      <c r="M662" s="729" t="s">
        <v>138</v>
      </c>
      <c r="N662" s="729">
        <f>IFERROR(VLOOKUP(C662,[3]List1!$A:$D,4,FALSE),"N/A!")</f>
        <v>5.4169499999999995E-2</v>
      </c>
      <c r="O662" s="729">
        <f>IFERROR(VLOOKUP(C662,[3]List1!$A:$D,3,FALSE),"N/A!")</f>
        <v>2888</v>
      </c>
      <c r="P662" s="729">
        <f>IFERROR(VLOOKUP(C662,[3]List1!$A:$D,2,FALSE),"N/A!")</f>
        <v>17600</v>
      </c>
      <c r="Q662" s="729" t="s">
        <v>14217</v>
      </c>
      <c r="R662" s="729" t="s">
        <v>24</v>
      </c>
      <c r="S662" s="729" t="str">
        <f>IF($W$17=$AF$1,"červená fólie",IFERROR(VLOOKUP("červená fólie",Jazyky_ceník!$A:$Q,MATCH($W$17,Jazyky_ceník!$A$1:$Q$1,0),FALSE),"!!!"))</f>
        <v>červená fólie</v>
      </c>
      <c r="T662" s="729">
        <v>25</v>
      </c>
      <c r="U662" s="729">
        <v>40</v>
      </c>
      <c r="V662" s="729">
        <v>30</v>
      </c>
      <c r="W662" s="729" t="str">
        <f>IFERROR(VLOOKUP('General price list'!$C662,Popisy!A:P,MATCH($W$17,Popisy!$A$7:$P$7,0),FALSE),"---------------")</f>
        <v>plnobarevná kytice s práskajícími hvězdami</v>
      </c>
      <c r="X662" s="729" t="str">
        <f t="shared" si="1554"/>
        <v/>
      </c>
      <c r="Y662" s="729" t="str">
        <f t="shared" si="1555"/>
        <v/>
      </c>
      <c r="Z662" s="729" t="str">
        <f>HYPERLINK("https://www.klasekpyrotechnics.cz/c193i")</f>
        <v>https://www.klasekpyrotechnics.cz/c193i</v>
      </c>
      <c r="AA662" s="729">
        <f>IFERROR(IF(VLOOKUP(C662,[4]List1!$A:$D,4,FALSE)=0,"",VLOOKUP(C662,[4]List1!$A:$D,4,FALSE)),"")</f>
        <v>24</v>
      </c>
      <c r="AB662" s="720"/>
      <c r="AC662" s="733" t="str">
        <f>IFERROR(IF(VLOOKUP(C662,[1]List1!$A:$D,2,FALSE)="VYPRODÁNO",$V$9,IF(VLOOKUP(C662,[1]List1!$A:$D,2,FALSE)="DOCHÁZÍ",$V$3,VLOOKUP(C662,[1]List1!$A:$D,2,FALSE))),"OFFLINE!")</f>
        <v>SKLADEM</v>
      </c>
      <c r="AD662" s="734" t="str">
        <f ca="1">IF(AP662="NE",$V$10,IF(AC662=$V$3,IF(AQ662&lt;1,$V$8,$V$2&amp;" "&amp;AQ662&amp;" "&amp;$V$1),IF(AC662="SKLADEM",$V$6,IFERROR(IF(OR(AC662-TODAY()&gt;45,VLOOKUP(C662,[1]List1!$A:$E,4,FALSE)=0),AC662,DAY(AC662)&amp;"."&amp;MONTH(AC662)&amp;"."&amp;YEAR(AC662)&amp;" "&amp;$V$4&amp;VLOOKUP(C662,[1]List1!$A:$E,4,FALSE)&amp;" "&amp;$V$1),AC662))))</f>
        <v>SKLADEM</v>
      </c>
      <c r="AE662" s="729" t="str">
        <f t="shared" ca="1" si="1556"/>
        <v>SKLADEM</v>
      </c>
      <c r="AF662" s="735">
        <f t="shared" si="1557"/>
        <v>0</v>
      </c>
      <c r="AG662" s="735">
        <f t="shared" si="1558"/>
        <v>0</v>
      </c>
      <c r="AH662" s="736">
        <f t="shared" si="1559"/>
        <v>0</v>
      </c>
      <c r="AI662" s="729">
        <f t="shared" si="1560"/>
        <v>0</v>
      </c>
      <c r="AJ662" s="729">
        <f t="shared" si="1561"/>
        <v>0</v>
      </c>
      <c r="AK662" s="729" t="str">
        <f t="shared" si="1562"/>
        <v/>
      </c>
      <c r="AL662" s="729">
        <f t="shared" si="1563"/>
        <v>0</v>
      </c>
      <c r="AM662" s="729" t="str">
        <f t="shared" si="1564"/>
        <v/>
      </c>
      <c r="AN662" s="729">
        <f t="shared" si="1565"/>
        <v>0</v>
      </c>
      <c r="AO662" s="380"/>
      <c r="AP662" s="322" t="str">
        <f t="shared" si="1566"/>
        <v/>
      </c>
      <c r="AQ662" s="323" t="str">
        <f>IF(AC662=$V$3,IF(VLOOKUP(C662,[1]List1!$A:$E,5,FALSE)=0,1,VLOOKUP(C662,[1]List1!$A:$E,5,FALSE)),"")</f>
        <v/>
      </c>
      <c r="AR662" s="304" t="str">
        <f t="shared" si="1567"/>
        <v/>
      </c>
      <c r="AS662" s="423" t="str">
        <f t="shared" si="1568"/>
        <v/>
      </c>
      <c r="AT662" s="304" t="str">
        <f t="shared" si="1569"/>
        <v/>
      </c>
      <c r="AU662" s="342" t="e">
        <f t="shared" si="1570"/>
        <v>#N/A</v>
      </c>
      <c r="AV662" s="304" t="e">
        <f t="shared" si="1571"/>
        <v>#N/A</v>
      </c>
      <c r="AX662" s="304">
        <f>IF(AND('General price list'!$J662="F4",'General price list'!$AB662+0&gt;0),1,0)</f>
        <v>0</v>
      </c>
      <c r="AY662" s="304">
        <f t="shared" si="1572"/>
        <v>1</v>
      </c>
      <c r="AZ662" s="304">
        <f t="shared" si="1573"/>
        <v>0</v>
      </c>
    </row>
    <row r="663" spans="1:52" ht="15" customHeight="1">
      <c r="A663" s="773" t="str">
        <f>Kat.!C660</f>
        <v xml:space="preserve">                                                               Baterie 25ran, 30mm moždíř F3 - 1.3G</v>
      </c>
      <c r="B663" s="774"/>
      <c r="C663" s="774"/>
      <c r="D663" s="774"/>
      <c r="E663" s="774"/>
      <c r="F663" s="774"/>
      <c r="G663" s="774"/>
      <c r="H663" s="774"/>
      <c r="I663" s="774"/>
      <c r="J663" s="774"/>
      <c r="K663" s="774"/>
      <c r="L663" s="774"/>
      <c r="M663" s="774"/>
      <c r="N663" s="774"/>
      <c r="O663" s="774"/>
      <c r="P663" s="774"/>
      <c r="Q663" s="774"/>
      <c r="R663" s="774"/>
      <c r="S663" s="774"/>
      <c r="T663" s="774"/>
      <c r="U663" s="774"/>
      <c r="V663" s="774"/>
      <c r="W663" s="774"/>
      <c r="X663" s="774"/>
      <c r="Y663" s="774"/>
      <c r="Z663" s="774"/>
      <c r="AA663" s="774" t="str">
        <f>IFERROR(IF(VLOOKUP(C663,[4]List1!$A:$D,4,FALSE)=0,"",VLOOKUP(C663,[4]List1!$A:$D,4,FALSE)),"")</f>
        <v/>
      </c>
      <c r="AB663" s="774"/>
      <c r="AC663" s="775" t="str">
        <f>IFERROR(IF(VLOOKUP(C663,[1]List1!$A:$D,2,FALSE)="VYPRODÁNO",$V$9,IF(VLOOKUP(C663,[1]List1!$A:$D,2,FALSE)="DOCHÁZÍ",$V$3,VLOOKUP(C663,[1]List1!$A:$D,2,FALSE))),"OFFLINE!")</f>
        <v>OFFLINE!</v>
      </c>
      <c r="AD663" s="774"/>
      <c r="AE663" s="774"/>
      <c r="AF663" s="774"/>
      <c r="AG663" s="774"/>
      <c r="AH663" s="774"/>
      <c r="AI663" s="774"/>
      <c r="AJ663" s="774"/>
      <c r="AK663" s="774"/>
      <c r="AL663" s="774"/>
      <c r="AM663" s="774"/>
      <c r="AN663" s="774"/>
      <c r="AO663" s="380"/>
      <c r="AP663" s="322" t="str">
        <f t="shared" ref="AP663:AP722" si="1574">IF($AL$3=1,IF(Y663=AB663,"","NE"),IF(AR663=$V$10,"NE",""))</f>
        <v/>
      </c>
      <c r="AQ663" s="323" t="str">
        <f>IF(AC663=$V$3,IF(VLOOKUP(C663,[1]List1!$A:$E,5,FALSE)=0,1,VLOOKUP(C663,[1]List1!$A:$E,5,FALSE)),"")</f>
        <v/>
      </c>
      <c r="AR663" s="304" t="str">
        <f t="shared" ref="AR663:AR722" si="1575">IF($AL$3=1,"",IF(OR(AB663&lt;&gt;"",AB663&lt;&gt;0),IF(OR(AC663=$V$6,AC663=$V$3,AC663=$V$9),$V$10,""),""))</f>
        <v/>
      </c>
      <c r="AS663" s="423" t="str">
        <f t="shared" ref="AS663:AS722" si="1576">IF(AT663&lt;&gt;"","X","")</f>
        <v/>
      </c>
      <c r="AT663" s="304" t="str">
        <f t="shared" ref="AT663:AT722" si="1577">IF(AND($AL$3=2,AR663="",AB663&lt;&gt;""),AD663,"")</f>
        <v/>
      </c>
      <c r="AU663" s="342" t="e">
        <f t="shared" ref="AU663:AU722" si="1578">IF(AT663=$AS$21,AB663,"")</f>
        <v>#N/A</v>
      </c>
      <c r="AV663" s="304" t="e">
        <f t="shared" ref="AV663:AV722" si="1579">IF(OR(AB663="",AND(AT663&lt;&gt;"",AU663&lt;&gt;"")),"",$V$10)</f>
        <v>#N/A</v>
      </c>
      <c r="AX663" s="304">
        <f>IF(AND('General price list'!$J663="F4",'General price list'!$AB663+0&gt;0),1,0)</f>
        <v>0</v>
      </c>
      <c r="AY663" s="304">
        <f t="shared" ref="AY663:AY722" si="1580">IFERROR(FIND(VLOOKUP($AC$7,$AD$1:$AE$12,2,FALSE),Q663,1),0)</f>
        <v>0</v>
      </c>
      <c r="AZ663" s="304">
        <f t="shared" ref="AZ663:AZ722" si="1581">IFERROR(FIND(VLOOKUP($AC$7,$AD$1:$AE$12,2,FALSE),R663,1),0)</f>
        <v>0</v>
      </c>
    </row>
    <row r="664" spans="1:52" ht="15" customHeight="1">
      <c r="A664" s="725" t="str">
        <f>Kat.!C661</f>
        <v/>
      </c>
      <c r="B664" s="741">
        <f>IF(AND('General price list'!$J664="F4",$AI$1=FALSE),0,IF(AC664="SKLADEM",1,IF(AC664=$V$3,1,0)))</f>
        <v>0</v>
      </c>
      <c r="C664" s="727" t="s">
        <v>1451</v>
      </c>
      <c r="D664" s="728" t="s">
        <v>14564</v>
      </c>
      <c r="E664" s="729" t="s">
        <v>1077</v>
      </c>
      <c r="F664" s="725">
        <f>IFERROR(ROUND(IF($AL$3=2,VLOOKUP(C664,[2]List1!$A:$D,2,FALSE)*1.08,VLOOKUP(C664,[2]List1!$A:$D,2,FALSE)),0),"NEUVEDENO!")</f>
        <v>637</v>
      </c>
      <c r="G664" s="730">
        <f t="shared" ref="G664:G668" si="1582">(F664)*$B$19</f>
        <v>637</v>
      </c>
      <c r="H664" s="731">
        <f t="shared" ref="H664:H668" si="1583">G664/$F$19</f>
        <v>25.884944064952112</v>
      </c>
      <c r="I664" s="742">
        <v>6</v>
      </c>
      <c r="J664" s="729" t="s">
        <v>137</v>
      </c>
      <c r="K664" s="729"/>
      <c r="L664" s="729" t="s">
        <v>14393</v>
      </c>
      <c r="M664" s="729" t="s">
        <v>138</v>
      </c>
      <c r="N664" s="729">
        <f>IFERROR(VLOOKUP(C664,[3]List1!$A:$D,4,FALSE),"N/A!")</f>
        <v>5.335199999999999E-2</v>
      </c>
      <c r="O664" s="729">
        <f>IFERROR(VLOOKUP(C664,[3]List1!$A:$D,3,FALSE),"N/A!")</f>
        <v>4350</v>
      </c>
      <c r="P664" s="729">
        <f>IFERROR(VLOOKUP(C664,[3]List1!$A:$D,2,FALSE),"N/A!")</f>
        <v>21500</v>
      </c>
      <c r="Q664" s="729" t="s">
        <v>14338</v>
      </c>
      <c r="R664" s="729" t="s">
        <v>24</v>
      </c>
      <c r="S664" s="729" t="str">
        <f>IF($W$17=$AF$1,"design",IFERROR(VLOOKUP("design",Jazyky_ceník!$A:$Q,MATCH($W$17,Jazyky_ceník!$A$1:$Q$1,0),FALSE),"!!!"))</f>
        <v>design</v>
      </c>
      <c r="T664" s="729">
        <v>30</v>
      </c>
      <c r="U664" s="729">
        <v>43</v>
      </c>
      <c r="V664" s="729">
        <v>33</v>
      </c>
      <c r="W664" s="729" t="str">
        <f>IFERROR(VLOOKUP('General price list'!$C664,Popisy!A:P,MATCH($W$17,Popisy!$A$7:$P$7,0),FALSE),"---------------")</f>
        <v>5 různobarevných efektu</v>
      </c>
      <c r="X664" s="729" t="str">
        <f t="shared" ref="X664:X668" si="1584">IF(AB664&lt;0.0001,"",AB664)</f>
        <v/>
      </c>
      <c r="Y664" s="729" t="str">
        <f t="shared" ref="Y664:Y668" si="1585">IF($AL$3=2,IF(OR(AB664&lt;&gt;"",AB664&lt;&gt;0),AU664,""),IF(C664="","",IF(AB664&lt;0.0001,"",IF(B664=0,"",IF(AQ664&lt;AB664,"",AB664)))))</f>
        <v/>
      </c>
      <c r="Z664" s="729" t="str">
        <f>HYPERLINK("https://www.klasekpyrotechnics.cz/c253sig")</f>
        <v>https://www.klasekpyrotechnics.cz/c253sig</v>
      </c>
      <c r="AA664" s="729">
        <f>IFERROR(IF(VLOOKUP(C664,[4]List1!$A:$D,4,FALSE)=0,"",VLOOKUP(C664,[4]List1!$A:$D,4,FALSE)),"")</f>
        <v>28</v>
      </c>
      <c r="AB664" s="720"/>
      <c r="AC664" s="743" t="str">
        <f>IFERROR(IF(VLOOKUP(C664,[1]List1!$A:$D,2,FALSE)="VYPRODÁNO",$V$9,IF(VLOOKUP(C664,[1]List1!$A:$D,2,FALSE)="DOCHÁZÍ",$V$3,VLOOKUP(C664,[1]List1!$A:$D,2,FALSE))),"OFFLINE!")</f>
        <v>15.08.2024</v>
      </c>
      <c r="AD664" s="744" t="str">
        <f ca="1">IF(AP664="NE",$V$10,IF(AC664=$V$3,IF(AQ664&lt;1,$V$8,$V$2&amp;" "&amp;AQ664&amp;" "&amp;$V$1),IF(AC664="SKLADEM",$V$6,IFERROR(IF(OR(AC664-TODAY()&gt;45,VLOOKUP(C664,[1]List1!$A:$E,4,FALSE)=0),AC664,DAY(AC664)&amp;"."&amp;MONTH(AC664)&amp;"."&amp;YEAR(AC664)&amp;" "&amp;$V$4&amp;VLOOKUP(C664,[1]List1!$A:$E,4,FALSE)&amp;" "&amp;$V$1),AC664))))</f>
        <v>15.08.2024</v>
      </c>
      <c r="AE664" s="729" t="str">
        <f t="shared" ref="AE664:AE668" ca="1" si="1586">IFERROR(IF(AV664&lt;&gt;"",AV664,AD664),AD664)</f>
        <v>15.08.2024</v>
      </c>
      <c r="AF664" s="735">
        <f t="shared" ref="AF664:AF668" si="1587">IFERROR(IF(AB664=Y664,G664*I664*Y664,0),0)</f>
        <v>0</v>
      </c>
      <c r="AG664" s="735">
        <f t="shared" ref="AG664:AG668" si="1588">IF($W$17=$AF$8,AH664*1.23,AF664*1.21)</f>
        <v>0</v>
      </c>
      <c r="AH664" s="736">
        <f t="shared" ref="AH664:AH668" si="1589">IFERROR(IF(Y664=AB664,H664*I664*Y664,0),0)</f>
        <v>0</v>
      </c>
      <c r="AI664" s="729">
        <f t="shared" ref="AI664:AI668" si="1590">IFERROR(IF(Y664=AB664,(P664*Y664)/1000,1),0)</f>
        <v>0</v>
      </c>
      <c r="AJ664" s="729">
        <f t="shared" ref="AJ664:AJ668" si="1591">IFERROR(IF(Y664=AB664,N664*Y664,0.1),0)</f>
        <v>0</v>
      </c>
      <c r="AK664" s="729" t="str">
        <f t="shared" ref="AK664:AK668" si="1592">IFERROR(IF(Y664=AB664,IF(M664="1.1G",(O664/1000)*Y664,""),""),0)</f>
        <v/>
      </c>
      <c r="AL664" s="729">
        <f t="shared" ref="AL664:AL668" si="1593">IFERROR(IF(Y664=AB664,IF(M664="1.3G",(O664/1000)*AB664,""),""),0)</f>
        <v>0</v>
      </c>
      <c r="AM664" s="729" t="str">
        <f t="shared" ref="AM664:AM668" si="1594">IFERROR(IF(Y664=AB664,IF(M664="1.4G",(O664/1000)*AB664,""),""),0)</f>
        <v/>
      </c>
      <c r="AN664" s="729">
        <f t="shared" ref="AN664:AN668" si="1595">SUM(AK664:AM664)</f>
        <v>0</v>
      </c>
      <c r="AO664" s="380"/>
      <c r="AP664" s="322" t="str">
        <f t="shared" si="1574"/>
        <v/>
      </c>
      <c r="AQ664" s="323" t="str">
        <f>IF(AC664=$V$3,IF(VLOOKUP(C664,[1]List1!$A:$E,5,FALSE)=0,1,VLOOKUP(C664,[1]List1!$A:$E,5,FALSE)),"")</f>
        <v/>
      </c>
      <c r="AR664" s="304" t="str">
        <f t="shared" si="1575"/>
        <v/>
      </c>
      <c r="AS664" s="423" t="str">
        <f t="shared" si="1576"/>
        <v/>
      </c>
      <c r="AT664" s="304" t="str">
        <f t="shared" si="1577"/>
        <v/>
      </c>
      <c r="AU664" s="342" t="e">
        <f t="shared" si="1578"/>
        <v>#N/A</v>
      </c>
      <c r="AV664" s="304" t="e">
        <f t="shared" si="1579"/>
        <v>#N/A</v>
      </c>
      <c r="AX664" s="304">
        <f>IF(AND('General price list'!$J664="F4",'General price list'!$AB664+0&gt;0),1,0)</f>
        <v>0</v>
      </c>
      <c r="AY664" s="304">
        <f t="shared" si="1580"/>
        <v>1</v>
      </c>
      <c r="AZ664" s="304">
        <f t="shared" si="1581"/>
        <v>0</v>
      </c>
    </row>
    <row r="665" spans="1:52" ht="15" customHeight="1">
      <c r="A665" s="712" t="str">
        <f>Kat.!C662</f>
        <v/>
      </c>
      <c r="B665" s="745">
        <f>IF(AND('General price list'!$J665="F4",$AI$1=FALSE),0,IF(AC665="SKLADEM",1,IF(AC665=$V$3,1,0)))</f>
        <v>1</v>
      </c>
      <c r="C665" s="714" t="s">
        <v>12728</v>
      </c>
      <c r="D665" s="715" t="s">
        <v>14564</v>
      </c>
      <c r="E665" s="716" t="s">
        <v>1077</v>
      </c>
      <c r="F665" s="712">
        <f>IFERROR(ROUND(IF($AL$3=2,VLOOKUP(C665,[2]List1!$A:$D,2,FALSE)*1.08,VLOOKUP(C665,[2]List1!$A:$D,2,FALSE)),0),"NEUVEDENO!")</f>
        <v>637</v>
      </c>
      <c r="G665" s="717">
        <f t="shared" si="1582"/>
        <v>637</v>
      </c>
      <c r="H665" s="718">
        <f t="shared" si="1583"/>
        <v>25.884944064952112</v>
      </c>
      <c r="I665" s="746">
        <v>6</v>
      </c>
      <c r="J665" s="716" t="s">
        <v>137</v>
      </c>
      <c r="K665" s="716"/>
      <c r="L665" s="716" t="s">
        <v>14393</v>
      </c>
      <c r="M665" s="716" t="s">
        <v>138</v>
      </c>
      <c r="N665" s="716">
        <f>IFERROR(VLOOKUP(C665,[3]List1!$A:$D,4,FALSE),"N/A!")</f>
        <v>4.7651999999999993E-2</v>
      </c>
      <c r="O665" s="716">
        <f>IFERROR(VLOOKUP(C665,[3]List1!$A:$D,3,FALSE),"N/A!")</f>
        <v>4350</v>
      </c>
      <c r="P665" s="716">
        <f>IFERROR(VLOOKUP(C665,[3]List1!$A:$D,2,FALSE),"N/A!")</f>
        <v>21500</v>
      </c>
      <c r="Q665" s="716" t="s">
        <v>14218</v>
      </c>
      <c r="R665" s="716" t="s">
        <v>24</v>
      </c>
      <c r="S665" s="716" t="str">
        <f>IF($W$17=$AF$1,"design",IFERROR(VLOOKUP("design",Jazyky_ceník!$A:$Q,MATCH($W$17,Jazyky_ceník!$A$1:$Q$1,0),FALSE),"!!!"))</f>
        <v>design</v>
      </c>
      <c r="T665" s="716">
        <v>40</v>
      </c>
      <c r="U665" s="716">
        <v>43</v>
      </c>
      <c r="V665" s="716">
        <v>33</v>
      </c>
      <c r="W665" s="716" t="str">
        <f>IFERROR(VLOOKUP('General price list'!$C665,Popisy!A:P,MATCH($W$17,Popisy!$A$7:$P$7,0),FALSE),"---------------")</f>
        <v>5 různobarevných efektů</v>
      </c>
      <c r="X665" s="716" t="str">
        <f t="shared" si="1584"/>
        <v/>
      </c>
      <c r="Y665" s="716" t="str">
        <f t="shared" si="1585"/>
        <v/>
      </c>
      <c r="Z665" s="716" t="str">
        <f>HYPERLINK("https://www.klasekpyrotechnics.cz/c253sigb")</f>
        <v>https://www.klasekpyrotechnics.cz/c253sigb</v>
      </c>
      <c r="AA665" s="716">
        <f>IFERROR(IF(VLOOKUP(C665,[4]List1!$A:$D,4,FALSE)=0,"",VLOOKUP(C665,[4]List1!$A:$D,4,FALSE)),"")</f>
        <v>32</v>
      </c>
      <c r="AB665" s="720"/>
      <c r="AC665" s="747" t="str">
        <f>IFERROR(IF(VLOOKUP(C665,[1]List1!$A:$D,2,FALSE)="VYPRODÁNO",$V$9,IF(VLOOKUP(C665,[1]List1!$A:$D,2,FALSE)="DOCHÁZÍ",$V$3,VLOOKUP(C665,[1]List1!$A:$D,2,FALSE))),"OFFLINE!")</f>
        <v>SKLADEM</v>
      </c>
      <c r="AD665" s="748" t="str">
        <f ca="1">IF(AP665="NE",$V$10,IF(AC665=$V$3,IF(AQ665&lt;1,$V$8,$V$2&amp;" "&amp;AQ665&amp;" "&amp;$V$1),IF(AC665="SKLADEM",$V$6,IFERROR(IF(OR(AC665-TODAY()&gt;45,VLOOKUP(C665,[1]List1!$A:$E,4,FALSE)=0),AC665,DAY(AC665)&amp;"."&amp;MONTH(AC665)&amp;"."&amp;YEAR(AC665)&amp;" "&amp;$V$4&amp;VLOOKUP(C665,[1]List1!$A:$E,4,FALSE)&amp;" "&amp;$V$1),AC665))))</f>
        <v>SKLADEM</v>
      </c>
      <c r="AE665" s="716" t="str">
        <f t="shared" ca="1" si="1586"/>
        <v>SKLADEM</v>
      </c>
      <c r="AF665" s="723">
        <f t="shared" si="1587"/>
        <v>0</v>
      </c>
      <c r="AG665" s="723">
        <f t="shared" si="1588"/>
        <v>0</v>
      </c>
      <c r="AH665" s="724">
        <f t="shared" si="1589"/>
        <v>0</v>
      </c>
      <c r="AI665" s="716">
        <f t="shared" si="1590"/>
        <v>0</v>
      </c>
      <c r="AJ665" s="716">
        <f t="shared" si="1591"/>
        <v>0</v>
      </c>
      <c r="AK665" s="716" t="str">
        <f t="shared" si="1592"/>
        <v/>
      </c>
      <c r="AL665" s="716">
        <f t="shared" si="1593"/>
        <v>0</v>
      </c>
      <c r="AM665" s="716" t="str">
        <f t="shared" si="1594"/>
        <v/>
      </c>
      <c r="AN665" s="716">
        <f t="shared" si="1595"/>
        <v>0</v>
      </c>
      <c r="AO665" s="380"/>
      <c r="AP665" s="322" t="str">
        <f t="shared" si="1574"/>
        <v/>
      </c>
      <c r="AQ665" s="323" t="str">
        <f>IF(AC665=$V$3,IF(VLOOKUP(C665,[1]List1!$A:$E,5,FALSE)=0,1,VLOOKUP(C665,[1]List1!$A:$E,5,FALSE)),"")</f>
        <v/>
      </c>
      <c r="AR665" s="304" t="str">
        <f t="shared" si="1575"/>
        <v/>
      </c>
      <c r="AS665" s="423" t="str">
        <f t="shared" si="1576"/>
        <v/>
      </c>
      <c r="AT665" s="304" t="str">
        <f t="shared" si="1577"/>
        <v/>
      </c>
      <c r="AU665" s="342" t="e">
        <f t="shared" si="1578"/>
        <v>#N/A</v>
      </c>
      <c r="AV665" s="304" t="e">
        <f t="shared" si="1579"/>
        <v>#N/A</v>
      </c>
      <c r="AX665" s="304">
        <f>IF(AND('General price list'!$J665="F4",'General price list'!$AB665+0&gt;0),1,0)</f>
        <v>0</v>
      </c>
      <c r="AY665" s="304">
        <f t="shared" si="1580"/>
        <v>1</v>
      </c>
      <c r="AZ665" s="304">
        <f t="shared" si="1581"/>
        <v>0</v>
      </c>
    </row>
    <row r="666" spans="1:52" ht="15" customHeight="1">
      <c r="A666" s="725" t="str">
        <f>Kat.!C663</f>
        <v/>
      </c>
      <c r="B666" s="749">
        <f>IF(AND('General price list'!$J666="F4",$AI$1=FALSE),0,IF(AC666="SKLADEM",1,IF(AC666=$V$3,1,0)))</f>
        <v>0</v>
      </c>
      <c r="C666" s="727" t="s">
        <v>1460</v>
      </c>
      <c r="D666" s="728" t="s">
        <v>1452</v>
      </c>
      <c r="E666" s="729" t="s">
        <v>1077</v>
      </c>
      <c r="F666" s="725">
        <f>IFERROR(ROUND(IF($AL$3=2,VLOOKUP(C666,[2]List1!$A:$D,2,FALSE)*1.08,VLOOKUP(C666,[2]List1!$A:$D,2,FALSE)),0),"NEUVEDENO!")</f>
        <v>549</v>
      </c>
      <c r="G666" s="730">
        <f t="shared" si="1582"/>
        <v>549</v>
      </c>
      <c r="H666" s="731">
        <f t="shared" si="1583"/>
        <v>22.309002027721679</v>
      </c>
      <c r="I666" s="750">
        <v>6</v>
      </c>
      <c r="J666" s="729" t="s">
        <v>137</v>
      </c>
      <c r="K666" s="729" t="s">
        <v>14734</v>
      </c>
      <c r="L666" s="729" t="s">
        <v>14393</v>
      </c>
      <c r="M666" s="729" t="s">
        <v>138</v>
      </c>
      <c r="N666" s="729">
        <f>IFERROR(VLOOKUP(C666,[3]List1!$A:$D,4,FALSE),"N/A!")</f>
        <v>4.7651999999999993E-2</v>
      </c>
      <c r="O666" s="729">
        <f>IFERROR(VLOOKUP(C666,[3]List1!$A:$D,3,FALSE),"N/A!")</f>
        <v>2850</v>
      </c>
      <c r="P666" s="729">
        <f>IFERROR(VLOOKUP(C666,[3]List1!$A:$D,2,FALSE),"N/A!")</f>
        <v>19000</v>
      </c>
      <c r="Q666" s="729" t="s">
        <v>14339</v>
      </c>
      <c r="R666" s="729" t="s">
        <v>24</v>
      </c>
      <c r="S666" s="729" t="str">
        <f>IF($W$17=$AF$1,"červená fólie",IFERROR(VLOOKUP("červená fólie",Jazyky_ceník!$A:$Q,MATCH($W$17,Jazyky_ceník!$A$1:$Q$1,0),FALSE),"!!!"))</f>
        <v>červená fólie</v>
      </c>
      <c r="T666" s="729">
        <v>35</v>
      </c>
      <c r="U666" s="729">
        <v>40</v>
      </c>
      <c r="V666" s="729">
        <v>30</v>
      </c>
      <c r="W666" s="729" t="str">
        <f>IFERROR(VLOOKUP('General price list'!$C666,Popisy!A:P,MATCH($W$17,Popisy!$A$7:$P$7,0),FALSE),"---------------")</f>
        <v>5 různobarevných efektu</v>
      </c>
      <c r="X666" s="729" t="str">
        <f t="shared" si="1584"/>
        <v/>
      </c>
      <c r="Y666" s="729" t="str">
        <f t="shared" si="1585"/>
        <v/>
      </c>
      <c r="Z666" s="729" t="str">
        <f>HYPERLINK("https://www.klasekpyrotechnics.cz/c253fr")</f>
        <v>https://www.klasekpyrotechnics.cz/c253fr</v>
      </c>
      <c r="AA666" s="729">
        <f>IFERROR(IF(VLOOKUP(C666,[4]List1!$A:$D,4,FALSE)=0,"",VLOOKUP(C666,[4]List1!$A:$D,4,FALSE)),"")</f>
        <v>28</v>
      </c>
      <c r="AB666" s="720"/>
      <c r="AC666" s="751" t="str">
        <f>IFERROR(IF(VLOOKUP(C666,[1]List1!$A:$D,2,FALSE)="VYPRODÁNO",$V$9,IF(VLOOKUP(C666,[1]List1!$A:$D,2,FALSE)="DOCHÁZÍ",$V$3,VLOOKUP(C666,[1]List1!$A:$D,2,FALSE))),"OFFLINE!")</f>
        <v>30.04.2024</v>
      </c>
      <c r="AD666" s="752" t="str">
        <f ca="1">IF(AP666="NE",$V$10,IF(AC666=$V$3,IF(AQ666&lt;1,$V$8,$V$2&amp;" "&amp;AQ666&amp;" "&amp;$V$1),IF(AC666="SKLADEM",$V$6,IFERROR(IF(OR(AC666-TODAY()&gt;45,VLOOKUP(C666,[1]List1!$A:$E,4,FALSE)=0),AC666,DAY(AC666)&amp;"."&amp;MONTH(AC666)&amp;"."&amp;YEAR(AC666)&amp;" "&amp;$V$4&amp;VLOOKUP(C666,[1]List1!$A:$E,4,FALSE)&amp;" "&amp;$V$1),AC666))))</f>
        <v>30.04.2024</v>
      </c>
      <c r="AE666" s="729" t="str">
        <f t="shared" ca="1" si="1586"/>
        <v>30.04.2024</v>
      </c>
      <c r="AF666" s="735">
        <f t="shared" si="1587"/>
        <v>0</v>
      </c>
      <c r="AG666" s="735">
        <f t="shared" si="1588"/>
        <v>0</v>
      </c>
      <c r="AH666" s="736">
        <f t="shared" si="1589"/>
        <v>0</v>
      </c>
      <c r="AI666" s="729">
        <f t="shared" si="1590"/>
        <v>0</v>
      </c>
      <c r="AJ666" s="729">
        <f t="shared" si="1591"/>
        <v>0</v>
      </c>
      <c r="AK666" s="729" t="str">
        <f t="shared" si="1592"/>
        <v/>
      </c>
      <c r="AL666" s="729">
        <f t="shared" si="1593"/>
        <v>0</v>
      </c>
      <c r="AM666" s="729" t="str">
        <f t="shared" si="1594"/>
        <v/>
      </c>
      <c r="AN666" s="729">
        <f t="shared" si="1595"/>
        <v>0</v>
      </c>
      <c r="AO666" s="380"/>
      <c r="AP666" s="322" t="str">
        <f t="shared" si="1574"/>
        <v/>
      </c>
      <c r="AQ666" s="323" t="str">
        <f>IF(AC666=$V$3,IF(VLOOKUP(C666,[1]List1!$A:$E,5,FALSE)=0,1,VLOOKUP(C666,[1]List1!$A:$E,5,FALSE)),"")</f>
        <v/>
      </c>
      <c r="AR666" s="304" t="str">
        <f t="shared" si="1575"/>
        <v/>
      </c>
      <c r="AS666" s="423" t="str">
        <f t="shared" si="1576"/>
        <v/>
      </c>
      <c r="AT666" s="304" t="str">
        <f t="shared" si="1577"/>
        <v/>
      </c>
      <c r="AU666" s="342" t="e">
        <f t="shared" si="1578"/>
        <v>#N/A</v>
      </c>
      <c r="AV666" s="304" t="e">
        <f t="shared" si="1579"/>
        <v>#N/A</v>
      </c>
      <c r="AX666" s="304">
        <f>IF(AND('General price list'!$J666="F4",'General price list'!$AB666+0&gt;0),1,0)</f>
        <v>0</v>
      </c>
      <c r="AY666" s="304">
        <f t="shared" si="1580"/>
        <v>1</v>
      </c>
      <c r="AZ666" s="304">
        <f t="shared" si="1581"/>
        <v>0</v>
      </c>
    </row>
    <row r="667" spans="1:52" ht="15" customHeight="1">
      <c r="A667" s="712" t="str">
        <f>Kat.!C664</f>
        <v/>
      </c>
      <c r="B667" s="745">
        <f>IF(AND('General price list'!$J667="F4",$AI$1=FALSE),0,IF(AC667="SKLADEM",1,IF(AC667=$V$3,1,0)))</f>
        <v>0</v>
      </c>
      <c r="C667" s="714" t="s">
        <v>1461</v>
      </c>
      <c r="D667" s="715" t="s">
        <v>1457</v>
      </c>
      <c r="E667" s="716" t="s">
        <v>1077</v>
      </c>
      <c r="F667" s="712">
        <f>IFERROR(ROUND(IF($AL$3=2,VLOOKUP(C667,[2]List1!$A:$D,2,FALSE)*1.08,VLOOKUP(C667,[2]List1!$A:$D,2,FALSE)),0),"NEUVEDENO!")</f>
        <v>549</v>
      </c>
      <c r="G667" s="717">
        <f t="shared" si="1582"/>
        <v>549</v>
      </c>
      <c r="H667" s="718">
        <f t="shared" si="1583"/>
        <v>22.309002027721679</v>
      </c>
      <c r="I667" s="746">
        <v>6</v>
      </c>
      <c r="J667" s="716" t="s">
        <v>137</v>
      </c>
      <c r="K667" s="716" t="s">
        <v>14734</v>
      </c>
      <c r="L667" s="716" t="s">
        <v>14393</v>
      </c>
      <c r="M667" s="716" t="s">
        <v>138</v>
      </c>
      <c r="N667" s="716">
        <f>IFERROR(VLOOKUP(C667,[3]List1!$A:$D,4,FALSE),"N/A!")</f>
        <v>4.7651999999999993E-2</v>
      </c>
      <c r="O667" s="716">
        <f>IFERROR(VLOOKUP(C667,[3]List1!$A:$D,3,FALSE),"N/A!")</f>
        <v>2850</v>
      </c>
      <c r="P667" s="716">
        <f>IFERROR(VLOOKUP(C667,[3]List1!$A:$D,2,FALSE),"N/A!")</f>
        <v>20500</v>
      </c>
      <c r="Q667" s="716" t="s">
        <v>14339</v>
      </c>
      <c r="R667" s="716" t="s">
        <v>24</v>
      </c>
      <c r="S667" s="716" t="str">
        <f>IF($W$17=$AF$1,"červená fólie",IFERROR(VLOOKUP("červená fólie",Jazyky_ceník!$A:$Q,MATCH($W$17,Jazyky_ceník!$A$1:$Q$1,0),FALSE),"!!!"))</f>
        <v>červená fólie</v>
      </c>
      <c r="T667" s="716">
        <v>35</v>
      </c>
      <c r="U667" s="716">
        <v>40</v>
      </c>
      <c r="V667" s="716">
        <v>30</v>
      </c>
      <c r="W667" s="716" t="str">
        <f>IFERROR(VLOOKUP('General price list'!$C667,Popisy!A:P,MATCH($W$17,Popisy!$A$7:$P$7,0),FALSE),"---------------")</f>
        <v>5 různobarevných efektu</v>
      </c>
      <c r="X667" s="716" t="str">
        <f t="shared" si="1584"/>
        <v/>
      </c>
      <c r="Y667" s="716" t="str">
        <f t="shared" si="1585"/>
        <v/>
      </c>
      <c r="Z667" s="716" t="str">
        <f>HYPERLINK("https://www.klasekpyrotechnics.cz/c253my")</f>
        <v>https://www.klasekpyrotechnics.cz/c253my</v>
      </c>
      <c r="AA667" s="716">
        <f>IFERROR(IF(VLOOKUP(C667,[4]List1!$A:$D,4,FALSE)=0,"",VLOOKUP(C667,[4]List1!$A:$D,4,FALSE)),"")</f>
        <v>28</v>
      </c>
      <c r="AB667" s="720"/>
      <c r="AC667" s="747" t="str">
        <f>IFERROR(IF(VLOOKUP(C667,[1]List1!$A:$D,2,FALSE)="VYPRODÁNO",$V$9,IF(VLOOKUP(C667,[1]List1!$A:$D,2,FALSE)="DOCHÁZÍ",$V$3,VLOOKUP(C667,[1]List1!$A:$D,2,FALSE))),"OFFLINE!")</f>
        <v>30.04.2024</v>
      </c>
      <c r="AD667" s="748" t="str">
        <f ca="1">IF(AP667="NE",$V$10,IF(AC667=$V$3,IF(AQ667&lt;1,$V$8,$V$2&amp;" "&amp;AQ667&amp;" "&amp;$V$1),IF(AC667="SKLADEM",$V$6,IFERROR(IF(OR(AC667-TODAY()&gt;45,VLOOKUP(C667,[1]List1!$A:$E,4,FALSE)=0),AC667,DAY(AC667)&amp;"."&amp;MONTH(AC667)&amp;"."&amp;YEAR(AC667)&amp;" "&amp;$V$4&amp;VLOOKUP(C667,[1]List1!$A:$E,4,FALSE)&amp;" "&amp;$V$1),AC667))))</f>
        <v>30.04.2024</v>
      </c>
      <c r="AE667" s="716" t="str">
        <f t="shared" ca="1" si="1586"/>
        <v>30.04.2024</v>
      </c>
      <c r="AF667" s="723">
        <f t="shared" si="1587"/>
        <v>0</v>
      </c>
      <c r="AG667" s="723">
        <f t="shared" si="1588"/>
        <v>0</v>
      </c>
      <c r="AH667" s="724">
        <f t="shared" si="1589"/>
        <v>0</v>
      </c>
      <c r="AI667" s="716">
        <f t="shared" si="1590"/>
        <v>0</v>
      </c>
      <c r="AJ667" s="716">
        <f t="shared" si="1591"/>
        <v>0</v>
      </c>
      <c r="AK667" s="716" t="str">
        <f t="shared" si="1592"/>
        <v/>
      </c>
      <c r="AL667" s="716">
        <f t="shared" si="1593"/>
        <v>0</v>
      </c>
      <c r="AM667" s="716" t="str">
        <f t="shared" si="1594"/>
        <v/>
      </c>
      <c r="AN667" s="716">
        <f t="shared" si="1595"/>
        <v>0</v>
      </c>
      <c r="AO667" s="380"/>
      <c r="AP667" s="322" t="str">
        <f t="shared" si="1574"/>
        <v/>
      </c>
      <c r="AQ667" s="323" t="str">
        <f>IF(AC667=$V$3,IF(VLOOKUP(C667,[1]List1!$A:$E,5,FALSE)=0,1,VLOOKUP(C667,[1]List1!$A:$E,5,FALSE)),"")</f>
        <v/>
      </c>
      <c r="AR667" s="304" t="str">
        <f t="shared" si="1575"/>
        <v/>
      </c>
      <c r="AS667" s="423" t="str">
        <f t="shared" si="1576"/>
        <v/>
      </c>
      <c r="AT667" s="304" t="str">
        <f t="shared" si="1577"/>
        <v/>
      </c>
      <c r="AU667" s="342" t="e">
        <f t="shared" si="1578"/>
        <v>#N/A</v>
      </c>
      <c r="AV667" s="304" t="e">
        <f t="shared" si="1579"/>
        <v>#N/A</v>
      </c>
      <c r="AX667" s="304">
        <f>IF(AND('General price list'!$J667="F4",'General price list'!$AB667+0&gt;0),1,0)</f>
        <v>0</v>
      </c>
      <c r="AY667" s="304">
        <f t="shared" si="1580"/>
        <v>1</v>
      </c>
      <c r="AZ667" s="304">
        <f t="shared" si="1581"/>
        <v>0</v>
      </c>
    </row>
    <row r="668" spans="1:52" ht="15" customHeight="1">
      <c r="A668" s="725" t="str">
        <f>Kat.!C665</f>
        <v/>
      </c>
      <c r="B668" s="749">
        <f>IF(AND('General price list'!$J668="F4",$AI$1=FALSE),0,IF(AC668="SKLADEM",1,IF(AC668=$V$3,1,0)))</f>
        <v>0</v>
      </c>
      <c r="C668" s="727" t="s">
        <v>1472</v>
      </c>
      <c r="D668" s="728" t="s">
        <v>14599</v>
      </c>
      <c r="E668" s="729" t="s">
        <v>1077</v>
      </c>
      <c r="F668" s="725">
        <f>IFERROR(ROUND(IF($AL$3=2,VLOOKUP(C668,[2]List1!$A:$D,2,FALSE)*1.08,VLOOKUP(C668,[2]List1!$A:$D,2,FALSE)),0),"NEUVEDENO!")</f>
        <v>549</v>
      </c>
      <c r="G668" s="730">
        <f t="shared" si="1582"/>
        <v>549</v>
      </c>
      <c r="H668" s="731">
        <f t="shared" si="1583"/>
        <v>22.309002027721679</v>
      </c>
      <c r="I668" s="750">
        <v>6</v>
      </c>
      <c r="J668" s="729" t="s">
        <v>137</v>
      </c>
      <c r="K668" s="729" t="s">
        <v>14820</v>
      </c>
      <c r="L668" s="729" t="s">
        <v>14393</v>
      </c>
      <c r="M668" s="729" t="s">
        <v>138</v>
      </c>
      <c r="N668" s="729">
        <f>IFERROR(VLOOKUP(C668,[3]List1!$A:$D,4,FALSE),"N/A!")</f>
        <v>4.7651999999999993E-2</v>
      </c>
      <c r="O668" s="729">
        <f>IFERROR(VLOOKUP(C668,[3]List1!$A:$D,3,FALSE),"N/A!")</f>
        <v>2412</v>
      </c>
      <c r="P668" s="729">
        <f>IFERROR(VLOOKUP(C668,[3]List1!$A:$D,2,FALSE),"N/A!")</f>
        <v>19500</v>
      </c>
      <c r="Q668" s="729" t="s">
        <v>14339</v>
      </c>
      <c r="R668" s="729" t="s">
        <v>24</v>
      </c>
      <c r="S668" s="729" t="str">
        <f>IF($W$17=$AF$1,"design",IFERROR(VLOOKUP("design",Jazyky_ceník!$A:$Q,MATCH($W$17,Jazyky_ceník!$A$1:$Q$1,0),FALSE),"!!!"))</f>
        <v>design</v>
      </c>
      <c r="T668" s="729">
        <v>25</v>
      </c>
      <c r="U668" s="729"/>
      <c r="V668" s="729"/>
      <c r="W668" s="729" t="str">
        <f>IFERROR(VLOOKUP('General price list'!$C668,Popisy!A:P,MATCH($W$17,Popisy!$A$7:$P$7,0),FALSE),"---------------")</f>
        <v>stříbrné miny s červenou stopou a titanovou detonací</v>
      </c>
      <c r="X668" s="729" t="str">
        <f t="shared" si="1584"/>
        <v/>
      </c>
      <c r="Y668" s="729" t="str">
        <f t="shared" si="1585"/>
        <v/>
      </c>
      <c r="Z668" s="729" t="str">
        <f>HYPERLINK("https://www.klasekpyrotechnics.cz/c253du")</f>
        <v>https://www.klasekpyrotechnics.cz/c253du</v>
      </c>
      <c r="AA668" s="729">
        <f>IFERROR(IF(VLOOKUP(C668,[4]List1!$A:$D,4,FALSE)=0,"",VLOOKUP(C668,[4]List1!$A:$D,4,FALSE)),"")</f>
        <v>28</v>
      </c>
      <c r="AB668" s="720"/>
      <c r="AC668" s="751" t="str">
        <f>IFERROR(IF(VLOOKUP(C668,[1]List1!$A:$D,2,FALSE)="VYPRODÁNO",$V$9,IF(VLOOKUP(C668,[1]List1!$A:$D,2,FALSE)="DOCHÁZÍ",$V$3,VLOOKUP(C668,[1]List1!$A:$D,2,FALSE))),"OFFLINE!")</f>
        <v>20.06.2024</v>
      </c>
      <c r="AD668" s="752" t="str">
        <f ca="1">IF(AP668="NE",$V$10,IF(AC668=$V$3,IF(AQ668&lt;1,$V$8,$V$2&amp;" "&amp;AQ668&amp;" "&amp;$V$1),IF(AC668="SKLADEM",$V$6,IFERROR(IF(OR(AC668-TODAY()&gt;45,VLOOKUP(C668,[1]List1!$A:$E,4,FALSE)=0),AC668,DAY(AC668)&amp;"."&amp;MONTH(AC668)&amp;"."&amp;YEAR(AC668)&amp;" "&amp;$V$4&amp;VLOOKUP(C668,[1]List1!$A:$E,4,FALSE)&amp;" "&amp;$V$1),AC668))))</f>
        <v>20.06.2024</v>
      </c>
      <c r="AE668" s="729" t="str">
        <f t="shared" ca="1" si="1586"/>
        <v>20.06.2024</v>
      </c>
      <c r="AF668" s="735">
        <f t="shared" si="1587"/>
        <v>0</v>
      </c>
      <c r="AG668" s="735">
        <f t="shared" si="1588"/>
        <v>0</v>
      </c>
      <c r="AH668" s="736">
        <f t="shared" si="1589"/>
        <v>0</v>
      </c>
      <c r="AI668" s="729">
        <f t="shared" si="1590"/>
        <v>0</v>
      </c>
      <c r="AJ668" s="729">
        <f t="shared" si="1591"/>
        <v>0</v>
      </c>
      <c r="AK668" s="729" t="str">
        <f t="shared" si="1592"/>
        <v/>
      </c>
      <c r="AL668" s="729">
        <f t="shared" si="1593"/>
        <v>0</v>
      </c>
      <c r="AM668" s="729" t="str">
        <f t="shared" si="1594"/>
        <v/>
      </c>
      <c r="AN668" s="729">
        <f t="shared" si="1595"/>
        <v>0</v>
      </c>
      <c r="AO668" s="380"/>
      <c r="AP668" s="322" t="str">
        <f t="shared" si="1574"/>
        <v/>
      </c>
      <c r="AQ668" s="323" t="str">
        <f>IF(AC668=$V$3,IF(VLOOKUP(C668,[1]List1!$A:$E,5,FALSE)=0,1,VLOOKUP(C668,[1]List1!$A:$E,5,FALSE)),"")</f>
        <v/>
      </c>
      <c r="AR668" s="304" t="str">
        <f t="shared" si="1575"/>
        <v/>
      </c>
      <c r="AS668" s="423" t="str">
        <f t="shared" si="1576"/>
        <v/>
      </c>
      <c r="AT668" s="304" t="str">
        <f t="shared" si="1577"/>
        <v/>
      </c>
      <c r="AU668" s="342" t="e">
        <f t="shared" si="1578"/>
        <v>#N/A</v>
      </c>
      <c r="AV668" s="304" t="e">
        <f t="shared" si="1579"/>
        <v>#N/A</v>
      </c>
      <c r="AX668" s="304">
        <f>IF(AND('General price list'!$J668="F4",'General price list'!$AB668+0&gt;0),1,0)</f>
        <v>0</v>
      </c>
      <c r="AY668" s="304">
        <f t="shared" si="1580"/>
        <v>1</v>
      </c>
      <c r="AZ668" s="304">
        <f t="shared" si="1581"/>
        <v>0</v>
      </c>
    </row>
    <row r="669" spans="1:52" ht="15" customHeight="1">
      <c r="A669" s="773" t="str">
        <f>Kat.!C666</f>
        <v xml:space="preserve">                                                               Baterie 25ran, 30mm moždíř F2 -1.4G</v>
      </c>
      <c r="B669" s="774"/>
      <c r="C669" s="774"/>
      <c r="D669" s="774"/>
      <c r="E669" s="774"/>
      <c r="F669" s="774"/>
      <c r="G669" s="774"/>
      <c r="H669" s="774"/>
      <c r="I669" s="774"/>
      <c r="J669" s="774"/>
      <c r="K669" s="774"/>
      <c r="L669" s="774"/>
      <c r="M669" s="774"/>
      <c r="N669" s="774"/>
      <c r="O669" s="774"/>
      <c r="P669" s="774"/>
      <c r="Q669" s="774"/>
      <c r="R669" s="774"/>
      <c r="S669" s="774"/>
      <c r="T669" s="774"/>
      <c r="U669" s="774"/>
      <c r="V669" s="774"/>
      <c r="W669" s="774"/>
      <c r="X669" s="774"/>
      <c r="Y669" s="774"/>
      <c r="Z669" s="774"/>
      <c r="AA669" s="774" t="str">
        <f>IFERROR(IF(VLOOKUP(C669,[4]List1!$A:$D,4,FALSE)=0,"",VLOOKUP(C669,[4]List1!$A:$D,4,FALSE)),"")</f>
        <v/>
      </c>
      <c r="AB669" s="774"/>
      <c r="AC669" s="775" t="str">
        <f>IFERROR(IF(VLOOKUP(C669,[1]List1!$A:$D,2,FALSE)="VYPRODÁNO",$V$9,IF(VLOOKUP(C669,[1]List1!$A:$D,2,FALSE)="DOCHÁZÍ",$V$3,VLOOKUP(C669,[1]List1!$A:$D,2,FALSE))),"OFFLINE!")</f>
        <v>OFFLINE!</v>
      </c>
      <c r="AD669" s="774"/>
      <c r="AE669" s="774"/>
      <c r="AF669" s="774"/>
      <c r="AG669" s="774"/>
      <c r="AH669" s="774"/>
      <c r="AI669" s="774"/>
      <c r="AJ669" s="774"/>
      <c r="AK669" s="774"/>
      <c r="AL669" s="774"/>
      <c r="AM669" s="774"/>
      <c r="AN669" s="774"/>
      <c r="AO669" s="380"/>
      <c r="AP669" s="322" t="str">
        <f t="shared" si="1574"/>
        <v/>
      </c>
      <c r="AQ669" s="323" t="str">
        <f>IF(AC669=$V$3,IF(VLOOKUP(C669,[1]List1!$A:$E,5,FALSE)=0,1,VLOOKUP(C669,[1]List1!$A:$E,5,FALSE)),"")</f>
        <v/>
      </c>
      <c r="AR669" s="304" t="str">
        <f t="shared" si="1575"/>
        <v/>
      </c>
      <c r="AS669" s="423" t="str">
        <f t="shared" si="1576"/>
        <v/>
      </c>
      <c r="AT669" s="304" t="str">
        <f t="shared" si="1577"/>
        <v/>
      </c>
      <c r="AU669" s="342" t="e">
        <f t="shared" si="1578"/>
        <v>#N/A</v>
      </c>
      <c r="AV669" s="304" t="e">
        <f t="shared" si="1579"/>
        <v>#N/A</v>
      </c>
      <c r="AX669" s="304">
        <f>IF(AND('General price list'!$J669="F4",'General price list'!$AB669+0&gt;0),1,0)</f>
        <v>0</v>
      </c>
      <c r="AY669" s="304">
        <f t="shared" si="1580"/>
        <v>0</v>
      </c>
      <c r="AZ669" s="304">
        <f t="shared" si="1581"/>
        <v>0</v>
      </c>
    </row>
    <row r="670" spans="1:52" ht="15" customHeight="1">
      <c r="A670" s="725" t="str">
        <f>Kat.!C667</f>
        <v/>
      </c>
      <c r="B670" s="741">
        <f>IF(AND('General price list'!$J670="F4",$AI$1=FALSE),0,IF(AC670="SKLADEM",1,IF(AC670=$V$3,1,0)))</f>
        <v>1</v>
      </c>
      <c r="C670" s="727" t="s">
        <v>1462</v>
      </c>
      <c r="D670" s="728" t="s">
        <v>14563</v>
      </c>
      <c r="E670" s="729" t="s">
        <v>1077</v>
      </c>
      <c r="F670" s="725">
        <f>IFERROR(ROUND(IF($AL$3=2,VLOOKUP(C670,[2]List1!$A:$D,2,FALSE)*1.08,VLOOKUP(C670,[2]List1!$A:$D,2,FALSE)),0),"NEUVEDENO!")</f>
        <v>509</v>
      </c>
      <c r="G670" s="730">
        <f t="shared" ref="G670:G675" si="1596">(F670)*$B$19</f>
        <v>509</v>
      </c>
      <c r="H670" s="731">
        <f t="shared" ref="H670:H675" si="1597">G670/$F$19</f>
        <v>20.683573828980574</v>
      </c>
      <c r="I670" s="742">
        <v>6</v>
      </c>
      <c r="J670" s="729" t="s">
        <v>46</v>
      </c>
      <c r="K670" s="729" t="s">
        <v>14820</v>
      </c>
      <c r="L670" s="729" t="s">
        <v>14395</v>
      </c>
      <c r="M670" s="729" t="s">
        <v>25</v>
      </c>
      <c r="N670" s="729">
        <f>IFERROR(VLOOKUP(C670,[3]List1!$A:$D,4,FALSE),"N/A!")</f>
        <v>4.7651999999999993E-2</v>
      </c>
      <c r="O670" s="729">
        <f>IFERROR(VLOOKUP(C670,[3]List1!$A:$D,3,FALSE),"N/A!")</f>
        <v>2550</v>
      </c>
      <c r="P670" s="729">
        <f>IFERROR(VLOOKUP(C670,[3]List1!$A:$D,2,FALSE),"N/A!")</f>
        <v>18000</v>
      </c>
      <c r="Q670" s="729" t="s">
        <v>14219</v>
      </c>
      <c r="R670" s="729" t="s">
        <v>24</v>
      </c>
      <c r="S670" s="729" t="str">
        <f>IF($W$17=$AF$1,"červená fólie",IFERROR(VLOOKUP("červená fólie",Jazyky_ceník!$A:$Q,MATCH($W$17,Jazyky_ceník!$A$1:$Q$1,0),FALSE),"!!!"))</f>
        <v>červená fólie</v>
      </c>
      <c r="T670" s="729">
        <v>30</v>
      </c>
      <c r="U670" s="729">
        <v>40</v>
      </c>
      <c r="V670" s="729">
        <v>23</v>
      </c>
      <c r="W670" s="729" t="str">
        <f>IFERROR(VLOOKUP('General price list'!$C670,Popisy!A:P,MATCH($W$17,Popisy!$A$7:$P$7,0),FALSE),"---------------")</f>
        <v>5 různobarevných efektu</v>
      </c>
      <c r="X670" s="729" t="str">
        <f t="shared" ref="X670:X675" si="1598">IF(AB670&lt;0.0001,"",AB670)</f>
        <v/>
      </c>
      <c r="Y670" s="729" t="str">
        <f t="shared" ref="Y670:Y675" si="1599">IF($AL$3=2,IF(OR(AB670&lt;&gt;"",AB670&lt;&gt;0),AU670,""),IF(C670="","",IF(AB670&lt;0.0001,"",IF(B670=0,"",IF(AQ670&lt;AB670,"",AB670)))))</f>
        <v/>
      </c>
      <c r="Z670" s="729" t="str">
        <f>HYPERLINK("https://www.klasekpyrotechnics.cz/c253bp14")</f>
        <v>https://www.klasekpyrotechnics.cz/c253bp14</v>
      </c>
      <c r="AA670" s="729">
        <f>IFERROR(IF(VLOOKUP(C670,[4]List1!$A:$D,4,FALSE)=0,"",VLOOKUP(C670,[4]List1!$A:$D,4,FALSE)),"")</f>
        <v>28</v>
      </c>
      <c r="AB670" s="720"/>
      <c r="AC670" s="743" t="str">
        <f>IFERROR(IF(VLOOKUP(C670,[1]List1!$A:$D,2,FALSE)="VYPRODÁNO",$V$9,IF(VLOOKUP(C670,[1]List1!$A:$D,2,FALSE)="DOCHÁZÍ",$V$3,VLOOKUP(C670,[1]List1!$A:$D,2,FALSE))),"OFFLINE!")</f>
        <v>SKLADEM</v>
      </c>
      <c r="AD670" s="744" t="str">
        <f ca="1">IF(AP670="NE",$V$10,IF(AC670=$V$3,IF(AQ670&lt;1,$V$8,$V$2&amp;" "&amp;AQ670&amp;" "&amp;$V$1),IF(AC670="SKLADEM",$V$6,IFERROR(IF(OR(AC670-TODAY()&gt;45,VLOOKUP(C670,[1]List1!$A:$E,4,FALSE)=0),AC670,DAY(AC670)&amp;"."&amp;MONTH(AC670)&amp;"."&amp;YEAR(AC670)&amp;" "&amp;$V$4&amp;VLOOKUP(C670,[1]List1!$A:$E,4,FALSE)&amp;" "&amp;$V$1),AC670))))</f>
        <v>SKLADEM</v>
      </c>
      <c r="AE670" s="729" t="str">
        <f t="shared" ref="AE670:AE675" ca="1" si="1600">IFERROR(IF(AV670&lt;&gt;"",AV670,AD670),AD670)</f>
        <v>SKLADEM</v>
      </c>
      <c r="AF670" s="735">
        <f t="shared" ref="AF670:AF675" si="1601">IFERROR(IF(AB670=Y670,G670*I670*Y670,0),0)</f>
        <v>0</v>
      </c>
      <c r="AG670" s="735">
        <f t="shared" ref="AG670:AG675" si="1602">IF($W$17=$AF$8,AH670*1.23,AF670*1.21)</f>
        <v>0</v>
      </c>
      <c r="AH670" s="736">
        <f t="shared" ref="AH670:AH675" si="1603">IFERROR(IF(Y670=AB670,H670*I670*Y670,0),0)</f>
        <v>0</v>
      </c>
      <c r="AI670" s="729">
        <f t="shared" ref="AI670:AI675" si="1604">IFERROR(IF(Y670=AB670,(P670*Y670)/1000,1),0)</f>
        <v>0</v>
      </c>
      <c r="AJ670" s="729">
        <f t="shared" ref="AJ670:AJ675" si="1605">IFERROR(IF(Y670=AB670,N670*Y670,0.1),0)</f>
        <v>0</v>
      </c>
      <c r="AK670" s="729" t="str">
        <f t="shared" ref="AK670:AK675" si="1606">IFERROR(IF(Y670=AB670,IF(M670="1.1G",(O670/1000)*Y670,""),""),0)</f>
        <v/>
      </c>
      <c r="AL670" s="729" t="str">
        <f t="shared" ref="AL670:AL675" si="1607">IFERROR(IF(Y670=AB670,IF(M670="1.3G",(O670/1000)*AB670,""),""),0)</f>
        <v/>
      </c>
      <c r="AM670" s="729">
        <f t="shared" ref="AM670:AM675" si="1608">IFERROR(IF(Y670=AB670,IF(M670="1.4G",(O670/1000)*AB670,""),""),0)</f>
        <v>0</v>
      </c>
      <c r="AN670" s="729">
        <f t="shared" ref="AN670:AN675" si="1609">SUM(AK670:AM670)</f>
        <v>0</v>
      </c>
      <c r="AO670" s="380"/>
      <c r="AP670" s="322" t="str">
        <f t="shared" si="1574"/>
        <v/>
      </c>
      <c r="AQ670" s="323" t="str">
        <f>IF(AC670=$V$3,IF(VLOOKUP(C670,[1]List1!$A:$E,5,FALSE)=0,1,VLOOKUP(C670,[1]List1!$A:$E,5,FALSE)),"")</f>
        <v/>
      </c>
      <c r="AR670" s="304" t="str">
        <f t="shared" si="1575"/>
        <v/>
      </c>
      <c r="AS670" s="423" t="str">
        <f t="shared" si="1576"/>
        <v/>
      </c>
      <c r="AT670" s="304" t="str">
        <f t="shared" si="1577"/>
        <v/>
      </c>
      <c r="AU670" s="342" t="e">
        <f t="shared" si="1578"/>
        <v>#N/A</v>
      </c>
      <c r="AV670" s="304" t="e">
        <f t="shared" si="1579"/>
        <v>#N/A</v>
      </c>
      <c r="AX670" s="304">
        <f>IF(AND('General price list'!$J670="F4",'General price list'!$AB670+0&gt;0),1,0)</f>
        <v>0</v>
      </c>
      <c r="AY670" s="304">
        <f t="shared" si="1580"/>
        <v>1</v>
      </c>
      <c r="AZ670" s="304">
        <f t="shared" si="1581"/>
        <v>0</v>
      </c>
    </row>
    <row r="671" spans="1:52" ht="15" customHeight="1">
      <c r="A671" s="712" t="str">
        <f>Kat.!C668</f>
        <v/>
      </c>
      <c r="B671" s="745">
        <f>IF(AND('General price list'!$J671="F4",$AI$1=FALSE),0,IF(AC671="SKLADEM",1,IF(AC671=$V$3,1,0)))</f>
        <v>1</v>
      </c>
      <c r="C671" s="714" t="s">
        <v>1463</v>
      </c>
      <c r="D671" s="715" t="s">
        <v>14600</v>
      </c>
      <c r="E671" s="716" t="s">
        <v>1077</v>
      </c>
      <c r="F671" s="712">
        <f>IFERROR(ROUND(IF($AL$3=2,VLOOKUP(C671,[2]List1!$A:$D,2,FALSE)*1.08,VLOOKUP(C671,[2]List1!$A:$D,2,FALSE)),0),"NEUVEDENO!")</f>
        <v>509</v>
      </c>
      <c r="G671" s="717">
        <f t="shared" si="1596"/>
        <v>509</v>
      </c>
      <c r="H671" s="718">
        <f t="shared" si="1597"/>
        <v>20.683573828980574</v>
      </c>
      <c r="I671" s="746">
        <v>6</v>
      </c>
      <c r="J671" s="716" t="s">
        <v>46</v>
      </c>
      <c r="K671" s="716" t="s">
        <v>14734</v>
      </c>
      <c r="L671" s="716" t="s">
        <v>14395</v>
      </c>
      <c r="M671" s="716" t="s">
        <v>25</v>
      </c>
      <c r="N671" s="716">
        <f>IFERROR(VLOOKUP(C671,[3]List1!$A:$D,4,FALSE),"N/A!")</f>
        <v>4.7651999999999993E-2</v>
      </c>
      <c r="O671" s="716">
        <f>IFERROR(VLOOKUP(C671,[3]List1!$A:$D,3,FALSE),"N/A!")</f>
        <v>2550</v>
      </c>
      <c r="P671" s="716">
        <f>IFERROR(VLOOKUP(C671,[3]List1!$A:$D,2,FALSE),"N/A!")</f>
        <v>18000</v>
      </c>
      <c r="Q671" s="716" t="s">
        <v>14220</v>
      </c>
      <c r="R671" s="716" t="s">
        <v>24</v>
      </c>
      <c r="S671" s="716" t="str">
        <f>IF($W$17=$AF$1,"design",IFERROR(VLOOKUP("design",Jazyky_ceník!$A:$Q,MATCH($W$17,Jazyky_ceník!$A$1:$Q$1,0),FALSE),"!!!"))</f>
        <v>design</v>
      </c>
      <c r="T671" s="716">
        <v>30</v>
      </c>
      <c r="U671" s="716">
        <v>40</v>
      </c>
      <c r="V671" s="716">
        <v>23</v>
      </c>
      <c r="W671" s="716" t="str">
        <f>IFERROR(VLOOKUP('General price list'!$C671,Popisy!A:P,MATCH($W$17,Popisy!$A$7:$P$7,0),FALSE),"---------------")</f>
        <v>5 různobarevných efektu</v>
      </c>
      <c r="X671" s="716" t="str">
        <f t="shared" si="1598"/>
        <v/>
      </c>
      <c r="Y671" s="716" t="str">
        <f t="shared" si="1599"/>
        <v/>
      </c>
      <c r="Z671" s="716" t="str">
        <f>HYPERLINK("https://www.klasekpyrotechnics.cz/c253bpf14")</f>
        <v>https://www.klasekpyrotechnics.cz/c253bpf14</v>
      </c>
      <c r="AA671" s="716">
        <f>IFERROR(IF(VLOOKUP(C671,[4]List1!$A:$D,4,FALSE)=0,"",VLOOKUP(C671,[4]List1!$A:$D,4,FALSE)),"")</f>
        <v>28</v>
      </c>
      <c r="AB671" s="720"/>
      <c r="AC671" s="747" t="str">
        <f>IFERROR(IF(VLOOKUP(C671,[1]List1!$A:$D,2,FALSE)="VYPRODÁNO",$V$9,IF(VLOOKUP(C671,[1]List1!$A:$D,2,FALSE)="DOCHÁZÍ",$V$3,VLOOKUP(C671,[1]List1!$A:$D,2,FALSE))),"OFFLINE!")</f>
        <v>SKLADEM</v>
      </c>
      <c r="AD671" s="748" t="str">
        <f ca="1">IF(AP671="NE",$V$10,IF(AC671=$V$3,IF(AQ671&lt;1,$V$8,$V$2&amp;" "&amp;AQ671&amp;" "&amp;$V$1),IF(AC671="SKLADEM",$V$6,IFERROR(IF(OR(AC671-TODAY()&gt;45,VLOOKUP(C671,[1]List1!$A:$E,4,FALSE)=0),AC671,DAY(AC671)&amp;"."&amp;MONTH(AC671)&amp;"."&amp;YEAR(AC671)&amp;" "&amp;$V$4&amp;VLOOKUP(C671,[1]List1!$A:$E,4,FALSE)&amp;" "&amp;$V$1),AC671))))</f>
        <v>SKLADEM</v>
      </c>
      <c r="AE671" s="716" t="str">
        <f t="shared" ca="1" si="1600"/>
        <v>SKLADEM</v>
      </c>
      <c r="AF671" s="723">
        <f t="shared" si="1601"/>
        <v>0</v>
      </c>
      <c r="AG671" s="723">
        <f t="shared" si="1602"/>
        <v>0</v>
      </c>
      <c r="AH671" s="724">
        <f t="shared" si="1603"/>
        <v>0</v>
      </c>
      <c r="AI671" s="716">
        <f t="shared" si="1604"/>
        <v>0</v>
      </c>
      <c r="AJ671" s="716">
        <f t="shared" si="1605"/>
        <v>0</v>
      </c>
      <c r="AK671" s="716" t="str">
        <f t="shared" si="1606"/>
        <v/>
      </c>
      <c r="AL671" s="716" t="str">
        <f t="shared" si="1607"/>
        <v/>
      </c>
      <c r="AM671" s="716">
        <f t="shared" si="1608"/>
        <v>0</v>
      </c>
      <c r="AN671" s="716">
        <f t="shared" si="1609"/>
        <v>0</v>
      </c>
      <c r="AO671" s="380"/>
      <c r="AP671" s="322" t="str">
        <f t="shared" si="1574"/>
        <v/>
      </c>
      <c r="AQ671" s="323" t="str">
        <f>IF(AC671=$V$3,IF(VLOOKUP(C671,[1]List1!$A:$E,5,FALSE)=0,1,VLOOKUP(C671,[1]List1!$A:$E,5,FALSE)),"")</f>
        <v/>
      </c>
      <c r="AR671" s="304" t="str">
        <f t="shared" si="1575"/>
        <v/>
      </c>
      <c r="AS671" s="423" t="str">
        <f t="shared" si="1576"/>
        <v/>
      </c>
      <c r="AT671" s="304" t="str">
        <f t="shared" si="1577"/>
        <v/>
      </c>
      <c r="AU671" s="342" t="e">
        <f t="shared" si="1578"/>
        <v>#N/A</v>
      </c>
      <c r="AV671" s="304" t="e">
        <f t="shared" si="1579"/>
        <v>#N/A</v>
      </c>
      <c r="AX671" s="304">
        <f>IF(AND('General price list'!$J671="F4",'General price list'!$AB671+0&gt;0),1,0)</f>
        <v>0</v>
      </c>
      <c r="AY671" s="304">
        <f t="shared" si="1580"/>
        <v>1</v>
      </c>
      <c r="AZ671" s="304">
        <f t="shared" si="1581"/>
        <v>0</v>
      </c>
    </row>
    <row r="672" spans="1:52" ht="15" customHeight="1">
      <c r="A672" s="725" t="str">
        <f>Kat.!C669</f>
        <v/>
      </c>
      <c r="B672" s="749">
        <f>IF(AND('General price list'!$J672="F4",$AI$1=FALSE),0,IF(AC672="SKLADEM",1,IF(AC672=$V$3,1,0)))</f>
        <v>0</v>
      </c>
      <c r="C672" s="727" t="s">
        <v>1464</v>
      </c>
      <c r="D672" s="728" t="s">
        <v>1328</v>
      </c>
      <c r="E672" s="729" t="s">
        <v>1077</v>
      </c>
      <c r="F672" s="725">
        <f>IFERROR(ROUND(IF($AL$3=2,VLOOKUP(C672,[2]List1!$A:$D,2,FALSE)*1.08,VLOOKUP(C672,[2]List1!$A:$D,2,FALSE)),0),"NEUVEDENO!")</f>
        <v>637</v>
      </c>
      <c r="G672" s="730">
        <f t="shared" si="1596"/>
        <v>637</v>
      </c>
      <c r="H672" s="731">
        <f t="shared" si="1597"/>
        <v>25.884944064952112</v>
      </c>
      <c r="I672" s="750">
        <v>6</v>
      </c>
      <c r="J672" s="729" t="s">
        <v>46</v>
      </c>
      <c r="K672" s="729"/>
      <c r="L672" s="729" t="s">
        <v>14395</v>
      </c>
      <c r="M672" s="729" t="s">
        <v>25</v>
      </c>
      <c r="N672" s="729">
        <f>IFERROR(VLOOKUP(C672,[3]List1!$A:$D,4,FALSE),"N/A!")</f>
        <v>4.7651999999999993E-2</v>
      </c>
      <c r="O672" s="729">
        <f>IFERROR(VLOOKUP(C672,[3]List1!$A:$D,3,FALSE),"N/A!")</f>
        <v>2958</v>
      </c>
      <c r="P672" s="729">
        <f>IFERROR(VLOOKUP(C672,[3]List1!$A:$D,2,FALSE),"N/A!")</f>
        <v>18800</v>
      </c>
      <c r="Q672" s="729" t="s">
        <v>14221</v>
      </c>
      <c r="R672" s="729" t="s">
        <v>24</v>
      </c>
      <c r="S672" s="729" t="str">
        <f>IF($W$17=$AF$1,"design",IFERROR(VLOOKUP("design",Jazyky_ceník!$A:$Q,MATCH($W$17,Jazyky_ceník!$A$1:$Q$1,0),FALSE),"!!!"))</f>
        <v>design</v>
      </c>
      <c r="T672" s="729">
        <v>30</v>
      </c>
      <c r="U672" s="729">
        <v>40</v>
      </c>
      <c r="V672" s="729">
        <v>3</v>
      </c>
      <c r="W672" s="729" t="str">
        <f>IFERROR(VLOOKUP('General price list'!$C672,Popisy!A:P,MATCH($W$17,Popisy!$A$7:$P$7,0),FALSE),"---------------")</f>
        <v>5 různobarevných efektů - bez hluku</v>
      </c>
      <c r="X672" s="729" t="str">
        <f t="shared" si="1598"/>
        <v/>
      </c>
      <c r="Y672" s="729" t="str">
        <f t="shared" si="1599"/>
        <v/>
      </c>
      <c r="Z672" s="729" t="str">
        <f>HYPERLINK("https://www.klasekpyrotechnics.cz/c253no14")</f>
        <v>https://www.klasekpyrotechnics.cz/c253no14</v>
      </c>
      <c r="AA672" s="729">
        <f>IFERROR(IF(VLOOKUP(C672,[4]List1!$A:$D,4,FALSE)=0,"",VLOOKUP(C672,[4]List1!$A:$D,4,FALSE)),"")</f>
        <v>28</v>
      </c>
      <c r="AB672" s="720"/>
      <c r="AC672" s="751" t="str">
        <f>IFERROR(IF(VLOOKUP(C672,[1]List1!$A:$D,2,FALSE)="VYPRODÁNO",$V$9,IF(VLOOKUP(C672,[1]List1!$A:$D,2,FALSE)="DOCHÁZÍ",$V$3,VLOOKUP(C672,[1]List1!$A:$D,2,FALSE))),"OFFLINE!")</f>
        <v>15.09.2024</v>
      </c>
      <c r="AD672" s="752" t="str">
        <f ca="1">IF(AP672="NE",$V$10,IF(AC672=$V$3,IF(AQ672&lt;1,$V$8,$V$2&amp;" "&amp;AQ672&amp;" "&amp;$V$1),IF(AC672="SKLADEM",$V$6,IFERROR(IF(OR(AC672-TODAY()&gt;45,VLOOKUP(C672,[1]List1!$A:$E,4,FALSE)=0),AC672,DAY(AC672)&amp;"."&amp;MONTH(AC672)&amp;"."&amp;YEAR(AC672)&amp;" "&amp;$V$4&amp;VLOOKUP(C672,[1]List1!$A:$E,4,FALSE)&amp;" "&amp;$V$1),AC672))))</f>
        <v>15.09.2024</v>
      </c>
      <c r="AE672" s="729" t="str">
        <f t="shared" ca="1" si="1600"/>
        <v>15.09.2024</v>
      </c>
      <c r="AF672" s="735">
        <f t="shared" si="1601"/>
        <v>0</v>
      </c>
      <c r="AG672" s="735">
        <f t="shared" si="1602"/>
        <v>0</v>
      </c>
      <c r="AH672" s="736">
        <f t="shared" si="1603"/>
        <v>0</v>
      </c>
      <c r="AI672" s="729">
        <f t="shared" si="1604"/>
        <v>0</v>
      </c>
      <c r="AJ672" s="729">
        <f t="shared" si="1605"/>
        <v>0</v>
      </c>
      <c r="AK672" s="729" t="str">
        <f t="shared" si="1606"/>
        <v/>
      </c>
      <c r="AL672" s="729" t="str">
        <f t="shared" si="1607"/>
        <v/>
      </c>
      <c r="AM672" s="729">
        <f t="shared" si="1608"/>
        <v>0</v>
      </c>
      <c r="AN672" s="729">
        <f t="shared" si="1609"/>
        <v>0</v>
      </c>
      <c r="AO672" s="380"/>
      <c r="AP672" s="322" t="str">
        <f t="shared" si="1574"/>
        <v/>
      </c>
      <c r="AQ672" s="323" t="str">
        <f>IF(AC672=$V$3,IF(VLOOKUP(C672,[1]List1!$A:$E,5,FALSE)=0,1,VLOOKUP(C672,[1]List1!$A:$E,5,FALSE)),"")</f>
        <v/>
      </c>
      <c r="AR672" s="304" t="str">
        <f t="shared" si="1575"/>
        <v/>
      </c>
      <c r="AS672" s="423" t="str">
        <f t="shared" si="1576"/>
        <v/>
      </c>
      <c r="AT672" s="304" t="str">
        <f t="shared" si="1577"/>
        <v/>
      </c>
      <c r="AU672" s="342" t="e">
        <f t="shared" si="1578"/>
        <v>#N/A</v>
      </c>
      <c r="AV672" s="304" t="e">
        <f t="shared" si="1579"/>
        <v>#N/A</v>
      </c>
      <c r="AX672" s="304">
        <f>IF(AND('General price list'!$J672="F4",'General price list'!$AB672+0&gt;0),1,0)</f>
        <v>0</v>
      </c>
      <c r="AY672" s="304">
        <f t="shared" si="1580"/>
        <v>1</v>
      </c>
      <c r="AZ672" s="304">
        <f t="shared" si="1581"/>
        <v>0</v>
      </c>
    </row>
    <row r="673" spans="1:52" ht="15" customHeight="1">
      <c r="A673" s="712" t="str">
        <f>Kat.!C670</f>
        <v/>
      </c>
      <c r="B673" s="745">
        <f>IF(AND('General price list'!$J673="F4",$AI$1=FALSE),0,IF(AC673="SKLADEM",1,IF(AC673=$V$3,1,0)))</f>
        <v>1</v>
      </c>
      <c r="C673" s="714" t="s">
        <v>1468</v>
      </c>
      <c r="D673" s="715" t="s">
        <v>1452</v>
      </c>
      <c r="E673" s="716" t="s">
        <v>1077</v>
      </c>
      <c r="F673" s="712">
        <f>IFERROR(ROUND(IF($AL$3=2,VLOOKUP(C673,[2]List1!$A:$D,2,FALSE)*1.08,VLOOKUP(C673,[2]List1!$A:$D,2,FALSE)),0),"NEUVEDENO!")</f>
        <v>549</v>
      </c>
      <c r="G673" s="717">
        <f t="shared" si="1596"/>
        <v>549</v>
      </c>
      <c r="H673" s="718">
        <f t="shared" si="1597"/>
        <v>22.309002027721679</v>
      </c>
      <c r="I673" s="746">
        <v>6</v>
      </c>
      <c r="J673" s="716" t="s">
        <v>46</v>
      </c>
      <c r="K673" s="716" t="s">
        <v>14734</v>
      </c>
      <c r="L673" s="716" t="s">
        <v>14398</v>
      </c>
      <c r="M673" s="716" t="s">
        <v>25</v>
      </c>
      <c r="N673" s="716">
        <f>IFERROR(VLOOKUP(C673,[3]List1!$A:$D,4,FALSE),"N/A!")</f>
        <v>4.7651999999999993E-2</v>
      </c>
      <c r="O673" s="716">
        <f>IFERROR(VLOOKUP(C673,[3]List1!$A:$D,3,FALSE),"N/A!")</f>
        <v>2850</v>
      </c>
      <c r="P673" s="716">
        <f>IFERROR(VLOOKUP(C673,[3]List1!$A:$D,2,FALSE),"N/A!")</f>
        <v>20000</v>
      </c>
      <c r="Q673" s="716" t="s">
        <v>14221</v>
      </c>
      <c r="R673" s="716" t="s">
        <v>24</v>
      </c>
      <c r="S673" s="716" t="str">
        <f>IF($W$17=$AF$1,"červená fólie",IFERROR(VLOOKUP("červená fólie",Jazyky_ceník!$A:$Q,MATCH($W$17,Jazyky_ceník!$A$1:$Q$1,0),FALSE),"!!!"))</f>
        <v>červená fólie</v>
      </c>
      <c r="T673" s="716">
        <v>35</v>
      </c>
      <c r="U673" s="716">
        <v>40</v>
      </c>
      <c r="V673" s="716">
        <v>24</v>
      </c>
      <c r="W673" s="716" t="str">
        <f>IFERROR(VLOOKUP('General price list'!$C673,Popisy!A:P,MATCH($W$17,Popisy!$A$7:$P$7,0),FALSE),"---------------")</f>
        <v>5 různobarevných efektu</v>
      </c>
      <c r="X673" s="716" t="str">
        <f t="shared" si="1598"/>
        <v/>
      </c>
      <c r="Y673" s="716" t="str">
        <f t="shared" si="1599"/>
        <v/>
      </c>
      <c r="Z673" s="716" t="str">
        <f>HYPERLINK("https://www.klasekpyrotechnics.cz/c253b14")</f>
        <v>https://www.klasekpyrotechnics.cz/c253b14</v>
      </c>
      <c r="AA673" s="716">
        <f>IFERROR(IF(VLOOKUP(C673,[4]List1!$A:$D,4,FALSE)=0,"",VLOOKUP(C673,[4]List1!$A:$D,4,FALSE)),"")</f>
        <v>28</v>
      </c>
      <c r="AB673" s="720"/>
      <c r="AC673" s="747" t="str">
        <f>IFERROR(IF(VLOOKUP(C673,[1]List1!$A:$D,2,FALSE)="VYPRODÁNO",$V$9,IF(VLOOKUP(C673,[1]List1!$A:$D,2,FALSE)="DOCHÁZÍ",$V$3,VLOOKUP(C673,[1]List1!$A:$D,2,FALSE))),"OFFLINE!")</f>
        <v>SKLADEM</v>
      </c>
      <c r="AD673" s="748" t="str">
        <f ca="1">IF(AP673="NE",$V$10,IF(AC673=$V$3,IF(AQ673&lt;1,$V$8,$V$2&amp;" "&amp;AQ673&amp;" "&amp;$V$1),IF(AC673="SKLADEM",$V$6,IFERROR(IF(OR(AC673-TODAY()&gt;45,VLOOKUP(C673,[1]List1!$A:$E,4,FALSE)=0),AC673,DAY(AC673)&amp;"."&amp;MONTH(AC673)&amp;"."&amp;YEAR(AC673)&amp;" "&amp;$V$4&amp;VLOOKUP(C673,[1]List1!$A:$E,4,FALSE)&amp;" "&amp;$V$1),AC673))))</f>
        <v>SKLADEM</v>
      </c>
      <c r="AE673" s="716" t="str">
        <f t="shared" ca="1" si="1600"/>
        <v>SKLADEM</v>
      </c>
      <c r="AF673" s="723">
        <f t="shared" si="1601"/>
        <v>0</v>
      </c>
      <c r="AG673" s="723">
        <f t="shared" si="1602"/>
        <v>0</v>
      </c>
      <c r="AH673" s="724">
        <f t="shared" si="1603"/>
        <v>0</v>
      </c>
      <c r="AI673" s="716">
        <f t="shared" si="1604"/>
        <v>0</v>
      </c>
      <c r="AJ673" s="716">
        <f t="shared" si="1605"/>
        <v>0</v>
      </c>
      <c r="AK673" s="716" t="str">
        <f t="shared" si="1606"/>
        <v/>
      </c>
      <c r="AL673" s="716" t="str">
        <f t="shared" si="1607"/>
        <v/>
      </c>
      <c r="AM673" s="716">
        <f t="shared" si="1608"/>
        <v>0</v>
      </c>
      <c r="AN673" s="716">
        <f t="shared" si="1609"/>
        <v>0</v>
      </c>
      <c r="AO673" s="380"/>
      <c r="AP673" s="322" t="str">
        <f t="shared" si="1574"/>
        <v/>
      </c>
      <c r="AQ673" s="323" t="str">
        <f>IF(AC673=$V$3,IF(VLOOKUP(C673,[1]List1!$A:$E,5,FALSE)=0,1,VLOOKUP(C673,[1]List1!$A:$E,5,FALSE)),"")</f>
        <v/>
      </c>
      <c r="AR673" s="304" t="str">
        <f t="shared" si="1575"/>
        <v/>
      </c>
      <c r="AS673" s="423" t="str">
        <f t="shared" si="1576"/>
        <v/>
      </c>
      <c r="AT673" s="304" t="str">
        <f t="shared" si="1577"/>
        <v/>
      </c>
      <c r="AU673" s="342" t="e">
        <f t="shared" si="1578"/>
        <v>#N/A</v>
      </c>
      <c r="AV673" s="304" t="e">
        <f t="shared" si="1579"/>
        <v>#N/A</v>
      </c>
      <c r="AX673" s="304">
        <f>IF(AND('General price list'!$J673="F4",'General price list'!$AB673+0&gt;0),1,0)</f>
        <v>0</v>
      </c>
      <c r="AY673" s="304">
        <f t="shared" si="1580"/>
        <v>1</v>
      </c>
      <c r="AZ673" s="304">
        <f t="shared" si="1581"/>
        <v>0</v>
      </c>
    </row>
    <row r="674" spans="1:52" ht="15" customHeight="1">
      <c r="A674" s="725" t="str">
        <f>Kat.!C671</f>
        <v/>
      </c>
      <c r="B674" s="749">
        <f>IF(AND('General price list'!$J674="F4",$AI$1=FALSE),0,IF(AC674="SKLADEM",1,IF(AC674=$V$3,1,0)))</f>
        <v>1</v>
      </c>
      <c r="C674" s="727" t="s">
        <v>1469</v>
      </c>
      <c r="D674" s="728" t="s">
        <v>1456</v>
      </c>
      <c r="E674" s="729" t="s">
        <v>1077</v>
      </c>
      <c r="F674" s="725">
        <f>IFERROR(ROUND(IF($AL$3=2,VLOOKUP(C674,[2]List1!$A:$D,2,FALSE)*1.08,VLOOKUP(C674,[2]List1!$A:$D,2,FALSE)),0),"NEUVEDENO!")</f>
        <v>549</v>
      </c>
      <c r="G674" s="730">
        <f t="shared" si="1596"/>
        <v>549</v>
      </c>
      <c r="H674" s="731">
        <f t="shared" si="1597"/>
        <v>22.309002027721679</v>
      </c>
      <c r="I674" s="750">
        <v>6</v>
      </c>
      <c r="J674" s="729" t="s">
        <v>46</v>
      </c>
      <c r="K674" s="729" t="s">
        <v>14734</v>
      </c>
      <c r="L674" s="729" t="s">
        <v>14369</v>
      </c>
      <c r="M674" s="729" t="s">
        <v>25</v>
      </c>
      <c r="N674" s="729">
        <f>IFERROR(VLOOKUP(C674,[3]List1!$A:$D,4,FALSE),"N/A!")</f>
        <v>4.7651999999999993E-2</v>
      </c>
      <c r="O674" s="729">
        <f>IFERROR(VLOOKUP(C674,[3]List1!$A:$D,3,FALSE),"N/A!")</f>
        <v>2850</v>
      </c>
      <c r="P674" s="729">
        <f>IFERROR(VLOOKUP(C674,[3]List1!$A:$D,2,FALSE),"N/A!")</f>
        <v>20000</v>
      </c>
      <c r="Q674" s="729" t="s">
        <v>14222</v>
      </c>
      <c r="R674" s="729" t="s">
        <v>24</v>
      </c>
      <c r="S674" s="729" t="str">
        <f>IF($W$17=$AF$1,"design",IFERROR(VLOOKUP("design",Jazyky_ceník!$A:$Q,MATCH($W$17,Jazyky_ceník!$A$1:$Q$1,0),FALSE),"!!!"))</f>
        <v>design</v>
      </c>
      <c r="T674" s="729">
        <v>35</v>
      </c>
      <c r="U674" s="729">
        <v>40</v>
      </c>
      <c r="V674" s="729">
        <v>24</v>
      </c>
      <c r="W674" s="729" t="str">
        <f>IFERROR(VLOOKUP('General price list'!$C674,Popisy!A:P,MATCH($W$17,Popisy!$A$7:$P$7,0),FALSE),"---------------")</f>
        <v>5 různobarevných efektů měnících se po každé ráně</v>
      </c>
      <c r="X674" s="729" t="str">
        <f t="shared" si="1598"/>
        <v/>
      </c>
      <c r="Y674" s="729" t="str">
        <f t="shared" si="1599"/>
        <v/>
      </c>
      <c r="Z674" s="729" t="str">
        <f>HYPERLINK("https://www.klasekpyrotechnics.cz/c253th14")</f>
        <v>https://www.klasekpyrotechnics.cz/c253th14</v>
      </c>
      <c r="AA674" s="729">
        <f>IFERROR(IF(VLOOKUP(C674,[4]List1!$A:$D,4,FALSE)=0,"",VLOOKUP(C674,[4]List1!$A:$D,4,FALSE)),"")</f>
        <v>28</v>
      </c>
      <c r="AB674" s="720"/>
      <c r="AC674" s="751" t="str">
        <f>IFERROR(IF(VLOOKUP(C674,[1]List1!$A:$D,2,FALSE)="VYPRODÁNO",$V$9,IF(VLOOKUP(C674,[1]List1!$A:$D,2,FALSE)="DOCHÁZÍ",$V$3,VLOOKUP(C674,[1]List1!$A:$D,2,FALSE))),"OFFLINE!")</f>
        <v>SKLADEM</v>
      </c>
      <c r="AD674" s="752" t="str">
        <f ca="1">IF(AP674="NE",$V$10,IF(AC674=$V$3,IF(AQ674&lt;1,$V$8,$V$2&amp;" "&amp;AQ674&amp;" "&amp;$V$1),IF(AC674="SKLADEM",$V$6,IFERROR(IF(OR(AC674-TODAY()&gt;45,VLOOKUP(C674,[1]List1!$A:$E,4,FALSE)=0),AC674,DAY(AC674)&amp;"."&amp;MONTH(AC674)&amp;"."&amp;YEAR(AC674)&amp;" "&amp;$V$4&amp;VLOOKUP(C674,[1]List1!$A:$E,4,FALSE)&amp;" "&amp;$V$1),AC674))))</f>
        <v>SKLADEM</v>
      </c>
      <c r="AE674" s="729" t="str">
        <f t="shared" ca="1" si="1600"/>
        <v>SKLADEM</v>
      </c>
      <c r="AF674" s="735">
        <f t="shared" si="1601"/>
        <v>0</v>
      </c>
      <c r="AG674" s="735">
        <f t="shared" si="1602"/>
        <v>0</v>
      </c>
      <c r="AH674" s="736">
        <f t="shared" si="1603"/>
        <v>0</v>
      </c>
      <c r="AI674" s="729">
        <f t="shared" si="1604"/>
        <v>0</v>
      </c>
      <c r="AJ674" s="729">
        <f t="shared" si="1605"/>
        <v>0</v>
      </c>
      <c r="AK674" s="729" t="str">
        <f t="shared" si="1606"/>
        <v/>
      </c>
      <c r="AL674" s="729" t="str">
        <f t="shared" si="1607"/>
        <v/>
      </c>
      <c r="AM674" s="729">
        <f t="shared" si="1608"/>
        <v>0</v>
      </c>
      <c r="AN674" s="729">
        <f t="shared" si="1609"/>
        <v>0</v>
      </c>
      <c r="AO674" s="380"/>
      <c r="AP674" s="322" t="str">
        <f t="shared" si="1574"/>
        <v/>
      </c>
      <c r="AQ674" s="323" t="str">
        <f>IF(AC674=$V$3,IF(VLOOKUP(C674,[1]List1!$A:$E,5,FALSE)=0,1,VLOOKUP(C674,[1]List1!$A:$E,5,FALSE)),"")</f>
        <v/>
      </c>
      <c r="AR674" s="304" t="str">
        <f t="shared" si="1575"/>
        <v/>
      </c>
      <c r="AS674" s="423" t="str">
        <f t="shared" si="1576"/>
        <v/>
      </c>
      <c r="AT674" s="304" t="str">
        <f t="shared" si="1577"/>
        <v/>
      </c>
      <c r="AU674" s="342" t="e">
        <f t="shared" si="1578"/>
        <v>#N/A</v>
      </c>
      <c r="AV674" s="304" t="e">
        <f t="shared" si="1579"/>
        <v>#N/A</v>
      </c>
      <c r="AX674" s="304">
        <f>IF(AND('General price list'!$J674="F4",'General price list'!$AB674+0&gt;0),1,0)</f>
        <v>0</v>
      </c>
      <c r="AY674" s="304">
        <f t="shared" si="1580"/>
        <v>1</v>
      </c>
      <c r="AZ674" s="304">
        <f t="shared" si="1581"/>
        <v>0</v>
      </c>
    </row>
    <row r="675" spans="1:52" ht="15" customHeight="1">
      <c r="A675" s="712" t="str">
        <f>Kat.!C672</f>
        <v/>
      </c>
      <c r="B675" s="745">
        <f>IF(AND('General price list'!$J675="F4",$AI$1=FALSE),0,IF(AC675="SKLADEM",1,IF(AC675=$V$3,1,0)))</f>
        <v>1</v>
      </c>
      <c r="C675" s="714" t="s">
        <v>1470</v>
      </c>
      <c r="D675" s="715" t="s">
        <v>1458</v>
      </c>
      <c r="E675" s="716" t="s">
        <v>1077</v>
      </c>
      <c r="F675" s="712">
        <f>IFERROR(ROUND(IF($AL$3=2,VLOOKUP(C675,[2]List1!$A:$D,2,FALSE)*1.08,VLOOKUP(C675,[2]List1!$A:$D,2,FALSE)),0),"NEUVEDENO!")</f>
        <v>549</v>
      </c>
      <c r="G675" s="717">
        <f t="shared" si="1596"/>
        <v>549</v>
      </c>
      <c r="H675" s="718">
        <f t="shared" si="1597"/>
        <v>22.309002027721679</v>
      </c>
      <c r="I675" s="746">
        <v>6</v>
      </c>
      <c r="J675" s="716" t="s">
        <v>46</v>
      </c>
      <c r="K675" s="716" t="s">
        <v>14734</v>
      </c>
      <c r="L675" s="716" t="s">
        <v>14398</v>
      </c>
      <c r="M675" s="716" t="s">
        <v>25</v>
      </c>
      <c r="N675" s="716">
        <f>IFERROR(VLOOKUP(C675,[3]List1!$A:$D,4,FALSE),"N/A!")</f>
        <v>4.7651999999999993E-2</v>
      </c>
      <c r="O675" s="716">
        <f>IFERROR(VLOOKUP(C675,[3]List1!$A:$D,3,FALSE),"N/A!")</f>
        <v>2850</v>
      </c>
      <c r="P675" s="716">
        <f>IFERROR(VLOOKUP(C675,[3]List1!$A:$D,2,FALSE),"N/A!")</f>
        <v>19000</v>
      </c>
      <c r="Q675" s="716" t="s">
        <v>14221</v>
      </c>
      <c r="R675" s="716" t="s">
        <v>24</v>
      </c>
      <c r="S675" s="716" t="str">
        <f>IF($W$17=$AF$1,"design",IFERROR(VLOOKUP("design",Jazyky_ceník!$A:$Q,MATCH($W$17,Jazyky_ceník!$A$1:$Q$1,0),FALSE),"!!!"))</f>
        <v>design</v>
      </c>
      <c r="T675" s="716">
        <v>35</v>
      </c>
      <c r="U675" s="716">
        <v>40</v>
      </c>
      <c r="V675" s="716">
        <v>24</v>
      </c>
      <c r="W675" s="716" t="str">
        <f>IFERROR(VLOOKUP('General price list'!$C675,Popisy!A:P,MATCH($W$17,Popisy!$A$7:$P$7,0),FALSE),"---------------")</f>
        <v>5 různobarevných efektu</v>
      </c>
      <c r="X675" s="716" t="str">
        <f t="shared" si="1598"/>
        <v/>
      </c>
      <c r="Y675" s="716" t="str">
        <f t="shared" si="1599"/>
        <v/>
      </c>
      <c r="Z675" s="716" t="str">
        <f>HYPERLINK("https://www.klasekpyrotechnics.cz/c253e14")</f>
        <v>https://www.klasekpyrotechnics.cz/c253e14</v>
      </c>
      <c r="AA675" s="716">
        <f>IFERROR(IF(VLOOKUP(C675,[4]List1!$A:$D,4,FALSE)=0,"",VLOOKUP(C675,[4]List1!$A:$D,4,FALSE)),"")</f>
        <v>28</v>
      </c>
      <c r="AB675" s="720"/>
      <c r="AC675" s="747" t="str">
        <f>IFERROR(IF(VLOOKUP(C675,[1]List1!$A:$D,2,FALSE)="VYPRODÁNO",$V$9,IF(VLOOKUP(C675,[1]List1!$A:$D,2,FALSE)="DOCHÁZÍ",$V$3,VLOOKUP(C675,[1]List1!$A:$D,2,FALSE))),"OFFLINE!")</f>
        <v>SKLADEM</v>
      </c>
      <c r="AD675" s="748" t="str">
        <f ca="1">IF(AP675="NE",$V$10,IF(AC675=$V$3,IF(AQ675&lt;1,$V$8,$V$2&amp;" "&amp;AQ675&amp;" "&amp;$V$1),IF(AC675="SKLADEM",$V$6,IFERROR(IF(OR(AC675-TODAY()&gt;45,VLOOKUP(C675,[1]List1!$A:$E,4,FALSE)=0),AC675,DAY(AC675)&amp;"."&amp;MONTH(AC675)&amp;"."&amp;YEAR(AC675)&amp;" "&amp;$V$4&amp;VLOOKUP(C675,[1]List1!$A:$E,4,FALSE)&amp;" "&amp;$V$1),AC675))))</f>
        <v>SKLADEM</v>
      </c>
      <c r="AE675" s="716" t="str">
        <f t="shared" ca="1" si="1600"/>
        <v>SKLADEM</v>
      </c>
      <c r="AF675" s="723">
        <f t="shared" si="1601"/>
        <v>0</v>
      </c>
      <c r="AG675" s="723">
        <f t="shared" si="1602"/>
        <v>0</v>
      </c>
      <c r="AH675" s="724">
        <f t="shared" si="1603"/>
        <v>0</v>
      </c>
      <c r="AI675" s="716">
        <f t="shared" si="1604"/>
        <v>0</v>
      </c>
      <c r="AJ675" s="716">
        <f t="shared" si="1605"/>
        <v>0</v>
      </c>
      <c r="AK675" s="716" t="str">
        <f t="shared" si="1606"/>
        <v/>
      </c>
      <c r="AL675" s="716" t="str">
        <f t="shared" si="1607"/>
        <v/>
      </c>
      <c r="AM675" s="716">
        <f t="shared" si="1608"/>
        <v>0</v>
      </c>
      <c r="AN675" s="716">
        <f t="shared" si="1609"/>
        <v>0</v>
      </c>
      <c r="AO675" s="380"/>
      <c r="AP675" s="322" t="str">
        <f t="shared" si="1574"/>
        <v/>
      </c>
      <c r="AQ675" s="323" t="str">
        <f>IF(AC675=$V$3,IF(VLOOKUP(C675,[1]List1!$A:$E,5,FALSE)=0,1,VLOOKUP(C675,[1]List1!$A:$E,5,FALSE)),"")</f>
        <v/>
      </c>
      <c r="AR675" s="304" t="str">
        <f t="shared" si="1575"/>
        <v/>
      </c>
      <c r="AS675" s="423" t="str">
        <f t="shared" si="1576"/>
        <v/>
      </c>
      <c r="AT675" s="304" t="str">
        <f t="shared" si="1577"/>
        <v/>
      </c>
      <c r="AU675" s="342" t="e">
        <f t="shared" si="1578"/>
        <v>#N/A</v>
      </c>
      <c r="AV675" s="304" t="e">
        <f t="shared" si="1579"/>
        <v>#N/A</v>
      </c>
      <c r="AX675" s="304">
        <f>IF(AND('General price list'!$J675="F4",'General price list'!$AB675+0&gt;0),1,0)</f>
        <v>0</v>
      </c>
      <c r="AY675" s="304">
        <f t="shared" si="1580"/>
        <v>1</v>
      </c>
      <c r="AZ675" s="304">
        <f t="shared" si="1581"/>
        <v>0</v>
      </c>
    </row>
    <row r="676" spans="1:52" ht="15" customHeight="1">
      <c r="A676" s="773" t="str">
        <f>Kat.!C673</f>
        <v xml:space="preserve">                                                               Baterie 25ran, 30mm moždíř-1.4G</v>
      </c>
      <c r="B676" s="774"/>
      <c r="C676" s="774"/>
      <c r="D676" s="774"/>
      <c r="E676" s="774"/>
      <c r="F676" s="774"/>
      <c r="G676" s="774"/>
      <c r="H676" s="774"/>
      <c r="I676" s="774"/>
      <c r="J676" s="774"/>
      <c r="K676" s="774"/>
      <c r="L676" s="774"/>
      <c r="M676" s="774"/>
      <c r="N676" s="774"/>
      <c r="O676" s="774"/>
      <c r="P676" s="774"/>
      <c r="Q676" s="774"/>
      <c r="R676" s="774"/>
      <c r="S676" s="774"/>
      <c r="T676" s="774"/>
      <c r="U676" s="774"/>
      <c r="V676" s="774"/>
      <c r="W676" s="774"/>
      <c r="X676" s="774"/>
      <c r="Y676" s="774"/>
      <c r="Z676" s="774"/>
      <c r="AA676" s="774" t="str">
        <f>IFERROR(IF(VLOOKUP(C676,[4]List1!$A:$D,4,FALSE)=0,"",VLOOKUP(C676,[4]List1!$A:$D,4,FALSE)),"")</f>
        <v/>
      </c>
      <c r="AB676" s="774"/>
      <c r="AC676" s="775" t="str">
        <f>IFERROR(IF(VLOOKUP(C676,[1]List1!$A:$D,2,FALSE)="VYPRODÁNO",$V$9,IF(VLOOKUP(C676,[1]List1!$A:$D,2,FALSE)="DOCHÁZÍ",$V$3,VLOOKUP(C676,[1]List1!$A:$D,2,FALSE))),"OFFLINE!")</f>
        <v>OFFLINE!</v>
      </c>
      <c r="AD676" s="774"/>
      <c r="AE676" s="774"/>
      <c r="AF676" s="774"/>
      <c r="AG676" s="774"/>
      <c r="AH676" s="774"/>
      <c r="AI676" s="774"/>
      <c r="AJ676" s="774"/>
      <c r="AK676" s="774"/>
      <c r="AL676" s="774"/>
      <c r="AM676" s="774"/>
      <c r="AN676" s="774"/>
      <c r="AO676" s="380"/>
      <c r="AP676" s="322" t="str">
        <f t="shared" si="1574"/>
        <v/>
      </c>
      <c r="AQ676" s="323" t="str">
        <f>IF(AC676=$V$3,IF(VLOOKUP(C676,[1]List1!$A:$E,5,FALSE)=0,1,VLOOKUP(C676,[1]List1!$A:$E,5,FALSE)),"")</f>
        <v/>
      </c>
      <c r="AR676" s="304" t="str">
        <f t="shared" si="1575"/>
        <v/>
      </c>
      <c r="AS676" s="423" t="str">
        <f t="shared" si="1576"/>
        <v/>
      </c>
      <c r="AT676" s="304" t="str">
        <f t="shared" si="1577"/>
        <v/>
      </c>
      <c r="AU676" s="342" t="e">
        <f t="shared" si="1578"/>
        <v>#N/A</v>
      </c>
      <c r="AV676" s="304" t="e">
        <f t="shared" si="1579"/>
        <v>#N/A</v>
      </c>
      <c r="AX676" s="304">
        <f>IF(AND('General price list'!$J676="F4",'General price list'!$AB676+0&gt;0),1,0)</f>
        <v>0</v>
      </c>
      <c r="AY676" s="304">
        <f t="shared" si="1580"/>
        <v>0</v>
      </c>
      <c r="AZ676" s="304">
        <f t="shared" si="1581"/>
        <v>0</v>
      </c>
    </row>
    <row r="677" spans="1:52" ht="15" customHeight="1">
      <c r="A677" s="712" t="str">
        <f>Kat.!C674</f>
        <v/>
      </c>
      <c r="B677" s="713">
        <f>IF(AND('General price list'!$J677="F4",$AI$1=FALSE),0,IF(AC677="SKLADEM",1,IF(AC677=$V$3,1,0)))</f>
        <v>0</v>
      </c>
      <c r="C677" s="714" t="s">
        <v>1481</v>
      </c>
      <c r="D677" s="715" t="s">
        <v>1476</v>
      </c>
      <c r="E677" s="716" t="s">
        <v>1077</v>
      </c>
      <c r="F677" s="712">
        <f>IFERROR(ROUND(IF($AL$3=2,VLOOKUP(C677,[2]List1!$A:$D,2,FALSE)*1.08,VLOOKUP(C677,[2]List1!$A:$D,2,FALSE)),0),"NEUVEDENO!")</f>
        <v>549</v>
      </c>
      <c r="G677" s="717">
        <f>(F677)*$B$19</f>
        <v>549</v>
      </c>
      <c r="H677" s="718">
        <f>G677/$F$19</f>
        <v>22.309002027721679</v>
      </c>
      <c r="I677" s="719">
        <v>6</v>
      </c>
      <c r="J677" s="716" t="s">
        <v>46</v>
      </c>
      <c r="K677" s="716" t="s">
        <v>14734</v>
      </c>
      <c r="L677" s="716" t="s">
        <v>14398</v>
      </c>
      <c r="M677" s="716" t="s">
        <v>25</v>
      </c>
      <c r="N677" s="716">
        <f>IFERROR(VLOOKUP(C677,[3]List1!$A:$D,4,FALSE),"N/A!")</f>
        <v>4.7651999999999993E-2</v>
      </c>
      <c r="O677" s="716">
        <f>IFERROR(VLOOKUP(C677,[3]List1!$A:$D,3,FALSE),"N/A!")</f>
        <v>2850</v>
      </c>
      <c r="P677" s="716">
        <f>IFERROR(VLOOKUP(C677,[3]List1!$A:$D,2,FALSE),"N/A!")</f>
        <v>17500</v>
      </c>
      <c r="Q677" s="716" t="s">
        <v>14222</v>
      </c>
      <c r="R677" s="716" t="s">
        <v>24</v>
      </c>
      <c r="S677" s="716" t="str">
        <f>IF($W$17=$AF$1,"design",IFERROR(VLOOKUP("design",Jazyky_ceník!$A:$Q,MATCH($W$17,Jazyky_ceník!$A$1:$Q$1,0),FALSE),"!!!"))</f>
        <v>design</v>
      </c>
      <c r="T677" s="716">
        <v>35</v>
      </c>
      <c r="U677" s="716">
        <v>40</v>
      </c>
      <c r="V677" s="716">
        <v>24</v>
      </c>
      <c r="W677" s="716" t="str">
        <f>IFERROR(VLOOKUP('General price list'!$C677,Popisy!A:P,MATCH($W$17,Popisy!$A$7:$P$7,0),FALSE),"---------------")</f>
        <v>brokátová koruna s fialovými konci</v>
      </c>
      <c r="X677" s="716" t="str">
        <f>IF(AB677&lt;0.0001,"",AB677)</f>
        <v/>
      </c>
      <c r="Y677" s="716" t="str">
        <f>IF($AL$3=2,IF(OR(AB677&lt;&gt;"",AB677&lt;&gt;0),AU677,""),IF(C677="","",IF(AB677&lt;0.0001,"",IF(B677=0,"",IF(AQ677&lt;AB677,"",AB677)))))</f>
        <v/>
      </c>
      <c r="Z677" s="716" t="str">
        <f>HYPERLINK("https://www.klasekpyrotechnics.cz/c253f14")</f>
        <v>https://www.klasekpyrotechnics.cz/c253f14</v>
      </c>
      <c r="AA677" s="716">
        <f>IFERROR(IF(VLOOKUP(C677,[4]List1!$A:$D,4,FALSE)=0,"",VLOOKUP(C677,[4]List1!$A:$D,4,FALSE)),"")</f>
        <v>28</v>
      </c>
      <c r="AB677" s="720"/>
      <c r="AC677" s="721" t="str">
        <f>IFERROR(IF(VLOOKUP(C677,[1]List1!$A:$D,2,FALSE)="VYPRODÁNO",$V$9,IF(VLOOKUP(C677,[1]List1!$A:$D,2,FALSE)="DOCHÁZÍ",$V$3,VLOOKUP(C677,[1]List1!$A:$D,2,FALSE))),"OFFLINE!")</f>
        <v>30.09.2024</v>
      </c>
      <c r="AD677" s="722" t="str">
        <f ca="1">IF(AP677="NE",$V$10,IF(AC677=$V$3,IF(AQ677&lt;1,$V$8,$V$2&amp;" "&amp;AQ677&amp;" "&amp;$V$1),IF(AC677="SKLADEM",$V$6,IFERROR(IF(OR(AC677-TODAY()&gt;45,VLOOKUP(C677,[1]List1!$A:$E,4,FALSE)=0),AC677,DAY(AC677)&amp;"."&amp;MONTH(AC677)&amp;"."&amp;YEAR(AC677)&amp;" "&amp;$V$4&amp;VLOOKUP(C677,[1]List1!$A:$E,4,FALSE)&amp;" "&amp;$V$1),AC677))))</f>
        <v>30.09.2024</v>
      </c>
      <c r="AE677" s="716" t="str">
        <f t="shared" ref="AE677" ca="1" si="1610">IFERROR(IF(AV677&lt;&gt;"",AV677,AD677),AD677)</f>
        <v>30.09.2024</v>
      </c>
      <c r="AF677" s="723">
        <f t="shared" ref="AF677" si="1611">IFERROR(IF(AB677=Y677,G677*I677*Y677,0),0)</f>
        <v>0</v>
      </c>
      <c r="AG677" s="723">
        <f t="shared" ref="AG677" si="1612">IF($W$17=$AF$8,AH677*1.23,AF677*1.21)</f>
        <v>0</v>
      </c>
      <c r="AH677" s="724">
        <f t="shared" ref="AH677" si="1613">IFERROR(IF(Y677=AB677,H677*I677*Y677,0),0)</f>
        <v>0</v>
      </c>
      <c r="AI677" s="716">
        <f t="shared" ref="AI677" si="1614">IFERROR(IF(Y677=AB677,(P677*Y677)/1000,1),0)</f>
        <v>0</v>
      </c>
      <c r="AJ677" s="716">
        <f t="shared" ref="AJ677" si="1615">IFERROR(IF(Y677=AB677,N677*Y677,0.1),0)</f>
        <v>0</v>
      </c>
      <c r="AK677" s="716" t="str">
        <f t="shared" ref="AK677" si="1616">IFERROR(IF(Y677=AB677,IF(M677="1.1G",(O677/1000)*Y677,""),""),0)</f>
        <v/>
      </c>
      <c r="AL677" s="716" t="str">
        <f t="shared" ref="AL677" si="1617">IFERROR(IF(Y677=AB677,IF(M677="1.3G",(O677/1000)*AB677,""),""),0)</f>
        <v/>
      </c>
      <c r="AM677" s="716">
        <f t="shared" ref="AM677" si="1618">IFERROR(IF(Y677=AB677,IF(M677="1.4G",(O677/1000)*AB677,""),""),0)</f>
        <v>0</v>
      </c>
      <c r="AN677" s="716">
        <f t="shared" ref="AN677" si="1619">SUM(AK677:AM677)</f>
        <v>0</v>
      </c>
      <c r="AO677" s="380"/>
      <c r="AP677" s="322" t="str">
        <f t="shared" si="1574"/>
        <v/>
      </c>
      <c r="AQ677" s="323" t="str">
        <f>IF(AC677=$V$3,IF(VLOOKUP(C677,[1]List1!$A:$E,5,FALSE)=0,1,VLOOKUP(C677,[1]List1!$A:$E,5,FALSE)),"")</f>
        <v/>
      </c>
      <c r="AR677" s="304" t="str">
        <f t="shared" si="1575"/>
        <v/>
      </c>
      <c r="AS677" s="423" t="str">
        <f t="shared" si="1576"/>
        <v/>
      </c>
      <c r="AT677" s="304" t="str">
        <f t="shared" si="1577"/>
        <v/>
      </c>
      <c r="AU677" s="342" t="e">
        <f t="shared" si="1578"/>
        <v>#N/A</v>
      </c>
      <c r="AV677" s="304" t="e">
        <f t="shared" si="1579"/>
        <v>#N/A</v>
      </c>
      <c r="AX677" s="304">
        <f>IF(AND('General price list'!$J677="F4",'General price list'!$AB677+0&gt;0),1,0)</f>
        <v>0</v>
      </c>
      <c r="AY677" s="304">
        <f t="shared" si="1580"/>
        <v>1</v>
      </c>
      <c r="AZ677" s="304">
        <f t="shared" si="1581"/>
        <v>0</v>
      </c>
    </row>
    <row r="678" spans="1:52" ht="15" customHeight="1">
      <c r="A678" s="773" t="str">
        <f>Kat.!C675</f>
        <v xml:space="preserve">                                                               Baterie 25ran, 30mm šikmý moždíř-1.4G</v>
      </c>
      <c r="B678" s="774"/>
      <c r="C678" s="774"/>
      <c r="D678" s="774"/>
      <c r="E678" s="774"/>
      <c r="F678" s="774"/>
      <c r="G678" s="774"/>
      <c r="H678" s="774"/>
      <c r="I678" s="774"/>
      <c r="J678" s="774"/>
      <c r="K678" s="774"/>
      <c r="L678" s="774"/>
      <c r="M678" s="774"/>
      <c r="N678" s="774"/>
      <c r="O678" s="774"/>
      <c r="P678" s="774"/>
      <c r="Q678" s="774"/>
      <c r="R678" s="774"/>
      <c r="S678" s="774"/>
      <c r="T678" s="774"/>
      <c r="U678" s="774"/>
      <c r="V678" s="774"/>
      <c r="W678" s="774"/>
      <c r="X678" s="774"/>
      <c r="Y678" s="774"/>
      <c r="Z678" s="774"/>
      <c r="AA678" s="774" t="str">
        <f>IFERROR(IF(VLOOKUP(C678,[4]List1!$A:$D,4,FALSE)=0,"",VLOOKUP(C678,[4]List1!$A:$D,4,FALSE)),"")</f>
        <v/>
      </c>
      <c r="AB678" s="774"/>
      <c r="AC678" s="775" t="str">
        <f>IFERROR(IF(VLOOKUP(C678,[1]List1!$A:$D,2,FALSE)="VYPRODÁNO",$V$9,IF(VLOOKUP(C678,[1]List1!$A:$D,2,FALSE)="DOCHÁZÍ",$V$3,VLOOKUP(C678,[1]List1!$A:$D,2,FALSE))),"OFFLINE!")</f>
        <v>OFFLINE!</v>
      </c>
      <c r="AD678" s="774"/>
      <c r="AE678" s="774"/>
      <c r="AF678" s="774"/>
      <c r="AG678" s="774"/>
      <c r="AH678" s="774"/>
      <c r="AI678" s="774"/>
      <c r="AJ678" s="774"/>
      <c r="AK678" s="774"/>
      <c r="AL678" s="774"/>
      <c r="AM678" s="774"/>
      <c r="AN678" s="774"/>
      <c r="AO678" s="380"/>
      <c r="AP678" s="322" t="str">
        <f t="shared" si="1574"/>
        <v/>
      </c>
      <c r="AQ678" s="323" t="str">
        <f>IF(AC678=$V$3,IF(VLOOKUP(C678,[1]List1!$A:$E,5,FALSE)=0,1,VLOOKUP(C678,[1]List1!$A:$E,5,FALSE)),"")</f>
        <v/>
      </c>
      <c r="AR678" s="304" t="str">
        <f t="shared" si="1575"/>
        <v/>
      </c>
      <c r="AS678" s="423" t="str">
        <f t="shared" si="1576"/>
        <v/>
      </c>
      <c r="AT678" s="304" t="str">
        <f t="shared" si="1577"/>
        <v/>
      </c>
      <c r="AU678" s="342" t="e">
        <f t="shared" si="1578"/>
        <v>#N/A</v>
      </c>
      <c r="AV678" s="304" t="e">
        <f t="shared" si="1579"/>
        <v>#N/A</v>
      </c>
      <c r="AX678" s="304">
        <f>IF(AND('General price list'!$J678="F4",'General price list'!$AB678+0&gt;0),1,0)</f>
        <v>0</v>
      </c>
      <c r="AY678" s="304">
        <f t="shared" si="1580"/>
        <v>0</v>
      </c>
      <c r="AZ678" s="304">
        <f t="shared" si="1581"/>
        <v>0</v>
      </c>
    </row>
    <row r="679" spans="1:52" ht="15" customHeight="1">
      <c r="A679" s="712" t="str">
        <f>Kat.!C676</f>
        <v/>
      </c>
      <c r="B679" s="713">
        <f>IF(AND('General price list'!$J679="F4",$AI$1=FALSE),0,IF(AC679="SKLADEM",1,IF(AC679=$V$3,1,0)))</f>
        <v>0</v>
      </c>
      <c r="C679" s="714" t="s">
        <v>1486</v>
      </c>
      <c r="D679" s="715" t="s">
        <v>1483</v>
      </c>
      <c r="E679" s="716" t="s">
        <v>1077</v>
      </c>
      <c r="F679" s="712">
        <f>IFERROR(ROUND(IF($AL$3=2,VLOOKUP(C679,[2]List1!$A:$D,2,FALSE)*1.08,VLOOKUP(C679,[2]List1!$A:$D,2,FALSE)),0),"NEUVEDENO!")</f>
        <v>639</v>
      </c>
      <c r="G679" s="717">
        <f t="shared" ref="G679:G681" si="1620">(F679)*$B$19</f>
        <v>639</v>
      </c>
      <c r="H679" s="718">
        <f t="shared" ref="H679:H681" si="1621">G679/$F$19</f>
        <v>25.966215474889168</v>
      </c>
      <c r="I679" s="719">
        <v>6</v>
      </c>
      <c r="J679" s="716" t="s">
        <v>46</v>
      </c>
      <c r="K679" s="716" t="s">
        <v>14734</v>
      </c>
      <c r="L679" s="716" t="s">
        <v>14399</v>
      </c>
      <c r="M679" s="716" t="s">
        <v>25</v>
      </c>
      <c r="N679" s="716">
        <f>IFERROR(VLOOKUP(C679,[3]List1!$A:$D,4,FALSE),"N/A!")</f>
        <v>8.3072000000000007E-2</v>
      </c>
      <c r="O679" s="716">
        <f>IFERROR(VLOOKUP(C679,[3]List1!$A:$D,3,FALSE),"N/A!")</f>
        <v>2850</v>
      </c>
      <c r="P679" s="716">
        <f>IFERROR(VLOOKUP(C679,[3]List1!$A:$D,2,FALSE),"N/A!")</f>
        <v>20000</v>
      </c>
      <c r="Q679" s="716" t="s">
        <v>14223</v>
      </c>
      <c r="R679" s="716" t="s">
        <v>24</v>
      </c>
      <c r="S679" s="716" t="str">
        <f>IF($W$17=$AF$1,"design",IFERROR(VLOOKUP("design",Jazyky_ceník!$A:$Q,MATCH($W$17,Jazyky_ceník!$A$1:$Q$1,0),FALSE),"!!!"))</f>
        <v>design</v>
      </c>
      <c r="T679" s="716">
        <v>35</v>
      </c>
      <c r="U679" s="716">
        <v>40</v>
      </c>
      <c r="V679" s="716">
        <v>24</v>
      </c>
      <c r="W679" s="716" t="str">
        <f>IFERROR(VLOOKUP('General price list'!$C679,Popisy!A:P,MATCH($W$17,Popisy!$A$7:$P$7,0),FALSE),"---------------")</f>
        <v>5 různobarevných efektu</v>
      </c>
      <c r="X679" s="716" t="str">
        <f t="shared" ref="X679:X681" si="1622">IF(AB679&lt;0.0001,"",AB679)</f>
        <v/>
      </c>
      <c r="Y679" s="716" t="str">
        <f t="shared" ref="Y679:Y681" si="1623">IF($AL$3=2,IF(OR(AB679&lt;&gt;"",AB679&lt;&gt;0),AU679,""),IF(C679="","",IF(AB679&lt;0.0001,"",IF(B679=0,"",IF(AQ679&lt;AB679,"",AB679)))))</f>
        <v/>
      </c>
      <c r="Z679" s="716" t="str">
        <f>HYPERLINK("https://www.klasekpyrotechnics.cz/cf253r14")</f>
        <v>https://www.klasekpyrotechnics.cz/cf253r14</v>
      </c>
      <c r="AA679" s="716">
        <f>IFERROR(IF(VLOOKUP(C679,[4]List1!$A:$D,4,FALSE)=0,"",VLOOKUP(C679,[4]List1!$A:$D,4,FALSE)),"")</f>
        <v>16</v>
      </c>
      <c r="AB679" s="720"/>
      <c r="AC679" s="721" t="str">
        <f>IFERROR(IF(VLOOKUP(C679,[1]List1!$A:$D,2,FALSE)="VYPRODÁNO",$V$9,IF(VLOOKUP(C679,[1]List1!$A:$D,2,FALSE)="DOCHÁZÍ",$V$3,VLOOKUP(C679,[1]List1!$A:$D,2,FALSE))),"OFFLINE!")</f>
        <v>15.05.2024</v>
      </c>
      <c r="AD679" s="722" t="str">
        <f ca="1">IF(AP679="NE",$V$10,IF(AC679=$V$3,IF(AQ679&lt;1,$V$8,$V$2&amp;" "&amp;AQ679&amp;" "&amp;$V$1),IF(AC679="SKLADEM",$V$6,IFERROR(IF(OR(AC679-TODAY()&gt;45,VLOOKUP(C679,[1]List1!$A:$E,4,FALSE)=0),AC679,DAY(AC679)&amp;"."&amp;MONTH(AC679)&amp;"."&amp;YEAR(AC679)&amp;" "&amp;$V$4&amp;VLOOKUP(C679,[1]List1!$A:$E,4,FALSE)&amp;" "&amp;$V$1),AC679))))</f>
        <v>15.05.2024</v>
      </c>
      <c r="AE679" s="716" t="str">
        <f t="shared" ref="AE679:AE681" ca="1" si="1624">IFERROR(IF(AV679&lt;&gt;"",AV679,AD679),AD679)</f>
        <v>15.05.2024</v>
      </c>
      <c r="AF679" s="723">
        <f t="shared" ref="AF679:AF681" si="1625">IFERROR(IF(AB679=Y679,G679*I679*Y679,0),0)</f>
        <v>0</v>
      </c>
      <c r="AG679" s="723">
        <f t="shared" ref="AG679:AG681" si="1626">IF($W$17=$AF$8,AH679*1.23,AF679*1.21)</f>
        <v>0</v>
      </c>
      <c r="AH679" s="724">
        <f t="shared" ref="AH679:AH681" si="1627">IFERROR(IF(Y679=AB679,H679*I679*Y679,0),0)</f>
        <v>0</v>
      </c>
      <c r="AI679" s="716">
        <f t="shared" ref="AI679:AI681" si="1628">IFERROR(IF(Y679=AB679,(P679*Y679)/1000,1),0)</f>
        <v>0</v>
      </c>
      <c r="AJ679" s="716">
        <f t="shared" ref="AJ679:AJ681" si="1629">IFERROR(IF(Y679=AB679,N679*Y679,0.1),0)</f>
        <v>0</v>
      </c>
      <c r="AK679" s="716" t="str">
        <f t="shared" ref="AK679:AK681" si="1630">IFERROR(IF(Y679=AB679,IF(M679="1.1G",(O679/1000)*Y679,""),""),0)</f>
        <v/>
      </c>
      <c r="AL679" s="716" t="str">
        <f t="shared" ref="AL679:AL681" si="1631">IFERROR(IF(Y679=AB679,IF(M679="1.3G",(O679/1000)*AB679,""),""),0)</f>
        <v/>
      </c>
      <c r="AM679" s="716">
        <f t="shared" ref="AM679:AM681" si="1632">IFERROR(IF(Y679=AB679,IF(M679="1.4G",(O679/1000)*AB679,""),""),0)</f>
        <v>0</v>
      </c>
      <c r="AN679" s="716">
        <f t="shared" ref="AN679:AN681" si="1633">SUM(AK679:AM679)</f>
        <v>0</v>
      </c>
      <c r="AO679" s="380"/>
      <c r="AP679" s="322" t="str">
        <f t="shared" si="1574"/>
        <v/>
      </c>
      <c r="AQ679" s="323" t="str">
        <f>IF(AC679=$V$3,IF(VLOOKUP(C679,[1]List1!$A:$E,5,FALSE)=0,1,VLOOKUP(C679,[1]List1!$A:$E,5,FALSE)),"")</f>
        <v/>
      </c>
      <c r="AR679" s="304" t="str">
        <f t="shared" si="1575"/>
        <v/>
      </c>
      <c r="AS679" s="423" t="str">
        <f t="shared" si="1576"/>
        <v/>
      </c>
      <c r="AT679" s="304" t="str">
        <f t="shared" si="1577"/>
        <v/>
      </c>
      <c r="AU679" s="342" t="e">
        <f t="shared" si="1578"/>
        <v>#N/A</v>
      </c>
      <c r="AV679" s="304" t="e">
        <f t="shared" si="1579"/>
        <v>#N/A</v>
      </c>
      <c r="AX679" s="304">
        <f>IF(AND('General price list'!$J679="F4",'General price list'!$AB679+0&gt;0),1,0)</f>
        <v>0</v>
      </c>
      <c r="AY679" s="304">
        <f t="shared" si="1580"/>
        <v>1</v>
      </c>
      <c r="AZ679" s="304">
        <f t="shared" si="1581"/>
        <v>0</v>
      </c>
    </row>
    <row r="680" spans="1:52" ht="15" customHeight="1">
      <c r="A680" s="725" t="str">
        <f>Kat.!C677</f>
        <v/>
      </c>
      <c r="B680" s="726">
        <f>IF(AND('General price list'!$J680="F4",$AI$1=FALSE),0,IF(AC680="SKLADEM",1,IF(AC680=$V$3,1,0)))</f>
        <v>0</v>
      </c>
      <c r="C680" s="727" t="s">
        <v>1487</v>
      </c>
      <c r="D680" s="728" t="s">
        <v>1484</v>
      </c>
      <c r="E680" s="729" t="s">
        <v>1077</v>
      </c>
      <c r="F680" s="725">
        <f>IFERROR(ROUND(IF($AL$3=2,VLOOKUP(C680,[2]List1!$A:$D,2,FALSE)*1.08,VLOOKUP(C680,[2]List1!$A:$D,2,FALSE)),0),"NEUVEDENO!")</f>
        <v>639</v>
      </c>
      <c r="G680" s="730">
        <f t="shared" si="1620"/>
        <v>639</v>
      </c>
      <c r="H680" s="731">
        <f t="shared" si="1621"/>
        <v>25.966215474889168</v>
      </c>
      <c r="I680" s="732">
        <v>6</v>
      </c>
      <c r="J680" s="729" t="s">
        <v>46</v>
      </c>
      <c r="K680" s="729" t="s">
        <v>14734</v>
      </c>
      <c r="L680" s="729" t="s">
        <v>14369</v>
      </c>
      <c r="M680" s="729" t="s">
        <v>25</v>
      </c>
      <c r="N680" s="729">
        <f>IFERROR(VLOOKUP(C680,[3]List1!$A:$D,4,FALSE),"N/A!")</f>
        <v>8.3072000000000007E-2</v>
      </c>
      <c r="O680" s="729">
        <f>IFERROR(VLOOKUP(C680,[3]List1!$A:$D,3,FALSE),"N/A!")</f>
        <v>2850</v>
      </c>
      <c r="P680" s="729">
        <f>IFERROR(VLOOKUP(C680,[3]List1!$A:$D,2,FALSE),"N/A!")</f>
        <v>20000</v>
      </c>
      <c r="Q680" s="729" t="s">
        <v>14223</v>
      </c>
      <c r="R680" s="729" t="s">
        <v>24</v>
      </c>
      <c r="S680" s="729" t="str">
        <f>IF($W$17=$AF$1,"design",IFERROR(VLOOKUP("design",Jazyky_ceník!$A:$Q,MATCH($W$17,Jazyky_ceník!$A$1:$Q$1,0),FALSE),"!!!"))</f>
        <v>design</v>
      </c>
      <c r="T680" s="729">
        <v>35</v>
      </c>
      <c r="U680" s="729">
        <v>40</v>
      </c>
      <c r="V680" s="729">
        <v>24</v>
      </c>
      <c r="W680" s="729" t="str">
        <f>IFERROR(VLOOKUP('General price list'!$C680,Popisy!A:P,MATCH($W$17,Popisy!$A$7:$P$7,0),FALSE),"---------------")</f>
        <v>5 různobarevných efektů měnících se po každé ráně</v>
      </c>
      <c r="X680" s="729" t="str">
        <f t="shared" si="1622"/>
        <v/>
      </c>
      <c r="Y680" s="729" t="str">
        <f t="shared" si="1623"/>
        <v/>
      </c>
      <c r="Z680" s="729" t="str">
        <f>HYPERLINK("https://www.klasekpyrotechnics.cz/cf253d14")</f>
        <v>https://www.klasekpyrotechnics.cz/cf253d14</v>
      </c>
      <c r="AA680" s="729">
        <f>IFERROR(IF(VLOOKUP(C680,[4]List1!$A:$D,4,FALSE)=0,"",VLOOKUP(C680,[4]List1!$A:$D,4,FALSE)),"")</f>
        <v>16</v>
      </c>
      <c r="AB680" s="720"/>
      <c r="AC680" s="733" t="str">
        <f>IFERROR(IF(VLOOKUP(C680,[1]List1!$A:$D,2,FALSE)="VYPRODÁNO",$V$9,IF(VLOOKUP(C680,[1]List1!$A:$D,2,FALSE)="DOCHÁZÍ",$V$3,VLOOKUP(C680,[1]List1!$A:$D,2,FALSE))),"OFFLINE!")</f>
        <v>15.05.2024</v>
      </c>
      <c r="AD680" s="734" t="str">
        <f ca="1">IF(AP680="NE",$V$10,IF(AC680=$V$3,IF(AQ680&lt;1,$V$8,$V$2&amp;" "&amp;AQ680&amp;" "&amp;$V$1),IF(AC680="SKLADEM",$V$6,IFERROR(IF(OR(AC680-TODAY()&gt;45,VLOOKUP(C680,[1]List1!$A:$E,4,FALSE)=0),AC680,DAY(AC680)&amp;"."&amp;MONTH(AC680)&amp;"."&amp;YEAR(AC680)&amp;" "&amp;$V$4&amp;VLOOKUP(C680,[1]List1!$A:$E,4,FALSE)&amp;" "&amp;$V$1),AC680))))</f>
        <v>15.05.2024</v>
      </c>
      <c r="AE680" s="729" t="str">
        <f t="shared" ca="1" si="1624"/>
        <v>15.05.2024</v>
      </c>
      <c r="AF680" s="735">
        <f t="shared" si="1625"/>
        <v>0</v>
      </c>
      <c r="AG680" s="735">
        <f t="shared" si="1626"/>
        <v>0</v>
      </c>
      <c r="AH680" s="736">
        <f t="shared" si="1627"/>
        <v>0</v>
      </c>
      <c r="AI680" s="729">
        <f t="shared" si="1628"/>
        <v>0</v>
      </c>
      <c r="AJ680" s="729">
        <f t="shared" si="1629"/>
        <v>0</v>
      </c>
      <c r="AK680" s="729" t="str">
        <f t="shared" si="1630"/>
        <v/>
      </c>
      <c r="AL680" s="729" t="str">
        <f t="shared" si="1631"/>
        <v/>
      </c>
      <c r="AM680" s="729">
        <f t="shared" si="1632"/>
        <v>0</v>
      </c>
      <c r="AN680" s="729">
        <f t="shared" si="1633"/>
        <v>0</v>
      </c>
      <c r="AO680" s="380"/>
      <c r="AP680" s="322" t="str">
        <f t="shared" si="1574"/>
        <v/>
      </c>
      <c r="AQ680" s="323" t="str">
        <f>IF(AC680=$V$3,IF(VLOOKUP(C680,[1]List1!$A:$E,5,FALSE)=0,1,VLOOKUP(C680,[1]List1!$A:$E,5,FALSE)),"")</f>
        <v/>
      </c>
      <c r="AR680" s="304" t="str">
        <f t="shared" si="1575"/>
        <v/>
      </c>
      <c r="AS680" s="423" t="str">
        <f t="shared" si="1576"/>
        <v/>
      </c>
      <c r="AT680" s="304" t="str">
        <f t="shared" si="1577"/>
        <v/>
      </c>
      <c r="AU680" s="342" t="e">
        <f t="shared" si="1578"/>
        <v>#N/A</v>
      </c>
      <c r="AV680" s="304" t="e">
        <f t="shared" si="1579"/>
        <v>#N/A</v>
      </c>
      <c r="AX680" s="304">
        <f>IF(AND('General price list'!$J680="F4",'General price list'!$AB680+0&gt;0),1,0)</f>
        <v>0</v>
      </c>
      <c r="AY680" s="304">
        <f t="shared" si="1580"/>
        <v>1</v>
      </c>
      <c r="AZ680" s="304">
        <f t="shared" si="1581"/>
        <v>0</v>
      </c>
    </row>
    <row r="681" spans="1:52" ht="15" customHeight="1">
      <c r="A681" s="712" t="str">
        <f>Kat.!C678</f>
        <v/>
      </c>
      <c r="B681" s="737">
        <f>IF(AND('General price list'!$J681="F4",$AI$1=FALSE),0,IF(AC681="SKLADEM",1,IF(AC681=$V$3,1,0)))</f>
        <v>0</v>
      </c>
      <c r="C681" s="714" t="s">
        <v>1488</v>
      </c>
      <c r="D681" s="715" t="s">
        <v>1485</v>
      </c>
      <c r="E681" s="716" t="s">
        <v>1077</v>
      </c>
      <c r="F681" s="712">
        <f>IFERROR(ROUND(IF($AL$3=2,VLOOKUP(C681,[2]List1!$A:$D,2,FALSE)*1.08,VLOOKUP(C681,[2]List1!$A:$D,2,FALSE)),0),"NEUVEDENO!")</f>
        <v>639</v>
      </c>
      <c r="G681" s="717">
        <f t="shared" si="1620"/>
        <v>639</v>
      </c>
      <c r="H681" s="718">
        <f t="shared" si="1621"/>
        <v>25.966215474889168</v>
      </c>
      <c r="I681" s="738">
        <v>6</v>
      </c>
      <c r="J681" s="716" t="s">
        <v>46</v>
      </c>
      <c r="K681" s="716" t="s">
        <v>14734</v>
      </c>
      <c r="L681" s="716" t="s">
        <v>14399</v>
      </c>
      <c r="M681" s="716" t="s">
        <v>25</v>
      </c>
      <c r="N681" s="716">
        <f>IFERROR(VLOOKUP(C681,[3]List1!$A:$D,4,FALSE),"N/A!")</f>
        <v>8.3072000000000007E-2</v>
      </c>
      <c r="O681" s="716">
        <f>IFERROR(VLOOKUP(C681,[3]List1!$A:$D,3,FALSE),"N/A!")</f>
        <v>2850</v>
      </c>
      <c r="P681" s="716">
        <f>IFERROR(VLOOKUP(C681,[3]List1!$A:$D,2,FALSE),"N/A!")</f>
        <v>20000</v>
      </c>
      <c r="Q681" s="716" t="s">
        <v>14223</v>
      </c>
      <c r="R681" s="716" t="s">
        <v>24</v>
      </c>
      <c r="S681" s="716" t="str">
        <f>IF($W$17=$AF$1,"design",IFERROR(VLOOKUP("design",Jazyky_ceník!$A:$Q,MATCH($W$17,Jazyky_ceník!$A$1:$Q$1,0),FALSE),"!!!"))</f>
        <v>design</v>
      </c>
      <c r="T681" s="716">
        <v>35</v>
      </c>
      <c r="U681" s="716">
        <v>40</v>
      </c>
      <c r="V681" s="716">
        <v>24</v>
      </c>
      <c r="W681" s="716" t="str">
        <f>IFERROR(VLOOKUP('General price list'!$C681,Popisy!A:P,MATCH($W$17,Popisy!$A$7:$P$7,0),FALSE),"---------------")</f>
        <v>5 různobarevných efektu</v>
      </c>
      <c r="X681" s="716" t="str">
        <f t="shared" si="1622"/>
        <v/>
      </c>
      <c r="Y681" s="716" t="str">
        <f t="shared" si="1623"/>
        <v/>
      </c>
      <c r="Z681" s="716" t="str">
        <f>HYPERLINK("https://www.klasekpyrotechnics.cz/cf253k14")</f>
        <v>https://www.klasekpyrotechnics.cz/cf253k14</v>
      </c>
      <c r="AA681" s="716">
        <f>IFERROR(IF(VLOOKUP(C681,[4]List1!$A:$D,4,FALSE)=0,"",VLOOKUP(C681,[4]List1!$A:$D,4,FALSE)),"")</f>
        <v>16</v>
      </c>
      <c r="AB681" s="720"/>
      <c r="AC681" s="739" t="str">
        <f>IFERROR(IF(VLOOKUP(C681,[1]List1!$A:$D,2,FALSE)="VYPRODÁNO",$V$9,IF(VLOOKUP(C681,[1]List1!$A:$D,2,FALSE)="DOCHÁZÍ",$V$3,VLOOKUP(C681,[1]List1!$A:$D,2,FALSE))),"OFFLINE!")</f>
        <v>15.05.2024</v>
      </c>
      <c r="AD681" s="740" t="str">
        <f ca="1">IF(AP681="NE",$V$10,IF(AC681=$V$3,IF(AQ681&lt;1,$V$8,$V$2&amp;" "&amp;AQ681&amp;" "&amp;$V$1),IF(AC681="SKLADEM",$V$6,IFERROR(IF(OR(AC681-TODAY()&gt;45,VLOOKUP(C681,[1]List1!$A:$E,4,FALSE)=0),AC681,DAY(AC681)&amp;"."&amp;MONTH(AC681)&amp;"."&amp;YEAR(AC681)&amp;" "&amp;$V$4&amp;VLOOKUP(C681,[1]List1!$A:$E,4,FALSE)&amp;" "&amp;$V$1),AC681))))</f>
        <v>15.05.2024</v>
      </c>
      <c r="AE681" s="716" t="str">
        <f t="shared" ca="1" si="1624"/>
        <v>15.05.2024</v>
      </c>
      <c r="AF681" s="723">
        <f t="shared" si="1625"/>
        <v>0</v>
      </c>
      <c r="AG681" s="723">
        <f t="shared" si="1626"/>
        <v>0</v>
      </c>
      <c r="AH681" s="724">
        <f t="shared" si="1627"/>
        <v>0</v>
      </c>
      <c r="AI681" s="716">
        <f t="shared" si="1628"/>
        <v>0</v>
      </c>
      <c r="AJ681" s="716">
        <f t="shared" si="1629"/>
        <v>0</v>
      </c>
      <c r="AK681" s="716" t="str">
        <f t="shared" si="1630"/>
        <v/>
      </c>
      <c r="AL681" s="716" t="str">
        <f t="shared" si="1631"/>
        <v/>
      </c>
      <c r="AM681" s="716">
        <f t="shared" si="1632"/>
        <v>0</v>
      </c>
      <c r="AN681" s="716">
        <f t="shared" si="1633"/>
        <v>0</v>
      </c>
      <c r="AO681" s="380"/>
      <c r="AP681" s="322" t="str">
        <f t="shared" si="1574"/>
        <v/>
      </c>
      <c r="AQ681" s="323" t="str">
        <f>IF(AC681=$V$3,IF(VLOOKUP(C681,[1]List1!$A:$E,5,FALSE)=0,1,VLOOKUP(C681,[1]List1!$A:$E,5,FALSE)),"")</f>
        <v/>
      </c>
      <c r="AR681" s="304" t="str">
        <f t="shared" si="1575"/>
        <v/>
      </c>
      <c r="AS681" s="423" t="str">
        <f t="shared" si="1576"/>
        <v/>
      </c>
      <c r="AT681" s="304" t="str">
        <f t="shared" si="1577"/>
        <v/>
      </c>
      <c r="AU681" s="342" t="e">
        <f t="shared" si="1578"/>
        <v>#N/A</v>
      </c>
      <c r="AV681" s="304" t="e">
        <f t="shared" si="1579"/>
        <v>#N/A</v>
      </c>
      <c r="AX681" s="304">
        <f>IF(AND('General price list'!$J681="F4",'General price list'!$AB681+0&gt;0),1,0)</f>
        <v>0</v>
      </c>
      <c r="AY681" s="304">
        <f t="shared" si="1580"/>
        <v>1</v>
      </c>
      <c r="AZ681" s="304">
        <f t="shared" si="1581"/>
        <v>0</v>
      </c>
    </row>
    <row r="682" spans="1:52" ht="15" customHeight="1">
      <c r="A682" s="773" t="str">
        <f>Kat.!C679</f>
        <v xml:space="preserve">                                                               Baterie 36ran, 30mm moždíř-1.3G</v>
      </c>
      <c r="B682" s="774"/>
      <c r="C682" s="774"/>
      <c r="D682" s="774"/>
      <c r="E682" s="774"/>
      <c r="F682" s="774"/>
      <c r="G682" s="774"/>
      <c r="H682" s="774"/>
      <c r="I682" s="774"/>
      <c r="J682" s="774"/>
      <c r="K682" s="774"/>
      <c r="L682" s="774"/>
      <c r="M682" s="774"/>
      <c r="N682" s="774"/>
      <c r="O682" s="774"/>
      <c r="P682" s="774"/>
      <c r="Q682" s="774"/>
      <c r="R682" s="774"/>
      <c r="S682" s="774"/>
      <c r="T682" s="774"/>
      <c r="U682" s="774"/>
      <c r="V682" s="774"/>
      <c r="W682" s="774"/>
      <c r="X682" s="774"/>
      <c r="Y682" s="774"/>
      <c r="Z682" s="774"/>
      <c r="AA682" s="774" t="str">
        <f>IFERROR(IF(VLOOKUP(C682,[4]List1!$A:$D,4,FALSE)=0,"",VLOOKUP(C682,[4]List1!$A:$D,4,FALSE)),"")</f>
        <v/>
      </c>
      <c r="AB682" s="774"/>
      <c r="AC682" s="775" t="str">
        <f>IFERROR(IF(VLOOKUP(C682,[1]List1!$A:$D,2,FALSE)="VYPRODÁNO",$V$9,IF(VLOOKUP(C682,[1]List1!$A:$D,2,FALSE)="DOCHÁZÍ",$V$3,VLOOKUP(C682,[1]List1!$A:$D,2,FALSE))),"OFFLINE!")</f>
        <v>OFFLINE!</v>
      </c>
      <c r="AD682" s="774"/>
      <c r="AE682" s="774"/>
      <c r="AF682" s="774"/>
      <c r="AG682" s="774"/>
      <c r="AH682" s="774"/>
      <c r="AI682" s="774"/>
      <c r="AJ682" s="774"/>
      <c r="AK682" s="774"/>
      <c r="AL682" s="774"/>
      <c r="AM682" s="774"/>
      <c r="AN682" s="774"/>
      <c r="AO682" s="380"/>
      <c r="AP682" s="322" t="str">
        <f t="shared" si="1574"/>
        <v/>
      </c>
      <c r="AQ682" s="323" t="str">
        <f>IF(AC682=$V$3,IF(VLOOKUP(C682,[1]List1!$A:$E,5,FALSE)=0,1,VLOOKUP(C682,[1]List1!$A:$E,5,FALSE)),"")</f>
        <v/>
      </c>
      <c r="AR682" s="304" t="str">
        <f t="shared" si="1575"/>
        <v/>
      </c>
      <c r="AS682" s="423" t="str">
        <f t="shared" si="1576"/>
        <v/>
      </c>
      <c r="AT682" s="304" t="str">
        <f t="shared" si="1577"/>
        <v/>
      </c>
      <c r="AU682" s="342" t="e">
        <f t="shared" si="1578"/>
        <v>#N/A</v>
      </c>
      <c r="AV682" s="304" t="e">
        <f t="shared" si="1579"/>
        <v>#N/A</v>
      </c>
      <c r="AX682" s="304">
        <f>IF(AND('General price list'!$J682="F4",'General price list'!$AB682+0&gt;0),1,0)</f>
        <v>0</v>
      </c>
      <c r="AY682" s="304">
        <f t="shared" si="1580"/>
        <v>0</v>
      </c>
      <c r="AZ682" s="304">
        <f t="shared" si="1581"/>
        <v>0</v>
      </c>
    </row>
    <row r="683" spans="1:52" ht="15" customHeight="1">
      <c r="A683" s="712" t="str">
        <f>Kat.!C680</f>
        <v/>
      </c>
      <c r="B683" s="713">
        <f>IF(AND('General price list'!$J683="F4",$AI$1=FALSE),0,IF(AC683="SKLADEM",1,IF(AC683=$V$3,1,0)))</f>
        <v>1</v>
      </c>
      <c r="C683" s="714" t="s">
        <v>1496</v>
      </c>
      <c r="D683" s="715" t="s">
        <v>14601</v>
      </c>
      <c r="E683" s="716" t="s">
        <v>1074</v>
      </c>
      <c r="F683" s="712">
        <f>IFERROR(ROUND(IF($AL$3=2,VLOOKUP(C683,[2]List1!$A:$D,2,FALSE)*1.08,VLOOKUP(C683,[2]List1!$A:$D,2,FALSE)),0),"NEUVEDENO!")</f>
        <v>759</v>
      </c>
      <c r="G683" s="717">
        <f t="shared" ref="G683:G686" si="1634">(F683)*$B$19</f>
        <v>759</v>
      </c>
      <c r="H683" s="718">
        <f t="shared" ref="H683:H686" si="1635">G683/$F$19</f>
        <v>30.842500071112486</v>
      </c>
      <c r="I683" s="719">
        <v>4</v>
      </c>
      <c r="J683" s="716" t="s">
        <v>137</v>
      </c>
      <c r="K683" s="716" t="s">
        <v>14734</v>
      </c>
      <c r="L683" s="716" t="s">
        <v>24</v>
      </c>
      <c r="M683" s="716" t="s">
        <v>138</v>
      </c>
      <c r="N683" s="716">
        <f>IFERROR(VLOOKUP(C683,[3]List1!$A:$D,4,FALSE),"N/A!")</f>
        <v>5.0721125000000006E-2</v>
      </c>
      <c r="O683" s="716">
        <f>IFERROR(VLOOKUP(C683,[3]List1!$A:$D,3,FALSE),"N/A!")</f>
        <v>2736</v>
      </c>
      <c r="P683" s="716">
        <f>IFERROR(VLOOKUP(C683,[3]List1!$A:$D,2,FALSE),"N/A!")</f>
        <v>18000</v>
      </c>
      <c r="Q683" s="716" t="s">
        <v>14224</v>
      </c>
      <c r="R683" s="716" t="s">
        <v>24</v>
      </c>
      <c r="S683" s="716" t="str">
        <f>IF($W$17=$AF$1,"design",IFERROR(VLOOKUP("design",Jazyky_ceník!$A:$Q,MATCH($W$17,Jazyky_ceník!$A$1:$Q$1,0),FALSE),"!!!"))</f>
        <v>design</v>
      </c>
      <c r="T683" s="716">
        <v>45</v>
      </c>
      <c r="U683" s="716">
        <v>40</v>
      </c>
      <c r="V683" s="716">
        <v>29</v>
      </c>
      <c r="W683" s="716" t="str">
        <f>IFERROR(VLOOKUP('General price list'!$C683,Popisy!A:P,MATCH($W$17,Popisy!$A$7:$P$7,0),FALSE),"---------------")</f>
        <v>6 různobarevných efektu</v>
      </c>
      <c r="X683" s="716" t="str">
        <f t="shared" ref="X683:X686" si="1636">IF(AB683&lt;0.0001,"",AB683)</f>
        <v/>
      </c>
      <c r="Y683" s="716" t="str">
        <f t="shared" ref="Y683:Y686" si="1637">IF($AL$3=2,IF(OR(AB683&lt;&gt;"",AB683&lt;&gt;0),AU683,""),IF(C683="","",IF(AB683&lt;0.0001,"",IF(B683=0,"",IF(AQ683&lt;AB683,"",AB683)))))</f>
        <v/>
      </c>
      <c r="Z683" s="716" t="str">
        <f>HYPERLINK("https://www.klasekpyrotechnics.cz/c363bpf")</f>
        <v>https://www.klasekpyrotechnics.cz/c363bpf</v>
      </c>
      <c r="AA683" s="716">
        <f>IFERROR(IF(VLOOKUP(C683,[4]List1!$A:$D,4,FALSE)=0,"",VLOOKUP(C683,[4]List1!$A:$D,4,FALSE)),"")</f>
        <v>14</v>
      </c>
      <c r="AB683" s="720"/>
      <c r="AC683" s="721" t="str">
        <f>IFERROR(IF(VLOOKUP(C683,[1]List1!$A:$D,2,FALSE)="VYPRODÁNO",$V$9,IF(VLOOKUP(C683,[1]List1!$A:$D,2,FALSE)="DOCHÁZÍ",$V$3,VLOOKUP(C683,[1]List1!$A:$D,2,FALSE))),"OFFLINE!")</f>
        <v>SKLADEM</v>
      </c>
      <c r="AD683" s="722" t="str">
        <f ca="1">IF(AP683="NE",$V$10,IF(AC683=$V$3,IF(AQ683&lt;1,$V$8,$V$2&amp;" "&amp;AQ683&amp;" "&amp;$V$1),IF(AC683="SKLADEM",$V$6,IFERROR(IF(OR(AC683-TODAY()&gt;45,VLOOKUP(C683,[1]List1!$A:$E,4,FALSE)=0),AC683,DAY(AC683)&amp;"."&amp;MONTH(AC683)&amp;"."&amp;YEAR(AC683)&amp;" "&amp;$V$4&amp;VLOOKUP(C683,[1]List1!$A:$E,4,FALSE)&amp;" "&amp;$V$1),AC683))))</f>
        <v>SKLADEM</v>
      </c>
      <c r="AE683" s="716" t="str">
        <f t="shared" ref="AE683:AE686" ca="1" si="1638">IFERROR(IF(AV683&lt;&gt;"",AV683,AD683),AD683)</f>
        <v>SKLADEM</v>
      </c>
      <c r="AF683" s="723">
        <f t="shared" ref="AF683:AF686" si="1639">IFERROR(IF(AB683=Y683,G683*I683*Y683,0),0)</f>
        <v>0</v>
      </c>
      <c r="AG683" s="723">
        <f t="shared" ref="AG683:AG686" si="1640">IF($W$17=$AF$8,AH683*1.23,AF683*1.21)</f>
        <v>0</v>
      </c>
      <c r="AH683" s="724">
        <f t="shared" ref="AH683:AH686" si="1641">IFERROR(IF(Y683=AB683,H683*I683*Y683,0),0)</f>
        <v>0</v>
      </c>
      <c r="AI683" s="716">
        <f t="shared" ref="AI683:AI686" si="1642">IFERROR(IF(Y683=AB683,(P683*Y683)/1000,1),0)</f>
        <v>0</v>
      </c>
      <c r="AJ683" s="716">
        <f t="shared" ref="AJ683:AJ686" si="1643">IFERROR(IF(Y683=AB683,N683*Y683,0.1),0)</f>
        <v>0</v>
      </c>
      <c r="AK683" s="716" t="str">
        <f t="shared" ref="AK683:AK686" si="1644">IFERROR(IF(Y683=AB683,IF(M683="1.1G",(O683/1000)*Y683,""),""),0)</f>
        <v/>
      </c>
      <c r="AL683" s="716">
        <f t="shared" ref="AL683:AL686" si="1645">IFERROR(IF(Y683=AB683,IF(M683="1.3G",(O683/1000)*AB683,""),""),0)</f>
        <v>0</v>
      </c>
      <c r="AM683" s="716" t="str">
        <f t="shared" ref="AM683:AM686" si="1646">IFERROR(IF(Y683=AB683,IF(M683="1.4G",(O683/1000)*AB683,""),""),0)</f>
        <v/>
      </c>
      <c r="AN683" s="716">
        <f t="shared" ref="AN683:AN686" si="1647">SUM(AK683:AM683)</f>
        <v>0</v>
      </c>
      <c r="AO683" s="380"/>
      <c r="AP683" s="322" t="str">
        <f t="shared" si="1574"/>
        <v/>
      </c>
      <c r="AQ683" s="323" t="str">
        <f>IF(AC683=$V$3,IF(VLOOKUP(C683,[1]List1!$A:$E,5,FALSE)=0,1,VLOOKUP(C683,[1]List1!$A:$E,5,FALSE)),"")</f>
        <v/>
      </c>
      <c r="AR683" s="304" t="str">
        <f t="shared" si="1575"/>
        <v/>
      </c>
      <c r="AS683" s="423" t="str">
        <f t="shared" si="1576"/>
        <v/>
      </c>
      <c r="AT683" s="304" t="str">
        <f t="shared" si="1577"/>
        <v/>
      </c>
      <c r="AU683" s="342" t="e">
        <f t="shared" si="1578"/>
        <v>#N/A</v>
      </c>
      <c r="AV683" s="304" t="e">
        <f t="shared" si="1579"/>
        <v>#N/A</v>
      </c>
      <c r="AX683" s="304">
        <f>IF(AND('General price list'!$J683="F4",'General price list'!$AB683+0&gt;0),1,0)</f>
        <v>0</v>
      </c>
      <c r="AY683" s="304">
        <f t="shared" si="1580"/>
        <v>1</v>
      </c>
      <c r="AZ683" s="304">
        <f t="shared" si="1581"/>
        <v>0</v>
      </c>
    </row>
    <row r="684" spans="1:52" ht="15" customHeight="1">
      <c r="A684" s="725" t="str">
        <f>Kat.!C681</f>
        <v/>
      </c>
      <c r="B684" s="726">
        <f>IF(AND('General price list'!$J684="F4",$AI$1=FALSE),0,IF(AC684="SKLADEM",1,IF(AC684=$V$3,1,0)))</f>
        <v>1</v>
      </c>
      <c r="C684" s="727" t="s">
        <v>1497</v>
      </c>
      <c r="D684" s="728" t="s">
        <v>1490</v>
      </c>
      <c r="E684" s="729" t="s">
        <v>1074</v>
      </c>
      <c r="F684" s="725">
        <f>IFERROR(ROUND(IF($AL$3=2,VLOOKUP(C684,[2]List1!$A:$D,2,FALSE)*1.08,VLOOKUP(C684,[2]List1!$A:$D,2,FALSE)),0),"NEUVEDENO!")</f>
        <v>769</v>
      </c>
      <c r="G684" s="730">
        <f t="shared" si="1634"/>
        <v>769</v>
      </c>
      <c r="H684" s="731">
        <f t="shared" si="1635"/>
        <v>31.248857120797762</v>
      </c>
      <c r="I684" s="732">
        <v>4</v>
      </c>
      <c r="J684" s="729" t="s">
        <v>137</v>
      </c>
      <c r="K684" s="729" t="s">
        <v>14734</v>
      </c>
      <c r="L684" s="729" t="s">
        <v>14393</v>
      </c>
      <c r="M684" s="729" t="s">
        <v>138</v>
      </c>
      <c r="N684" s="729">
        <f>IFERROR(VLOOKUP(C684,[3]List1!$A:$D,4,FALSE),"N/A!")</f>
        <v>5.0721125000000006E-2</v>
      </c>
      <c r="O684" s="729">
        <f>IFERROR(VLOOKUP(C684,[3]List1!$A:$D,3,FALSE),"N/A!")</f>
        <v>2736</v>
      </c>
      <c r="P684" s="729">
        <f>IFERROR(VLOOKUP(C684,[3]List1!$A:$D,2,FALSE),"N/A!")</f>
        <v>18000</v>
      </c>
      <c r="Q684" s="729" t="s">
        <v>14225</v>
      </c>
      <c r="R684" s="729" t="s">
        <v>24</v>
      </c>
      <c r="S684" s="729" t="str">
        <f>IF($W$17=$AF$1,"červená fólie",IFERROR(VLOOKUP("červená fólie",Jazyky_ceník!$A:$Q,MATCH($W$17,Jazyky_ceník!$A$1:$Q$1,0),FALSE),"!!!"))</f>
        <v>červená fólie</v>
      </c>
      <c r="T684" s="729">
        <v>40</v>
      </c>
      <c r="U684" s="729">
        <v>40</v>
      </c>
      <c r="V684" s="729">
        <v>30</v>
      </c>
      <c r="W684" s="729" t="str">
        <f>IFERROR(VLOOKUP('General price list'!$C684,Popisy!A:P,MATCH($W$17,Popisy!$A$7:$P$7,0),FALSE),"---------------")</f>
        <v>6 různobarevných efektů měnících se po každé ráně</v>
      </c>
      <c r="X684" s="729" t="str">
        <f t="shared" si="1636"/>
        <v/>
      </c>
      <c r="Y684" s="729" t="str">
        <f t="shared" si="1637"/>
        <v/>
      </c>
      <c r="Z684" s="729" t="str">
        <f>HYPERLINK("https://www.klasekpyrotechnics.cz/c363pl")</f>
        <v>https://www.klasekpyrotechnics.cz/c363pl</v>
      </c>
      <c r="AA684" s="729">
        <f>IFERROR(IF(VLOOKUP(C684,[4]List1!$A:$D,4,FALSE)=0,"",VLOOKUP(C684,[4]List1!$A:$D,4,FALSE)),"")</f>
        <v>14</v>
      </c>
      <c r="AB684" s="720"/>
      <c r="AC684" s="733" t="str">
        <f>IFERROR(IF(VLOOKUP(C684,[1]List1!$A:$D,2,FALSE)="VYPRODÁNO",$V$9,IF(VLOOKUP(C684,[1]List1!$A:$D,2,FALSE)="DOCHÁZÍ",$V$3,VLOOKUP(C684,[1]List1!$A:$D,2,FALSE))),"OFFLINE!")</f>
        <v>DOCHÁZÍ</v>
      </c>
      <c r="AD684" s="734" t="str">
        <f ca="1">IF(AP684="NE",$V$10,IF(AC684=$V$3,IF(AQ684&lt;1,$V$8,$V$2&amp;" "&amp;AQ684&amp;" "&amp;$V$1),IF(AC684="SKLADEM",$V$6,IFERROR(IF(OR(AC684-TODAY()&gt;45,VLOOKUP(C684,[1]List1!$A:$E,4,FALSE)=0),AC684,DAY(AC684)&amp;"."&amp;MONTH(AC684)&amp;"."&amp;YEAR(AC684)&amp;" "&amp;$V$4&amp;VLOOKUP(C684,[1]List1!$A:$E,4,FALSE)&amp;" "&amp;$V$1),AC684))))</f>
        <v>POSLEDNÍCH 29 VK</v>
      </c>
      <c r="AE684" s="729" t="str">
        <f t="shared" ca="1" si="1638"/>
        <v>POSLEDNÍCH 29 VK</v>
      </c>
      <c r="AF684" s="735">
        <f t="shared" si="1639"/>
        <v>0</v>
      </c>
      <c r="AG684" s="735">
        <f t="shared" si="1640"/>
        <v>0</v>
      </c>
      <c r="AH684" s="736">
        <f t="shared" si="1641"/>
        <v>0</v>
      </c>
      <c r="AI684" s="729">
        <f t="shared" si="1642"/>
        <v>0</v>
      </c>
      <c r="AJ684" s="729">
        <f t="shared" si="1643"/>
        <v>0</v>
      </c>
      <c r="AK684" s="729" t="str">
        <f t="shared" si="1644"/>
        <v/>
      </c>
      <c r="AL684" s="729">
        <f t="shared" si="1645"/>
        <v>0</v>
      </c>
      <c r="AM684" s="729" t="str">
        <f t="shared" si="1646"/>
        <v/>
      </c>
      <c r="AN684" s="729">
        <f t="shared" si="1647"/>
        <v>0</v>
      </c>
      <c r="AO684" s="380"/>
      <c r="AP684" s="322" t="str">
        <f t="shared" si="1574"/>
        <v/>
      </c>
      <c r="AQ684" s="323">
        <f>IF(AC684=$V$3,IF(VLOOKUP(C684,[1]List1!$A:$E,5,FALSE)=0,1,VLOOKUP(C684,[1]List1!$A:$E,5,FALSE)),"")</f>
        <v>29</v>
      </c>
      <c r="AR684" s="304" t="str">
        <f t="shared" si="1575"/>
        <v/>
      </c>
      <c r="AS684" s="423" t="str">
        <f t="shared" si="1576"/>
        <v/>
      </c>
      <c r="AT684" s="304" t="str">
        <f t="shared" si="1577"/>
        <v/>
      </c>
      <c r="AU684" s="342" t="e">
        <f t="shared" si="1578"/>
        <v>#N/A</v>
      </c>
      <c r="AV684" s="304" t="e">
        <f t="shared" si="1579"/>
        <v>#N/A</v>
      </c>
      <c r="AX684" s="304">
        <f>IF(AND('General price list'!$J684="F4",'General price list'!$AB684+0&gt;0),1,0)</f>
        <v>0</v>
      </c>
      <c r="AY684" s="304">
        <f t="shared" si="1580"/>
        <v>1</v>
      </c>
      <c r="AZ684" s="304">
        <f t="shared" si="1581"/>
        <v>0</v>
      </c>
    </row>
    <row r="685" spans="1:52" ht="15" customHeight="1">
      <c r="A685" s="712" t="str">
        <f>Kat.!C682</f>
        <v/>
      </c>
      <c r="B685" s="737">
        <f>IF(AND('General price list'!$J685="F4",$AI$1=FALSE),0,IF(AC685="SKLADEM",1,IF(AC685=$V$3,1,0)))</f>
        <v>0</v>
      </c>
      <c r="C685" s="714" t="s">
        <v>1498</v>
      </c>
      <c r="D685" s="715" t="s">
        <v>1493</v>
      </c>
      <c r="E685" s="716" t="s">
        <v>1074</v>
      </c>
      <c r="F685" s="712">
        <f>IFERROR(ROUND(IF($AL$3=2,VLOOKUP(C685,[2]List1!$A:$D,2,FALSE)*1.08,VLOOKUP(C685,[2]List1!$A:$D,2,FALSE)),0),"NEUVEDENO!")</f>
        <v>769</v>
      </c>
      <c r="G685" s="717">
        <f t="shared" si="1634"/>
        <v>769</v>
      </c>
      <c r="H685" s="718">
        <f t="shared" si="1635"/>
        <v>31.248857120797762</v>
      </c>
      <c r="I685" s="738">
        <v>4</v>
      </c>
      <c r="J685" s="716" t="s">
        <v>137</v>
      </c>
      <c r="K685" s="716" t="s">
        <v>14734</v>
      </c>
      <c r="L685" s="716" t="s">
        <v>24</v>
      </c>
      <c r="M685" s="716" t="s">
        <v>138</v>
      </c>
      <c r="N685" s="716">
        <f>IFERROR(VLOOKUP(C685,[3]List1!$A:$D,4,FALSE),"N/A!")</f>
        <v>5.0721125000000006E-2</v>
      </c>
      <c r="O685" s="716">
        <f>IFERROR(VLOOKUP(C685,[3]List1!$A:$D,3,FALSE),"N/A!")</f>
        <v>2736</v>
      </c>
      <c r="P685" s="716">
        <f>IFERROR(VLOOKUP(C685,[3]List1!$A:$D,2,FALSE),"N/A!")</f>
        <v>18000</v>
      </c>
      <c r="Q685" s="716" t="s">
        <v>14340</v>
      </c>
      <c r="R685" s="716" t="s">
        <v>24</v>
      </c>
      <c r="S685" s="716" t="str">
        <f>IF($W$17=$AF$1,"červená fólie",IFERROR(VLOOKUP("červená fólie",Jazyky_ceník!$A:$Q,MATCH($W$17,Jazyky_ceník!$A$1:$Q$1,0),FALSE),"!!!"))</f>
        <v>červená fólie</v>
      </c>
      <c r="T685" s="716">
        <v>45</v>
      </c>
      <c r="U685" s="716">
        <v>40</v>
      </c>
      <c r="V685" s="716">
        <v>30</v>
      </c>
      <c r="W685" s="716" t="str">
        <f>IFERROR(VLOOKUP('General price list'!$C685,Popisy!A:P,MATCH($W$17,Popisy!$A$7:$P$7,0),FALSE),"---------------")</f>
        <v>6 různobarevných efektu</v>
      </c>
      <c r="X685" s="716" t="str">
        <f t="shared" si="1636"/>
        <v/>
      </c>
      <c r="Y685" s="716" t="str">
        <f t="shared" si="1637"/>
        <v/>
      </c>
      <c r="Z685" s="716" t="str">
        <f>HYPERLINK("https://www.klasekpyrotechnics.cz/c363pa")</f>
        <v>https://www.klasekpyrotechnics.cz/c363pa</v>
      </c>
      <c r="AA685" s="716">
        <f>IFERROR(IF(VLOOKUP(C685,[4]List1!$A:$D,4,FALSE)=0,"",VLOOKUP(C685,[4]List1!$A:$D,4,FALSE)),"")</f>
        <v>14</v>
      </c>
      <c r="AB685" s="720"/>
      <c r="AC685" s="739" t="str">
        <f>IFERROR(IF(VLOOKUP(C685,[1]List1!$A:$D,2,FALSE)="VYPRODÁNO",$V$9,IF(VLOOKUP(C685,[1]List1!$A:$D,2,FALSE)="DOCHÁZÍ",$V$3,VLOOKUP(C685,[1]List1!$A:$D,2,FALSE))),"OFFLINE!")</f>
        <v>15.09.2024</v>
      </c>
      <c r="AD685" s="740" t="str">
        <f ca="1">IF(AP685="NE",$V$10,IF(AC685=$V$3,IF(AQ685&lt;1,$V$8,$V$2&amp;" "&amp;AQ685&amp;" "&amp;$V$1),IF(AC685="SKLADEM",$V$6,IFERROR(IF(OR(AC685-TODAY()&gt;45,VLOOKUP(C685,[1]List1!$A:$E,4,FALSE)=0),AC685,DAY(AC685)&amp;"."&amp;MONTH(AC685)&amp;"."&amp;YEAR(AC685)&amp;" "&amp;$V$4&amp;VLOOKUP(C685,[1]List1!$A:$E,4,FALSE)&amp;" "&amp;$V$1),AC685))))</f>
        <v>15.09.2024</v>
      </c>
      <c r="AE685" s="716" t="str">
        <f t="shared" ca="1" si="1638"/>
        <v>15.09.2024</v>
      </c>
      <c r="AF685" s="723">
        <f t="shared" si="1639"/>
        <v>0</v>
      </c>
      <c r="AG685" s="723">
        <f t="shared" si="1640"/>
        <v>0</v>
      </c>
      <c r="AH685" s="724">
        <f t="shared" si="1641"/>
        <v>0</v>
      </c>
      <c r="AI685" s="716">
        <f t="shared" si="1642"/>
        <v>0</v>
      </c>
      <c r="AJ685" s="716">
        <f t="shared" si="1643"/>
        <v>0</v>
      </c>
      <c r="AK685" s="716" t="str">
        <f t="shared" si="1644"/>
        <v/>
      </c>
      <c r="AL685" s="716">
        <f t="shared" si="1645"/>
        <v>0</v>
      </c>
      <c r="AM685" s="716" t="str">
        <f t="shared" si="1646"/>
        <v/>
      </c>
      <c r="AN685" s="716">
        <f t="shared" si="1647"/>
        <v>0</v>
      </c>
      <c r="AO685" s="380"/>
      <c r="AP685" s="322" t="str">
        <f t="shared" si="1574"/>
        <v/>
      </c>
      <c r="AQ685" s="323" t="str">
        <f>IF(AC685=$V$3,IF(VLOOKUP(C685,[1]List1!$A:$E,5,FALSE)=0,1,VLOOKUP(C685,[1]List1!$A:$E,5,FALSE)),"")</f>
        <v/>
      </c>
      <c r="AR685" s="304" t="str">
        <f t="shared" si="1575"/>
        <v/>
      </c>
      <c r="AS685" s="423" t="str">
        <f t="shared" si="1576"/>
        <v/>
      </c>
      <c r="AT685" s="304" t="str">
        <f t="shared" si="1577"/>
        <v/>
      </c>
      <c r="AU685" s="342" t="e">
        <f t="shared" si="1578"/>
        <v>#N/A</v>
      </c>
      <c r="AV685" s="304" t="e">
        <f t="shared" si="1579"/>
        <v>#N/A</v>
      </c>
      <c r="AX685" s="304">
        <f>IF(AND('General price list'!$J685="F4",'General price list'!$AB685+0&gt;0),1,0)</f>
        <v>0</v>
      </c>
      <c r="AY685" s="304">
        <f t="shared" si="1580"/>
        <v>1</v>
      </c>
      <c r="AZ685" s="304">
        <f t="shared" si="1581"/>
        <v>0</v>
      </c>
    </row>
    <row r="686" spans="1:52" ht="15" customHeight="1">
      <c r="A686" s="725" t="str">
        <f>Kat.!C683</f>
        <v/>
      </c>
      <c r="B686" s="726">
        <f>IF(AND('General price list'!$J686="F4",$AI$1=FALSE),0,IF(AC686="SKLADEM",1,IF(AC686=$V$3,1,0)))</f>
        <v>0</v>
      </c>
      <c r="C686" s="727" t="s">
        <v>1499</v>
      </c>
      <c r="D686" s="728" t="s">
        <v>1495</v>
      </c>
      <c r="E686" s="729" t="s">
        <v>1074</v>
      </c>
      <c r="F686" s="725">
        <f>IFERROR(ROUND(IF($AL$3=2,VLOOKUP(C686,[2]List1!$A:$D,2,FALSE)*1.08,VLOOKUP(C686,[2]List1!$A:$D,2,FALSE)),0),"NEUVEDENO!")</f>
        <v>769</v>
      </c>
      <c r="G686" s="730">
        <f t="shared" si="1634"/>
        <v>769</v>
      </c>
      <c r="H686" s="731">
        <f t="shared" si="1635"/>
        <v>31.248857120797762</v>
      </c>
      <c r="I686" s="732">
        <v>4</v>
      </c>
      <c r="J686" s="729" t="s">
        <v>137</v>
      </c>
      <c r="K686" s="729" t="s">
        <v>14821</v>
      </c>
      <c r="L686" s="729" t="s">
        <v>24</v>
      </c>
      <c r="M686" s="729" t="s">
        <v>138</v>
      </c>
      <c r="N686" s="729">
        <f>IFERROR(VLOOKUP(C686,[3]List1!$A:$D,4,FALSE),"N/A!")</f>
        <v>5.0721125000000006E-2</v>
      </c>
      <c r="O686" s="729">
        <f>IFERROR(VLOOKUP(C686,[3]List1!$A:$D,3,FALSE),"N/A!")</f>
        <v>2736</v>
      </c>
      <c r="P686" s="729">
        <f>IFERROR(VLOOKUP(C686,[3]List1!$A:$D,2,FALSE),"N/A!")</f>
        <v>18000</v>
      </c>
      <c r="Q686" s="729" t="s">
        <v>14340</v>
      </c>
      <c r="R686" s="729" t="s">
        <v>24</v>
      </c>
      <c r="S686" s="729" t="str">
        <f>IF($W$17=$AF$1,"design",IFERROR(VLOOKUP("design",Jazyky_ceník!$A:$Q,MATCH($W$17,Jazyky_ceník!$A$1:$Q$1,0),FALSE),"!!!"))</f>
        <v>design</v>
      </c>
      <c r="T686" s="729">
        <v>40</v>
      </c>
      <c r="U686" s="729">
        <v>40</v>
      </c>
      <c r="V686" s="729">
        <v>30</v>
      </c>
      <c r="W686" s="729" t="str">
        <f>IFERROR(VLOOKUP('General price list'!$C686,Popisy!A:P,MATCH($W$17,Popisy!$A$7:$P$7,0),FALSE),"---------------")</f>
        <v>6 různobarevných efektu</v>
      </c>
      <c r="X686" s="729" t="str">
        <f t="shared" si="1636"/>
        <v/>
      </c>
      <c r="Y686" s="729" t="str">
        <f t="shared" si="1637"/>
        <v/>
      </c>
      <c r="Z686" s="729" t="str">
        <f>HYPERLINK("https://www.klasekpyrotechnics.cz/c363dr")</f>
        <v>https://www.klasekpyrotechnics.cz/c363dr</v>
      </c>
      <c r="AA686" s="729">
        <f>IFERROR(IF(VLOOKUP(C686,[4]List1!$A:$D,4,FALSE)=0,"",VLOOKUP(C686,[4]List1!$A:$D,4,FALSE)),"")</f>
        <v>14</v>
      </c>
      <c r="AB686" s="720"/>
      <c r="AC686" s="733" t="str">
        <f>IFERROR(IF(VLOOKUP(C686,[1]List1!$A:$D,2,FALSE)="VYPRODÁNO",$V$9,IF(VLOOKUP(C686,[1]List1!$A:$D,2,FALSE)="DOCHÁZÍ",$V$3,VLOOKUP(C686,[1]List1!$A:$D,2,FALSE))),"OFFLINE!")</f>
        <v>15.09.2024</v>
      </c>
      <c r="AD686" s="734" t="str">
        <f ca="1">IF(AP686="NE",$V$10,IF(AC686=$V$3,IF(AQ686&lt;1,$V$8,$V$2&amp;" "&amp;AQ686&amp;" "&amp;$V$1),IF(AC686="SKLADEM",$V$6,IFERROR(IF(OR(AC686-TODAY()&gt;45,VLOOKUP(C686,[1]List1!$A:$E,4,FALSE)=0),AC686,DAY(AC686)&amp;"."&amp;MONTH(AC686)&amp;"."&amp;YEAR(AC686)&amp;" "&amp;$V$4&amp;VLOOKUP(C686,[1]List1!$A:$E,4,FALSE)&amp;" "&amp;$V$1),AC686))))</f>
        <v>15.09.2024</v>
      </c>
      <c r="AE686" s="729" t="str">
        <f t="shared" ca="1" si="1638"/>
        <v>15.09.2024</v>
      </c>
      <c r="AF686" s="735">
        <f t="shared" si="1639"/>
        <v>0</v>
      </c>
      <c r="AG686" s="735">
        <f t="shared" si="1640"/>
        <v>0</v>
      </c>
      <c r="AH686" s="736">
        <f t="shared" si="1641"/>
        <v>0</v>
      </c>
      <c r="AI686" s="729">
        <f t="shared" si="1642"/>
        <v>0</v>
      </c>
      <c r="AJ686" s="729">
        <f t="shared" si="1643"/>
        <v>0</v>
      </c>
      <c r="AK686" s="729" t="str">
        <f t="shared" si="1644"/>
        <v/>
      </c>
      <c r="AL686" s="729">
        <f t="shared" si="1645"/>
        <v>0</v>
      </c>
      <c r="AM686" s="729" t="str">
        <f t="shared" si="1646"/>
        <v/>
      </c>
      <c r="AN686" s="729">
        <f t="shared" si="1647"/>
        <v>0</v>
      </c>
      <c r="AO686" s="380"/>
      <c r="AP686" s="322" t="str">
        <f t="shared" si="1574"/>
        <v/>
      </c>
      <c r="AQ686" s="323" t="str">
        <f>IF(AC686=$V$3,IF(VLOOKUP(C686,[1]List1!$A:$E,5,FALSE)=0,1,VLOOKUP(C686,[1]List1!$A:$E,5,FALSE)),"")</f>
        <v/>
      </c>
      <c r="AR686" s="304" t="str">
        <f t="shared" si="1575"/>
        <v/>
      </c>
      <c r="AS686" s="423" t="str">
        <f t="shared" si="1576"/>
        <v/>
      </c>
      <c r="AT686" s="304" t="str">
        <f t="shared" si="1577"/>
        <v/>
      </c>
      <c r="AU686" s="342" t="e">
        <f t="shared" si="1578"/>
        <v>#N/A</v>
      </c>
      <c r="AV686" s="304" t="e">
        <f t="shared" si="1579"/>
        <v>#N/A</v>
      </c>
      <c r="AX686" s="304">
        <f>IF(AND('General price list'!$J686="F4",'General price list'!$AB686+0&gt;0),1,0)</f>
        <v>0</v>
      </c>
      <c r="AY686" s="304">
        <f t="shared" si="1580"/>
        <v>1</v>
      </c>
      <c r="AZ686" s="304">
        <f t="shared" si="1581"/>
        <v>0</v>
      </c>
    </row>
    <row r="687" spans="1:52" ht="15" customHeight="1">
      <c r="A687" s="773" t="str">
        <f>Kat.!C684</f>
        <v xml:space="preserve">                                                               Baterie 36ran, 30mm šikmý moždíř-1.3G</v>
      </c>
      <c r="B687" s="774"/>
      <c r="C687" s="774"/>
      <c r="D687" s="774"/>
      <c r="E687" s="774"/>
      <c r="F687" s="774"/>
      <c r="G687" s="774"/>
      <c r="H687" s="774"/>
      <c r="I687" s="774"/>
      <c r="J687" s="774"/>
      <c r="K687" s="774"/>
      <c r="L687" s="774"/>
      <c r="M687" s="774"/>
      <c r="N687" s="774"/>
      <c r="O687" s="774"/>
      <c r="P687" s="774"/>
      <c r="Q687" s="774"/>
      <c r="R687" s="774"/>
      <c r="S687" s="774"/>
      <c r="T687" s="774"/>
      <c r="U687" s="774"/>
      <c r="V687" s="774"/>
      <c r="W687" s="774"/>
      <c r="X687" s="774"/>
      <c r="Y687" s="774"/>
      <c r="Z687" s="774"/>
      <c r="AA687" s="774" t="str">
        <f>IFERROR(IF(VLOOKUP(C687,[4]List1!$A:$D,4,FALSE)=0,"",VLOOKUP(C687,[4]List1!$A:$D,4,FALSE)),"")</f>
        <v/>
      </c>
      <c r="AB687" s="774"/>
      <c r="AC687" s="775" t="str">
        <f>IFERROR(IF(VLOOKUP(C687,[1]List1!$A:$D,2,FALSE)="VYPRODÁNO",$V$9,IF(VLOOKUP(C687,[1]List1!$A:$D,2,FALSE)="DOCHÁZÍ",$V$3,VLOOKUP(C687,[1]List1!$A:$D,2,FALSE))),"OFFLINE!")</f>
        <v>OFFLINE!</v>
      </c>
      <c r="AD687" s="774"/>
      <c r="AE687" s="774"/>
      <c r="AF687" s="774"/>
      <c r="AG687" s="774"/>
      <c r="AH687" s="774"/>
      <c r="AI687" s="774"/>
      <c r="AJ687" s="774"/>
      <c r="AK687" s="774"/>
      <c r="AL687" s="774"/>
      <c r="AM687" s="774"/>
      <c r="AN687" s="774"/>
      <c r="AO687" s="380"/>
      <c r="AP687" s="322" t="str">
        <f t="shared" si="1574"/>
        <v/>
      </c>
      <c r="AQ687" s="323" t="str">
        <f>IF(AC687=$V$3,IF(VLOOKUP(C687,[1]List1!$A:$E,5,FALSE)=0,1,VLOOKUP(C687,[1]List1!$A:$E,5,FALSE)),"")</f>
        <v/>
      </c>
      <c r="AR687" s="304" t="str">
        <f t="shared" si="1575"/>
        <v/>
      </c>
      <c r="AS687" s="423" t="str">
        <f t="shared" si="1576"/>
        <v/>
      </c>
      <c r="AT687" s="304" t="str">
        <f t="shared" si="1577"/>
        <v/>
      </c>
      <c r="AU687" s="342" t="e">
        <f t="shared" si="1578"/>
        <v>#N/A</v>
      </c>
      <c r="AV687" s="304" t="e">
        <f t="shared" si="1579"/>
        <v>#N/A</v>
      </c>
      <c r="AX687" s="304">
        <f>IF(AND('General price list'!$J687="F4",'General price list'!$AB687+0&gt;0),1,0)</f>
        <v>0</v>
      </c>
      <c r="AY687" s="304">
        <f t="shared" si="1580"/>
        <v>0</v>
      </c>
      <c r="AZ687" s="304">
        <f t="shared" si="1581"/>
        <v>0</v>
      </c>
    </row>
    <row r="688" spans="1:52" ht="15" customHeight="1">
      <c r="A688" s="725" t="str">
        <f>Kat.!C685</f>
        <v/>
      </c>
      <c r="B688" s="741">
        <f>IF(AND('General price list'!$J688="F4",$AI$1=FALSE),0,IF(AC688="SKLADEM",1,IF(AC688=$V$3,1,0)))</f>
        <v>0</v>
      </c>
      <c r="C688" s="727" t="s">
        <v>1500</v>
      </c>
      <c r="D688" s="728" t="s">
        <v>1501</v>
      </c>
      <c r="E688" s="729" t="s">
        <v>1074</v>
      </c>
      <c r="F688" s="725">
        <f>IFERROR(ROUND(IF($AL$3=2,VLOOKUP(C688,[2]List1!$A:$D,2,FALSE)*1.08,VLOOKUP(C688,[2]List1!$A:$D,2,FALSE)),0),"NEUVEDENO!")</f>
        <v>979</v>
      </c>
      <c r="G688" s="730">
        <f>(F688)*$B$19</f>
        <v>979</v>
      </c>
      <c r="H688" s="731">
        <f>G688/$F$19</f>
        <v>39.782355164188566</v>
      </c>
      <c r="I688" s="742">
        <v>4</v>
      </c>
      <c r="J688" s="729" t="s">
        <v>137</v>
      </c>
      <c r="K688" s="729" t="s">
        <v>14821</v>
      </c>
      <c r="L688" s="729" t="s">
        <v>24</v>
      </c>
      <c r="M688" s="729" t="s">
        <v>138</v>
      </c>
      <c r="N688" s="729">
        <f>IFERROR(VLOOKUP(C688,[3]List1!$A:$D,4,FALSE),"N/A!")</f>
        <v>8.6393125000000001E-2</v>
      </c>
      <c r="O688" s="729">
        <f>IFERROR(VLOOKUP(C688,[3]List1!$A:$D,3,FALSE),"N/A!")</f>
        <v>2736</v>
      </c>
      <c r="P688" s="729">
        <f>IFERROR(VLOOKUP(C688,[3]List1!$A:$D,2,FALSE),"N/A!")</f>
        <v>22500</v>
      </c>
      <c r="Q688" s="729" t="s">
        <v>14224</v>
      </c>
      <c r="R688" s="729" t="s">
        <v>24</v>
      </c>
      <c r="S688" s="729" t="str">
        <f>IF($W$17=$AF$1,"design",IFERROR(VLOOKUP("design",Jazyky_ceník!$A:$Q,MATCH($W$17,Jazyky_ceník!$A$1:$Q$1,0),FALSE),"!!!"))</f>
        <v>design</v>
      </c>
      <c r="T688" s="729">
        <v>40</v>
      </c>
      <c r="U688" s="729">
        <v>40</v>
      </c>
      <c r="V688" s="729">
        <v>30</v>
      </c>
      <c r="W688" s="729" t="str">
        <f>IFERROR(VLOOKUP('General price list'!$C688,Popisy!A:P,MATCH($W$17,Popisy!$A$7:$P$7,0),FALSE),"---------------")</f>
        <v>6 různobarevných efektu</v>
      </c>
      <c r="X688" s="729" t="str">
        <f>IF(AB688&lt;0.0001,"",AB688)</f>
        <v/>
      </c>
      <c r="Y688" s="729" t="str">
        <f>IF($AL$3=2,IF(OR(AB688&lt;&gt;"",AB688&lt;&gt;0),AU688,""),IF(C688="","",IF(AB688&lt;0.0001,"",IF(B688=0,"",IF(AQ688&lt;AB688,"",AB688)))))</f>
        <v/>
      </c>
      <c r="Z688" s="729" t="str">
        <f>HYPERLINK("https://www.klasekpyrotechnics.cz/cf363s")</f>
        <v>https://www.klasekpyrotechnics.cz/cf363s</v>
      </c>
      <c r="AA688" s="729">
        <f>IFERROR(IF(VLOOKUP(C688,[4]List1!$A:$D,4,FALSE)=0,"",VLOOKUP(C688,[4]List1!$A:$D,4,FALSE)),"")</f>
        <v>14</v>
      </c>
      <c r="AB688" s="720"/>
      <c r="AC688" s="743" t="str">
        <f>IFERROR(IF(VLOOKUP(C688,[1]List1!$A:$D,2,FALSE)="VYPRODÁNO",$V$9,IF(VLOOKUP(C688,[1]List1!$A:$D,2,FALSE)="DOCHÁZÍ",$V$3,VLOOKUP(C688,[1]List1!$A:$D,2,FALSE))),"OFFLINE!")</f>
        <v>20.06.2024</v>
      </c>
      <c r="AD688" s="744" t="str">
        <f ca="1">IF(AP688="NE",$V$10,IF(AC688=$V$3,IF(AQ688&lt;1,$V$8,$V$2&amp;" "&amp;AQ688&amp;" "&amp;$V$1),IF(AC688="SKLADEM",$V$6,IFERROR(IF(OR(AC688-TODAY()&gt;45,VLOOKUP(C688,[1]List1!$A:$E,4,FALSE)=0),AC688,DAY(AC688)&amp;"."&amp;MONTH(AC688)&amp;"."&amp;YEAR(AC688)&amp;" "&amp;$V$4&amp;VLOOKUP(C688,[1]List1!$A:$E,4,FALSE)&amp;" "&amp;$V$1),AC688))))</f>
        <v>20.06.2024</v>
      </c>
      <c r="AE688" s="729" t="str">
        <f t="shared" ref="AE688" ca="1" si="1648">IFERROR(IF(AV688&lt;&gt;"",AV688,AD688),AD688)</f>
        <v>20.06.2024</v>
      </c>
      <c r="AF688" s="735">
        <f t="shared" ref="AF688" si="1649">IFERROR(IF(AB688=Y688,G688*I688*Y688,0),0)</f>
        <v>0</v>
      </c>
      <c r="AG688" s="735">
        <f t="shared" ref="AG688" si="1650">IF($W$17=$AF$8,AH688*1.23,AF688*1.21)</f>
        <v>0</v>
      </c>
      <c r="AH688" s="736">
        <f t="shared" ref="AH688" si="1651">IFERROR(IF(Y688=AB688,H688*I688*Y688,0),0)</f>
        <v>0</v>
      </c>
      <c r="AI688" s="729">
        <f t="shared" ref="AI688" si="1652">IFERROR(IF(Y688=AB688,(P688*Y688)/1000,1),0)</f>
        <v>0</v>
      </c>
      <c r="AJ688" s="729">
        <f t="shared" ref="AJ688" si="1653">IFERROR(IF(Y688=AB688,N688*Y688,0.1),0)</f>
        <v>0</v>
      </c>
      <c r="AK688" s="729" t="str">
        <f t="shared" ref="AK688" si="1654">IFERROR(IF(Y688=AB688,IF(M688="1.1G",(O688/1000)*Y688,""),""),0)</f>
        <v/>
      </c>
      <c r="AL688" s="729">
        <f t="shared" ref="AL688" si="1655">IFERROR(IF(Y688=AB688,IF(M688="1.3G",(O688/1000)*AB688,""),""),0)</f>
        <v>0</v>
      </c>
      <c r="AM688" s="729" t="str">
        <f t="shared" ref="AM688" si="1656">IFERROR(IF(Y688=AB688,IF(M688="1.4G",(O688/1000)*AB688,""),""),0)</f>
        <v/>
      </c>
      <c r="AN688" s="729">
        <f t="shared" ref="AN688" si="1657">SUM(AK688:AM688)</f>
        <v>0</v>
      </c>
      <c r="AO688" s="380"/>
      <c r="AP688" s="322" t="str">
        <f t="shared" si="1574"/>
        <v/>
      </c>
      <c r="AQ688" s="323" t="str">
        <f>IF(AC688=$V$3,IF(VLOOKUP(C688,[1]List1!$A:$E,5,FALSE)=0,1,VLOOKUP(C688,[1]List1!$A:$E,5,FALSE)),"")</f>
        <v/>
      </c>
      <c r="AR688" s="304" t="str">
        <f t="shared" si="1575"/>
        <v/>
      </c>
      <c r="AS688" s="423" t="str">
        <f t="shared" si="1576"/>
        <v/>
      </c>
      <c r="AT688" s="304" t="str">
        <f t="shared" si="1577"/>
        <v/>
      </c>
      <c r="AU688" s="342" t="e">
        <f t="shared" si="1578"/>
        <v>#N/A</v>
      </c>
      <c r="AV688" s="304" t="e">
        <f t="shared" si="1579"/>
        <v>#N/A</v>
      </c>
      <c r="AX688" s="304">
        <f>IF(AND('General price list'!$J688="F4",'General price list'!$AB688+0&gt;0),1,0)</f>
        <v>0</v>
      </c>
      <c r="AY688" s="304">
        <f t="shared" si="1580"/>
        <v>1</v>
      </c>
      <c r="AZ688" s="304">
        <f t="shared" si="1581"/>
        <v>0</v>
      </c>
    </row>
    <row r="689" spans="1:52" ht="15" customHeight="1">
      <c r="A689" s="773" t="str">
        <f>Kat.!C686</f>
        <v xml:space="preserve">                                                               Baterie 49ran, 30mm moždíř-1.3G</v>
      </c>
      <c r="B689" s="774"/>
      <c r="C689" s="774"/>
      <c r="D689" s="774"/>
      <c r="E689" s="774"/>
      <c r="F689" s="774"/>
      <c r="G689" s="774"/>
      <c r="H689" s="774"/>
      <c r="I689" s="774"/>
      <c r="J689" s="774"/>
      <c r="K689" s="774"/>
      <c r="L689" s="774"/>
      <c r="M689" s="774"/>
      <c r="N689" s="774"/>
      <c r="O689" s="774"/>
      <c r="P689" s="774"/>
      <c r="Q689" s="774"/>
      <c r="R689" s="774"/>
      <c r="S689" s="774"/>
      <c r="T689" s="774"/>
      <c r="U689" s="774"/>
      <c r="V689" s="774"/>
      <c r="W689" s="774"/>
      <c r="X689" s="774"/>
      <c r="Y689" s="774"/>
      <c r="Z689" s="774"/>
      <c r="AA689" s="774" t="str">
        <f>IFERROR(IF(VLOOKUP(C689,[4]List1!$A:$D,4,FALSE)=0,"",VLOOKUP(C689,[4]List1!$A:$D,4,FALSE)),"")</f>
        <v/>
      </c>
      <c r="AB689" s="774"/>
      <c r="AC689" s="775" t="str">
        <f>IFERROR(IF(VLOOKUP(C689,[1]List1!$A:$D,2,FALSE)="VYPRODÁNO",$V$9,IF(VLOOKUP(C689,[1]List1!$A:$D,2,FALSE)="DOCHÁZÍ",$V$3,VLOOKUP(C689,[1]List1!$A:$D,2,FALSE))),"OFFLINE!")</f>
        <v>OFFLINE!</v>
      </c>
      <c r="AD689" s="774"/>
      <c r="AE689" s="774"/>
      <c r="AF689" s="774"/>
      <c r="AG689" s="774"/>
      <c r="AH689" s="774"/>
      <c r="AI689" s="774"/>
      <c r="AJ689" s="774"/>
      <c r="AK689" s="774"/>
      <c r="AL689" s="774"/>
      <c r="AM689" s="774"/>
      <c r="AN689" s="774"/>
      <c r="AO689" s="380"/>
      <c r="AP689" s="322" t="str">
        <f t="shared" si="1574"/>
        <v/>
      </c>
      <c r="AQ689" s="323" t="str">
        <f>IF(AC689=$V$3,IF(VLOOKUP(C689,[1]List1!$A:$E,5,FALSE)=0,1,VLOOKUP(C689,[1]List1!$A:$E,5,FALSE)),"")</f>
        <v/>
      </c>
      <c r="AR689" s="304" t="str">
        <f t="shared" si="1575"/>
        <v/>
      </c>
      <c r="AS689" s="423" t="str">
        <f t="shared" si="1576"/>
        <v/>
      </c>
      <c r="AT689" s="304" t="str">
        <f t="shared" si="1577"/>
        <v/>
      </c>
      <c r="AU689" s="342" t="e">
        <f t="shared" si="1578"/>
        <v>#N/A</v>
      </c>
      <c r="AV689" s="304" t="e">
        <f t="shared" si="1579"/>
        <v>#N/A</v>
      </c>
      <c r="AX689" s="304">
        <f>IF(AND('General price list'!$J689="F4",'General price list'!$AB689+0&gt;0),1,0)</f>
        <v>0</v>
      </c>
      <c r="AY689" s="304">
        <f t="shared" si="1580"/>
        <v>0</v>
      </c>
      <c r="AZ689" s="304">
        <f t="shared" si="1581"/>
        <v>0</v>
      </c>
    </row>
    <row r="690" spans="1:52" ht="15" customHeight="1">
      <c r="A690" s="725" t="str">
        <f>Kat.!C687</f>
        <v/>
      </c>
      <c r="B690" s="741">
        <f>IF(AND('General price list'!$J690="F4",$AI$1=FALSE),0,IF(AC690="SKLADEM",1,IF(AC690=$V$3,1,0)))</f>
        <v>1</v>
      </c>
      <c r="C690" s="727" t="s">
        <v>1503</v>
      </c>
      <c r="D690" s="728" t="s">
        <v>14591</v>
      </c>
      <c r="E690" s="729" t="s">
        <v>1078</v>
      </c>
      <c r="F690" s="725">
        <f>IFERROR(ROUND(IF($AL$3=2,VLOOKUP(C690,[2]List1!$A:$D,2,FALSE)*1.08,VLOOKUP(C690,[2]List1!$A:$D,2,FALSE)),0),"NEUVEDENO!")</f>
        <v>1019</v>
      </c>
      <c r="G690" s="730">
        <f t="shared" ref="G690:G700" si="1658">(F690)*$B$19</f>
        <v>1019</v>
      </c>
      <c r="H690" s="731">
        <f t="shared" ref="H690:H700" si="1659">G690/$F$19</f>
        <v>41.407783362929678</v>
      </c>
      <c r="I690" s="742">
        <v>2</v>
      </c>
      <c r="J690" s="729" t="s">
        <v>137</v>
      </c>
      <c r="K690" s="729" t="s">
        <v>14820</v>
      </c>
      <c r="L690" s="729" t="s">
        <v>24</v>
      </c>
      <c r="M690" s="729" t="s">
        <v>138</v>
      </c>
      <c r="N690" s="729">
        <f>IFERROR(VLOOKUP(C690,[3]List1!$A:$D,4,FALSE),"N/A!")</f>
        <v>3.50595E-2</v>
      </c>
      <c r="O690" s="729">
        <f>IFERROR(VLOOKUP(C690,[3]List1!$A:$D,3,FALSE),"N/A!")</f>
        <v>1666</v>
      </c>
      <c r="P690" s="729">
        <f>IFERROR(VLOOKUP(C690,[3]List1!$A:$D,2,FALSE),"N/A!")</f>
        <v>12500</v>
      </c>
      <c r="Q690" s="729" t="s">
        <v>14226</v>
      </c>
      <c r="R690" s="729" t="s">
        <v>24</v>
      </c>
      <c r="S690" s="729" t="str">
        <f>IF($W$17=$AF$1,"červená fólie",IFERROR(VLOOKUP("červená fólie",Jazyky_ceník!$A:$Q,MATCH($W$17,Jazyky_ceník!$A$1:$Q$1,0),FALSE),"!!!"))</f>
        <v>červená fólie</v>
      </c>
      <c r="T690" s="729">
        <v>50</v>
      </c>
      <c r="U690" s="729">
        <v>40</v>
      </c>
      <c r="V690" s="729">
        <v>29</v>
      </c>
      <c r="W690" s="729" t="str">
        <f>IFERROR(VLOOKUP('General price list'!$C690,Popisy!A:P,MATCH($W$17,Popisy!$A$7:$P$7,0),FALSE),"---------------")</f>
        <v>7 různobarevných efektu</v>
      </c>
      <c r="X690" s="729" t="str">
        <f t="shared" ref="X690:X700" si="1660">IF(AB690&lt;0.0001,"",AB690)</f>
        <v/>
      </c>
      <c r="Y690" s="729" t="str">
        <f t="shared" ref="Y690:Y700" si="1661">IF($AL$3=2,IF(OR(AB690&lt;&gt;"",AB690&lt;&gt;0),AU690,""),IF(C690="","",IF(AB690&lt;0.0001,"",IF(B690=0,"",IF(AQ690&lt;AB690,"",AB690)))))</f>
        <v/>
      </c>
      <c r="Z690" s="729" t="str">
        <f>HYPERLINK("https://www.klasekpyrotechnics.cz/c493bp")</f>
        <v>https://www.klasekpyrotechnics.cz/c493bp</v>
      </c>
      <c r="AA690" s="729">
        <f>IFERROR(IF(VLOOKUP(C690,[4]List1!$A:$D,4,FALSE)=0,"",VLOOKUP(C690,[4]List1!$A:$D,4,FALSE)),"")</f>
        <v>42</v>
      </c>
      <c r="AB690" s="720"/>
      <c r="AC690" s="743" t="str">
        <f>IFERROR(IF(VLOOKUP(C690,[1]List1!$A:$D,2,FALSE)="VYPRODÁNO",$V$9,IF(VLOOKUP(C690,[1]List1!$A:$D,2,FALSE)="DOCHÁZÍ",$V$3,VLOOKUP(C690,[1]List1!$A:$D,2,FALSE))),"OFFLINE!")</f>
        <v>SKLADEM</v>
      </c>
      <c r="AD690" s="744" t="str">
        <f ca="1">IF(AP690="NE",$V$10,IF(AC690=$V$3,IF(AQ690&lt;1,$V$8,$V$2&amp;" "&amp;AQ690&amp;" "&amp;$V$1),IF(AC690="SKLADEM",$V$6,IFERROR(IF(OR(AC690-TODAY()&gt;45,VLOOKUP(C690,[1]List1!$A:$E,4,FALSE)=0),AC690,DAY(AC690)&amp;"."&amp;MONTH(AC690)&amp;"."&amp;YEAR(AC690)&amp;" "&amp;$V$4&amp;VLOOKUP(C690,[1]List1!$A:$E,4,FALSE)&amp;" "&amp;$V$1),AC690))))</f>
        <v>SKLADEM</v>
      </c>
      <c r="AE690" s="729" t="str">
        <f t="shared" ref="AE690:AE700" ca="1" si="1662">IFERROR(IF(AV690&lt;&gt;"",AV690,AD690),AD690)</f>
        <v>SKLADEM</v>
      </c>
      <c r="AF690" s="735">
        <f t="shared" ref="AF690:AF700" si="1663">IFERROR(IF(AB690=Y690,G690*I690*Y690,0),0)</f>
        <v>0</v>
      </c>
      <c r="AG690" s="735">
        <f t="shared" ref="AG690:AG700" si="1664">IF($W$17=$AF$8,AH690*1.23,AF690*1.21)</f>
        <v>0</v>
      </c>
      <c r="AH690" s="736">
        <f t="shared" ref="AH690:AH700" si="1665">IFERROR(IF(Y690=AB690,H690*I690*Y690,0),0)</f>
        <v>0</v>
      </c>
      <c r="AI690" s="729">
        <f t="shared" ref="AI690:AI700" si="1666">IFERROR(IF(Y690=AB690,(P690*Y690)/1000,1),0)</f>
        <v>0</v>
      </c>
      <c r="AJ690" s="729">
        <f t="shared" ref="AJ690:AJ700" si="1667">IFERROR(IF(Y690=AB690,N690*Y690,0.1),0)</f>
        <v>0</v>
      </c>
      <c r="AK690" s="729" t="str">
        <f t="shared" ref="AK690:AK700" si="1668">IFERROR(IF(Y690=AB690,IF(M690="1.1G",(O690/1000)*Y690,""),""),0)</f>
        <v/>
      </c>
      <c r="AL690" s="729">
        <f t="shared" ref="AL690:AL700" si="1669">IFERROR(IF(Y690=AB690,IF(M690="1.3G",(O690/1000)*AB690,""),""),0)</f>
        <v>0</v>
      </c>
      <c r="AM690" s="729" t="str">
        <f t="shared" ref="AM690:AM700" si="1670">IFERROR(IF(Y690=AB690,IF(M690="1.4G",(O690/1000)*AB690,""),""),0)</f>
        <v/>
      </c>
      <c r="AN690" s="729">
        <f t="shared" ref="AN690:AN700" si="1671">SUM(AK690:AM690)</f>
        <v>0</v>
      </c>
      <c r="AO690" s="380"/>
      <c r="AP690" s="322" t="str">
        <f t="shared" si="1574"/>
        <v/>
      </c>
      <c r="AQ690" s="323" t="str">
        <f>IF(AC690=$V$3,IF(VLOOKUP(C690,[1]List1!$A:$E,5,FALSE)=0,1,VLOOKUP(C690,[1]List1!$A:$E,5,FALSE)),"")</f>
        <v/>
      </c>
      <c r="AR690" s="304" t="str">
        <f t="shared" si="1575"/>
        <v/>
      </c>
      <c r="AS690" s="423" t="str">
        <f t="shared" si="1576"/>
        <v/>
      </c>
      <c r="AT690" s="304" t="str">
        <f t="shared" si="1577"/>
        <v/>
      </c>
      <c r="AU690" s="342" t="e">
        <f t="shared" si="1578"/>
        <v>#N/A</v>
      </c>
      <c r="AV690" s="304" t="e">
        <f t="shared" si="1579"/>
        <v>#N/A</v>
      </c>
      <c r="AX690" s="304">
        <f>IF(AND('General price list'!$J690="F4",'General price list'!$AB690+0&gt;0),1,0)</f>
        <v>0</v>
      </c>
      <c r="AY690" s="304">
        <f t="shared" si="1580"/>
        <v>1</v>
      </c>
      <c r="AZ690" s="304">
        <f t="shared" si="1581"/>
        <v>0</v>
      </c>
    </row>
    <row r="691" spans="1:52" ht="15" customHeight="1">
      <c r="A691" s="712" t="str">
        <f>Kat.!C688</f>
        <v/>
      </c>
      <c r="B691" s="745">
        <f>IF(AND('General price list'!$J691="F4",$AI$1=FALSE),0,IF(AC691="SKLADEM",1,IF(AC691=$V$3,1,0)))</f>
        <v>1</v>
      </c>
      <c r="C691" s="714" t="s">
        <v>5389</v>
      </c>
      <c r="D691" s="715" t="s">
        <v>14602</v>
      </c>
      <c r="E691" s="716" t="s">
        <v>1078</v>
      </c>
      <c r="F691" s="712">
        <f>IFERROR(ROUND(IF($AL$3=2,VLOOKUP(C691,[2]List1!$A:$D,2,FALSE)*1.08,VLOOKUP(C691,[2]List1!$A:$D,2,FALSE)),0),"NEUVEDENO!")</f>
        <v>1019</v>
      </c>
      <c r="G691" s="717">
        <f t="shared" si="1658"/>
        <v>1019</v>
      </c>
      <c r="H691" s="718">
        <f t="shared" si="1659"/>
        <v>41.407783362929678</v>
      </c>
      <c r="I691" s="746">
        <v>2</v>
      </c>
      <c r="J691" s="716" t="s">
        <v>137</v>
      </c>
      <c r="K691" s="716" t="s">
        <v>14734</v>
      </c>
      <c r="L691" s="716" t="s">
        <v>24</v>
      </c>
      <c r="M691" s="716" t="s">
        <v>138</v>
      </c>
      <c r="N691" s="716">
        <f>IFERROR(VLOOKUP(C691,[3]List1!$A:$D,4,FALSE),"N/A!")</f>
        <v>3.50595E-2</v>
      </c>
      <c r="O691" s="716">
        <f>IFERROR(VLOOKUP(C691,[3]List1!$A:$D,3,FALSE),"N/A!")</f>
        <v>1666</v>
      </c>
      <c r="P691" s="716">
        <f>IFERROR(VLOOKUP(C691,[3]List1!$A:$D,2,FALSE),"N/A!")</f>
        <v>12500</v>
      </c>
      <c r="Q691" s="716" t="s">
        <v>14227</v>
      </c>
      <c r="R691" s="716" t="s">
        <v>24</v>
      </c>
      <c r="S691" s="716" t="str">
        <f>IF($W$17=$AF$1,"design",IFERROR(VLOOKUP("design",Jazyky_ceník!$A:$Q,MATCH($W$17,Jazyky_ceník!$A$1:$Q$1,0),FALSE),"!!!"))</f>
        <v>design</v>
      </c>
      <c r="T691" s="716">
        <v>80</v>
      </c>
      <c r="U691" s="716">
        <v>40</v>
      </c>
      <c r="V691" s="716">
        <v>29</v>
      </c>
      <c r="W691" s="716" t="str">
        <f>IFERROR(VLOOKUP('General price list'!$C691,Popisy!A:P,MATCH($W$17,Popisy!$A$7:$P$7,0),FALSE),"---------------")</f>
        <v>7 různobarevných efektu</v>
      </c>
      <c r="X691" s="716" t="str">
        <f t="shared" si="1660"/>
        <v/>
      </c>
      <c r="Y691" s="716" t="str">
        <f t="shared" si="1661"/>
        <v/>
      </c>
      <c r="Z691" s="716" t="str">
        <f>HYPERLINK("https://www.klasekpyrotechnics.cz/c493bps")</f>
        <v>https://www.klasekpyrotechnics.cz/c493bps</v>
      </c>
      <c r="AA691" s="716">
        <f>IFERROR(IF(VLOOKUP(C691,[4]List1!$A:$D,4,FALSE)=0,"",VLOOKUP(C691,[4]List1!$A:$D,4,FALSE)),"")</f>
        <v>42</v>
      </c>
      <c r="AB691" s="720"/>
      <c r="AC691" s="747" t="str">
        <f>IFERROR(IF(VLOOKUP(C691,[1]List1!$A:$D,2,FALSE)="VYPRODÁNO",$V$9,IF(VLOOKUP(C691,[1]List1!$A:$D,2,FALSE)="DOCHÁZÍ",$V$3,VLOOKUP(C691,[1]List1!$A:$D,2,FALSE))),"OFFLINE!")</f>
        <v>SKLADEM</v>
      </c>
      <c r="AD691" s="748" t="str">
        <f ca="1">IF(AP691="NE",$V$10,IF(AC691=$V$3,IF(AQ691&lt;1,$V$8,$V$2&amp;" "&amp;AQ691&amp;" "&amp;$V$1),IF(AC691="SKLADEM",$V$6,IFERROR(IF(OR(AC691-TODAY()&gt;45,VLOOKUP(C691,[1]List1!$A:$E,4,FALSE)=0),AC691,DAY(AC691)&amp;"."&amp;MONTH(AC691)&amp;"."&amp;YEAR(AC691)&amp;" "&amp;$V$4&amp;VLOOKUP(C691,[1]List1!$A:$E,4,FALSE)&amp;" "&amp;$V$1),AC691))))</f>
        <v>SKLADEM</v>
      </c>
      <c r="AE691" s="716" t="str">
        <f t="shared" ca="1" si="1662"/>
        <v>SKLADEM</v>
      </c>
      <c r="AF691" s="723">
        <f t="shared" si="1663"/>
        <v>0</v>
      </c>
      <c r="AG691" s="723">
        <f t="shared" si="1664"/>
        <v>0</v>
      </c>
      <c r="AH691" s="724">
        <f t="shared" si="1665"/>
        <v>0</v>
      </c>
      <c r="AI691" s="716">
        <f t="shared" si="1666"/>
        <v>0</v>
      </c>
      <c r="AJ691" s="716">
        <f t="shared" si="1667"/>
        <v>0</v>
      </c>
      <c r="AK691" s="716" t="str">
        <f t="shared" si="1668"/>
        <v/>
      </c>
      <c r="AL691" s="716">
        <f t="shared" si="1669"/>
        <v>0</v>
      </c>
      <c r="AM691" s="716" t="str">
        <f t="shared" si="1670"/>
        <v/>
      </c>
      <c r="AN691" s="716">
        <f t="shared" si="1671"/>
        <v>0</v>
      </c>
      <c r="AO691" s="380"/>
      <c r="AP691" s="322" t="str">
        <f t="shared" si="1574"/>
        <v/>
      </c>
      <c r="AQ691" s="323" t="str">
        <f>IF(AC691=$V$3,IF(VLOOKUP(C691,[1]List1!$A:$E,5,FALSE)=0,1,VLOOKUP(C691,[1]List1!$A:$E,5,FALSE)),"")</f>
        <v/>
      </c>
      <c r="AR691" s="304" t="str">
        <f t="shared" si="1575"/>
        <v/>
      </c>
      <c r="AS691" s="423" t="str">
        <f t="shared" si="1576"/>
        <v/>
      </c>
      <c r="AT691" s="304" t="str">
        <f t="shared" si="1577"/>
        <v/>
      </c>
      <c r="AU691" s="342" t="e">
        <f t="shared" si="1578"/>
        <v>#N/A</v>
      </c>
      <c r="AV691" s="304" t="e">
        <f t="shared" si="1579"/>
        <v>#N/A</v>
      </c>
      <c r="AX691" s="304">
        <f>IF(AND('General price list'!$J691="F4",'General price list'!$AB691+0&gt;0),1,0)</f>
        <v>0</v>
      </c>
      <c r="AY691" s="304">
        <f t="shared" si="1580"/>
        <v>1</v>
      </c>
      <c r="AZ691" s="304">
        <f t="shared" si="1581"/>
        <v>0</v>
      </c>
    </row>
    <row r="692" spans="1:52" ht="15" customHeight="1">
      <c r="A692" s="725" t="str">
        <f>Kat.!C689</f>
        <v/>
      </c>
      <c r="B692" s="749">
        <f>IF(AND('General price list'!$J692="F4",$AI$1=FALSE),0,IF(AC692="SKLADEM",1,IF(AC692=$V$3,1,0)))</f>
        <v>0</v>
      </c>
      <c r="C692" s="727" t="s">
        <v>2560</v>
      </c>
      <c r="D692" s="728" t="s">
        <v>2561</v>
      </c>
      <c r="E692" s="729" t="s">
        <v>1078</v>
      </c>
      <c r="F692" s="725">
        <f>IFERROR(ROUND(IF($AL$3=2,VLOOKUP(C692,[2]List1!$A:$D,2,FALSE)*1.08,VLOOKUP(C692,[2]List1!$A:$D,2,FALSE)),0),"NEUVEDENO!")</f>
        <v>1079</v>
      </c>
      <c r="G692" s="730">
        <f t="shared" si="1658"/>
        <v>1079</v>
      </c>
      <c r="H692" s="731">
        <f t="shared" si="1659"/>
        <v>43.845925661041335</v>
      </c>
      <c r="I692" s="750">
        <v>2</v>
      </c>
      <c r="J692" s="729" t="s">
        <v>137</v>
      </c>
      <c r="K692" s="729" t="s">
        <v>14734</v>
      </c>
      <c r="L692" s="729" t="s">
        <v>24</v>
      </c>
      <c r="M692" s="729" t="s">
        <v>138</v>
      </c>
      <c r="N692" s="729">
        <f>IFERROR(VLOOKUP(C692,[3]List1!$A:$D,4,FALSE),"N/A!")</f>
        <v>3.50595E-2</v>
      </c>
      <c r="O692" s="729">
        <f>IFERROR(VLOOKUP(C692,[3]List1!$A:$D,3,FALSE),"N/A!")</f>
        <v>1800</v>
      </c>
      <c r="P692" s="729">
        <f>IFERROR(VLOOKUP(C692,[3]List1!$A:$D,2,FALSE),"N/A!")</f>
        <v>12500</v>
      </c>
      <c r="Q692" s="729" t="s">
        <v>14228</v>
      </c>
      <c r="R692" s="729" t="s">
        <v>24</v>
      </c>
      <c r="S692" s="729" t="str">
        <f>IF($W$17=$AF$1,"design",IFERROR(VLOOKUP("design",Jazyky_ceník!$A:$Q,MATCH($W$17,Jazyky_ceník!$A$1:$Q$1,0),FALSE),"!!!"))</f>
        <v>design</v>
      </c>
      <c r="T692" s="729">
        <v>50</v>
      </c>
      <c r="U692" s="729">
        <v>40</v>
      </c>
      <c r="V692" s="729">
        <v>29</v>
      </c>
      <c r="W692" s="729" t="str">
        <f>IFERROR(VLOOKUP('General price list'!$C692,Popisy!A:P,MATCH($W$17,Popisy!$A$7:$P$7,0),FALSE),"---------------")</f>
        <v>7 různobarevných efektu</v>
      </c>
      <c r="X692" s="729" t="str">
        <f t="shared" si="1660"/>
        <v/>
      </c>
      <c r="Y692" s="729" t="str">
        <f t="shared" si="1661"/>
        <v/>
      </c>
      <c r="Z692" s="729" t="str">
        <f>HYPERLINK("https://www.klasekpyrotechnics.cz/c493pr")</f>
        <v>https://www.klasekpyrotechnics.cz/c493pr</v>
      </c>
      <c r="AA692" s="729">
        <f>IFERROR(IF(VLOOKUP(C692,[4]List1!$A:$D,4,FALSE)=0,"",VLOOKUP(C692,[4]List1!$A:$D,4,FALSE)),"")</f>
        <v>42</v>
      </c>
      <c r="AB692" s="720"/>
      <c r="AC692" s="751" t="str">
        <f>IFERROR(IF(VLOOKUP(C692,[1]List1!$A:$D,2,FALSE)="VYPRODÁNO",$V$9,IF(VLOOKUP(C692,[1]List1!$A:$D,2,FALSE)="DOCHÁZÍ",$V$3,VLOOKUP(C692,[1]List1!$A:$D,2,FALSE))),"OFFLINE!")</f>
        <v>15.09.2024</v>
      </c>
      <c r="AD692" s="752" t="str">
        <f ca="1">IF(AP692="NE",$V$10,IF(AC692=$V$3,IF(AQ692&lt;1,$V$8,$V$2&amp;" "&amp;AQ692&amp;" "&amp;$V$1),IF(AC692="SKLADEM",$V$6,IFERROR(IF(OR(AC692-TODAY()&gt;45,VLOOKUP(C692,[1]List1!$A:$E,4,FALSE)=0),AC692,DAY(AC692)&amp;"."&amp;MONTH(AC692)&amp;"."&amp;YEAR(AC692)&amp;" "&amp;$V$4&amp;VLOOKUP(C692,[1]List1!$A:$E,4,FALSE)&amp;" "&amp;$V$1),AC692))))</f>
        <v>15.09.2024</v>
      </c>
      <c r="AE692" s="729" t="str">
        <f t="shared" ca="1" si="1662"/>
        <v>15.09.2024</v>
      </c>
      <c r="AF692" s="735">
        <f t="shared" si="1663"/>
        <v>0</v>
      </c>
      <c r="AG692" s="735">
        <f t="shared" si="1664"/>
        <v>0</v>
      </c>
      <c r="AH692" s="736">
        <f t="shared" si="1665"/>
        <v>0</v>
      </c>
      <c r="AI692" s="729">
        <f t="shared" si="1666"/>
        <v>0</v>
      </c>
      <c r="AJ692" s="729">
        <f t="shared" si="1667"/>
        <v>0</v>
      </c>
      <c r="AK692" s="729" t="str">
        <f t="shared" si="1668"/>
        <v/>
      </c>
      <c r="AL692" s="729">
        <f t="shared" si="1669"/>
        <v>0</v>
      </c>
      <c r="AM692" s="729" t="str">
        <f t="shared" si="1670"/>
        <v/>
      </c>
      <c r="AN692" s="729">
        <f t="shared" si="1671"/>
        <v>0</v>
      </c>
      <c r="AO692" s="380"/>
      <c r="AP692" s="322" t="str">
        <f t="shared" si="1574"/>
        <v/>
      </c>
      <c r="AQ692" s="323" t="str">
        <f>IF(AC692=$V$3,IF(VLOOKUP(C692,[1]List1!$A:$E,5,FALSE)=0,1,VLOOKUP(C692,[1]List1!$A:$E,5,FALSE)),"")</f>
        <v/>
      </c>
      <c r="AR692" s="304" t="str">
        <f t="shared" si="1575"/>
        <v/>
      </c>
      <c r="AS692" s="423" t="str">
        <f t="shared" si="1576"/>
        <v/>
      </c>
      <c r="AT692" s="304" t="str">
        <f t="shared" si="1577"/>
        <v/>
      </c>
      <c r="AU692" s="342" t="e">
        <f t="shared" si="1578"/>
        <v>#N/A</v>
      </c>
      <c r="AV692" s="304" t="e">
        <f t="shared" si="1579"/>
        <v>#N/A</v>
      </c>
      <c r="AX692" s="304">
        <f>IF(AND('General price list'!$J692="F4",'General price list'!$AB692+0&gt;0),1,0)</f>
        <v>0</v>
      </c>
      <c r="AY692" s="304">
        <f t="shared" si="1580"/>
        <v>1</v>
      </c>
      <c r="AZ692" s="304">
        <f t="shared" si="1581"/>
        <v>0</v>
      </c>
    </row>
    <row r="693" spans="1:52" ht="15" customHeight="1">
      <c r="A693" s="712" t="str">
        <f>Kat.!C690</f>
        <v/>
      </c>
      <c r="B693" s="745">
        <f>IF(AND('General price list'!$J693="F4",$AI$1=FALSE),0,IF(AC693="SKLADEM",1,IF(AC693=$V$3,1,0)))</f>
        <v>1</v>
      </c>
      <c r="C693" s="714" t="s">
        <v>1510</v>
      </c>
      <c r="D693" s="715" t="s">
        <v>1511</v>
      </c>
      <c r="E693" s="716" t="s">
        <v>1078</v>
      </c>
      <c r="F693" s="712">
        <f>IFERROR(ROUND(IF($AL$3=2,VLOOKUP(C693,[2]List1!$A:$D,2,FALSE)*1.08,VLOOKUP(C693,[2]List1!$A:$D,2,FALSE)),0),"NEUVEDENO!")</f>
        <v>1079</v>
      </c>
      <c r="G693" s="717">
        <f t="shared" si="1658"/>
        <v>1079</v>
      </c>
      <c r="H693" s="718">
        <f t="shared" si="1659"/>
        <v>43.845925661041335</v>
      </c>
      <c r="I693" s="746">
        <v>2</v>
      </c>
      <c r="J693" s="716" t="s">
        <v>137</v>
      </c>
      <c r="K693" s="716" t="s">
        <v>14734</v>
      </c>
      <c r="L693" s="716" t="s">
        <v>24</v>
      </c>
      <c r="M693" s="716" t="s">
        <v>138</v>
      </c>
      <c r="N693" s="716">
        <f>IFERROR(VLOOKUP(C693,[3]List1!$A:$D,4,FALSE),"N/A!")</f>
        <v>3.50595E-2</v>
      </c>
      <c r="O693" s="716">
        <f>IFERROR(VLOOKUP(C693,[3]List1!$A:$D,3,FALSE),"N/A!")</f>
        <v>1862</v>
      </c>
      <c r="P693" s="716">
        <f>IFERROR(VLOOKUP(C693,[3]List1!$A:$D,2,FALSE),"N/A!")</f>
        <v>14000</v>
      </c>
      <c r="Q693" s="716" t="s">
        <v>14228</v>
      </c>
      <c r="R693" s="716" t="s">
        <v>24</v>
      </c>
      <c r="S693" s="716" t="str">
        <f>IF($W$17=$AF$1,"červená fólie",IFERROR(VLOOKUP("červená fólie",Jazyky_ceník!$A:$Q,MATCH($W$17,Jazyky_ceník!$A$1:$Q$1,0),FALSE),"!!!"))</f>
        <v>červená fólie</v>
      </c>
      <c r="T693" s="716">
        <v>50</v>
      </c>
      <c r="U693" s="716">
        <v>40</v>
      </c>
      <c r="V693" s="716">
        <v>30</v>
      </c>
      <c r="W693" s="716" t="str">
        <f>IFERROR(VLOOKUP('General price list'!$C693,Popisy!A:P,MATCH($W$17,Popisy!$A$7:$P$7,0),FALSE),"---------------")</f>
        <v>7 různobarevných efektu</v>
      </c>
      <c r="X693" s="716" t="str">
        <f t="shared" si="1660"/>
        <v/>
      </c>
      <c r="Y693" s="716" t="str">
        <f t="shared" si="1661"/>
        <v/>
      </c>
      <c r="Z693" s="716" t="str">
        <f>HYPERLINK("https://www.klasekpyrotechnics.cz/c493ru")</f>
        <v>https://www.klasekpyrotechnics.cz/c493ru</v>
      </c>
      <c r="AA693" s="716">
        <f>IFERROR(IF(VLOOKUP(C693,[4]List1!$A:$D,4,FALSE)=0,"",VLOOKUP(C693,[4]List1!$A:$D,4,FALSE)),"")</f>
        <v>42</v>
      </c>
      <c r="AB693" s="720"/>
      <c r="AC693" s="747" t="str">
        <f>IFERROR(IF(VLOOKUP(C693,[1]List1!$A:$D,2,FALSE)="VYPRODÁNO",$V$9,IF(VLOOKUP(C693,[1]List1!$A:$D,2,FALSE)="DOCHÁZÍ",$V$3,VLOOKUP(C693,[1]List1!$A:$D,2,FALSE))),"OFFLINE!")</f>
        <v>SKLADEM</v>
      </c>
      <c r="AD693" s="748" t="str">
        <f ca="1">IF(AP693="NE",$V$10,IF(AC693=$V$3,IF(AQ693&lt;1,$V$8,$V$2&amp;" "&amp;AQ693&amp;" "&amp;$V$1),IF(AC693="SKLADEM",$V$6,IFERROR(IF(OR(AC693-TODAY()&gt;45,VLOOKUP(C693,[1]List1!$A:$E,4,FALSE)=0),AC693,DAY(AC693)&amp;"."&amp;MONTH(AC693)&amp;"."&amp;YEAR(AC693)&amp;" "&amp;$V$4&amp;VLOOKUP(C693,[1]List1!$A:$E,4,FALSE)&amp;" "&amp;$V$1),AC693))))</f>
        <v>SKLADEM</v>
      </c>
      <c r="AE693" s="716" t="str">
        <f t="shared" ca="1" si="1662"/>
        <v>SKLADEM</v>
      </c>
      <c r="AF693" s="723">
        <f t="shared" si="1663"/>
        <v>0</v>
      </c>
      <c r="AG693" s="723">
        <f t="shared" si="1664"/>
        <v>0</v>
      </c>
      <c r="AH693" s="724">
        <f t="shared" si="1665"/>
        <v>0</v>
      </c>
      <c r="AI693" s="716">
        <f t="shared" si="1666"/>
        <v>0</v>
      </c>
      <c r="AJ693" s="716">
        <f t="shared" si="1667"/>
        <v>0</v>
      </c>
      <c r="AK693" s="716" t="str">
        <f t="shared" si="1668"/>
        <v/>
      </c>
      <c r="AL693" s="716">
        <f t="shared" si="1669"/>
        <v>0</v>
      </c>
      <c r="AM693" s="716" t="str">
        <f t="shared" si="1670"/>
        <v/>
      </c>
      <c r="AN693" s="716">
        <f t="shared" si="1671"/>
        <v>0</v>
      </c>
      <c r="AO693" s="380"/>
      <c r="AP693" s="322" t="str">
        <f t="shared" si="1574"/>
        <v/>
      </c>
      <c r="AQ693" s="323" t="str">
        <f>IF(AC693=$V$3,IF(VLOOKUP(C693,[1]List1!$A:$E,5,FALSE)=0,1,VLOOKUP(C693,[1]List1!$A:$E,5,FALSE)),"")</f>
        <v/>
      </c>
      <c r="AR693" s="304" t="str">
        <f t="shared" si="1575"/>
        <v/>
      </c>
      <c r="AS693" s="423" t="str">
        <f t="shared" si="1576"/>
        <v/>
      </c>
      <c r="AT693" s="304" t="str">
        <f t="shared" si="1577"/>
        <v/>
      </c>
      <c r="AU693" s="342" t="e">
        <f t="shared" si="1578"/>
        <v>#N/A</v>
      </c>
      <c r="AV693" s="304" t="e">
        <f t="shared" si="1579"/>
        <v>#N/A</v>
      </c>
      <c r="AX693" s="304">
        <f>IF(AND('General price list'!$J693="F4",'General price list'!$AB693+0&gt;0),1,0)</f>
        <v>0</v>
      </c>
      <c r="AY693" s="304">
        <f t="shared" si="1580"/>
        <v>1</v>
      </c>
      <c r="AZ693" s="304">
        <f t="shared" si="1581"/>
        <v>0</v>
      </c>
    </row>
    <row r="694" spans="1:52" ht="15" customHeight="1">
      <c r="A694" s="725" t="str">
        <f>Kat.!C691</f>
        <v/>
      </c>
      <c r="B694" s="749">
        <f>IF(AND('General price list'!$J694="F4",$AI$1=FALSE),0,IF(AC694="SKLADEM",1,IF(AC694=$V$3,1,0)))</f>
        <v>0</v>
      </c>
      <c r="C694" s="727" t="s">
        <v>1512</v>
      </c>
      <c r="D694" s="728" t="s">
        <v>1505</v>
      </c>
      <c r="E694" s="729" t="s">
        <v>1078</v>
      </c>
      <c r="F694" s="725">
        <f>IFERROR(ROUND(IF($AL$3=2,VLOOKUP(C694,[2]List1!$A:$D,2,FALSE)*1.08,VLOOKUP(C694,[2]List1!$A:$D,2,FALSE)),0),"NEUVEDENO!")</f>
        <v>1079</v>
      </c>
      <c r="G694" s="730">
        <f t="shared" si="1658"/>
        <v>1079</v>
      </c>
      <c r="H694" s="731">
        <f t="shared" si="1659"/>
        <v>43.845925661041335</v>
      </c>
      <c r="I694" s="750">
        <v>2</v>
      </c>
      <c r="J694" s="729" t="s">
        <v>137</v>
      </c>
      <c r="K694" s="729" t="s">
        <v>14734</v>
      </c>
      <c r="L694" s="729" t="s">
        <v>24</v>
      </c>
      <c r="M694" s="729" t="s">
        <v>138</v>
      </c>
      <c r="N694" s="729">
        <f>IFERROR(VLOOKUP(C694,[3]List1!$A:$D,4,FALSE),"N/A!")</f>
        <v>3.50595E-2</v>
      </c>
      <c r="O694" s="729">
        <f>IFERROR(VLOOKUP(C694,[3]List1!$A:$D,3,FALSE),"N/A!")</f>
        <v>1862</v>
      </c>
      <c r="P694" s="729">
        <f>IFERROR(VLOOKUP(C694,[3]List1!$A:$D,2,FALSE),"N/A!")</f>
        <v>12500</v>
      </c>
      <c r="Q694" s="729" t="s">
        <v>14228</v>
      </c>
      <c r="R694" s="729" t="s">
        <v>24</v>
      </c>
      <c r="S694" s="729" t="str">
        <f>IF($W$17=$AF$1,"design",IFERROR(VLOOKUP("design",Jazyky_ceník!$A:$Q,MATCH($W$17,Jazyky_ceník!$A$1:$Q$1,0),FALSE),"!!!"))</f>
        <v>design</v>
      </c>
      <c r="T694" s="729">
        <v>50</v>
      </c>
      <c r="U694" s="729">
        <v>40</v>
      </c>
      <c r="V694" s="729">
        <v>30</v>
      </c>
      <c r="W694" s="729" t="str">
        <f>IFERROR(VLOOKUP('General price list'!$C694,Popisy!A:P,MATCH($W$17,Popisy!$A$7:$P$7,0),FALSE),"---------------")</f>
        <v>7 různobarevných efektu</v>
      </c>
      <c r="X694" s="729" t="str">
        <f t="shared" si="1660"/>
        <v/>
      </c>
      <c r="Y694" s="729" t="str">
        <f t="shared" si="1661"/>
        <v/>
      </c>
      <c r="Z694" s="729" t="str">
        <f>HYPERLINK("https://www.klasekpyrotechnics.cz/c493ma")</f>
        <v>https://www.klasekpyrotechnics.cz/c493ma</v>
      </c>
      <c r="AA694" s="729">
        <f>IFERROR(IF(VLOOKUP(C694,[4]List1!$A:$D,4,FALSE)=0,"",VLOOKUP(C694,[4]List1!$A:$D,4,FALSE)),"")</f>
        <v>42</v>
      </c>
      <c r="AB694" s="720"/>
      <c r="AC694" s="751" t="str">
        <f>IFERROR(IF(VLOOKUP(C694,[1]List1!$A:$D,2,FALSE)="VYPRODÁNO",$V$9,IF(VLOOKUP(C694,[1]List1!$A:$D,2,FALSE)="DOCHÁZÍ",$V$3,VLOOKUP(C694,[1]List1!$A:$D,2,FALSE))),"OFFLINE!")</f>
        <v>15.09.2024</v>
      </c>
      <c r="AD694" s="752" t="str">
        <f ca="1">IF(AP694="NE",$V$10,IF(AC694=$V$3,IF(AQ694&lt;1,$V$8,$V$2&amp;" "&amp;AQ694&amp;" "&amp;$V$1),IF(AC694="SKLADEM",$V$6,IFERROR(IF(OR(AC694-TODAY()&gt;45,VLOOKUP(C694,[1]List1!$A:$E,4,FALSE)=0),AC694,DAY(AC694)&amp;"."&amp;MONTH(AC694)&amp;"."&amp;YEAR(AC694)&amp;" "&amp;$V$4&amp;VLOOKUP(C694,[1]List1!$A:$E,4,FALSE)&amp;" "&amp;$V$1),AC694))))</f>
        <v>15.09.2024</v>
      </c>
      <c r="AE694" s="729" t="str">
        <f t="shared" ca="1" si="1662"/>
        <v>15.09.2024</v>
      </c>
      <c r="AF694" s="735">
        <f t="shared" si="1663"/>
        <v>0</v>
      </c>
      <c r="AG694" s="735">
        <f t="shared" si="1664"/>
        <v>0</v>
      </c>
      <c r="AH694" s="736">
        <f t="shared" si="1665"/>
        <v>0</v>
      </c>
      <c r="AI694" s="729">
        <f t="shared" si="1666"/>
        <v>0</v>
      </c>
      <c r="AJ694" s="729">
        <f t="shared" si="1667"/>
        <v>0</v>
      </c>
      <c r="AK694" s="729" t="str">
        <f t="shared" si="1668"/>
        <v/>
      </c>
      <c r="AL694" s="729">
        <f t="shared" si="1669"/>
        <v>0</v>
      </c>
      <c r="AM694" s="729" t="str">
        <f t="shared" si="1670"/>
        <v/>
      </c>
      <c r="AN694" s="729">
        <f t="shared" si="1671"/>
        <v>0</v>
      </c>
      <c r="AO694" s="380"/>
      <c r="AP694" s="322" t="str">
        <f t="shared" si="1574"/>
        <v/>
      </c>
      <c r="AQ694" s="323" t="str">
        <f>IF(AC694=$V$3,IF(VLOOKUP(C694,[1]List1!$A:$E,5,FALSE)=0,1,VLOOKUP(C694,[1]List1!$A:$E,5,FALSE)),"")</f>
        <v/>
      </c>
      <c r="AR694" s="304" t="str">
        <f t="shared" si="1575"/>
        <v/>
      </c>
      <c r="AS694" s="423" t="str">
        <f t="shared" si="1576"/>
        <v/>
      </c>
      <c r="AT694" s="304" t="str">
        <f t="shared" si="1577"/>
        <v/>
      </c>
      <c r="AU694" s="342" t="e">
        <f t="shared" si="1578"/>
        <v>#N/A</v>
      </c>
      <c r="AV694" s="304" t="e">
        <f t="shared" si="1579"/>
        <v>#N/A</v>
      </c>
      <c r="AX694" s="304">
        <f>IF(AND('General price list'!$J694="F4",'General price list'!$AB694+0&gt;0),1,0)</f>
        <v>0</v>
      </c>
      <c r="AY694" s="304">
        <f t="shared" si="1580"/>
        <v>1</v>
      </c>
      <c r="AZ694" s="304">
        <f t="shared" si="1581"/>
        <v>0</v>
      </c>
    </row>
    <row r="695" spans="1:52" ht="15" customHeight="1">
      <c r="A695" s="712" t="str">
        <f>Kat.!C692</f>
        <v/>
      </c>
      <c r="B695" s="745">
        <f>IF(AND('General price list'!$J695="F4",$AI$1=FALSE),0,IF(AC695="SKLADEM",1,IF(AC695=$V$3,1,0)))</f>
        <v>0</v>
      </c>
      <c r="C695" s="714" t="s">
        <v>2465</v>
      </c>
      <c r="D695" s="715" t="s">
        <v>1509</v>
      </c>
      <c r="E695" s="716" t="s">
        <v>1078</v>
      </c>
      <c r="F695" s="712">
        <f>IFERROR(ROUND(IF($AL$3=2,VLOOKUP(C695,[2]List1!$A:$D,2,FALSE)*1.08,VLOOKUP(C695,[2]List1!$A:$D,2,FALSE)),0),"NEUVEDENO!")</f>
        <v>1079</v>
      </c>
      <c r="G695" s="717">
        <f t="shared" si="1658"/>
        <v>1079</v>
      </c>
      <c r="H695" s="718">
        <f t="shared" si="1659"/>
        <v>43.845925661041335</v>
      </c>
      <c r="I695" s="746">
        <v>2</v>
      </c>
      <c r="J695" s="716" t="s">
        <v>137</v>
      </c>
      <c r="K695" s="716" t="s">
        <v>14734</v>
      </c>
      <c r="L695" s="716" t="s">
        <v>24</v>
      </c>
      <c r="M695" s="716" t="s">
        <v>138</v>
      </c>
      <c r="N695" s="716">
        <f>IFERROR(VLOOKUP(C695,[3]List1!$A:$D,4,FALSE),"N/A!")</f>
        <v>3.50595E-2</v>
      </c>
      <c r="O695" s="716">
        <f>IFERROR(VLOOKUP(C695,[3]List1!$A:$D,3,FALSE),"N/A!")</f>
        <v>1862</v>
      </c>
      <c r="P695" s="716">
        <f>IFERROR(VLOOKUP(C695,[3]List1!$A:$D,2,FALSE),"N/A!")</f>
        <v>12500</v>
      </c>
      <c r="Q695" s="716" t="s">
        <v>14226</v>
      </c>
      <c r="R695" s="716" t="s">
        <v>24</v>
      </c>
      <c r="S695" s="716" t="str">
        <f>IF($W$17=$AF$1,"červená fólie",IFERROR(VLOOKUP("červená fólie",Jazyky_ceník!$A:$Q,MATCH($W$17,Jazyky_ceník!$A$1:$Q$1,0),FALSE),"!!!"))</f>
        <v>červená fólie</v>
      </c>
      <c r="T695" s="716">
        <v>65</v>
      </c>
      <c r="U695" s="716">
        <v>40</v>
      </c>
      <c r="V695" s="716">
        <v>30</v>
      </c>
      <c r="W695" s="716" t="str">
        <f>IFERROR(VLOOKUP('General price list'!$C695,Popisy!A:P,MATCH($W$17,Popisy!$A$7:$P$7,0),FALSE),"---------------")</f>
        <v>7 různobarevných efektu</v>
      </c>
      <c r="X695" s="716" t="str">
        <f t="shared" si="1660"/>
        <v/>
      </c>
      <c r="Y695" s="716" t="str">
        <f t="shared" si="1661"/>
        <v/>
      </c>
      <c r="Z695" s="716" t="str">
        <f>HYPERLINK("https://www.klasekpyrotechnics.cz/c493li")</f>
        <v>https://www.klasekpyrotechnics.cz/c493li</v>
      </c>
      <c r="AA695" s="716">
        <f>IFERROR(IF(VLOOKUP(C695,[4]List1!$A:$D,4,FALSE)=0,"",VLOOKUP(C695,[4]List1!$A:$D,4,FALSE)),"")</f>
        <v>42</v>
      </c>
      <c r="AB695" s="720"/>
      <c r="AC695" s="747" t="str">
        <f>IFERROR(IF(VLOOKUP(C695,[1]List1!$A:$D,2,FALSE)="VYPRODÁNO",$V$9,IF(VLOOKUP(C695,[1]List1!$A:$D,2,FALSE)="DOCHÁZÍ",$V$3,VLOOKUP(C695,[1]List1!$A:$D,2,FALSE))),"OFFLINE!")</f>
        <v>30.04.2024</v>
      </c>
      <c r="AD695" s="748" t="str">
        <f ca="1">IF(AP695="NE",$V$10,IF(AC695=$V$3,IF(AQ695&lt;1,$V$8,$V$2&amp;" "&amp;AQ695&amp;" "&amp;$V$1),IF(AC695="SKLADEM",$V$6,IFERROR(IF(OR(AC695-TODAY()&gt;45,VLOOKUP(C695,[1]List1!$A:$E,4,FALSE)=0),AC695,DAY(AC695)&amp;"."&amp;MONTH(AC695)&amp;"."&amp;YEAR(AC695)&amp;" "&amp;$V$4&amp;VLOOKUP(C695,[1]List1!$A:$E,4,FALSE)&amp;" "&amp;$V$1),AC695))))</f>
        <v>30.04.2024</v>
      </c>
      <c r="AE695" s="716" t="str">
        <f t="shared" ca="1" si="1662"/>
        <v>30.04.2024</v>
      </c>
      <c r="AF695" s="723">
        <f t="shared" si="1663"/>
        <v>0</v>
      </c>
      <c r="AG695" s="723">
        <f t="shared" si="1664"/>
        <v>0</v>
      </c>
      <c r="AH695" s="724">
        <f t="shared" si="1665"/>
        <v>0</v>
      </c>
      <c r="AI695" s="716">
        <f t="shared" si="1666"/>
        <v>0</v>
      </c>
      <c r="AJ695" s="716">
        <f t="shared" si="1667"/>
        <v>0</v>
      </c>
      <c r="AK695" s="716" t="str">
        <f t="shared" si="1668"/>
        <v/>
      </c>
      <c r="AL695" s="716">
        <f t="shared" si="1669"/>
        <v>0</v>
      </c>
      <c r="AM695" s="716" t="str">
        <f t="shared" si="1670"/>
        <v/>
      </c>
      <c r="AN695" s="716">
        <f t="shared" si="1671"/>
        <v>0</v>
      </c>
      <c r="AO695" s="380"/>
      <c r="AP695" s="322" t="str">
        <f t="shared" si="1574"/>
        <v/>
      </c>
      <c r="AQ695" s="323" t="str">
        <f>IF(AC695=$V$3,IF(VLOOKUP(C695,[1]List1!$A:$E,5,FALSE)=0,1,VLOOKUP(C695,[1]List1!$A:$E,5,FALSE)),"")</f>
        <v/>
      </c>
      <c r="AR695" s="304" t="str">
        <f t="shared" si="1575"/>
        <v/>
      </c>
      <c r="AS695" s="423" t="str">
        <f t="shared" si="1576"/>
        <v/>
      </c>
      <c r="AT695" s="304" t="str">
        <f t="shared" si="1577"/>
        <v/>
      </c>
      <c r="AU695" s="342" t="e">
        <f t="shared" si="1578"/>
        <v>#N/A</v>
      </c>
      <c r="AV695" s="304" t="e">
        <f t="shared" si="1579"/>
        <v>#N/A</v>
      </c>
      <c r="AX695" s="304">
        <f>IF(AND('General price list'!$J695="F4",'General price list'!$AB695+0&gt;0),1,0)</f>
        <v>0</v>
      </c>
      <c r="AY695" s="304">
        <f t="shared" si="1580"/>
        <v>1</v>
      </c>
      <c r="AZ695" s="304">
        <f t="shared" si="1581"/>
        <v>0</v>
      </c>
    </row>
    <row r="696" spans="1:52" ht="15" customHeight="1">
      <c r="A696" s="725" t="str">
        <f>Kat.!C693</f>
        <v/>
      </c>
      <c r="B696" s="749">
        <f>IF(AND('General price list'!$J696="F4",$AI$1=FALSE),0,IF(AC696="SKLADEM",1,IF(AC696=$V$3,1,0)))</f>
        <v>0</v>
      </c>
      <c r="C696" s="727" t="s">
        <v>1514</v>
      </c>
      <c r="D696" s="728" t="s">
        <v>14603</v>
      </c>
      <c r="E696" s="729" t="s">
        <v>1078</v>
      </c>
      <c r="F696" s="725">
        <f>IFERROR(ROUND(IF($AL$3=2,VLOOKUP(C696,[2]List1!$A:$D,2,FALSE)*1.08,VLOOKUP(C696,[2]List1!$A:$D,2,FALSE)),0),"NEUVEDENO!")</f>
        <v>1206</v>
      </c>
      <c r="G696" s="730">
        <f t="shared" si="1658"/>
        <v>1206</v>
      </c>
      <c r="H696" s="731">
        <f t="shared" si="1659"/>
        <v>49.006660192044343</v>
      </c>
      <c r="I696" s="750">
        <v>2</v>
      </c>
      <c r="J696" s="729" t="s">
        <v>137</v>
      </c>
      <c r="K696" s="729"/>
      <c r="L696" s="729" t="s">
        <v>24</v>
      </c>
      <c r="M696" s="729" t="s">
        <v>138</v>
      </c>
      <c r="N696" s="729">
        <f>IFERROR(VLOOKUP(C696,[3]List1!$A:$D,4,FALSE),"N/A!")</f>
        <v>3.50595E-2</v>
      </c>
      <c r="O696" s="729">
        <f>IFERROR(VLOOKUP(C696,[3]List1!$A:$D,3,FALSE),"N/A!")</f>
        <v>1618</v>
      </c>
      <c r="P696" s="729">
        <f>IFERROR(VLOOKUP(C696,[3]List1!$A:$D,2,FALSE),"N/A!")</f>
        <v>12500</v>
      </c>
      <c r="Q696" s="729" t="s">
        <v>14228</v>
      </c>
      <c r="R696" s="729" t="s">
        <v>24</v>
      </c>
      <c r="S696" s="729" t="str">
        <f>IF($W$17=$AF$1,"design",IFERROR(VLOOKUP("design",Jazyky_ceník!$A:$Q,MATCH($W$17,Jazyky_ceník!$A$1:$Q$1,0),FALSE),"!!!"))</f>
        <v>design</v>
      </c>
      <c r="T696" s="729">
        <v>35</v>
      </c>
      <c r="U696" s="729"/>
      <c r="V696" s="729"/>
      <c r="W696" s="729" t="str">
        <f>IFERROR(VLOOKUP('General price list'!$C696,Popisy!A:P,MATCH($W$17,Popisy!$A$7:$P$7,0),FALSE),"---------------")</f>
        <v>stříbrné miny s červenou stopou a titanovou detonací</v>
      </c>
      <c r="X696" s="729" t="str">
        <f t="shared" si="1660"/>
        <v/>
      </c>
      <c r="Y696" s="729" t="str">
        <f t="shared" si="1661"/>
        <v/>
      </c>
      <c r="Z696" s="729" t="str">
        <f>HYPERLINK("https://www.klasekpyrotechnics.cz/c493du")</f>
        <v>https://www.klasekpyrotechnics.cz/c493du</v>
      </c>
      <c r="AA696" s="729">
        <f>IFERROR(IF(VLOOKUP(C696,[4]List1!$A:$D,4,FALSE)=0,"",VLOOKUP(C696,[4]List1!$A:$D,4,FALSE)),"")</f>
        <v>42</v>
      </c>
      <c r="AB696" s="720"/>
      <c r="AC696" s="751" t="str">
        <f>IFERROR(IF(VLOOKUP(C696,[1]List1!$A:$D,2,FALSE)="VYPRODÁNO",$V$9,IF(VLOOKUP(C696,[1]List1!$A:$D,2,FALSE)="DOCHÁZÍ",$V$3,VLOOKUP(C696,[1]List1!$A:$D,2,FALSE))),"OFFLINE!")</f>
        <v>15.05.2024</v>
      </c>
      <c r="AD696" s="752" t="str">
        <f ca="1">IF(AP696="NE",$V$10,IF(AC696=$V$3,IF(AQ696&lt;1,$V$8,$V$2&amp;" "&amp;AQ696&amp;" "&amp;$V$1),IF(AC696="SKLADEM",$V$6,IFERROR(IF(OR(AC696-TODAY()&gt;45,VLOOKUP(C696,[1]List1!$A:$E,4,FALSE)=0),AC696,DAY(AC696)&amp;"."&amp;MONTH(AC696)&amp;"."&amp;YEAR(AC696)&amp;" "&amp;$V$4&amp;VLOOKUP(C696,[1]List1!$A:$E,4,FALSE)&amp;" "&amp;$V$1),AC696))))</f>
        <v>15.05.2024</v>
      </c>
      <c r="AE696" s="729" t="str">
        <f t="shared" ca="1" si="1662"/>
        <v>15.05.2024</v>
      </c>
      <c r="AF696" s="735">
        <f t="shared" si="1663"/>
        <v>0</v>
      </c>
      <c r="AG696" s="735">
        <f t="shared" si="1664"/>
        <v>0</v>
      </c>
      <c r="AH696" s="736">
        <f t="shared" si="1665"/>
        <v>0</v>
      </c>
      <c r="AI696" s="729">
        <f t="shared" si="1666"/>
        <v>0</v>
      </c>
      <c r="AJ696" s="729">
        <f t="shared" si="1667"/>
        <v>0</v>
      </c>
      <c r="AK696" s="729" t="str">
        <f t="shared" si="1668"/>
        <v/>
      </c>
      <c r="AL696" s="729">
        <f t="shared" si="1669"/>
        <v>0</v>
      </c>
      <c r="AM696" s="729" t="str">
        <f t="shared" si="1670"/>
        <v/>
      </c>
      <c r="AN696" s="729">
        <f t="shared" si="1671"/>
        <v>0</v>
      </c>
      <c r="AO696" s="380"/>
      <c r="AP696" s="322" t="str">
        <f t="shared" si="1574"/>
        <v/>
      </c>
      <c r="AQ696" s="323" t="str">
        <f>IF(AC696=$V$3,IF(VLOOKUP(C696,[1]List1!$A:$E,5,FALSE)=0,1,VLOOKUP(C696,[1]List1!$A:$E,5,FALSE)),"")</f>
        <v/>
      </c>
      <c r="AR696" s="304" t="str">
        <f t="shared" si="1575"/>
        <v/>
      </c>
      <c r="AS696" s="423" t="str">
        <f t="shared" si="1576"/>
        <v/>
      </c>
      <c r="AT696" s="304" t="str">
        <f t="shared" si="1577"/>
        <v/>
      </c>
      <c r="AU696" s="342" t="e">
        <f t="shared" si="1578"/>
        <v>#N/A</v>
      </c>
      <c r="AV696" s="304" t="e">
        <f t="shared" si="1579"/>
        <v>#N/A</v>
      </c>
      <c r="AX696" s="304">
        <f>IF(AND('General price list'!$J696="F4",'General price list'!$AB696+0&gt;0),1,0)</f>
        <v>0</v>
      </c>
      <c r="AY696" s="304">
        <f t="shared" si="1580"/>
        <v>1</v>
      </c>
      <c r="AZ696" s="304">
        <f t="shared" si="1581"/>
        <v>0</v>
      </c>
    </row>
    <row r="697" spans="1:52" ht="15" customHeight="1">
      <c r="A697" s="712" t="str">
        <f>Kat.!C694</f>
        <v/>
      </c>
      <c r="B697" s="745">
        <f>IF(AND('General price list'!$J697="F4",$AI$1=FALSE),0,IF(AC697="SKLADEM",1,IF(AC697=$V$3,1,0)))</f>
        <v>1</v>
      </c>
      <c r="C697" s="714" t="s">
        <v>1515</v>
      </c>
      <c r="D697" s="715" t="s">
        <v>1516</v>
      </c>
      <c r="E697" s="716" t="s">
        <v>1078</v>
      </c>
      <c r="F697" s="712">
        <f>IFERROR(ROUND(IF($AL$3=2,VLOOKUP(C697,[2]List1!$A:$D,2,FALSE)*1.08,VLOOKUP(C697,[2]List1!$A:$D,2,FALSE)),0),"NEUVEDENO!")</f>
        <v>1099</v>
      </c>
      <c r="G697" s="717">
        <f t="shared" si="1658"/>
        <v>1099</v>
      </c>
      <c r="H697" s="718">
        <f t="shared" si="1659"/>
        <v>44.658639760411887</v>
      </c>
      <c r="I697" s="746">
        <v>2</v>
      </c>
      <c r="J697" s="716" t="s">
        <v>137</v>
      </c>
      <c r="K697" s="716" t="s">
        <v>14734</v>
      </c>
      <c r="L697" s="716" t="s">
        <v>24</v>
      </c>
      <c r="M697" s="716" t="s">
        <v>138</v>
      </c>
      <c r="N697" s="716">
        <f>IFERROR(VLOOKUP(C697,[3]List1!$A:$D,4,FALSE),"N/A!")</f>
        <v>3.50595E-2</v>
      </c>
      <c r="O697" s="716">
        <f>IFERROR(VLOOKUP(C697,[3]List1!$A:$D,3,FALSE),"N/A!")</f>
        <v>1996</v>
      </c>
      <c r="P697" s="716">
        <f>IFERROR(VLOOKUP(C697,[3]List1!$A:$D,2,FALSE),"N/A!")</f>
        <v>12500</v>
      </c>
      <c r="Q697" s="716" t="s">
        <v>14228</v>
      </c>
      <c r="R697" s="716" t="s">
        <v>24</v>
      </c>
      <c r="S697" s="716" t="str">
        <f>IF($W$17=$AF$1,"červená fólie",IFERROR(VLOOKUP("červená fólie",Jazyky_ceník!$A:$Q,MATCH($W$17,Jazyky_ceník!$A$1:$Q$1,0),FALSE),"!!!"))</f>
        <v>červená fólie</v>
      </c>
      <c r="T697" s="716">
        <v>35</v>
      </c>
      <c r="U697" s="716">
        <v>40</v>
      </c>
      <c r="V697" s="716">
        <v>30</v>
      </c>
      <c r="W697" s="716" t="str">
        <f>IFERROR(VLOOKUP('General price list'!$C697,Popisy!A:P,MATCH($W$17,Popisy!$A$7:$P$7,0),FALSE),"---------------")</f>
        <v>červená stopa s bílými blikajícími hvězdami</v>
      </c>
      <c r="X697" s="716" t="str">
        <f t="shared" si="1660"/>
        <v/>
      </c>
      <c r="Y697" s="716" t="str">
        <f t="shared" si="1661"/>
        <v/>
      </c>
      <c r="Z697" s="716" t="str">
        <f>HYPERLINK("https://www.klasekpyrotechnics.cz/c493sw")</f>
        <v>https://www.klasekpyrotechnics.cz/c493sw</v>
      </c>
      <c r="AA697" s="716">
        <f>IFERROR(IF(VLOOKUP(C697,[4]List1!$A:$D,4,FALSE)=0,"",VLOOKUP(C697,[4]List1!$A:$D,4,FALSE)),"")</f>
        <v>42</v>
      </c>
      <c r="AB697" s="720"/>
      <c r="AC697" s="747" t="str">
        <f>IFERROR(IF(VLOOKUP(C697,[1]List1!$A:$D,2,FALSE)="VYPRODÁNO",$V$9,IF(VLOOKUP(C697,[1]List1!$A:$D,2,FALSE)="DOCHÁZÍ",$V$3,VLOOKUP(C697,[1]List1!$A:$D,2,FALSE))),"OFFLINE!")</f>
        <v>SKLADEM</v>
      </c>
      <c r="AD697" s="748" t="str">
        <f ca="1">IF(AP697="NE",$V$10,IF(AC697=$V$3,IF(AQ697&lt;1,$V$8,$V$2&amp;" "&amp;AQ697&amp;" "&amp;$V$1),IF(AC697="SKLADEM",$V$6,IFERROR(IF(OR(AC697-TODAY()&gt;45,VLOOKUP(C697,[1]List1!$A:$E,4,FALSE)=0),AC697,DAY(AC697)&amp;"."&amp;MONTH(AC697)&amp;"."&amp;YEAR(AC697)&amp;" "&amp;$V$4&amp;VLOOKUP(C697,[1]List1!$A:$E,4,FALSE)&amp;" "&amp;$V$1),AC697))))</f>
        <v>SKLADEM</v>
      </c>
      <c r="AE697" s="716" t="str">
        <f t="shared" ca="1" si="1662"/>
        <v>SKLADEM</v>
      </c>
      <c r="AF697" s="723">
        <f t="shared" si="1663"/>
        <v>0</v>
      </c>
      <c r="AG697" s="723">
        <f t="shared" si="1664"/>
        <v>0</v>
      </c>
      <c r="AH697" s="724">
        <f t="shared" si="1665"/>
        <v>0</v>
      </c>
      <c r="AI697" s="716">
        <f t="shared" si="1666"/>
        <v>0</v>
      </c>
      <c r="AJ697" s="716">
        <f t="shared" si="1667"/>
        <v>0</v>
      </c>
      <c r="AK697" s="716" t="str">
        <f t="shared" si="1668"/>
        <v/>
      </c>
      <c r="AL697" s="716">
        <f t="shared" si="1669"/>
        <v>0</v>
      </c>
      <c r="AM697" s="716" t="str">
        <f t="shared" si="1670"/>
        <v/>
      </c>
      <c r="AN697" s="716">
        <f t="shared" si="1671"/>
        <v>0</v>
      </c>
      <c r="AO697" s="380"/>
      <c r="AP697" s="322" t="str">
        <f t="shared" si="1574"/>
        <v/>
      </c>
      <c r="AQ697" s="323" t="str">
        <f>IF(AC697=$V$3,IF(VLOOKUP(C697,[1]List1!$A:$E,5,FALSE)=0,1,VLOOKUP(C697,[1]List1!$A:$E,5,FALSE)),"")</f>
        <v/>
      </c>
      <c r="AR697" s="304" t="str">
        <f t="shared" si="1575"/>
        <v/>
      </c>
      <c r="AS697" s="423" t="str">
        <f t="shared" si="1576"/>
        <v/>
      </c>
      <c r="AT697" s="304" t="str">
        <f t="shared" si="1577"/>
        <v/>
      </c>
      <c r="AU697" s="342" t="e">
        <f t="shared" si="1578"/>
        <v>#N/A</v>
      </c>
      <c r="AV697" s="304" t="e">
        <f t="shared" si="1579"/>
        <v>#N/A</v>
      </c>
      <c r="AX697" s="304">
        <f>IF(AND('General price list'!$J697="F4",'General price list'!$AB697+0&gt;0),1,0)</f>
        <v>0</v>
      </c>
      <c r="AY697" s="304">
        <f t="shared" si="1580"/>
        <v>1</v>
      </c>
      <c r="AZ697" s="304">
        <f t="shared" si="1581"/>
        <v>0</v>
      </c>
    </row>
    <row r="698" spans="1:52" ht="15" customHeight="1">
      <c r="A698" s="725" t="str">
        <f>Kat.!C695</f>
        <v/>
      </c>
      <c r="B698" s="749">
        <f>IF(AND('General price list'!$J698="F4",$AI$1=FALSE),0,IF(AC698="SKLADEM",1,IF(AC698=$V$3,1,0)))</f>
        <v>1</v>
      </c>
      <c r="C698" s="727" t="s">
        <v>1520</v>
      </c>
      <c r="D698" s="728" t="s">
        <v>1521</v>
      </c>
      <c r="E698" s="729" t="s">
        <v>1078</v>
      </c>
      <c r="F698" s="725">
        <f>IFERROR(ROUND(IF($AL$3=2,VLOOKUP(C698,[2]List1!$A:$D,2,FALSE)*1.08,VLOOKUP(C698,[2]List1!$A:$D,2,FALSE)),0),"NEUVEDENO!")</f>
        <v>1099</v>
      </c>
      <c r="G698" s="730">
        <f t="shared" si="1658"/>
        <v>1099</v>
      </c>
      <c r="H698" s="731">
        <f t="shared" si="1659"/>
        <v>44.658639760411887</v>
      </c>
      <c r="I698" s="750">
        <v>2</v>
      </c>
      <c r="J698" s="729" t="s">
        <v>137</v>
      </c>
      <c r="K698" s="729" t="s">
        <v>14734</v>
      </c>
      <c r="L698" s="729" t="s">
        <v>24</v>
      </c>
      <c r="M698" s="729" t="s">
        <v>138</v>
      </c>
      <c r="N698" s="729">
        <f>IFERROR(VLOOKUP(C698,[3]List1!$A:$D,4,FALSE),"N/A!")</f>
        <v>3.50595E-2</v>
      </c>
      <c r="O698" s="729">
        <f>IFERROR(VLOOKUP(C698,[3]List1!$A:$D,3,FALSE),"N/A!")</f>
        <v>1862</v>
      </c>
      <c r="P698" s="729">
        <f>IFERROR(VLOOKUP(C698,[3]List1!$A:$D,2,FALSE),"N/A!")</f>
        <v>12500</v>
      </c>
      <c r="Q698" s="729" t="s">
        <v>14228</v>
      </c>
      <c r="R698" s="729" t="s">
        <v>24</v>
      </c>
      <c r="S698" s="729" t="str">
        <f>IF($W$17=$AF$1,"červená fólie",IFERROR(VLOOKUP("červená fólie",Jazyky_ceník!$A:$Q,MATCH($W$17,Jazyky_ceník!$A$1:$Q$1,0),FALSE),"!!!"))</f>
        <v>červená fólie</v>
      </c>
      <c r="T698" s="729">
        <v>35</v>
      </c>
      <c r="U698" s="729">
        <v>40</v>
      </c>
      <c r="V698" s="729">
        <v>30</v>
      </c>
      <c r="W698" s="729" t="str">
        <f>IFERROR(VLOOKUP('General price list'!$C698,Popisy!A:P,MATCH($W$17,Popisy!$A$7:$P$7,0),FALSE),"---------------")</f>
        <v>barevná stopa s barevnými perlami a červeno/zlatým opožděným středem</v>
      </c>
      <c r="X698" s="729" t="str">
        <f t="shared" si="1660"/>
        <v/>
      </c>
      <c r="Y698" s="729" t="str">
        <f t="shared" si="1661"/>
        <v/>
      </c>
      <c r="Z698" s="729" t="str">
        <f>HYPERLINK("https://www.klasekpyrotechnics.cz/c493gh")</f>
        <v>https://www.klasekpyrotechnics.cz/c493gh</v>
      </c>
      <c r="AA698" s="729">
        <f>IFERROR(IF(VLOOKUP(C698,[4]List1!$A:$D,4,FALSE)=0,"",VLOOKUP(C698,[4]List1!$A:$D,4,FALSE)),"")</f>
        <v>42</v>
      </c>
      <c r="AB698" s="720"/>
      <c r="AC698" s="751" t="str">
        <f>IFERROR(IF(VLOOKUP(C698,[1]List1!$A:$D,2,FALSE)="VYPRODÁNO",$V$9,IF(VLOOKUP(C698,[1]List1!$A:$D,2,FALSE)="DOCHÁZÍ",$V$3,VLOOKUP(C698,[1]List1!$A:$D,2,FALSE))),"OFFLINE!")</f>
        <v>SKLADEM</v>
      </c>
      <c r="AD698" s="752" t="str">
        <f ca="1">IF(AP698="NE",$V$10,IF(AC698=$V$3,IF(AQ698&lt;1,$V$8,$V$2&amp;" "&amp;AQ698&amp;" "&amp;$V$1),IF(AC698="SKLADEM",$V$6,IFERROR(IF(OR(AC698-TODAY()&gt;45,VLOOKUP(C698,[1]List1!$A:$E,4,FALSE)=0),AC698,DAY(AC698)&amp;"."&amp;MONTH(AC698)&amp;"."&amp;YEAR(AC698)&amp;" "&amp;$V$4&amp;VLOOKUP(C698,[1]List1!$A:$E,4,FALSE)&amp;" "&amp;$V$1),AC698))))</f>
        <v>SKLADEM</v>
      </c>
      <c r="AE698" s="729" t="str">
        <f t="shared" ca="1" si="1662"/>
        <v>SKLADEM</v>
      </c>
      <c r="AF698" s="735">
        <f t="shared" si="1663"/>
        <v>0</v>
      </c>
      <c r="AG698" s="735">
        <f t="shared" si="1664"/>
        <v>0</v>
      </c>
      <c r="AH698" s="736">
        <f t="shared" si="1665"/>
        <v>0</v>
      </c>
      <c r="AI698" s="729">
        <f t="shared" si="1666"/>
        <v>0</v>
      </c>
      <c r="AJ698" s="729">
        <f t="shared" si="1667"/>
        <v>0</v>
      </c>
      <c r="AK698" s="729" t="str">
        <f t="shared" si="1668"/>
        <v/>
      </c>
      <c r="AL698" s="729">
        <f t="shared" si="1669"/>
        <v>0</v>
      </c>
      <c r="AM698" s="729" t="str">
        <f t="shared" si="1670"/>
        <v/>
      </c>
      <c r="AN698" s="729">
        <f t="shared" si="1671"/>
        <v>0</v>
      </c>
      <c r="AO698" s="380"/>
      <c r="AP698" s="322" t="str">
        <f t="shared" si="1574"/>
        <v/>
      </c>
      <c r="AQ698" s="323" t="str">
        <f>IF(AC698=$V$3,IF(VLOOKUP(C698,[1]List1!$A:$E,5,FALSE)=0,1,VLOOKUP(C698,[1]List1!$A:$E,5,FALSE)),"")</f>
        <v/>
      </c>
      <c r="AR698" s="304" t="str">
        <f t="shared" si="1575"/>
        <v/>
      </c>
      <c r="AS698" s="423" t="str">
        <f t="shared" si="1576"/>
        <v/>
      </c>
      <c r="AT698" s="304" t="str">
        <f t="shared" si="1577"/>
        <v/>
      </c>
      <c r="AU698" s="342" t="e">
        <f t="shared" si="1578"/>
        <v>#N/A</v>
      </c>
      <c r="AV698" s="304" t="e">
        <f t="shared" si="1579"/>
        <v>#N/A</v>
      </c>
      <c r="AX698" s="304">
        <f>IF(AND('General price list'!$J698="F4",'General price list'!$AB698+0&gt;0),1,0)</f>
        <v>0</v>
      </c>
      <c r="AY698" s="304">
        <f t="shared" si="1580"/>
        <v>1</v>
      </c>
      <c r="AZ698" s="304">
        <f t="shared" si="1581"/>
        <v>0</v>
      </c>
    </row>
    <row r="699" spans="1:52" ht="15" customHeight="1">
      <c r="A699" s="712" t="str">
        <f>Kat.!C696</f>
        <v/>
      </c>
      <c r="B699" s="745">
        <f>IF(AND('General price list'!$J699="F4",$AI$1=FALSE),0,IF(AC699="SKLADEM",1,IF(AC699=$V$3,1,0)))</f>
        <v>1</v>
      </c>
      <c r="C699" s="714" t="s">
        <v>1525</v>
      </c>
      <c r="D699" s="715" t="s">
        <v>1526</v>
      </c>
      <c r="E699" s="716" t="s">
        <v>1078</v>
      </c>
      <c r="F699" s="712">
        <f>IFERROR(ROUND(IF($AL$3=2,VLOOKUP(C699,[2]List1!$A:$D,2,FALSE)*1.08,VLOOKUP(C699,[2]List1!$A:$D,2,FALSE)),0),"NEUVEDENO!")</f>
        <v>1099</v>
      </c>
      <c r="G699" s="717">
        <f t="shared" si="1658"/>
        <v>1099</v>
      </c>
      <c r="H699" s="718">
        <f t="shared" si="1659"/>
        <v>44.658639760411887</v>
      </c>
      <c r="I699" s="746">
        <v>2</v>
      </c>
      <c r="J699" s="716" t="s">
        <v>137</v>
      </c>
      <c r="K699" s="716" t="s">
        <v>14734</v>
      </c>
      <c r="L699" s="716" t="s">
        <v>24</v>
      </c>
      <c r="M699" s="716" t="s">
        <v>138</v>
      </c>
      <c r="N699" s="716">
        <f>IFERROR(VLOOKUP(C699,[3]List1!$A:$D,4,FALSE),"N/A!")</f>
        <v>3.50595E-2</v>
      </c>
      <c r="O699" s="716">
        <f>IFERROR(VLOOKUP(C699,[3]List1!$A:$D,3,FALSE),"N/A!")</f>
        <v>1862</v>
      </c>
      <c r="P699" s="716">
        <f>IFERROR(VLOOKUP(C699,[3]List1!$A:$D,2,FALSE),"N/A!")</f>
        <v>12500</v>
      </c>
      <c r="Q699" s="716" t="s">
        <v>14228</v>
      </c>
      <c r="R699" s="716" t="s">
        <v>24</v>
      </c>
      <c r="S699" s="716" t="str">
        <f>IF($W$17=$AF$1,"červená fólie",IFERROR(VLOOKUP("červená fólie",Jazyky_ceník!$A:$Q,MATCH($W$17,Jazyky_ceník!$A$1:$Q$1,0),FALSE),"!!!"))</f>
        <v>červená fólie</v>
      </c>
      <c r="T699" s="716">
        <v>35</v>
      </c>
      <c r="U699" s="716">
        <v>40</v>
      </c>
      <c r="V699" s="716">
        <v>30</v>
      </c>
      <c r="W699" s="716" t="str">
        <f>IFERROR(VLOOKUP('General price list'!$C699,Popisy!A:P,MATCH($W$17,Popisy!$A$7:$P$7,0),FALSE),"---------------")</f>
        <v>červená blikající vrba</v>
      </c>
      <c r="X699" s="716" t="str">
        <f t="shared" si="1660"/>
        <v/>
      </c>
      <c r="Y699" s="716" t="str">
        <f t="shared" si="1661"/>
        <v/>
      </c>
      <c r="Z699" s="716" t="str">
        <f>HYPERLINK("https://www.klasekpyrotechnics.cz/c493rg")</f>
        <v>https://www.klasekpyrotechnics.cz/c493rg</v>
      </c>
      <c r="AA699" s="716">
        <f>IFERROR(IF(VLOOKUP(C699,[4]List1!$A:$D,4,FALSE)=0,"",VLOOKUP(C699,[4]List1!$A:$D,4,FALSE)),"")</f>
        <v>42</v>
      </c>
      <c r="AB699" s="720"/>
      <c r="AC699" s="747" t="str">
        <f>IFERROR(IF(VLOOKUP(C699,[1]List1!$A:$D,2,FALSE)="VYPRODÁNO",$V$9,IF(VLOOKUP(C699,[1]List1!$A:$D,2,FALSE)="DOCHÁZÍ",$V$3,VLOOKUP(C699,[1]List1!$A:$D,2,FALSE))),"OFFLINE!")</f>
        <v>SKLADEM</v>
      </c>
      <c r="AD699" s="748" t="str">
        <f ca="1">IF(AP699="NE",$V$10,IF(AC699=$V$3,IF(AQ699&lt;1,$V$8,$V$2&amp;" "&amp;AQ699&amp;" "&amp;$V$1),IF(AC699="SKLADEM",$V$6,IFERROR(IF(OR(AC699-TODAY()&gt;45,VLOOKUP(C699,[1]List1!$A:$E,4,FALSE)=0),AC699,DAY(AC699)&amp;"."&amp;MONTH(AC699)&amp;"."&amp;YEAR(AC699)&amp;" "&amp;$V$4&amp;VLOOKUP(C699,[1]List1!$A:$E,4,FALSE)&amp;" "&amp;$V$1),AC699))))</f>
        <v>SKLADEM</v>
      </c>
      <c r="AE699" s="716" t="str">
        <f t="shared" ca="1" si="1662"/>
        <v>SKLADEM</v>
      </c>
      <c r="AF699" s="723">
        <f t="shared" si="1663"/>
        <v>0</v>
      </c>
      <c r="AG699" s="723">
        <f t="shared" si="1664"/>
        <v>0</v>
      </c>
      <c r="AH699" s="724">
        <f t="shared" si="1665"/>
        <v>0</v>
      </c>
      <c r="AI699" s="716">
        <f t="shared" si="1666"/>
        <v>0</v>
      </c>
      <c r="AJ699" s="716">
        <f t="shared" si="1667"/>
        <v>0</v>
      </c>
      <c r="AK699" s="716" t="str">
        <f t="shared" si="1668"/>
        <v/>
      </c>
      <c r="AL699" s="716">
        <f t="shared" si="1669"/>
        <v>0</v>
      </c>
      <c r="AM699" s="716" t="str">
        <f t="shared" si="1670"/>
        <v/>
      </c>
      <c r="AN699" s="716">
        <f t="shared" si="1671"/>
        <v>0</v>
      </c>
      <c r="AO699" s="380"/>
      <c r="AP699" s="322" t="str">
        <f t="shared" si="1574"/>
        <v/>
      </c>
      <c r="AQ699" s="323" t="str">
        <f>IF(AC699=$V$3,IF(VLOOKUP(C699,[1]List1!$A:$E,5,FALSE)=0,1,VLOOKUP(C699,[1]List1!$A:$E,5,FALSE)),"")</f>
        <v/>
      </c>
      <c r="AR699" s="304" t="str">
        <f t="shared" si="1575"/>
        <v/>
      </c>
      <c r="AS699" s="423" t="str">
        <f t="shared" si="1576"/>
        <v/>
      </c>
      <c r="AT699" s="304" t="str">
        <f t="shared" si="1577"/>
        <v/>
      </c>
      <c r="AU699" s="342" t="e">
        <f t="shared" si="1578"/>
        <v>#N/A</v>
      </c>
      <c r="AV699" s="304" t="e">
        <f t="shared" si="1579"/>
        <v>#N/A</v>
      </c>
      <c r="AX699" s="304">
        <f>IF(AND('General price list'!$J699="F4",'General price list'!$AB699+0&gt;0),1,0)</f>
        <v>0</v>
      </c>
      <c r="AY699" s="304">
        <f t="shared" si="1580"/>
        <v>1</v>
      </c>
      <c r="AZ699" s="304">
        <f t="shared" si="1581"/>
        <v>0</v>
      </c>
    </row>
    <row r="700" spans="1:52" ht="15" customHeight="1">
      <c r="A700" s="725" t="str">
        <f>Kat.!C697</f>
        <v/>
      </c>
      <c r="B700" s="749">
        <f>IF(AND('General price list'!$J700="F4",$AI$1=FALSE),0,IF(AC700="SKLADEM",1,IF(AC700=$V$3,1,0)))</f>
        <v>0</v>
      </c>
      <c r="C700" s="727" t="s">
        <v>2562</v>
      </c>
      <c r="D700" s="728" t="s">
        <v>2563</v>
      </c>
      <c r="E700" s="729" t="s">
        <v>1078</v>
      </c>
      <c r="F700" s="725">
        <f>IFERROR(ROUND(IF($AL$3=2,VLOOKUP(C700,[2]List1!$A:$D,2,FALSE)*1.08,VLOOKUP(C700,[2]List1!$A:$D,2,FALSE)),0),"NEUVEDENO!")</f>
        <v>1099</v>
      </c>
      <c r="G700" s="730">
        <f t="shared" si="1658"/>
        <v>1099</v>
      </c>
      <c r="H700" s="731">
        <f t="shared" si="1659"/>
        <v>44.658639760411887</v>
      </c>
      <c r="I700" s="750">
        <v>2</v>
      </c>
      <c r="J700" s="729" t="s">
        <v>137</v>
      </c>
      <c r="K700" s="729" t="s">
        <v>14734</v>
      </c>
      <c r="L700" s="729" t="s">
        <v>24</v>
      </c>
      <c r="M700" s="729" t="s">
        <v>138</v>
      </c>
      <c r="N700" s="729">
        <f>IFERROR(VLOOKUP(C700,[3]List1!$A:$D,4,FALSE),"N/A!")</f>
        <v>3.50595E-2</v>
      </c>
      <c r="O700" s="729">
        <f>IFERROR(VLOOKUP(C700,[3]List1!$A:$D,3,FALSE),"N/A!")</f>
        <v>1862</v>
      </c>
      <c r="P700" s="729">
        <f>IFERROR(VLOOKUP(C700,[3]List1!$A:$D,2,FALSE),"N/A!")</f>
        <v>12500</v>
      </c>
      <c r="Q700" s="729" t="s">
        <v>14228</v>
      </c>
      <c r="R700" s="729" t="s">
        <v>24</v>
      </c>
      <c r="S700" s="729" t="str">
        <f>IF($W$17=$AF$1,"červená fólie",IFERROR(VLOOKUP("červená fólie",Jazyky_ceník!$A:$Q,MATCH($W$17,Jazyky_ceník!$A$1:$Q$1,0),FALSE),"!!!"))</f>
        <v>červená fólie</v>
      </c>
      <c r="T700" s="729">
        <v>35</v>
      </c>
      <c r="U700" s="729">
        <v>40</v>
      </c>
      <c r="V700" s="729">
        <v>30</v>
      </c>
      <c r="W700" s="729" t="str">
        <f>IFERROR(VLOOKUP('General price list'!$C700,Popisy!A:P,MATCH($W$17,Popisy!$A$7:$P$7,0),FALSE),"---------------")</f>
        <v>zlatá blikajiící vrba</v>
      </c>
      <c r="X700" s="729" t="str">
        <f t="shared" si="1660"/>
        <v/>
      </c>
      <c r="Y700" s="729" t="str">
        <f t="shared" si="1661"/>
        <v/>
      </c>
      <c r="Z700" s="729" t="str">
        <f>HYPERLINK("https://www.klasekpyrotechnics.cz/c493bw")</f>
        <v>https://www.klasekpyrotechnics.cz/c493bw</v>
      </c>
      <c r="AA700" s="729">
        <f>IFERROR(IF(VLOOKUP(C700,[4]List1!$A:$D,4,FALSE)=0,"",VLOOKUP(C700,[4]List1!$A:$D,4,FALSE)),"")</f>
        <v>42</v>
      </c>
      <c r="AB700" s="720"/>
      <c r="AC700" s="751" t="str">
        <f>IFERROR(IF(VLOOKUP(C700,[1]List1!$A:$D,2,FALSE)="VYPRODÁNO",$V$9,IF(VLOOKUP(C700,[1]List1!$A:$D,2,FALSE)="DOCHÁZÍ",$V$3,VLOOKUP(C700,[1]List1!$A:$D,2,FALSE))),"OFFLINE!")</f>
        <v>20.06.2024</v>
      </c>
      <c r="AD700" s="752" t="str">
        <f ca="1">IF(AP700="NE",$V$10,IF(AC700=$V$3,IF(AQ700&lt;1,$V$8,$V$2&amp;" "&amp;AQ700&amp;" "&amp;$V$1),IF(AC700="SKLADEM",$V$6,IFERROR(IF(OR(AC700-TODAY()&gt;45,VLOOKUP(C700,[1]List1!$A:$E,4,FALSE)=0),AC700,DAY(AC700)&amp;"."&amp;MONTH(AC700)&amp;"."&amp;YEAR(AC700)&amp;" "&amp;$V$4&amp;VLOOKUP(C700,[1]List1!$A:$E,4,FALSE)&amp;" "&amp;$V$1),AC700))))</f>
        <v>20.06.2024</v>
      </c>
      <c r="AE700" s="729" t="str">
        <f t="shared" ca="1" si="1662"/>
        <v>20.06.2024</v>
      </c>
      <c r="AF700" s="735">
        <f t="shared" si="1663"/>
        <v>0</v>
      </c>
      <c r="AG700" s="735">
        <f t="shared" si="1664"/>
        <v>0</v>
      </c>
      <c r="AH700" s="736">
        <f t="shared" si="1665"/>
        <v>0</v>
      </c>
      <c r="AI700" s="729">
        <f t="shared" si="1666"/>
        <v>0</v>
      </c>
      <c r="AJ700" s="729">
        <f t="shared" si="1667"/>
        <v>0</v>
      </c>
      <c r="AK700" s="729" t="str">
        <f t="shared" si="1668"/>
        <v/>
      </c>
      <c r="AL700" s="729">
        <f t="shared" si="1669"/>
        <v>0</v>
      </c>
      <c r="AM700" s="729" t="str">
        <f t="shared" si="1670"/>
        <v/>
      </c>
      <c r="AN700" s="729">
        <f t="shared" si="1671"/>
        <v>0</v>
      </c>
      <c r="AO700" s="380"/>
      <c r="AP700" s="322" t="str">
        <f t="shared" si="1574"/>
        <v/>
      </c>
      <c r="AQ700" s="323" t="str">
        <f>IF(AC700=$V$3,IF(VLOOKUP(C700,[1]List1!$A:$E,5,FALSE)=0,1,VLOOKUP(C700,[1]List1!$A:$E,5,FALSE)),"")</f>
        <v/>
      </c>
      <c r="AR700" s="304" t="str">
        <f t="shared" si="1575"/>
        <v/>
      </c>
      <c r="AS700" s="423" t="str">
        <f t="shared" si="1576"/>
        <v/>
      </c>
      <c r="AT700" s="304" t="str">
        <f t="shared" si="1577"/>
        <v/>
      </c>
      <c r="AU700" s="342" t="e">
        <f t="shared" si="1578"/>
        <v>#N/A</v>
      </c>
      <c r="AV700" s="304" t="e">
        <f t="shared" si="1579"/>
        <v>#N/A</v>
      </c>
      <c r="AX700" s="304">
        <f>IF(AND('General price list'!$J700="F4",'General price list'!$AB700+0&gt;0),1,0)</f>
        <v>0</v>
      </c>
      <c r="AY700" s="304">
        <f t="shared" si="1580"/>
        <v>1</v>
      </c>
      <c r="AZ700" s="304">
        <f t="shared" si="1581"/>
        <v>0</v>
      </c>
    </row>
    <row r="701" spans="1:52" ht="15" customHeight="1">
      <c r="A701" s="773" t="str">
        <f>Kat.!C698</f>
        <v xml:space="preserve">                                                               Baterie 49ran, 30mm šikmý moždíř-1.3G</v>
      </c>
      <c r="B701" s="774"/>
      <c r="C701" s="774"/>
      <c r="D701" s="774"/>
      <c r="E701" s="774"/>
      <c r="F701" s="774"/>
      <c r="G701" s="774"/>
      <c r="H701" s="774"/>
      <c r="I701" s="774"/>
      <c r="J701" s="774"/>
      <c r="K701" s="774"/>
      <c r="L701" s="774"/>
      <c r="M701" s="774"/>
      <c r="N701" s="774"/>
      <c r="O701" s="774"/>
      <c r="P701" s="774"/>
      <c r="Q701" s="774"/>
      <c r="R701" s="774"/>
      <c r="S701" s="774"/>
      <c r="T701" s="774"/>
      <c r="U701" s="774"/>
      <c r="V701" s="774"/>
      <c r="W701" s="774"/>
      <c r="X701" s="774"/>
      <c r="Y701" s="774"/>
      <c r="Z701" s="774"/>
      <c r="AA701" s="774" t="str">
        <f>IFERROR(IF(VLOOKUP(C701,[4]List1!$A:$D,4,FALSE)=0,"",VLOOKUP(C701,[4]List1!$A:$D,4,FALSE)),"")</f>
        <v/>
      </c>
      <c r="AB701" s="774"/>
      <c r="AC701" s="775" t="str">
        <f>IFERROR(IF(VLOOKUP(C701,[1]List1!$A:$D,2,FALSE)="VYPRODÁNO",$V$9,IF(VLOOKUP(C701,[1]List1!$A:$D,2,FALSE)="DOCHÁZÍ",$V$3,VLOOKUP(C701,[1]List1!$A:$D,2,FALSE))),"OFFLINE!")</f>
        <v>OFFLINE!</v>
      </c>
      <c r="AD701" s="774"/>
      <c r="AE701" s="774"/>
      <c r="AF701" s="774"/>
      <c r="AG701" s="774"/>
      <c r="AH701" s="774"/>
      <c r="AI701" s="774"/>
      <c r="AJ701" s="774"/>
      <c r="AK701" s="774"/>
      <c r="AL701" s="774"/>
      <c r="AM701" s="774"/>
      <c r="AN701" s="774"/>
      <c r="AO701" s="380"/>
      <c r="AP701" s="322" t="str">
        <f t="shared" si="1574"/>
        <v/>
      </c>
      <c r="AQ701" s="323" t="str">
        <f>IF(AC701=$V$3,IF(VLOOKUP(C701,[1]List1!$A:$E,5,FALSE)=0,1,VLOOKUP(C701,[1]List1!$A:$E,5,FALSE)),"")</f>
        <v/>
      </c>
      <c r="AR701" s="304" t="str">
        <f t="shared" si="1575"/>
        <v/>
      </c>
      <c r="AS701" s="423" t="str">
        <f t="shared" si="1576"/>
        <v/>
      </c>
      <c r="AT701" s="304" t="str">
        <f t="shared" si="1577"/>
        <v/>
      </c>
      <c r="AU701" s="342" t="e">
        <f t="shared" si="1578"/>
        <v>#N/A</v>
      </c>
      <c r="AV701" s="304" t="e">
        <f t="shared" si="1579"/>
        <v>#N/A</v>
      </c>
      <c r="AX701" s="304">
        <f>IF(AND('General price list'!$J701="F4",'General price list'!$AB701+0&gt;0),1,0)</f>
        <v>0</v>
      </c>
      <c r="AY701" s="304">
        <f t="shared" si="1580"/>
        <v>0</v>
      </c>
      <c r="AZ701" s="304">
        <f t="shared" si="1581"/>
        <v>0</v>
      </c>
    </row>
    <row r="702" spans="1:52" ht="15" customHeight="1">
      <c r="A702" s="725" t="str">
        <f>Kat.!C699</f>
        <v/>
      </c>
      <c r="B702" s="741">
        <f>IF(AND('General price list'!$J702="F4",$AI$1=FALSE),0,IF(AC702="SKLADEM",1,IF(AC702=$V$3,1,0)))</f>
        <v>1</v>
      </c>
      <c r="C702" s="727" t="s">
        <v>1530</v>
      </c>
      <c r="D702" s="728" t="s">
        <v>712</v>
      </c>
      <c r="E702" s="729" t="s">
        <v>1078</v>
      </c>
      <c r="F702" s="725">
        <f>IFERROR(ROUND(IF($AL$3=2,VLOOKUP(C702,[2]List1!$A:$D,2,FALSE)*1.08,VLOOKUP(C702,[2]List1!$A:$D,2,FALSE)),0),"NEUVEDENO!")</f>
        <v>1319</v>
      </c>
      <c r="G702" s="730">
        <f t="shared" ref="G702:G705" si="1672">(F702)*$B$19</f>
        <v>1319</v>
      </c>
      <c r="H702" s="731">
        <f t="shared" ref="H702:H705" si="1673">G702/$F$19</f>
        <v>53.598494853487971</v>
      </c>
      <c r="I702" s="742">
        <v>2</v>
      </c>
      <c r="J702" s="729" t="s">
        <v>137</v>
      </c>
      <c r="K702" s="729" t="s">
        <v>14734</v>
      </c>
      <c r="L702" s="729" t="s">
        <v>24</v>
      </c>
      <c r="M702" s="729" t="s">
        <v>138</v>
      </c>
      <c r="N702" s="729">
        <f>IFERROR(VLOOKUP(C702,[3]List1!$A:$D,4,FALSE),"N/A!")</f>
        <v>5.9639125000000001E-2</v>
      </c>
      <c r="O702" s="729">
        <f>IFERROR(VLOOKUP(C702,[3]List1!$A:$D,3,FALSE),"N/A!")</f>
        <v>1862</v>
      </c>
      <c r="P702" s="729">
        <f>IFERROR(VLOOKUP(C702,[3]List1!$A:$D,2,FALSE),"N/A!")</f>
        <v>14500</v>
      </c>
      <c r="Q702" s="729" t="s">
        <v>14228</v>
      </c>
      <c r="R702" s="729" t="s">
        <v>24</v>
      </c>
      <c r="S702" s="729" t="str">
        <f>IF($W$17=$AF$1,"design",IFERROR(VLOOKUP("design",Jazyky_ceník!$A:$Q,MATCH($W$17,Jazyky_ceník!$A$1:$Q$1,0),FALSE),"!!!"))</f>
        <v>design</v>
      </c>
      <c r="T702" s="729">
        <v>45</v>
      </c>
      <c r="U702" s="729">
        <v>40</v>
      </c>
      <c r="V702" s="729">
        <v>30</v>
      </c>
      <c r="W702" s="729" t="str">
        <f>IFERROR(VLOOKUP('General price list'!$C702,Popisy!A:P,MATCH($W$17,Popisy!$A$7:$P$7,0),FALSE),"---------------")</f>
        <v>7 různobarevných efektu</v>
      </c>
      <c r="X702" s="729" t="str">
        <f t="shared" ref="X702:X705" si="1674">IF(AB702&lt;0.0001,"",AB702)</f>
        <v/>
      </c>
      <c r="Y702" s="729" t="str">
        <f t="shared" ref="Y702:Y705" si="1675">IF($AL$3=2,IF(OR(AB702&lt;&gt;"",AB702&lt;&gt;0),AU702,""),IF(C702="","",IF(AB702&lt;0.0001,"",IF(B702=0,"",IF(AQ702&lt;AB702,"",AB702)))))</f>
        <v/>
      </c>
      <c r="Z702" s="729" t="str">
        <f>HYPERLINK("https://www.klasekpyrotechnics.cz/cf493st")</f>
        <v>https://www.klasekpyrotechnics.cz/cf493st</v>
      </c>
      <c r="AA702" s="729">
        <f>IFERROR(IF(VLOOKUP(C702,[4]List1!$A:$D,4,FALSE)=0,"",VLOOKUP(C702,[4]List1!$A:$D,4,FALSE)),"")</f>
        <v>14</v>
      </c>
      <c r="AB702" s="720"/>
      <c r="AC702" s="743" t="str">
        <f>IFERROR(IF(VLOOKUP(C702,[1]List1!$A:$D,2,FALSE)="VYPRODÁNO",$V$9,IF(VLOOKUP(C702,[1]List1!$A:$D,2,FALSE)="DOCHÁZÍ",$V$3,VLOOKUP(C702,[1]List1!$A:$D,2,FALSE))),"OFFLINE!")</f>
        <v>SKLADEM</v>
      </c>
      <c r="AD702" s="744" t="str">
        <f ca="1">IF(AP702="NE",$V$10,IF(AC702=$V$3,IF(AQ702&lt;1,$V$8,$V$2&amp;" "&amp;AQ702&amp;" "&amp;$V$1),IF(AC702="SKLADEM",$V$6,IFERROR(IF(OR(AC702-TODAY()&gt;45,VLOOKUP(C702,[1]List1!$A:$E,4,FALSE)=0),AC702,DAY(AC702)&amp;"."&amp;MONTH(AC702)&amp;"."&amp;YEAR(AC702)&amp;" "&amp;$V$4&amp;VLOOKUP(C702,[1]List1!$A:$E,4,FALSE)&amp;" "&amp;$V$1),AC702))))</f>
        <v>SKLADEM</v>
      </c>
      <c r="AE702" s="729" t="str">
        <f t="shared" ref="AE702:AE705" ca="1" si="1676">IFERROR(IF(AV702&lt;&gt;"",AV702,AD702),AD702)</f>
        <v>SKLADEM</v>
      </c>
      <c r="AF702" s="735">
        <f t="shared" ref="AF702:AF705" si="1677">IFERROR(IF(AB702=Y702,G702*I702*Y702,0),0)</f>
        <v>0</v>
      </c>
      <c r="AG702" s="735">
        <f t="shared" ref="AG702:AG705" si="1678">IF($W$17=$AF$8,AH702*1.23,AF702*1.21)</f>
        <v>0</v>
      </c>
      <c r="AH702" s="736">
        <f t="shared" ref="AH702:AH705" si="1679">IFERROR(IF(Y702=AB702,H702*I702*Y702,0),0)</f>
        <v>0</v>
      </c>
      <c r="AI702" s="729">
        <f t="shared" ref="AI702:AI705" si="1680">IFERROR(IF(Y702=AB702,(P702*Y702)/1000,1),0)</f>
        <v>0</v>
      </c>
      <c r="AJ702" s="729">
        <f t="shared" ref="AJ702:AJ705" si="1681">IFERROR(IF(Y702=AB702,N702*Y702,0.1),0)</f>
        <v>0</v>
      </c>
      <c r="AK702" s="729" t="str">
        <f t="shared" ref="AK702:AK705" si="1682">IFERROR(IF(Y702=AB702,IF(M702="1.1G",(O702/1000)*Y702,""),""),0)</f>
        <v/>
      </c>
      <c r="AL702" s="729">
        <f t="shared" ref="AL702:AL705" si="1683">IFERROR(IF(Y702=AB702,IF(M702="1.3G",(O702/1000)*AB702,""),""),0)</f>
        <v>0</v>
      </c>
      <c r="AM702" s="729" t="str">
        <f t="shared" ref="AM702:AM705" si="1684">IFERROR(IF(Y702=AB702,IF(M702="1.4G",(O702/1000)*AB702,""),""),0)</f>
        <v/>
      </c>
      <c r="AN702" s="729">
        <f t="shared" ref="AN702:AN705" si="1685">SUM(AK702:AM702)</f>
        <v>0</v>
      </c>
      <c r="AO702" s="380"/>
      <c r="AP702" s="322" t="str">
        <f t="shared" si="1574"/>
        <v/>
      </c>
      <c r="AQ702" s="323" t="str">
        <f>IF(AC702=$V$3,IF(VLOOKUP(C702,[1]List1!$A:$E,5,FALSE)=0,1,VLOOKUP(C702,[1]List1!$A:$E,5,FALSE)),"")</f>
        <v/>
      </c>
      <c r="AR702" s="304" t="str">
        <f t="shared" si="1575"/>
        <v/>
      </c>
      <c r="AS702" s="423" t="str">
        <f t="shared" si="1576"/>
        <v/>
      </c>
      <c r="AT702" s="304" t="str">
        <f t="shared" si="1577"/>
        <v/>
      </c>
      <c r="AU702" s="342" t="e">
        <f t="shared" si="1578"/>
        <v>#N/A</v>
      </c>
      <c r="AV702" s="304" t="e">
        <f t="shared" si="1579"/>
        <v>#N/A</v>
      </c>
      <c r="AX702" s="304">
        <f>IF(AND('General price list'!$J702="F4",'General price list'!$AB702+0&gt;0),1,0)</f>
        <v>0</v>
      </c>
      <c r="AY702" s="304">
        <f t="shared" si="1580"/>
        <v>1</v>
      </c>
      <c r="AZ702" s="304">
        <f t="shared" si="1581"/>
        <v>0</v>
      </c>
    </row>
    <row r="703" spans="1:52" ht="15" customHeight="1">
      <c r="A703" s="712" t="str">
        <f>Kat.!C700</f>
        <v/>
      </c>
      <c r="B703" s="745">
        <f>IF(AND('General price list'!$J703="F4",$AI$1=FALSE),0,IF(AC703="SKLADEM",1,IF(AC703=$V$3,1,0)))</f>
        <v>1</v>
      </c>
      <c r="C703" s="714" t="s">
        <v>1531</v>
      </c>
      <c r="D703" s="715" t="s">
        <v>1532</v>
      </c>
      <c r="E703" s="716" t="s">
        <v>1078</v>
      </c>
      <c r="F703" s="712">
        <f>IFERROR(ROUND(IF($AL$3=2,VLOOKUP(C703,[2]List1!$A:$D,2,FALSE)*1.08,VLOOKUP(C703,[2]List1!$A:$D,2,FALSE)),0),"NEUVEDENO!")</f>
        <v>1319</v>
      </c>
      <c r="G703" s="717">
        <f t="shared" si="1672"/>
        <v>1319</v>
      </c>
      <c r="H703" s="718">
        <f t="shared" si="1673"/>
        <v>53.598494853487971</v>
      </c>
      <c r="I703" s="746">
        <v>2</v>
      </c>
      <c r="J703" s="716" t="s">
        <v>137</v>
      </c>
      <c r="K703" s="716" t="s">
        <v>14734</v>
      </c>
      <c r="L703" s="716" t="s">
        <v>24</v>
      </c>
      <c r="M703" s="716" t="s">
        <v>138</v>
      </c>
      <c r="N703" s="716">
        <f>IFERROR(VLOOKUP(C703,[3]List1!$A:$D,4,FALSE),"N/A!")</f>
        <v>5.9639125000000001E-2</v>
      </c>
      <c r="O703" s="716">
        <f>IFERROR(VLOOKUP(C703,[3]List1!$A:$D,3,FALSE),"N/A!")</f>
        <v>1862</v>
      </c>
      <c r="P703" s="716">
        <f>IFERROR(VLOOKUP(C703,[3]List1!$A:$D,2,FALSE),"N/A!")</f>
        <v>14500</v>
      </c>
      <c r="Q703" s="716" t="s">
        <v>14228</v>
      </c>
      <c r="R703" s="716" t="s">
        <v>24</v>
      </c>
      <c r="S703" s="716" t="str">
        <f>IF($W$17=$AF$1,"design",IFERROR(VLOOKUP("design",Jazyky_ceník!$A:$Q,MATCH($W$17,Jazyky_ceník!$A$1:$Q$1,0),FALSE),"!!!"))</f>
        <v>design</v>
      </c>
      <c r="T703" s="716">
        <v>60</v>
      </c>
      <c r="U703" s="716">
        <v>40</v>
      </c>
      <c r="V703" s="716">
        <v>30</v>
      </c>
      <c r="W703" s="716" t="str">
        <f>IFERROR(VLOOKUP('General price list'!$C703,Popisy!A:P,MATCH($W$17,Popisy!$A$7:$P$7,0),FALSE),"---------------")</f>
        <v>7 různobarevných efektu</v>
      </c>
      <c r="X703" s="716" t="str">
        <f t="shared" si="1674"/>
        <v/>
      </c>
      <c r="Y703" s="716" t="str">
        <f t="shared" si="1675"/>
        <v/>
      </c>
      <c r="Z703" s="716" t="str">
        <f>HYPERLINK("https://www.klasekpyrotechnics.cz/cf493sa")</f>
        <v>https://www.klasekpyrotechnics.cz/cf493sa</v>
      </c>
      <c r="AA703" s="716">
        <f>IFERROR(IF(VLOOKUP(C703,[4]List1!$A:$D,4,FALSE)=0,"",VLOOKUP(C703,[4]List1!$A:$D,4,FALSE)),"")</f>
        <v>14</v>
      </c>
      <c r="AB703" s="720"/>
      <c r="AC703" s="747" t="str">
        <f>IFERROR(IF(VLOOKUP(C703,[1]List1!$A:$D,2,FALSE)="VYPRODÁNO",$V$9,IF(VLOOKUP(C703,[1]List1!$A:$D,2,FALSE)="DOCHÁZÍ",$V$3,VLOOKUP(C703,[1]List1!$A:$D,2,FALSE))),"OFFLINE!")</f>
        <v>DOCHÁZÍ</v>
      </c>
      <c r="AD703" s="748" t="str">
        <f ca="1">IF(AP703="NE",$V$10,IF(AC703=$V$3,IF(AQ703&lt;1,$V$8,$V$2&amp;" "&amp;AQ703&amp;" "&amp;$V$1),IF(AC703="SKLADEM",$V$6,IFERROR(IF(OR(AC703-TODAY()&gt;45,VLOOKUP(C703,[1]List1!$A:$E,4,FALSE)=0),AC703,DAY(AC703)&amp;"."&amp;MONTH(AC703)&amp;"."&amp;YEAR(AC703)&amp;" "&amp;$V$4&amp;VLOOKUP(C703,[1]List1!$A:$E,4,FALSE)&amp;" "&amp;$V$1),AC703))))</f>
        <v>POSLEDNÍCH 5 VK</v>
      </c>
      <c r="AE703" s="716" t="str">
        <f t="shared" ca="1" si="1676"/>
        <v>POSLEDNÍCH 5 VK</v>
      </c>
      <c r="AF703" s="723">
        <f t="shared" si="1677"/>
        <v>0</v>
      </c>
      <c r="AG703" s="723">
        <f t="shared" si="1678"/>
        <v>0</v>
      </c>
      <c r="AH703" s="724">
        <f t="shared" si="1679"/>
        <v>0</v>
      </c>
      <c r="AI703" s="716">
        <f t="shared" si="1680"/>
        <v>0</v>
      </c>
      <c r="AJ703" s="716">
        <f t="shared" si="1681"/>
        <v>0</v>
      </c>
      <c r="AK703" s="716" t="str">
        <f t="shared" si="1682"/>
        <v/>
      </c>
      <c r="AL703" s="716">
        <f t="shared" si="1683"/>
        <v>0</v>
      </c>
      <c r="AM703" s="716" t="str">
        <f t="shared" si="1684"/>
        <v/>
      </c>
      <c r="AN703" s="716">
        <f t="shared" si="1685"/>
        <v>0</v>
      </c>
      <c r="AO703" s="380"/>
      <c r="AP703" s="322" t="str">
        <f t="shared" si="1574"/>
        <v/>
      </c>
      <c r="AQ703" s="323">
        <f>IF(AC703=$V$3,IF(VLOOKUP(C703,[1]List1!$A:$E,5,FALSE)=0,1,VLOOKUP(C703,[1]List1!$A:$E,5,FALSE)),"")</f>
        <v>5</v>
      </c>
      <c r="AR703" s="304" t="str">
        <f t="shared" si="1575"/>
        <v/>
      </c>
      <c r="AS703" s="423" t="str">
        <f t="shared" si="1576"/>
        <v/>
      </c>
      <c r="AT703" s="304" t="str">
        <f t="shared" si="1577"/>
        <v/>
      </c>
      <c r="AU703" s="342" t="e">
        <f t="shared" si="1578"/>
        <v>#N/A</v>
      </c>
      <c r="AV703" s="304" t="e">
        <f t="shared" si="1579"/>
        <v>#N/A</v>
      </c>
      <c r="AX703" s="304">
        <f>IF(AND('General price list'!$J703="F4",'General price list'!$AB703+0&gt;0),1,0)</f>
        <v>0</v>
      </c>
      <c r="AY703" s="304">
        <f t="shared" si="1580"/>
        <v>1</v>
      </c>
      <c r="AZ703" s="304">
        <f t="shared" si="1581"/>
        <v>0</v>
      </c>
    </row>
    <row r="704" spans="1:52" ht="15" customHeight="1">
      <c r="A704" s="725" t="str">
        <f>Kat.!C701</f>
        <v/>
      </c>
      <c r="B704" s="749">
        <f>IF(AND('General price list'!$J704="F4",$AI$1=FALSE),0,IF(AC704="SKLADEM",1,IF(AC704=$V$3,1,0)))</f>
        <v>0</v>
      </c>
      <c r="C704" s="727" t="s">
        <v>1533</v>
      </c>
      <c r="D704" s="728" t="s">
        <v>1534</v>
      </c>
      <c r="E704" s="729" t="s">
        <v>1078</v>
      </c>
      <c r="F704" s="725">
        <f>IFERROR(ROUND(IF($AL$3=2,VLOOKUP(C704,[2]List1!$A:$D,2,FALSE)*1.08,VLOOKUP(C704,[2]List1!$A:$D,2,FALSE)),0),"NEUVEDENO!")</f>
        <v>1319</v>
      </c>
      <c r="G704" s="730">
        <f t="shared" si="1672"/>
        <v>1319</v>
      </c>
      <c r="H704" s="731">
        <f t="shared" si="1673"/>
        <v>53.598494853487971</v>
      </c>
      <c r="I704" s="750">
        <v>2</v>
      </c>
      <c r="J704" s="729" t="s">
        <v>137</v>
      </c>
      <c r="K704" s="729" t="s">
        <v>14734</v>
      </c>
      <c r="L704" s="729" t="s">
        <v>24</v>
      </c>
      <c r="M704" s="729" t="s">
        <v>138</v>
      </c>
      <c r="N704" s="729">
        <f>IFERROR(VLOOKUP(C704,[3]List1!$A:$D,4,FALSE),"N/A!")</f>
        <v>5.9639125000000001E-2</v>
      </c>
      <c r="O704" s="729">
        <f>IFERROR(VLOOKUP(C704,[3]List1!$A:$D,3,FALSE),"N/A!")</f>
        <v>1862</v>
      </c>
      <c r="P704" s="729">
        <f>IFERROR(VLOOKUP(C704,[3]List1!$A:$D,2,FALSE),"N/A!")</f>
        <v>14500</v>
      </c>
      <c r="Q704" s="729" t="s">
        <v>14228</v>
      </c>
      <c r="R704" s="729" t="s">
        <v>24</v>
      </c>
      <c r="S704" s="729" t="str">
        <f>IF($W$17=$AF$1,"design",IFERROR(VLOOKUP("design",Jazyky_ceník!$A:$Q,MATCH($W$17,Jazyky_ceník!$A$1:$Q$1,0),FALSE),"!!!"))</f>
        <v>design</v>
      </c>
      <c r="T704" s="729">
        <v>45</v>
      </c>
      <c r="U704" s="729">
        <v>40</v>
      </c>
      <c r="V704" s="729">
        <v>30</v>
      </c>
      <c r="W704" s="729" t="str">
        <f>IFERROR(VLOOKUP('General price list'!$C704,Popisy!A:P,MATCH($W$17,Popisy!$A$7:$P$7,0),FALSE),"---------------")</f>
        <v>7 různobarevných efektu</v>
      </c>
      <c r="X704" s="729" t="str">
        <f t="shared" si="1674"/>
        <v/>
      </c>
      <c r="Y704" s="729" t="str">
        <f t="shared" si="1675"/>
        <v/>
      </c>
      <c r="Z704" s="729" t="str">
        <f>HYPERLINK("https://www.klasekpyrotechnics.cz/cf493w")</f>
        <v>https://www.klasekpyrotechnics.cz/cf493w</v>
      </c>
      <c r="AA704" s="729">
        <f>IFERROR(IF(VLOOKUP(C704,[4]List1!$A:$D,4,FALSE)=0,"",VLOOKUP(C704,[4]List1!$A:$D,4,FALSE)),"")</f>
        <v>14</v>
      </c>
      <c r="AB704" s="720"/>
      <c r="AC704" s="751" t="str">
        <f>IFERROR(IF(VLOOKUP(C704,[1]List1!$A:$D,2,FALSE)="VYPRODÁNO",$V$9,IF(VLOOKUP(C704,[1]List1!$A:$D,2,FALSE)="DOCHÁZÍ",$V$3,VLOOKUP(C704,[1]List1!$A:$D,2,FALSE))),"OFFLINE!")</f>
        <v>20.06.2024</v>
      </c>
      <c r="AD704" s="752" t="str">
        <f ca="1">IF(AP704="NE",$V$10,IF(AC704=$V$3,IF(AQ704&lt;1,$V$8,$V$2&amp;" "&amp;AQ704&amp;" "&amp;$V$1),IF(AC704="SKLADEM",$V$6,IFERROR(IF(OR(AC704-TODAY()&gt;45,VLOOKUP(C704,[1]List1!$A:$E,4,FALSE)=0),AC704,DAY(AC704)&amp;"."&amp;MONTH(AC704)&amp;"."&amp;YEAR(AC704)&amp;" "&amp;$V$4&amp;VLOOKUP(C704,[1]List1!$A:$E,4,FALSE)&amp;" "&amp;$V$1),AC704))))</f>
        <v>20.06.2024</v>
      </c>
      <c r="AE704" s="729" t="str">
        <f t="shared" ca="1" si="1676"/>
        <v>20.06.2024</v>
      </c>
      <c r="AF704" s="735">
        <f t="shared" si="1677"/>
        <v>0</v>
      </c>
      <c r="AG704" s="735">
        <f t="shared" si="1678"/>
        <v>0</v>
      </c>
      <c r="AH704" s="736">
        <f t="shared" si="1679"/>
        <v>0</v>
      </c>
      <c r="AI704" s="729">
        <f t="shared" si="1680"/>
        <v>0</v>
      </c>
      <c r="AJ704" s="729">
        <f t="shared" si="1681"/>
        <v>0</v>
      </c>
      <c r="AK704" s="729" t="str">
        <f t="shared" si="1682"/>
        <v/>
      </c>
      <c r="AL704" s="729">
        <f t="shared" si="1683"/>
        <v>0</v>
      </c>
      <c r="AM704" s="729" t="str">
        <f t="shared" si="1684"/>
        <v/>
      </c>
      <c r="AN704" s="729">
        <f t="shared" si="1685"/>
        <v>0</v>
      </c>
      <c r="AO704" s="380"/>
      <c r="AP704" s="322" t="str">
        <f t="shared" si="1574"/>
        <v/>
      </c>
      <c r="AQ704" s="323" t="str">
        <f>IF(AC704=$V$3,IF(VLOOKUP(C704,[1]List1!$A:$E,5,FALSE)=0,1,VLOOKUP(C704,[1]List1!$A:$E,5,FALSE)),"")</f>
        <v/>
      </c>
      <c r="AR704" s="304" t="str">
        <f t="shared" si="1575"/>
        <v/>
      </c>
      <c r="AS704" s="423" t="str">
        <f t="shared" si="1576"/>
        <v/>
      </c>
      <c r="AT704" s="304" t="str">
        <f t="shared" si="1577"/>
        <v/>
      </c>
      <c r="AU704" s="342" t="e">
        <f t="shared" si="1578"/>
        <v>#N/A</v>
      </c>
      <c r="AV704" s="304" t="e">
        <f t="shared" si="1579"/>
        <v>#N/A</v>
      </c>
      <c r="AX704" s="304">
        <f>IF(AND('General price list'!$J704="F4",'General price list'!$AB704+0&gt;0),1,0)</f>
        <v>0</v>
      </c>
      <c r="AY704" s="304">
        <f t="shared" si="1580"/>
        <v>1</v>
      </c>
      <c r="AZ704" s="304">
        <f t="shared" si="1581"/>
        <v>0</v>
      </c>
    </row>
    <row r="705" spans="1:52" ht="15" customHeight="1">
      <c r="A705" s="712" t="str">
        <f>Kat.!C702</f>
        <v/>
      </c>
      <c r="B705" s="745">
        <f>IF(AND('General price list'!$J705="F4",$AI$1=FALSE),0,IF(AC705="SKLADEM",1,IF(AC705=$V$3,1,0)))</f>
        <v>1</v>
      </c>
      <c r="C705" s="714" t="s">
        <v>1535</v>
      </c>
      <c r="D705" s="715" t="s">
        <v>1536</v>
      </c>
      <c r="E705" s="716" t="s">
        <v>1078</v>
      </c>
      <c r="F705" s="712">
        <f>IFERROR(ROUND(IF($AL$3=2,VLOOKUP(C705,[2]List1!$A:$D,2,FALSE)*1.08,VLOOKUP(C705,[2]List1!$A:$D,2,FALSE)),0),"NEUVEDENO!")</f>
        <v>1319</v>
      </c>
      <c r="G705" s="717">
        <f t="shared" si="1672"/>
        <v>1319</v>
      </c>
      <c r="H705" s="718">
        <f t="shared" si="1673"/>
        <v>53.598494853487971</v>
      </c>
      <c r="I705" s="746">
        <v>2</v>
      </c>
      <c r="J705" s="716" t="s">
        <v>137</v>
      </c>
      <c r="K705" s="716" t="s">
        <v>14821</v>
      </c>
      <c r="L705" s="716" t="s">
        <v>24</v>
      </c>
      <c r="M705" s="716" t="s">
        <v>138</v>
      </c>
      <c r="N705" s="716">
        <f>IFERROR(VLOOKUP(C705,[3]List1!$A:$D,4,FALSE),"N/A!")</f>
        <v>5.9639125000000001E-2</v>
      </c>
      <c r="O705" s="716">
        <f>IFERROR(VLOOKUP(C705,[3]List1!$A:$D,3,FALSE),"N/A!")</f>
        <v>1862</v>
      </c>
      <c r="P705" s="716">
        <f>IFERROR(VLOOKUP(C705,[3]List1!$A:$D,2,FALSE),"N/A!")</f>
        <v>14500</v>
      </c>
      <c r="Q705" s="716" t="s">
        <v>14228</v>
      </c>
      <c r="R705" s="716" t="s">
        <v>24</v>
      </c>
      <c r="S705" s="716" t="str">
        <f>IF($W$17=$AF$1,"design",IFERROR(VLOOKUP("design",Jazyky_ceník!$A:$Q,MATCH($W$17,Jazyky_ceník!$A$1:$Q$1,0),FALSE),"!!!"))</f>
        <v>design</v>
      </c>
      <c r="T705" s="716">
        <v>60</v>
      </c>
      <c r="U705" s="716">
        <v>40</v>
      </c>
      <c r="V705" s="716">
        <v>30</v>
      </c>
      <c r="W705" s="716" t="str">
        <f>IFERROR(VLOOKUP('General price list'!$C705,Popisy!A:P,MATCH($W$17,Popisy!$A$7:$P$7,0),FALSE),"---------------")</f>
        <v>7 různobarevných efektu</v>
      </c>
      <c r="X705" s="716" t="str">
        <f t="shared" si="1674"/>
        <v/>
      </c>
      <c r="Y705" s="716" t="str">
        <f t="shared" si="1675"/>
        <v/>
      </c>
      <c r="Z705" s="716" t="str">
        <f>HYPERLINK("https://www.klasekpyrotechnics.cz/cf493me")</f>
        <v>https://www.klasekpyrotechnics.cz/cf493me</v>
      </c>
      <c r="AA705" s="716">
        <f>IFERROR(IF(VLOOKUP(C705,[4]List1!$A:$D,4,FALSE)=0,"",VLOOKUP(C705,[4]List1!$A:$D,4,FALSE)),"")</f>
        <v>14</v>
      </c>
      <c r="AB705" s="720"/>
      <c r="AC705" s="747" t="str">
        <f>IFERROR(IF(VLOOKUP(C705,[1]List1!$A:$D,2,FALSE)="VYPRODÁNO",$V$9,IF(VLOOKUP(C705,[1]List1!$A:$D,2,FALSE)="DOCHÁZÍ",$V$3,VLOOKUP(C705,[1]List1!$A:$D,2,FALSE))),"OFFLINE!")</f>
        <v>SKLADEM</v>
      </c>
      <c r="AD705" s="748" t="str">
        <f ca="1">IF(AP705="NE",$V$10,IF(AC705=$V$3,IF(AQ705&lt;1,$V$8,$V$2&amp;" "&amp;AQ705&amp;" "&amp;$V$1),IF(AC705="SKLADEM",$V$6,IFERROR(IF(OR(AC705-TODAY()&gt;45,VLOOKUP(C705,[1]List1!$A:$E,4,FALSE)=0),AC705,DAY(AC705)&amp;"."&amp;MONTH(AC705)&amp;"."&amp;YEAR(AC705)&amp;" "&amp;$V$4&amp;VLOOKUP(C705,[1]List1!$A:$E,4,FALSE)&amp;" "&amp;$V$1),AC705))))</f>
        <v>SKLADEM</v>
      </c>
      <c r="AE705" s="716" t="str">
        <f t="shared" ca="1" si="1676"/>
        <v>SKLADEM</v>
      </c>
      <c r="AF705" s="723">
        <f t="shared" si="1677"/>
        <v>0</v>
      </c>
      <c r="AG705" s="723">
        <f t="shared" si="1678"/>
        <v>0</v>
      </c>
      <c r="AH705" s="724">
        <f t="shared" si="1679"/>
        <v>0</v>
      </c>
      <c r="AI705" s="716">
        <f t="shared" si="1680"/>
        <v>0</v>
      </c>
      <c r="AJ705" s="716">
        <f t="shared" si="1681"/>
        <v>0</v>
      </c>
      <c r="AK705" s="716" t="str">
        <f t="shared" si="1682"/>
        <v/>
      </c>
      <c r="AL705" s="716">
        <f t="shared" si="1683"/>
        <v>0</v>
      </c>
      <c r="AM705" s="716" t="str">
        <f t="shared" si="1684"/>
        <v/>
      </c>
      <c r="AN705" s="716">
        <f t="shared" si="1685"/>
        <v>0</v>
      </c>
      <c r="AO705" s="380"/>
      <c r="AP705" s="322" t="str">
        <f t="shared" si="1574"/>
        <v/>
      </c>
      <c r="AQ705" s="323" t="str">
        <f>IF(AC705=$V$3,IF(VLOOKUP(C705,[1]List1!$A:$E,5,FALSE)=0,1,VLOOKUP(C705,[1]List1!$A:$E,5,FALSE)),"")</f>
        <v/>
      </c>
      <c r="AR705" s="304" t="str">
        <f t="shared" si="1575"/>
        <v/>
      </c>
      <c r="AS705" s="423" t="str">
        <f t="shared" si="1576"/>
        <v/>
      </c>
      <c r="AT705" s="304" t="str">
        <f t="shared" si="1577"/>
        <v/>
      </c>
      <c r="AU705" s="342" t="e">
        <f t="shared" si="1578"/>
        <v>#N/A</v>
      </c>
      <c r="AV705" s="304" t="e">
        <f t="shared" si="1579"/>
        <v>#N/A</v>
      </c>
      <c r="AX705" s="304">
        <f>IF(AND('General price list'!$J705="F4",'General price list'!$AB705+0&gt;0),1,0)</f>
        <v>0</v>
      </c>
      <c r="AY705" s="304">
        <f t="shared" si="1580"/>
        <v>1</v>
      </c>
      <c r="AZ705" s="304">
        <f t="shared" si="1581"/>
        <v>0</v>
      </c>
    </row>
    <row r="706" spans="1:52" ht="15" customHeight="1">
      <c r="A706" s="773" t="str">
        <f>Kat.!C703</f>
        <v xml:space="preserve">                                                               Baterie 50ran, 30mm moždíř-1.3G</v>
      </c>
      <c r="B706" s="774"/>
      <c r="C706" s="774"/>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774"/>
      <c r="AA706" s="774" t="str">
        <f>IFERROR(IF(VLOOKUP(C706,[4]List1!$A:$D,4,FALSE)=0,"",VLOOKUP(C706,[4]List1!$A:$D,4,FALSE)),"")</f>
        <v/>
      </c>
      <c r="AB706" s="774"/>
      <c r="AC706" s="775" t="str">
        <f>IFERROR(IF(VLOOKUP(C706,[1]List1!$A:$D,2,FALSE)="VYPRODÁNO",$V$9,IF(VLOOKUP(C706,[1]List1!$A:$D,2,FALSE)="DOCHÁZÍ",$V$3,VLOOKUP(C706,[1]List1!$A:$D,2,FALSE))),"OFFLINE!")</f>
        <v>OFFLINE!</v>
      </c>
      <c r="AD706" s="774"/>
      <c r="AE706" s="774"/>
      <c r="AF706" s="774"/>
      <c r="AG706" s="774"/>
      <c r="AH706" s="774"/>
      <c r="AI706" s="774"/>
      <c r="AJ706" s="774"/>
      <c r="AK706" s="774"/>
      <c r="AL706" s="774"/>
      <c r="AM706" s="774"/>
      <c r="AN706" s="774"/>
      <c r="AO706" s="380"/>
      <c r="AP706" s="322" t="str">
        <f t="shared" si="1574"/>
        <v/>
      </c>
      <c r="AQ706" s="323" t="str">
        <f>IF(AC706=$V$3,IF(VLOOKUP(C706,[1]List1!$A:$E,5,FALSE)=0,1,VLOOKUP(C706,[1]List1!$A:$E,5,FALSE)),"")</f>
        <v/>
      </c>
      <c r="AR706" s="304" t="str">
        <f t="shared" si="1575"/>
        <v/>
      </c>
      <c r="AS706" s="423" t="str">
        <f t="shared" si="1576"/>
        <v/>
      </c>
      <c r="AT706" s="304" t="str">
        <f t="shared" si="1577"/>
        <v/>
      </c>
      <c r="AU706" s="342" t="e">
        <f t="shared" si="1578"/>
        <v>#N/A</v>
      </c>
      <c r="AV706" s="304" t="e">
        <f t="shared" si="1579"/>
        <v>#N/A</v>
      </c>
      <c r="AX706" s="304">
        <f>IF(AND('General price list'!$J706="F4",'General price list'!$AB706+0&gt;0),1,0)</f>
        <v>0</v>
      </c>
      <c r="AY706" s="304">
        <f t="shared" si="1580"/>
        <v>0</v>
      </c>
      <c r="AZ706" s="304">
        <f t="shared" si="1581"/>
        <v>0</v>
      </c>
    </row>
    <row r="707" spans="1:52" ht="15" customHeight="1">
      <c r="A707" s="712" t="str">
        <f>Kat.!C704</f>
        <v/>
      </c>
      <c r="B707" s="713">
        <f>IF(AND('General price list'!$J707="F4",$AI$1=FALSE),0,IF(AC707="SKLADEM",1,IF(AC707=$V$3,1,0)))</f>
        <v>0</v>
      </c>
      <c r="C707" s="714" t="s">
        <v>1537</v>
      </c>
      <c r="D707" s="715" t="s">
        <v>14604</v>
      </c>
      <c r="E707" s="716" t="s">
        <v>1078</v>
      </c>
      <c r="F707" s="712">
        <f>IFERROR(ROUND(IF($AL$3=2,VLOOKUP(C707,[2]List1!$A:$D,2,FALSE)*1.08,VLOOKUP(C707,[2]List1!$A:$D,2,FALSE)),0),"NEUVEDENO!")</f>
        <v>1298</v>
      </c>
      <c r="G707" s="717">
        <f t="shared" ref="G707:G712" si="1686">(F707)*$B$19</f>
        <v>1298</v>
      </c>
      <c r="H707" s="718">
        <f t="shared" ref="H707:H712" si="1687">G707/$F$19</f>
        <v>52.745145049148888</v>
      </c>
      <c r="I707" s="719">
        <v>2</v>
      </c>
      <c r="J707" s="716" t="s">
        <v>137</v>
      </c>
      <c r="K707" s="716"/>
      <c r="L707" s="716" t="s">
        <v>24</v>
      </c>
      <c r="M707" s="716" t="s">
        <v>138</v>
      </c>
      <c r="N707" s="716">
        <f>IFERROR(VLOOKUP(C707,[3]List1!$A:$D,4,FALSE),"N/A!")</f>
        <v>3.1307874999999999E-2</v>
      </c>
      <c r="O707" s="716">
        <f>IFERROR(VLOOKUP(C707,[3]List1!$A:$D,3,FALSE),"N/A!")</f>
        <v>1998</v>
      </c>
      <c r="P707" s="716">
        <f>IFERROR(VLOOKUP(C707,[3]List1!$A:$D,2,FALSE),"N/A!")</f>
        <v>13700</v>
      </c>
      <c r="Q707" s="716" t="s">
        <v>14229</v>
      </c>
      <c r="R707" s="716" t="s">
        <v>24</v>
      </c>
      <c r="S707" s="716" t="str">
        <f>IF($W$17=$AF$1,"design",IFERROR(VLOOKUP("design",Jazyky_ceník!$A:$Q,MATCH($W$17,Jazyky_ceník!$A$1:$Q$1,0),FALSE),"!!!"))</f>
        <v>design</v>
      </c>
      <c r="T707" s="716">
        <v>50</v>
      </c>
      <c r="U707" s="716">
        <v>43</v>
      </c>
      <c r="V707" s="716">
        <v>33</v>
      </c>
      <c r="W707" s="716" t="str">
        <f>IFERROR(VLOOKUP('General price list'!$C707,Popisy!A:P,MATCH($W$17,Popisy!$A$7:$P$7,0),FALSE),"---------------")</f>
        <v>5 různobarevných efektu</v>
      </c>
      <c r="X707" s="716" t="str">
        <f t="shared" ref="X707:X712" si="1688">IF(AB707&lt;0.0001,"",AB707)</f>
        <v/>
      </c>
      <c r="Y707" s="716" t="str">
        <f t="shared" ref="Y707:Y712" si="1689">IF($AL$3=2,IF(OR(AB707&lt;&gt;"",AB707&lt;&gt;0),AU707,""),IF(C707="","",IF(AB707&lt;0.0001,"",IF(B707=0,"",IF(AQ707&lt;AB707,"",AB707)))))</f>
        <v/>
      </c>
      <c r="Z707" s="716" t="str">
        <f>HYPERLINK("https://www.klasekpyrotechnics.cz/c503siga")</f>
        <v>https://www.klasekpyrotechnics.cz/c503siga</v>
      </c>
      <c r="AA707" s="716">
        <f>IFERROR(IF(VLOOKUP(C707,[4]List1!$A:$D,4,FALSE)=0,"",VLOOKUP(C707,[4]List1!$A:$D,4,FALSE)),"")</f>
        <v>36</v>
      </c>
      <c r="AB707" s="720"/>
      <c r="AC707" s="721" t="str">
        <f>IFERROR(IF(VLOOKUP(C707,[1]List1!$A:$D,2,FALSE)="VYPRODÁNO",$V$9,IF(VLOOKUP(C707,[1]List1!$A:$D,2,FALSE)="DOCHÁZÍ",$V$3,VLOOKUP(C707,[1]List1!$A:$D,2,FALSE))),"OFFLINE!")</f>
        <v>15.05.2024</v>
      </c>
      <c r="AD707" s="722" t="str">
        <f ca="1">IF(AP707="NE",$V$10,IF(AC707=$V$3,IF(AQ707&lt;1,$V$8,$V$2&amp;" "&amp;AQ707&amp;" "&amp;$V$1),IF(AC707="SKLADEM",$V$6,IFERROR(IF(OR(AC707-TODAY()&gt;45,VLOOKUP(C707,[1]List1!$A:$E,4,FALSE)=0),AC707,DAY(AC707)&amp;"."&amp;MONTH(AC707)&amp;"."&amp;YEAR(AC707)&amp;" "&amp;$V$4&amp;VLOOKUP(C707,[1]List1!$A:$E,4,FALSE)&amp;" "&amp;$V$1),AC707))))</f>
        <v>15.05.2024</v>
      </c>
      <c r="AE707" s="716" t="str">
        <f t="shared" ref="AE707:AE712" ca="1" si="1690">IFERROR(IF(AV707&lt;&gt;"",AV707,AD707),AD707)</f>
        <v>15.05.2024</v>
      </c>
      <c r="AF707" s="723">
        <f t="shared" ref="AF707:AF712" si="1691">IFERROR(IF(AB707=Y707,G707*I707*Y707,0),0)</f>
        <v>0</v>
      </c>
      <c r="AG707" s="723">
        <f t="shared" ref="AG707:AG712" si="1692">IF($W$17=$AF$8,AH707*1.23,AF707*1.21)</f>
        <v>0</v>
      </c>
      <c r="AH707" s="724">
        <f t="shared" ref="AH707:AH712" si="1693">IFERROR(IF(Y707=AB707,H707*I707*Y707,0),0)</f>
        <v>0</v>
      </c>
      <c r="AI707" s="716">
        <f t="shared" ref="AI707:AI712" si="1694">IFERROR(IF(Y707=AB707,(P707*Y707)/1000,1),0)</f>
        <v>0</v>
      </c>
      <c r="AJ707" s="716">
        <f t="shared" ref="AJ707:AJ712" si="1695">IFERROR(IF(Y707=AB707,N707*Y707,0.1),0)</f>
        <v>0</v>
      </c>
      <c r="AK707" s="716" t="str">
        <f t="shared" ref="AK707:AK712" si="1696">IFERROR(IF(Y707=AB707,IF(M707="1.1G",(O707/1000)*Y707,""),""),0)</f>
        <v/>
      </c>
      <c r="AL707" s="716">
        <f t="shared" ref="AL707:AL712" si="1697">IFERROR(IF(Y707=AB707,IF(M707="1.3G",(O707/1000)*AB707,""),""),0)</f>
        <v>0</v>
      </c>
      <c r="AM707" s="716" t="str">
        <f t="shared" ref="AM707:AM712" si="1698">IFERROR(IF(Y707=AB707,IF(M707="1.4G",(O707/1000)*AB707,""),""),0)</f>
        <v/>
      </c>
      <c r="AN707" s="716">
        <f t="shared" ref="AN707:AN712" si="1699">SUM(AK707:AM707)</f>
        <v>0</v>
      </c>
      <c r="AO707" s="380"/>
      <c r="AP707" s="322" t="str">
        <f t="shared" si="1574"/>
        <v/>
      </c>
      <c r="AQ707" s="323" t="str">
        <f>IF(AC707=$V$3,IF(VLOOKUP(C707,[1]List1!$A:$E,5,FALSE)=0,1,VLOOKUP(C707,[1]List1!$A:$E,5,FALSE)),"")</f>
        <v/>
      </c>
      <c r="AR707" s="304" t="str">
        <f t="shared" si="1575"/>
        <v/>
      </c>
      <c r="AS707" s="423" t="str">
        <f t="shared" si="1576"/>
        <v/>
      </c>
      <c r="AT707" s="304" t="str">
        <f t="shared" si="1577"/>
        <v/>
      </c>
      <c r="AU707" s="342" t="e">
        <f t="shared" si="1578"/>
        <v>#N/A</v>
      </c>
      <c r="AV707" s="304" t="e">
        <f t="shared" si="1579"/>
        <v>#N/A</v>
      </c>
      <c r="AX707" s="304">
        <f>IF(AND('General price list'!$J707="F4",'General price list'!$AB707+0&gt;0),1,0)</f>
        <v>0</v>
      </c>
      <c r="AY707" s="304">
        <f t="shared" si="1580"/>
        <v>1</v>
      </c>
      <c r="AZ707" s="304">
        <f t="shared" si="1581"/>
        <v>0</v>
      </c>
    </row>
    <row r="708" spans="1:52" ht="15" customHeight="1">
      <c r="A708" s="725" t="str">
        <f>Kat.!C705</f>
        <v/>
      </c>
      <c r="B708" s="726">
        <f>IF(AND('General price list'!$J708="F4",$AI$1=FALSE),0,IF(AC708="SKLADEM",1,IF(AC708=$V$3,1,0)))</f>
        <v>1</v>
      </c>
      <c r="C708" s="727" t="s">
        <v>1538</v>
      </c>
      <c r="D708" s="728" t="s">
        <v>1539</v>
      </c>
      <c r="E708" s="729" t="s">
        <v>1078</v>
      </c>
      <c r="F708" s="725">
        <f>IFERROR(ROUND(IF($AL$3=2,VLOOKUP(C708,[2]List1!$A:$D,2,FALSE)*1.08,VLOOKUP(C708,[2]List1!$A:$D,2,FALSE)),0),"NEUVEDENO!")</f>
        <v>1099</v>
      </c>
      <c r="G708" s="730">
        <f t="shared" si="1686"/>
        <v>1099</v>
      </c>
      <c r="H708" s="731">
        <f t="shared" si="1687"/>
        <v>44.658639760411887</v>
      </c>
      <c r="I708" s="732">
        <v>2</v>
      </c>
      <c r="J708" s="729" t="s">
        <v>137</v>
      </c>
      <c r="K708" s="729" t="s">
        <v>14734</v>
      </c>
      <c r="L708" s="729" t="s">
        <v>24</v>
      </c>
      <c r="M708" s="729" t="s">
        <v>138</v>
      </c>
      <c r="N708" s="729">
        <f>IFERROR(VLOOKUP(C708,[3]List1!$A:$D,4,FALSE),"N/A!")</f>
        <v>3.1307874999999999E-2</v>
      </c>
      <c r="O708" s="729">
        <f>IFERROR(VLOOKUP(C708,[3]List1!$A:$D,3,FALSE),"N/A!")</f>
        <v>1900</v>
      </c>
      <c r="P708" s="729">
        <f>IFERROR(VLOOKUP(C708,[3]List1!$A:$D,2,FALSE),"N/A!")</f>
        <v>12500</v>
      </c>
      <c r="Q708" s="729" t="s">
        <v>14229</v>
      </c>
      <c r="R708" s="729" t="s">
        <v>24</v>
      </c>
      <c r="S708" s="729" t="str">
        <f>IF($W$17=$AF$1,"červená fólie",IFERROR(VLOOKUP("červená fólie",Jazyky_ceník!$A:$Q,MATCH($W$17,Jazyky_ceník!$A$1:$Q$1,0),FALSE),"!!!"))</f>
        <v>červená fólie</v>
      </c>
      <c r="T708" s="729">
        <v>50</v>
      </c>
      <c r="U708" s="729">
        <v>40</v>
      </c>
      <c r="V708" s="729">
        <v>30</v>
      </c>
      <c r="W708" s="729" t="str">
        <f>IFERROR(VLOOKUP('General price list'!$C708,Popisy!A:P,MATCH($W$17,Popisy!$A$7:$P$7,0),FALSE),"---------------")</f>
        <v>5 různobarevných efektu</v>
      </c>
      <c r="X708" s="729" t="str">
        <f t="shared" si="1688"/>
        <v/>
      </c>
      <c r="Y708" s="729" t="str">
        <f t="shared" si="1689"/>
        <v/>
      </c>
      <c r="Z708" s="729" t="str">
        <f>HYPERLINK("https://www.klasekpyrotechnics.cz/c503ra")</f>
        <v>https://www.klasekpyrotechnics.cz/c503ra</v>
      </c>
      <c r="AA708" s="729">
        <f>IFERROR(IF(VLOOKUP(C708,[4]List1!$A:$D,4,FALSE)=0,"",VLOOKUP(C708,[4]List1!$A:$D,4,FALSE)),"")</f>
        <v>36</v>
      </c>
      <c r="AB708" s="720"/>
      <c r="AC708" s="733" t="str">
        <f>IFERROR(IF(VLOOKUP(C708,[1]List1!$A:$D,2,FALSE)="VYPRODÁNO",$V$9,IF(VLOOKUP(C708,[1]List1!$A:$D,2,FALSE)="DOCHÁZÍ",$V$3,VLOOKUP(C708,[1]List1!$A:$D,2,FALSE))),"OFFLINE!")</f>
        <v>SKLADEM</v>
      </c>
      <c r="AD708" s="734" t="str">
        <f ca="1">IF(AP708="NE",$V$10,IF(AC708=$V$3,IF(AQ708&lt;1,$V$8,$V$2&amp;" "&amp;AQ708&amp;" "&amp;$V$1),IF(AC708="SKLADEM",$V$6,IFERROR(IF(OR(AC708-TODAY()&gt;45,VLOOKUP(C708,[1]List1!$A:$E,4,FALSE)=0),AC708,DAY(AC708)&amp;"."&amp;MONTH(AC708)&amp;"."&amp;YEAR(AC708)&amp;" "&amp;$V$4&amp;VLOOKUP(C708,[1]List1!$A:$E,4,FALSE)&amp;" "&amp;$V$1),AC708))))</f>
        <v>SKLADEM</v>
      </c>
      <c r="AE708" s="729" t="str">
        <f t="shared" ca="1" si="1690"/>
        <v>SKLADEM</v>
      </c>
      <c r="AF708" s="735">
        <f t="shared" si="1691"/>
        <v>0</v>
      </c>
      <c r="AG708" s="735">
        <f t="shared" si="1692"/>
        <v>0</v>
      </c>
      <c r="AH708" s="736">
        <f t="shared" si="1693"/>
        <v>0</v>
      </c>
      <c r="AI708" s="729">
        <f t="shared" si="1694"/>
        <v>0</v>
      </c>
      <c r="AJ708" s="729">
        <f t="shared" si="1695"/>
        <v>0</v>
      </c>
      <c r="AK708" s="729" t="str">
        <f t="shared" si="1696"/>
        <v/>
      </c>
      <c r="AL708" s="729">
        <f t="shared" si="1697"/>
        <v>0</v>
      </c>
      <c r="AM708" s="729" t="str">
        <f t="shared" si="1698"/>
        <v/>
      </c>
      <c r="AN708" s="729">
        <f t="shared" si="1699"/>
        <v>0</v>
      </c>
      <c r="AO708" s="380"/>
      <c r="AP708" s="322" t="str">
        <f t="shared" si="1574"/>
        <v/>
      </c>
      <c r="AQ708" s="323" t="str">
        <f>IF(AC708=$V$3,IF(VLOOKUP(C708,[1]List1!$A:$E,5,FALSE)=0,1,VLOOKUP(C708,[1]List1!$A:$E,5,FALSE)),"")</f>
        <v/>
      </c>
      <c r="AR708" s="304" t="str">
        <f t="shared" si="1575"/>
        <v/>
      </c>
      <c r="AS708" s="423" t="str">
        <f t="shared" si="1576"/>
        <v/>
      </c>
      <c r="AT708" s="304" t="str">
        <f t="shared" si="1577"/>
        <v/>
      </c>
      <c r="AU708" s="342" t="e">
        <f t="shared" si="1578"/>
        <v>#N/A</v>
      </c>
      <c r="AV708" s="304" t="e">
        <f t="shared" si="1579"/>
        <v>#N/A</v>
      </c>
      <c r="AX708" s="304">
        <f>IF(AND('General price list'!$J708="F4",'General price list'!$AB708+0&gt;0),1,0)</f>
        <v>0</v>
      </c>
      <c r="AY708" s="304">
        <f t="shared" si="1580"/>
        <v>1</v>
      </c>
      <c r="AZ708" s="304">
        <f t="shared" si="1581"/>
        <v>0</v>
      </c>
    </row>
    <row r="709" spans="1:52" ht="15" customHeight="1">
      <c r="A709" s="712" t="str">
        <f>Kat.!C706</f>
        <v/>
      </c>
      <c r="B709" s="737">
        <f>IF(AND('General price list'!$J709="F4",$AI$1=FALSE),0,IF(AC709="SKLADEM",1,IF(AC709=$V$3,1,0)))</f>
        <v>1</v>
      </c>
      <c r="C709" s="714" t="s">
        <v>1541</v>
      </c>
      <c r="D709" s="715" t="s">
        <v>1542</v>
      </c>
      <c r="E709" s="716" t="s">
        <v>1078</v>
      </c>
      <c r="F709" s="712">
        <f>IFERROR(ROUND(IF($AL$3=2,VLOOKUP(C709,[2]List1!$A:$D,2,FALSE)*1.08,VLOOKUP(C709,[2]List1!$A:$D,2,FALSE)),0),"NEUVEDENO!")</f>
        <v>1099</v>
      </c>
      <c r="G709" s="717">
        <f t="shared" si="1686"/>
        <v>1099</v>
      </c>
      <c r="H709" s="718">
        <f t="shared" si="1687"/>
        <v>44.658639760411887</v>
      </c>
      <c r="I709" s="738">
        <v>2</v>
      </c>
      <c r="J709" s="716" t="s">
        <v>137</v>
      </c>
      <c r="K709" s="716" t="s">
        <v>14734</v>
      </c>
      <c r="L709" s="716" t="s">
        <v>24</v>
      </c>
      <c r="M709" s="716" t="s">
        <v>138</v>
      </c>
      <c r="N709" s="716">
        <f>IFERROR(VLOOKUP(C709,[3]List1!$A:$D,4,FALSE),"N/A!")</f>
        <v>3.1307874999999999E-2</v>
      </c>
      <c r="O709" s="716">
        <f>IFERROR(VLOOKUP(C709,[3]List1!$A:$D,3,FALSE),"N/A!")</f>
        <v>1900</v>
      </c>
      <c r="P709" s="716">
        <f>IFERROR(VLOOKUP(C709,[3]List1!$A:$D,2,FALSE),"N/A!")</f>
        <v>12400</v>
      </c>
      <c r="Q709" s="716" t="s">
        <v>14230</v>
      </c>
      <c r="R709" s="716" t="s">
        <v>24</v>
      </c>
      <c r="S709" s="716" t="str">
        <f>IF($W$17=$AF$1,"červená fólie",IFERROR(VLOOKUP("červená fólie",Jazyky_ceník!$A:$Q,MATCH($W$17,Jazyky_ceník!$A$1:$Q$1,0),FALSE),"!!!"))</f>
        <v>červená fólie</v>
      </c>
      <c r="T709" s="716">
        <v>50</v>
      </c>
      <c r="U709" s="716">
        <v>40</v>
      </c>
      <c r="V709" s="716">
        <v>30</v>
      </c>
      <c r="W709" s="716" t="str">
        <f>IFERROR(VLOOKUP('General price list'!$C709,Popisy!A:P,MATCH($W$17,Popisy!$A$7:$P$7,0),FALSE),"---------------")</f>
        <v>5 různobarevných efektu</v>
      </c>
      <c r="X709" s="716" t="str">
        <f t="shared" si="1688"/>
        <v/>
      </c>
      <c r="Y709" s="716" t="str">
        <f t="shared" si="1689"/>
        <v/>
      </c>
      <c r="Z709" s="716" t="str">
        <f>HYPERLINK("https://www.klasekpyrotechnics.cz/c503ro")</f>
        <v>https://www.klasekpyrotechnics.cz/c503ro</v>
      </c>
      <c r="AA709" s="716">
        <f>IFERROR(IF(VLOOKUP(C709,[4]List1!$A:$D,4,FALSE)=0,"",VLOOKUP(C709,[4]List1!$A:$D,4,FALSE)),"")</f>
        <v>36</v>
      </c>
      <c r="AB709" s="720"/>
      <c r="AC709" s="739" t="str">
        <f>IFERROR(IF(VLOOKUP(C709,[1]List1!$A:$D,2,FALSE)="VYPRODÁNO",$V$9,IF(VLOOKUP(C709,[1]List1!$A:$D,2,FALSE)="DOCHÁZÍ",$V$3,VLOOKUP(C709,[1]List1!$A:$D,2,FALSE))),"OFFLINE!")</f>
        <v>SKLADEM</v>
      </c>
      <c r="AD709" s="740" t="str">
        <f ca="1">IF(AP709="NE",$V$10,IF(AC709=$V$3,IF(AQ709&lt;1,$V$8,$V$2&amp;" "&amp;AQ709&amp;" "&amp;$V$1),IF(AC709="SKLADEM",$V$6,IFERROR(IF(OR(AC709-TODAY()&gt;45,VLOOKUP(C709,[1]List1!$A:$E,4,FALSE)=0),AC709,DAY(AC709)&amp;"."&amp;MONTH(AC709)&amp;"."&amp;YEAR(AC709)&amp;" "&amp;$V$4&amp;VLOOKUP(C709,[1]List1!$A:$E,4,FALSE)&amp;" "&amp;$V$1),AC709))))</f>
        <v>SKLADEM</v>
      </c>
      <c r="AE709" s="716" t="str">
        <f t="shared" ca="1" si="1690"/>
        <v>SKLADEM</v>
      </c>
      <c r="AF709" s="723">
        <f t="shared" si="1691"/>
        <v>0</v>
      </c>
      <c r="AG709" s="723">
        <f t="shared" si="1692"/>
        <v>0</v>
      </c>
      <c r="AH709" s="724">
        <f t="shared" si="1693"/>
        <v>0</v>
      </c>
      <c r="AI709" s="716">
        <f t="shared" si="1694"/>
        <v>0</v>
      </c>
      <c r="AJ709" s="716">
        <f t="shared" si="1695"/>
        <v>0</v>
      </c>
      <c r="AK709" s="716" t="str">
        <f t="shared" si="1696"/>
        <v/>
      </c>
      <c r="AL709" s="716">
        <f t="shared" si="1697"/>
        <v>0</v>
      </c>
      <c r="AM709" s="716" t="str">
        <f t="shared" si="1698"/>
        <v/>
      </c>
      <c r="AN709" s="716">
        <f t="shared" si="1699"/>
        <v>0</v>
      </c>
      <c r="AO709" s="380"/>
      <c r="AP709" s="322" t="str">
        <f t="shared" si="1574"/>
        <v/>
      </c>
      <c r="AQ709" s="323" t="str">
        <f>IF(AC709=$V$3,IF(VLOOKUP(C709,[1]List1!$A:$E,5,FALSE)=0,1,VLOOKUP(C709,[1]List1!$A:$E,5,FALSE)),"")</f>
        <v/>
      </c>
      <c r="AR709" s="304" t="str">
        <f t="shared" si="1575"/>
        <v/>
      </c>
      <c r="AS709" s="423" t="str">
        <f t="shared" si="1576"/>
        <v/>
      </c>
      <c r="AT709" s="304" t="str">
        <f t="shared" si="1577"/>
        <v/>
      </c>
      <c r="AU709" s="342" t="e">
        <f t="shared" si="1578"/>
        <v>#N/A</v>
      </c>
      <c r="AV709" s="304" t="e">
        <f t="shared" si="1579"/>
        <v>#N/A</v>
      </c>
      <c r="AX709" s="304">
        <f>IF(AND('General price list'!$J709="F4",'General price list'!$AB709+0&gt;0),1,0)</f>
        <v>0</v>
      </c>
      <c r="AY709" s="304">
        <f t="shared" si="1580"/>
        <v>1</v>
      </c>
      <c r="AZ709" s="304">
        <f t="shared" si="1581"/>
        <v>0</v>
      </c>
    </row>
    <row r="710" spans="1:52" ht="15" customHeight="1">
      <c r="A710" s="725" t="str">
        <f>Kat.!C707</f>
        <v/>
      </c>
      <c r="B710" s="726">
        <f>IF(AND('General price list'!$J710="F4",$AI$1=FALSE),0,IF(AC710="SKLADEM",1,IF(AC710=$V$3,1,0)))</f>
        <v>1</v>
      </c>
      <c r="C710" s="727" t="s">
        <v>1543</v>
      </c>
      <c r="D710" s="728" t="s">
        <v>1544</v>
      </c>
      <c r="E710" s="729" t="s">
        <v>1078</v>
      </c>
      <c r="F710" s="725">
        <f>IFERROR(ROUND(IF($AL$3=2,VLOOKUP(C710,[2]List1!$A:$D,2,FALSE)*1.08,VLOOKUP(C710,[2]List1!$A:$D,2,FALSE)),0),"NEUVEDENO!")</f>
        <v>1099</v>
      </c>
      <c r="G710" s="730">
        <f t="shared" si="1686"/>
        <v>1099</v>
      </c>
      <c r="H710" s="731">
        <f t="shared" si="1687"/>
        <v>44.658639760411887</v>
      </c>
      <c r="I710" s="732">
        <v>2</v>
      </c>
      <c r="J710" s="729" t="s">
        <v>137</v>
      </c>
      <c r="K710" s="729" t="s">
        <v>14734</v>
      </c>
      <c r="L710" s="729" t="s">
        <v>14393</v>
      </c>
      <c r="M710" s="729" t="s">
        <v>138</v>
      </c>
      <c r="N710" s="729">
        <f>IFERROR(VLOOKUP(C710,[3]List1!$A:$D,4,FALSE),"N/A!")</f>
        <v>3.1307874999999999E-2</v>
      </c>
      <c r="O710" s="729">
        <f>IFERROR(VLOOKUP(C710,[3]List1!$A:$D,3,FALSE),"N/A!")</f>
        <v>1900</v>
      </c>
      <c r="P710" s="729">
        <f>IFERROR(VLOOKUP(C710,[3]List1!$A:$D,2,FALSE),"N/A!")</f>
        <v>12500</v>
      </c>
      <c r="Q710" s="729" t="s">
        <v>14230</v>
      </c>
      <c r="R710" s="729" t="s">
        <v>24</v>
      </c>
      <c r="S710" s="729" t="str">
        <f>IF($W$17=$AF$1,"červená fólie",IFERROR(VLOOKUP("červená fólie",Jazyky_ceník!$A:$Q,MATCH($W$17,Jazyky_ceník!$A$1:$Q$1,0),FALSE),"!!!"))</f>
        <v>červená fólie</v>
      </c>
      <c r="T710" s="729">
        <v>50</v>
      </c>
      <c r="U710" s="729">
        <v>40</v>
      </c>
      <c r="V710" s="729">
        <v>30</v>
      </c>
      <c r="W710" s="729" t="str">
        <f>IFERROR(VLOOKUP('General price list'!$C710,Popisy!A:P,MATCH($W$17,Popisy!$A$7:$P$7,0),FALSE),"---------------")</f>
        <v>5 různobarevných efektu</v>
      </c>
      <c r="X710" s="729" t="str">
        <f t="shared" si="1688"/>
        <v/>
      </c>
      <c r="Y710" s="729" t="str">
        <f t="shared" si="1689"/>
        <v/>
      </c>
      <c r="Z710" s="729" t="str">
        <f>HYPERLINK("https://www.klasekpyrotechnics.cz/c503wi")</f>
        <v>https://www.klasekpyrotechnics.cz/c503wi</v>
      </c>
      <c r="AA710" s="729">
        <f>IFERROR(IF(VLOOKUP(C710,[4]List1!$A:$D,4,FALSE)=0,"",VLOOKUP(C710,[4]List1!$A:$D,4,FALSE)),"")</f>
        <v>36</v>
      </c>
      <c r="AB710" s="720"/>
      <c r="AC710" s="733" t="str">
        <f>IFERROR(IF(VLOOKUP(C710,[1]List1!$A:$D,2,FALSE)="VYPRODÁNO",$V$9,IF(VLOOKUP(C710,[1]List1!$A:$D,2,FALSE)="DOCHÁZÍ",$V$3,VLOOKUP(C710,[1]List1!$A:$D,2,FALSE))),"OFFLINE!")</f>
        <v>SKLADEM</v>
      </c>
      <c r="AD710" s="734" t="str">
        <f ca="1">IF(AP710="NE",$V$10,IF(AC710=$V$3,IF(AQ710&lt;1,$V$8,$V$2&amp;" "&amp;AQ710&amp;" "&amp;$V$1),IF(AC710="SKLADEM",$V$6,IFERROR(IF(OR(AC710-TODAY()&gt;45,VLOOKUP(C710,[1]List1!$A:$E,4,FALSE)=0),AC710,DAY(AC710)&amp;"."&amp;MONTH(AC710)&amp;"."&amp;YEAR(AC710)&amp;" "&amp;$V$4&amp;VLOOKUP(C710,[1]List1!$A:$E,4,FALSE)&amp;" "&amp;$V$1),AC710))))</f>
        <v>SKLADEM</v>
      </c>
      <c r="AE710" s="729" t="str">
        <f t="shared" ca="1" si="1690"/>
        <v>SKLADEM</v>
      </c>
      <c r="AF710" s="735">
        <f t="shared" si="1691"/>
        <v>0</v>
      </c>
      <c r="AG710" s="735">
        <f t="shared" si="1692"/>
        <v>0</v>
      </c>
      <c r="AH710" s="736">
        <f t="shared" si="1693"/>
        <v>0</v>
      </c>
      <c r="AI710" s="729">
        <f t="shared" si="1694"/>
        <v>0</v>
      </c>
      <c r="AJ710" s="729">
        <f t="shared" si="1695"/>
        <v>0</v>
      </c>
      <c r="AK710" s="729" t="str">
        <f t="shared" si="1696"/>
        <v/>
      </c>
      <c r="AL710" s="729">
        <f t="shared" si="1697"/>
        <v>0</v>
      </c>
      <c r="AM710" s="729" t="str">
        <f t="shared" si="1698"/>
        <v/>
      </c>
      <c r="AN710" s="729">
        <f t="shared" si="1699"/>
        <v>0</v>
      </c>
      <c r="AO710" s="380"/>
      <c r="AP710" s="322" t="str">
        <f t="shared" si="1574"/>
        <v/>
      </c>
      <c r="AQ710" s="323" t="str">
        <f>IF(AC710=$V$3,IF(VLOOKUP(C710,[1]List1!$A:$E,5,FALSE)=0,1,VLOOKUP(C710,[1]List1!$A:$E,5,FALSE)),"")</f>
        <v/>
      </c>
      <c r="AR710" s="304" t="str">
        <f t="shared" si="1575"/>
        <v/>
      </c>
      <c r="AS710" s="423" t="str">
        <f t="shared" si="1576"/>
        <v/>
      </c>
      <c r="AT710" s="304" t="str">
        <f t="shared" si="1577"/>
        <v/>
      </c>
      <c r="AU710" s="342" t="e">
        <f t="shared" si="1578"/>
        <v>#N/A</v>
      </c>
      <c r="AV710" s="304" t="e">
        <f t="shared" si="1579"/>
        <v>#N/A</v>
      </c>
      <c r="AX710" s="304">
        <f>IF(AND('General price list'!$J710="F4",'General price list'!$AB710+0&gt;0),1,0)</f>
        <v>0</v>
      </c>
      <c r="AY710" s="304">
        <f t="shared" si="1580"/>
        <v>1</v>
      </c>
      <c r="AZ710" s="304">
        <f t="shared" si="1581"/>
        <v>0</v>
      </c>
    </row>
    <row r="711" spans="1:52" ht="15" customHeight="1">
      <c r="A711" s="712" t="str">
        <f>Kat.!C708</f>
        <v/>
      </c>
      <c r="B711" s="737">
        <f>IF(AND('General price list'!$J711="F4",$AI$1=FALSE),0,IF(AC711="SKLADEM",1,IF(AC711=$V$3,1,0)))</f>
        <v>1</v>
      </c>
      <c r="C711" s="714" t="s">
        <v>1545</v>
      </c>
      <c r="D711" s="715" t="s">
        <v>1546</v>
      </c>
      <c r="E711" s="716" t="s">
        <v>1078</v>
      </c>
      <c r="F711" s="712">
        <f>IFERROR(ROUND(IF($AL$3=2,VLOOKUP(C711,[2]List1!$A:$D,2,FALSE)*1.08,VLOOKUP(C711,[2]List1!$A:$D,2,FALSE)),0),"NEUVEDENO!")</f>
        <v>1099</v>
      </c>
      <c r="G711" s="717">
        <f t="shared" si="1686"/>
        <v>1099</v>
      </c>
      <c r="H711" s="718">
        <f t="shared" si="1687"/>
        <v>44.658639760411887</v>
      </c>
      <c r="I711" s="738">
        <v>2</v>
      </c>
      <c r="J711" s="716" t="s">
        <v>137</v>
      </c>
      <c r="K711" s="716" t="s">
        <v>14734</v>
      </c>
      <c r="L711" s="716" t="s">
        <v>14393</v>
      </c>
      <c r="M711" s="716" t="s">
        <v>138</v>
      </c>
      <c r="N711" s="716">
        <f>IFERROR(VLOOKUP(C711,[3]List1!$A:$D,4,FALSE),"N/A!")</f>
        <v>3.1307874999999999E-2</v>
      </c>
      <c r="O711" s="716">
        <f>IFERROR(VLOOKUP(C711,[3]List1!$A:$D,3,FALSE),"N/A!")</f>
        <v>1900</v>
      </c>
      <c r="P711" s="716">
        <f>IFERROR(VLOOKUP(C711,[3]List1!$A:$D,2,FALSE),"N/A!")</f>
        <v>12500</v>
      </c>
      <c r="Q711" s="716" t="s">
        <v>1540</v>
      </c>
      <c r="R711" s="716" t="s">
        <v>24</v>
      </c>
      <c r="S711" s="716" t="str">
        <f>IF($W$17=$AF$1,"design",IFERROR(VLOOKUP("design",Jazyky_ceník!$A:$Q,MATCH($W$17,Jazyky_ceník!$A$1:$Q$1,0),FALSE),"!!!"))</f>
        <v>design</v>
      </c>
      <c r="T711" s="716">
        <v>50</v>
      </c>
      <c r="U711" s="716">
        <v>40</v>
      </c>
      <c r="V711" s="716">
        <v>30</v>
      </c>
      <c r="W711" s="716" t="str">
        <f>IFERROR(VLOOKUP('General price list'!$C711,Popisy!A:P,MATCH($W$17,Popisy!$A$7:$P$7,0),FALSE),"---------------")</f>
        <v>5 různobarevných efektu</v>
      </c>
      <c r="X711" s="716" t="str">
        <f t="shared" si="1688"/>
        <v/>
      </c>
      <c r="Y711" s="716" t="str">
        <f t="shared" si="1689"/>
        <v/>
      </c>
      <c r="Z711" s="716" t="str">
        <f>HYPERLINK("https://www.klasekpyrotechnics.cz/c503bi")</f>
        <v>https://www.klasekpyrotechnics.cz/c503bi</v>
      </c>
      <c r="AA711" s="716">
        <f>IFERROR(IF(VLOOKUP(C711,[4]List1!$A:$D,4,FALSE)=0,"",VLOOKUP(C711,[4]List1!$A:$D,4,FALSE)),"")</f>
        <v>36</v>
      </c>
      <c r="AB711" s="720"/>
      <c r="AC711" s="739" t="str">
        <f>IFERROR(IF(VLOOKUP(C711,[1]List1!$A:$D,2,FALSE)="VYPRODÁNO",$V$9,IF(VLOOKUP(C711,[1]List1!$A:$D,2,FALSE)="DOCHÁZÍ",$V$3,VLOOKUP(C711,[1]List1!$A:$D,2,FALSE))),"OFFLINE!")</f>
        <v>DOCHÁZÍ</v>
      </c>
      <c r="AD711" s="740" t="str">
        <f ca="1">IF(AP711="NE",$V$10,IF(AC711=$V$3,IF(AQ711&lt;1,$V$8,$V$2&amp;" "&amp;AQ711&amp;" "&amp;$V$1),IF(AC711="SKLADEM",$V$6,IFERROR(IF(OR(AC711-TODAY()&gt;45,VLOOKUP(C711,[1]List1!$A:$E,4,FALSE)=0),AC711,DAY(AC711)&amp;"."&amp;MONTH(AC711)&amp;"."&amp;YEAR(AC711)&amp;" "&amp;$V$4&amp;VLOOKUP(C711,[1]List1!$A:$E,4,FALSE)&amp;" "&amp;$V$1),AC711))))</f>
        <v>POSLEDNÍCH 1 VK</v>
      </c>
      <c r="AE711" s="716" t="str">
        <f t="shared" ca="1" si="1690"/>
        <v>POSLEDNÍCH 1 VK</v>
      </c>
      <c r="AF711" s="723">
        <f t="shared" si="1691"/>
        <v>0</v>
      </c>
      <c r="AG711" s="723">
        <f t="shared" si="1692"/>
        <v>0</v>
      </c>
      <c r="AH711" s="724">
        <f t="shared" si="1693"/>
        <v>0</v>
      </c>
      <c r="AI711" s="716">
        <f t="shared" si="1694"/>
        <v>0</v>
      </c>
      <c r="AJ711" s="716">
        <f t="shared" si="1695"/>
        <v>0</v>
      </c>
      <c r="AK711" s="716" t="str">
        <f t="shared" si="1696"/>
        <v/>
      </c>
      <c r="AL711" s="716">
        <f t="shared" si="1697"/>
        <v>0</v>
      </c>
      <c r="AM711" s="716" t="str">
        <f t="shared" si="1698"/>
        <v/>
      </c>
      <c r="AN711" s="716">
        <f t="shared" si="1699"/>
        <v>0</v>
      </c>
      <c r="AO711" s="380"/>
      <c r="AP711" s="322" t="str">
        <f t="shared" si="1574"/>
        <v/>
      </c>
      <c r="AQ711" s="323">
        <f>IF(AC711=$V$3,IF(VLOOKUP(C711,[1]List1!$A:$E,5,FALSE)=0,1,VLOOKUP(C711,[1]List1!$A:$E,5,FALSE)),"")</f>
        <v>1</v>
      </c>
      <c r="AR711" s="304" t="str">
        <f t="shared" si="1575"/>
        <v/>
      </c>
      <c r="AS711" s="423" t="str">
        <f t="shared" si="1576"/>
        <v/>
      </c>
      <c r="AT711" s="304" t="str">
        <f t="shared" si="1577"/>
        <v/>
      </c>
      <c r="AU711" s="342" t="e">
        <f t="shared" si="1578"/>
        <v>#N/A</v>
      </c>
      <c r="AV711" s="304" t="e">
        <f t="shared" si="1579"/>
        <v>#N/A</v>
      </c>
      <c r="AX711" s="304">
        <f>IF(AND('General price list'!$J711="F4",'General price list'!$AB711+0&gt;0),1,0)</f>
        <v>0</v>
      </c>
      <c r="AY711" s="304">
        <f t="shared" si="1580"/>
        <v>1</v>
      </c>
      <c r="AZ711" s="304">
        <f t="shared" si="1581"/>
        <v>0</v>
      </c>
    </row>
    <row r="712" spans="1:52" ht="15" customHeight="1">
      <c r="A712" s="725" t="str">
        <f>Kat.!C709</f>
        <v>×</v>
      </c>
      <c r="B712" s="726">
        <f>IF(AND('General price list'!$J712="F4",$AI$1=FALSE),0,IF(AC712="SKLADEM",1,IF(AC712=$V$3,1,0)))</f>
        <v>1</v>
      </c>
      <c r="C712" s="727" t="s">
        <v>1547</v>
      </c>
      <c r="D712" s="728" t="s">
        <v>1548</v>
      </c>
      <c r="E712" s="729" t="s">
        <v>1078</v>
      </c>
      <c r="F712" s="725">
        <f>IFERROR(ROUND(IF($AL$3=2,VLOOKUP(C712,[2]List1!$A:$D,2,FALSE)*1.08,VLOOKUP(C712,[2]List1!$A:$D,2,FALSE)),0),"NEUVEDENO!")</f>
        <v>1099</v>
      </c>
      <c r="G712" s="730">
        <f t="shared" si="1686"/>
        <v>1099</v>
      </c>
      <c r="H712" s="731">
        <f t="shared" si="1687"/>
        <v>44.658639760411887</v>
      </c>
      <c r="I712" s="732">
        <v>2</v>
      </c>
      <c r="J712" s="729" t="s">
        <v>137</v>
      </c>
      <c r="K712" s="729" t="s">
        <v>14734</v>
      </c>
      <c r="L712" s="729" t="s">
        <v>14393</v>
      </c>
      <c r="M712" s="729" t="s">
        <v>138</v>
      </c>
      <c r="N712" s="729">
        <f>IFERROR(VLOOKUP(C712,[3]List1!$A:$D,4,FALSE),"N/A!")</f>
        <v>3.1307874999999999E-2</v>
      </c>
      <c r="O712" s="729">
        <f>IFERROR(VLOOKUP(C712,[3]List1!$A:$D,3,FALSE),"N/A!")</f>
        <v>1900</v>
      </c>
      <c r="P712" s="729">
        <f>IFERROR(VLOOKUP(C712,[3]List1!$A:$D,2,FALSE),"N/A!")</f>
        <v>12500</v>
      </c>
      <c r="Q712" s="729" t="s">
        <v>1540</v>
      </c>
      <c r="R712" s="729" t="s">
        <v>24</v>
      </c>
      <c r="S712" s="729" t="str">
        <f>IF($W$17=$AF$1,"design",IFERROR(VLOOKUP("design",Jazyky_ceník!$A:$Q,MATCH($W$17,Jazyky_ceník!$A$1:$Q$1,0),FALSE),"!!!"))</f>
        <v>design</v>
      </c>
      <c r="T712" s="729">
        <v>50</v>
      </c>
      <c r="U712" s="729">
        <v>40</v>
      </c>
      <c r="V712" s="729">
        <v>30</v>
      </c>
      <c r="W712" s="729" t="str">
        <f>IFERROR(VLOOKUP('General price list'!$C712,Popisy!A:P,MATCH($W$17,Popisy!$A$7:$P$7,0),FALSE),"---------------")</f>
        <v>5 různobarevných efektu</v>
      </c>
      <c r="X712" s="729" t="str">
        <f t="shared" si="1688"/>
        <v/>
      </c>
      <c r="Y712" s="729" t="str">
        <f t="shared" si="1689"/>
        <v/>
      </c>
      <c r="Z712" s="729" t="str">
        <f>HYPERLINK("https://www.klasekpyrotechnics.cz/c503me")</f>
        <v>https://www.klasekpyrotechnics.cz/c503me</v>
      </c>
      <c r="AA712" s="729">
        <f>IFERROR(IF(VLOOKUP(C712,[4]List1!$A:$D,4,FALSE)=0,"",VLOOKUP(C712,[4]List1!$A:$D,4,FALSE)),"")</f>
        <v>36</v>
      </c>
      <c r="AB712" s="720"/>
      <c r="AC712" s="733" t="str">
        <f>IFERROR(IF(VLOOKUP(C712,[1]List1!$A:$D,2,FALSE)="VYPRODÁNO",$V$9,IF(VLOOKUP(C712,[1]List1!$A:$D,2,FALSE)="DOCHÁZÍ",$V$3,VLOOKUP(C712,[1]List1!$A:$D,2,FALSE))),"OFFLINE!")</f>
        <v>SKLADEM</v>
      </c>
      <c r="AD712" s="734" t="str">
        <f ca="1">IF(AP712="NE",$V$10,IF(AC712=$V$3,IF(AQ712&lt;1,$V$8,$V$2&amp;" "&amp;AQ712&amp;" "&amp;$V$1),IF(AC712="SKLADEM",$V$6,IFERROR(IF(OR(AC712-TODAY()&gt;45,VLOOKUP(C712,[1]List1!$A:$E,4,FALSE)=0),AC712,DAY(AC712)&amp;"."&amp;MONTH(AC712)&amp;"."&amp;YEAR(AC712)&amp;" "&amp;$V$4&amp;VLOOKUP(C712,[1]List1!$A:$E,4,FALSE)&amp;" "&amp;$V$1),AC712))))</f>
        <v>SKLADEM</v>
      </c>
      <c r="AE712" s="729" t="str">
        <f t="shared" ca="1" si="1690"/>
        <v>SKLADEM</v>
      </c>
      <c r="AF712" s="735">
        <f t="shared" si="1691"/>
        <v>0</v>
      </c>
      <c r="AG712" s="735">
        <f t="shared" si="1692"/>
        <v>0</v>
      </c>
      <c r="AH712" s="736">
        <f t="shared" si="1693"/>
        <v>0</v>
      </c>
      <c r="AI712" s="729">
        <f t="shared" si="1694"/>
        <v>0</v>
      </c>
      <c r="AJ712" s="729">
        <f t="shared" si="1695"/>
        <v>0</v>
      </c>
      <c r="AK712" s="729" t="str">
        <f t="shared" si="1696"/>
        <v/>
      </c>
      <c r="AL712" s="729">
        <f t="shared" si="1697"/>
        <v>0</v>
      </c>
      <c r="AM712" s="729" t="str">
        <f t="shared" si="1698"/>
        <v/>
      </c>
      <c r="AN712" s="729">
        <f t="shared" si="1699"/>
        <v>0</v>
      </c>
      <c r="AO712" s="380"/>
      <c r="AP712" s="322" t="str">
        <f t="shared" si="1574"/>
        <v/>
      </c>
      <c r="AQ712" s="323" t="str">
        <f>IF(AC712=$V$3,IF(VLOOKUP(C712,[1]List1!$A:$E,5,FALSE)=0,1,VLOOKUP(C712,[1]List1!$A:$E,5,FALSE)),"")</f>
        <v/>
      </c>
      <c r="AR712" s="304" t="str">
        <f t="shared" si="1575"/>
        <v/>
      </c>
      <c r="AS712" s="423" t="str">
        <f t="shared" si="1576"/>
        <v/>
      </c>
      <c r="AT712" s="304" t="str">
        <f t="shared" si="1577"/>
        <v/>
      </c>
      <c r="AU712" s="342" t="e">
        <f t="shared" si="1578"/>
        <v>#N/A</v>
      </c>
      <c r="AV712" s="304" t="e">
        <f t="shared" si="1579"/>
        <v>#N/A</v>
      </c>
      <c r="AX712" s="304">
        <f>IF(AND('General price list'!$J712="F4",'General price list'!$AB712+0&gt;0),1,0)</f>
        <v>0</v>
      </c>
      <c r="AY712" s="304">
        <f t="shared" si="1580"/>
        <v>1</v>
      </c>
      <c r="AZ712" s="304">
        <f t="shared" si="1581"/>
        <v>0</v>
      </c>
    </row>
    <row r="713" spans="1:52" ht="15" customHeight="1">
      <c r="A713" s="773" t="str">
        <f>Kat.!C710</f>
        <v xml:space="preserve">                                                               Baterie 64ran, 30mm moždíř-1.3G</v>
      </c>
      <c r="B713" s="774"/>
      <c r="C713" s="774"/>
      <c r="D713" s="774"/>
      <c r="E713" s="774"/>
      <c r="F713" s="774"/>
      <c r="G713" s="774"/>
      <c r="H713" s="774"/>
      <c r="I713" s="774"/>
      <c r="J713" s="774"/>
      <c r="K713" s="774"/>
      <c r="L713" s="774"/>
      <c r="M713" s="774"/>
      <c r="N713" s="774"/>
      <c r="O713" s="774"/>
      <c r="P713" s="774"/>
      <c r="Q713" s="774"/>
      <c r="R713" s="774"/>
      <c r="S713" s="774"/>
      <c r="T713" s="774"/>
      <c r="U713" s="774"/>
      <c r="V713" s="774"/>
      <c r="W713" s="774"/>
      <c r="X713" s="774"/>
      <c r="Y713" s="774"/>
      <c r="Z713" s="774"/>
      <c r="AA713" s="774" t="str">
        <f>IFERROR(IF(VLOOKUP(C713,[4]List1!$A:$D,4,FALSE)=0,"",VLOOKUP(C713,[4]List1!$A:$D,4,FALSE)),"")</f>
        <v/>
      </c>
      <c r="AB713" s="774"/>
      <c r="AC713" s="775" t="str">
        <f>IFERROR(IF(VLOOKUP(C713,[1]List1!$A:$D,2,FALSE)="VYPRODÁNO",$V$9,IF(VLOOKUP(C713,[1]List1!$A:$D,2,FALSE)="DOCHÁZÍ",$V$3,VLOOKUP(C713,[1]List1!$A:$D,2,FALSE))),"OFFLINE!")</f>
        <v>OFFLINE!</v>
      </c>
      <c r="AD713" s="774"/>
      <c r="AE713" s="774"/>
      <c r="AF713" s="774"/>
      <c r="AG713" s="774"/>
      <c r="AH713" s="774"/>
      <c r="AI713" s="774"/>
      <c r="AJ713" s="774"/>
      <c r="AK713" s="774"/>
      <c r="AL713" s="774"/>
      <c r="AM713" s="774"/>
      <c r="AN713" s="774"/>
      <c r="AO713" s="380"/>
      <c r="AP713" s="322" t="str">
        <f t="shared" si="1574"/>
        <v/>
      </c>
      <c r="AQ713" s="323" t="str">
        <f>IF(AC713=$V$3,IF(VLOOKUP(C713,[1]List1!$A:$E,5,FALSE)=0,1,VLOOKUP(C713,[1]List1!$A:$E,5,FALSE)),"")</f>
        <v/>
      </c>
      <c r="AR713" s="304" t="str">
        <f t="shared" si="1575"/>
        <v/>
      </c>
      <c r="AS713" s="423" t="str">
        <f t="shared" si="1576"/>
        <v/>
      </c>
      <c r="AT713" s="304" t="str">
        <f t="shared" si="1577"/>
        <v/>
      </c>
      <c r="AU713" s="342" t="e">
        <f t="shared" si="1578"/>
        <v>#N/A</v>
      </c>
      <c r="AV713" s="304" t="e">
        <f t="shared" si="1579"/>
        <v>#N/A</v>
      </c>
      <c r="AX713" s="304">
        <f>IF(AND('General price list'!$J713="F4",'General price list'!$AB713+0&gt;0),1,0)</f>
        <v>0</v>
      </c>
      <c r="AY713" s="304">
        <f t="shared" si="1580"/>
        <v>0</v>
      </c>
      <c r="AZ713" s="304">
        <f t="shared" si="1581"/>
        <v>0</v>
      </c>
    </row>
    <row r="714" spans="1:52" ht="15" customHeight="1">
      <c r="A714" s="725" t="str">
        <f>Kat.!C711</f>
        <v/>
      </c>
      <c r="B714" s="741">
        <f>IF(AND('General price list'!$J714="F4",$AI$1=FALSE),0,IF(AC714="SKLADEM",1,IF(AC714=$V$3,1,0)))</f>
        <v>1</v>
      </c>
      <c r="C714" s="727" t="s">
        <v>1549</v>
      </c>
      <c r="D714" s="728" t="s">
        <v>14605</v>
      </c>
      <c r="E714" s="729" t="s">
        <v>1078</v>
      </c>
      <c r="F714" s="725">
        <f>IFERROR(ROUND(IF($AL$3=2,VLOOKUP(C714,[2]List1!$A:$D,2,FALSE)*1.08,VLOOKUP(C714,[2]List1!$A:$D,2,FALSE)),0),"NEUVEDENO!")</f>
        <v>1299</v>
      </c>
      <c r="G714" s="730">
        <f t="shared" ref="G714:G717" si="1700">(F714)*$B$19</f>
        <v>1299</v>
      </c>
      <c r="H714" s="731">
        <f t="shared" ref="H714:H717" si="1701">G714/$F$19</f>
        <v>52.785780754117418</v>
      </c>
      <c r="I714" s="742">
        <v>2</v>
      </c>
      <c r="J714" s="729" t="s">
        <v>137</v>
      </c>
      <c r="K714" s="729" t="s">
        <v>14734</v>
      </c>
      <c r="L714" s="729" t="s">
        <v>24</v>
      </c>
      <c r="M714" s="729" t="s">
        <v>138</v>
      </c>
      <c r="N714" s="729">
        <f>IFERROR(VLOOKUP(C714,[3]List1!$A:$D,4,FALSE),"N/A!")</f>
        <v>4.4835E-2</v>
      </c>
      <c r="O714" s="729">
        <f>IFERROR(VLOOKUP(C714,[3]List1!$A:$D,3,FALSE),"N/A!")</f>
        <v>1996</v>
      </c>
      <c r="P714" s="729">
        <f>IFERROR(VLOOKUP(C714,[3]List1!$A:$D,2,FALSE),"N/A!")</f>
        <v>17500</v>
      </c>
      <c r="Q714" s="729" t="s">
        <v>14231</v>
      </c>
      <c r="R714" s="729" t="s">
        <v>24</v>
      </c>
      <c r="S714" s="729" t="str">
        <f>IF($W$17=$AF$1,"design",IFERROR(VLOOKUP("design",Jazyky_ceník!$A:$Q,MATCH($W$17,Jazyky_ceník!$A$1:$Q$1,0),FALSE),"!!!"))</f>
        <v>design</v>
      </c>
      <c r="T714" s="729">
        <v>65</v>
      </c>
      <c r="U714" s="729">
        <v>40</v>
      </c>
      <c r="V714" s="729">
        <v>29</v>
      </c>
      <c r="W714" s="729" t="str">
        <f>IFERROR(VLOOKUP('General price list'!$C714,Popisy!A:P,MATCH($W$17,Popisy!$A$7:$P$7,0),FALSE),"---------------")</f>
        <v>8 různobarevných efektů</v>
      </c>
      <c r="X714" s="729" t="str">
        <f t="shared" ref="X714:X717" si="1702">IF(AB714&lt;0.0001,"",AB714)</f>
        <v/>
      </c>
      <c r="Y714" s="729" t="str">
        <f t="shared" ref="Y714:Y717" si="1703">IF($AL$3=2,IF(OR(AB714&lt;&gt;"",AB714&lt;&gt;0),AU714,""),IF(C714="","",IF(AB714&lt;0.0001,"",IF(B714=0,"",IF(AQ714&lt;AB714,"",AB714)))))</f>
        <v/>
      </c>
      <c r="Z714" s="729" t="str">
        <f>HYPERLINK("https://www.klasekpyrotechnics.cz/c643bpf")</f>
        <v>https://www.klasekpyrotechnics.cz/c643bpf</v>
      </c>
      <c r="AA714" s="729">
        <f>IFERROR(IF(VLOOKUP(C714,[4]List1!$A:$D,4,FALSE)=0,"",VLOOKUP(C714,[4]List1!$A:$D,4,FALSE)),"")</f>
        <v>24</v>
      </c>
      <c r="AB714" s="720"/>
      <c r="AC714" s="743" t="str">
        <f>IFERROR(IF(VLOOKUP(C714,[1]List1!$A:$D,2,FALSE)="VYPRODÁNO",$V$9,IF(VLOOKUP(C714,[1]List1!$A:$D,2,FALSE)="DOCHÁZÍ",$V$3,VLOOKUP(C714,[1]List1!$A:$D,2,FALSE))),"OFFLINE!")</f>
        <v>SKLADEM</v>
      </c>
      <c r="AD714" s="744" t="str">
        <f ca="1">IF(AP714="NE",$V$10,IF(AC714=$V$3,IF(AQ714&lt;1,$V$8,$V$2&amp;" "&amp;AQ714&amp;" "&amp;$V$1),IF(AC714="SKLADEM",$V$6,IFERROR(IF(OR(AC714-TODAY()&gt;45,VLOOKUP(C714,[1]List1!$A:$E,4,FALSE)=0),AC714,DAY(AC714)&amp;"."&amp;MONTH(AC714)&amp;"."&amp;YEAR(AC714)&amp;" "&amp;$V$4&amp;VLOOKUP(C714,[1]List1!$A:$E,4,FALSE)&amp;" "&amp;$V$1),AC714))))</f>
        <v>SKLADEM</v>
      </c>
      <c r="AE714" s="729" t="str">
        <f t="shared" ref="AE714:AE717" ca="1" si="1704">IFERROR(IF(AV714&lt;&gt;"",AV714,AD714),AD714)</f>
        <v>SKLADEM</v>
      </c>
      <c r="AF714" s="735">
        <f t="shared" ref="AF714:AF717" si="1705">IFERROR(IF(AB714=Y714,G714*I714*Y714,0),0)</f>
        <v>0</v>
      </c>
      <c r="AG714" s="735">
        <f t="shared" ref="AG714:AG717" si="1706">IF($W$17=$AF$8,AH714*1.23,AF714*1.21)</f>
        <v>0</v>
      </c>
      <c r="AH714" s="736">
        <f t="shared" ref="AH714:AH717" si="1707">IFERROR(IF(Y714=AB714,H714*I714*Y714,0),0)</f>
        <v>0</v>
      </c>
      <c r="AI714" s="729">
        <f t="shared" ref="AI714:AI717" si="1708">IFERROR(IF(Y714=AB714,(P714*Y714)/1000,1),0)</f>
        <v>0</v>
      </c>
      <c r="AJ714" s="729">
        <f t="shared" ref="AJ714:AJ717" si="1709">IFERROR(IF(Y714=AB714,N714*Y714,0.1),0)</f>
        <v>0</v>
      </c>
      <c r="AK714" s="729" t="str">
        <f t="shared" ref="AK714:AK717" si="1710">IFERROR(IF(Y714=AB714,IF(M714="1.1G",(O714/1000)*Y714,""),""),0)</f>
        <v/>
      </c>
      <c r="AL714" s="729">
        <f t="shared" ref="AL714:AL717" si="1711">IFERROR(IF(Y714=AB714,IF(M714="1.3G",(O714/1000)*AB714,""),""),0)</f>
        <v>0</v>
      </c>
      <c r="AM714" s="729" t="str">
        <f t="shared" ref="AM714:AM717" si="1712">IFERROR(IF(Y714=AB714,IF(M714="1.4G",(O714/1000)*AB714,""),""),0)</f>
        <v/>
      </c>
      <c r="AN714" s="729">
        <f t="shared" ref="AN714:AN717" si="1713">SUM(AK714:AM714)</f>
        <v>0</v>
      </c>
      <c r="AO714" s="380"/>
      <c r="AP714" s="322" t="str">
        <f t="shared" si="1574"/>
        <v/>
      </c>
      <c r="AQ714" s="323" t="str">
        <f>IF(AC714=$V$3,IF(VLOOKUP(C714,[1]List1!$A:$E,5,FALSE)=0,1,VLOOKUP(C714,[1]List1!$A:$E,5,FALSE)),"")</f>
        <v/>
      </c>
      <c r="AR714" s="304" t="str">
        <f t="shared" si="1575"/>
        <v/>
      </c>
      <c r="AS714" s="423" t="str">
        <f t="shared" si="1576"/>
        <v/>
      </c>
      <c r="AT714" s="304" t="str">
        <f t="shared" si="1577"/>
        <v/>
      </c>
      <c r="AU714" s="342" t="e">
        <f t="shared" si="1578"/>
        <v>#N/A</v>
      </c>
      <c r="AV714" s="304" t="e">
        <f t="shared" si="1579"/>
        <v>#N/A</v>
      </c>
      <c r="AX714" s="304">
        <f>IF(AND('General price list'!$J714="F4",'General price list'!$AB714+0&gt;0),1,0)</f>
        <v>0</v>
      </c>
      <c r="AY714" s="304">
        <f t="shared" si="1580"/>
        <v>1</v>
      </c>
      <c r="AZ714" s="304">
        <f t="shared" si="1581"/>
        <v>0</v>
      </c>
    </row>
    <row r="715" spans="1:52" ht="15" customHeight="1">
      <c r="A715" s="712" t="str">
        <f>Kat.!C712</f>
        <v/>
      </c>
      <c r="B715" s="745">
        <f>IF(AND('General price list'!$J715="F4",$AI$1=FALSE),0,IF(AC715="SKLADEM",1,IF(AC715=$V$3,1,0)))</f>
        <v>1</v>
      </c>
      <c r="C715" s="714" t="s">
        <v>1550</v>
      </c>
      <c r="D715" s="715" t="s">
        <v>713</v>
      </c>
      <c r="E715" s="716" t="s">
        <v>1078</v>
      </c>
      <c r="F715" s="712">
        <f>IFERROR(ROUND(IF($AL$3=2,VLOOKUP(C715,[2]List1!$A:$D,2,FALSE)*1.08,VLOOKUP(C715,[2]List1!$A:$D,2,FALSE)),0),"NEUVEDENO!")</f>
        <v>1359</v>
      </c>
      <c r="G715" s="717">
        <f t="shared" si="1700"/>
        <v>1359</v>
      </c>
      <c r="H715" s="718">
        <f t="shared" si="1701"/>
        <v>55.223923052229075</v>
      </c>
      <c r="I715" s="746">
        <v>2</v>
      </c>
      <c r="J715" s="716" t="s">
        <v>137</v>
      </c>
      <c r="K715" s="716" t="s">
        <v>14734</v>
      </c>
      <c r="L715" s="716" t="s">
        <v>14393</v>
      </c>
      <c r="M715" s="716" t="s">
        <v>138</v>
      </c>
      <c r="N715" s="716">
        <f>IFERROR(VLOOKUP(C715,[3]List1!$A:$D,4,FALSE),"N/A!")</f>
        <v>4.4835E-2</v>
      </c>
      <c r="O715" s="716">
        <f>IFERROR(VLOOKUP(C715,[3]List1!$A:$D,3,FALSE),"N/A!")</f>
        <v>1996</v>
      </c>
      <c r="P715" s="716">
        <f>IFERROR(VLOOKUP(C715,[3]List1!$A:$D,2,FALSE),"N/A!")</f>
        <v>17500</v>
      </c>
      <c r="Q715" s="716" t="s">
        <v>14231</v>
      </c>
      <c r="R715" s="716" t="s">
        <v>24</v>
      </c>
      <c r="S715" s="716" t="str">
        <f>IF($W$17=$AF$1,"design",IFERROR(VLOOKUP("design",Jazyky_ceník!$A:$Q,MATCH($W$17,Jazyky_ceník!$A$1:$Q$1,0),FALSE),"!!!"))</f>
        <v>design</v>
      </c>
      <c r="T715" s="716">
        <v>75</v>
      </c>
      <c r="U715" s="716">
        <v>40</v>
      </c>
      <c r="V715" s="716">
        <v>30</v>
      </c>
      <c r="W715" s="716" t="str">
        <f>IFERROR(VLOOKUP('General price list'!$C715,Popisy!A:P,MATCH($W$17,Popisy!$A$7:$P$7,0),FALSE),"---------------")</f>
        <v>8 různobarevných efektů</v>
      </c>
      <c r="X715" s="716" t="str">
        <f t="shared" si="1702"/>
        <v/>
      </c>
      <c r="Y715" s="716" t="str">
        <f t="shared" si="1703"/>
        <v/>
      </c>
      <c r="Z715" s="716" t="str">
        <f>HYPERLINK("https://www.klasekpyrotechnics.cz/c643bi")</f>
        <v>https://www.klasekpyrotechnics.cz/c643bi</v>
      </c>
      <c r="AA715" s="716">
        <f>IFERROR(IF(VLOOKUP(C715,[4]List1!$A:$D,4,FALSE)=0,"",VLOOKUP(C715,[4]List1!$A:$D,4,FALSE)),"")</f>
        <v>24</v>
      </c>
      <c r="AB715" s="720"/>
      <c r="AC715" s="747" t="str">
        <f>IFERROR(IF(VLOOKUP(C715,[1]List1!$A:$D,2,FALSE)="VYPRODÁNO",$V$9,IF(VLOOKUP(C715,[1]List1!$A:$D,2,FALSE)="DOCHÁZÍ",$V$3,VLOOKUP(C715,[1]List1!$A:$D,2,FALSE))),"OFFLINE!")</f>
        <v>SKLADEM</v>
      </c>
      <c r="AD715" s="748" t="str">
        <f ca="1">IF(AP715="NE",$V$10,IF(AC715=$V$3,IF(AQ715&lt;1,$V$8,$V$2&amp;" "&amp;AQ715&amp;" "&amp;$V$1),IF(AC715="SKLADEM",$V$6,IFERROR(IF(OR(AC715-TODAY()&gt;45,VLOOKUP(C715,[1]List1!$A:$E,4,FALSE)=0),AC715,DAY(AC715)&amp;"."&amp;MONTH(AC715)&amp;"."&amp;YEAR(AC715)&amp;" "&amp;$V$4&amp;VLOOKUP(C715,[1]List1!$A:$E,4,FALSE)&amp;" "&amp;$V$1),AC715))))</f>
        <v>SKLADEM</v>
      </c>
      <c r="AE715" s="716" t="str">
        <f t="shared" ca="1" si="1704"/>
        <v>SKLADEM</v>
      </c>
      <c r="AF715" s="723">
        <f t="shared" si="1705"/>
        <v>0</v>
      </c>
      <c r="AG715" s="723">
        <f t="shared" si="1706"/>
        <v>0</v>
      </c>
      <c r="AH715" s="724">
        <f t="shared" si="1707"/>
        <v>0</v>
      </c>
      <c r="AI715" s="716">
        <f t="shared" si="1708"/>
        <v>0</v>
      </c>
      <c r="AJ715" s="716">
        <f t="shared" si="1709"/>
        <v>0</v>
      </c>
      <c r="AK715" s="716" t="str">
        <f t="shared" si="1710"/>
        <v/>
      </c>
      <c r="AL715" s="716">
        <f t="shared" si="1711"/>
        <v>0</v>
      </c>
      <c r="AM715" s="716" t="str">
        <f t="shared" si="1712"/>
        <v/>
      </c>
      <c r="AN715" s="716">
        <f t="shared" si="1713"/>
        <v>0</v>
      </c>
      <c r="AO715" s="380"/>
      <c r="AP715" s="322" t="str">
        <f t="shared" si="1574"/>
        <v/>
      </c>
      <c r="AQ715" s="323" t="str">
        <f>IF(AC715=$V$3,IF(VLOOKUP(C715,[1]List1!$A:$E,5,FALSE)=0,1,VLOOKUP(C715,[1]List1!$A:$E,5,FALSE)),"")</f>
        <v/>
      </c>
      <c r="AR715" s="304" t="str">
        <f t="shared" si="1575"/>
        <v/>
      </c>
      <c r="AS715" s="423" t="str">
        <f t="shared" si="1576"/>
        <v/>
      </c>
      <c r="AT715" s="304" t="str">
        <f t="shared" si="1577"/>
        <v/>
      </c>
      <c r="AU715" s="342" t="e">
        <f t="shared" si="1578"/>
        <v>#N/A</v>
      </c>
      <c r="AV715" s="304" t="e">
        <f t="shared" si="1579"/>
        <v>#N/A</v>
      </c>
      <c r="AX715" s="304">
        <f>IF(AND('General price list'!$J715="F4",'General price list'!$AB715+0&gt;0),1,0)</f>
        <v>0</v>
      </c>
      <c r="AY715" s="304">
        <f t="shared" si="1580"/>
        <v>1</v>
      </c>
      <c r="AZ715" s="304">
        <f t="shared" si="1581"/>
        <v>0</v>
      </c>
    </row>
    <row r="716" spans="1:52" ht="15" customHeight="1">
      <c r="A716" s="725" t="str">
        <f>Kat.!C713</f>
        <v/>
      </c>
      <c r="B716" s="749">
        <f>IF(AND('General price list'!$J716="F4",$AI$1=FALSE),0,IF(AC716="SKLADEM",1,IF(AC716=$V$3,1,0)))</f>
        <v>1</v>
      </c>
      <c r="C716" s="727" t="s">
        <v>1557</v>
      </c>
      <c r="D716" s="728" t="s">
        <v>1552</v>
      </c>
      <c r="E716" s="729" t="s">
        <v>1078</v>
      </c>
      <c r="F716" s="725">
        <f>IFERROR(ROUND(IF($AL$3=2,VLOOKUP(C716,[2]List1!$A:$D,2,FALSE)*1.08,VLOOKUP(C716,[2]List1!$A:$D,2,FALSE)),0),"NEUVEDENO!")</f>
        <v>1359</v>
      </c>
      <c r="G716" s="730">
        <f t="shared" si="1700"/>
        <v>1359</v>
      </c>
      <c r="H716" s="731">
        <f t="shared" si="1701"/>
        <v>55.223923052229075</v>
      </c>
      <c r="I716" s="750">
        <v>2</v>
      </c>
      <c r="J716" s="729" t="s">
        <v>137</v>
      </c>
      <c r="K716" s="729" t="s">
        <v>14734</v>
      </c>
      <c r="L716" s="729" t="s">
        <v>14393</v>
      </c>
      <c r="M716" s="729" t="s">
        <v>138</v>
      </c>
      <c r="N716" s="729">
        <f>IFERROR(VLOOKUP(C716,[3]List1!$A:$D,4,FALSE),"N/A!")</f>
        <v>4.4835E-2</v>
      </c>
      <c r="O716" s="729">
        <f>IFERROR(VLOOKUP(C716,[3]List1!$A:$D,3,FALSE),"N/A!")</f>
        <v>1996</v>
      </c>
      <c r="P716" s="729">
        <f>IFERROR(VLOOKUP(C716,[3]List1!$A:$D,2,FALSE),"N/A!")</f>
        <v>17500</v>
      </c>
      <c r="Q716" s="729" t="s">
        <v>14231</v>
      </c>
      <c r="R716" s="729" t="s">
        <v>24</v>
      </c>
      <c r="S716" s="729" t="str">
        <f>IF($W$17=$AF$1,"červená fólie",IFERROR(VLOOKUP("červená fólie",Jazyky_ceník!$A:$Q,MATCH($W$17,Jazyky_ceník!$A$1:$Q$1,0),FALSE),"!!!"))</f>
        <v>červená fólie</v>
      </c>
      <c r="T716" s="729">
        <v>75</v>
      </c>
      <c r="U716" s="729">
        <v>40</v>
      </c>
      <c r="V716" s="729">
        <v>30</v>
      </c>
      <c r="W716" s="729" t="str">
        <f>IFERROR(VLOOKUP('General price list'!$C716,Popisy!A:P,MATCH($W$17,Popisy!$A$7:$P$7,0),FALSE),"---------------")</f>
        <v>8 různobarevných efektů</v>
      </c>
      <c r="X716" s="729" t="str">
        <f t="shared" si="1702"/>
        <v/>
      </c>
      <c r="Y716" s="729" t="str">
        <f t="shared" si="1703"/>
        <v/>
      </c>
      <c r="Z716" s="729" t="str">
        <f>HYPERLINK("https://www.klasekpyrotechnics.cz/c643h")</f>
        <v>https://www.klasekpyrotechnics.cz/c643h</v>
      </c>
      <c r="AA716" s="729">
        <f>IFERROR(IF(VLOOKUP(C716,[4]List1!$A:$D,4,FALSE)=0,"",VLOOKUP(C716,[4]List1!$A:$D,4,FALSE)),"")</f>
        <v>24</v>
      </c>
      <c r="AB716" s="720"/>
      <c r="AC716" s="751" t="str">
        <f>IFERROR(IF(VLOOKUP(C716,[1]List1!$A:$D,2,FALSE)="VYPRODÁNO",$V$9,IF(VLOOKUP(C716,[1]List1!$A:$D,2,FALSE)="DOCHÁZÍ",$V$3,VLOOKUP(C716,[1]List1!$A:$D,2,FALSE))),"OFFLINE!")</f>
        <v>SKLADEM</v>
      </c>
      <c r="AD716" s="752" t="str">
        <f ca="1">IF(AP716="NE",$V$10,IF(AC716=$V$3,IF(AQ716&lt;1,$V$8,$V$2&amp;" "&amp;AQ716&amp;" "&amp;$V$1),IF(AC716="SKLADEM",$V$6,IFERROR(IF(OR(AC716-TODAY()&gt;45,VLOOKUP(C716,[1]List1!$A:$E,4,FALSE)=0),AC716,DAY(AC716)&amp;"."&amp;MONTH(AC716)&amp;"."&amp;YEAR(AC716)&amp;" "&amp;$V$4&amp;VLOOKUP(C716,[1]List1!$A:$E,4,FALSE)&amp;" "&amp;$V$1),AC716))))</f>
        <v>SKLADEM</v>
      </c>
      <c r="AE716" s="729" t="str">
        <f t="shared" ca="1" si="1704"/>
        <v>SKLADEM</v>
      </c>
      <c r="AF716" s="735">
        <f t="shared" si="1705"/>
        <v>0</v>
      </c>
      <c r="AG716" s="735">
        <f t="shared" si="1706"/>
        <v>0</v>
      </c>
      <c r="AH716" s="736">
        <f t="shared" si="1707"/>
        <v>0</v>
      </c>
      <c r="AI716" s="729">
        <f t="shared" si="1708"/>
        <v>0</v>
      </c>
      <c r="AJ716" s="729">
        <f t="shared" si="1709"/>
        <v>0</v>
      </c>
      <c r="AK716" s="729" t="str">
        <f t="shared" si="1710"/>
        <v/>
      </c>
      <c r="AL716" s="729">
        <f t="shared" si="1711"/>
        <v>0</v>
      </c>
      <c r="AM716" s="729" t="str">
        <f t="shared" si="1712"/>
        <v/>
      </c>
      <c r="AN716" s="729">
        <f t="shared" si="1713"/>
        <v>0</v>
      </c>
      <c r="AO716" s="380"/>
      <c r="AP716" s="322" t="str">
        <f t="shared" si="1574"/>
        <v/>
      </c>
      <c r="AQ716" s="323" t="str">
        <f>IF(AC716=$V$3,IF(VLOOKUP(C716,[1]List1!$A:$E,5,FALSE)=0,1,VLOOKUP(C716,[1]List1!$A:$E,5,FALSE)),"")</f>
        <v/>
      </c>
      <c r="AR716" s="304" t="str">
        <f t="shared" si="1575"/>
        <v/>
      </c>
      <c r="AS716" s="423" t="str">
        <f t="shared" si="1576"/>
        <v/>
      </c>
      <c r="AT716" s="304" t="str">
        <f t="shared" si="1577"/>
        <v/>
      </c>
      <c r="AU716" s="342" t="e">
        <f t="shared" si="1578"/>
        <v>#N/A</v>
      </c>
      <c r="AV716" s="304" t="e">
        <f t="shared" si="1579"/>
        <v>#N/A</v>
      </c>
      <c r="AX716" s="304">
        <f>IF(AND('General price list'!$J716="F4",'General price list'!$AB716+0&gt;0),1,0)</f>
        <v>0</v>
      </c>
      <c r="AY716" s="304">
        <f t="shared" si="1580"/>
        <v>1</v>
      </c>
      <c r="AZ716" s="304">
        <f t="shared" si="1581"/>
        <v>0</v>
      </c>
    </row>
    <row r="717" spans="1:52" ht="15" customHeight="1">
      <c r="A717" s="712" t="str">
        <f>Kat.!C714</f>
        <v/>
      </c>
      <c r="B717" s="745">
        <f>IF(AND('General price list'!$J717="F4",$AI$1=FALSE),0,IF(AC717="SKLADEM",1,IF(AC717=$V$3,1,0)))</f>
        <v>1</v>
      </c>
      <c r="C717" s="714" t="s">
        <v>1558</v>
      </c>
      <c r="D717" s="715" t="s">
        <v>1553</v>
      </c>
      <c r="E717" s="716" t="s">
        <v>1078</v>
      </c>
      <c r="F717" s="712">
        <f>IFERROR(ROUND(IF($AL$3=2,VLOOKUP(C717,[2]List1!$A:$D,2,FALSE)*1.08,VLOOKUP(C717,[2]List1!$A:$D,2,FALSE)),0),"NEUVEDENO!")</f>
        <v>1359</v>
      </c>
      <c r="G717" s="717">
        <f t="shared" si="1700"/>
        <v>1359</v>
      </c>
      <c r="H717" s="718">
        <f t="shared" si="1701"/>
        <v>55.223923052229075</v>
      </c>
      <c r="I717" s="746">
        <v>2</v>
      </c>
      <c r="J717" s="716" t="s">
        <v>137</v>
      </c>
      <c r="K717" s="716" t="s">
        <v>14734</v>
      </c>
      <c r="L717" s="716" t="s">
        <v>14393</v>
      </c>
      <c r="M717" s="716" t="s">
        <v>138</v>
      </c>
      <c r="N717" s="716">
        <f>IFERROR(VLOOKUP(C717,[3]List1!$A:$D,4,FALSE),"N/A!")</f>
        <v>4.4835E-2</v>
      </c>
      <c r="O717" s="716">
        <f>IFERROR(VLOOKUP(C717,[3]List1!$A:$D,3,FALSE),"N/A!")</f>
        <v>1996</v>
      </c>
      <c r="P717" s="716">
        <f>IFERROR(VLOOKUP(C717,[3]List1!$A:$D,2,FALSE),"N/A!")</f>
        <v>17500</v>
      </c>
      <c r="Q717" s="716" t="s">
        <v>14231</v>
      </c>
      <c r="R717" s="716" t="s">
        <v>24</v>
      </c>
      <c r="S717" s="716" t="str">
        <f>IF($W$17=$AF$1,"design",IFERROR(VLOOKUP("design",Jazyky_ceník!$A:$Q,MATCH($W$17,Jazyky_ceník!$A$1:$Q$1,0),FALSE),"!!!"))</f>
        <v>design</v>
      </c>
      <c r="T717" s="716">
        <v>75</v>
      </c>
      <c r="U717" s="716">
        <v>40</v>
      </c>
      <c r="V717" s="716">
        <v>30</v>
      </c>
      <c r="W717" s="716" t="str">
        <f>IFERROR(VLOOKUP('General price list'!$C717,Popisy!A:P,MATCH($W$17,Popisy!$A$7:$P$7,0),FALSE),"---------------")</f>
        <v>8 různobarevných efektů měnících se po každé ráně</v>
      </c>
      <c r="X717" s="716" t="str">
        <f t="shared" si="1702"/>
        <v/>
      </c>
      <c r="Y717" s="716" t="str">
        <f t="shared" si="1703"/>
        <v/>
      </c>
      <c r="Z717" s="716" t="str">
        <f>HYPERLINK("https://www.klasekpyrotechnics.cz/c643m")</f>
        <v>https://www.klasekpyrotechnics.cz/c643m</v>
      </c>
      <c r="AA717" s="716">
        <f>IFERROR(IF(VLOOKUP(C717,[4]List1!$A:$D,4,FALSE)=0,"",VLOOKUP(C717,[4]List1!$A:$D,4,FALSE)),"")</f>
        <v>24</v>
      </c>
      <c r="AB717" s="720"/>
      <c r="AC717" s="747" t="str">
        <f>IFERROR(IF(VLOOKUP(C717,[1]List1!$A:$D,2,FALSE)="VYPRODÁNO",$V$9,IF(VLOOKUP(C717,[1]List1!$A:$D,2,FALSE)="DOCHÁZÍ",$V$3,VLOOKUP(C717,[1]List1!$A:$D,2,FALSE))),"OFFLINE!")</f>
        <v>SKLADEM</v>
      </c>
      <c r="AD717" s="748" t="str">
        <f ca="1">IF(AP717="NE",$V$10,IF(AC717=$V$3,IF(AQ717&lt;1,$V$8,$V$2&amp;" "&amp;AQ717&amp;" "&amp;$V$1),IF(AC717="SKLADEM",$V$6,IFERROR(IF(OR(AC717-TODAY()&gt;45,VLOOKUP(C717,[1]List1!$A:$E,4,FALSE)=0),AC717,DAY(AC717)&amp;"."&amp;MONTH(AC717)&amp;"."&amp;YEAR(AC717)&amp;" "&amp;$V$4&amp;VLOOKUP(C717,[1]List1!$A:$E,4,FALSE)&amp;" "&amp;$V$1),AC717))))</f>
        <v>SKLADEM</v>
      </c>
      <c r="AE717" s="716" t="str">
        <f t="shared" ca="1" si="1704"/>
        <v>SKLADEM</v>
      </c>
      <c r="AF717" s="723">
        <f t="shared" si="1705"/>
        <v>0</v>
      </c>
      <c r="AG717" s="723">
        <f t="shared" si="1706"/>
        <v>0</v>
      </c>
      <c r="AH717" s="724">
        <f t="shared" si="1707"/>
        <v>0</v>
      </c>
      <c r="AI717" s="716">
        <f t="shared" si="1708"/>
        <v>0</v>
      </c>
      <c r="AJ717" s="716">
        <f t="shared" si="1709"/>
        <v>0</v>
      </c>
      <c r="AK717" s="716" t="str">
        <f t="shared" si="1710"/>
        <v/>
      </c>
      <c r="AL717" s="716">
        <f t="shared" si="1711"/>
        <v>0</v>
      </c>
      <c r="AM717" s="716" t="str">
        <f t="shared" si="1712"/>
        <v/>
      </c>
      <c r="AN717" s="716">
        <f t="shared" si="1713"/>
        <v>0</v>
      </c>
      <c r="AO717" s="380"/>
      <c r="AP717" s="322" t="str">
        <f t="shared" si="1574"/>
        <v/>
      </c>
      <c r="AQ717" s="323" t="str">
        <f>IF(AC717=$V$3,IF(VLOOKUP(C717,[1]List1!$A:$E,5,FALSE)=0,1,VLOOKUP(C717,[1]List1!$A:$E,5,FALSE)),"")</f>
        <v/>
      </c>
      <c r="AR717" s="304" t="str">
        <f t="shared" si="1575"/>
        <v/>
      </c>
      <c r="AS717" s="423" t="str">
        <f t="shared" si="1576"/>
        <v/>
      </c>
      <c r="AT717" s="304" t="str">
        <f t="shared" si="1577"/>
        <v/>
      </c>
      <c r="AU717" s="342" t="e">
        <f t="shared" si="1578"/>
        <v>#N/A</v>
      </c>
      <c r="AV717" s="304" t="e">
        <f t="shared" si="1579"/>
        <v>#N/A</v>
      </c>
      <c r="AX717" s="304">
        <f>IF(AND('General price list'!$J717="F4",'General price list'!$AB717+0&gt;0),1,0)</f>
        <v>0</v>
      </c>
      <c r="AY717" s="304">
        <f t="shared" si="1580"/>
        <v>1</v>
      </c>
      <c r="AZ717" s="304">
        <f t="shared" si="1581"/>
        <v>0</v>
      </c>
    </row>
    <row r="718" spans="1:52" ht="15" customHeight="1">
      <c r="A718" s="773" t="str">
        <f>Kat.!C715</f>
        <v xml:space="preserve">                                                               Baterie 64ran, 30mm šikmý moždíř-1.3G</v>
      </c>
      <c r="B718" s="774"/>
      <c r="C718" s="774"/>
      <c r="D718" s="774"/>
      <c r="E718" s="774"/>
      <c r="F718" s="774"/>
      <c r="G718" s="774"/>
      <c r="H718" s="774"/>
      <c r="I718" s="774"/>
      <c r="J718" s="774"/>
      <c r="K718" s="774"/>
      <c r="L718" s="774"/>
      <c r="M718" s="774"/>
      <c r="N718" s="774"/>
      <c r="O718" s="774"/>
      <c r="P718" s="774"/>
      <c r="Q718" s="774"/>
      <c r="R718" s="774"/>
      <c r="S718" s="774"/>
      <c r="T718" s="774"/>
      <c r="U718" s="774"/>
      <c r="V718" s="774"/>
      <c r="W718" s="774"/>
      <c r="X718" s="774"/>
      <c r="Y718" s="774"/>
      <c r="Z718" s="774"/>
      <c r="AA718" s="774" t="str">
        <f>IFERROR(IF(VLOOKUP(C718,[4]List1!$A:$D,4,FALSE)=0,"",VLOOKUP(C718,[4]List1!$A:$D,4,FALSE)),"")</f>
        <v/>
      </c>
      <c r="AB718" s="774"/>
      <c r="AC718" s="775" t="str">
        <f>IFERROR(IF(VLOOKUP(C718,[1]List1!$A:$D,2,FALSE)="VYPRODÁNO",$V$9,IF(VLOOKUP(C718,[1]List1!$A:$D,2,FALSE)="DOCHÁZÍ",$V$3,VLOOKUP(C718,[1]List1!$A:$D,2,FALSE))),"OFFLINE!")</f>
        <v>OFFLINE!</v>
      </c>
      <c r="AD718" s="774"/>
      <c r="AE718" s="774"/>
      <c r="AF718" s="774"/>
      <c r="AG718" s="774"/>
      <c r="AH718" s="774"/>
      <c r="AI718" s="774"/>
      <c r="AJ718" s="774"/>
      <c r="AK718" s="774"/>
      <c r="AL718" s="774"/>
      <c r="AM718" s="774"/>
      <c r="AN718" s="774"/>
      <c r="AO718" s="380"/>
      <c r="AP718" s="322" t="str">
        <f t="shared" si="1574"/>
        <v/>
      </c>
      <c r="AQ718" s="323" t="str">
        <f>IF(AC718=$V$3,IF(VLOOKUP(C718,[1]List1!$A:$E,5,FALSE)=0,1,VLOOKUP(C718,[1]List1!$A:$E,5,FALSE)),"")</f>
        <v/>
      </c>
      <c r="AR718" s="304" t="str">
        <f t="shared" si="1575"/>
        <v/>
      </c>
      <c r="AS718" s="423" t="str">
        <f t="shared" si="1576"/>
        <v/>
      </c>
      <c r="AT718" s="304" t="str">
        <f t="shared" si="1577"/>
        <v/>
      </c>
      <c r="AU718" s="342" t="e">
        <f t="shared" si="1578"/>
        <v>#N/A</v>
      </c>
      <c r="AV718" s="304" t="e">
        <f t="shared" si="1579"/>
        <v>#N/A</v>
      </c>
      <c r="AX718" s="304">
        <f>IF(AND('General price list'!$J718="F4",'General price list'!$AB718+0&gt;0),1,0)</f>
        <v>0</v>
      </c>
      <c r="AY718" s="304">
        <f t="shared" si="1580"/>
        <v>0</v>
      </c>
      <c r="AZ718" s="304">
        <f t="shared" si="1581"/>
        <v>0</v>
      </c>
    </row>
    <row r="719" spans="1:52" ht="15" customHeight="1">
      <c r="A719" s="712" t="str">
        <f>Kat.!C716</f>
        <v/>
      </c>
      <c r="B719" s="713">
        <f>IF(AND('General price list'!$J719="F4",$AI$1=FALSE),0,IF(AC719="SKLADEM",1,IF(AC719=$V$3,1,0)))</f>
        <v>0</v>
      </c>
      <c r="C719" s="714" t="s">
        <v>1563</v>
      </c>
      <c r="D719" s="715" t="s">
        <v>1560</v>
      </c>
      <c r="E719" s="716" t="s">
        <v>1078</v>
      </c>
      <c r="F719" s="712">
        <f>IFERROR(ROUND(IF($AL$3=2,VLOOKUP(C719,[2]List1!$A:$D,2,FALSE)*1.08,VLOOKUP(C719,[2]List1!$A:$D,2,FALSE)),0),"NEUVEDENO!")</f>
        <v>1699</v>
      </c>
      <c r="G719" s="717">
        <f t="shared" ref="G719:G720" si="1714">(F719)*$B$19</f>
        <v>1699</v>
      </c>
      <c r="H719" s="718">
        <f t="shared" ref="H719:H720" si="1715">G719/$F$19</f>
        <v>69.040062741528473</v>
      </c>
      <c r="I719" s="719">
        <v>2</v>
      </c>
      <c r="J719" s="716" t="s">
        <v>137</v>
      </c>
      <c r="K719" s="716" t="s">
        <v>14734</v>
      </c>
      <c r="L719" s="716" t="s">
        <v>24</v>
      </c>
      <c r="M719" s="716" t="s">
        <v>138</v>
      </c>
      <c r="N719" s="716">
        <f>IFERROR(VLOOKUP(C719,[3]List1!$A:$D,4,FALSE),"N/A!")</f>
        <v>7.3830750000000001E-2</v>
      </c>
      <c r="O719" s="716">
        <f>IFERROR(VLOOKUP(C719,[3]List1!$A:$D,3,FALSE),"N/A!")</f>
        <v>1996</v>
      </c>
      <c r="P719" s="716">
        <f>IFERROR(VLOOKUP(C719,[3]List1!$A:$D,2,FALSE),"N/A!")</f>
        <v>19000</v>
      </c>
      <c r="Q719" s="716" t="s">
        <v>14232</v>
      </c>
      <c r="R719" s="716" t="s">
        <v>24</v>
      </c>
      <c r="S719" s="716" t="str">
        <f>IF($W$17=$AF$1,"design",IFERROR(VLOOKUP("design",Jazyky_ceník!$A:$Q,MATCH($W$17,Jazyky_ceník!$A$1:$Q$1,0),FALSE),"!!!"))</f>
        <v>design</v>
      </c>
      <c r="T719" s="716">
        <v>60</v>
      </c>
      <c r="U719" s="716">
        <v>40</v>
      </c>
      <c r="V719" s="716">
        <v>30</v>
      </c>
      <c r="W719" s="716" t="str">
        <f>IFERROR(VLOOKUP('General price list'!$C719,Popisy!A:P,MATCH($W$17,Popisy!$A$7:$P$7,0),FALSE),"---------------")</f>
        <v>8 různobarevných efektů</v>
      </c>
      <c r="X719" s="716" t="str">
        <f t="shared" ref="X719:X720" si="1716">IF(AB719&lt;0.0001,"",AB719)</f>
        <v/>
      </c>
      <c r="Y719" s="716" t="str">
        <f t="shared" ref="Y719:Y720" si="1717">IF($AL$3=2,IF(OR(AB719&lt;&gt;"",AB719&lt;&gt;0),AU719,""),IF(C719="","",IF(AB719&lt;0.0001,"",IF(B719=0,"",IF(AQ719&lt;AB719,"",AB719)))))</f>
        <v/>
      </c>
      <c r="Z719" s="716" t="str">
        <f>HYPERLINK("https://www.klasekpyrotechnics.cz/cf643m")</f>
        <v>https://www.klasekpyrotechnics.cz/cf643m</v>
      </c>
      <c r="AA719" s="716">
        <f>IFERROR(IF(VLOOKUP(C719,[4]List1!$A:$D,4,FALSE)=0,"",VLOOKUP(C719,[4]List1!$A:$D,4,FALSE)),"")</f>
        <v>14</v>
      </c>
      <c r="AB719" s="720"/>
      <c r="AC719" s="721" t="str">
        <f>IFERROR(IF(VLOOKUP(C719,[1]List1!$A:$D,2,FALSE)="VYPRODÁNO",$V$9,IF(VLOOKUP(C719,[1]List1!$A:$D,2,FALSE)="DOCHÁZÍ",$V$3,VLOOKUP(C719,[1]List1!$A:$D,2,FALSE))),"OFFLINE!")</f>
        <v>20.03.2024</v>
      </c>
      <c r="AD719" s="722" t="str">
        <f ca="1">IF(AP719="NE",$V$10,IF(AC719=$V$3,IF(AQ719&lt;1,$V$8,$V$2&amp;" "&amp;AQ719&amp;" "&amp;$V$1),IF(AC719="SKLADEM",$V$6,IFERROR(IF(OR(AC719-TODAY()&gt;45,VLOOKUP(C719,[1]List1!$A:$E,4,FALSE)=0),AC719,DAY(AC719)&amp;"."&amp;MONTH(AC719)&amp;"."&amp;YEAR(AC719)&amp;" "&amp;$V$4&amp;VLOOKUP(C719,[1]List1!$A:$E,4,FALSE)&amp;" "&amp;$V$1),AC719))))</f>
        <v>20.3.2024 DORAZÍ 98 VK</v>
      </c>
      <c r="AE719" s="716" t="str">
        <f t="shared" ref="AE719:AE720" ca="1" si="1718">IFERROR(IF(AV719&lt;&gt;"",AV719,AD719),AD719)</f>
        <v>20.3.2024 DORAZÍ 98 VK</v>
      </c>
      <c r="AF719" s="723">
        <f t="shared" ref="AF719:AF720" si="1719">IFERROR(IF(AB719=Y719,G719*I719*Y719,0),0)</f>
        <v>0</v>
      </c>
      <c r="AG719" s="723">
        <f t="shared" ref="AG719:AG720" si="1720">IF($W$17=$AF$8,AH719*1.23,AF719*1.21)</f>
        <v>0</v>
      </c>
      <c r="AH719" s="724">
        <f t="shared" ref="AH719:AH720" si="1721">IFERROR(IF(Y719=AB719,H719*I719*Y719,0),0)</f>
        <v>0</v>
      </c>
      <c r="AI719" s="716">
        <f t="shared" ref="AI719:AI720" si="1722">IFERROR(IF(Y719=AB719,(P719*Y719)/1000,1),0)</f>
        <v>0</v>
      </c>
      <c r="AJ719" s="716">
        <f t="shared" ref="AJ719:AJ720" si="1723">IFERROR(IF(Y719=AB719,N719*Y719,0.1),0)</f>
        <v>0</v>
      </c>
      <c r="AK719" s="716" t="str">
        <f t="shared" ref="AK719:AK720" si="1724">IFERROR(IF(Y719=AB719,IF(M719="1.1G",(O719/1000)*Y719,""),""),0)</f>
        <v/>
      </c>
      <c r="AL719" s="716">
        <f t="shared" ref="AL719:AL720" si="1725">IFERROR(IF(Y719=AB719,IF(M719="1.3G",(O719/1000)*AB719,""),""),0)</f>
        <v>0</v>
      </c>
      <c r="AM719" s="716" t="str">
        <f t="shared" ref="AM719:AM720" si="1726">IFERROR(IF(Y719=AB719,IF(M719="1.4G",(O719/1000)*AB719,""),""),0)</f>
        <v/>
      </c>
      <c r="AN719" s="716">
        <f t="shared" ref="AN719:AN720" si="1727">SUM(AK719:AM719)</f>
        <v>0</v>
      </c>
      <c r="AO719" s="380"/>
      <c r="AP719" s="322" t="str">
        <f t="shared" si="1574"/>
        <v/>
      </c>
      <c r="AQ719" s="305" t="str">
        <f>IF(AC719=$V$3,IF(VLOOKUP(C719,[1]List1!$A:$E,5,FALSE)=0,1,VLOOKUP(C719,[1]List1!$A:$E,5,FALSE)),"")</f>
        <v/>
      </c>
      <c r="AR719" s="304" t="str">
        <f t="shared" si="1575"/>
        <v/>
      </c>
      <c r="AS719" s="423" t="str">
        <f t="shared" si="1576"/>
        <v/>
      </c>
      <c r="AT719" s="304" t="str">
        <f t="shared" si="1577"/>
        <v/>
      </c>
      <c r="AU719" s="342" t="e">
        <f t="shared" si="1578"/>
        <v>#N/A</v>
      </c>
      <c r="AV719" s="304" t="e">
        <f t="shared" si="1579"/>
        <v>#N/A</v>
      </c>
      <c r="AX719" s="304">
        <f>IF(AND('General price list'!$J719="F4",'General price list'!$AB719+0&gt;0),1,0)</f>
        <v>0</v>
      </c>
      <c r="AY719" s="304">
        <f t="shared" si="1580"/>
        <v>1</v>
      </c>
      <c r="AZ719" s="304">
        <f t="shared" si="1581"/>
        <v>0</v>
      </c>
    </row>
    <row r="720" spans="1:52" ht="15" customHeight="1">
      <c r="A720" s="725" t="str">
        <f>Kat.!C717</f>
        <v/>
      </c>
      <c r="B720" s="726">
        <f>IF(AND('General price list'!$J720="F4",$AI$1=FALSE),0,IF(AC720="SKLADEM",1,IF(AC720=$V$3,1,0)))</f>
        <v>1</v>
      </c>
      <c r="C720" s="727" t="s">
        <v>1564</v>
      </c>
      <c r="D720" s="728" t="s">
        <v>1561</v>
      </c>
      <c r="E720" s="729" t="s">
        <v>1078</v>
      </c>
      <c r="F720" s="725">
        <f>IFERROR(ROUND(IF($AL$3=2,VLOOKUP(C720,[2]List1!$A:$D,2,FALSE)*1.08,VLOOKUP(C720,[2]List1!$A:$D,2,FALSE)),0),"NEUVEDENO!")</f>
        <v>1699</v>
      </c>
      <c r="G720" s="730">
        <f t="shared" si="1714"/>
        <v>1699</v>
      </c>
      <c r="H720" s="731">
        <f t="shared" si="1715"/>
        <v>69.040062741528473</v>
      </c>
      <c r="I720" s="732">
        <v>2</v>
      </c>
      <c r="J720" s="729" t="s">
        <v>137</v>
      </c>
      <c r="K720" s="729" t="s">
        <v>14734</v>
      </c>
      <c r="L720" s="729" t="s">
        <v>24</v>
      </c>
      <c r="M720" s="729" t="s">
        <v>138</v>
      </c>
      <c r="N720" s="729">
        <f>IFERROR(VLOOKUP(C720,[3]List1!$A:$D,4,FALSE),"N/A!")</f>
        <v>7.3830750000000001E-2</v>
      </c>
      <c r="O720" s="729">
        <f>IFERROR(VLOOKUP(C720,[3]List1!$A:$D,3,FALSE),"N/A!")</f>
        <v>1996</v>
      </c>
      <c r="P720" s="729">
        <f>IFERROR(VLOOKUP(C720,[3]List1!$A:$D,2,FALSE),"N/A!")</f>
        <v>18500</v>
      </c>
      <c r="Q720" s="729" t="s">
        <v>14232</v>
      </c>
      <c r="R720" s="729" t="s">
        <v>24</v>
      </c>
      <c r="S720" s="729" t="str">
        <f>IF($W$17=$AF$1,"design",IFERROR(VLOOKUP("design",Jazyky_ceník!$A:$Q,MATCH($W$17,Jazyky_ceník!$A$1:$Q$1,0),FALSE),"!!!"))</f>
        <v>design</v>
      </c>
      <c r="T720" s="729">
        <v>60</v>
      </c>
      <c r="U720" s="729">
        <v>40</v>
      </c>
      <c r="V720" s="729">
        <v>30</v>
      </c>
      <c r="W720" s="729" t="str">
        <f>IFERROR(VLOOKUP('General price list'!$C720,Popisy!A:P,MATCH($W$17,Popisy!$A$7:$P$7,0),FALSE),"---------------")</f>
        <v>8 různobarevných efektů měnících se po každé ráně</v>
      </c>
      <c r="X720" s="729" t="str">
        <f t="shared" si="1716"/>
        <v/>
      </c>
      <c r="Y720" s="729" t="str">
        <f t="shared" si="1717"/>
        <v/>
      </c>
      <c r="Z720" s="729" t="str">
        <f>HYPERLINK("https://www.klasekpyrotechnics.cz/cf643t")</f>
        <v>https://www.klasekpyrotechnics.cz/cf643t</v>
      </c>
      <c r="AA720" s="729">
        <f>IFERROR(IF(VLOOKUP(C720,[4]List1!$A:$D,4,FALSE)=0,"",VLOOKUP(C720,[4]List1!$A:$D,4,FALSE)),"")</f>
        <v>14</v>
      </c>
      <c r="AB720" s="720"/>
      <c r="AC720" s="733" t="str">
        <f>IFERROR(IF(VLOOKUP(C720,[1]List1!$A:$D,2,FALSE)="VYPRODÁNO",$V$9,IF(VLOOKUP(C720,[1]List1!$A:$D,2,FALSE)="DOCHÁZÍ",$V$3,VLOOKUP(C720,[1]List1!$A:$D,2,FALSE))),"OFFLINE!")</f>
        <v>SKLADEM</v>
      </c>
      <c r="AD720" s="734" t="str">
        <f ca="1">IF(AP720="NE",$V$10,IF(AC720=$V$3,IF(AQ720&lt;1,$V$8,$V$2&amp;" "&amp;AQ720&amp;" "&amp;$V$1),IF(AC720="SKLADEM",$V$6,IFERROR(IF(OR(AC720-TODAY()&gt;45,VLOOKUP(C720,[1]List1!$A:$E,4,FALSE)=0),AC720,DAY(AC720)&amp;"."&amp;MONTH(AC720)&amp;"."&amp;YEAR(AC720)&amp;" "&amp;$V$4&amp;VLOOKUP(C720,[1]List1!$A:$E,4,FALSE)&amp;" "&amp;$V$1),AC720))))</f>
        <v>SKLADEM</v>
      </c>
      <c r="AE720" s="729" t="str">
        <f t="shared" ca="1" si="1718"/>
        <v>SKLADEM</v>
      </c>
      <c r="AF720" s="735">
        <f t="shared" si="1719"/>
        <v>0</v>
      </c>
      <c r="AG720" s="735">
        <f t="shared" si="1720"/>
        <v>0</v>
      </c>
      <c r="AH720" s="736">
        <f t="shared" si="1721"/>
        <v>0</v>
      </c>
      <c r="AI720" s="729">
        <f t="shared" si="1722"/>
        <v>0</v>
      </c>
      <c r="AJ720" s="729">
        <f t="shared" si="1723"/>
        <v>0</v>
      </c>
      <c r="AK720" s="729" t="str">
        <f t="shared" si="1724"/>
        <v/>
      </c>
      <c r="AL720" s="729">
        <f t="shared" si="1725"/>
        <v>0</v>
      </c>
      <c r="AM720" s="729" t="str">
        <f t="shared" si="1726"/>
        <v/>
      </c>
      <c r="AN720" s="729">
        <f t="shared" si="1727"/>
        <v>0</v>
      </c>
      <c r="AO720" s="380"/>
      <c r="AP720" s="322" t="str">
        <f t="shared" si="1574"/>
        <v/>
      </c>
      <c r="AQ720" s="323" t="str">
        <f>IF(AC720=$V$3,IF(VLOOKUP(C720,[1]List1!$A:$E,5,FALSE)=0,1,VLOOKUP(C720,[1]List1!$A:$E,5,FALSE)),"")</f>
        <v/>
      </c>
      <c r="AR720" s="304" t="str">
        <f t="shared" si="1575"/>
        <v/>
      </c>
      <c r="AS720" s="423" t="str">
        <f t="shared" si="1576"/>
        <v/>
      </c>
      <c r="AT720" s="304" t="str">
        <f t="shared" si="1577"/>
        <v/>
      </c>
      <c r="AU720" s="342" t="e">
        <f t="shared" si="1578"/>
        <v>#N/A</v>
      </c>
      <c r="AV720" s="304" t="e">
        <f t="shared" si="1579"/>
        <v>#N/A</v>
      </c>
      <c r="AX720" s="304">
        <f>IF(AND('General price list'!$J720="F4",'General price list'!$AB720+0&gt;0),1,0)</f>
        <v>0</v>
      </c>
      <c r="AY720" s="304">
        <f t="shared" si="1580"/>
        <v>1</v>
      </c>
      <c r="AZ720" s="304">
        <f t="shared" si="1581"/>
        <v>0</v>
      </c>
    </row>
    <row r="721" spans="1:52" ht="15" customHeight="1">
      <c r="A721" s="773" t="str">
        <f>Kat.!C718</f>
        <v xml:space="preserve">                                                               Baterie 64ran, 30mm rovný+šikmý moždíř-1.3G</v>
      </c>
      <c r="B721" s="774"/>
      <c r="C721" s="774"/>
      <c r="D721" s="774"/>
      <c r="E721" s="774"/>
      <c r="F721" s="774"/>
      <c r="G721" s="774"/>
      <c r="H721" s="774"/>
      <c r="I721" s="774"/>
      <c r="J721" s="774"/>
      <c r="K721" s="774"/>
      <c r="L721" s="774"/>
      <c r="M721" s="774"/>
      <c r="N721" s="774"/>
      <c r="O721" s="774"/>
      <c r="P721" s="774"/>
      <c r="Q721" s="774"/>
      <c r="R721" s="774"/>
      <c r="S721" s="774"/>
      <c r="T721" s="774"/>
      <c r="U721" s="774"/>
      <c r="V721" s="774"/>
      <c r="W721" s="774"/>
      <c r="X721" s="774"/>
      <c r="Y721" s="774"/>
      <c r="Z721" s="774"/>
      <c r="AA721" s="774" t="str">
        <f>IFERROR(IF(VLOOKUP(C721,[4]List1!$A:$D,4,FALSE)=0,"",VLOOKUP(C721,[4]List1!$A:$D,4,FALSE)),"")</f>
        <v/>
      </c>
      <c r="AB721" s="774"/>
      <c r="AC721" s="775" t="str">
        <f>IFERROR(IF(VLOOKUP(C721,[1]List1!$A:$D,2,FALSE)="VYPRODÁNO",$V$9,IF(VLOOKUP(C721,[1]List1!$A:$D,2,FALSE)="DOCHÁZÍ",$V$3,VLOOKUP(C721,[1]List1!$A:$D,2,FALSE))),"OFFLINE!")</f>
        <v>OFFLINE!</v>
      </c>
      <c r="AD721" s="774"/>
      <c r="AE721" s="774"/>
      <c r="AF721" s="774"/>
      <c r="AG721" s="774"/>
      <c r="AH721" s="774"/>
      <c r="AI721" s="774"/>
      <c r="AJ721" s="774"/>
      <c r="AK721" s="774"/>
      <c r="AL721" s="774"/>
      <c r="AM721" s="774"/>
      <c r="AN721" s="774"/>
      <c r="AO721" s="380"/>
      <c r="AP721" s="322" t="str">
        <f t="shared" si="1574"/>
        <v/>
      </c>
      <c r="AQ721" s="323" t="str">
        <f>IF(AC721=$V$3,IF(VLOOKUP(C721,[1]List1!$A:$E,5,FALSE)=0,1,VLOOKUP(C721,[1]List1!$A:$E,5,FALSE)),"")</f>
        <v/>
      </c>
      <c r="AR721" s="304" t="str">
        <f t="shared" si="1575"/>
        <v/>
      </c>
      <c r="AS721" s="423" t="str">
        <f t="shared" si="1576"/>
        <v/>
      </c>
      <c r="AT721" s="304" t="str">
        <f t="shared" si="1577"/>
        <v/>
      </c>
      <c r="AU721" s="342" t="e">
        <f t="shared" si="1578"/>
        <v>#N/A</v>
      </c>
      <c r="AV721" s="304" t="e">
        <f t="shared" si="1579"/>
        <v>#N/A</v>
      </c>
      <c r="AX721" s="304">
        <f>IF(AND('General price list'!$J721="F4",'General price list'!$AB721+0&gt;0),1,0)</f>
        <v>0</v>
      </c>
      <c r="AY721" s="304">
        <f t="shared" si="1580"/>
        <v>0</v>
      </c>
      <c r="AZ721" s="304">
        <f t="shared" si="1581"/>
        <v>0</v>
      </c>
    </row>
    <row r="722" spans="1:52" ht="15" customHeight="1">
      <c r="A722" s="725" t="str">
        <f>Kat.!C719</f>
        <v/>
      </c>
      <c r="B722" s="741">
        <f>IF(AND('General price list'!$J722="F4",$AI$1=FALSE),0,IF(AC722="SKLADEM",1,IF(AC722=$V$3,1,0)))</f>
        <v>1</v>
      </c>
      <c r="C722" s="727" t="s">
        <v>1565</v>
      </c>
      <c r="D722" s="728" t="s">
        <v>1566</v>
      </c>
      <c r="E722" s="729" t="s">
        <v>1078</v>
      </c>
      <c r="F722" s="725">
        <f>IFERROR(ROUND(IF($AL$3=2,VLOOKUP(C722,[2]List1!$A:$D,2,FALSE)*1.08,VLOOKUP(C722,[2]List1!$A:$D,2,FALSE)),0),"NEUVEDENO!")</f>
        <v>1605</v>
      </c>
      <c r="G722" s="730">
        <f>(F722)*$B$19</f>
        <v>1605</v>
      </c>
      <c r="H722" s="731">
        <f>G722/$F$19</f>
        <v>65.220306474486875</v>
      </c>
      <c r="I722" s="742">
        <v>2</v>
      </c>
      <c r="J722" s="729" t="s">
        <v>137</v>
      </c>
      <c r="K722" s="729"/>
      <c r="L722" s="729" t="s">
        <v>24</v>
      </c>
      <c r="M722" s="729" t="s">
        <v>138</v>
      </c>
      <c r="N722" s="729">
        <f>IFERROR(VLOOKUP(C722,[3]List1!$A:$D,4,FALSE),"N/A!")</f>
        <v>5.1835875000000003E-2</v>
      </c>
      <c r="O722" s="729">
        <f>IFERROR(VLOOKUP(C722,[3]List1!$A:$D,3,FALSE),"N/A!")</f>
        <v>1996</v>
      </c>
      <c r="P722" s="729">
        <f>IFERROR(VLOOKUP(C722,[3]List1!$A:$D,2,FALSE),"N/A!")</f>
        <v>17100</v>
      </c>
      <c r="Q722" s="729" t="s">
        <v>1551</v>
      </c>
      <c r="R722" s="729" t="s">
        <v>24</v>
      </c>
      <c r="S722" s="729" t="str">
        <f>IF($W$17=$AF$1,"design",IFERROR(VLOOKUP("design",Jazyky_ceník!$A:$Q,MATCH($W$17,Jazyky_ceník!$A$1:$Q$1,0),FALSE),"!!!"))</f>
        <v>design</v>
      </c>
      <c r="T722" s="729">
        <v>55</v>
      </c>
      <c r="U722" s="729">
        <v>40</v>
      </c>
      <c r="V722" s="729">
        <v>30</v>
      </c>
      <c r="W722" s="729" t="str">
        <f>IFERROR(VLOOKUP('General price list'!$C722,Popisy!A:P,MATCH($W$17,Popisy!$A$7:$P$7,0),FALSE),"---------------")</f>
        <v>6 různobarevných efektů</v>
      </c>
      <c r="X722" s="729" t="str">
        <f>IF(AB722&lt;0.0001,"",AB722)</f>
        <v/>
      </c>
      <c r="Y722" s="729" t="str">
        <f>IF($AL$3=2,IF(OR(AB722&lt;&gt;"",AB722&lt;&gt;0),AU722,""),IF(C722="","",IF(AB722&lt;0.0001,"",IF(B722=0,"",IF(AQ722&lt;AB722,"",AB722)))))</f>
        <v/>
      </c>
      <c r="Z722" s="729" t="str">
        <f>HYPERLINK("https://www.klasekpyrotechnics.cz/c643mn")</f>
        <v>https://www.klasekpyrotechnics.cz/c643mn</v>
      </c>
      <c r="AA722" s="729" t="str">
        <f>IFERROR(IF(VLOOKUP(C722,[4]List1!$A:$D,4,FALSE)=0,"",VLOOKUP(C722,[4]List1!$A:$D,4,FALSE)),"")</f>
        <v>12</v>
      </c>
      <c r="AB722" s="720"/>
      <c r="AC722" s="743" t="str">
        <f>IFERROR(IF(VLOOKUP(C722,[1]List1!$A:$D,2,FALSE)="VYPRODÁNO",$V$9,IF(VLOOKUP(C722,[1]List1!$A:$D,2,FALSE)="DOCHÁZÍ",$V$3,VLOOKUP(C722,[1]List1!$A:$D,2,FALSE))),"OFFLINE!")</f>
        <v>SKLADEM</v>
      </c>
      <c r="AD722" s="744" t="str">
        <f ca="1">IF(AP722="NE",$V$10,IF(AC722=$V$3,IF(AQ722&lt;1,$V$8,$V$2&amp;" "&amp;AQ722&amp;" "&amp;$V$1),IF(AC722="SKLADEM",$V$6,IFERROR(IF(OR(AC722-TODAY()&gt;45,VLOOKUP(C722,[1]List1!$A:$E,4,FALSE)=0),AC722,DAY(AC722)&amp;"."&amp;MONTH(AC722)&amp;"."&amp;YEAR(AC722)&amp;" "&amp;$V$4&amp;VLOOKUP(C722,[1]List1!$A:$E,4,FALSE)&amp;" "&amp;$V$1),AC722))))</f>
        <v>SKLADEM</v>
      </c>
      <c r="AE722" s="729" t="str">
        <f t="shared" ref="AE722" ca="1" si="1728">IFERROR(IF(AV722&lt;&gt;"",AV722,AD722),AD722)</f>
        <v>SKLADEM</v>
      </c>
      <c r="AF722" s="735">
        <f t="shared" ref="AF722" si="1729">IFERROR(IF(AB722=Y722,G722*I722*Y722,0),0)</f>
        <v>0</v>
      </c>
      <c r="AG722" s="735">
        <f t="shared" ref="AG722" si="1730">IF($W$17=$AF$8,AH722*1.23,AF722*1.21)</f>
        <v>0</v>
      </c>
      <c r="AH722" s="736">
        <f t="shared" ref="AH722" si="1731">IFERROR(IF(Y722=AB722,H722*I722*Y722,0),0)</f>
        <v>0</v>
      </c>
      <c r="AI722" s="729">
        <f t="shared" ref="AI722" si="1732">IFERROR(IF(Y722=AB722,(P722*Y722)/1000,1),0)</f>
        <v>0</v>
      </c>
      <c r="AJ722" s="729">
        <f t="shared" ref="AJ722" si="1733">IFERROR(IF(Y722=AB722,N722*Y722,0.1),0)</f>
        <v>0</v>
      </c>
      <c r="AK722" s="729" t="str">
        <f t="shared" ref="AK722" si="1734">IFERROR(IF(Y722=AB722,IF(M722="1.1G",(O722/1000)*Y722,""),""),0)</f>
        <v/>
      </c>
      <c r="AL722" s="729">
        <f t="shared" ref="AL722" si="1735">IFERROR(IF(Y722=AB722,IF(M722="1.3G",(O722/1000)*AB722,""),""),0)</f>
        <v>0</v>
      </c>
      <c r="AM722" s="729" t="str">
        <f t="shared" ref="AM722" si="1736">IFERROR(IF(Y722=AB722,IF(M722="1.4G",(O722/1000)*AB722,""),""),0)</f>
        <v/>
      </c>
      <c r="AN722" s="729">
        <f t="shared" ref="AN722" si="1737">SUM(AK722:AM722)</f>
        <v>0</v>
      </c>
      <c r="AO722" s="380"/>
      <c r="AP722" s="322" t="str">
        <f t="shared" si="1574"/>
        <v/>
      </c>
      <c r="AQ722" s="323" t="str">
        <f>IF(AC722=$V$3,IF(VLOOKUP(C722,[1]List1!$A:$E,5,FALSE)=0,1,VLOOKUP(C722,[1]List1!$A:$E,5,FALSE)),"")</f>
        <v/>
      </c>
      <c r="AR722" s="304" t="str">
        <f t="shared" si="1575"/>
        <v/>
      </c>
      <c r="AS722" s="423" t="str">
        <f t="shared" si="1576"/>
        <v/>
      </c>
      <c r="AT722" s="304" t="str">
        <f t="shared" si="1577"/>
        <v/>
      </c>
      <c r="AU722" s="342" t="e">
        <f t="shared" si="1578"/>
        <v>#N/A</v>
      </c>
      <c r="AV722" s="304" t="e">
        <f t="shared" si="1579"/>
        <v>#N/A</v>
      </c>
      <c r="AX722" s="304">
        <f>IF(AND('General price list'!$J722="F4",'General price list'!$AB722+0&gt;0),1,0)</f>
        <v>0</v>
      </c>
      <c r="AY722" s="304">
        <f t="shared" si="1580"/>
        <v>1</v>
      </c>
      <c r="AZ722" s="304">
        <f t="shared" si="1581"/>
        <v>0</v>
      </c>
    </row>
    <row r="723" spans="1:52" ht="15" customHeight="1">
      <c r="A723" s="773" t="str">
        <f>Kat.!C720</f>
        <v xml:space="preserve">                                                               Baterie 64ran, 30mm rovný+šikmý+V+W moždíř-1.3G</v>
      </c>
      <c r="B723" s="774"/>
      <c r="C723" s="774"/>
      <c r="D723" s="774"/>
      <c r="E723" s="774"/>
      <c r="F723" s="774"/>
      <c r="G723" s="774"/>
      <c r="H723" s="774"/>
      <c r="I723" s="774"/>
      <c r="J723" s="774"/>
      <c r="K723" s="774"/>
      <c r="L723" s="774"/>
      <c r="M723" s="774"/>
      <c r="N723" s="774"/>
      <c r="O723" s="774"/>
      <c r="P723" s="774"/>
      <c r="Q723" s="774"/>
      <c r="R723" s="774"/>
      <c r="S723" s="774"/>
      <c r="T723" s="774"/>
      <c r="U723" s="774"/>
      <c r="V723" s="774"/>
      <c r="W723" s="774"/>
      <c r="X723" s="774"/>
      <c r="Y723" s="774"/>
      <c r="Z723" s="774"/>
      <c r="AA723" s="774" t="str">
        <f>IFERROR(IF(VLOOKUP(C723,[4]List1!$A:$D,4,FALSE)=0,"",VLOOKUP(C723,[4]List1!$A:$D,4,FALSE)),"")</f>
        <v/>
      </c>
      <c r="AB723" s="774"/>
      <c r="AC723" s="775" t="str">
        <f>IFERROR(IF(VLOOKUP(C723,[1]List1!$A:$D,2,FALSE)="VYPRODÁNO",$V$9,IF(VLOOKUP(C723,[1]List1!$A:$D,2,FALSE)="DOCHÁZÍ",$V$3,VLOOKUP(C723,[1]List1!$A:$D,2,FALSE))),"OFFLINE!")</f>
        <v>OFFLINE!</v>
      </c>
      <c r="AD723" s="774"/>
      <c r="AE723" s="774"/>
      <c r="AF723" s="774"/>
      <c r="AG723" s="774"/>
      <c r="AH723" s="774"/>
      <c r="AI723" s="774"/>
      <c r="AJ723" s="774"/>
      <c r="AK723" s="774"/>
      <c r="AL723" s="774"/>
      <c r="AM723" s="774"/>
      <c r="AN723" s="774"/>
      <c r="AO723" s="380"/>
      <c r="AP723" s="322" t="str">
        <f t="shared" ref="AP723:AP786" si="1738">IF($AL$3=1,IF(Y723=AB723,"","NE"),IF(AR723=$V$10,"NE",""))</f>
        <v/>
      </c>
      <c r="AQ723" s="323" t="str">
        <f>IF(AC723=$V$3,IF(VLOOKUP(C723,[1]List1!$A:$E,5,FALSE)=0,1,VLOOKUP(C723,[1]List1!$A:$E,5,FALSE)),"")</f>
        <v/>
      </c>
      <c r="AR723" s="304" t="str">
        <f t="shared" ref="AR723:AR786" si="1739">IF($AL$3=1,"",IF(OR(AB723&lt;&gt;"",AB723&lt;&gt;0),IF(OR(AC723=$V$6,AC723=$V$3,AC723=$V$9),$V$10,""),""))</f>
        <v/>
      </c>
      <c r="AS723" s="423" t="str">
        <f t="shared" ref="AS723:AS786" si="1740">IF(AT723&lt;&gt;"","X","")</f>
        <v/>
      </c>
      <c r="AT723" s="304" t="str">
        <f t="shared" ref="AT723:AT786" si="1741">IF(AND($AL$3=2,AR723="",AB723&lt;&gt;""),AD723,"")</f>
        <v/>
      </c>
      <c r="AU723" s="342" t="e">
        <f t="shared" ref="AU723:AU786" si="1742">IF(AT723=$AS$21,AB723,"")</f>
        <v>#N/A</v>
      </c>
      <c r="AV723" s="304" t="e">
        <f t="shared" ref="AV723:AV786" si="1743">IF(OR(AB723="",AND(AT723&lt;&gt;"",AU723&lt;&gt;"")),"",$V$10)</f>
        <v>#N/A</v>
      </c>
      <c r="AX723" s="304">
        <f>IF(AND('General price list'!$J723="F4",'General price list'!$AB723+0&gt;0),1,0)</f>
        <v>0</v>
      </c>
      <c r="AY723" s="304">
        <f t="shared" ref="AY723:AY786" si="1744">IFERROR(FIND(VLOOKUP($AC$7,$AD$1:$AE$12,2,FALSE),Q723,1),0)</f>
        <v>0</v>
      </c>
      <c r="AZ723" s="304">
        <f t="shared" ref="AZ723:AZ786" si="1745">IFERROR(FIND(VLOOKUP($AC$7,$AD$1:$AE$12,2,FALSE),R723,1),0)</f>
        <v>0</v>
      </c>
    </row>
    <row r="724" spans="1:52" ht="15" customHeight="1">
      <c r="A724" s="725" t="str">
        <f>Kat.!C721</f>
        <v/>
      </c>
      <c r="B724" s="741">
        <f>IF(AND('General price list'!$J724="F4",$AI$1=FALSE),0,IF(AC724="SKLADEM",1,IF(AC724=$V$3,1,0)))</f>
        <v>1</v>
      </c>
      <c r="C724" s="727" t="s">
        <v>1567</v>
      </c>
      <c r="D724" s="728" t="s">
        <v>1568</v>
      </c>
      <c r="E724" s="729" t="s">
        <v>1078</v>
      </c>
      <c r="F724" s="725">
        <f>IFERROR(ROUND(IF($AL$3=2,VLOOKUP(C724,[2]List1!$A:$D,2,FALSE)*1.08,VLOOKUP(C724,[2]List1!$A:$D,2,FALSE)),0),"NEUVEDENO!")</f>
        <v>1648</v>
      </c>
      <c r="G724" s="730">
        <f t="shared" ref="G724:G725" si="1746">(F724)*$B$19</f>
        <v>1648</v>
      </c>
      <c r="H724" s="731">
        <f t="shared" ref="H724:H725" si="1747">G724/$F$19</f>
        <v>66.967641788133562</v>
      </c>
      <c r="I724" s="742">
        <v>2</v>
      </c>
      <c r="J724" s="729" t="s">
        <v>137</v>
      </c>
      <c r="K724" s="729"/>
      <c r="L724" s="729" t="s">
        <v>24</v>
      </c>
      <c r="M724" s="729" t="s">
        <v>138</v>
      </c>
      <c r="N724" s="729">
        <f>IFERROR(VLOOKUP(C724,[3]List1!$A:$D,4,FALSE),"N/A!")</f>
        <v>6.5960124999999994E-2</v>
      </c>
      <c r="O724" s="729">
        <f>IFERROR(VLOOKUP(C724,[3]List1!$A:$D,3,FALSE),"N/A!")</f>
        <v>1996</v>
      </c>
      <c r="P724" s="729">
        <f>IFERROR(VLOOKUP(C724,[3]List1!$A:$D,2,FALSE),"N/A!")</f>
        <v>18000</v>
      </c>
      <c r="Q724" s="729" t="s">
        <v>1551</v>
      </c>
      <c r="R724" s="729" t="s">
        <v>24</v>
      </c>
      <c r="S724" s="729" t="str">
        <f>IF($W$17=$AF$1,"červená fólie",IFERROR(VLOOKUP("červená fólie",Jazyky_ceník!$A:$Q,MATCH($W$17,Jazyky_ceník!$A$1:$Q$1,0),FALSE),"!!!"))</f>
        <v>červená fólie</v>
      </c>
      <c r="T724" s="729">
        <v>50</v>
      </c>
      <c r="U724" s="729">
        <v>40</v>
      </c>
      <c r="V724" s="729">
        <v>30</v>
      </c>
      <c r="W724" s="729" t="str">
        <f>IFERROR(VLOOKUP('General price list'!$C724,Popisy!A:P,MATCH($W$17,Popisy!$A$7:$P$7,0),FALSE),"---------------")</f>
        <v>8 různobarevných efektů</v>
      </c>
      <c r="X724" s="729" t="str">
        <f t="shared" ref="X724:X725" si="1748">IF(AB724&lt;0.0001,"",AB724)</f>
        <v/>
      </c>
      <c r="Y724" s="729" t="str">
        <f t="shared" ref="Y724:Y725" si="1749">IF($AL$3=2,IF(OR(AB724&lt;&gt;"",AB724&lt;&gt;0),AU724,""),IF(C724="","",IF(AB724&lt;0.0001,"",IF(B724=0,"",IF(AQ724&lt;AB724,"",AB724)))))</f>
        <v/>
      </c>
      <c r="Z724" s="729" t="str">
        <f>HYPERLINK("https://www.klasekpyrotechnics.cz/c643xmo")</f>
        <v>https://www.klasekpyrotechnics.cz/c643xmo</v>
      </c>
      <c r="AA724" s="729">
        <f>IFERROR(IF(VLOOKUP(C724,[4]List1!$A:$D,4,FALSE)=0,"",VLOOKUP(C724,[4]List1!$A:$D,4,FALSE)),"")</f>
        <v>14</v>
      </c>
      <c r="AB724" s="720"/>
      <c r="AC724" s="743" t="str">
        <f>IFERROR(IF(VLOOKUP(C724,[1]List1!$A:$D,2,FALSE)="VYPRODÁNO",$V$9,IF(VLOOKUP(C724,[1]List1!$A:$D,2,FALSE)="DOCHÁZÍ",$V$3,VLOOKUP(C724,[1]List1!$A:$D,2,FALSE))),"OFFLINE!")</f>
        <v>SKLADEM</v>
      </c>
      <c r="AD724" s="744" t="str">
        <f ca="1">IF(AP724="NE",$V$10,IF(AC724=$V$3,IF(AQ724&lt;1,$V$8,$V$2&amp;" "&amp;AQ724&amp;" "&amp;$V$1),IF(AC724="SKLADEM",$V$6,IFERROR(IF(OR(AC724-TODAY()&gt;45,VLOOKUP(C724,[1]List1!$A:$E,4,FALSE)=0),AC724,DAY(AC724)&amp;"."&amp;MONTH(AC724)&amp;"."&amp;YEAR(AC724)&amp;" "&amp;$V$4&amp;VLOOKUP(C724,[1]List1!$A:$E,4,FALSE)&amp;" "&amp;$V$1),AC724))))</f>
        <v>SKLADEM</v>
      </c>
      <c r="AE724" s="729" t="str">
        <f t="shared" ref="AE724:AE725" ca="1" si="1750">IFERROR(IF(AV724&lt;&gt;"",AV724,AD724),AD724)</f>
        <v>SKLADEM</v>
      </c>
      <c r="AF724" s="735">
        <f t="shared" ref="AF724:AF725" si="1751">IFERROR(IF(AB724=Y724,G724*I724*Y724,0),0)</f>
        <v>0</v>
      </c>
      <c r="AG724" s="735">
        <f t="shared" ref="AG724:AG725" si="1752">IF($W$17=$AF$8,AH724*1.23,AF724*1.21)</f>
        <v>0</v>
      </c>
      <c r="AH724" s="736">
        <f t="shared" ref="AH724:AH725" si="1753">IFERROR(IF(Y724=AB724,H724*I724*Y724,0),0)</f>
        <v>0</v>
      </c>
      <c r="AI724" s="729">
        <f t="shared" ref="AI724:AI725" si="1754">IFERROR(IF(Y724=AB724,(P724*Y724)/1000,1),0)</f>
        <v>0</v>
      </c>
      <c r="AJ724" s="729">
        <f t="shared" ref="AJ724:AJ725" si="1755">IFERROR(IF(Y724=AB724,N724*Y724,0.1),0)</f>
        <v>0</v>
      </c>
      <c r="AK724" s="729" t="str">
        <f t="shared" ref="AK724:AK725" si="1756">IFERROR(IF(Y724=AB724,IF(M724="1.1G",(O724/1000)*Y724,""),""),0)</f>
        <v/>
      </c>
      <c r="AL724" s="729">
        <f t="shared" ref="AL724:AL725" si="1757">IFERROR(IF(Y724=AB724,IF(M724="1.3G",(O724/1000)*AB724,""),""),0)</f>
        <v>0</v>
      </c>
      <c r="AM724" s="729" t="str">
        <f t="shared" ref="AM724:AM725" si="1758">IFERROR(IF(Y724=AB724,IF(M724="1.4G",(O724/1000)*AB724,""),""),0)</f>
        <v/>
      </c>
      <c r="AN724" s="729">
        <f t="shared" ref="AN724:AN725" si="1759">SUM(AK724:AM724)</f>
        <v>0</v>
      </c>
      <c r="AO724" s="380"/>
      <c r="AP724" s="322" t="str">
        <f t="shared" si="1738"/>
        <v/>
      </c>
      <c r="AQ724" s="323" t="str">
        <f>IF(AC724=$V$3,IF(VLOOKUP(C724,[1]List1!$A:$E,5,FALSE)=0,1,VLOOKUP(C724,[1]List1!$A:$E,5,FALSE)),"")</f>
        <v/>
      </c>
      <c r="AR724" s="304" t="str">
        <f t="shared" si="1739"/>
        <v/>
      </c>
      <c r="AS724" s="423" t="str">
        <f t="shared" si="1740"/>
        <v/>
      </c>
      <c r="AT724" s="304" t="str">
        <f t="shared" si="1741"/>
        <v/>
      </c>
      <c r="AU724" s="342" t="e">
        <f t="shared" si="1742"/>
        <v>#N/A</v>
      </c>
      <c r="AV724" s="304" t="e">
        <f t="shared" si="1743"/>
        <v>#N/A</v>
      </c>
      <c r="AX724" s="304">
        <f>IF(AND('General price list'!$J724="F4",'General price list'!$AB724+0&gt;0),1,0)</f>
        <v>0</v>
      </c>
      <c r="AY724" s="304">
        <f t="shared" si="1744"/>
        <v>1</v>
      </c>
      <c r="AZ724" s="304">
        <f t="shared" si="1745"/>
        <v>0</v>
      </c>
    </row>
    <row r="725" spans="1:52" ht="15" customHeight="1">
      <c r="A725" s="712" t="str">
        <f>Kat.!C722</f>
        <v/>
      </c>
      <c r="B725" s="745">
        <f>IF(AND('General price list'!$J725="F4",$AI$1=FALSE),0,IF(AC725="SKLADEM",1,IF(AC725=$V$3,1,0)))</f>
        <v>1</v>
      </c>
      <c r="C725" s="714" t="s">
        <v>1569</v>
      </c>
      <c r="D725" s="715" t="s">
        <v>1570</v>
      </c>
      <c r="E725" s="716" t="s">
        <v>1078</v>
      </c>
      <c r="F725" s="712">
        <f>IFERROR(ROUND(IF($AL$3=2,VLOOKUP(C725,[2]List1!$A:$D,2,FALSE)*1.08,VLOOKUP(C725,[2]List1!$A:$D,2,FALSE)),0),"NEUVEDENO!")</f>
        <v>1648</v>
      </c>
      <c r="G725" s="717">
        <f t="shared" si="1746"/>
        <v>1648</v>
      </c>
      <c r="H725" s="718">
        <f t="shared" si="1747"/>
        <v>66.967641788133562</v>
      </c>
      <c r="I725" s="746">
        <v>2</v>
      </c>
      <c r="J725" s="716" t="s">
        <v>137</v>
      </c>
      <c r="K725" s="716"/>
      <c r="L725" s="716" t="s">
        <v>24</v>
      </c>
      <c r="M725" s="716" t="s">
        <v>138</v>
      </c>
      <c r="N725" s="716">
        <f>IFERROR(VLOOKUP(C725,[3]List1!$A:$D,4,FALSE),"N/A!")</f>
        <v>6.5960124999999994E-2</v>
      </c>
      <c r="O725" s="716">
        <f>IFERROR(VLOOKUP(C725,[3]List1!$A:$D,3,FALSE),"N/A!")</f>
        <v>1996</v>
      </c>
      <c r="P725" s="716">
        <f>IFERROR(VLOOKUP(C725,[3]List1!$A:$D,2,FALSE),"N/A!")</f>
        <v>17700</v>
      </c>
      <c r="Q725" s="716" t="s">
        <v>1551</v>
      </c>
      <c r="R725" s="716" t="s">
        <v>24</v>
      </c>
      <c r="S725" s="716" t="str">
        <f>IF($W$17=$AF$1,"design",IFERROR(VLOOKUP("design",Jazyky_ceník!$A:$Q,MATCH($W$17,Jazyky_ceník!$A$1:$Q$1,0),FALSE),"!!!"))</f>
        <v>design</v>
      </c>
      <c r="T725" s="716">
        <v>50</v>
      </c>
      <c r="U725" s="716">
        <v>40</v>
      </c>
      <c r="V725" s="716">
        <v>30</v>
      </c>
      <c r="W725" s="716" t="str">
        <f>IFERROR(VLOOKUP('General price list'!$C725,Popisy!A:P,MATCH($W$17,Popisy!$A$7:$P$7,0),FALSE),"---------------")</f>
        <v>8 různobarevných efektů</v>
      </c>
      <c r="X725" s="716" t="str">
        <f t="shared" si="1748"/>
        <v/>
      </c>
      <c r="Y725" s="716" t="str">
        <f t="shared" si="1749"/>
        <v/>
      </c>
      <c r="Z725" s="716" t="str">
        <f>HYPERLINK("https://www.klasekpyrotechnics.cz/c643xms")</f>
        <v>https://www.klasekpyrotechnics.cz/c643xms</v>
      </c>
      <c r="AA725" s="716">
        <f>IFERROR(IF(VLOOKUP(C725,[4]List1!$A:$D,4,FALSE)=0,"",VLOOKUP(C725,[4]List1!$A:$D,4,FALSE)),"")</f>
        <v>14</v>
      </c>
      <c r="AB725" s="720"/>
      <c r="AC725" s="747" t="str">
        <f>IFERROR(IF(VLOOKUP(C725,[1]List1!$A:$D,2,FALSE)="VYPRODÁNO",$V$9,IF(VLOOKUP(C725,[1]List1!$A:$D,2,FALSE)="DOCHÁZÍ",$V$3,VLOOKUP(C725,[1]List1!$A:$D,2,FALSE))),"OFFLINE!")</f>
        <v>SKLADEM</v>
      </c>
      <c r="AD725" s="748" t="str">
        <f ca="1">IF(AP725="NE",$V$10,IF(AC725=$V$3,IF(AQ725&lt;1,$V$8,$V$2&amp;" "&amp;AQ725&amp;" "&amp;$V$1),IF(AC725="SKLADEM",$V$6,IFERROR(IF(OR(AC725-TODAY()&gt;45,VLOOKUP(C725,[1]List1!$A:$E,4,FALSE)=0),AC725,DAY(AC725)&amp;"."&amp;MONTH(AC725)&amp;"."&amp;YEAR(AC725)&amp;" "&amp;$V$4&amp;VLOOKUP(C725,[1]List1!$A:$E,4,FALSE)&amp;" "&amp;$V$1),AC725))))</f>
        <v>SKLADEM</v>
      </c>
      <c r="AE725" s="716" t="str">
        <f t="shared" ca="1" si="1750"/>
        <v>SKLADEM</v>
      </c>
      <c r="AF725" s="723">
        <f t="shared" si="1751"/>
        <v>0</v>
      </c>
      <c r="AG725" s="723">
        <f t="shared" si="1752"/>
        <v>0</v>
      </c>
      <c r="AH725" s="724">
        <f t="shared" si="1753"/>
        <v>0</v>
      </c>
      <c r="AI725" s="716">
        <f t="shared" si="1754"/>
        <v>0</v>
      </c>
      <c r="AJ725" s="716">
        <f t="shared" si="1755"/>
        <v>0</v>
      </c>
      <c r="AK725" s="716" t="str">
        <f t="shared" si="1756"/>
        <v/>
      </c>
      <c r="AL725" s="716">
        <f t="shared" si="1757"/>
        <v>0</v>
      </c>
      <c r="AM725" s="716" t="str">
        <f t="shared" si="1758"/>
        <v/>
      </c>
      <c r="AN725" s="716">
        <f t="shared" si="1759"/>
        <v>0</v>
      </c>
      <c r="AO725" s="380"/>
      <c r="AP725" s="322" t="str">
        <f t="shared" si="1738"/>
        <v/>
      </c>
      <c r="AQ725" s="323" t="str">
        <f>IF(AC725=$V$3,IF(VLOOKUP(C725,[1]List1!$A:$E,5,FALSE)=0,1,VLOOKUP(C725,[1]List1!$A:$E,5,FALSE)),"")</f>
        <v/>
      </c>
      <c r="AR725" s="304" t="str">
        <f t="shared" si="1739"/>
        <v/>
      </c>
      <c r="AS725" s="423" t="str">
        <f t="shared" si="1740"/>
        <v/>
      </c>
      <c r="AT725" s="304" t="str">
        <f t="shared" si="1741"/>
        <v/>
      </c>
      <c r="AU725" s="342" t="e">
        <f t="shared" si="1742"/>
        <v>#N/A</v>
      </c>
      <c r="AV725" s="304" t="e">
        <f t="shared" si="1743"/>
        <v>#N/A</v>
      </c>
      <c r="AX725" s="304">
        <f>IF(AND('General price list'!$J725="F4",'General price list'!$AB725+0&gt;0),1,0)</f>
        <v>0</v>
      </c>
      <c r="AY725" s="304">
        <f t="shared" si="1744"/>
        <v>1</v>
      </c>
      <c r="AZ725" s="304">
        <f t="shared" si="1745"/>
        <v>0</v>
      </c>
    </row>
    <row r="726" spans="1:52" ht="15" customHeight="1">
      <c r="A726" s="773" t="str">
        <f>Kat.!C723</f>
        <v xml:space="preserve">                                                               Složený ohňostroj 30mm - F2 - 1.4G</v>
      </c>
      <c r="B726" s="774"/>
      <c r="C726" s="774"/>
      <c r="D726" s="774"/>
      <c r="E726" s="774"/>
      <c r="F726" s="774"/>
      <c r="G726" s="774"/>
      <c r="H726" s="774"/>
      <c r="I726" s="774"/>
      <c r="J726" s="774"/>
      <c r="K726" s="774"/>
      <c r="L726" s="774"/>
      <c r="M726" s="774"/>
      <c r="N726" s="774"/>
      <c r="O726" s="774"/>
      <c r="P726" s="774"/>
      <c r="Q726" s="774"/>
      <c r="R726" s="774"/>
      <c r="S726" s="774"/>
      <c r="T726" s="774"/>
      <c r="U726" s="774"/>
      <c r="V726" s="774"/>
      <c r="W726" s="774"/>
      <c r="X726" s="774"/>
      <c r="Y726" s="774"/>
      <c r="Z726" s="774"/>
      <c r="AA726" s="774" t="str">
        <f>IFERROR(IF(VLOOKUP(C726,[4]List1!$A:$D,4,FALSE)=0,"",VLOOKUP(C726,[4]List1!$A:$D,4,FALSE)),"")</f>
        <v/>
      </c>
      <c r="AB726" s="774"/>
      <c r="AC726" s="775" t="str">
        <f>IFERROR(IF(VLOOKUP(C726,[1]List1!$A:$D,2,FALSE)="VYPRODÁNO",$V$9,IF(VLOOKUP(C726,[1]List1!$A:$D,2,FALSE)="DOCHÁZÍ",$V$3,VLOOKUP(C726,[1]List1!$A:$D,2,FALSE))),"OFFLINE!")</f>
        <v>OFFLINE!</v>
      </c>
      <c r="AD726" s="774"/>
      <c r="AE726" s="774"/>
      <c r="AF726" s="774"/>
      <c r="AG726" s="774"/>
      <c r="AH726" s="774"/>
      <c r="AI726" s="774"/>
      <c r="AJ726" s="774"/>
      <c r="AK726" s="774"/>
      <c r="AL726" s="774"/>
      <c r="AM726" s="774"/>
      <c r="AN726" s="774"/>
      <c r="AO726" s="380"/>
      <c r="AP726" s="322" t="str">
        <f t="shared" si="1738"/>
        <v/>
      </c>
      <c r="AQ726" s="323" t="str">
        <f>IF(AC726=$V$3,IF(VLOOKUP(C726,[1]List1!$A:$E,5,FALSE)=0,1,VLOOKUP(C726,[1]List1!$A:$E,5,FALSE)),"")</f>
        <v/>
      </c>
      <c r="AR726" s="304" t="str">
        <f t="shared" si="1739"/>
        <v/>
      </c>
      <c r="AS726" s="423" t="str">
        <f t="shared" si="1740"/>
        <v/>
      </c>
      <c r="AT726" s="304" t="str">
        <f t="shared" si="1741"/>
        <v/>
      </c>
      <c r="AU726" s="342" t="e">
        <f t="shared" si="1742"/>
        <v>#N/A</v>
      </c>
      <c r="AV726" s="304" t="e">
        <f t="shared" si="1743"/>
        <v>#N/A</v>
      </c>
      <c r="AX726" s="304">
        <f>IF(AND('General price list'!$J726="F4",'General price list'!$AB726+0&gt;0),1,0)</f>
        <v>0</v>
      </c>
      <c r="AY726" s="304">
        <f t="shared" si="1744"/>
        <v>0</v>
      </c>
      <c r="AZ726" s="304">
        <f t="shared" si="1745"/>
        <v>0</v>
      </c>
    </row>
    <row r="727" spans="1:52" ht="15" customHeight="1">
      <c r="A727" s="712" t="str">
        <f>Kat.!C724</f>
        <v/>
      </c>
      <c r="B727" s="713">
        <f>IF(AND('General price list'!$J727="F4",$AI$1=FALSE),0,IF(AC727="SKLADEM",1,IF(AC727=$V$3,1,0)))</f>
        <v>1</v>
      </c>
      <c r="C727" s="714" t="s">
        <v>2564</v>
      </c>
      <c r="D727" s="715" t="s">
        <v>2565</v>
      </c>
      <c r="E727" s="716" t="s">
        <v>136</v>
      </c>
      <c r="F727" s="712">
        <f>IFERROR(ROUND(IF($AL$3=2,VLOOKUP(C727,[2]List1!$A:$D,2,FALSE)*1.08,VLOOKUP(C727,[2]List1!$A:$D,2,FALSE)),0),"NEUVEDENO!")</f>
        <v>1187</v>
      </c>
      <c r="G727" s="717">
        <f t="shared" ref="G727:G737" si="1760">(F727)*$B$19</f>
        <v>1187</v>
      </c>
      <c r="H727" s="718">
        <f t="shared" ref="H727:H737" si="1761">G727/$F$19</f>
        <v>48.234581797642321</v>
      </c>
      <c r="I727" s="719">
        <v>1</v>
      </c>
      <c r="J727" s="716" t="s">
        <v>46</v>
      </c>
      <c r="K727" s="716"/>
      <c r="L727" s="716" t="s">
        <v>14395</v>
      </c>
      <c r="M727" s="716" t="s">
        <v>25</v>
      </c>
      <c r="N727" s="716">
        <f>IFERROR(VLOOKUP(C727,[3]List1!$A:$D,4,FALSE),"N/A!")</f>
        <v>1.6453125000000002E-2</v>
      </c>
      <c r="O727" s="716">
        <f>IFERROR(VLOOKUP(C727,[3]List1!$A:$D,3,FALSE),"N/A!")</f>
        <v>950</v>
      </c>
      <c r="P727" s="716">
        <f>IFERROR(VLOOKUP(C727,[3]List1!$A:$D,2,FALSE),"N/A!")</f>
        <v>6600</v>
      </c>
      <c r="Q727" s="716" t="s">
        <v>14233</v>
      </c>
      <c r="R727" s="716" t="s">
        <v>24</v>
      </c>
      <c r="S727" s="716" t="str">
        <f>IF($W$17=$AF$1,"červená fólie",IFERROR(VLOOKUP("červená fólie",Jazyky_ceník!$A:$Q,MATCH($W$17,Jazyky_ceník!$A$1:$Q$1,0),FALSE),"!!!"))</f>
        <v>červená fólie</v>
      </c>
      <c r="T727" s="716">
        <v>40</v>
      </c>
      <c r="U727" s="716">
        <v>40</v>
      </c>
      <c r="V727" s="716">
        <v>24</v>
      </c>
      <c r="W727" s="716" t="str">
        <f>IFERROR(VLOOKUP('General price list'!$C727,Popisy!A:P,MATCH($W$17,Popisy!$A$7:$P$7,0),FALSE),"---------------")</f>
        <v>zlatá blikajiící vrba</v>
      </c>
      <c r="X727" s="716" t="str">
        <f t="shared" ref="X727:X737" si="1762">IF(AB727&lt;0.0001,"",AB727)</f>
        <v/>
      </c>
      <c r="Y727" s="716" t="str">
        <f t="shared" ref="Y727:Y737" si="1763">IF($AL$3=2,IF(OR(AB727&lt;&gt;"",AB727&lt;&gt;0),AU727,""),IF(C727="","",IF(AB727&lt;0.0001,"",IF(B727=0,"",IF(AQ727&lt;AB727,"",AB727)))))</f>
        <v/>
      </c>
      <c r="Z727" s="716" t="str">
        <f>HYPERLINK("https://www.klasekpyrotechnics.cz/c503bw-c14")</f>
        <v>https://www.klasekpyrotechnics.cz/c503bw-c14</v>
      </c>
      <c r="AA727" s="716" t="str">
        <f>IFERROR(IF(VLOOKUP(C727,[4]List1!$A:$D,4,FALSE)=0,"",VLOOKUP(C727,[4]List1!$A:$D,4,FALSE)),"")</f>
        <v>84</v>
      </c>
      <c r="AB727" s="720"/>
      <c r="AC727" s="721" t="str">
        <f>IFERROR(IF(VLOOKUP(C727,[1]List1!$A:$D,2,FALSE)="VYPRODÁNO",$V$9,IF(VLOOKUP(C727,[1]List1!$A:$D,2,FALSE)="DOCHÁZÍ",$V$3,VLOOKUP(C727,[1]List1!$A:$D,2,FALSE))),"OFFLINE!")</f>
        <v>SKLADEM</v>
      </c>
      <c r="AD727" s="722" t="str">
        <f ca="1">IF(AP727="NE",$V$10,IF(AC727=$V$3,IF(AQ727&lt;1,$V$8,$V$2&amp;" "&amp;AQ727&amp;" "&amp;$V$1),IF(AC727="SKLADEM",$V$6,IFERROR(IF(OR(AC727-TODAY()&gt;45,VLOOKUP(C727,[1]List1!$A:$E,4,FALSE)=0),AC727,DAY(AC727)&amp;"."&amp;MONTH(AC727)&amp;"."&amp;YEAR(AC727)&amp;" "&amp;$V$4&amp;VLOOKUP(C727,[1]List1!$A:$E,4,FALSE)&amp;" "&amp;$V$1),AC727))))</f>
        <v>SKLADEM</v>
      </c>
      <c r="AE727" s="716" t="str">
        <f t="shared" ref="AE727:AE737" ca="1" si="1764">IFERROR(IF(AV727&lt;&gt;"",AV727,AD727),AD727)</f>
        <v>SKLADEM</v>
      </c>
      <c r="AF727" s="723">
        <f t="shared" ref="AF727:AF737" si="1765">IFERROR(IF(AB727=Y727,G727*I727*Y727,0),0)</f>
        <v>0</v>
      </c>
      <c r="AG727" s="723">
        <f t="shared" ref="AG727:AG737" si="1766">IF($W$17=$AF$8,AH727*1.23,AF727*1.21)</f>
        <v>0</v>
      </c>
      <c r="AH727" s="724">
        <f t="shared" ref="AH727:AH737" si="1767">IFERROR(IF(Y727=AB727,H727*I727*Y727,0),0)</f>
        <v>0</v>
      </c>
      <c r="AI727" s="716">
        <f t="shared" ref="AI727:AI737" si="1768">IFERROR(IF(Y727=AB727,(P727*Y727)/1000,1),0)</f>
        <v>0</v>
      </c>
      <c r="AJ727" s="716">
        <f t="shared" ref="AJ727:AJ737" si="1769">IFERROR(IF(Y727=AB727,N727*Y727,0.1),0)</f>
        <v>0</v>
      </c>
      <c r="AK727" s="716" t="str">
        <f t="shared" ref="AK727:AK737" si="1770">IFERROR(IF(Y727=AB727,IF(M727="1.1G",(O727/1000)*Y727,""),""),0)</f>
        <v/>
      </c>
      <c r="AL727" s="716" t="str">
        <f t="shared" ref="AL727:AL737" si="1771">IFERROR(IF(Y727=AB727,IF(M727="1.3G",(O727/1000)*AB727,""),""),0)</f>
        <v/>
      </c>
      <c r="AM727" s="716">
        <f t="shared" ref="AM727:AM737" si="1772">IFERROR(IF(Y727=AB727,IF(M727="1.4G",(O727/1000)*AB727,""),""),0)</f>
        <v>0</v>
      </c>
      <c r="AN727" s="716">
        <f t="shared" ref="AN727:AN737" si="1773">SUM(AK727:AM727)</f>
        <v>0</v>
      </c>
      <c r="AO727" s="380"/>
      <c r="AP727" s="322" t="str">
        <f t="shared" si="1738"/>
        <v/>
      </c>
      <c r="AQ727" s="323" t="str">
        <f>IF(AC727=$V$3,IF(VLOOKUP(C727,[1]List1!$A:$E,5,FALSE)=0,1,VLOOKUP(C727,[1]List1!$A:$E,5,FALSE)),"")</f>
        <v/>
      </c>
      <c r="AR727" s="304" t="str">
        <f t="shared" si="1739"/>
        <v/>
      </c>
      <c r="AS727" s="423" t="str">
        <f t="shared" si="1740"/>
        <v/>
      </c>
      <c r="AT727" s="304" t="str">
        <f t="shared" si="1741"/>
        <v/>
      </c>
      <c r="AU727" s="342" t="e">
        <f t="shared" si="1742"/>
        <v>#N/A</v>
      </c>
      <c r="AV727" s="304" t="e">
        <f t="shared" si="1743"/>
        <v>#N/A</v>
      </c>
      <c r="AX727" s="304">
        <f>IF(AND('General price list'!$J727="F4",'General price list'!$AB727+0&gt;0),1,0)</f>
        <v>0</v>
      </c>
      <c r="AY727" s="304">
        <f t="shared" si="1744"/>
        <v>1</v>
      </c>
      <c r="AZ727" s="304">
        <f t="shared" si="1745"/>
        <v>0</v>
      </c>
    </row>
    <row r="728" spans="1:52" ht="15" customHeight="1">
      <c r="A728" s="725" t="str">
        <f>Kat.!C725</f>
        <v/>
      </c>
      <c r="B728" s="726">
        <f>IF(AND('General price list'!$J728="F4",$AI$1=FALSE),0,IF(AC728="SKLADEM",1,IF(AC728=$V$3,1,0)))</f>
        <v>1</v>
      </c>
      <c r="C728" s="727" t="s">
        <v>5428</v>
      </c>
      <c r="D728" s="728" t="s">
        <v>5429</v>
      </c>
      <c r="E728" s="729" t="s">
        <v>136</v>
      </c>
      <c r="F728" s="725">
        <f>IFERROR(ROUND(IF($AL$3=2,VLOOKUP(C728,[2]List1!$A:$D,2,FALSE)*1.08,VLOOKUP(C728,[2]List1!$A:$D,2,FALSE)),0),"NEUVEDENO!")</f>
        <v>1187</v>
      </c>
      <c r="G728" s="730">
        <f t="shared" si="1760"/>
        <v>1187</v>
      </c>
      <c r="H728" s="731">
        <f t="shared" si="1761"/>
        <v>48.234581797642321</v>
      </c>
      <c r="I728" s="732">
        <v>1</v>
      </c>
      <c r="J728" s="729" t="s">
        <v>46</v>
      </c>
      <c r="K728" s="729"/>
      <c r="L728" s="729" t="s">
        <v>14395</v>
      </c>
      <c r="M728" s="729" t="s">
        <v>25</v>
      </c>
      <c r="N728" s="729">
        <f>IFERROR(VLOOKUP(C728,[3]List1!$A:$D,4,FALSE),"N/A!")</f>
        <v>1.6453125000000002E-2</v>
      </c>
      <c r="O728" s="729">
        <f>IFERROR(VLOOKUP(C728,[3]List1!$A:$D,3,FALSE),"N/A!")</f>
        <v>950</v>
      </c>
      <c r="P728" s="729">
        <f>IFERROR(VLOOKUP(C728,[3]List1!$A:$D,2,FALSE),"N/A!")</f>
        <v>6600</v>
      </c>
      <c r="Q728" s="729" t="s">
        <v>14233</v>
      </c>
      <c r="R728" s="729" t="s">
        <v>24</v>
      </c>
      <c r="S728" s="729" t="str">
        <f>IF($W$17=$AF$1,"červená fólie",IFERROR(VLOOKUP("červená fólie",Jazyky_ceník!$A:$Q,MATCH($W$17,Jazyky_ceník!$A$1:$Q$1,0),FALSE),"!!!"))</f>
        <v>červená fólie</v>
      </c>
      <c r="T728" s="729">
        <v>25</v>
      </c>
      <c r="U728" s="729">
        <v>40</v>
      </c>
      <c r="V728" s="729">
        <v>24</v>
      </c>
      <c r="W728" s="729" t="str">
        <f>IFERROR(VLOOKUP('General price list'!$C728,Popisy!A:P,MATCH($W$17,Popisy!$A$7:$P$7,0),FALSE),"---------------")</f>
        <v>10 různobarevných efektů</v>
      </c>
      <c r="X728" s="729" t="str">
        <f t="shared" si="1762"/>
        <v/>
      </c>
      <c r="Y728" s="729" t="str">
        <f t="shared" si="1763"/>
        <v/>
      </c>
      <c r="Z728" s="729" t="str">
        <f>HYPERLINK("https://www.klasekpyrotechnics.cz/c503ts-c14")</f>
        <v>https://www.klasekpyrotechnics.cz/c503ts-c14</v>
      </c>
      <c r="AA728" s="729" t="str">
        <f>IFERROR(IF(VLOOKUP(C728,[4]List1!$A:$D,4,FALSE)=0,"",VLOOKUP(C728,[4]List1!$A:$D,4,FALSE)),"")</f>
        <v>84</v>
      </c>
      <c r="AB728" s="720"/>
      <c r="AC728" s="733" t="str">
        <f>IFERROR(IF(VLOOKUP(C728,[1]List1!$A:$D,2,FALSE)="VYPRODÁNO",$V$9,IF(VLOOKUP(C728,[1]List1!$A:$D,2,FALSE)="DOCHÁZÍ",$V$3,VLOOKUP(C728,[1]List1!$A:$D,2,FALSE))),"OFFLINE!")</f>
        <v>SKLADEM</v>
      </c>
      <c r="AD728" s="734" t="str">
        <f ca="1">IF(AP728="NE",$V$10,IF(AC728=$V$3,IF(AQ728&lt;1,$V$8,$V$2&amp;" "&amp;AQ728&amp;" "&amp;$V$1),IF(AC728="SKLADEM",$V$6,IFERROR(IF(OR(AC728-TODAY()&gt;45,VLOOKUP(C728,[1]List1!$A:$E,4,FALSE)=0),AC728,DAY(AC728)&amp;"."&amp;MONTH(AC728)&amp;"."&amp;YEAR(AC728)&amp;" "&amp;$V$4&amp;VLOOKUP(C728,[1]List1!$A:$E,4,FALSE)&amp;" "&amp;$V$1),AC728))))</f>
        <v>SKLADEM</v>
      </c>
      <c r="AE728" s="729" t="str">
        <f t="shared" ca="1" si="1764"/>
        <v>SKLADEM</v>
      </c>
      <c r="AF728" s="735">
        <f t="shared" si="1765"/>
        <v>0</v>
      </c>
      <c r="AG728" s="735">
        <f t="shared" si="1766"/>
        <v>0</v>
      </c>
      <c r="AH728" s="736">
        <f t="shared" si="1767"/>
        <v>0</v>
      </c>
      <c r="AI728" s="729">
        <f t="shared" si="1768"/>
        <v>0</v>
      </c>
      <c r="AJ728" s="729">
        <f t="shared" si="1769"/>
        <v>0</v>
      </c>
      <c r="AK728" s="729" t="str">
        <f t="shared" si="1770"/>
        <v/>
      </c>
      <c r="AL728" s="729" t="str">
        <f t="shared" si="1771"/>
        <v/>
      </c>
      <c r="AM728" s="729">
        <f t="shared" si="1772"/>
        <v>0</v>
      </c>
      <c r="AN728" s="729">
        <f t="shared" si="1773"/>
        <v>0</v>
      </c>
      <c r="AO728" s="380"/>
      <c r="AP728" s="322" t="str">
        <f t="shared" si="1738"/>
        <v/>
      </c>
      <c r="AQ728" s="323" t="str">
        <f>IF(AC728=$V$3,IF(VLOOKUP(C728,[1]List1!$A:$E,5,FALSE)=0,1,VLOOKUP(C728,[1]List1!$A:$E,5,FALSE)),"")</f>
        <v/>
      </c>
      <c r="AR728" s="304" t="str">
        <f t="shared" si="1739"/>
        <v/>
      </c>
      <c r="AS728" s="423" t="str">
        <f t="shared" si="1740"/>
        <v/>
      </c>
      <c r="AT728" s="304" t="str">
        <f t="shared" si="1741"/>
        <v/>
      </c>
      <c r="AU728" s="342" t="e">
        <f t="shared" si="1742"/>
        <v>#N/A</v>
      </c>
      <c r="AV728" s="304" t="e">
        <f t="shared" si="1743"/>
        <v>#N/A</v>
      </c>
      <c r="AX728" s="304">
        <f>IF(AND('General price list'!$J728="F4",'General price list'!$AB728+0&gt;0),1,0)</f>
        <v>0</v>
      </c>
      <c r="AY728" s="304">
        <f t="shared" si="1744"/>
        <v>1</v>
      </c>
      <c r="AZ728" s="304">
        <f t="shared" si="1745"/>
        <v>0</v>
      </c>
    </row>
    <row r="729" spans="1:52" ht="15" customHeight="1">
      <c r="A729" s="712" t="str">
        <f>Kat.!C726</f>
        <v/>
      </c>
      <c r="B729" s="737">
        <f>IF(AND('General price list'!$J729="F4",$AI$1=FALSE),0,IF(AC729="SKLADEM",1,IF(AC729=$V$3,1,0)))</f>
        <v>0</v>
      </c>
      <c r="C729" s="714" t="s">
        <v>1571</v>
      </c>
      <c r="D729" s="715" t="s">
        <v>1572</v>
      </c>
      <c r="E729" s="716" t="s">
        <v>136</v>
      </c>
      <c r="F729" s="712">
        <f>IFERROR(ROUND(IF($AL$3=2,VLOOKUP(C729,[2]List1!$A:$D,2,FALSE)*1.08,VLOOKUP(C729,[2]List1!$A:$D,2,FALSE)),0),"NEUVEDENO!")</f>
        <v>1187</v>
      </c>
      <c r="G729" s="717">
        <f t="shared" si="1760"/>
        <v>1187</v>
      </c>
      <c r="H729" s="718">
        <f t="shared" si="1761"/>
        <v>48.234581797642321</v>
      </c>
      <c r="I729" s="738">
        <v>1</v>
      </c>
      <c r="J729" s="716" t="s">
        <v>46</v>
      </c>
      <c r="K729" s="716"/>
      <c r="L729" s="716" t="s">
        <v>14395</v>
      </c>
      <c r="M729" s="716" t="s">
        <v>25</v>
      </c>
      <c r="N729" s="716">
        <f>IFERROR(VLOOKUP(C729,[3]List1!$A:$D,4,FALSE),"N/A!")</f>
        <v>1.6453125000000002E-2</v>
      </c>
      <c r="O729" s="716">
        <f>IFERROR(VLOOKUP(C729,[3]List1!$A:$D,3,FALSE),"N/A!")</f>
        <v>950</v>
      </c>
      <c r="P729" s="716">
        <f>IFERROR(VLOOKUP(C729,[3]List1!$A:$D,2,FALSE),"N/A!")</f>
        <v>6600</v>
      </c>
      <c r="Q729" s="716" t="s">
        <v>14233</v>
      </c>
      <c r="R729" s="716" t="s">
        <v>24</v>
      </c>
      <c r="S729" s="716" t="str">
        <f>IF($W$17=$AF$1,"červená fólie",IFERROR(VLOOKUP("červená fólie",Jazyky_ceník!$A:$Q,MATCH($W$17,Jazyky_ceník!$A$1:$Q$1,0),FALSE),"!!!"))</f>
        <v>červená fólie</v>
      </c>
      <c r="T729" s="716">
        <v>60</v>
      </c>
      <c r="U729" s="716">
        <v>40</v>
      </c>
      <c r="V729" s="716">
        <v>24</v>
      </c>
      <c r="W729" s="716" t="str">
        <f>IFERROR(VLOOKUP('General price list'!$C729,Popisy!A:P,MATCH($W$17,Popisy!$A$7:$P$7,0),FALSE),"---------------")</f>
        <v>10 různobarevných efektů</v>
      </c>
      <c r="X729" s="716" t="str">
        <f t="shared" si="1762"/>
        <v/>
      </c>
      <c r="Y729" s="716" t="str">
        <f t="shared" si="1763"/>
        <v/>
      </c>
      <c r="Z729" s="716" t="str">
        <f>HYPERLINK("https://www.klasekpyrotechnics.cz/c503ro-c14")</f>
        <v>https://www.klasekpyrotechnics.cz/c503ro-c14</v>
      </c>
      <c r="AA729" s="716" t="str">
        <f>IFERROR(IF(VLOOKUP(C729,[4]List1!$A:$D,4,FALSE)=0,"",VLOOKUP(C729,[4]List1!$A:$D,4,FALSE)),"")</f>
        <v>84</v>
      </c>
      <c r="AB729" s="720"/>
      <c r="AC729" s="739" t="str">
        <f>IFERROR(IF(VLOOKUP(C729,[1]List1!$A:$D,2,FALSE)="VYPRODÁNO",$V$9,IF(VLOOKUP(C729,[1]List1!$A:$D,2,FALSE)="DOCHÁZÍ",$V$3,VLOOKUP(C729,[1]List1!$A:$D,2,FALSE))),"OFFLINE!")</f>
        <v>15.05.2024</v>
      </c>
      <c r="AD729" s="740" t="str">
        <f ca="1">IF(AP729="NE",$V$10,IF(AC729=$V$3,IF(AQ729&lt;1,$V$8,$V$2&amp;" "&amp;AQ729&amp;" "&amp;$V$1),IF(AC729="SKLADEM",$V$6,IFERROR(IF(OR(AC729-TODAY()&gt;45,VLOOKUP(C729,[1]List1!$A:$E,4,FALSE)=0),AC729,DAY(AC729)&amp;"."&amp;MONTH(AC729)&amp;"."&amp;YEAR(AC729)&amp;" "&amp;$V$4&amp;VLOOKUP(C729,[1]List1!$A:$E,4,FALSE)&amp;" "&amp;$V$1),AC729))))</f>
        <v>15.05.2024</v>
      </c>
      <c r="AE729" s="716" t="str">
        <f t="shared" ca="1" si="1764"/>
        <v>15.05.2024</v>
      </c>
      <c r="AF729" s="723">
        <f t="shared" si="1765"/>
        <v>0</v>
      </c>
      <c r="AG729" s="723">
        <f t="shared" si="1766"/>
        <v>0</v>
      </c>
      <c r="AH729" s="724">
        <f t="shared" si="1767"/>
        <v>0</v>
      </c>
      <c r="AI729" s="716">
        <f t="shared" si="1768"/>
        <v>0</v>
      </c>
      <c r="AJ729" s="716">
        <f t="shared" si="1769"/>
        <v>0</v>
      </c>
      <c r="AK729" s="716" t="str">
        <f t="shared" si="1770"/>
        <v/>
      </c>
      <c r="AL729" s="716" t="str">
        <f t="shared" si="1771"/>
        <v/>
      </c>
      <c r="AM729" s="716">
        <f t="shared" si="1772"/>
        <v>0</v>
      </c>
      <c r="AN729" s="716">
        <f t="shared" si="1773"/>
        <v>0</v>
      </c>
      <c r="AO729" s="380"/>
      <c r="AP729" s="322" t="str">
        <f t="shared" si="1738"/>
        <v/>
      </c>
      <c r="AQ729" s="323" t="str">
        <f>IF(AC729=$V$3,IF(VLOOKUP(C729,[1]List1!$A:$E,5,FALSE)=0,1,VLOOKUP(C729,[1]List1!$A:$E,5,FALSE)),"")</f>
        <v/>
      </c>
      <c r="AR729" s="304" t="str">
        <f t="shared" si="1739"/>
        <v/>
      </c>
      <c r="AS729" s="423" t="str">
        <f t="shared" si="1740"/>
        <v/>
      </c>
      <c r="AT729" s="304" t="str">
        <f t="shared" si="1741"/>
        <v/>
      </c>
      <c r="AU729" s="342" t="e">
        <f t="shared" si="1742"/>
        <v>#N/A</v>
      </c>
      <c r="AV729" s="304" t="e">
        <f t="shared" si="1743"/>
        <v>#N/A</v>
      </c>
      <c r="AX729" s="304">
        <f>IF(AND('General price list'!$J729="F4",'General price list'!$AB729+0&gt;0),1,0)</f>
        <v>0</v>
      </c>
      <c r="AY729" s="304">
        <f t="shared" si="1744"/>
        <v>1</v>
      </c>
      <c r="AZ729" s="304">
        <f t="shared" si="1745"/>
        <v>0</v>
      </c>
    </row>
    <row r="730" spans="1:52" ht="15" customHeight="1">
      <c r="A730" s="725" t="str">
        <f>Kat.!C727</f>
        <v/>
      </c>
      <c r="B730" s="726">
        <f>IF(AND('General price list'!$J730="F4",$AI$1=FALSE),0,IF(AC730="SKLADEM",1,IF(AC730=$V$3,1,0)))</f>
        <v>1</v>
      </c>
      <c r="C730" s="727" t="s">
        <v>1573</v>
      </c>
      <c r="D730" s="728" t="s">
        <v>1574</v>
      </c>
      <c r="E730" s="729" t="s">
        <v>136</v>
      </c>
      <c r="F730" s="725">
        <f>IFERROR(ROUND(IF($AL$3=2,VLOOKUP(C730,[2]List1!$A:$D,2,FALSE)*1.08,VLOOKUP(C730,[2]List1!$A:$D,2,FALSE)),0),"NEUVEDENO!")</f>
        <v>1187</v>
      </c>
      <c r="G730" s="730">
        <f t="shared" si="1760"/>
        <v>1187</v>
      </c>
      <c r="H730" s="731">
        <f t="shared" si="1761"/>
        <v>48.234581797642321</v>
      </c>
      <c r="I730" s="732">
        <v>1</v>
      </c>
      <c r="J730" s="729" t="s">
        <v>46</v>
      </c>
      <c r="K730" s="729" t="s">
        <v>12734</v>
      </c>
      <c r="L730" s="729" t="s">
        <v>14369</v>
      </c>
      <c r="M730" s="729" t="s">
        <v>25</v>
      </c>
      <c r="N730" s="729">
        <f>IFERROR(VLOOKUP(C730,[3]List1!$A:$D,4,FALSE),"N/A!")</f>
        <v>1.6453125000000002E-2</v>
      </c>
      <c r="O730" s="729">
        <f>IFERROR(VLOOKUP(C730,[3]List1!$A:$D,3,FALSE),"N/A!")</f>
        <v>950</v>
      </c>
      <c r="P730" s="729">
        <f>IFERROR(VLOOKUP(C730,[3]List1!$A:$D,2,FALSE),"N/A!")</f>
        <v>7000</v>
      </c>
      <c r="Q730" s="729" t="s">
        <v>14233</v>
      </c>
      <c r="R730" s="729" t="s">
        <v>24</v>
      </c>
      <c r="S730" s="729" t="str">
        <f>IF($W$17=$AF$1,"červená fólie",IFERROR(VLOOKUP("červená fólie",Jazyky_ceník!$A:$Q,MATCH($W$17,Jazyky_ceník!$A$1:$Q$1,0),FALSE),"!!!"))</f>
        <v>červená fólie</v>
      </c>
      <c r="T730" s="729">
        <v>60</v>
      </c>
      <c r="U730" s="729">
        <v>40</v>
      </c>
      <c r="V730" s="729">
        <v>24</v>
      </c>
      <c r="W730" s="729" t="str">
        <f>IFERROR(VLOOKUP('General price list'!$C730,Popisy!A:P,MATCH($W$17,Popisy!$A$7:$P$7,0),FALSE),"---------------")</f>
        <v>10 různobarevných efektů</v>
      </c>
      <c r="X730" s="729" t="str">
        <f t="shared" si="1762"/>
        <v/>
      </c>
      <c r="Y730" s="729" t="str">
        <f t="shared" si="1763"/>
        <v/>
      </c>
      <c r="Z730" s="729" t="str">
        <f>HYPERLINK("https://www.klasekpyrotechnics.cz/c503f-c14")</f>
        <v>https://www.klasekpyrotechnics.cz/c503f-c14</v>
      </c>
      <c r="AA730" s="729" t="str">
        <f>IFERROR(IF(VLOOKUP(C730,[4]List1!$A:$D,4,FALSE)=0,"",VLOOKUP(C730,[4]List1!$A:$D,4,FALSE)),"")</f>
        <v>84</v>
      </c>
      <c r="AB730" s="720"/>
      <c r="AC730" s="733" t="str">
        <f>IFERROR(IF(VLOOKUP(C730,[1]List1!$A:$D,2,FALSE)="VYPRODÁNO",$V$9,IF(VLOOKUP(C730,[1]List1!$A:$D,2,FALSE)="DOCHÁZÍ",$V$3,VLOOKUP(C730,[1]List1!$A:$D,2,FALSE))),"OFFLINE!")</f>
        <v>SKLADEM</v>
      </c>
      <c r="AD730" s="734" t="str">
        <f ca="1">IF(AP730="NE",$V$10,IF(AC730=$V$3,IF(AQ730&lt;1,$V$8,$V$2&amp;" "&amp;AQ730&amp;" "&amp;$V$1),IF(AC730="SKLADEM",$V$6,IFERROR(IF(OR(AC730-TODAY()&gt;45,VLOOKUP(C730,[1]List1!$A:$E,4,FALSE)=0),AC730,DAY(AC730)&amp;"."&amp;MONTH(AC730)&amp;"."&amp;YEAR(AC730)&amp;" "&amp;$V$4&amp;VLOOKUP(C730,[1]List1!$A:$E,4,FALSE)&amp;" "&amp;$V$1),AC730))))</f>
        <v>SKLADEM</v>
      </c>
      <c r="AE730" s="729" t="str">
        <f t="shared" ca="1" si="1764"/>
        <v>SKLADEM</v>
      </c>
      <c r="AF730" s="735">
        <f t="shared" si="1765"/>
        <v>0</v>
      </c>
      <c r="AG730" s="735">
        <f t="shared" si="1766"/>
        <v>0</v>
      </c>
      <c r="AH730" s="736">
        <f t="shared" si="1767"/>
        <v>0</v>
      </c>
      <c r="AI730" s="729">
        <f t="shared" si="1768"/>
        <v>0</v>
      </c>
      <c r="AJ730" s="729">
        <f t="shared" si="1769"/>
        <v>0</v>
      </c>
      <c r="AK730" s="729" t="str">
        <f t="shared" si="1770"/>
        <v/>
      </c>
      <c r="AL730" s="729" t="str">
        <f t="shared" si="1771"/>
        <v/>
      </c>
      <c r="AM730" s="729">
        <f t="shared" si="1772"/>
        <v>0</v>
      </c>
      <c r="AN730" s="729">
        <f t="shared" si="1773"/>
        <v>0</v>
      </c>
      <c r="AO730" s="380"/>
      <c r="AP730" s="322" t="str">
        <f t="shared" si="1738"/>
        <v/>
      </c>
      <c r="AQ730" s="323" t="str">
        <f>IF(AC730=$V$3,IF(VLOOKUP(C730,[1]List1!$A:$E,5,FALSE)=0,1,VLOOKUP(C730,[1]List1!$A:$E,5,FALSE)),"")</f>
        <v/>
      </c>
      <c r="AR730" s="304" t="str">
        <f t="shared" si="1739"/>
        <v/>
      </c>
      <c r="AS730" s="423" t="str">
        <f t="shared" si="1740"/>
        <v/>
      </c>
      <c r="AT730" s="304" t="str">
        <f t="shared" si="1741"/>
        <v/>
      </c>
      <c r="AU730" s="342" t="e">
        <f t="shared" si="1742"/>
        <v>#N/A</v>
      </c>
      <c r="AV730" s="304" t="e">
        <f t="shared" si="1743"/>
        <v>#N/A</v>
      </c>
      <c r="AX730" s="304">
        <f>IF(AND('General price list'!$J730="F4",'General price list'!$AB730+0&gt;0),1,0)</f>
        <v>0</v>
      </c>
      <c r="AY730" s="304">
        <f t="shared" si="1744"/>
        <v>1</v>
      </c>
      <c r="AZ730" s="304">
        <f t="shared" si="1745"/>
        <v>0</v>
      </c>
    </row>
    <row r="731" spans="1:52" ht="15" customHeight="1">
      <c r="A731" s="712" t="str">
        <f>Kat.!C728</f>
        <v>×</v>
      </c>
      <c r="B731" s="737">
        <f>IF(AND('General price list'!$J731="F4",$AI$1=FALSE),0,IF(AC731="SKLADEM",1,IF(AC731=$V$3,1,0)))</f>
        <v>1</v>
      </c>
      <c r="C731" s="714" t="s">
        <v>1576</v>
      </c>
      <c r="D731" s="715" t="s">
        <v>14606</v>
      </c>
      <c r="E731" s="716" t="s">
        <v>136</v>
      </c>
      <c r="F731" s="712">
        <f>IFERROR(ROUND(IF($AL$3=2,VLOOKUP(C731,[2]List1!$A:$D,2,FALSE)*1.08,VLOOKUP(C731,[2]List1!$A:$D,2,FALSE)),0),"NEUVEDENO!")</f>
        <v>1187</v>
      </c>
      <c r="G731" s="717">
        <f t="shared" si="1760"/>
        <v>1187</v>
      </c>
      <c r="H731" s="718">
        <f t="shared" si="1761"/>
        <v>48.234581797642321</v>
      </c>
      <c r="I731" s="738">
        <v>1</v>
      </c>
      <c r="J731" s="716" t="s">
        <v>46</v>
      </c>
      <c r="K731" s="716"/>
      <c r="L731" s="716" t="s">
        <v>14378</v>
      </c>
      <c r="M731" s="716" t="s">
        <v>25</v>
      </c>
      <c r="N731" s="716">
        <f>IFERROR(VLOOKUP(C731,[3]List1!$A:$D,4,FALSE),"N/A!")</f>
        <v>1.6453125000000002E-2</v>
      </c>
      <c r="O731" s="716">
        <f>IFERROR(VLOOKUP(C731,[3]List1!$A:$D,3,FALSE),"N/A!")</f>
        <v>950</v>
      </c>
      <c r="P731" s="716">
        <f>IFERROR(VLOOKUP(C731,[3]List1!$A:$D,2,FALSE),"N/A!")</f>
        <v>7000</v>
      </c>
      <c r="Q731" s="716" t="s">
        <v>14234</v>
      </c>
      <c r="R731" s="716" t="s">
        <v>24</v>
      </c>
      <c r="S731" s="716" t="str">
        <f>IF($W$17=$AF$1,"červená fólie",IFERROR(VLOOKUP("červená fólie",Jazyky_ceník!$A:$Q,MATCH($W$17,Jazyky_ceník!$A$1:$Q$1,0),FALSE),"!!!"))</f>
        <v>červená fólie</v>
      </c>
      <c r="T731" s="716">
        <v>45</v>
      </c>
      <c r="U731" s="716">
        <v>40</v>
      </c>
      <c r="V731" s="716">
        <v>24</v>
      </c>
      <c r="W731" s="716" t="str">
        <f>IFERROR(VLOOKUP('General price list'!$C731,Popisy!A:P,MATCH($W$17,Popisy!$A$7:$P$7,0),FALSE),"---------------")</f>
        <v>10 různobarevných efektů</v>
      </c>
      <c r="X731" s="716" t="str">
        <f t="shared" si="1762"/>
        <v/>
      </c>
      <c r="Y731" s="716" t="str">
        <f t="shared" si="1763"/>
        <v/>
      </c>
      <c r="Z731" s="716" t="str">
        <f>HYPERLINK("https://www.klasekpyrotechnics.cz/c503nid-c14")</f>
        <v>https://www.klasekpyrotechnics.cz/c503nid-c14</v>
      </c>
      <c r="AA731" s="716" t="str">
        <f>IFERROR(IF(VLOOKUP(C731,[4]List1!$A:$D,4,FALSE)=0,"",VLOOKUP(C731,[4]List1!$A:$D,4,FALSE)),"")</f>
        <v>84</v>
      </c>
      <c r="AB731" s="720"/>
      <c r="AC731" s="739" t="str">
        <f>IFERROR(IF(VLOOKUP(C731,[1]List1!$A:$D,2,FALSE)="VYPRODÁNO",$V$9,IF(VLOOKUP(C731,[1]List1!$A:$D,2,FALSE)="DOCHÁZÍ",$V$3,VLOOKUP(C731,[1]List1!$A:$D,2,FALSE))),"OFFLINE!")</f>
        <v>DOCHÁZÍ</v>
      </c>
      <c r="AD731" s="740" t="str">
        <f ca="1">IF(AP731="NE",$V$10,IF(AC731=$V$3,IF(AQ731&lt;1,$V$8,$V$2&amp;" "&amp;AQ731&amp;" "&amp;$V$1),IF(AC731="SKLADEM",$V$6,IFERROR(IF(OR(AC731-TODAY()&gt;45,VLOOKUP(C731,[1]List1!$A:$E,4,FALSE)=0),AC731,DAY(AC731)&amp;"."&amp;MONTH(AC731)&amp;"."&amp;YEAR(AC731)&amp;" "&amp;$V$4&amp;VLOOKUP(C731,[1]List1!$A:$E,4,FALSE)&amp;" "&amp;$V$1),AC731))))</f>
        <v>POSLEDNÍCH 20 VK</v>
      </c>
      <c r="AE731" s="716" t="str">
        <f t="shared" ca="1" si="1764"/>
        <v>POSLEDNÍCH 20 VK</v>
      </c>
      <c r="AF731" s="723">
        <f t="shared" si="1765"/>
        <v>0</v>
      </c>
      <c r="AG731" s="723">
        <f t="shared" si="1766"/>
        <v>0</v>
      </c>
      <c r="AH731" s="724">
        <f t="shared" si="1767"/>
        <v>0</v>
      </c>
      <c r="AI731" s="716">
        <f t="shared" si="1768"/>
        <v>0</v>
      </c>
      <c r="AJ731" s="716">
        <f t="shared" si="1769"/>
        <v>0</v>
      </c>
      <c r="AK731" s="716" t="str">
        <f t="shared" si="1770"/>
        <v/>
      </c>
      <c r="AL731" s="716" t="str">
        <f t="shared" si="1771"/>
        <v/>
      </c>
      <c r="AM731" s="716">
        <f t="shared" si="1772"/>
        <v>0</v>
      </c>
      <c r="AN731" s="716">
        <f t="shared" si="1773"/>
        <v>0</v>
      </c>
      <c r="AO731" s="380"/>
      <c r="AP731" s="322" t="str">
        <f t="shared" si="1738"/>
        <v/>
      </c>
      <c r="AQ731" s="323">
        <f>IF(AC731=$V$3,IF(VLOOKUP(C731,[1]List1!$A:$E,5,FALSE)=0,1,VLOOKUP(C731,[1]List1!$A:$E,5,FALSE)),"")</f>
        <v>20</v>
      </c>
      <c r="AR731" s="304" t="str">
        <f t="shared" si="1739"/>
        <v/>
      </c>
      <c r="AS731" s="423" t="str">
        <f t="shared" si="1740"/>
        <v/>
      </c>
      <c r="AT731" s="304" t="str">
        <f t="shared" si="1741"/>
        <v/>
      </c>
      <c r="AU731" s="342" t="e">
        <f t="shared" si="1742"/>
        <v>#N/A</v>
      </c>
      <c r="AV731" s="304" t="e">
        <f t="shared" si="1743"/>
        <v>#N/A</v>
      </c>
      <c r="AX731" s="304">
        <f>IF(AND('General price list'!$J731="F4",'General price list'!$AB731+0&gt;0),1,0)</f>
        <v>0</v>
      </c>
      <c r="AY731" s="304">
        <f t="shared" si="1744"/>
        <v>1</v>
      </c>
      <c r="AZ731" s="304">
        <f t="shared" si="1745"/>
        <v>0</v>
      </c>
    </row>
    <row r="732" spans="1:52" ht="15" customHeight="1">
      <c r="A732" s="725" t="str">
        <f>Kat.!C729</f>
        <v/>
      </c>
      <c r="B732" s="726">
        <f>IF(AND('General price list'!$J732="F4",$AI$1=FALSE),0,IF(AC732="SKLADEM",1,IF(AC732=$V$3,1,0)))</f>
        <v>1</v>
      </c>
      <c r="C732" s="727" t="s">
        <v>1575</v>
      </c>
      <c r="D732" s="728" t="s">
        <v>14604</v>
      </c>
      <c r="E732" s="729" t="s">
        <v>136</v>
      </c>
      <c r="F732" s="725">
        <f>IFERROR(ROUND(IF($AL$3=2,VLOOKUP(C732,[2]List1!$A:$D,2,FALSE)*1.08,VLOOKUP(C732,[2]List1!$A:$D,2,FALSE)),0),"NEUVEDENO!")</f>
        <v>1513</v>
      </c>
      <c r="G732" s="730">
        <f t="shared" si="1760"/>
        <v>1513</v>
      </c>
      <c r="H732" s="731">
        <f t="shared" si="1761"/>
        <v>61.48182161738233</v>
      </c>
      <c r="I732" s="732">
        <v>1</v>
      </c>
      <c r="J732" s="729" t="s">
        <v>46</v>
      </c>
      <c r="K732" s="729"/>
      <c r="L732" s="729" t="s">
        <v>14378</v>
      </c>
      <c r="M732" s="729" t="s">
        <v>25</v>
      </c>
      <c r="N732" s="729">
        <f>IFERROR(VLOOKUP(C732,[3]List1!$A:$D,4,FALSE),"N/A!")</f>
        <v>1.6453125000000002E-2</v>
      </c>
      <c r="O732" s="729">
        <f>IFERROR(VLOOKUP(C732,[3]List1!$A:$D,3,FALSE),"N/A!")</f>
        <v>1000</v>
      </c>
      <c r="P732" s="729">
        <f>IFERROR(VLOOKUP(C732,[3]List1!$A:$D,2,FALSE),"N/A!")</f>
        <v>7000</v>
      </c>
      <c r="Q732" s="729" t="s">
        <v>14235</v>
      </c>
      <c r="R732" s="729" t="s">
        <v>24</v>
      </c>
      <c r="S732" s="729" t="str">
        <f>IF($W$17=$AF$1,"červená fólie",IFERROR(VLOOKUP("červená fólie",Jazyky_ceník!$A:$Q,MATCH($W$17,Jazyky_ceník!$A$1:$Q$1,0),FALSE),"!!!"))</f>
        <v>červená fólie</v>
      </c>
      <c r="T732" s="729">
        <v>50</v>
      </c>
      <c r="U732" s="729">
        <v>44</v>
      </c>
      <c r="V732" s="729">
        <v>26</v>
      </c>
      <c r="W732" s="729" t="str">
        <f>IFERROR(VLOOKUP('General price list'!$C732,Popisy!A:P,MATCH($W$17,Popisy!$A$7:$P$7,0),FALSE),"---------------")</f>
        <v>10 různobarevných efektů</v>
      </c>
      <c r="X732" s="729" t="str">
        <f t="shared" si="1762"/>
        <v/>
      </c>
      <c r="Y732" s="729" t="str">
        <f t="shared" si="1763"/>
        <v/>
      </c>
      <c r="Z732" s="729" t="str">
        <f>HYPERLINK("https://www.klasekpyrotechnics.cz/c503sig-c14")</f>
        <v>https://www.klasekpyrotechnics.cz/c503sig-c14</v>
      </c>
      <c r="AA732" s="729" t="str">
        <f>IFERROR(IF(VLOOKUP(C732,[4]List1!$A:$D,4,FALSE)=0,"",VLOOKUP(C732,[4]List1!$A:$D,4,FALSE)),"")</f>
        <v>84</v>
      </c>
      <c r="AB732" s="720"/>
      <c r="AC732" s="733" t="str">
        <f>IFERROR(IF(VLOOKUP(C732,[1]List1!$A:$D,2,FALSE)="VYPRODÁNO",$V$9,IF(VLOOKUP(C732,[1]List1!$A:$D,2,FALSE)="DOCHÁZÍ",$V$3,VLOOKUP(C732,[1]List1!$A:$D,2,FALSE))),"OFFLINE!")</f>
        <v>SKLADEM</v>
      </c>
      <c r="AD732" s="734" t="str">
        <f ca="1">IF(AP732="NE",$V$10,IF(AC732=$V$3,IF(AQ732&lt;1,$V$8,$V$2&amp;" "&amp;AQ732&amp;" "&amp;$V$1),IF(AC732="SKLADEM",$V$6,IFERROR(IF(OR(AC732-TODAY()&gt;45,VLOOKUP(C732,[1]List1!$A:$E,4,FALSE)=0),AC732,DAY(AC732)&amp;"."&amp;MONTH(AC732)&amp;"."&amp;YEAR(AC732)&amp;" "&amp;$V$4&amp;VLOOKUP(C732,[1]List1!$A:$E,4,FALSE)&amp;" "&amp;$V$1),AC732))))</f>
        <v>SKLADEM</v>
      </c>
      <c r="AE732" s="729" t="str">
        <f t="shared" ca="1" si="1764"/>
        <v>SKLADEM</v>
      </c>
      <c r="AF732" s="735">
        <f t="shared" si="1765"/>
        <v>0</v>
      </c>
      <c r="AG732" s="735">
        <f t="shared" si="1766"/>
        <v>0</v>
      </c>
      <c r="AH732" s="736">
        <f t="shared" si="1767"/>
        <v>0</v>
      </c>
      <c r="AI732" s="729">
        <f t="shared" si="1768"/>
        <v>0</v>
      </c>
      <c r="AJ732" s="729">
        <f t="shared" si="1769"/>
        <v>0</v>
      </c>
      <c r="AK732" s="729" t="str">
        <f t="shared" si="1770"/>
        <v/>
      </c>
      <c r="AL732" s="729" t="str">
        <f t="shared" si="1771"/>
        <v/>
      </c>
      <c r="AM732" s="729">
        <f t="shared" si="1772"/>
        <v>0</v>
      </c>
      <c r="AN732" s="729">
        <f t="shared" si="1773"/>
        <v>0</v>
      </c>
      <c r="AO732" s="380"/>
      <c r="AP732" s="322" t="str">
        <f t="shared" si="1738"/>
        <v/>
      </c>
      <c r="AQ732" s="323" t="str">
        <f>IF(AC732=$V$3,IF(VLOOKUP(C732,[1]List1!$A:$E,5,FALSE)=0,1,VLOOKUP(C732,[1]List1!$A:$E,5,FALSE)),"")</f>
        <v/>
      </c>
      <c r="AR732" s="304" t="str">
        <f t="shared" si="1739"/>
        <v/>
      </c>
      <c r="AS732" s="423" t="str">
        <f t="shared" si="1740"/>
        <v/>
      </c>
      <c r="AT732" s="304" t="str">
        <f t="shared" si="1741"/>
        <v/>
      </c>
      <c r="AU732" s="342" t="e">
        <f t="shared" si="1742"/>
        <v>#N/A</v>
      </c>
      <c r="AV732" s="304" t="e">
        <f t="shared" si="1743"/>
        <v>#N/A</v>
      </c>
      <c r="AX732" s="304">
        <f>IF(AND('General price list'!$J732="F4",'General price list'!$AB732+0&gt;0),1,0)</f>
        <v>0</v>
      </c>
      <c r="AY732" s="304">
        <f t="shared" si="1744"/>
        <v>1</v>
      </c>
      <c r="AZ732" s="304">
        <f t="shared" si="1745"/>
        <v>0</v>
      </c>
    </row>
    <row r="733" spans="1:52" ht="15" customHeight="1">
      <c r="A733" s="712" t="str">
        <f>Kat.!C730</f>
        <v/>
      </c>
      <c r="B733" s="737">
        <f>IF(AND('General price list'!$J733="F4",$AI$1=FALSE),0,IF(AC733="SKLADEM",1,IF(AC733=$V$3,1,0)))</f>
        <v>0</v>
      </c>
      <c r="C733" s="714" t="s">
        <v>1578</v>
      </c>
      <c r="D733" s="715" t="s">
        <v>12851</v>
      </c>
      <c r="E733" s="716" t="s">
        <v>136</v>
      </c>
      <c r="F733" s="712">
        <f>IFERROR(ROUND(IF($AL$3=2,VLOOKUP(C733,[2]List1!$A:$D,2,FALSE)*1.08,VLOOKUP(C733,[2]List1!$A:$D,2,FALSE)),0),"NEUVEDENO!")</f>
        <v>2398</v>
      </c>
      <c r="G733" s="717">
        <f t="shared" si="1760"/>
        <v>2398</v>
      </c>
      <c r="H733" s="718">
        <f t="shared" si="1761"/>
        <v>97.444420514529298</v>
      </c>
      <c r="I733" s="738">
        <v>1</v>
      </c>
      <c r="J733" s="716" t="s">
        <v>46</v>
      </c>
      <c r="K733" s="716"/>
      <c r="L733" s="716" t="s">
        <v>14369</v>
      </c>
      <c r="M733" s="716" t="s">
        <v>25</v>
      </c>
      <c r="N733" s="716">
        <f>IFERROR(VLOOKUP(C733,[3]List1!$A:$D,4,FALSE),"N/A!")</f>
        <v>3.1640625000000006E-2</v>
      </c>
      <c r="O733" s="716">
        <f>IFERROR(VLOOKUP(C733,[3]List1!$A:$D,3,FALSE),"N/A!")</f>
        <v>1900</v>
      </c>
      <c r="P733" s="716">
        <f>IFERROR(VLOOKUP(C733,[3]List1!$A:$D,2,FALSE),"N/A!")</f>
        <v>13200</v>
      </c>
      <c r="Q733" s="716" t="s">
        <v>1121</v>
      </c>
      <c r="R733" s="716" t="s">
        <v>24</v>
      </c>
      <c r="S733" s="716" t="str">
        <f>IF($W$17=$AF$1,"červená fólie",IFERROR(VLOOKUP("červená fólie",Jazyky_ceník!$A:$Q,MATCH($W$17,Jazyky_ceník!$A$1:$Q$1,0),FALSE),"!!!"))</f>
        <v>červená fólie</v>
      </c>
      <c r="T733" s="716">
        <v>90</v>
      </c>
      <c r="U733" s="716">
        <v>40</v>
      </c>
      <c r="V733" s="716">
        <v>24</v>
      </c>
      <c r="W733" s="716" t="str">
        <f>IFERROR(VLOOKUP('General price list'!$C733,Popisy!A:P,MATCH($W$17,Popisy!$A$7:$P$7,0),FALSE),"---------------")</f>
        <v>20 různobarevných efektů</v>
      </c>
      <c r="X733" s="716" t="str">
        <f t="shared" si="1762"/>
        <v/>
      </c>
      <c r="Y733" s="716" t="str">
        <f t="shared" si="1763"/>
        <v/>
      </c>
      <c r="Z733" s="716" t="str">
        <f>HYPERLINK("https://www.klasekpyrotechnics.cz/c1003b-c14")</f>
        <v>https://www.klasekpyrotechnics.cz/c1003b-c14</v>
      </c>
      <c r="AA733" s="716">
        <f>IFERROR(IF(VLOOKUP(C733,[4]List1!$A:$D,4,FALSE)=0,"",VLOOKUP(C733,[4]List1!$A:$D,4,FALSE)),"")</f>
        <v>42</v>
      </c>
      <c r="AB733" s="720"/>
      <c r="AC733" s="739" t="str">
        <f>IFERROR(IF(VLOOKUP(C733,[1]List1!$A:$D,2,FALSE)="VYPRODÁNO",$V$9,IF(VLOOKUP(C733,[1]List1!$A:$D,2,FALSE)="DOCHÁZÍ",$V$3,VLOOKUP(C733,[1]List1!$A:$D,2,FALSE))),"OFFLINE!")</f>
        <v>15.05.2024</v>
      </c>
      <c r="AD733" s="740" t="str">
        <f ca="1">IF(AP733="NE",$V$10,IF(AC733=$V$3,IF(AQ733&lt;1,$V$8,$V$2&amp;" "&amp;AQ733&amp;" "&amp;$V$1),IF(AC733="SKLADEM",$V$6,IFERROR(IF(OR(AC733-TODAY()&gt;45,VLOOKUP(C733,[1]List1!$A:$E,4,FALSE)=0),AC733,DAY(AC733)&amp;"."&amp;MONTH(AC733)&amp;"."&amp;YEAR(AC733)&amp;" "&amp;$V$4&amp;VLOOKUP(C733,[1]List1!$A:$E,4,FALSE)&amp;" "&amp;$V$1),AC733))))</f>
        <v>15.05.2024</v>
      </c>
      <c r="AE733" s="716" t="str">
        <f t="shared" ca="1" si="1764"/>
        <v>15.05.2024</v>
      </c>
      <c r="AF733" s="723">
        <f t="shared" si="1765"/>
        <v>0</v>
      </c>
      <c r="AG733" s="723">
        <f t="shared" si="1766"/>
        <v>0</v>
      </c>
      <c r="AH733" s="724">
        <f t="shared" si="1767"/>
        <v>0</v>
      </c>
      <c r="AI733" s="716">
        <f t="shared" si="1768"/>
        <v>0</v>
      </c>
      <c r="AJ733" s="716">
        <f t="shared" si="1769"/>
        <v>0</v>
      </c>
      <c r="AK733" s="716" t="str">
        <f t="shared" si="1770"/>
        <v/>
      </c>
      <c r="AL733" s="716" t="str">
        <f t="shared" si="1771"/>
        <v/>
      </c>
      <c r="AM733" s="716">
        <f t="shared" si="1772"/>
        <v>0</v>
      </c>
      <c r="AN733" s="716">
        <f t="shared" si="1773"/>
        <v>0</v>
      </c>
      <c r="AO733" s="380"/>
      <c r="AP733" s="322" t="str">
        <f t="shared" si="1738"/>
        <v/>
      </c>
      <c r="AQ733" s="323" t="str">
        <f>IF(AC733=$V$3,IF(VLOOKUP(C733,[1]List1!$A:$E,5,FALSE)=0,1,VLOOKUP(C733,[1]List1!$A:$E,5,FALSE)),"")</f>
        <v/>
      </c>
      <c r="AR733" s="304" t="str">
        <f t="shared" si="1739"/>
        <v/>
      </c>
      <c r="AS733" s="423" t="str">
        <f t="shared" si="1740"/>
        <v/>
      </c>
      <c r="AT733" s="304" t="str">
        <f t="shared" si="1741"/>
        <v/>
      </c>
      <c r="AU733" s="342" t="e">
        <f t="shared" si="1742"/>
        <v>#N/A</v>
      </c>
      <c r="AV733" s="304" t="e">
        <f t="shared" si="1743"/>
        <v>#N/A</v>
      </c>
      <c r="AX733" s="304">
        <f>IF(AND('General price list'!$J733="F4",'General price list'!$AB733+0&gt;0),1,0)</f>
        <v>0</v>
      </c>
      <c r="AY733" s="304">
        <f t="shared" si="1744"/>
        <v>1</v>
      </c>
      <c r="AZ733" s="304">
        <f t="shared" si="1745"/>
        <v>0</v>
      </c>
    </row>
    <row r="734" spans="1:52" ht="15" customHeight="1">
      <c r="A734" s="725" t="str">
        <f>Kat.!C731</f>
        <v/>
      </c>
      <c r="B734" s="726">
        <f>IF(AND('General price list'!$J734="F4",$AI$1=FALSE),0,IF(AC734="SKLADEM",1,IF(AC734=$V$3,1,0)))</f>
        <v>1</v>
      </c>
      <c r="C734" s="727" t="s">
        <v>2566</v>
      </c>
      <c r="D734" s="728" t="s">
        <v>2568</v>
      </c>
      <c r="E734" s="729" t="s">
        <v>136</v>
      </c>
      <c r="F734" s="725">
        <f>IFERROR(ROUND(IF($AL$3=2,VLOOKUP(C734,[2]List1!$A:$D,2,FALSE)*1.08,VLOOKUP(C734,[2]List1!$A:$D,2,FALSE)),0),"NEUVEDENO!")</f>
        <v>2398</v>
      </c>
      <c r="G734" s="730">
        <f t="shared" si="1760"/>
        <v>2398</v>
      </c>
      <c r="H734" s="731">
        <f t="shared" si="1761"/>
        <v>97.444420514529298</v>
      </c>
      <c r="I734" s="732">
        <v>1</v>
      </c>
      <c r="J734" s="729" t="s">
        <v>46</v>
      </c>
      <c r="K734" s="729"/>
      <c r="L734" s="729" t="s">
        <v>14369</v>
      </c>
      <c r="M734" s="729" t="s">
        <v>25</v>
      </c>
      <c r="N734" s="729">
        <f>IFERROR(VLOOKUP(C734,[3]List1!$A:$D,4,FALSE),"N/A!")</f>
        <v>3.1640625000000006E-2</v>
      </c>
      <c r="O734" s="729">
        <f>IFERROR(VLOOKUP(C734,[3]List1!$A:$D,3,FALSE),"N/A!")</f>
        <v>1900</v>
      </c>
      <c r="P734" s="729">
        <f>IFERROR(VLOOKUP(C734,[3]List1!$A:$D,2,FALSE),"N/A!")</f>
        <v>13400</v>
      </c>
      <c r="Q734" s="729" t="s">
        <v>14133</v>
      </c>
      <c r="R734" s="729" t="s">
        <v>24</v>
      </c>
      <c r="S734" s="729" t="str">
        <f>IF($W$17=$AF$1,"červená fólie",IFERROR(VLOOKUP("červená fólie",Jazyky_ceník!$A:$Q,MATCH($W$17,Jazyky_ceník!$A$1:$Q$1,0),FALSE),"!!!"))</f>
        <v>červená fólie</v>
      </c>
      <c r="T734" s="729">
        <v>110</v>
      </c>
      <c r="U734" s="729">
        <v>40</v>
      </c>
      <c r="V734" s="729">
        <v>24</v>
      </c>
      <c r="W734" s="729" t="str">
        <f>IFERROR(VLOOKUP('General price list'!$C734,Popisy!A:P,MATCH($W$17,Popisy!$A$7:$P$7,0),FALSE),"---------------")</f>
        <v>20 různobarevných efektů</v>
      </c>
      <c r="X734" s="729" t="str">
        <f t="shared" si="1762"/>
        <v/>
      </c>
      <c r="Y734" s="729" t="str">
        <f t="shared" si="1763"/>
        <v/>
      </c>
      <c r="Z734" s="729" t="str">
        <f>HYPERLINK("https://www.klasekpyrotechnics.cz/c1003f-c14")</f>
        <v>https://www.klasekpyrotechnics.cz/c1003f-c14</v>
      </c>
      <c r="AA734" s="729">
        <f>IFERROR(IF(VLOOKUP(C734,[4]List1!$A:$D,4,FALSE)=0,"",VLOOKUP(C734,[4]List1!$A:$D,4,FALSE)),"")</f>
        <v>42</v>
      </c>
      <c r="AB734" s="720"/>
      <c r="AC734" s="733" t="str">
        <f>IFERROR(IF(VLOOKUP(C734,[1]List1!$A:$D,2,FALSE)="VYPRODÁNO",$V$9,IF(VLOOKUP(C734,[1]List1!$A:$D,2,FALSE)="DOCHÁZÍ",$V$3,VLOOKUP(C734,[1]List1!$A:$D,2,FALSE))),"OFFLINE!")</f>
        <v>DOCHÁZÍ</v>
      </c>
      <c r="AD734" s="734" t="str">
        <f ca="1">IF(AP734="NE",$V$10,IF(AC734=$V$3,IF(AQ734&lt;1,$V$8,$V$2&amp;" "&amp;AQ734&amp;" "&amp;$V$1),IF(AC734="SKLADEM",$V$6,IFERROR(IF(OR(AC734-TODAY()&gt;45,VLOOKUP(C734,[1]List1!$A:$E,4,FALSE)=0),AC734,DAY(AC734)&amp;"."&amp;MONTH(AC734)&amp;"."&amp;YEAR(AC734)&amp;" "&amp;$V$4&amp;VLOOKUP(C734,[1]List1!$A:$E,4,FALSE)&amp;" "&amp;$V$1),AC734))))</f>
        <v>POSLEDNÍCH 21 VK</v>
      </c>
      <c r="AE734" s="729" t="str">
        <f t="shared" ca="1" si="1764"/>
        <v>POSLEDNÍCH 21 VK</v>
      </c>
      <c r="AF734" s="735">
        <f t="shared" si="1765"/>
        <v>0</v>
      </c>
      <c r="AG734" s="735">
        <f t="shared" si="1766"/>
        <v>0</v>
      </c>
      <c r="AH734" s="736">
        <f t="shared" si="1767"/>
        <v>0</v>
      </c>
      <c r="AI734" s="729">
        <f t="shared" si="1768"/>
        <v>0</v>
      </c>
      <c r="AJ734" s="729">
        <f t="shared" si="1769"/>
        <v>0</v>
      </c>
      <c r="AK734" s="729" t="str">
        <f t="shared" si="1770"/>
        <v/>
      </c>
      <c r="AL734" s="729" t="str">
        <f t="shared" si="1771"/>
        <v/>
      </c>
      <c r="AM734" s="729">
        <f t="shared" si="1772"/>
        <v>0</v>
      </c>
      <c r="AN734" s="729">
        <f t="shared" si="1773"/>
        <v>0</v>
      </c>
      <c r="AO734" s="380"/>
      <c r="AP734" s="322" t="str">
        <f t="shared" si="1738"/>
        <v/>
      </c>
      <c r="AQ734" s="323">
        <f>IF(AC734=$V$3,IF(VLOOKUP(C734,[1]List1!$A:$E,5,FALSE)=0,1,VLOOKUP(C734,[1]List1!$A:$E,5,FALSE)),"")</f>
        <v>21</v>
      </c>
      <c r="AR734" s="304" t="str">
        <f t="shared" si="1739"/>
        <v/>
      </c>
      <c r="AS734" s="423" t="str">
        <f t="shared" si="1740"/>
        <v/>
      </c>
      <c r="AT734" s="304" t="str">
        <f t="shared" si="1741"/>
        <v/>
      </c>
      <c r="AU734" s="342" t="e">
        <f t="shared" si="1742"/>
        <v>#N/A</v>
      </c>
      <c r="AV734" s="304" t="e">
        <f t="shared" si="1743"/>
        <v>#N/A</v>
      </c>
      <c r="AX734" s="304">
        <f>IF(AND('General price list'!$J734="F4",'General price list'!$AB734+0&gt;0),1,0)</f>
        <v>0</v>
      </c>
      <c r="AY734" s="304">
        <f t="shared" si="1744"/>
        <v>1</v>
      </c>
      <c r="AZ734" s="304">
        <f t="shared" si="1745"/>
        <v>0</v>
      </c>
    </row>
    <row r="735" spans="1:52" ht="15" customHeight="1">
      <c r="A735" s="712" t="str">
        <f>Kat.!C732</f>
        <v/>
      </c>
      <c r="B735" s="737">
        <f>IF(AND('General price list'!$J735="F4",$AI$1=FALSE),0,IF(AC735="SKLADEM",1,IF(AC735=$V$3,1,0)))</f>
        <v>1</v>
      </c>
      <c r="C735" s="714" t="s">
        <v>2567</v>
      </c>
      <c r="D735" s="715" t="s">
        <v>2568</v>
      </c>
      <c r="E735" s="716" t="s">
        <v>136</v>
      </c>
      <c r="F735" s="712">
        <f>IFERROR(ROUND(IF($AL$3=2,VLOOKUP(C735,[2]List1!$A:$D,2,FALSE)*1.08,VLOOKUP(C735,[2]List1!$A:$D,2,FALSE)),0),"NEUVEDENO!")</f>
        <v>2848</v>
      </c>
      <c r="G735" s="717">
        <f t="shared" si="1760"/>
        <v>2848</v>
      </c>
      <c r="H735" s="718">
        <f t="shared" si="1761"/>
        <v>115.73048775036675</v>
      </c>
      <c r="I735" s="738">
        <v>1</v>
      </c>
      <c r="J735" s="716" t="s">
        <v>46</v>
      </c>
      <c r="K735" s="716"/>
      <c r="L735" s="716" t="s">
        <v>14378</v>
      </c>
      <c r="M735" s="716" t="s">
        <v>25</v>
      </c>
      <c r="N735" s="716">
        <f>IFERROR(VLOOKUP(C735,[3]List1!$A:$D,4,FALSE),"N/A!")</f>
        <v>4.6396875000000004E-2</v>
      </c>
      <c r="O735" s="716">
        <f>IFERROR(VLOOKUP(C735,[3]List1!$A:$D,3,FALSE),"N/A!")</f>
        <v>2000</v>
      </c>
      <c r="P735" s="716">
        <f>IFERROR(VLOOKUP(C735,[3]List1!$A:$D,2,FALSE),"N/A!")</f>
        <v>12200</v>
      </c>
      <c r="Q735" s="716" t="s">
        <v>14236</v>
      </c>
      <c r="R735" s="716" t="s">
        <v>24</v>
      </c>
      <c r="S735" s="716" t="str">
        <f>IF($W$17=$AF$1,"červená fólie",IFERROR(VLOOKUP("červená fólie",Jazyky_ceník!$A:$Q,MATCH($W$17,Jazyky_ceník!$A$1:$Q$1,0),FALSE),"!!!"))</f>
        <v>červená fólie</v>
      </c>
      <c r="T735" s="716">
        <v>70</v>
      </c>
      <c r="U735" s="716">
        <v>40</v>
      </c>
      <c r="V735" s="716">
        <v>25</v>
      </c>
      <c r="W735" s="716" t="str">
        <f>IFERROR(VLOOKUP('General price list'!$C735,Popisy!A:P,MATCH($W$17,Popisy!$A$7:$P$7,0),FALSE),"---------------")</f>
        <v>20 různobarevných efektů</v>
      </c>
      <c r="X735" s="716" t="str">
        <f t="shared" si="1762"/>
        <v/>
      </c>
      <c r="Y735" s="716" t="str">
        <f t="shared" si="1763"/>
        <v/>
      </c>
      <c r="Z735" s="716" t="str">
        <f>HYPERLINK("https://www.klasekpyrotechnics.cz/c10030xf-c14")</f>
        <v>https://www.klasekpyrotechnics.cz/c10030xf-c14</v>
      </c>
      <c r="AA735" s="716">
        <f>IFERROR(IF(VLOOKUP(C735,[4]List1!$A:$D,4,FALSE)=0,"",VLOOKUP(C735,[4]List1!$A:$D,4,FALSE)),"")</f>
        <v>24</v>
      </c>
      <c r="AB735" s="720"/>
      <c r="AC735" s="739" t="str">
        <f>IFERROR(IF(VLOOKUP(C735,[1]List1!$A:$D,2,FALSE)="VYPRODÁNO",$V$9,IF(VLOOKUP(C735,[1]List1!$A:$D,2,FALSE)="DOCHÁZÍ",$V$3,VLOOKUP(C735,[1]List1!$A:$D,2,FALSE))),"OFFLINE!")</f>
        <v>SKLADEM</v>
      </c>
      <c r="AD735" s="740" t="str">
        <f ca="1">IF(AP735="NE",$V$10,IF(AC735=$V$3,IF(AQ735&lt;1,$V$8,$V$2&amp;" "&amp;AQ735&amp;" "&amp;$V$1),IF(AC735="SKLADEM",$V$6,IFERROR(IF(OR(AC735-TODAY()&gt;45,VLOOKUP(C735,[1]List1!$A:$E,4,FALSE)=0),AC735,DAY(AC735)&amp;"."&amp;MONTH(AC735)&amp;"."&amp;YEAR(AC735)&amp;" "&amp;$V$4&amp;VLOOKUP(C735,[1]List1!$A:$E,4,FALSE)&amp;" "&amp;$V$1),AC735))))</f>
        <v>SKLADEM</v>
      </c>
      <c r="AE735" s="716" t="str">
        <f t="shared" ca="1" si="1764"/>
        <v>SKLADEM</v>
      </c>
      <c r="AF735" s="723">
        <f t="shared" si="1765"/>
        <v>0</v>
      </c>
      <c r="AG735" s="723">
        <f t="shared" si="1766"/>
        <v>0</v>
      </c>
      <c r="AH735" s="724">
        <f t="shared" si="1767"/>
        <v>0</v>
      </c>
      <c r="AI735" s="716">
        <f t="shared" si="1768"/>
        <v>0</v>
      </c>
      <c r="AJ735" s="716">
        <f t="shared" si="1769"/>
        <v>0</v>
      </c>
      <c r="AK735" s="716" t="str">
        <f t="shared" si="1770"/>
        <v/>
      </c>
      <c r="AL735" s="716" t="str">
        <f t="shared" si="1771"/>
        <v/>
      </c>
      <c r="AM735" s="716">
        <f t="shared" si="1772"/>
        <v>0</v>
      </c>
      <c r="AN735" s="716">
        <f t="shared" si="1773"/>
        <v>0</v>
      </c>
      <c r="AO735" s="380"/>
      <c r="AP735" s="322" t="str">
        <f t="shared" si="1738"/>
        <v/>
      </c>
      <c r="AQ735" s="323" t="str">
        <f>IF(AC735=$V$3,IF(VLOOKUP(C735,[1]List1!$A:$E,5,FALSE)=0,1,VLOOKUP(C735,[1]List1!$A:$E,5,FALSE)),"")</f>
        <v/>
      </c>
      <c r="AR735" s="304" t="str">
        <f t="shared" si="1739"/>
        <v/>
      </c>
      <c r="AS735" s="423" t="str">
        <f t="shared" si="1740"/>
        <v/>
      </c>
      <c r="AT735" s="304" t="str">
        <f t="shared" si="1741"/>
        <v/>
      </c>
      <c r="AU735" s="342" t="e">
        <f t="shared" si="1742"/>
        <v>#N/A</v>
      </c>
      <c r="AV735" s="304" t="e">
        <f t="shared" si="1743"/>
        <v>#N/A</v>
      </c>
      <c r="AX735" s="304">
        <f>IF(AND('General price list'!$J735="F4",'General price list'!$AB735+0&gt;0),1,0)</f>
        <v>0</v>
      </c>
      <c r="AY735" s="304">
        <f t="shared" si="1744"/>
        <v>1</v>
      </c>
      <c r="AZ735" s="304">
        <f t="shared" si="1745"/>
        <v>0</v>
      </c>
    </row>
    <row r="736" spans="1:52" ht="15" customHeight="1">
      <c r="A736" s="725" t="str">
        <f>Kat.!C733</f>
        <v/>
      </c>
      <c r="B736" s="726">
        <f>IF(AND('General price list'!$J736="F4",$AI$1=FALSE),0,IF(AC736="SKLADEM",1,IF(AC736=$V$3,1,0)))</f>
        <v>1</v>
      </c>
      <c r="C736" s="727" t="s">
        <v>1580</v>
      </c>
      <c r="D736" s="728" t="s">
        <v>1581</v>
      </c>
      <c r="E736" s="729" t="s">
        <v>136</v>
      </c>
      <c r="F736" s="725">
        <f>IFERROR(ROUND(IF($AL$3=2,VLOOKUP(C736,[2]List1!$A:$D,2,FALSE)*1.08,VLOOKUP(C736,[2]List1!$A:$D,2,FALSE)),0),"NEUVEDENO!")</f>
        <v>4069</v>
      </c>
      <c r="G736" s="730">
        <f t="shared" si="1760"/>
        <v>4069</v>
      </c>
      <c r="H736" s="731">
        <f t="shared" si="1761"/>
        <v>165.34668351693901</v>
      </c>
      <c r="I736" s="732">
        <v>1</v>
      </c>
      <c r="J736" s="729" t="s">
        <v>46</v>
      </c>
      <c r="K736" s="729"/>
      <c r="L736" s="729" t="s">
        <v>14378</v>
      </c>
      <c r="M736" s="729" t="s">
        <v>25</v>
      </c>
      <c r="N736" s="729">
        <f>IFERROR(VLOOKUP(C736,[3]List1!$A:$D,4,FALSE),"N/A!")</f>
        <v>0.102384</v>
      </c>
      <c r="O736" s="729">
        <f>IFERROR(VLOOKUP(C736,[3]List1!$A:$D,3,FALSE),"N/A!")</f>
        <v>1992</v>
      </c>
      <c r="P736" s="729">
        <f>IFERROR(VLOOKUP(C736,[3]List1!$A:$D,2,FALSE),"N/A!")</f>
        <v>19500</v>
      </c>
      <c r="Q736" s="729" t="s">
        <v>11323</v>
      </c>
      <c r="R736" s="729" t="s">
        <v>24</v>
      </c>
      <c r="S736" s="729" t="str">
        <f>IF($W$17=$AF$1,"červená fólie",IFERROR(VLOOKUP("červená fólie",Jazyky_ceník!$A:$Q,MATCH($W$17,Jazyky_ceník!$A$1:$Q$1,0),FALSE),"!!!"))</f>
        <v>červená fólie</v>
      </c>
      <c r="T736" s="729">
        <v>100</v>
      </c>
      <c r="U736" s="729">
        <v>40</v>
      </c>
      <c r="V736" s="729">
        <v>24</v>
      </c>
      <c r="W736" s="729" t="str">
        <f>IFERROR(VLOOKUP('General price list'!$C736,Popisy!A:P,MATCH($W$17,Popisy!$A$7:$P$7,0),FALSE),"---------------")</f>
        <v>14 různobarevných efektů</v>
      </c>
      <c r="X736" s="729" t="str">
        <f t="shared" si="1762"/>
        <v/>
      </c>
      <c r="Y736" s="729" t="str">
        <f t="shared" si="1763"/>
        <v/>
      </c>
      <c r="Z736" s="729" t="str">
        <f>HYPERLINK("https://www.klasekpyrotechnics.cz/c1163mb-c14")</f>
        <v>https://www.klasekpyrotechnics.cz/c1163mb-c14</v>
      </c>
      <c r="AA736" s="729">
        <f>IFERROR(IF(VLOOKUP(C736,[4]List1!$A:$D,4,FALSE)=0,"",VLOOKUP(C736,[4]List1!$A:$D,4,FALSE)),"")</f>
        <v>14</v>
      </c>
      <c r="AB736" s="720"/>
      <c r="AC736" s="733" t="str">
        <f>IFERROR(IF(VLOOKUP(C736,[1]List1!$A:$D,2,FALSE)="VYPRODÁNO",$V$9,IF(VLOOKUP(C736,[1]List1!$A:$D,2,FALSE)="DOCHÁZÍ",$V$3,VLOOKUP(C736,[1]List1!$A:$D,2,FALSE))),"OFFLINE!")</f>
        <v>SKLADEM</v>
      </c>
      <c r="AD736" s="734" t="str">
        <f ca="1">IF(AP736="NE",$V$10,IF(AC736=$V$3,IF(AQ736&lt;1,$V$8,$V$2&amp;" "&amp;AQ736&amp;" "&amp;$V$1),IF(AC736="SKLADEM",$V$6,IFERROR(IF(OR(AC736-TODAY()&gt;45,VLOOKUP(C736,[1]List1!$A:$E,4,FALSE)=0),AC736,DAY(AC736)&amp;"."&amp;MONTH(AC736)&amp;"."&amp;YEAR(AC736)&amp;" "&amp;$V$4&amp;VLOOKUP(C736,[1]List1!$A:$E,4,FALSE)&amp;" "&amp;$V$1),AC736))))</f>
        <v>SKLADEM</v>
      </c>
      <c r="AE736" s="729" t="str">
        <f t="shared" ca="1" si="1764"/>
        <v>SKLADEM</v>
      </c>
      <c r="AF736" s="735">
        <f t="shared" si="1765"/>
        <v>0</v>
      </c>
      <c r="AG736" s="735">
        <f t="shared" si="1766"/>
        <v>0</v>
      </c>
      <c r="AH736" s="736">
        <f t="shared" si="1767"/>
        <v>0</v>
      </c>
      <c r="AI736" s="729">
        <f t="shared" si="1768"/>
        <v>0</v>
      </c>
      <c r="AJ736" s="729">
        <f t="shared" si="1769"/>
        <v>0</v>
      </c>
      <c r="AK736" s="729" t="str">
        <f t="shared" si="1770"/>
        <v/>
      </c>
      <c r="AL736" s="729" t="str">
        <f t="shared" si="1771"/>
        <v/>
      </c>
      <c r="AM736" s="729">
        <f t="shared" si="1772"/>
        <v>0</v>
      </c>
      <c r="AN736" s="729">
        <f t="shared" si="1773"/>
        <v>0</v>
      </c>
      <c r="AO736" s="380"/>
      <c r="AP736" s="322" t="str">
        <f t="shared" si="1738"/>
        <v/>
      </c>
      <c r="AQ736" s="323" t="str">
        <f>IF(AC736=$V$3,IF(VLOOKUP(C736,[1]List1!$A:$E,5,FALSE)=0,1,VLOOKUP(C736,[1]List1!$A:$E,5,FALSE)),"")</f>
        <v/>
      </c>
      <c r="AR736" s="304" t="str">
        <f t="shared" si="1739"/>
        <v/>
      </c>
      <c r="AS736" s="423" t="str">
        <f t="shared" si="1740"/>
        <v/>
      </c>
      <c r="AT736" s="304" t="str">
        <f t="shared" si="1741"/>
        <v/>
      </c>
      <c r="AU736" s="342" t="e">
        <f t="shared" si="1742"/>
        <v>#N/A</v>
      </c>
      <c r="AV736" s="304" t="e">
        <f t="shared" si="1743"/>
        <v>#N/A</v>
      </c>
      <c r="AX736" s="304">
        <f>IF(AND('General price list'!$J736="F4",'General price list'!$AB736+0&gt;0),1,0)</f>
        <v>0</v>
      </c>
      <c r="AY736" s="304">
        <f t="shared" si="1744"/>
        <v>1</v>
      </c>
      <c r="AZ736" s="304">
        <f t="shared" si="1745"/>
        <v>0</v>
      </c>
    </row>
    <row r="737" spans="1:52" ht="15" customHeight="1">
      <c r="A737" s="712" t="str">
        <f>Kat.!C734</f>
        <v/>
      </c>
      <c r="B737" s="737">
        <f>IF(AND('General price list'!$J737="F4",$AI$1=FALSE),0,IF(AC737="SKLADEM",1,IF(AC737=$V$3,1,0)))</f>
        <v>1</v>
      </c>
      <c r="C737" s="714" t="s">
        <v>2569</v>
      </c>
      <c r="D737" s="715" t="s">
        <v>2570</v>
      </c>
      <c r="E737" s="716" t="s">
        <v>136</v>
      </c>
      <c r="F737" s="712">
        <f>IFERROR(ROUND(IF($AL$3=2,VLOOKUP(C737,[2]List1!$A:$D,2,FALSE)*1.08,VLOOKUP(C737,[2]List1!$A:$D,2,FALSE)),0),"NEUVEDENO!")</f>
        <v>3539</v>
      </c>
      <c r="G737" s="717">
        <f t="shared" si="1760"/>
        <v>3539</v>
      </c>
      <c r="H737" s="718">
        <f t="shared" si="1761"/>
        <v>143.80975988361936</v>
      </c>
      <c r="I737" s="738">
        <v>1</v>
      </c>
      <c r="J737" s="716" t="s">
        <v>46</v>
      </c>
      <c r="K737" s="716"/>
      <c r="L737" s="716" t="s">
        <v>14378</v>
      </c>
      <c r="M737" s="716" t="s">
        <v>25</v>
      </c>
      <c r="N737" s="716">
        <f>IFERROR(VLOOKUP(C737,[3]List1!$A:$D,4,FALSE),"N/A!")</f>
        <v>4.9687500000000002E-2</v>
      </c>
      <c r="O737" s="716">
        <f>IFERROR(VLOOKUP(C737,[3]List1!$A:$D,3,FALSE),"N/A!")</f>
        <v>1998</v>
      </c>
      <c r="P737" s="716">
        <f>IFERROR(VLOOKUP(C737,[3]List1!$A:$D,2,FALSE),"N/A!")</f>
        <v>18500</v>
      </c>
      <c r="Q737" s="716" t="s">
        <v>14237</v>
      </c>
      <c r="R737" s="716" t="s">
        <v>24</v>
      </c>
      <c r="S737" s="716" t="str">
        <f>IF($W$17=$AF$1,"červená fólie",IFERROR(VLOOKUP("červená fólie",Jazyky_ceník!$A:$Q,MATCH($W$17,Jazyky_ceník!$A$1:$Q$1,0),FALSE),"!!!"))</f>
        <v>červená fólie</v>
      </c>
      <c r="T737" s="716">
        <v>90</v>
      </c>
      <c r="U737" s="716">
        <v>40</v>
      </c>
      <c r="V737" s="716">
        <v>25</v>
      </c>
      <c r="W737" s="716" t="str">
        <f>IFERROR(VLOOKUP('General price list'!$C737,Popisy!A:P,MATCH($W$17,Popisy!$A$7:$P$7,0),FALSE),"---------------")</f>
        <v>15 různobarevných efektů</v>
      </c>
      <c r="X737" s="716" t="str">
        <f t="shared" si="1762"/>
        <v/>
      </c>
      <c r="Y737" s="716" t="str">
        <f t="shared" si="1763"/>
        <v/>
      </c>
      <c r="Z737" s="716" t="str">
        <f>HYPERLINK("https://www.klasekpyrotechnics.cz/c12230xpt-c14")</f>
        <v>https://www.klasekpyrotechnics.cz/c12230xpt-c14</v>
      </c>
      <c r="AA737" s="716">
        <f>IFERROR(IF(VLOOKUP(C737,[4]List1!$A:$D,4,FALSE)=0,"",VLOOKUP(C737,[4]List1!$A:$D,4,FALSE)),"")</f>
        <v>24</v>
      </c>
      <c r="AB737" s="720"/>
      <c r="AC737" s="739" t="str">
        <f>IFERROR(IF(VLOOKUP(C737,[1]List1!$A:$D,2,FALSE)="VYPRODÁNO",$V$9,IF(VLOOKUP(C737,[1]List1!$A:$D,2,FALSE)="DOCHÁZÍ",$V$3,VLOOKUP(C737,[1]List1!$A:$D,2,FALSE))),"OFFLINE!")</f>
        <v>SKLADEM</v>
      </c>
      <c r="AD737" s="740" t="str">
        <f ca="1">IF(AP737="NE",$V$10,IF(AC737=$V$3,IF(AQ737&lt;1,$V$8,$V$2&amp;" "&amp;AQ737&amp;" "&amp;$V$1),IF(AC737="SKLADEM",$V$6,IFERROR(IF(OR(AC737-TODAY()&gt;45,VLOOKUP(C737,[1]List1!$A:$E,4,FALSE)=0),AC737,DAY(AC737)&amp;"."&amp;MONTH(AC737)&amp;"."&amp;YEAR(AC737)&amp;" "&amp;$V$4&amp;VLOOKUP(C737,[1]List1!$A:$E,4,FALSE)&amp;" "&amp;$V$1),AC737))))</f>
        <v>SKLADEM</v>
      </c>
      <c r="AE737" s="716" t="str">
        <f t="shared" ca="1" si="1764"/>
        <v>SKLADEM</v>
      </c>
      <c r="AF737" s="723">
        <f t="shared" si="1765"/>
        <v>0</v>
      </c>
      <c r="AG737" s="723">
        <f t="shared" si="1766"/>
        <v>0</v>
      </c>
      <c r="AH737" s="724">
        <f t="shared" si="1767"/>
        <v>0</v>
      </c>
      <c r="AI737" s="716">
        <f t="shared" si="1768"/>
        <v>0</v>
      </c>
      <c r="AJ737" s="716">
        <f t="shared" si="1769"/>
        <v>0</v>
      </c>
      <c r="AK737" s="716" t="str">
        <f t="shared" si="1770"/>
        <v/>
      </c>
      <c r="AL737" s="716" t="str">
        <f t="shared" si="1771"/>
        <v/>
      </c>
      <c r="AM737" s="716">
        <f t="shared" si="1772"/>
        <v>0</v>
      </c>
      <c r="AN737" s="716">
        <f t="shared" si="1773"/>
        <v>0</v>
      </c>
      <c r="AO737" s="380"/>
      <c r="AP737" s="322" t="str">
        <f t="shared" si="1738"/>
        <v/>
      </c>
      <c r="AQ737" s="323" t="str">
        <f>IF(AC737=$V$3,IF(VLOOKUP(C737,[1]List1!$A:$E,5,FALSE)=0,1,VLOOKUP(C737,[1]List1!$A:$E,5,FALSE)),"")</f>
        <v/>
      </c>
      <c r="AR737" s="304" t="str">
        <f t="shared" si="1739"/>
        <v/>
      </c>
      <c r="AS737" s="423" t="str">
        <f t="shared" si="1740"/>
        <v/>
      </c>
      <c r="AT737" s="304" t="str">
        <f t="shared" si="1741"/>
        <v/>
      </c>
      <c r="AU737" s="342" t="e">
        <f t="shared" si="1742"/>
        <v>#N/A</v>
      </c>
      <c r="AV737" s="304" t="e">
        <f t="shared" si="1743"/>
        <v>#N/A</v>
      </c>
      <c r="AX737" s="304">
        <f>IF(AND('General price list'!$J737="F4",'General price list'!$AB737+0&gt;0),1,0)</f>
        <v>0</v>
      </c>
      <c r="AY737" s="304">
        <f t="shared" si="1744"/>
        <v>1</v>
      </c>
      <c r="AZ737" s="304">
        <f t="shared" si="1745"/>
        <v>0</v>
      </c>
    </row>
    <row r="738" spans="1:52" ht="15" customHeight="1">
      <c r="A738" s="773" t="str">
        <f>Kat.!C735</f>
        <v xml:space="preserve">                                                               Složený ohňostroj(s ochraným obalem) 30mm - F2 - 1.4G</v>
      </c>
      <c r="B738" s="774"/>
      <c r="C738" s="774"/>
      <c r="D738" s="774"/>
      <c r="E738" s="774"/>
      <c r="F738" s="774"/>
      <c r="G738" s="774"/>
      <c r="H738" s="774"/>
      <c r="I738" s="774"/>
      <c r="J738" s="774"/>
      <c r="K738" s="774"/>
      <c r="L738" s="774"/>
      <c r="M738" s="774"/>
      <c r="N738" s="774"/>
      <c r="O738" s="774"/>
      <c r="P738" s="774"/>
      <c r="Q738" s="774"/>
      <c r="R738" s="774"/>
      <c r="S738" s="774"/>
      <c r="T738" s="774"/>
      <c r="U738" s="774"/>
      <c r="V738" s="774"/>
      <c r="W738" s="774"/>
      <c r="X738" s="774"/>
      <c r="Y738" s="774"/>
      <c r="Z738" s="774"/>
      <c r="AA738" s="774" t="str">
        <f>IFERROR(IF(VLOOKUP(C738,[4]List1!$A:$D,4,FALSE)=0,"",VLOOKUP(C738,[4]List1!$A:$D,4,FALSE)),"")</f>
        <v/>
      </c>
      <c r="AB738" s="774"/>
      <c r="AC738" s="775" t="str">
        <f>IFERROR(IF(VLOOKUP(C738,[1]List1!$A:$D,2,FALSE)="VYPRODÁNO",$V$9,IF(VLOOKUP(C738,[1]List1!$A:$D,2,FALSE)="DOCHÁZÍ",$V$3,VLOOKUP(C738,[1]List1!$A:$D,2,FALSE))),"OFFLINE!")</f>
        <v>OFFLINE!</v>
      </c>
      <c r="AD738" s="774"/>
      <c r="AE738" s="774"/>
      <c r="AF738" s="774"/>
      <c r="AG738" s="774"/>
      <c r="AH738" s="774"/>
      <c r="AI738" s="774"/>
      <c r="AJ738" s="774"/>
      <c r="AK738" s="774"/>
      <c r="AL738" s="774"/>
      <c r="AM738" s="774"/>
      <c r="AN738" s="774"/>
      <c r="AO738" s="380"/>
      <c r="AP738" s="322" t="str">
        <f t="shared" si="1738"/>
        <v/>
      </c>
      <c r="AQ738" s="323" t="str">
        <f>IF(AC738=$V$3,IF(VLOOKUP(C738,[1]List1!$A:$E,5,FALSE)=0,1,VLOOKUP(C738,[1]List1!$A:$E,5,FALSE)),"")</f>
        <v/>
      </c>
      <c r="AR738" s="304" t="str">
        <f t="shared" si="1739"/>
        <v/>
      </c>
      <c r="AS738" s="423" t="str">
        <f t="shared" si="1740"/>
        <v/>
      </c>
      <c r="AT738" s="304" t="str">
        <f t="shared" si="1741"/>
        <v/>
      </c>
      <c r="AU738" s="342" t="e">
        <f t="shared" si="1742"/>
        <v>#N/A</v>
      </c>
      <c r="AV738" s="304" t="e">
        <f t="shared" si="1743"/>
        <v>#N/A</v>
      </c>
      <c r="AX738" s="304">
        <f>IF(AND('General price list'!$J738="F4",'General price list'!$AB738+0&gt;0),1,0)</f>
        <v>0</v>
      </c>
      <c r="AY738" s="304">
        <f t="shared" si="1744"/>
        <v>0</v>
      </c>
      <c r="AZ738" s="304">
        <f t="shared" si="1745"/>
        <v>0</v>
      </c>
    </row>
    <row r="739" spans="1:52" ht="15" customHeight="1">
      <c r="A739" s="712" t="str">
        <f>Kat.!C736</f>
        <v/>
      </c>
      <c r="B739" s="713">
        <f>IF(AND('General price list'!$J739="F4",$AI$1=FALSE),0,IF(AC739="SKLADEM",1,IF(AC739=$V$3,1,0)))</f>
        <v>1</v>
      </c>
      <c r="C739" s="714" t="s">
        <v>2740</v>
      </c>
      <c r="D739" s="715" t="s">
        <v>2565</v>
      </c>
      <c r="E739" s="716" t="s">
        <v>136</v>
      </c>
      <c r="F739" s="712">
        <f>IFERROR(ROUND(IF($AL$3=2,VLOOKUP(C739,[2]List1!$A:$D,2,FALSE)*1.08,VLOOKUP(C739,[2]List1!$A:$D,2,FALSE)),0),"NEUVEDENO!")</f>
        <v>1330</v>
      </c>
      <c r="G739" s="717">
        <f t="shared" ref="G739:G748" si="1774">(F739)*$B$19</f>
        <v>1330</v>
      </c>
      <c r="H739" s="718">
        <f t="shared" ref="H739:H748" si="1775">G739/$F$19</f>
        <v>54.045487608141777</v>
      </c>
      <c r="I739" s="719">
        <v>1</v>
      </c>
      <c r="J739" s="716" t="s">
        <v>46</v>
      </c>
      <c r="K739" s="716">
        <v>6</v>
      </c>
      <c r="L739" s="716" t="s">
        <v>24</v>
      </c>
      <c r="M739" s="716" t="s">
        <v>25</v>
      </c>
      <c r="N739" s="716">
        <f>IFERROR(VLOOKUP(C739,[3]List1!$A:$D,4,FALSE),"N/A!")</f>
        <v>1.6453125000000002E-2</v>
      </c>
      <c r="O739" s="716">
        <f>IFERROR(VLOOKUP(C739,[3]List1!$A:$D,3,FALSE),"N/A!")</f>
        <v>950</v>
      </c>
      <c r="P739" s="716">
        <f>IFERROR(VLOOKUP(C739,[3]List1!$A:$D,2,FALSE),"N/A!")</f>
        <v>6600</v>
      </c>
      <c r="Q739" s="716" t="s">
        <v>14238</v>
      </c>
      <c r="R739" s="716" t="s">
        <v>24</v>
      </c>
      <c r="S739" s="716" t="str">
        <f>IF($W$17=$AF$1,"červená fólie",IFERROR(VLOOKUP("červená fólie",Jazyky_ceník!$A:$Q,MATCH($W$17,Jazyky_ceník!$A$1:$Q$1,0),FALSE),"!!!"))</f>
        <v>červená fólie</v>
      </c>
      <c r="T739" s="716">
        <v>40</v>
      </c>
      <c r="U739" s="716">
        <v>40</v>
      </c>
      <c r="V739" s="716">
        <v>24</v>
      </c>
      <c r="W739" s="716" t="str">
        <f>IFERROR(VLOOKUP('General price list'!$C739,Popisy!A:P,MATCH($W$17,Popisy!$A$7:$P$7,0),FALSE),"---------------")</f>
        <v>zlatá blikajiící vrba</v>
      </c>
      <c r="X739" s="716" t="str">
        <f t="shared" ref="X739:X748" si="1776">IF(AB739&lt;0.0001,"",AB739)</f>
        <v/>
      </c>
      <c r="Y739" s="716" t="str">
        <f t="shared" ref="Y739:Y748" si="1777">IF($AL$3=2,IF(OR(AB739&lt;&gt;"",AB739&lt;&gt;0),AU739,""),IF(C739="","",IF(AB739&lt;0.0001,"",IF(B739=0,"",IF(AQ739&lt;AB739,"",AB739)))))</f>
        <v/>
      </c>
      <c r="Z739" s="716" t="str">
        <f>HYPERLINK("https://www.klasekpyrotechnics.cz/c503bw-c14_t")</f>
        <v>https://www.klasekpyrotechnics.cz/c503bw-c14_t</v>
      </c>
      <c r="AA739" s="716" t="str">
        <f>IFERROR(IF(VLOOKUP(C739,[4]List1!$A:$D,4,FALSE)=0,"",VLOOKUP(C739,[4]List1!$A:$D,4,FALSE)),"")</f>
        <v>84</v>
      </c>
      <c r="AB739" s="720"/>
      <c r="AC739" s="721" t="str">
        <f>IFERROR(IF(VLOOKUP(C739,[1]List1!$A:$D,2,FALSE)="VYPRODÁNO",$V$9,IF(VLOOKUP(C739,[1]List1!$A:$D,2,FALSE)="DOCHÁZÍ",$V$3,VLOOKUP(C739,[1]List1!$A:$D,2,FALSE))),"OFFLINE!")</f>
        <v>SKLADEM</v>
      </c>
      <c r="AD739" s="722" t="str">
        <f ca="1">IF(AP739="NE",$V$10,IF(AC739=$V$3,IF(AQ739&lt;1,$V$8,$V$2&amp;" "&amp;AQ739&amp;" "&amp;$V$1),IF(AC739="SKLADEM",$V$6,IFERROR(IF(OR(AC739-TODAY()&gt;45,VLOOKUP(C739,[1]List1!$A:$E,4,FALSE)=0),AC739,DAY(AC739)&amp;"."&amp;MONTH(AC739)&amp;"."&amp;YEAR(AC739)&amp;" "&amp;$V$4&amp;VLOOKUP(C739,[1]List1!$A:$E,4,FALSE)&amp;" "&amp;$V$1),AC739))))</f>
        <v>SKLADEM</v>
      </c>
      <c r="AE739" s="716" t="str">
        <f t="shared" ref="AE739:AE748" ca="1" si="1778">IFERROR(IF(AV739&lt;&gt;"",AV739,AD739),AD739)</f>
        <v>SKLADEM</v>
      </c>
      <c r="AF739" s="723">
        <f t="shared" ref="AF739:AF748" si="1779">IFERROR(IF(AB739=Y739,G739*I739*Y739,0),0)</f>
        <v>0</v>
      </c>
      <c r="AG739" s="723">
        <f t="shared" ref="AG739:AG748" si="1780">IF($W$17=$AF$8,AH739*1.23,AF739*1.21)</f>
        <v>0</v>
      </c>
      <c r="AH739" s="724">
        <f t="shared" ref="AH739:AH748" si="1781">IFERROR(IF(Y739=AB739,H739*I739*Y739,0),0)</f>
        <v>0</v>
      </c>
      <c r="AI739" s="716">
        <f t="shared" ref="AI739:AI748" si="1782">IFERROR(IF(Y739=AB739,(P739*Y739)/1000,1),0)</f>
        <v>0</v>
      </c>
      <c r="AJ739" s="716">
        <f t="shared" ref="AJ739:AJ748" si="1783">IFERROR(IF(Y739=AB739,N739*Y739,0.1),0)</f>
        <v>0</v>
      </c>
      <c r="AK739" s="716" t="str">
        <f t="shared" ref="AK739:AK748" si="1784">IFERROR(IF(Y739=AB739,IF(M739="1.1G",(O739/1000)*Y739,""),""),0)</f>
        <v/>
      </c>
      <c r="AL739" s="716" t="str">
        <f t="shared" ref="AL739:AL748" si="1785">IFERROR(IF(Y739=AB739,IF(M739="1.3G",(O739/1000)*AB739,""),""),0)</f>
        <v/>
      </c>
      <c r="AM739" s="716">
        <f t="shared" ref="AM739:AM748" si="1786">IFERROR(IF(Y739=AB739,IF(M739="1.4G",(O739/1000)*AB739,""),""),0)</f>
        <v>0</v>
      </c>
      <c r="AN739" s="716">
        <f t="shared" ref="AN739:AN748" si="1787">SUM(AK739:AM739)</f>
        <v>0</v>
      </c>
      <c r="AO739" s="380"/>
      <c r="AP739" s="322" t="str">
        <f t="shared" si="1738"/>
        <v/>
      </c>
      <c r="AQ739" s="323" t="str">
        <f>IF(AC739=$V$3,IF(VLOOKUP(C739,[1]List1!$A:$E,5,FALSE)=0,1,VLOOKUP(C739,[1]List1!$A:$E,5,FALSE)),"")</f>
        <v/>
      </c>
      <c r="AR739" s="304" t="str">
        <f t="shared" si="1739"/>
        <v/>
      </c>
      <c r="AS739" s="423" t="str">
        <f t="shared" si="1740"/>
        <v/>
      </c>
      <c r="AT739" s="304" t="str">
        <f t="shared" si="1741"/>
        <v/>
      </c>
      <c r="AU739" s="342" t="e">
        <f t="shared" si="1742"/>
        <v>#N/A</v>
      </c>
      <c r="AV739" s="304" t="e">
        <f t="shared" si="1743"/>
        <v>#N/A</v>
      </c>
      <c r="AX739" s="304">
        <f>IF(AND('General price list'!$J739="F4",'General price list'!$AB739+0&gt;0),1,0)</f>
        <v>0</v>
      </c>
      <c r="AY739" s="304">
        <f t="shared" si="1744"/>
        <v>1</v>
      </c>
      <c r="AZ739" s="304">
        <f t="shared" si="1745"/>
        <v>0</v>
      </c>
    </row>
    <row r="740" spans="1:52" ht="15" customHeight="1">
      <c r="A740" s="725" t="str">
        <f>Kat.!C737</f>
        <v/>
      </c>
      <c r="B740" s="726">
        <f>IF(AND('General price list'!$J740="F4",$AI$1=FALSE),0,IF(AC740="SKLADEM",1,IF(AC740=$V$3,1,0)))</f>
        <v>1</v>
      </c>
      <c r="C740" s="727" t="s">
        <v>5439</v>
      </c>
      <c r="D740" s="728" t="s">
        <v>5429</v>
      </c>
      <c r="E740" s="729" t="s">
        <v>136</v>
      </c>
      <c r="F740" s="725">
        <f>IFERROR(ROUND(IF($AL$3=2,VLOOKUP(C740,[2]List1!$A:$D,2,FALSE)*1.08,VLOOKUP(C740,[2]List1!$A:$D,2,FALSE)),0),"NEUVEDENO!")</f>
        <v>1330</v>
      </c>
      <c r="G740" s="730">
        <f t="shared" si="1774"/>
        <v>1330</v>
      </c>
      <c r="H740" s="731">
        <f t="shared" si="1775"/>
        <v>54.045487608141777</v>
      </c>
      <c r="I740" s="732">
        <v>1</v>
      </c>
      <c r="J740" s="729" t="s">
        <v>46</v>
      </c>
      <c r="K740" s="729">
        <v>6</v>
      </c>
      <c r="L740" s="729" t="s">
        <v>24</v>
      </c>
      <c r="M740" s="729" t="s">
        <v>25</v>
      </c>
      <c r="N740" s="729">
        <f>IFERROR(VLOOKUP(C740,[3]List1!$A:$D,4,FALSE),"N/A!")</f>
        <v>1.6453125000000002E-2</v>
      </c>
      <c r="O740" s="729">
        <f>IFERROR(VLOOKUP(C740,[3]List1!$A:$D,3,FALSE),"N/A!")</f>
        <v>950</v>
      </c>
      <c r="P740" s="729">
        <f>IFERROR(VLOOKUP(C740,[3]List1!$A:$D,2,FALSE),"N/A!")</f>
        <v>6600</v>
      </c>
      <c r="Q740" s="729" t="s">
        <v>14239</v>
      </c>
      <c r="R740" s="729" t="s">
        <v>24</v>
      </c>
      <c r="S740" s="729" t="str">
        <f>IF($W$17=$AF$1,"červená fólie",IFERROR(VLOOKUP("červená fólie",Jazyky_ceník!$A:$Q,MATCH($W$17,Jazyky_ceník!$A$1:$Q$1,0),FALSE),"!!!"))</f>
        <v>červená fólie</v>
      </c>
      <c r="T740" s="729">
        <v>25</v>
      </c>
      <c r="U740" s="729">
        <v>40</v>
      </c>
      <c r="V740" s="729">
        <v>24</v>
      </c>
      <c r="W740" s="729" t="str">
        <f>IFERROR(VLOOKUP('General price list'!$C740,Popisy!A:P,MATCH($W$17,Popisy!$A$7:$P$7,0),FALSE),"---------------")</f>
        <v>10 různobarevných efektů</v>
      </c>
      <c r="X740" s="729" t="str">
        <f t="shared" si="1776"/>
        <v/>
      </c>
      <c r="Y740" s="729" t="str">
        <f t="shared" si="1777"/>
        <v/>
      </c>
      <c r="Z740" s="729" t="str">
        <f>HYPERLINK("https://www.klasekpyrotechnics.cz/c503ts-c14")</f>
        <v>https://www.klasekpyrotechnics.cz/c503ts-c14</v>
      </c>
      <c r="AA740" s="729" t="str">
        <f>IFERROR(IF(VLOOKUP(C740,[4]List1!$A:$D,4,FALSE)=0,"",VLOOKUP(C740,[4]List1!$A:$D,4,FALSE)),"")</f>
        <v>84</v>
      </c>
      <c r="AB740" s="720"/>
      <c r="AC740" s="733" t="str">
        <f>IFERROR(IF(VLOOKUP(C740,[1]List1!$A:$D,2,FALSE)="VYPRODÁNO",$V$9,IF(VLOOKUP(C740,[1]List1!$A:$D,2,FALSE)="DOCHÁZÍ",$V$3,VLOOKUP(C740,[1]List1!$A:$D,2,FALSE))),"OFFLINE!")</f>
        <v>SKLADEM</v>
      </c>
      <c r="AD740" s="734" t="str">
        <f ca="1">IF(AP740="NE",$V$10,IF(AC740=$V$3,IF(AQ740&lt;1,$V$8,$V$2&amp;" "&amp;AQ740&amp;" "&amp;$V$1),IF(AC740="SKLADEM",$V$6,IFERROR(IF(OR(AC740-TODAY()&gt;45,VLOOKUP(C740,[1]List1!$A:$E,4,FALSE)=0),AC740,DAY(AC740)&amp;"."&amp;MONTH(AC740)&amp;"."&amp;YEAR(AC740)&amp;" "&amp;$V$4&amp;VLOOKUP(C740,[1]List1!$A:$E,4,FALSE)&amp;" "&amp;$V$1),AC740))))</f>
        <v>SKLADEM</v>
      </c>
      <c r="AE740" s="729" t="str">
        <f t="shared" ca="1" si="1778"/>
        <v>SKLADEM</v>
      </c>
      <c r="AF740" s="735">
        <f t="shared" si="1779"/>
        <v>0</v>
      </c>
      <c r="AG740" s="735">
        <f t="shared" si="1780"/>
        <v>0</v>
      </c>
      <c r="AH740" s="736">
        <f t="shared" si="1781"/>
        <v>0</v>
      </c>
      <c r="AI740" s="729">
        <f t="shared" si="1782"/>
        <v>0</v>
      </c>
      <c r="AJ740" s="729">
        <f t="shared" si="1783"/>
        <v>0</v>
      </c>
      <c r="AK740" s="729" t="str">
        <f t="shared" si="1784"/>
        <v/>
      </c>
      <c r="AL740" s="729" t="str">
        <f t="shared" si="1785"/>
        <v/>
      </c>
      <c r="AM740" s="729">
        <f t="shared" si="1786"/>
        <v>0</v>
      </c>
      <c r="AN740" s="729">
        <f t="shared" si="1787"/>
        <v>0</v>
      </c>
      <c r="AO740" s="380"/>
      <c r="AP740" s="322" t="str">
        <f t="shared" si="1738"/>
        <v/>
      </c>
      <c r="AQ740" s="323" t="str">
        <f>IF(AC740=$V$3,IF(VLOOKUP(C740,[1]List1!$A:$E,5,FALSE)=0,1,VLOOKUP(C740,[1]List1!$A:$E,5,FALSE)),"")</f>
        <v/>
      </c>
      <c r="AR740" s="304" t="str">
        <f t="shared" si="1739"/>
        <v/>
      </c>
      <c r="AS740" s="423" t="str">
        <f t="shared" si="1740"/>
        <v/>
      </c>
      <c r="AT740" s="304" t="str">
        <f t="shared" si="1741"/>
        <v/>
      </c>
      <c r="AU740" s="342" t="e">
        <f t="shared" si="1742"/>
        <v>#N/A</v>
      </c>
      <c r="AV740" s="304" t="e">
        <f t="shared" si="1743"/>
        <v>#N/A</v>
      </c>
      <c r="AX740" s="304">
        <f>IF(AND('General price list'!$J740="F4",'General price list'!$AB740+0&gt;0),1,0)</f>
        <v>0</v>
      </c>
      <c r="AY740" s="304">
        <f t="shared" si="1744"/>
        <v>1</v>
      </c>
      <c r="AZ740" s="304">
        <f t="shared" si="1745"/>
        <v>0</v>
      </c>
    </row>
    <row r="741" spans="1:52" ht="15" customHeight="1">
      <c r="A741" s="712" t="str">
        <f>Kat.!C738</f>
        <v/>
      </c>
      <c r="B741" s="737">
        <f>IF(AND('General price list'!$J741="F4",$AI$1=FALSE),0,IF(AC741="SKLADEM",1,IF(AC741=$V$3,1,0)))</f>
        <v>0</v>
      </c>
      <c r="C741" s="714" t="s">
        <v>2741</v>
      </c>
      <c r="D741" s="715" t="s">
        <v>1572</v>
      </c>
      <c r="E741" s="716" t="s">
        <v>136</v>
      </c>
      <c r="F741" s="712">
        <f>IFERROR(ROUND(IF($AL$3=2,VLOOKUP(C741,[2]List1!$A:$D,2,FALSE)*1.08,VLOOKUP(C741,[2]List1!$A:$D,2,FALSE)),0),"NEUVEDENO!")</f>
        <v>1330</v>
      </c>
      <c r="G741" s="717">
        <f t="shared" si="1774"/>
        <v>1330</v>
      </c>
      <c r="H741" s="718">
        <f t="shared" si="1775"/>
        <v>54.045487608141777</v>
      </c>
      <c r="I741" s="738">
        <v>1</v>
      </c>
      <c r="J741" s="716" t="s">
        <v>46</v>
      </c>
      <c r="K741" s="716">
        <v>6</v>
      </c>
      <c r="L741" s="716" t="s">
        <v>24</v>
      </c>
      <c r="M741" s="716" t="s">
        <v>25</v>
      </c>
      <c r="N741" s="716">
        <f>IFERROR(VLOOKUP(C741,[3]List1!$A:$D,4,FALSE),"N/A!")</f>
        <v>1.6453125000000002E-2</v>
      </c>
      <c r="O741" s="716">
        <f>IFERROR(VLOOKUP(C741,[3]List1!$A:$D,3,FALSE),"N/A!")</f>
        <v>950</v>
      </c>
      <c r="P741" s="716">
        <f>IFERROR(VLOOKUP(C741,[3]List1!$A:$D,2,FALSE),"N/A!")</f>
        <v>6600</v>
      </c>
      <c r="Q741" s="716" t="s">
        <v>2795</v>
      </c>
      <c r="R741" s="716" t="s">
        <v>24</v>
      </c>
      <c r="S741" s="716" t="str">
        <f>IF($W$17=$AF$1,"červená fólie",IFERROR(VLOOKUP("červená fólie",Jazyky_ceník!$A:$Q,MATCH($W$17,Jazyky_ceník!$A$1:$Q$1,0),FALSE),"!!!"))</f>
        <v>červená fólie</v>
      </c>
      <c r="T741" s="716">
        <v>60</v>
      </c>
      <c r="U741" s="716">
        <v>40</v>
      </c>
      <c r="V741" s="716">
        <v>24</v>
      </c>
      <c r="W741" s="716" t="str">
        <f>IFERROR(VLOOKUP('General price list'!$C741,Popisy!A:P,MATCH($W$17,Popisy!$A$7:$P$7,0),FALSE),"---------------")</f>
        <v>10 různobarevných efektů</v>
      </c>
      <c r="X741" s="716" t="str">
        <f t="shared" si="1776"/>
        <v/>
      </c>
      <c r="Y741" s="716" t="str">
        <f t="shared" si="1777"/>
        <v/>
      </c>
      <c r="Z741" s="716" t="str">
        <f>HYPERLINK("https://www.klasekpyrotechnics.cz/c503ro-c14_t")</f>
        <v>https://www.klasekpyrotechnics.cz/c503ro-c14_t</v>
      </c>
      <c r="AA741" s="716" t="str">
        <f>IFERROR(IF(VLOOKUP(C741,[4]List1!$A:$D,4,FALSE)=0,"",VLOOKUP(C741,[4]List1!$A:$D,4,FALSE)),"")</f>
        <v>84</v>
      </c>
      <c r="AB741" s="720"/>
      <c r="AC741" s="739" t="str">
        <f>IFERROR(IF(VLOOKUP(C741,[1]List1!$A:$D,2,FALSE)="VYPRODÁNO",$V$9,IF(VLOOKUP(C741,[1]List1!$A:$D,2,FALSE)="DOCHÁZÍ",$V$3,VLOOKUP(C741,[1]List1!$A:$D,2,FALSE))),"OFFLINE!")</f>
        <v>15.05.2024</v>
      </c>
      <c r="AD741" s="740" t="str">
        <f ca="1">IF(AP741="NE",$V$10,IF(AC741=$V$3,IF(AQ741&lt;1,$V$8,$V$2&amp;" "&amp;AQ741&amp;" "&amp;$V$1),IF(AC741="SKLADEM",$V$6,IFERROR(IF(OR(AC741-TODAY()&gt;45,VLOOKUP(C741,[1]List1!$A:$E,4,FALSE)=0),AC741,DAY(AC741)&amp;"."&amp;MONTH(AC741)&amp;"."&amp;YEAR(AC741)&amp;" "&amp;$V$4&amp;VLOOKUP(C741,[1]List1!$A:$E,4,FALSE)&amp;" "&amp;$V$1),AC741))))</f>
        <v>15.05.2024</v>
      </c>
      <c r="AE741" s="716" t="str">
        <f t="shared" ca="1" si="1778"/>
        <v>15.05.2024</v>
      </c>
      <c r="AF741" s="723">
        <f t="shared" si="1779"/>
        <v>0</v>
      </c>
      <c r="AG741" s="723">
        <f t="shared" si="1780"/>
        <v>0</v>
      </c>
      <c r="AH741" s="724">
        <f t="shared" si="1781"/>
        <v>0</v>
      </c>
      <c r="AI741" s="716">
        <f t="shared" si="1782"/>
        <v>0</v>
      </c>
      <c r="AJ741" s="716">
        <f t="shared" si="1783"/>
        <v>0</v>
      </c>
      <c r="AK741" s="716" t="str">
        <f t="shared" si="1784"/>
        <v/>
      </c>
      <c r="AL741" s="716" t="str">
        <f t="shared" si="1785"/>
        <v/>
      </c>
      <c r="AM741" s="716">
        <f t="shared" si="1786"/>
        <v>0</v>
      </c>
      <c r="AN741" s="716">
        <f t="shared" si="1787"/>
        <v>0</v>
      </c>
      <c r="AO741" s="380"/>
      <c r="AP741" s="322" t="str">
        <f t="shared" si="1738"/>
        <v/>
      </c>
      <c r="AQ741" s="323" t="str">
        <f>IF(AC741=$V$3,IF(VLOOKUP(C741,[1]List1!$A:$E,5,FALSE)=0,1,VLOOKUP(C741,[1]List1!$A:$E,5,FALSE)),"")</f>
        <v/>
      </c>
      <c r="AR741" s="304" t="str">
        <f t="shared" si="1739"/>
        <v/>
      </c>
      <c r="AS741" s="423" t="str">
        <f t="shared" si="1740"/>
        <v/>
      </c>
      <c r="AT741" s="304" t="str">
        <f t="shared" si="1741"/>
        <v/>
      </c>
      <c r="AU741" s="342" t="e">
        <f t="shared" si="1742"/>
        <v>#N/A</v>
      </c>
      <c r="AV741" s="304" t="e">
        <f t="shared" si="1743"/>
        <v>#N/A</v>
      </c>
      <c r="AX741" s="304">
        <f>IF(AND('General price list'!$J741="F4",'General price list'!$AB741+0&gt;0),1,0)</f>
        <v>0</v>
      </c>
      <c r="AY741" s="304">
        <f t="shared" si="1744"/>
        <v>1</v>
      </c>
      <c r="AZ741" s="304">
        <f t="shared" si="1745"/>
        <v>0</v>
      </c>
    </row>
    <row r="742" spans="1:52" ht="15" customHeight="1">
      <c r="A742" s="725" t="str">
        <f>Kat.!C739</f>
        <v/>
      </c>
      <c r="B742" s="726">
        <f>IF(AND('General price list'!$J742="F4",$AI$1=FALSE),0,IF(AC742="SKLADEM",1,IF(AC742=$V$3,1,0)))</f>
        <v>1</v>
      </c>
      <c r="C742" s="727" t="s">
        <v>2742</v>
      </c>
      <c r="D742" s="728" t="s">
        <v>1574</v>
      </c>
      <c r="E742" s="729" t="s">
        <v>136</v>
      </c>
      <c r="F742" s="725">
        <f>IFERROR(ROUND(IF($AL$3=2,VLOOKUP(C742,[2]List1!$A:$D,2,FALSE)*1.08,VLOOKUP(C742,[2]List1!$A:$D,2,FALSE)),0),"NEUVEDENO!")</f>
        <v>1330</v>
      </c>
      <c r="G742" s="730">
        <f t="shared" si="1774"/>
        <v>1330</v>
      </c>
      <c r="H742" s="731">
        <f t="shared" si="1775"/>
        <v>54.045487608141777</v>
      </c>
      <c r="I742" s="732">
        <v>1</v>
      </c>
      <c r="J742" s="729" t="s">
        <v>46</v>
      </c>
      <c r="K742" s="729">
        <v>6</v>
      </c>
      <c r="L742" s="729" t="s">
        <v>24</v>
      </c>
      <c r="M742" s="729" t="s">
        <v>25</v>
      </c>
      <c r="N742" s="729">
        <f>IFERROR(VLOOKUP(C742,[3]List1!$A:$D,4,FALSE),"N/A!")</f>
        <v>1.6453125000000002E-2</v>
      </c>
      <c r="O742" s="729">
        <f>IFERROR(VLOOKUP(C742,[3]List1!$A:$D,3,FALSE),"N/A!")</f>
        <v>950</v>
      </c>
      <c r="P742" s="729">
        <f>IFERROR(VLOOKUP(C742,[3]List1!$A:$D,2,FALSE),"N/A!")</f>
        <v>7000</v>
      </c>
      <c r="Q742" s="729" t="s">
        <v>2795</v>
      </c>
      <c r="R742" s="729" t="s">
        <v>24</v>
      </c>
      <c r="S742" s="729" t="str">
        <f>IF($W$17=$AF$1,"červená fólie",IFERROR(VLOOKUP("červená fólie",Jazyky_ceník!$A:$Q,MATCH($W$17,Jazyky_ceník!$A$1:$Q$1,0),FALSE),"!!!"))</f>
        <v>červená fólie</v>
      </c>
      <c r="T742" s="729">
        <v>60</v>
      </c>
      <c r="U742" s="729">
        <v>40</v>
      </c>
      <c r="V742" s="729">
        <v>24</v>
      </c>
      <c r="W742" s="729" t="str">
        <f>IFERROR(VLOOKUP('General price list'!$C742,Popisy!A:P,MATCH($W$17,Popisy!$A$7:$P$7,0),FALSE),"---------------")</f>
        <v>10 různobarevných efektů</v>
      </c>
      <c r="X742" s="729" t="str">
        <f t="shared" si="1776"/>
        <v/>
      </c>
      <c r="Y742" s="729" t="str">
        <f t="shared" si="1777"/>
        <v/>
      </c>
      <c r="Z742" s="729" t="str">
        <f>HYPERLINK("https://www.klasekpyrotechnics.cz/c503f-c14_t")</f>
        <v>https://www.klasekpyrotechnics.cz/c503f-c14_t</v>
      </c>
      <c r="AA742" s="729" t="str">
        <f>IFERROR(IF(VLOOKUP(C742,[4]List1!$A:$D,4,FALSE)=0,"",VLOOKUP(C742,[4]List1!$A:$D,4,FALSE)),"")</f>
        <v>84</v>
      </c>
      <c r="AB742" s="720"/>
      <c r="AC742" s="733" t="str">
        <f>IFERROR(IF(VLOOKUP(C742,[1]List1!$A:$D,2,FALSE)="VYPRODÁNO",$V$9,IF(VLOOKUP(C742,[1]List1!$A:$D,2,FALSE)="DOCHÁZÍ",$V$3,VLOOKUP(C742,[1]List1!$A:$D,2,FALSE))),"OFFLINE!")</f>
        <v>SKLADEM</v>
      </c>
      <c r="AD742" s="734" t="str">
        <f ca="1">IF(AP742="NE",$V$10,IF(AC742=$V$3,IF(AQ742&lt;1,$V$8,$V$2&amp;" "&amp;AQ742&amp;" "&amp;$V$1),IF(AC742="SKLADEM",$V$6,IFERROR(IF(OR(AC742-TODAY()&gt;45,VLOOKUP(C742,[1]List1!$A:$E,4,FALSE)=0),AC742,DAY(AC742)&amp;"."&amp;MONTH(AC742)&amp;"."&amp;YEAR(AC742)&amp;" "&amp;$V$4&amp;VLOOKUP(C742,[1]List1!$A:$E,4,FALSE)&amp;" "&amp;$V$1),AC742))))</f>
        <v>SKLADEM</v>
      </c>
      <c r="AE742" s="729" t="str">
        <f t="shared" ca="1" si="1778"/>
        <v>SKLADEM</v>
      </c>
      <c r="AF742" s="735">
        <f t="shared" si="1779"/>
        <v>0</v>
      </c>
      <c r="AG742" s="735">
        <f t="shared" si="1780"/>
        <v>0</v>
      </c>
      <c r="AH742" s="736">
        <f t="shared" si="1781"/>
        <v>0</v>
      </c>
      <c r="AI742" s="729">
        <f t="shared" si="1782"/>
        <v>0</v>
      </c>
      <c r="AJ742" s="729">
        <f t="shared" si="1783"/>
        <v>0</v>
      </c>
      <c r="AK742" s="729" t="str">
        <f t="shared" si="1784"/>
        <v/>
      </c>
      <c r="AL742" s="729" t="str">
        <f t="shared" si="1785"/>
        <v/>
      </c>
      <c r="AM742" s="729">
        <f t="shared" si="1786"/>
        <v>0</v>
      </c>
      <c r="AN742" s="729">
        <f t="shared" si="1787"/>
        <v>0</v>
      </c>
      <c r="AO742" s="380"/>
      <c r="AP742" s="322" t="str">
        <f t="shared" si="1738"/>
        <v/>
      </c>
      <c r="AQ742" s="323" t="str">
        <f>IF(AC742=$V$3,IF(VLOOKUP(C742,[1]List1!$A:$E,5,FALSE)=0,1,VLOOKUP(C742,[1]List1!$A:$E,5,FALSE)),"")</f>
        <v/>
      </c>
      <c r="AR742" s="304" t="str">
        <f t="shared" si="1739"/>
        <v/>
      </c>
      <c r="AS742" s="423" t="str">
        <f t="shared" si="1740"/>
        <v/>
      </c>
      <c r="AT742" s="304" t="str">
        <f t="shared" si="1741"/>
        <v/>
      </c>
      <c r="AU742" s="342" t="e">
        <f t="shared" si="1742"/>
        <v>#N/A</v>
      </c>
      <c r="AV742" s="304" t="e">
        <f t="shared" si="1743"/>
        <v>#N/A</v>
      </c>
      <c r="AX742" s="304">
        <f>IF(AND('General price list'!$J742="F4",'General price list'!$AB742+0&gt;0),1,0)</f>
        <v>0</v>
      </c>
      <c r="AY742" s="304">
        <f t="shared" si="1744"/>
        <v>1</v>
      </c>
      <c r="AZ742" s="304">
        <f t="shared" si="1745"/>
        <v>0</v>
      </c>
    </row>
    <row r="743" spans="1:52" ht="15" customHeight="1">
      <c r="A743" s="712" t="str">
        <f>Kat.!C740</f>
        <v/>
      </c>
      <c r="B743" s="737">
        <f>IF(AND('General price list'!$J743="F4",$AI$1=FALSE),0,IF(AC743="SKLADEM",1,IF(AC743=$V$3,1,0)))</f>
        <v>1</v>
      </c>
      <c r="C743" s="714" t="s">
        <v>2743</v>
      </c>
      <c r="D743" s="715" t="s">
        <v>14606</v>
      </c>
      <c r="E743" s="716" t="s">
        <v>136</v>
      </c>
      <c r="F743" s="712">
        <f>IFERROR(ROUND(IF($AL$3=2,VLOOKUP(C743,[2]List1!$A:$D,2,FALSE)*1.08,VLOOKUP(C743,[2]List1!$A:$D,2,FALSE)),0),"NEUVEDENO!")</f>
        <v>1330</v>
      </c>
      <c r="G743" s="717">
        <f t="shared" si="1774"/>
        <v>1330</v>
      </c>
      <c r="H743" s="718">
        <f t="shared" si="1775"/>
        <v>54.045487608141777</v>
      </c>
      <c r="I743" s="738">
        <v>1</v>
      </c>
      <c r="J743" s="716" t="s">
        <v>46</v>
      </c>
      <c r="K743" s="716">
        <v>6</v>
      </c>
      <c r="L743" s="716" t="s">
        <v>24</v>
      </c>
      <c r="M743" s="716" t="s">
        <v>25</v>
      </c>
      <c r="N743" s="716">
        <f>IFERROR(VLOOKUP(C743,[3]List1!$A:$D,4,FALSE),"N/A!")</f>
        <v>1.6453125000000002E-2</v>
      </c>
      <c r="O743" s="716">
        <f>IFERROR(VLOOKUP(C743,[3]List1!$A:$D,3,FALSE),"N/A!")</f>
        <v>950</v>
      </c>
      <c r="P743" s="716">
        <f>IFERROR(VLOOKUP(C743,[3]List1!$A:$D,2,FALSE),"N/A!")</f>
        <v>7000</v>
      </c>
      <c r="Q743" s="716" t="s">
        <v>14238</v>
      </c>
      <c r="R743" s="716" t="s">
        <v>24</v>
      </c>
      <c r="S743" s="716" t="str">
        <f>IF($W$17=$AF$1,"červená fólie",IFERROR(VLOOKUP("červená fólie",Jazyky_ceník!$A:$Q,MATCH($W$17,Jazyky_ceník!$A$1:$Q$1,0),FALSE),"!!!"))</f>
        <v>červená fólie</v>
      </c>
      <c r="T743" s="716">
        <v>45</v>
      </c>
      <c r="U743" s="716">
        <v>40</v>
      </c>
      <c r="V743" s="716">
        <v>24</v>
      </c>
      <c r="W743" s="716" t="str">
        <f>IFERROR(VLOOKUP('General price list'!$C743,Popisy!A:P,MATCH($W$17,Popisy!$A$7:$P$7,0),FALSE),"---------------")</f>
        <v>10 různobarevných efektů</v>
      </c>
      <c r="X743" s="716" t="str">
        <f t="shared" si="1776"/>
        <v/>
      </c>
      <c r="Y743" s="716" t="str">
        <f t="shared" si="1777"/>
        <v/>
      </c>
      <c r="Z743" s="716" t="str">
        <f>HYPERLINK("https://www.klasekpyrotechnics.cz/c503nid-c14_t")</f>
        <v>https://www.klasekpyrotechnics.cz/c503nid-c14_t</v>
      </c>
      <c r="AA743" s="716" t="str">
        <f>IFERROR(IF(VLOOKUP(C743,[4]List1!$A:$D,4,FALSE)=0,"",VLOOKUP(C743,[4]List1!$A:$D,4,FALSE)),"")</f>
        <v>84</v>
      </c>
      <c r="AB743" s="720"/>
      <c r="AC743" s="739" t="str">
        <f>IFERROR(IF(VLOOKUP(C743,[1]List1!$A:$D,2,FALSE)="VYPRODÁNO",$V$9,IF(VLOOKUP(C743,[1]List1!$A:$D,2,FALSE)="DOCHÁZÍ",$V$3,VLOOKUP(C743,[1]List1!$A:$D,2,FALSE))),"OFFLINE!")</f>
        <v>DOCHÁZÍ</v>
      </c>
      <c r="AD743" s="740" t="str">
        <f ca="1">IF(AP743="NE",$V$10,IF(AC743=$V$3,IF(AQ743&lt;1,$V$8,$V$2&amp;" "&amp;AQ743&amp;" "&amp;$V$1),IF(AC743="SKLADEM",$V$6,IFERROR(IF(OR(AC743-TODAY()&gt;45,VLOOKUP(C743,[1]List1!$A:$E,4,FALSE)=0),AC743,DAY(AC743)&amp;"."&amp;MONTH(AC743)&amp;"."&amp;YEAR(AC743)&amp;" "&amp;$V$4&amp;VLOOKUP(C743,[1]List1!$A:$E,4,FALSE)&amp;" "&amp;$V$1),AC743))))</f>
        <v>POSLEDNÍCH 20 VK</v>
      </c>
      <c r="AE743" s="716" t="str">
        <f t="shared" ca="1" si="1778"/>
        <v>POSLEDNÍCH 20 VK</v>
      </c>
      <c r="AF743" s="723">
        <f t="shared" si="1779"/>
        <v>0</v>
      </c>
      <c r="AG743" s="723">
        <f t="shared" si="1780"/>
        <v>0</v>
      </c>
      <c r="AH743" s="724">
        <f t="shared" si="1781"/>
        <v>0</v>
      </c>
      <c r="AI743" s="716">
        <f t="shared" si="1782"/>
        <v>0</v>
      </c>
      <c r="AJ743" s="716">
        <f t="shared" si="1783"/>
        <v>0</v>
      </c>
      <c r="AK743" s="716" t="str">
        <f t="shared" si="1784"/>
        <v/>
      </c>
      <c r="AL743" s="716" t="str">
        <f t="shared" si="1785"/>
        <v/>
      </c>
      <c r="AM743" s="716">
        <f t="shared" si="1786"/>
        <v>0</v>
      </c>
      <c r="AN743" s="716">
        <f t="shared" si="1787"/>
        <v>0</v>
      </c>
      <c r="AO743" s="380"/>
      <c r="AP743" s="322" t="str">
        <f t="shared" si="1738"/>
        <v/>
      </c>
      <c r="AQ743" s="323">
        <f>IF(AC743=$V$3,IF(VLOOKUP(C743,[1]List1!$A:$E,5,FALSE)=0,1,VLOOKUP(C743,[1]List1!$A:$E,5,FALSE)),"")</f>
        <v>20</v>
      </c>
      <c r="AR743" s="304" t="str">
        <f t="shared" si="1739"/>
        <v/>
      </c>
      <c r="AS743" s="423" t="str">
        <f t="shared" si="1740"/>
        <v/>
      </c>
      <c r="AT743" s="304" t="str">
        <f t="shared" si="1741"/>
        <v/>
      </c>
      <c r="AU743" s="342" t="e">
        <f t="shared" si="1742"/>
        <v>#N/A</v>
      </c>
      <c r="AV743" s="304" t="e">
        <f t="shared" si="1743"/>
        <v>#N/A</v>
      </c>
      <c r="AX743" s="304">
        <f>IF(AND('General price list'!$J743="F4",'General price list'!$AB743+0&gt;0),1,0)</f>
        <v>0</v>
      </c>
      <c r="AY743" s="304">
        <f t="shared" si="1744"/>
        <v>1</v>
      </c>
      <c r="AZ743" s="304">
        <f t="shared" si="1745"/>
        <v>0</v>
      </c>
    </row>
    <row r="744" spans="1:52" ht="15" customHeight="1">
      <c r="A744" s="725" t="str">
        <f>Kat.!C741</f>
        <v/>
      </c>
      <c r="B744" s="726">
        <f>IF(AND('General price list'!$J744="F4",$AI$1=FALSE),0,IF(AC744="SKLADEM",1,IF(AC744=$V$3,1,0)))</f>
        <v>1</v>
      </c>
      <c r="C744" s="727" t="s">
        <v>2744</v>
      </c>
      <c r="D744" s="728" t="s">
        <v>14604</v>
      </c>
      <c r="E744" s="729" t="s">
        <v>136</v>
      </c>
      <c r="F744" s="725">
        <f>IFERROR(ROUND(IF($AL$3=2,VLOOKUP(C744,[2]List1!$A:$D,2,FALSE)*1.08,VLOOKUP(C744,[2]List1!$A:$D,2,FALSE)),0),"NEUVEDENO!")</f>
        <v>1695</v>
      </c>
      <c r="G744" s="730">
        <f t="shared" si="1774"/>
        <v>1695</v>
      </c>
      <c r="H744" s="731">
        <f t="shared" si="1775"/>
        <v>68.877519921654368</v>
      </c>
      <c r="I744" s="732">
        <v>1</v>
      </c>
      <c r="J744" s="729" t="s">
        <v>46</v>
      </c>
      <c r="K744" s="729">
        <v>6</v>
      </c>
      <c r="L744" s="729" t="s">
        <v>24</v>
      </c>
      <c r="M744" s="729" t="s">
        <v>25</v>
      </c>
      <c r="N744" s="729">
        <f>IFERROR(VLOOKUP(C744,[3]List1!$A:$D,4,FALSE),"N/A!")</f>
        <v>1.6453125000000002E-2</v>
      </c>
      <c r="O744" s="729">
        <f>IFERROR(VLOOKUP(C744,[3]List1!$A:$D,3,FALSE),"N/A!")</f>
        <v>1000</v>
      </c>
      <c r="P744" s="729">
        <f>IFERROR(VLOOKUP(C744,[3]List1!$A:$D,2,FALSE),"N/A!")</f>
        <v>7000</v>
      </c>
      <c r="Q744" s="729" t="s">
        <v>2795</v>
      </c>
      <c r="R744" s="729" t="s">
        <v>24</v>
      </c>
      <c r="S744" s="729" t="str">
        <f>IF($W$17=$AF$1,"červená fólie",IFERROR(VLOOKUP("červená fólie",Jazyky_ceník!$A:$Q,MATCH($W$17,Jazyky_ceník!$A$1:$Q$1,0),FALSE),"!!!"))</f>
        <v>červená fólie</v>
      </c>
      <c r="T744" s="729">
        <v>50</v>
      </c>
      <c r="U744" s="729">
        <v>44</v>
      </c>
      <c r="V744" s="729">
        <v>26</v>
      </c>
      <c r="W744" s="729" t="str">
        <f>IFERROR(VLOOKUP('General price list'!$C744,Popisy!A:P,MATCH($W$17,Popisy!$A$7:$P$7,0),FALSE),"---------------")</f>
        <v>10 různobarevných efektů</v>
      </c>
      <c r="X744" s="729" t="str">
        <f t="shared" si="1776"/>
        <v/>
      </c>
      <c r="Y744" s="729" t="str">
        <f t="shared" si="1777"/>
        <v/>
      </c>
      <c r="Z744" s="729" t="str">
        <f>HYPERLINK("https://www.klasekpyrotechnics.cz/c503sig-c14_t")</f>
        <v>https://www.klasekpyrotechnics.cz/c503sig-c14_t</v>
      </c>
      <c r="AA744" s="729" t="str">
        <f>IFERROR(IF(VLOOKUP(C744,[4]List1!$A:$D,4,FALSE)=0,"",VLOOKUP(C744,[4]List1!$A:$D,4,FALSE)),"")</f>
        <v>84</v>
      </c>
      <c r="AB744" s="720"/>
      <c r="AC744" s="733" t="str">
        <f>IFERROR(IF(VLOOKUP(C744,[1]List1!$A:$D,2,FALSE)="VYPRODÁNO",$V$9,IF(VLOOKUP(C744,[1]List1!$A:$D,2,FALSE)="DOCHÁZÍ",$V$3,VLOOKUP(C744,[1]List1!$A:$D,2,FALSE))),"OFFLINE!")</f>
        <v>SKLADEM</v>
      </c>
      <c r="AD744" s="734" t="str">
        <f ca="1">IF(AP744="NE",$V$10,IF(AC744=$V$3,IF(AQ744&lt;1,$V$8,$V$2&amp;" "&amp;AQ744&amp;" "&amp;$V$1),IF(AC744="SKLADEM",$V$6,IFERROR(IF(OR(AC744-TODAY()&gt;45,VLOOKUP(C744,[1]List1!$A:$E,4,FALSE)=0),AC744,DAY(AC744)&amp;"."&amp;MONTH(AC744)&amp;"."&amp;YEAR(AC744)&amp;" "&amp;$V$4&amp;VLOOKUP(C744,[1]List1!$A:$E,4,FALSE)&amp;" "&amp;$V$1),AC744))))</f>
        <v>SKLADEM</v>
      </c>
      <c r="AE744" s="729" t="str">
        <f t="shared" ca="1" si="1778"/>
        <v>SKLADEM</v>
      </c>
      <c r="AF744" s="735">
        <f t="shared" si="1779"/>
        <v>0</v>
      </c>
      <c r="AG744" s="735">
        <f t="shared" si="1780"/>
        <v>0</v>
      </c>
      <c r="AH744" s="736">
        <f t="shared" si="1781"/>
        <v>0</v>
      </c>
      <c r="AI744" s="729">
        <f t="shared" si="1782"/>
        <v>0</v>
      </c>
      <c r="AJ744" s="729">
        <f t="shared" si="1783"/>
        <v>0</v>
      </c>
      <c r="AK744" s="729" t="str">
        <f t="shared" si="1784"/>
        <v/>
      </c>
      <c r="AL744" s="729" t="str">
        <f t="shared" si="1785"/>
        <v/>
      </c>
      <c r="AM744" s="729">
        <f t="shared" si="1786"/>
        <v>0</v>
      </c>
      <c r="AN744" s="729">
        <f t="shared" si="1787"/>
        <v>0</v>
      </c>
      <c r="AO744" s="380"/>
      <c r="AP744" s="322" t="str">
        <f t="shared" si="1738"/>
        <v/>
      </c>
      <c r="AQ744" s="323" t="str">
        <f>IF(AC744=$V$3,IF(VLOOKUP(C744,[1]List1!$A:$E,5,FALSE)=0,1,VLOOKUP(C744,[1]List1!$A:$E,5,FALSE)),"")</f>
        <v/>
      </c>
      <c r="AR744" s="304" t="str">
        <f t="shared" si="1739"/>
        <v/>
      </c>
      <c r="AS744" s="423" t="str">
        <f t="shared" si="1740"/>
        <v/>
      </c>
      <c r="AT744" s="304" t="str">
        <f t="shared" si="1741"/>
        <v/>
      </c>
      <c r="AU744" s="342" t="e">
        <f t="shared" si="1742"/>
        <v>#N/A</v>
      </c>
      <c r="AV744" s="304" t="e">
        <f t="shared" si="1743"/>
        <v>#N/A</v>
      </c>
      <c r="AX744" s="304">
        <f>IF(AND('General price list'!$J744="F4",'General price list'!$AB744+0&gt;0),1,0)</f>
        <v>0</v>
      </c>
      <c r="AY744" s="304">
        <f t="shared" si="1744"/>
        <v>1</v>
      </c>
      <c r="AZ744" s="304">
        <f t="shared" si="1745"/>
        <v>0</v>
      </c>
    </row>
    <row r="745" spans="1:52" ht="15" customHeight="1">
      <c r="A745" s="712" t="str">
        <f>Kat.!C742</f>
        <v/>
      </c>
      <c r="B745" s="737">
        <f>IF(AND('General price list'!$J745="F4",$AI$1=FALSE),0,IF(AC745="SKLADEM",1,IF(AC745=$V$3,1,0)))</f>
        <v>0</v>
      </c>
      <c r="C745" s="714" t="s">
        <v>2746</v>
      </c>
      <c r="D745" s="715" t="s">
        <v>12851</v>
      </c>
      <c r="E745" s="716" t="s">
        <v>136</v>
      </c>
      <c r="F745" s="712">
        <f>IFERROR(ROUND(IF($AL$3=2,VLOOKUP(C745,[2]List1!$A:$D,2,FALSE)*1.08,VLOOKUP(C745,[2]List1!$A:$D,2,FALSE)),0),"NEUVEDENO!")</f>
        <v>2686</v>
      </c>
      <c r="G745" s="717">
        <f t="shared" si="1774"/>
        <v>2686</v>
      </c>
      <c r="H745" s="718">
        <f t="shared" si="1775"/>
        <v>109.14750354546527</v>
      </c>
      <c r="I745" s="738">
        <v>1</v>
      </c>
      <c r="J745" s="716" t="s">
        <v>46</v>
      </c>
      <c r="K745" s="716">
        <v>6</v>
      </c>
      <c r="L745" s="716" t="s">
        <v>24</v>
      </c>
      <c r="M745" s="716" t="s">
        <v>25</v>
      </c>
      <c r="N745" s="716">
        <f>IFERROR(VLOOKUP(C745,[3]List1!$A:$D,4,FALSE),"N/A!")</f>
        <v>3.1640625000000006E-2</v>
      </c>
      <c r="O745" s="716">
        <f>IFERROR(VLOOKUP(C745,[3]List1!$A:$D,3,FALSE),"N/A!")</f>
        <v>1900</v>
      </c>
      <c r="P745" s="716">
        <f>IFERROR(VLOOKUP(C745,[3]List1!$A:$D,2,FALSE),"N/A!")</f>
        <v>13200</v>
      </c>
      <c r="Q745" s="716" t="s">
        <v>11322</v>
      </c>
      <c r="R745" s="716" t="s">
        <v>24</v>
      </c>
      <c r="S745" s="716" t="str">
        <f>IF($W$17=$AF$1,"červená fólie",IFERROR(VLOOKUP("červená fólie",Jazyky_ceník!$A:$Q,MATCH($W$17,Jazyky_ceník!$A$1:$Q$1,0),FALSE),"!!!"))</f>
        <v>červená fólie</v>
      </c>
      <c r="T745" s="716">
        <v>90</v>
      </c>
      <c r="U745" s="716">
        <v>40</v>
      </c>
      <c r="V745" s="716">
        <v>24</v>
      </c>
      <c r="W745" s="716" t="str">
        <f>IFERROR(VLOOKUP('General price list'!$C745,Popisy!A:P,MATCH($W$17,Popisy!$A$7:$P$7,0),FALSE),"---------------")</f>
        <v>20 různobarevných efektů</v>
      </c>
      <c r="X745" s="716" t="str">
        <f t="shared" si="1776"/>
        <v/>
      </c>
      <c r="Y745" s="716" t="str">
        <f t="shared" si="1777"/>
        <v/>
      </c>
      <c r="Z745" s="716" t="str">
        <f>HYPERLINK("https://www.klasekpyrotechnics.cz/c1003b-c14_t")</f>
        <v>https://www.klasekpyrotechnics.cz/c1003b-c14_t</v>
      </c>
      <c r="AA745" s="716">
        <f>IFERROR(IF(VLOOKUP(C745,[4]List1!$A:$D,4,FALSE)=0,"",VLOOKUP(C745,[4]List1!$A:$D,4,FALSE)),"")</f>
        <v>42</v>
      </c>
      <c r="AB745" s="720"/>
      <c r="AC745" s="739" t="str">
        <f>IFERROR(IF(VLOOKUP(C745,[1]List1!$A:$D,2,FALSE)="VYPRODÁNO",$V$9,IF(VLOOKUP(C745,[1]List1!$A:$D,2,FALSE)="DOCHÁZÍ",$V$3,VLOOKUP(C745,[1]List1!$A:$D,2,FALSE))),"OFFLINE!")</f>
        <v>15.05.2024</v>
      </c>
      <c r="AD745" s="740" t="str">
        <f ca="1">IF(AP745="NE",$V$10,IF(AC745=$V$3,IF(AQ745&lt;1,$V$8,$V$2&amp;" "&amp;AQ745&amp;" "&amp;$V$1),IF(AC745="SKLADEM",$V$6,IFERROR(IF(OR(AC745-TODAY()&gt;45,VLOOKUP(C745,[1]List1!$A:$E,4,FALSE)=0),AC745,DAY(AC745)&amp;"."&amp;MONTH(AC745)&amp;"."&amp;YEAR(AC745)&amp;" "&amp;$V$4&amp;VLOOKUP(C745,[1]List1!$A:$E,4,FALSE)&amp;" "&amp;$V$1),AC745))))</f>
        <v>15.05.2024</v>
      </c>
      <c r="AE745" s="716" t="str">
        <f t="shared" ca="1" si="1778"/>
        <v>15.05.2024</v>
      </c>
      <c r="AF745" s="723">
        <f t="shared" si="1779"/>
        <v>0</v>
      </c>
      <c r="AG745" s="723">
        <f t="shared" si="1780"/>
        <v>0</v>
      </c>
      <c r="AH745" s="724">
        <f t="shared" si="1781"/>
        <v>0</v>
      </c>
      <c r="AI745" s="716">
        <f t="shared" si="1782"/>
        <v>0</v>
      </c>
      <c r="AJ745" s="716">
        <f t="shared" si="1783"/>
        <v>0</v>
      </c>
      <c r="AK745" s="716" t="str">
        <f t="shared" si="1784"/>
        <v/>
      </c>
      <c r="AL745" s="716" t="str">
        <f t="shared" si="1785"/>
        <v/>
      </c>
      <c r="AM745" s="716">
        <f t="shared" si="1786"/>
        <v>0</v>
      </c>
      <c r="AN745" s="716">
        <f t="shared" si="1787"/>
        <v>0</v>
      </c>
      <c r="AO745" s="380"/>
      <c r="AP745" s="322" t="str">
        <f t="shared" si="1738"/>
        <v/>
      </c>
      <c r="AQ745" s="323" t="str">
        <f>IF(AC745=$V$3,IF(VLOOKUP(C745,[1]List1!$A:$E,5,FALSE)=0,1,VLOOKUP(C745,[1]List1!$A:$E,5,FALSE)),"")</f>
        <v/>
      </c>
      <c r="AR745" s="304" t="str">
        <f t="shared" si="1739"/>
        <v/>
      </c>
      <c r="AS745" s="423" t="str">
        <f t="shared" si="1740"/>
        <v/>
      </c>
      <c r="AT745" s="304" t="str">
        <f t="shared" si="1741"/>
        <v/>
      </c>
      <c r="AU745" s="342" t="e">
        <f t="shared" si="1742"/>
        <v>#N/A</v>
      </c>
      <c r="AV745" s="304" t="e">
        <f t="shared" si="1743"/>
        <v>#N/A</v>
      </c>
      <c r="AX745" s="304">
        <f>IF(AND('General price list'!$J745="F4",'General price list'!$AB745+0&gt;0),1,0)</f>
        <v>0</v>
      </c>
      <c r="AY745" s="304">
        <f t="shared" si="1744"/>
        <v>1</v>
      </c>
      <c r="AZ745" s="304">
        <f t="shared" si="1745"/>
        <v>0</v>
      </c>
    </row>
    <row r="746" spans="1:52" ht="15" customHeight="1">
      <c r="A746" s="725" t="str">
        <f>Kat.!C743</f>
        <v/>
      </c>
      <c r="B746" s="726">
        <f>IF(AND('General price list'!$J746="F4",$AI$1=FALSE),0,IF(AC746="SKLADEM",1,IF(AC746=$V$3,1,0)))</f>
        <v>1</v>
      </c>
      <c r="C746" s="727" t="s">
        <v>2748</v>
      </c>
      <c r="D746" s="728" t="s">
        <v>2568</v>
      </c>
      <c r="E746" s="729" t="s">
        <v>136</v>
      </c>
      <c r="F746" s="725">
        <f>IFERROR(ROUND(IF($AL$3=2,VLOOKUP(C746,[2]List1!$A:$D,2,FALSE)*1.08,VLOOKUP(C746,[2]List1!$A:$D,2,FALSE)),0),"NEUVEDENO!")</f>
        <v>3190</v>
      </c>
      <c r="G746" s="730">
        <f t="shared" si="1774"/>
        <v>3190</v>
      </c>
      <c r="H746" s="731">
        <f t="shared" si="1775"/>
        <v>129.62789884960321</v>
      </c>
      <c r="I746" s="732">
        <v>1</v>
      </c>
      <c r="J746" s="729" t="s">
        <v>46</v>
      </c>
      <c r="K746" s="729">
        <v>6</v>
      </c>
      <c r="L746" s="729" t="s">
        <v>24</v>
      </c>
      <c r="M746" s="729" t="s">
        <v>25</v>
      </c>
      <c r="N746" s="729">
        <f>IFERROR(VLOOKUP(C746,[3]List1!$A:$D,4,FALSE),"N/A!")</f>
        <v>4.6396875000000004E-2</v>
      </c>
      <c r="O746" s="729">
        <f>IFERROR(VLOOKUP(C746,[3]List1!$A:$D,3,FALSE),"N/A!")</f>
        <v>2000</v>
      </c>
      <c r="P746" s="729">
        <f>IFERROR(VLOOKUP(C746,[3]List1!$A:$D,2,FALSE),"N/A!")</f>
        <v>12200</v>
      </c>
      <c r="Q746" s="729" t="s">
        <v>14240</v>
      </c>
      <c r="R746" s="729" t="s">
        <v>24</v>
      </c>
      <c r="S746" s="729" t="str">
        <f>IF($W$17=$AF$1,"červená fólie",IFERROR(VLOOKUP("červená fólie",Jazyky_ceník!$A:$Q,MATCH($W$17,Jazyky_ceník!$A$1:$Q$1,0),FALSE),"!!!"))</f>
        <v>červená fólie</v>
      </c>
      <c r="T746" s="729">
        <v>70</v>
      </c>
      <c r="U746" s="729">
        <v>40</v>
      </c>
      <c r="V746" s="729">
        <v>25</v>
      </c>
      <c r="W746" s="729" t="str">
        <f>IFERROR(VLOOKUP('General price list'!$C746,Popisy!A:P,MATCH($W$17,Popisy!$A$7:$P$7,0),FALSE),"---------------")</f>
        <v>20 různobarevných efektů</v>
      </c>
      <c r="X746" s="729" t="str">
        <f t="shared" si="1776"/>
        <v/>
      </c>
      <c r="Y746" s="729" t="str">
        <f t="shared" si="1777"/>
        <v/>
      </c>
      <c r="Z746" s="729" t="str">
        <f>HYPERLINK("https://www.klasekpyrotechnics.cz/c10030xf-c14_t")</f>
        <v>https://www.klasekpyrotechnics.cz/c10030xf-c14_t</v>
      </c>
      <c r="AA746" s="729">
        <f>IFERROR(IF(VLOOKUP(C746,[4]List1!$A:$D,4,FALSE)=0,"",VLOOKUP(C746,[4]List1!$A:$D,4,FALSE)),"")</f>
        <v>24</v>
      </c>
      <c r="AB746" s="720"/>
      <c r="AC746" s="733" t="str">
        <f>IFERROR(IF(VLOOKUP(C746,[1]List1!$A:$D,2,FALSE)="VYPRODÁNO",$V$9,IF(VLOOKUP(C746,[1]List1!$A:$D,2,FALSE)="DOCHÁZÍ",$V$3,VLOOKUP(C746,[1]List1!$A:$D,2,FALSE))),"OFFLINE!")</f>
        <v>SKLADEM</v>
      </c>
      <c r="AD746" s="734" t="str">
        <f ca="1">IF(AP746="NE",$V$10,IF(AC746=$V$3,IF(AQ746&lt;1,$V$8,$V$2&amp;" "&amp;AQ746&amp;" "&amp;$V$1),IF(AC746="SKLADEM",$V$6,IFERROR(IF(OR(AC746-TODAY()&gt;45,VLOOKUP(C746,[1]List1!$A:$E,4,FALSE)=0),AC746,DAY(AC746)&amp;"."&amp;MONTH(AC746)&amp;"."&amp;YEAR(AC746)&amp;" "&amp;$V$4&amp;VLOOKUP(C746,[1]List1!$A:$E,4,FALSE)&amp;" "&amp;$V$1),AC746))))</f>
        <v>SKLADEM</v>
      </c>
      <c r="AE746" s="729" t="str">
        <f t="shared" ca="1" si="1778"/>
        <v>SKLADEM</v>
      </c>
      <c r="AF746" s="735">
        <f t="shared" si="1779"/>
        <v>0</v>
      </c>
      <c r="AG746" s="735">
        <f t="shared" si="1780"/>
        <v>0</v>
      </c>
      <c r="AH746" s="736">
        <f t="shared" si="1781"/>
        <v>0</v>
      </c>
      <c r="AI746" s="729">
        <f t="shared" si="1782"/>
        <v>0</v>
      </c>
      <c r="AJ746" s="729">
        <f t="shared" si="1783"/>
        <v>0</v>
      </c>
      <c r="AK746" s="729" t="str">
        <f t="shared" si="1784"/>
        <v/>
      </c>
      <c r="AL746" s="729" t="str">
        <f t="shared" si="1785"/>
        <v/>
      </c>
      <c r="AM746" s="729">
        <f t="shared" si="1786"/>
        <v>0</v>
      </c>
      <c r="AN746" s="729">
        <f t="shared" si="1787"/>
        <v>0</v>
      </c>
      <c r="AO746" s="380"/>
      <c r="AP746" s="322" t="str">
        <f t="shared" si="1738"/>
        <v/>
      </c>
      <c r="AQ746" s="323" t="str">
        <f>IF(AC746=$V$3,IF(VLOOKUP(C746,[1]List1!$A:$E,5,FALSE)=0,1,VLOOKUP(C746,[1]List1!$A:$E,5,FALSE)),"")</f>
        <v/>
      </c>
      <c r="AR746" s="304" t="str">
        <f t="shared" si="1739"/>
        <v/>
      </c>
      <c r="AS746" s="423" t="str">
        <f t="shared" si="1740"/>
        <v/>
      </c>
      <c r="AT746" s="304" t="str">
        <f t="shared" si="1741"/>
        <v/>
      </c>
      <c r="AU746" s="342" t="e">
        <f t="shared" si="1742"/>
        <v>#N/A</v>
      </c>
      <c r="AV746" s="304" t="e">
        <f t="shared" si="1743"/>
        <v>#N/A</v>
      </c>
      <c r="AX746" s="304">
        <f>IF(AND('General price list'!$J746="F4",'General price list'!$AB746+0&gt;0),1,0)</f>
        <v>0</v>
      </c>
      <c r="AY746" s="304">
        <f t="shared" si="1744"/>
        <v>1</v>
      </c>
      <c r="AZ746" s="304">
        <f t="shared" si="1745"/>
        <v>0</v>
      </c>
    </row>
    <row r="747" spans="1:52" ht="15" customHeight="1">
      <c r="A747" s="712" t="str">
        <f>Kat.!C744</f>
        <v/>
      </c>
      <c r="B747" s="737">
        <f>IF(AND('General price list'!$J747="F4",$AI$1=FALSE),0,IF(AC747="SKLADEM",1,IF(AC747=$V$3,1,0)))</f>
        <v>1</v>
      </c>
      <c r="C747" s="714" t="s">
        <v>2749</v>
      </c>
      <c r="D747" s="715" t="s">
        <v>1581</v>
      </c>
      <c r="E747" s="716" t="s">
        <v>136</v>
      </c>
      <c r="F747" s="712">
        <f>IFERROR(ROUND(IF($AL$3=2,VLOOKUP(C747,[2]List1!$A:$D,2,FALSE)*1.08,VLOOKUP(C747,[2]List1!$A:$D,2,FALSE)),0),"NEUVEDENO!")</f>
        <v>4558</v>
      </c>
      <c r="G747" s="717">
        <f t="shared" si="1774"/>
        <v>4558</v>
      </c>
      <c r="H747" s="718">
        <f t="shared" si="1775"/>
        <v>185.21754324654901</v>
      </c>
      <c r="I747" s="738">
        <v>1</v>
      </c>
      <c r="J747" s="716" t="s">
        <v>46</v>
      </c>
      <c r="K747" s="716">
        <v>6</v>
      </c>
      <c r="L747" s="716" t="s">
        <v>24</v>
      </c>
      <c r="M747" s="716" t="s">
        <v>25</v>
      </c>
      <c r="N747" s="716">
        <f>IFERROR(VLOOKUP(C747,[3]List1!$A:$D,4,FALSE),"N/A!")</f>
        <v>0.102384</v>
      </c>
      <c r="O747" s="716">
        <f>IFERROR(VLOOKUP(C747,[3]List1!$A:$D,3,FALSE),"N/A!")</f>
        <v>1992</v>
      </c>
      <c r="P747" s="716">
        <f>IFERROR(VLOOKUP(C747,[3]List1!$A:$D,2,FALSE),"N/A!")</f>
        <v>19500</v>
      </c>
      <c r="Q747" s="716" t="s">
        <v>11323</v>
      </c>
      <c r="R747" s="716" t="s">
        <v>24</v>
      </c>
      <c r="S747" s="716" t="str">
        <f>IF($W$17=$AF$1,"červená fólie",IFERROR(VLOOKUP("červená fólie",Jazyky_ceník!$A:$Q,MATCH($W$17,Jazyky_ceník!$A$1:$Q$1,0),FALSE),"!!!"))</f>
        <v>červená fólie</v>
      </c>
      <c r="T747" s="716">
        <v>100</v>
      </c>
      <c r="U747" s="716">
        <v>40</v>
      </c>
      <c r="V747" s="716">
        <v>24</v>
      </c>
      <c r="W747" s="716" t="str">
        <f>IFERROR(VLOOKUP('General price list'!$C747,Popisy!A:P,MATCH($W$17,Popisy!$A$7:$P$7,0),FALSE),"---------------")</f>
        <v>14 různobarevných efektů</v>
      </c>
      <c r="X747" s="716" t="str">
        <f t="shared" si="1776"/>
        <v/>
      </c>
      <c r="Y747" s="716" t="str">
        <f t="shared" si="1777"/>
        <v/>
      </c>
      <c r="Z747" s="716" t="str">
        <f>HYPERLINK("https://www.klasekpyrotechnics.cz/c1163mb-c14_t")</f>
        <v>https://www.klasekpyrotechnics.cz/c1163mb-c14_t</v>
      </c>
      <c r="AA747" s="716">
        <f>IFERROR(IF(VLOOKUP(C747,[4]List1!$A:$D,4,FALSE)=0,"",VLOOKUP(C747,[4]List1!$A:$D,4,FALSE)),"")</f>
        <v>14</v>
      </c>
      <c r="AB747" s="720"/>
      <c r="AC747" s="739" t="str">
        <f>IFERROR(IF(VLOOKUP(C747,[1]List1!$A:$D,2,FALSE)="VYPRODÁNO",$V$9,IF(VLOOKUP(C747,[1]List1!$A:$D,2,FALSE)="DOCHÁZÍ",$V$3,VLOOKUP(C747,[1]List1!$A:$D,2,FALSE))),"OFFLINE!")</f>
        <v>SKLADEM</v>
      </c>
      <c r="AD747" s="740" t="str">
        <f ca="1">IF(AP747="NE",$V$10,IF(AC747=$V$3,IF(AQ747&lt;1,$V$8,$V$2&amp;" "&amp;AQ747&amp;" "&amp;$V$1),IF(AC747="SKLADEM",$V$6,IFERROR(IF(OR(AC747-TODAY()&gt;45,VLOOKUP(C747,[1]List1!$A:$E,4,FALSE)=0),AC747,DAY(AC747)&amp;"."&amp;MONTH(AC747)&amp;"."&amp;YEAR(AC747)&amp;" "&amp;$V$4&amp;VLOOKUP(C747,[1]List1!$A:$E,4,FALSE)&amp;" "&amp;$V$1),AC747))))</f>
        <v>SKLADEM</v>
      </c>
      <c r="AE747" s="716" t="str">
        <f t="shared" ca="1" si="1778"/>
        <v>SKLADEM</v>
      </c>
      <c r="AF747" s="723">
        <f t="shared" si="1779"/>
        <v>0</v>
      </c>
      <c r="AG747" s="723">
        <f t="shared" si="1780"/>
        <v>0</v>
      </c>
      <c r="AH747" s="724">
        <f t="shared" si="1781"/>
        <v>0</v>
      </c>
      <c r="AI747" s="716">
        <f t="shared" si="1782"/>
        <v>0</v>
      </c>
      <c r="AJ747" s="716">
        <f t="shared" si="1783"/>
        <v>0</v>
      </c>
      <c r="AK747" s="716" t="str">
        <f t="shared" si="1784"/>
        <v/>
      </c>
      <c r="AL747" s="716" t="str">
        <f t="shared" si="1785"/>
        <v/>
      </c>
      <c r="AM747" s="716">
        <f t="shared" si="1786"/>
        <v>0</v>
      </c>
      <c r="AN747" s="716">
        <f t="shared" si="1787"/>
        <v>0</v>
      </c>
      <c r="AO747" s="380"/>
      <c r="AP747" s="322" t="str">
        <f t="shared" si="1738"/>
        <v/>
      </c>
      <c r="AQ747" s="323" t="str">
        <f>IF(AC747=$V$3,IF(VLOOKUP(C747,[1]List1!$A:$E,5,FALSE)=0,1,VLOOKUP(C747,[1]List1!$A:$E,5,FALSE)),"")</f>
        <v/>
      </c>
      <c r="AR747" s="304" t="str">
        <f t="shared" si="1739"/>
        <v/>
      </c>
      <c r="AS747" s="423" t="str">
        <f t="shared" si="1740"/>
        <v/>
      </c>
      <c r="AT747" s="304" t="str">
        <f t="shared" si="1741"/>
        <v/>
      </c>
      <c r="AU747" s="342" t="e">
        <f t="shared" si="1742"/>
        <v>#N/A</v>
      </c>
      <c r="AV747" s="304" t="e">
        <f t="shared" si="1743"/>
        <v>#N/A</v>
      </c>
      <c r="AX747" s="304">
        <f>IF(AND('General price list'!$J747="F4",'General price list'!$AB747+0&gt;0),1,0)</f>
        <v>0</v>
      </c>
      <c r="AY747" s="304">
        <f t="shared" si="1744"/>
        <v>1</v>
      </c>
      <c r="AZ747" s="304">
        <f t="shared" si="1745"/>
        <v>0</v>
      </c>
    </row>
    <row r="748" spans="1:52" ht="15" customHeight="1">
      <c r="A748" s="725" t="str">
        <f>Kat.!C745</f>
        <v/>
      </c>
      <c r="B748" s="726">
        <f>IF(AND('General price list'!$J748="F4",$AI$1=FALSE),0,IF(AC748="SKLADEM",1,IF(AC748=$V$3,1,0)))</f>
        <v>1</v>
      </c>
      <c r="C748" s="727" t="s">
        <v>2750</v>
      </c>
      <c r="D748" s="728" t="s">
        <v>2570</v>
      </c>
      <c r="E748" s="729" t="s">
        <v>136</v>
      </c>
      <c r="F748" s="725">
        <f>IFERROR(ROUND(IF($AL$3=2,VLOOKUP(C748,[2]List1!$A:$D,2,FALSE)*1.08,VLOOKUP(C748,[2]List1!$A:$D,2,FALSE)),0),"NEUVEDENO!")</f>
        <v>3964</v>
      </c>
      <c r="G748" s="730">
        <f t="shared" si="1774"/>
        <v>3964</v>
      </c>
      <c r="H748" s="731">
        <f t="shared" si="1775"/>
        <v>161.07993449524361</v>
      </c>
      <c r="I748" s="732">
        <v>1</v>
      </c>
      <c r="J748" s="729" t="s">
        <v>46</v>
      </c>
      <c r="K748" s="729">
        <v>6</v>
      </c>
      <c r="L748" s="729" t="s">
        <v>24</v>
      </c>
      <c r="M748" s="729" t="s">
        <v>25</v>
      </c>
      <c r="N748" s="729">
        <f>IFERROR(VLOOKUP(C748,[3]List1!$A:$D,4,FALSE),"N/A!")</f>
        <v>4.9687500000000002E-2</v>
      </c>
      <c r="O748" s="729">
        <f>IFERROR(VLOOKUP(C748,[3]List1!$A:$D,3,FALSE),"N/A!")</f>
        <v>1998</v>
      </c>
      <c r="P748" s="729">
        <f>IFERROR(VLOOKUP(C748,[3]List1!$A:$D,2,FALSE),"N/A!")</f>
        <v>18500</v>
      </c>
      <c r="Q748" s="729" t="s">
        <v>14241</v>
      </c>
      <c r="R748" s="729" t="s">
        <v>24</v>
      </c>
      <c r="S748" s="729" t="str">
        <f>IF($W$17=$AF$1,"červená fólie",IFERROR(VLOOKUP("červená fólie",Jazyky_ceník!$A:$Q,MATCH($W$17,Jazyky_ceník!$A$1:$Q$1,0),FALSE),"!!!"))</f>
        <v>červená fólie</v>
      </c>
      <c r="T748" s="729">
        <v>90</v>
      </c>
      <c r="U748" s="729">
        <v>40</v>
      </c>
      <c r="V748" s="729">
        <v>25</v>
      </c>
      <c r="W748" s="729" t="str">
        <f>IFERROR(VLOOKUP('General price list'!$C748,Popisy!A:P,MATCH($W$17,Popisy!$A$7:$P$7,0),FALSE),"---------------")</f>
        <v>15 různobarevných efektů</v>
      </c>
      <c r="X748" s="729" t="str">
        <f t="shared" si="1776"/>
        <v/>
      </c>
      <c r="Y748" s="729" t="str">
        <f t="shared" si="1777"/>
        <v/>
      </c>
      <c r="Z748" s="729" t="str">
        <f>HYPERLINK("https://www.klasekpyrotechnics.cz/c12230xpt-c14_t")</f>
        <v>https://www.klasekpyrotechnics.cz/c12230xpt-c14_t</v>
      </c>
      <c r="AA748" s="729">
        <f>IFERROR(IF(VLOOKUP(C748,[4]List1!$A:$D,4,FALSE)=0,"",VLOOKUP(C748,[4]List1!$A:$D,4,FALSE)),"")</f>
        <v>24</v>
      </c>
      <c r="AB748" s="720"/>
      <c r="AC748" s="733" t="str">
        <f>IFERROR(IF(VLOOKUP(C748,[1]List1!$A:$D,2,FALSE)="VYPRODÁNO",$V$9,IF(VLOOKUP(C748,[1]List1!$A:$D,2,FALSE)="DOCHÁZÍ",$V$3,VLOOKUP(C748,[1]List1!$A:$D,2,FALSE))),"OFFLINE!")</f>
        <v>SKLADEM</v>
      </c>
      <c r="AD748" s="734" t="str">
        <f ca="1">IF(AP748="NE",$V$10,IF(AC748=$V$3,IF(AQ748&lt;1,$V$8,$V$2&amp;" "&amp;AQ748&amp;" "&amp;$V$1),IF(AC748="SKLADEM",$V$6,IFERROR(IF(OR(AC748-TODAY()&gt;45,VLOOKUP(C748,[1]List1!$A:$E,4,FALSE)=0),AC748,DAY(AC748)&amp;"."&amp;MONTH(AC748)&amp;"."&amp;YEAR(AC748)&amp;" "&amp;$V$4&amp;VLOOKUP(C748,[1]List1!$A:$E,4,FALSE)&amp;" "&amp;$V$1),AC748))))</f>
        <v>SKLADEM</v>
      </c>
      <c r="AE748" s="729" t="str">
        <f t="shared" ca="1" si="1778"/>
        <v>SKLADEM</v>
      </c>
      <c r="AF748" s="735">
        <f t="shared" si="1779"/>
        <v>0</v>
      </c>
      <c r="AG748" s="735">
        <f t="shared" si="1780"/>
        <v>0</v>
      </c>
      <c r="AH748" s="736">
        <f t="shared" si="1781"/>
        <v>0</v>
      </c>
      <c r="AI748" s="729">
        <f t="shared" si="1782"/>
        <v>0</v>
      </c>
      <c r="AJ748" s="729">
        <f t="shared" si="1783"/>
        <v>0</v>
      </c>
      <c r="AK748" s="729" t="str">
        <f t="shared" si="1784"/>
        <v/>
      </c>
      <c r="AL748" s="729" t="str">
        <f t="shared" si="1785"/>
        <v/>
      </c>
      <c r="AM748" s="729">
        <f t="shared" si="1786"/>
        <v>0</v>
      </c>
      <c r="AN748" s="729">
        <f t="shared" si="1787"/>
        <v>0</v>
      </c>
      <c r="AO748" s="380"/>
      <c r="AP748" s="322" t="str">
        <f t="shared" si="1738"/>
        <v/>
      </c>
      <c r="AQ748" s="323" t="str">
        <f>IF(AC748=$V$3,IF(VLOOKUP(C748,[1]List1!$A:$E,5,FALSE)=0,1,VLOOKUP(C748,[1]List1!$A:$E,5,FALSE)),"")</f>
        <v/>
      </c>
      <c r="AR748" s="304" t="str">
        <f t="shared" si="1739"/>
        <v/>
      </c>
      <c r="AS748" s="423" t="str">
        <f t="shared" si="1740"/>
        <v/>
      </c>
      <c r="AT748" s="304" t="str">
        <f t="shared" si="1741"/>
        <v/>
      </c>
      <c r="AU748" s="342" t="e">
        <f t="shared" si="1742"/>
        <v>#N/A</v>
      </c>
      <c r="AV748" s="304" t="e">
        <f t="shared" si="1743"/>
        <v>#N/A</v>
      </c>
      <c r="AX748" s="304">
        <f>IF(AND('General price list'!$J748="F4",'General price list'!$AB748+0&gt;0),1,0)</f>
        <v>0</v>
      </c>
      <c r="AY748" s="304">
        <f t="shared" si="1744"/>
        <v>1</v>
      </c>
      <c r="AZ748" s="304">
        <f t="shared" si="1745"/>
        <v>0</v>
      </c>
    </row>
    <row r="749" spans="1:52" ht="15" customHeight="1">
      <c r="A749" s="773" t="str">
        <f>Kat.!C746</f>
        <v xml:space="preserve">                                                               Složený ohňostroj 30mm - F3 - 1.3G</v>
      </c>
      <c r="B749" s="774"/>
      <c r="C749" s="774"/>
      <c r="D749" s="774"/>
      <c r="E749" s="774"/>
      <c r="F749" s="774"/>
      <c r="G749" s="774"/>
      <c r="H749" s="774"/>
      <c r="I749" s="774"/>
      <c r="J749" s="774"/>
      <c r="K749" s="774"/>
      <c r="L749" s="774"/>
      <c r="M749" s="774"/>
      <c r="N749" s="774"/>
      <c r="O749" s="774"/>
      <c r="P749" s="774"/>
      <c r="Q749" s="774"/>
      <c r="R749" s="774"/>
      <c r="S749" s="774"/>
      <c r="T749" s="774"/>
      <c r="U749" s="774"/>
      <c r="V749" s="774"/>
      <c r="W749" s="774"/>
      <c r="X749" s="774"/>
      <c r="Y749" s="774"/>
      <c r="Z749" s="774"/>
      <c r="AA749" s="774" t="str">
        <f>IFERROR(IF(VLOOKUP(C749,[4]List1!$A:$D,4,FALSE)=0,"",VLOOKUP(C749,[4]List1!$A:$D,4,FALSE)),"")</f>
        <v/>
      </c>
      <c r="AB749" s="774"/>
      <c r="AC749" s="775" t="str">
        <f>IFERROR(IF(VLOOKUP(C749,[1]List1!$A:$D,2,FALSE)="VYPRODÁNO",$V$9,IF(VLOOKUP(C749,[1]List1!$A:$D,2,FALSE)="DOCHÁZÍ",$V$3,VLOOKUP(C749,[1]List1!$A:$D,2,FALSE))),"OFFLINE!")</f>
        <v>OFFLINE!</v>
      </c>
      <c r="AD749" s="774"/>
      <c r="AE749" s="774"/>
      <c r="AF749" s="774"/>
      <c r="AG749" s="774"/>
      <c r="AH749" s="774"/>
      <c r="AI749" s="774"/>
      <c r="AJ749" s="774"/>
      <c r="AK749" s="774"/>
      <c r="AL749" s="774"/>
      <c r="AM749" s="774"/>
      <c r="AN749" s="774"/>
      <c r="AO749" s="380"/>
      <c r="AP749" s="322" t="str">
        <f t="shared" si="1738"/>
        <v/>
      </c>
      <c r="AQ749" s="323" t="str">
        <f>IF(AC749=$V$3,IF(VLOOKUP(C749,[1]List1!$A:$E,5,FALSE)=0,1,VLOOKUP(C749,[1]List1!$A:$E,5,FALSE)),"")</f>
        <v/>
      </c>
      <c r="AR749" s="304" t="str">
        <f t="shared" si="1739"/>
        <v/>
      </c>
      <c r="AS749" s="423" t="str">
        <f t="shared" si="1740"/>
        <v/>
      </c>
      <c r="AT749" s="304" t="str">
        <f t="shared" si="1741"/>
        <v/>
      </c>
      <c r="AU749" s="342" t="e">
        <f t="shared" si="1742"/>
        <v>#N/A</v>
      </c>
      <c r="AV749" s="304" t="e">
        <f t="shared" si="1743"/>
        <v>#N/A</v>
      </c>
      <c r="AX749" s="304">
        <f>IF(AND('General price list'!$J749="F4",'General price list'!$AB749+0&gt;0),1,0)</f>
        <v>0</v>
      </c>
      <c r="AY749" s="304">
        <f t="shared" si="1744"/>
        <v>0</v>
      </c>
      <c r="AZ749" s="304">
        <f t="shared" si="1745"/>
        <v>0</v>
      </c>
    </row>
    <row r="750" spans="1:52" ht="15" customHeight="1">
      <c r="A750" s="725" t="str">
        <f>Kat.!C747</f>
        <v/>
      </c>
      <c r="B750" s="741">
        <f>IF(AND('General price list'!$J750="F4",$AI$1=FALSE),0,IF(AC750="SKLADEM",1,IF(AC750=$V$3,1,0)))</f>
        <v>1</v>
      </c>
      <c r="C750" s="727" t="s">
        <v>1590</v>
      </c>
      <c r="D750" s="728" t="s">
        <v>14569</v>
      </c>
      <c r="E750" s="729" t="s">
        <v>136</v>
      </c>
      <c r="F750" s="725">
        <f>IFERROR(ROUND(IF($AL$3=2,VLOOKUP(C750,[2]List1!$A:$D,2,FALSE)*1.08,VLOOKUP(C750,[2]List1!$A:$D,2,FALSE)),0),"NEUVEDENO!")</f>
        <v>2199</v>
      </c>
      <c r="G750" s="730">
        <f t="shared" ref="G750:G767" si="1788">(F750)*$B$19</f>
        <v>2199</v>
      </c>
      <c r="H750" s="731">
        <f t="shared" ref="H750:H767" si="1789">G750/$F$19</f>
        <v>89.357915225792297</v>
      </c>
      <c r="I750" s="742">
        <v>1</v>
      </c>
      <c r="J750" s="729" t="s">
        <v>137</v>
      </c>
      <c r="K750" s="729" t="s">
        <v>14820</v>
      </c>
      <c r="L750" s="729" t="s">
        <v>24</v>
      </c>
      <c r="M750" s="729" t="s">
        <v>138</v>
      </c>
      <c r="N750" s="729">
        <f>IFERROR(VLOOKUP(C750,[3]List1!$A:$D,4,FALSE),"N/A!")</f>
        <v>3.5625000000000004E-2</v>
      </c>
      <c r="O750" s="729">
        <f>IFERROR(VLOOKUP(C750,[3]List1!$A:$D,3,FALSE),"N/A!")</f>
        <v>1800</v>
      </c>
      <c r="P750" s="729">
        <f>IFERROR(VLOOKUP(C750,[3]List1!$A:$D,2,FALSE),"N/A!")</f>
        <v>13500</v>
      </c>
      <c r="Q750" s="729" t="s">
        <v>14242</v>
      </c>
      <c r="R750" s="729" t="s">
        <v>24</v>
      </c>
      <c r="S750" s="729" t="str">
        <f>IF($W$17=$AF$1,"červená fólie",IFERROR(VLOOKUP("červená fólie",Jazyky_ceník!$A:$Q,MATCH($W$17,Jazyky_ceník!$A$1:$Q$1,0),FALSE),"!!!"))</f>
        <v>červená fólie</v>
      </c>
      <c r="T750" s="729">
        <v>100</v>
      </c>
      <c r="U750" s="729">
        <v>40</v>
      </c>
      <c r="V750" s="729">
        <v>29</v>
      </c>
      <c r="W750" s="729" t="str">
        <f>IFERROR(VLOOKUP('General price list'!$C750,Popisy!A:P,MATCH($W$17,Popisy!$A$7:$P$7,0),FALSE),"---------------")</f>
        <v>10 různobarevných efektů</v>
      </c>
      <c r="X750" s="729" t="str">
        <f t="shared" ref="X750:X767" si="1790">IF(AB750&lt;0.0001,"",AB750)</f>
        <v/>
      </c>
      <c r="Y750" s="729" t="str">
        <f t="shared" ref="Y750:Y767" si="1791">IF($AL$3=2,IF(OR(AB750&lt;&gt;"",AB750&lt;&gt;0),AU750,""),IF(C750="","",IF(AB750&lt;0.0001,"",IF(B750=0,"",IF(AQ750&lt;AB750,"",AB750)))))</f>
        <v/>
      </c>
      <c r="Z750" s="729" t="str">
        <f>HYPERLINK("https://www.klasekpyrotechnics.cz/c1003bp-c")</f>
        <v>https://www.klasekpyrotechnics.cz/c1003bp-c</v>
      </c>
      <c r="AA750" s="729">
        <f>IFERROR(IF(VLOOKUP(C750,[4]List1!$A:$D,4,FALSE)=0,"",VLOOKUP(C750,[4]List1!$A:$D,4,FALSE)),"")</f>
        <v>42</v>
      </c>
      <c r="AB750" s="720"/>
      <c r="AC750" s="743" t="str">
        <f>IFERROR(IF(VLOOKUP(C750,[1]List1!$A:$D,2,FALSE)="VYPRODÁNO",$V$9,IF(VLOOKUP(C750,[1]List1!$A:$D,2,FALSE)="DOCHÁZÍ",$V$3,VLOOKUP(C750,[1]List1!$A:$D,2,FALSE))),"OFFLINE!")</f>
        <v>SKLADEM</v>
      </c>
      <c r="AD750" s="744" t="str">
        <f ca="1">IF(AP750="NE",$V$10,IF(AC750=$V$3,IF(AQ750&lt;1,$V$8,$V$2&amp;" "&amp;AQ750&amp;" "&amp;$V$1),IF(AC750="SKLADEM",$V$6,IFERROR(IF(OR(AC750-TODAY()&gt;45,VLOOKUP(C750,[1]List1!$A:$E,4,FALSE)=0),AC750,DAY(AC750)&amp;"."&amp;MONTH(AC750)&amp;"."&amp;YEAR(AC750)&amp;" "&amp;$V$4&amp;VLOOKUP(C750,[1]List1!$A:$E,4,FALSE)&amp;" "&amp;$V$1),AC750))))</f>
        <v>SKLADEM</v>
      </c>
      <c r="AE750" s="729" t="str">
        <f t="shared" ref="AE750:AE767" ca="1" si="1792">IFERROR(IF(AV750&lt;&gt;"",AV750,AD750),AD750)</f>
        <v>SKLADEM</v>
      </c>
      <c r="AF750" s="735">
        <f t="shared" ref="AF750:AF767" si="1793">IFERROR(IF(AB750=Y750,G750*I750*Y750,0),0)</f>
        <v>0</v>
      </c>
      <c r="AG750" s="735">
        <f t="shared" ref="AG750:AG767" si="1794">IF($W$17=$AF$8,AH750*1.23,AF750*1.21)</f>
        <v>0</v>
      </c>
      <c r="AH750" s="736">
        <f t="shared" ref="AH750:AH767" si="1795">IFERROR(IF(Y750=AB750,H750*I750*Y750,0),0)</f>
        <v>0</v>
      </c>
      <c r="AI750" s="729">
        <f t="shared" ref="AI750:AI767" si="1796">IFERROR(IF(Y750=AB750,(P750*Y750)/1000,1),0)</f>
        <v>0</v>
      </c>
      <c r="AJ750" s="729">
        <f t="shared" ref="AJ750:AJ767" si="1797">IFERROR(IF(Y750=AB750,N750*Y750,0.1),0)</f>
        <v>0</v>
      </c>
      <c r="AK750" s="729" t="str">
        <f t="shared" ref="AK750:AK767" si="1798">IFERROR(IF(Y750=AB750,IF(M750="1.1G",(O750/1000)*Y750,""),""),0)</f>
        <v/>
      </c>
      <c r="AL750" s="729">
        <f t="shared" ref="AL750:AL767" si="1799">IFERROR(IF(Y750=AB750,IF(M750="1.3G",(O750/1000)*AB750,""),""),0)</f>
        <v>0</v>
      </c>
      <c r="AM750" s="729" t="str">
        <f t="shared" ref="AM750:AM767" si="1800">IFERROR(IF(Y750=AB750,IF(M750="1.4G",(O750/1000)*AB750,""),""),0)</f>
        <v/>
      </c>
      <c r="AN750" s="729">
        <f t="shared" ref="AN750:AN767" si="1801">SUM(AK750:AM750)</f>
        <v>0</v>
      </c>
      <c r="AO750" s="380"/>
      <c r="AP750" s="322" t="str">
        <f t="shared" si="1738"/>
        <v/>
      </c>
      <c r="AQ750" s="323" t="str">
        <f>IF(AC750=$V$3,IF(VLOOKUP(C750,[1]List1!$A:$E,5,FALSE)=0,1,VLOOKUP(C750,[1]List1!$A:$E,5,FALSE)),"")</f>
        <v/>
      </c>
      <c r="AR750" s="304" t="str">
        <f t="shared" si="1739"/>
        <v/>
      </c>
      <c r="AS750" s="423" t="str">
        <f t="shared" si="1740"/>
        <v/>
      </c>
      <c r="AT750" s="304" t="str">
        <f t="shared" si="1741"/>
        <v/>
      </c>
      <c r="AU750" s="342" t="e">
        <f t="shared" si="1742"/>
        <v>#N/A</v>
      </c>
      <c r="AV750" s="304" t="e">
        <f t="shared" si="1743"/>
        <v>#N/A</v>
      </c>
      <c r="AX750" s="304">
        <f>IF(AND('General price list'!$J750="F4",'General price list'!$AB750+0&gt;0),1,0)</f>
        <v>0</v>
      </c>
      <c r="AY750" s="304">
        <f t="shared" si="1744"/>
        <v>1</v>
      </c>
      <c r="AZ750" s="304">
        <f t="shared" si="1745"/>
        <v>0</v>
      </c>
    </row>
    <row r="751" spans="1:52" ht="15" customHeight="1">
      <c r="A751" s="712" t="str">
        <f>Kat.!C748</f>
        <v>×</v>
      </c>
      <c r="B751" s="745">
        <f>IF(AND('General price list'!$J751="F4",$AI$1=FALSE),0,IF(AC751="SKLADEM",1,IF(AC751=$V$3,1,0)))</f>
        <v>1</v>
      </c>
      <c r="C751" s="714" t="s">
        <v>1592</v>
      </c>
      <c r="D751" s="715" t="s">
        <v>14570</v>
      </c>
      <c r="E751" s="716" t="s">
        <v>136</v>
      </c>
      <c r="F751" s="712">
        <f>IFERROR(ROUND(IF($AL$3=2,VLOOKUP(C751,[2]List1!$A:$D,2,FALSE)*1.08,VLOOKUP(C751,[2]List1!$A:$D,2,FALSE)),0),"NEUVEDENO!")</f>
        <v>2199</v>
      </c>
      <c r="G751" s="717">
        <f t="shared" si="1788"/>
        <v>2199</v>
      </c>
      <c r="H751" s="718">
        <f t="shared" si="1789"/>
        <v>89.357915225792297</v>
      </c>
      <c r="I751" s="746">
        <v>1</v>
      </c>
      <c r="J751" s="716" t="s">
        <v>137</v>
      </c>
      <c r="K751" s="716" t="s">
        <v>14734</v>
      </c>
      <c r="L751" s="716" t="s">
        <v>24</v>
      </c>
      <c r="M751" s="716" t="s">
        <v>138</v>
      </c>
      <c r="N751" s="716">
        <f>IFERROR(VLOOKUP(C751,[3]List1!$A:$D,4,FALSE),"N/A!")</f>
        <v>3.5625000000000004E-2</v>
      </c>
      <c r="O751" s="716">
        <f>IFERROR(VLOOKUP(C751,[3]List1!$A:$D,3,FALSE),"N/A!")</f>
        <v>1800</v>
      </c>
      <c r="P751" s="716">
        <f>IFERROR(VLOOKUP(C751,[3]List1!$A:$D,2,FALSE),"N/A!")</f>
        <v>13500</v>
      </c>
      <c r="Q751" s="716" t="s">
        <v>11324</v>
      </c>
      <c r="R751" s="716" t="s">
        <v>24</v>
      </c>
      <c r="S751" s="716" t="str">
        <f>IF($W$17=$AF$1,"červená fólie",IFERROR(VLOOKUP("červená fólie",Jazyky_ceník!$A:$Q,MATCH($W$17,Jazyky_ceník!$A$1:$Q$1,0),FALSE),"!!!"))</f>
        <v>červená fólie</v>
      </c>
      <c r="T751" s="716">
        <v>100</v>
      </c>
      <c r="U751" s="716">
        <v>40</v>
      </c>
      <c r="V751" s="716">
        <v>29</v>
      </c>
      <c r="W751" s="716" t="str">
        <f>IFERROR(VLOOKUP('General price list'!$C751,Popisy!A:P,MATCH($W$17,Popisy!$A$7:$P$7,0),FALSE),"---------------")</f>
        <v>10 různobarevných efektů</v>
      </c>
      <c r="X751" s="716" t="str">
        <f t="shared" si="1790"/>
        <v/>
      </c>
      <c r="Y751" s="716" t="str">
        <f t="shared" si="1791"/>
        <v/>
      </c>
      <c r="Z751" s="716" t="str">
        <f>HYPERLINK("https://www.klasekpyrotechnics.cz/c1003bpf-c")</f>
        <v>https://www.klasekpyrotechnics.cz/c1003bpf-c</v>
      </c>
      <c r="AA751" s="716">
        <f>IFERROR(IF(VLOOKUP(C751,[4]List1!$A:$D,4,FALSE)=0,"",VLOOKUP(C751,[4]List1!$A:$D,4,FALSE)),"")</f>
        <v>42</v>
      </c>
      <c r="AB751" s="720"/>
      <c r="AC751" s="747" t="str">
        <f>IFERROR(IF(VLOOKUP(C751,[1]List1!$A:$D,2,FALSE)="VYPRODÁNO",$V$9,IF(VLOOKUP(C751,[1]List1!$A:$D,2,FALSE)="DOCHÁZÍ",$V$3,VLOOKUP(C751,[1]List1!$A:$D,2,FALSE))),"OFFLINE!")</f>
        <v>SKLADEM</v>
      </c>
      <c r="AD751" s="748" t="str">
        <f ca="1">IF(AP751="NE",$V$10,IF(AC751=$V$3,IF(AQ751&lt;1,$V$8,$V$2&amp;" "&amp;AQ751&amp;" "&amp;$V$1),IF(AC751="SKLADEM",$V$6,IFERROR(IF(OR(AC751-TODAY()&gt;45,VLOOKUP(C751,[1]List1!$A:$E,4,FALSE)=0),AC751,DAY(AC751)&amp;"."&amp;MONTH(AC751)&amp;"."&amp;YEAR(AC751)&amp;" "&amp;$V$4&amp;VLOOKUP(C751,[1]List1!$A:$E,4,FALSE)&amp;" "&amp;$V$1),AC751))))</f>
        <v>SKLADEM</v>
      </c>
      <c r="AE751" s="716" t="str">
        <f t="shared" ca="1" si="1792"/>
        <v>SKLADEM</v>
      </c>
      <c r="AF751" s="723">
        <f t="shared" si="1793"/>
        <v>0</v>
      </c>
      <c r="AG751" s="723">
        <f t="shared" si="1794"/>
        <v>0</v>
      </c>
      <c r="AH751" s="724">
        <f t="shared" si="1795"/>
        <v>0</v>
      </c>
      <c r="AI751" s="716">
        <f t="shared" si="1796"/>
        <v>0</v>
      </c>
      <c r="AJ751" s="716">
        <f t="shared" si="1797"/>
        <v>0</v>
      </c>
      <c r="AK751" s="716" t="str">
        <f t="shared" si="1798"/>
        <v/>
      </c>
      <c r="AL751" s="716">
        <f t="shared" si="1799"/>
        <v>0</v>
      </c>
      <c r="AM751" s="716" t="str">
        <f t="shared" si="1800"/>
        <v/>
      </c>
      <c r="AN751" s="716">
        <f t="shared" si="1801"/>
        <v>0</v>
      </c>
      <c r="AO751" s="380"/>
      <c r="AP751" s="322" t="str">
        <f t="shared" si="1738"/>
        <v/>
      </c>
      <c r="AQ751" s="323" t="str">
        <f>IF(AC751=$V$3,IF(VLOOKUP(C751,[1]List1!$A:$E,5,FALSE)=0,1,VLOOKUP(C751,[1]List1!$A:$E,5,FALSE)),"")</f>
        <v/>
      </c>
      <c r="AR751" s="304" t="str">
        <f t="shared" si="1739"/>
        <v/>
      </c>
      <c r="AS751" s="423" t="str">
        <f t="shared" si="1740"/>
        <v/>
      </c>
      <c r="AT751" s="304" t="str">
        <f t="shared" si="1741"/>
        <v/>
      </c>
      <c r="AU751" s="342" t="e">
        <f t="shared" si="1742"/>
        <v>#N/A</v>
      </c>
      <c r="AV751" s="304" t="e">
        <f t="shared" si="1743"/>
        <v>#N/A</v>
      </c>
      <c r="AX751" s="304">
        <f>IF(AND('General price list'!$J751="F4",'General price list'!$AB751+0&gt;0),1,0)</f>
        <v>0</v>
      </c>
      <c r="AY751" s="304">
        <f t="shared" si="1744"/>
        <v>1</v>
      </c>
      <c r="AZ751" s="304">
        <f t="shared" si="1745"/>
        <v>0</v>
      </c>
    </row>
    <row r="752" spans="1:52" ht="15" customHeight="1">
      <c r="A752" s="725" t="str">
        <f>Kat.!C749</f>
        <v/>
      </c>
      <c r="B752" s="749">
        <f>IF(AND('General price list'!$J752="F4",$AI$1=FALSE),0,IF(AC752="SKLADEM",1,IF(AC752=$V$3,1,0)))</f>
        <v>1</v>
      </c>
      <c r="C752" s="727" t="s">
        <v>5441</v>
      </c>
      <c r="D752" s="728" t="s">
        <v>14571</v>
      </c>
      <c r="E752" s="729" t="s">
        <v>136</v>
      </c>
      <c r="F752" s="725">
        <f>IFERROR(ROUND(IF($AL$3=2,VLOOKUP(C752,[2]List1!$A:$D,2,FALSE)*1.08,VLOOKUP(C752,[2]List1!$A:$D,2,FALSE)),0),"NEUVEDENO!")</f>
        <v>2199</v>
      </c>
      <c r="G752" s="730">
        <f t="shared" si="1788"/>
        <v>2199</v>
      </c>
      <c r="H752" s="731">
        <f t="shared" si="1789"/>
        <v>89.357915225792297</v>
      </c>
      <c r="I752" s="750">
        <v>1</v>
      </c>
      <c r="J752" s="729" t="s">
        <v>137</v>
      </c>
      <c r="K752" s="729" t="s">
        <v>14734</v>
      </c>
      <c r="L752" s="729" t="s">
        <v>24</v>
      </c>
      <c r="M752" s="729" t="s">
        <v>138</v>
      </c>
      <c r="N752" s="729">
        <f>IFERROR(VLOOKUP(C752,[3]List1!$A:$D,4,FALSE),"N/A!")</f>
        <v>3.5625000000000004E-2</v>
      </c>
      <c r="O752" s="729">
        <f>IFERROR(VLOOKUP(C752,[3]List1!$A:$D,3,FALSE),"N/A!")</f>
        <v>1800</v>
      </c>
      <c r="P752" s="729">
        <f>IFERROR(VLOOKUP(C752,[3]List1!$A:$D,2,FALSE),"N/A!")</f>
        <v>12500</v>
      </c>
      <c r="Q752" s="729" t="s">
        <v>11324</v>
      </c>
      <c r="R752" s="729" t="s">
        <v>24</v>
      </c>
      <c r="S752" s="729" t="str">
        <f>IF($W$17=$AF$1,"červená fólie",IFERROR(VLOOKUP("červená fólie",Jazyky_ceník!$A:$Q,MATCH($W$17,Jazyky_ceník!$A$1:$Q$1,0),FALSE),"!!!"))</f>
        <v>červená fólie</v>
      </c>
      <c r="T752" s="729">
        <v>130</v>
      </c>
      <c r="U752" s="729">
        <v>40</v>
      </c>
      <c r="V752" s="729">
        <v>29</v>
      </c>
      <c r="W752" s="729" t="str">
        <f>IFERROR(VLOOKUP('General price list'!$C752,Popisy!A:P,MATCH($W$17,Popisy!$A$7:$P$7,0),FALSE),"---------------")</f>
        <v>10 různobarevných efektů</v>
      </c>
      <c r="X752" s="729" t="str">
        <f t="shared" si="1790"/>
        <v/>
      </c>
      <c r="Y752" s="729" t="str">
        <f t="shared" si="1791"/>
        <v/>
      </c>
      <c r="Z752" s="729" t="str">
        <f>HYPERLINK("https://www.klasekpyrotechnics.cz/c1003bps-c")</f>
        <v>https://www.klasekpyrotechnics.cz/c1003bps-c</v>
      </c>
      <c r="AA752" s="729">
        <f>IFERROR(IF(VLOOKUP(C752,[4]List1!$A:$D,4,FALSE)=0,"",VLOOKUP(C752,[4]List1!$A:$D,4,FALSE)),"")</f>
        <v>42</v>
      </c>
      <c r="AB752" s="720"/>
      <c r="AC752" s="751" t="str">
        <f>IFERROR(IF(VLOOKUP(C752,[1]List1!$A:$D,2,FALSE)="VYPRODÁNO",$V$9,IF(VLOOKUP(C752,[1]List1!$A:$D,2,FALSE)="DOCHÁZÍ",$V$3,VLOOKUP(C752,[1]List1!$A:$D,2,FALSE))),"OFFLINE!")</f>
        <v>SKLADEM</v>
      </c>
      <c r="AD752" s="752" t="str">
        <f ca="1">IF(AP752="NE",$V$10,IF(AC752=$V$3,IF(AQ752&lt;1,$V$8,$V$2&amp;" "&amp;AQ752&amp;" "&amp;$V$1),IF(AC752="SKLADEM",$V$6,IFERROR(IF(OR(AC752-TODAY()&gt;45,VLOOKUP(C752,[1]List1!$A:$E,4,FALSE)=0),AC752,DAY(AC752)&amp;"."&amp;MONTH(AC752)&amp;"."&amp;YEAR(AC752)&amp;" "&amp;$V$4&amp;VLOOKUP(C752,[1]List1!$A:$E,4,FALSE)&amp;" "&amp;$V$1),AC752))))</f>
        <v>SKLADEM</v>
      </c>
      <c r="AE752" s="729" t="str">
        <f t="shared" ca="1" si="1792"/>
        <v>SKLADEM</v>
      </c>
      <c r="AF752" s="735">
        <f t="shared" si="1793"/>
        <v>0</v>
      </c>
      <c r="AG752" s="735">
        <f t="shared" si="1794"/>
        <v>0</v>
      </c>
      <c r="AH752" s="736">
        <f t="shared" si="1795"/>
        <v>0</v>
      </c>
      <c r="AI752" s="729">
        <f t="shared" si="1796"/>
        <v>0</v>
      </c>
      <c r="AJ752" s="729">
        <f t="shared" si="1797"/>
        <v>0</v>
      </c>
      <c r="AK752" s="729" t="str">
        <f t="shared" si="1798"/>
        <v/>
      </c>
      <c r="AL752" s="729">
        <f t="shared" si="1799"/>
        <v>0</v>
      </c>
      <c r="AM752" s="729" t="str">
        <f t="shared" si="1800"/>
        <v/>
      </c>
      <c r="AN752" s="729">
        <f t="shared" si="1801"/>
        <v>0</v>
      </c>
      <c r="AO752" s="380"/>
      <c r="AP752" s="322" t="str">
        <f t="shared" si="1738"/>
        <v/>
      </c>
      <c r="AQ752" s="323" t="str">
        <f>IF(AC752=$V$3,IF(VLOOKUP(C752,[1]List1!$A:$E,5,FALSE)=0,1,VLOOKUP(C752,[1]List1!$A:$E,5,FALSE)),"")</f>
        <v/>
      </c>
      <c r="AR752" s="304" t="str">
        <f t="shared" si="1739"/>
        <v/>
      </c>
      <c r="AS752" s="423" t="str">
        <f t="shared" si="1740"/>
        <v/>
      </c>
      <c r="AT752" s="304" t="str">
        <f t="shared" si="1741"/>
        <v/>
      </c>
      <c r="AU752" s="342" t="e">
        <f t="shared" si="1742"/>
        <v>#N/A</v>
      </c>
      <c r="AV752" s="304" t="e">
        <f t="shared" si="1743"/>
        <v>#N/A</v>
      </c>
      <c r="AX752" s="304">
        <f>IF(AND('General price list'!$J752="F4",'General price list'!$AB752+0&gt;0),1,0)</f>
        <v>0</v>
      </c>
      <c r="AY752" s="304">
        <f t="shared" si="1744"/>
        <v>1</v>
      </c>
      <c r="AZ752" s="304">
        <f t="shared" si="1745"/>
        <v>0</v>
      </c>
    </row>
    <row r="753" spans="1:52" ht="15" customHeight="1">
      <c r="A753" s="712" t="str">
        <f>Kat.!C750</f>
        <v/>
      </c>
      <c r="B753" s="745">
        <f>IF(AND('General price list'!$J753="F4",$AI$1=FALSE),0,IF(AC753="SKLADEM",1,IF(AC753=$V$3,1,0)))</f>
        <v>0</v>
      </c>
      <c r="C753" s="714" t="s">
        <v>1594</v>
      </c>
      <c r="D753" s="715" t="s">
        <v>1582</v>
      </c>
      <c r="E753" s="716" t="s">
        <v>136</v>
      </c>
      <c r="F753" s="712">
        <f>IFERROR(ROUND(IF($AL$3=2,VLOOKUP(C753,[2]List1!$A:$D,2,FALSE)*1.08,VLOOKUP(C753,[2]List1!$A:$D,2,FALSE)),0),"NEUVEDENO!")</f>
        <v>2229</v>
      </c>
      <c r="G753" s="717">
        <f t="shared" si="1788"/>
        <v>2229</v>
      </c>
      <c r="H753" s="718">
        <f t="shared" si="1789"/>
        <v>90.576986374848133</v>
      </c>
      <c r="I753" s="746">
        <v>1</v>
      </c>
      <c r="J753" s="716" t="s">
        <v>137</v>
      </c>
      <c r="K753" s="716" t="s">
        <v>14734</v>
      </c>
      <c r="L753" s="716" t="s">
        <v>24</v>
      </c>
      <c r="M753" s="716" t="s">
        <v>138</v>
      </c>
      <c r="N753" s="716">
        <f>IFERROR(VLOOKUP(C753,[3]List1!$A:$D,4,FALSE),"N/A!")</f>
        <v>3.5625000000000004E-2</v>
      </c>
      <c r="O753" s="716">
        <f>IFERROR(VLOOKUP(C753,[3]List1!$A:$D,3,FALSE),"N/A!")</f>
        <v>1900</v>
      </c>
      <c r="P753" s="716">
        <f>IFERROR(VLOOKUP(C753,[3]List1!$A:$D,2,FALSE),"N/A!")</f>
        <v>13500</v>
      </c>
      <c r="Q753" s="716" t="s">
        <v>14242</v>
      </c>
      <c r="R753" s="716" t="s">
        <v>24</v>
      </c>
      <c r="S753" s="716" t="str">
        <f>IF($W$17=$AF$1,"červená fólie",IFERROR(VLOOKUP("červená fólie",Jazyky_ceník!$A:$Q,MATCH($W$17,Jazyky_ceník!$A$1:$Q$1,0),FALSE),"!!!"))</f>
        <v>červená fólie</v>
      </c>
      <c r="T753" s="716">
        <v>100</v>
      </c>
      <c r="U753" s="716">
        <v>40</v>
      </c>
      <c r="V753" s="716">
        <v>30</v>
      </c>
      <c r="W753" s="716" t="str">
        <f>IFERROR(VLOOKUP('General price list'!$C753,Popisy!A:P,MATCH($W$17,Popisy!$A$7:$P$7,0),FALSE),"---------------")</f>
        <v>10 různobarevných efektů</v>
      </c>
      <c r="X753" s="716" t="str">
        <f t="shared" si="1790"/>
        <v/>
      </c>
      <c r="Y753" s="716" t="str">
        <f t="shared" si="1791"/>
        <v/>
      </c>
      <c r="Z753" s="716" t="str">
        <f>HYPERLINK("https://www.klasekpyrotechnics.cz/c1003bb-c")</f>
        <v>https://www.klasekpyrotechnics.cz/c1003bb-c</v>
      </c>
      <c r="AA753" s="716">
        <f>IFERROR(IF(VLOOKUP(C753,[4]List1!$A:$D,4,FALSE)=0,"",VLOOKUP(C753,[4]List1!$A:$D,4,FALSE)),"")</f>
        <v>42</v>
      </c>
      <c r="AB753" s="720"/>
      <c r="AC753" s="747" t="str">
        <f>IFERROR(IF(VLOOKUP(C753,[1]List1!$A:$D,2,FALSE)="VYPRODÁNO",$V$9,IF(VLOOKUP(C753,[1]List1!$A:$D,2,FALSE)="DOCHÁZÍ",$V$3,VLOOKUP(C753,[1]List1!$A:$D,2,FALSE))),"OFFLINE!")</f>
        <v>15.05.2024</v>
      </c>
      <c r="AD753" s="748" t="str">
        <f ca="1">IF(AP753="NE",$V$10,IF(AC753=$V$3,IF(AQ753&lt;1,$V$8,$V$2&amp;" "&amp;AQ753&amp;" "&amp;$V$1),IF(AC753="SKLADEM",$V$6,IFERROR(IF(OR(AC753-TODAY()&gt;45,VLOOKUP(C753,[1]List1!$A:$E,4,FALSE)=0),AC753,DAY(AC753)&amp;"."&amp;MONTH(AC753)&amp;"."&amp;YEAR(AC753)&amp;" "&amp;$V$4&amp;VLOOKUP(C753,[1]List1!$A:$E,4,FALSE)&amp;" "&amp;$V$1),AC753))))</f>
        <v>15.05.2024</v>
      </c>
      <c r="AE753" s="716" t="str">
        <f t="shared" ca="1" si="1792"/>
        <v>15.05.2024</v>
      </c>
      <c r="AF753" s="723">
        <f t="shared" si="1793"/>
        <v>0</v>
      </c>
      <c r="AG753" s="723">
        <f t="shared" si="1794"/>
        <v>0</v>
      </c>
      <c r="AH753" s="724">
        <f t="shared" si="1795"/>
        <v>0</v>
      </c>
      <c r="AI753" s="716">
        <f t="shared" si="1796"/>
        <v>0</v>
      </c>
      <c r="AJ753" s="716">
        <f t="shared" si="1797"/>
        <v>0</v>
      </c>
      <c r="AK753" s="716" t="str">
        <f t="shared" si="1798"/>
        <v/>
      </c>
      <c r="AL753" s="716">
        <f t="shared" si="1799"/>
        <v>0</v>
      </c>
      <c r="AM753" s="716" t="str">
        <f t="shared" si="1800"/>
        <v/>
      </c>
      <c r="AN753" s="716">
        <f t="shared" si="1801"/>
        <v>0</v>
      </c>
      <c r="AO753" s="380"/>
      <c r="AP753" s="322" t="str">
        <f t="shared" si="1738"/>
        <v/>
      </c>
      <c r="AQ753" s="323" t="str">
        <f>IF(AC753=$V$3,IF(VLOOKUP(C753,[1]List1!$A:$E,5,FALSE)=0,1,VLOOKUP(C753,[1]List1!$A:$E,5,FALSE)),"")</f>
        <v/>
      </c>
      <c r="AR753" s="304" t="str">
        <f t="shared" si="1739"/>
        <v/>
      </c>
      <c r="AS753" s="423" t="str">
        <f t="shared" si="1740"/>
        <v/>
      </c>
      <c r="AT753" s="304" t="str">
        <f t="shared" si="1741"/>
        <v/>
      </c>
      <c r="AU753" s="342" t="e">
        <f t="shared" si="1742"/>
        <v>#N/A</v>
      </c>
      <c r="AV753" s="304" t="e">
        <f t="shared" si="1743"/>
        <v>#N/A</v>
      </c>
      <c r="AX753" s="304">
        <f>IF(AND('General price list'!$J753="F4",'General price list'!$AB753+0&gt;0),1,0)</f>
        <v>0</v>
      </c>
      <c r="AY753" s="304">
        <f t="shared" si="1744"/>
        <v>1</v>
      </c>
      <c r="AZ753" s="304">
        <f t="shared" si="1745"/>
        <v>0</v>
      </c>
    </row>
    <row r="754" spans="1:52" ht="15" customHeight="1">
      <c r="A754" s="725" t="str">
        <f>Kat.!C751</f>
        <v/>
      </c>
      <c r="B754" s="749">
        <f>IF(AND('General price list'!$J754="F4",$AI$1=FALSE),0,IF(AC754="SKLADEM",1,IF(AC754=$V$3,1,0)))</f>
        <v>1</v>
      </c>
      <c r="C754" s="727" t="s">
        <v>5443</v>
      </c>
      <c r="D754" s="728" t="s">
        <v>2568</v>
      </c>
      <c r="E754" s="729" t="s">
        <v>136</v>
      </c>
      <c r="F754" s="725">
        <f>IFERROR(ROUND(IF($AL$3=2,VLOOKUP(C754,[2]List1!$A:$D,2,FALSE)*1.08,VLOOKUP(C754,[2]List1!$A:$D,2,FALSE)),0),"NEUVEDENO!")</f>
        <v>2229</v>
      </c>
      <c r="G754" s="730">
        <f t="shared" si="1788"/>
        <v>2229</v>
      </c>
      <c r="H754" s="731">
        <f t="shared" si="1789"/>
        <v>90.576986374848133</v>
      </c>
      <c r="I754" s="750">
        <v>1</v>
      </c>
      <c r="J754" s="729" t="s">
        <v>137</v>
      </c>
      <c r="K754" s="729" t="s">
        <v>14734</v>
      </c>
      <c r="L754" s="729" t="s">
        <v>24</v>
      </c>
      <c r="M754" s="729" t="s">
        <v>138</v>
      </c>
      <c r="N754" s="729">
        <f>IFERROR(VLOOKUP(C754,[3]List1!$A:$D,4,FALSE),"N/A!")</f>
        <v>3.5625000000000004E-2</v>
      </c>
      <c r="O754" s="729">
        <f>IFERROR(VLOOKUP(C754,[3]List1!$A:$D,3,FALSE),"N/A!")</f>
        <v>1900</v>
      </c>
      <c r="P754" s="729">
        <f>IFERROR(VLOOKUP(C754,[3]List1!$A:$D,2,FALSE),"N/A!")</f>
        <v>13500</v>
      </c>
      <c r="Q754" s="729" t="s">
        <v>11324</v>
      </c>
      <c r="R754" s="729" t="s">
        <v>24</v>
      </c>
      <c r="S754" s="729" t="str">
        <f>IF($W$17=$AF$1,"červená fólie",IFERROR(VLOOKUP("červená fólie",Jazyky_ceník!$A:$Q,MATCH($W$17,Jazyky_ceník!$A$1:$Q$1,0),FALSE),"!!!"))</f>
        <v>červená fólie</v>
      </c>
      <c r="T754" s="729">
        <v>100</v>
      </c>
      <c r="U754" s="729">
        <v>40</v>
      </c>
      <c r="V754" s="729">
        <v>30</v>
      </c>
      <c r="W754" s="729" t="str">
        <f>IFERROR(VLOOKUP('General price list'!$C754,Popisy!A:P,MATCH($W$17,Popisy!$A$7:$P$7,0),FALSE),"---------------")</f>
        <v>10 různobarevných efektů</v>
      </c>
      <c r="X754" s="729" t="str">
        <f t="shared" si="1790"/>
        <v/>
      </c>
      <c r="Y754" s="729" t="str">
        <f t="shared" si="1791"/>
        <v/>
      </c>
      <c r="Z754" s="729" t="str">
        <f>HYPERLINK("https://www.klasekpyrotechnics.cz/c1003f-c")</f>
        <v>https://www.klasekpyrotechnics.cz/c1003f-c</v>
      </c>
      <c r="AA754" s="729">
        <f>IFERROR(IF(VLOOKUP(C754,[4]List1!$A:$D,4,FALSE)=0,"",VLOOKUP(C754,[4]List1!$A:$D,4,FALSE)),"")</f>
        <v>42</v>
      </c>
      <c r="AB754" s="720"/>
      <c r="AC754" s="751" t="str">
        <f>IFERROR(IF(VLOOKUP(C754,[1]List1!$A:$D,2,FALSE)="VYPRODÁNO",$V$9,IF(VLOOKUP(C754,[1]List1!$A:$D,2,FALSE)="DOCHÁZÍ",$V$3,VLOOKUP(C754,[1]List1!$A:$D,2,FALSE))),"OFFLINE!")</f>
        <v>SKLADEM</v>
      </c>
      <c r="AD754" s="752" t="str">
        <f ca="1">IF(AP754="NE",$V$10,IF(AC754=$V$3,IF(AQ754&lt;1,$V$8,$V$2&amp;" "&amp;AQ754&amp;" "&amp;$V$1),IF(AC754="SKLADEM",$V$6,IFERROR(IF(OR(AC754-TODAY()&gt;45,VLOOKUP(C754,[1]List1!$A:$E,4,FALSE)=0),AC754,DAY(AC754)&amp;"."&amp;MONTH(AC754)&amp;"."&amp;YEAR(AC754)&amp;" "&amp;$V$4&amp;VLOOKUP(C754,[1]List1!$A:$E,4,FALSE)&amp;" "&amp;$V$1),AC754))))</f>
        <v>SKLADEM</v>
      </c>
      <c r="AE754" s="729" t="str">
        <f t="shared" ca="1" si="1792"/>
        <v>SKLADEM</v>
      </c>
      <c r="AF754" s="735">
        <f t="shared" si="1793"/>
        <v>0</v>
      </c>
      <c r="AG754" s="735">
        <f t="shared" si="1794"/>
        <v>0</v>
      </c>
      <c r="AH754" s="736">
        <f t="shared" si="1795"/>
        <v>0</v>
      </c>
      <c r="AI754" s="729">
        <f t="shared" si="1796"/>
        <v>0</v>
      </c>
      <c r="AJ754" s="729">
        <f t="shared" si="1797"/>
        <v>0</v>
      </c>
      <c r="AK754" s="729" t="str">
        <f t="shared" si="1798"/>
        <v/>
      </c>
      <c r="AL754" s="729">
        <f t="shared" si="1799"/>
        <v>0</v>
      </c>
      <c r="AM754" s="729" t="str">
        <f t="shared" si="1800"/>
        <v/>
      </c>
      <c r="AN754" s="729">
        <f t="shared" si="1801"/>
        <v>0</v>
      </c>
      <c r="AO754" s="380"/>
      <c r="AP754" s="322" t="str">
        <f t="shared" si="1738"/>
        <v/>
      </c>
      <c r="AQ754" s="323" t="str">
        <f>IF(AC754=$V$3,IF(VLOOKUP(C754,[1]List1!$A:$E,5,FALSE)=0,1,VLOOKUP(C754,[1]List1!$A:$E,5,FALSE)),"")</f>
        <v/>
      </c>
      <c r="AR754" s="304" t="str">
        <f t="shared" si="1739"/>
        <v/>
      </c>
      <c r="AS754" s="423" t="str">
        <f t="shared" si="1740"/>
        <v/>
      </c>
      <c r="AT754" s="304" t="str">
        <f t="shared" si="1741"/>
        <v/>
      </c>
      <c r="AU754" s="342" t="e">
        <f t="shared" si="1742"/>
        <v>#N/A</v>
      </c>
      <c r="AV754" s="304" t="e">
        <f t="shared" si="1743"/>
        <v>#N/A</v>
      </c>
      <c r="AX754" s="304">
        <f>IF(AND('General price list'!$J754="F4",'General price list'!$AB754+0&gt;0),1,0)</f>
        <v>0</v>
      </c>
      <c r="AY754" s="304">
        <f t="shared" si="1744"/>
        <v>1</v>
      </c>
      <c r="AZ754" s="304">
        <f t="shared" si="1745"/>
        <v>0</v>
      </c>
    </row>
    <row r="755" spans="1:52" ht="15" customHeight="1">
      <c r="A755" s="712" t="str">
        <f>Kat.!C752</f>
        <v/>
      </c>
      <c r="B755" s="745">
        <f>IF(AND('General price list'!$J755="F4",$AI$1=FALSE),0,IF(AC755="SKLADEM",1,IF(AC755=$V$3,1,0)))</f>
        <v>0</v>
      </c>
      <c r="C755" s="714" t="s">
        <v>1595</v>
      </c>
      <c r="D755" s="715" t="s">
        <v>1583</v>
      </c>
      <c r="E755" s="716" t="s">
        <v>136</v>
      </c>
      <c r="F755" s="712">
        <f>IFERROR(ROUND(IF($AL$3=2,VLOOKUP(C755,[2]List1!$A:$D,2,FALSE)*1.08,VLOOKUP(C755,[2]List1!$A:$D,2,FALSE)),0),"NEUVEDENO!")</f>
        <v>2751</v>
      </c>
      <c r="G755" s="717">
        <f t="shared" si="1788"/>
        <v>2751</v>
      </c>
      <c r="H755" s="718">
        <f t="shared" si="1789"/>
        <v>111.78882436841957</v>
      </c>
      <c r="I755" s="746">
        <v>1</v>
      </c>
      <c r="J755" s="716" t="s">
        <v>137</v>
      </c>
      <c r="K755" s="716"/>
      <c r="L755" s="716" t="s">
        <v>24</v>
      </c>
      <c r="M755" s="716" t="s">
        <v>138</v>
      </c>
      <c r="N755" s="716">
        <f>IFERROR(VLOOKUP(C755,[3]List1!$A:$D,4,FALSE),"N/A!")</f>
        <v>3.5625000000000004E-2</v>
      </c>
      <c r="O755" s="716">
        <f>IFERROR(VLOOKUP(C755,[3]List1!$A:$D,3,FALSE),"N/A!")</f>
        <v>1998</v>
      </c>
      <c r="P755" s="716">
        <f>IFERROR(VLOOKUP(C755,[3]List1!$A:$D,2,FALSE),"N/A!")</f>
        <v>14000</v>
      </c>
      <c r="Q755" s="716" t="s">
        <v>14242</v>
      </c>
      <c r="R755" s="716" t="s">
        <v>24</v>
      </c>
      <c r="S755" s="716" t="str">
        <f>IF($W$17=$AF$1,"červená fólie",IFERROR(VLOOKUP("červená fólie",Jazyky_ceník!$A:$Q,MATCH($W$17,Jazyky_ceník!$A$1:$Q$1,0),FALSE),"!!!"))</f>
        <v>červená fólie</v>
      </c>
      <c r="T755" s="716">
        <v>100</v>
      </c>
      <c r="U755" s="716">
        <v>43</v>
      </c>
      <c r="V755" s="716">
        <v>33</v>
      </c>
      <c r="W755" s="716" t="str">
        <f>IFERROR(VLOOKUP('General price list'!$C755,Popisy!A:P,MATCH($W$17,Popisy!$A$7:$P$7,0),FALSE),"---------------")</f>
        <v>10 různobarevných efektů</v>
      </c>
      <c r="X755" s="716" t="str">
        <f t="shared" si="1790"/>
        <v/>
      </c>
      <c r="Y755" s="716" t="str">
        <f t="shared" si="1791"/>
        <v/>
      </c>
      <c r="Z755" s="716" t="str">
        <f>HYPERLINK("https://www.klasekpyrotechnics.cz/c1003sig-c")</f>
        <v>https://www.klasekpyrotechnics.cz/c1003sig-c</v>
      </c>
      <c r="AA755" s="716">
        <f>IFERROR(IF(VLOOKUP(C755,[4]List1!$A:$D,4,FALSE)=0,"",VLOOKUP(C755,[4]List1!$A:$D,4,FALSE)),"")</f>
        <v>42</v>
      </c>
      <c r="AB755" s="720"/>
      <c r="AC755" s="747" t="str">
        <f>IFERROR(IF(VLOOKUP(C755,[1]List1!$A:$D,2,FALSE)="VYPRODÁNO",$V$9,IF(VLOOKUP(C755,[1]List1!$A:$D,2,FALSE)="DOCHÁZÍ",$V$3,VLOOKUP(C755,[1]List1!$A:$D,2,FALSE))),"OFFLINE!")</f>
        <v>15.09.2024</v>
      </c>
      <c r="AD755" s="748" t="str">
        <f ca="1">IF(AP755="NE",$V$10,IF(AC755=$V$3,IF(AQ755&lt;1,$V$8,$V$2&amp;" "&amp;AQ755&amp;" "&amp;$V$1),IF(AC755="SKLADEM",$V$6,IFERROR(IF(OR(AC755-TODAY()&gt;45,VLOOKUP(C755,[1]List1!$A:$E,4,FALSE)=0),AC755,DAY(AC755)&amp;"."&amp;MONTH(AC755)&amp;"."&amp;YEAR(AC755)&amp;" "&amp;$V$4&amp;VLOOKUP(C755,[1]List1!$A:$E,4,FALSE)&amp;" "&amp;$V$1),AC755))))</f>
        <v>15.09.2024</v>
      </c>
      <c r="AE755" s="716" t="str">
        <f t="shared" ca="1" si="1792"/>
        <v>15.09.2024</v>
      </c>
      <c r="AF755" s="723">
        <f t="shared" si="1793"/>
        <v>0</v>
      </c>
      <c r="AG755" s="723">
        <f t="shared" si="1794"/>
        <v>0</v>
      </c>
      <c r="AH755" s="724">
        <f t="shared" si="1795"/>
        <v>0</v>
      </c>
      <c r="AI755" s="716">
        <f t="shared" si="1796"/>
        <v>0</v>
      </c>
      <c r="AJ755" s="716">
        <f t="shared" si="1797"/>
        <v>0</v>
      </c>
      <c r="AK755" s="716" t="str">
        <f t="shared" si="1798"/>
        <v/>
      </c>
      <c r="AL755" s="716">
        <f t="shared" si="1799"/>
        <v>0</v>
      </c>
      <c r="AM755" s="716" t="str">
        <f t="shared" si="1800"/>
        <v/>
      </c>
      <c r="AN755" s="716">
        <f t="shared" si="1801"/>
        <v>0</v>
      </c>
      <c r="AO755" s="380"/>
      <c r="AP755" s="322" t="str">
        <f t="shared" si="1738"/>
        <v/>
      </c>
      <c r="AQ755" s="323" t="str">
        <f>IF(AC755=$V$3,IF(VLOOKUP(C755,[1]List1!$A:$E,5,FALSE)=0,1,VLOOKUP(C755,[1]List1!$A:$E,5,FALSE)),"")</f>
        <v/>
      </c>
      <c r="AR755" s="304" t="str">
        <f t="shared" si="1739"/>
        <v/>
      </c>
      <c r="AS755" s="423" t="str">
        <f t="shared" si="1740"/>
        <v/>
      </c>
      <c r="AT755" s="304" t="str">
        <f t="shared" si="1741"/>
        <v/>
      </c>
      <c r="AU755" s="342" t="e">
        <f t="shared" si="1742"/>
        <v>#N/A</v>
      </c>
      <c r="AV755" s="304" t="e">
        <f t="shared" si="1743"/>
        <v>#N/A</v>
      </c>
      <c r="AX755" s="304">
        <f>IF(AND('General price list'!$J755="F4",'General price list'!$AB755+0&gt;0),1,0)</f>
        <v>0</v>
      </c>
      <c r="AY755" s="304">
        <f t="shared" si="1744"/>
        <v>1</v>
      </c>
      <c r="AZ755" s="304">
        <f t="shared" si="1745"/>
        <v>0</v>
      </c>
    </row>
    <row r="756" spans="1:52" ht="15" customHeight="1">
      <c r="A756" s="725" t="str">
        <f>Kat.!C753</f>
        <v/>
      </c>
      <c r="B756" s="749">
        <f>IF(AND('General price list'!$J756="F4",$AI$1=FALSE),0,IF(AC756="SKLADEM",1,IF(AC756=$V$3,1,0)))</f>
        <v>0</v>
      </c>
      <c r="C756" s="727" t="s">
        <v>1597</v>
      </c>
      <c r="D756" s="728" t="s">
        <v>1335</v>
      </c>
      <c r="E756" s="729" t="s">
        <v>136</v>
      </c>
      <c r="F756" s="725">
        <f>IFERROR(ROUND(IF($AL$3=2,VLOOKUP(C756,[2]List1!$A:$D,2,FALSE)*1.08,VLOOKUP(C756,[2]List1!$A:$D,2,FALSE)),0),"NEUVEDENO!")</f>
        <v>2563</v>
      </c>
      <c r="G756" s="730">
        <f t="shared" si="1788"/>
        <v>2563</v>
      </c>
      <c r="H756" s="731">
        <f t="shared" si="1789"/>
        <v>104.14931183433636</v>
      </c>
      <c r="I756" s="750">
        <v>1</v>
      </c>
      <c r="J756" s="729" t="s">
        <v>137</v>
      </c>
      <c r="K756" s="729"/>
      <c r="L756" s="729" t="s">
        <v>24</v>
      </c>
      <c r="M756" s="729" t="s">
        <v>138</v>
      </c>
      <c r="N756" s="729">
        <f>IFERROR(VLOOKUP(C756,[3]List1!$A:$D,4,FALSE),"N/A!")</f>
        <v>3.5625000000000004E-2</v>
      </c>
      <c r="O756" s="729">
        <f>IFERROR(VLOOKUP(C756,[3]List1!$A:$D,3,FALSE),"N/A!")</f>
        <v>1900</v>
      </c>
      <c r="P756" s="729">
        <f>IFERROR(VLOOKUP(C756,[3]List1!$A:$D,2,FALSE),"N/A!")</f>
        <v>13500</v>
      </c>
      <c r="Q756" s="729" t="s">
        <v>14242</v>
      </c>
      <c r="R756" s="729" t="s">
        <v>24</v>
      </c>
      <c r="S756" s="729" t="str">
        <f>IF($W$17=$AF$1,"červená fólie",IFERROR(VLOOKUP("červená fólie",Jazyky_ceník!$A:$Q,MATCH($W$17,Jazyky_ceník!$A$1:$Q$1,0),FALSE),"!!!"))</f>
        <v>červená fólie</v>
      </c>
      <c r="T756" s="729">
        <v>100</v>
      </c>
      <c r="U756" s="729">
        <v>40</v>
      </c>
      <c r="V756" s="729">
        <v>30</v>
      </c>
      <c r="W756" s="729" t="str">
        <f>IFERROR(VLOOKUP('General price list'!$C756,Popisy!A:P,MATCH($W$17,Popisy!$A$7:$P$7,0),FALSE),"---------------")</f>
        <v>10 různobarevných efektů, karton obsahuje nálepky s různým věkem</v>
      </c>
      <c r="X756" s="729" t="str">
        <f t="shared" si="1790"/>
        <v/>
      </c>
      <c r="Y756" s="729" t="str">
        <f t="shared" si="1791"/>
        <v/>
      </c>
      <c r="Z756" s="729" t="str">
        <f>HYPERLINK("https://www.klasekpyrotechnics.cz/c1003vs-c")</f>
        <v>https://www.klasekpyrotechnics.cz/c1003vs-c</v>
      </c>
      <c r="AA756" s="729">
        <f>IFERROR(IF(VLOOKUP(C756,[4]List1!$A:$D,4,FALSE)=0,"",VLOOKUP(C756,[4]List1!$A:$D,4,FALSE)),"")</f>
        <v>42</v>
      </c>
      <c r="AB756" s="720"/>
      <c r="AC756" s="751" t="str">
        <f>IFERROR(IF(VLOOKUP(C756,[1]List1!$A:$D,2,FALSE)="VYPRODÁNO",$V$9,IF(VLOOKUP(C756,[1]List1!$A:$D,2,FALSE)="DOCHÁZÍ",$V$3,VLOOKUP(C756,[1]List1!$A:$D,2,FALSE))),"OFFLINE!")</f>
        <v>15.09.2024</v>
      </c>
      <c r="AD756" s="752" t="str">
        <f ca="1">IF(AP756="NE",$V$10,IF(AC756=$V$3,IF(AQ756&lt;1,$V$8,$V$2&amp;" "&amp;AQ756&amp;" "&amp;$V$1),IF(AC756="SKLADEM",$V$6,IFERROR(IF(OR(AC756-TODAY()&gt;45,VLOOKUP(C756,[1]List1!$A:$E,4,FALSE)=0),AC756,DAY(AC756)&amp;"."&amp;MONTH(AC756)&amp;"."&amp;YEAR(AC756)&amp;" "&amp;$V$4&amp;VLOOKUP(C756,[1]List1!$A:$E,4,FALSE)&amp;" "&amp;$V$1),AC756))))</f>
        <v>15.09.2024</v>
      </c>
      <c r="AE756" s="729" t="str">
        <f t="shared" ca="1" si="1792"/>
        <v>15.09.2024</v>
      </c>
      <c r="AF756" s="735">
        <f t="shared" si="1793"/>
        <v>0</v>
      </c>
      <c r="AG756" s="735">
        <f t="shared" si="1794"/>
        <v>0</v>
      </c>
      <c r="AH756" s="736">
        <f t="shared" si="1795"/>
        <v>0</v>
      </c>
      <c r="AI756" s="729">
        <f t="shared" si="1796"/>
        <v>0</v>
      </c>
      <c r="AJ756" s="729">
        <f t="shared" si="1797"/>
        <v>0</v>
      </c>
      <c r="AK756" s="729" t="str">
        <f t="shared" si="1798"/>
        <v/>
      </c>
      <c r="AL756" s="729">
        <f t="shared" si="1799"/>
        <v>0</v>
      </c>
      <c r="AM756" s="729" t="str">
        <f t="shared" si="1800"/>
        <v/>
      </c>
      <c r="AN756" s="729">
        <f t="shared" si="1801"/>
        <v>0</v>
      </c>
      <c r="AO756" s="380"/>
      <c r="AP756" s="322" t="str">
        <f t="shared" si="1738"/>
        <v/>
      </c>
      <c r="AQ756" s="323" t="str">
        <f>IF(AC756=$V$3,IF(VLOOKUP(C756,[1]List1!$A:$E,5,FALSE)=0,1,VLOOKUP(C756,[1]List1!$A:$E,5,FALSE)),"")</f>
        <v/>
      </c>
      <c r="AR756" s="304" t="str">
        <f t="shared" si="1739"/>
        <v/>
      </c>
      <c r="AS756" s="423" t="str">
        <f t="shared" si="1740"/>
        <v/>
      </c>
      <c r="AT756" s="304" t="str">
        <f t="shared" si="1741"/>
        <v/>
      </c>
      <c r="AU756" s="342" t="e">
        <f t="shared" si="1742"/>
        <v>#N/A</v>
      </c>
      <c r="AV756" s="304" t="e">
        <f t="shared" si="1743"/>
        <v>#N/A</v>
      </c>
      <c r="AX756" s="304">
        <f>IF(AND('General price list'!$J756="F4",'General price list'!$AB756+0&gt;0),1,0)</f>
        <v>0</v>
      </c>
      <c r="AY756" s="304">
        <f t="shared" si="1744"/>
        <v>1</v>
      </c>
      <c r="AZ756" s="304">
        <f t="shared" si="1745"/>
        <v>0</v>
      </c>
    </row>
    <row r="757" spans="1:52" ht="15" customHeight="1">
      <c r="A757" s="712" t="str">
        <f>Kat.!C754</f>
        <v/>
      </c>
      <c r="B757" s="745">
        <f>IF(AND('General price list'!$J757="F4",$AI$1=FALSE),0,IF(AC757="SKLADEM",1,IF(AC757=$V$3,1,0)))</f>
        <v>1</v>
      </c>
      <c r="C757" s="714" t="s">
        <v>1600</v>
      </c>
      <c r="D757" s="715" t="s">
        <v>5450</v>
      </c>
      <c r="E757" s="716" t="s">
        <v>136</v>
      </c>
      <c r="F757" s="712">
        <f>IFERROR(ROUND(IF($AL$3=2,VLOOKUP(C757,[2]List1!$A:$D,2,FALSE)*1.08,VLOOKUP(C757,[2]List1!$A:$D,2,FALSE)),0),"NEUVEDENO!")</f>
        <v>3079</v>
      </c>
      <c r="G757" s="717">
        <f t="shared" si="1788"/>
        <v>3079</v>
      </c>
      <c r="H757" s="718">
        <f t="shared" si="1789"/>
        <v>125.11733559809663</v>
      </c>
      <c r="I757" s="746">
        <v>1</v>
      </c>
      <c r="J757" s="716" t="s">
        <v>137</v>
      </c>
      <c r="K757" s="716"/>
      <c r="L757" s="716" t="s">
        <v>24</v>
      </c>
      <c r="M757" s="716" t="s">
        <v>138</v>
      </c>
      <c r="N757" s="716">
        <f>IFERROR(VLOOKUP(C757,[3]List1!$A:$D,4,FALSE),"N/A!")</f>
        <v>5.726875E-2</v>
      </c>
      <c r="O757" s="716">
        <f>IFERROR(VLOOKUP(C757,[3]List1!$A:$D,3,FALSE),"N/A!")</f>
        <v>1900</v>
      </c>
      <c r="P757" s="716">
        <f>IFERROR(VLOOKUP(C757,[3]List1!$A:$D,2,FALSE),"N/A!")</f>
        <v>15100</v>
      </c>
      <c r="Q757" s="716" t="s">
        <v>14242</v>
      </c>
      <c r="R757" s="716" t="s">
        <v>24</v>
      </c>
      <c r="S757" s="716" t="str">
        <f>IF($W$17=$AF$1,"červená fólie",IFERROR(VLOOKUP("červená fólie",Jazyky_ceník!$A:$Q,MATCH($W$17,Jazyky_ceník!$A$1:$Q$1,0),FALSE),"!!!"))</f>
        <v>červená fólie</v>
      </c>
      <c r="T757" s="716">
        <v>80</v>
      </c>
      <c r="U757" s="716">
        <v>40</v>
      </c>
      <c r="V757" s="716">
        <v>30</v>
      </c>
      <c r="W757" s="716" t="str">
        <f>IFERROR(VLOOKUP('General price list'!$C757,Popisy!A:P,MATCH($W$17,Popisy!$A$7:$P$7,0),FALSE),"---------------")</f>
        <v>10 různobarevných efektů</v>
      </c>
      <c r="X757" s="716" t="str">
        <f t="shared" si="1790"/>
        <v/>
      </c>
      <c r="Y757" s="716" t="str">
        <f t="shared" si="1791"/>
        <v/>
      </c>
      <c r="Z757" s="716" t="str">
        <f>HYPERLINK("https://www.klasekpyrotechnics.cz/cf1003p-c")</f>
        <v>https://www.klasekpyrotechnics.cz/cf1003p-c</v>
      </c>
      <c r="AA757" s="716">
        <f>IFERROR(IF(VLOOKUP(C757,[4]List1!$A:$D,4,FALSE)=0,"",VLOOKUP(C757,[4]List1!$A:$D,4,FALSE)),"")</f>
        <v>24</v>
      </c>
      <c r="AB757" s="720"/>
      <c r="AC757" s="747" t="str">
        <f>IFERROR(IF(VLOOKUP(C757,[1]List1!$A:$D,2,FALSE)="VYPRODÁNO",$V$9,IF(VLOOKUP(C757,[1]List1!$A:$D,2,FALSE)="DOCHÁZÍ",$V$3,VLOOKUP(C757,[1]List1!$A:$D,2,FALSE))),"OFFLINE!")</f>
        <v>SKLADEM</v>
      </c>
      <c r="AD757" s="748" t="str">
        <f ca="1">IF(AP757="NE",$V$10,IF(AC757=$V$3,IF(AQ757&lt;1,$V$8,$V$2&amp;" "&amp;AQ757&amp;" "&amp;$V$1),IF(AC757="SKLADEM",$V$6,IFERROR(IF(OR(AC757-TODAY()&gt;45,VLOOKUP(C757,[1]List1!$A:$E,4,FALSE)=0),AC757,DAY(AC757)&amp;"."&amp;MONTH(AC757)&amp;"."&amp;YEAR(AC757)&amp;" "&amp;$V$4&amp;VLOOKUP(C757,[1]List1!$A:$E,4,FALSE)&amp;" "&amp;$V$1),AC757))))</f>
        <v>SKLADEM</v>
      </c>
      <c r="AE757" s="716" t="str">
        <f t="shared" ca="1" si="1792"/>
        <v>SKLADEM</v>
      </c>
      <c r="AF757" s="723">
        <f t="shared" si="1793"/>
        <v>0</v>
      </c>
      <c r="AG757" s="723">
        <f t="shared" si="1794"/>
        <v>0</v>
      </c>
      <c r="AH757" s="724">
        <f t="shared" si="1795"/>
        <v>0</v>
      </c>
      <c r="AI757" s="716">
        <f t="shared" si="1796"/>
        <v>0</v>
      </c>
      <c r="AJ757" s="716">
        <f t="shared" si="1797"/>
        <v>0</v>
      </c>
      <c r="AK757" s="716" t="str">
        <f t="shared" si="1798"/>
        <v/>
      </c>
      <c r="AL757" s="716">
        <f t="shared" si="1799"/>
        <v>0</v>
      </c>
      <c r="AM757" s="716" t="str">
        <f t="shared" si="1800"/>
        <v/>
      </c>
      <c r="AN757" s="716">
        <f t="shared" si="1801"/>
        <v>0</v>
      </c>
      <c r="AO757" s="380"/>
      <c r="AP757" s="322" t="str">
        <f t="shared" si="1738"/>
        <v/>
      </c>
      <c r="AQ757" s="323" t="str">
        <f>IF(AC757=$V$3,IF(VLOOKUP(C757,[1]List1!$A:$E,5,FALSE)=0,1,VLOOKUP(C757,[1]List1!$A:$E,5,FALSE)),"")</f>
        <v/>
      </c>
      <c r="AR757" s="304" t="str">
        <f t="shared" si="1739"/>
        <v/>
      </c>
      <c r="AS757" s="423" t="str">
        <f t="shared" si="1740"/>
        <v/>
      </c>
      <c r="AT757" s="304" t="str">
        <f t="shared" si="1741"/>
        <v/>
      </c>
      <c r="AU757" s="342" t="e">
        <f t="shared" si="1742"/>
        <v>#N/A</v>
      </c>
      <c r="AV757" s="304" t="e">
        <f t="shared" si="1743"/>
        <v>#N/A</v>
      </c>
      <c r="AX757" s="304">
        <f>IF(AND('General price list'!$J757="F4",'General price list'!$AB757+0&gt;0),1,0)</f>
        <v>0</v>
      </c>
      <c r="AY757" s="304">
        <f t="shared" si="1744"/>
        <v>1</v>
      </c>
      <c r="AZ757" s="304">
        <f t="shared" si="1745"/>
        <v>0</v>
      </c>
    </row>
    <row r="758" spans="1:52" ht="15" customHeight="1">
      <c r="A758" s="725" t="str">
        <f>Kat.!C755</f>
        <v/>
      </c>
      <c r="B758" s="749">
        <f>IF(AND('General price list'!$J758="F4",$AI$1=FALSE),0,IF(AC758="SKLADEM",1,IF(AC758=$V$3,1,0)))</f>
        <v>1</v>
      </c>
      <c r="C758" s="727" t="s">
        <v>2571</v>
      </c>
      <c r="D758" s="728" t="s">
        <v>2572</v>
      </c>
      <c r="E758" s="729" t="s">
        <v>136</v>
      </c>
      <c r="F758" s="725">
        <f>IFERROR(ROUND(IF($AL$3=2,VLOOKUP(C758,[2]List1!$A:$D,2,FALSE)*1.08,VLOOKUP(C758,[2]List1!$A:$D,2,FALSE)),0),"NEUVEDENO!")</f>
        <v>3888</v>
      </c>
      <c r="G758" s="730">
        <f t="shared" si="1788"/>
        <v>3888</v>
      </c>
      <c r="H758" s="731">
        <f t="shared" si="1789"/>
        <v>157.99162091763549</v>
      </c>
      <c r="I758" s="750">
        <v>1</v>
      </c>
      <c r="J758" s="729" t="s">
        <v>137</v>
      </c>
      <c r="K758" s="729" t="s">
        <v>12734</v>
      </c>
      <c r="L758" s="729" t="s">
        <v>24</v>
      </c>
      <c r="M758" s="729" t="s">
        <v>138</v>
      </c>
      <c r="N758" s="729">
        <f>IFERROR(VLOOKUP(C758,[3]List1!$A:$D,4,FALSE),"N/A!")</f>
        <v>6.7306249999999998E-2</v>
      </c>
      <c r="O758" s="729">
        <f>IFERROR(VLOOKUP(C758,[3]List1!$A:$D,3,FALSE),"N/A!")</f>
        <v>1998</v>
      </c>
      <c r="P758" s="729">
        <f>IFERROR(VLOOKUP(C758,[3]List1!$A:$D,2,FALSE),"N/A!")</f>
        <v>20000</v>
      </c>
      <c r="Q758" s="729" t="s">
        <v>14243</v>
      </c>
      <c r="R758" s="729" t="s">
        <v>24</v>
      </c>
      <c r="S758" s="729" t="str">
        <f>IF($W$17=$AF$1,"červená fólie",IFERROR(VLOOKUP("červená fólie",Jazyky_ceník!$A:$Q,MATCH($W$17,Jazyky_ceník!$A$1:$Q$1,0),FALSE),"!!!"))</f>
        <v>červená fólie</v>
      </c>
      <c r="T758" s="729">
        <v>80</v>
      </c>
      <c r="U758" s="729">
        <v>40</v>
      </c>
      <c r="V758" s="729">
        <v>31</v>
      </c>
      <c r="W758" s="729" t="str">
        <f>IFERROR(VLOOKUP('General price list'!$C758,Popisy!A:P,MATCH($W$17,Popisy!$A$7:$P$7,0),FALSE),"---------------")</f>
        <v>16 různobarevných efektů</v>
      </c>
      <c r="X758" s="729" t="str">
        <f t="shared" si="1790"/>
        <v/>
      </c>
      <c r="Y758" s="729" t="str">
        <f t="shared" si="1791"/>
        <v/>
      </c>
      <c r="Z758" s="729" t="str">
        <f>HYPERLINK("https://www.klasekpyrotechnics.cz/c128xmpt-c")</f>
        <v>https://www.klasekpyrotechnics.cz/c128xmpt-c</v>
      </c>
      <c r="AA758" s="729">
        <f>IFERROR(IF(VLOOKUP(C758,[4]List1!$A:$D,4,FALSE)=0,"",VLOOKUP(C758,[4]List1!$A:$D,4,FALSE)),"")</f>
        <v>12</v>
      </c>
      <c r="AB758" s="720"/>
      <c r="AC758" s="751" t="str">
        <f>IFERROR(IF(VLOOKUP(C758,[1]List1!$A:$D,2,FALSE)="VYPRODÁNO",$V$9,IF(VLOOKUP(C758,[1]List1!$A:$D,2,FALSE)="DOCHÁZÍ",$V$3,VLOOKUP(C758,[1]List1!$A:$D,2,FALSE))),"OFFLINE!")</f>
        <v>SKLADEM</v>
      </c>
      <c r="AD758" s="752" t="str">
        <f ca="1">IF(AP758="NE",$V$10,IF(AC758=$V$3,IF(AQ758&lt;1,$V$8,$V$2&amp;" "&amp;AQ758&amp;" "&amp;$V$1),IF(AC758="SKLADEM",$V$6,IFERROR(IF(OR(AC758-TODAY()&gt;45,VLOOKUP(C758,[1]List1!$A:$E,4,FALSE)=0),AC758,DAY(AC758)&amp;"."&amp;MONTH(AC758)&amp;"."&amp;YEAR(AC758)&amp;" "&amp;$V$4&amp;VLOOKUP(C758,[1]List1!$A:$E,4,FALSE)&amp;" "&amp;$V$1),AC758))))</f>
        <v>SKLADEM</v>
      </c>
      <c r="AE758" s="729" t="str">
        <f t="shared" ca="1" si="1792"/>
        <v>SKLADEM</v>
      </c>
      <c r="AF758" s="735">
        <f t="shared" si="1793"/>
        <v>0</v>
      </c>
      <c r="AG758" s="735">
        <f t="shared" si="1794"/>
        <v>0</v>
      </c>
      <c r="AH758" s="736">
        <f t="shared" si="1795"/>
        <v>0</v>
      </c>
      <c r="AI758" s="729">
        <f t="shared" si="1796"/>
        <v>0</v>
      </c>
      <c r="AJ758" s="729">
        <f t="shared" si="1797"/>
        <v>0</v>
      </c>
      <c r="AK758" s="729" t="str">
        <f t="shared" si="1798"/>
        <v/>
      </c>
      <c r="AL758" s="729">
        <f t="shared" si="1799"/>
        <v>0</v>
      </c>
      <c r="AM758" s="729" t="str">
        <f t="shared" si="1800"/>
        <v/>
      </c>
      <c r="AN758" s="729">
        <f t="shared" si="1801"/>
        <v>0</v>
      </c>
      <c r="AO758" s="380"/>
      <c r="AP758" s="322" t="str">
        <f t="shared" si="1738"/>
        <v/>
      </c>
      <c r="AQ758" s="323" t="str">
        <f>IF(AC758=$V$3,IF(VLOOKUP(C758,[1]List1!$A:$E,5,FALSE)=0,1,VLOOKUP(C758,[1]List1!$A:$E,5,FALSE)),"")</f>
        <v/>
      </c>
      <c r="AR758" s="304" t="str">
        <f t="shared" si="1739"/>
        <v/>
      </c>
      <c r="AS758" s="423" t="str">
        <f t="shared" si="1740"/>
        <v/>
      </c>
      <c r="AT758" s="304" t="str">
        <f t="shared" si="1741"/>
        <v/>
      </c>
      <c r="AU758" s="342" t="e">
        <f t="shared" si="1742"/>
        <v>#N/A</v>
      </c>
      <c r="AV758" s="304" t="e">
        <f t="shared" si="1743"/>
        <v>#N/A</v>
      </c>
      <c r="AX758" s="304">
        <f>IF(AND('General price list'!$J758="F4",'General price list'!$AB758+0&gt;0),1,0)</f>
        <v>0</v>
      </c>
      <c r="AY758" s="304">
        <f t="shared" si="1744"/>
        <v>1</v>
      </c>
      <c r="AZ758" s="304">
        <f t="shared" si="1745"/>
        <v>0</v>
      </c>
    </row>
    <row r="759" spans="1:52" ht="15" customHeight="1">
      <c r="A759" s="712" t="str">
        <f>Kat.!C756</f>
        <v/>
      </c>
      <c r="B759" s="745">
        <f>IF(AND('General price list'!$J759="F4",$AI$1=FALSE),0,IF(AC759="SKLADEM",1,IF(AC759=$V$3,1,0)))</f>
        <v>1</v>
      </c>
      <c r="C759" s="714" t="s">
        <v>1601</v>
      </c>
      <c r="D759" s="715" t="s">
        <v>1584</v>
      </c>
      <c r="E759" s="716" t="s">
        <v>136</v>
      </c>
      <c r="F759" s="712">
        <f>IFERROR(ROUND(IF($AL$3=2,VLOOKUP(C759,[2]List1!$A:$D,2,FALSE)*1.08,VLOOKUP(C759,[2]List1!$A:$D,2,FALSE)),0),"NEUVEDENO!")</f>
        <v>3790</v>
      </c>
      <c r="G759" s="717">
        <f t="shared" si="1788"/>
        <v>3790</v>
      </c>
      <c r="H759" s="718">
        <f t="shared" si="1789"/>
        <v>154.00932183071978</v>
      </c>
      <c r="I759" s="746">
        <v>1</v>
      </c>
      <c r="J759" s="716" t="s">
        <v>137</v>
      </c>
      <c r="K759" s="716"/>
      <c r="L759" s="716" t="s">
        <v>24</v>
      </c>
      <c r="M759" s="716" t="s">
        <v>138</v>
      </c>
      <c r="N759" s="716">
        <f>IFERROR(VLOOKUP(C759,[3]List1!$A:$D,4,FALSE),"N/A!")</f>
        <v>6.7306249999999998E-2</v>
      </c>
      <c r="O759" s="716">
        <f>IFERROR(VLOOKUP(C759,[3]List1!$A:$D,3,FALSE),"N/A!")</f>
        <v>1996</v>
      </c>
      <c r="P759" s="716">
        <f>IFERROR(VLOOKUP(C759,[3]List1!$A:$D,2,FALSE),"N/A!")</f>
        <v>20500</v>
      </c>
      <c r="Q759" s="716" t="s">
        <v>14244</v>
      </c>
      <c r="R759" s="716" t="s">
        <v>24</v>
      </c>
      <c r="S759" s="716" t="str">
        <f>IF($W$17=$AF$1,"červená fólie",IFERROR(VLOOKUP("červená fólie",Jazyky_ceník!$A:$Q,MATCH($W$17,Jazyky_ceník!$A$1:$Q$1,0),FALSE),"!!!"))</f>
        <v>červená fólie</v>
      </c>
      <c r="T759" s="716">
        <v>100</v>
      </c>
      <c r="U759" s="716">
        <v>40</v>
      </c>
      <c r="V759" s="716">
        <v>30</v>
      </c>
      <c r="W759" s="716" t="str">
        <f>IFERROR(VLOOKUP('General price list'!$C759,Popisy!A:P,MATCH($W$17,Popisy!$A$7:$P$7,0),FALSE),"---------------")</f>
        <v>16 různobarevných efektů</v>
      </c>
      <c r="X759" s="716" t="str">
        <f t="shared" si="1790"/>
        <v/>
      </c>
      <c r="Y759" s="716" t="str">
        <f t="shared" si="1791"/>
        <v/>
      </c>
      <c r="Z759" s="716" t="str">
        <f>HYPERLINK("https://www.klasekpyrotechnics.cz/c128xmb-c")</f>
        <v>https://www.klasekpyrotechnics.cz/c128xmb-c</v>
      </c>
      <c r="AA759" s="716">
        <f>IFERROR(IF(VLOOKUP(C759,[4]List1!$A:$D,4,FALSE)=0,"",VLOOKUP(C759,[4]List1!$A:$D,4,FALSE)),"")</f>
        <v>12</v>
      </c>
      <c r="AB759" s="720"/>
      <c r="AC759" s="747" t="str">
        <f>IFERROR(IF(VLOOKUP(C759,[1]List1!$A:$D,2,FALSE)="VYPRODÁNO",$V$9,IF(VLOOKUP(C759,[1]List1!$A:$D,2,FALSE)="DOCHÁZÍ",$V$3,VLOOKUP(C759,[1]List1!$A:$D,2,FALSE))),"OFFLINE!")</f>
        <v>SKLADEM</v>
      </c>
      <c r="AD759" s="748" t="str">
        <f ca="1">IF(AP759="NE",$V$10,IF(AC759=$V$3,IF(AQ759&lt;1,$V$8,$V$2&amp;" "&amp;AQ759&amp;" "&amp;$V$1),IF(AC759="SKLADEM",$V$6,IFERROR(IF(OR(AC759-TODAY()&gt;45,VLOOKUP(C759,[1]List1!$A:$E,4,FALSE)=0),AC759,DAY(AC759)&amp;"."&amp;MONTH(AC759)&amp;"."&amp;YEAR(AC759)&amp;" "&amp;$V$4&amp;VLOOKUP(C759,[1]List1!$A:$E,4,FALSE)&amp;" "&amp;$V$1),AC759))))</f>
        <v>SKLADEM</v>
      </c>
      <c r="AE759" s="716" t="str">
        <f t="shared" ca="1" si="1792"/>
        <v>SKLADEM</v>
      </c>
      <c r="AF759" s="723">
        <f t="shared" si="1793"/>
        <v>0</v>
      </c>
      <c r="AG759" s="723">
        <f t="shared" si="1794"/>
        <v>0</v>
      </c>
      <c r="AH759" s="724">
        <f t="shared" si="1795"/>
        <v>0</v>
      </c>
      <c r="AI759" s="716">
        <f t="shared" si="1796"/>
        <v>0</v>
      </c>
      <c r="AJ759" s="716">
        <f t="shared" si="1797"/>
        <v>0</v>
      </c>
      <c r="AK759" s="716" t="str">
        <f t="shared" si="1798"/>
        <v/>
      </c>
      <c r="AL759" s="716">
        <f t="shared" si="1799"/>
        <v>0</v>
      </c>
      <c r="AM759" s="716" t="str">
        <f t="shared" si="1800"/>
        <v/>
      </c>
      <c r="AN759" s="716">
        <f t="shared" si="1801"/>
        <v>0</v>
      </c>
      <c r="AO759" s="380"/>
      <c r="AP759" s="322" t="str">
        <f t="shared" si="1738"/>
        <v/>
      </c>
      <c r="AQ759" s="323" t="str">
        <f>IF(AC759=$V$3,IF(VLOOKUP(C759,[1]List1!$A:$E,5,FALSE)=0,1,VLOOKUP(C759,[1]List1!$A:$E,5,FALSE)),"")</f>
        <v/>
      </c>
      <c r="AR759" s="304" t="str">
        <f t="shared" si="1739"/>
        <v/>
      </c>
      <c r="AS759" s="423" t="str">
        <f t="shared" si="1740"/>
        <v/>
      </c>
      <c r="AT759" s="304" t="str">
        <f t="shared" si="1741"/>
        <v/>
      </c>
      <c r="AU759" s="342" t="e">
        <f t="shared" si="1742"/>
        <v>#N/A</v>
      </c>
      <c r="AV759" s="304" t="e">
        <f t="shared" si="1743"/>
        <v>#N/A</v>
      </c>
      <c r="AX759" s="304">
        <f>IF(AND('General price list'!$J759="F4",'General price list'!$AB759+0&gt;0),1,0)</f>
        <v>0</v>
      </c>
      <c r="AY759" s="304">
        <f t="shared" si="1744"/>
        <v>1</v>
      </c>
      <c r="AZ759" s="304">
        <f t="shared" si="1745"/>
        <v>0</v>
      </c>
    </row>
    <row r="760" spans="1:52" ht="15" customHeight="1">
      <c r="A760" s="725" t="str">
        <f>Kat.!C757</f>
        <v/>
      </c>
      <c r="B760" s="749">
        <f>IF(AND('General price list'!$J760="F4",$AI$1=FALSE),0,IF(AC760="SKLADEM",1,IF(AC760=$V$3,1,0)))</f>
        <v>1</v>
      </c>
      <c r="C760" s="727" t="s">
        <v>1602</v>
      </c>
      <c r="D760" s="728" t="s">
        <v>1603</v>
      </c>
      <c r="E760" s="729" t="s">
        <v>136</v>
      </c>
      <c r="F760" s="725">
        <f>IFERROR(ROUND(IF($AL$3=2,VLOOKUP(C760,[2]List1!$A:$D,2,FALSE)*1.08,VLOOKUP(C760,[2]List1!$A:$D,2,FALSE)),0),"NEUVEDENO!")</f>
        <v>3699</v>
      </c>
      <c r="G760" s="730">
        <f t="shared" si="1788"/>
        <v>3699</v>
      </c>
      <c r="H760" s="731">
        <f t="shared" si="1789"/>
        <v>150.31147267858378</v>
      </c>
      <c r="I760" s="750">
        <v>1</v>
      </c>
      <c r="J760" s="729" t="s">
        <v>137</v>
      </c>
      <c r="K760" s="729" t="s">
        <v>14820</v>
      </c>
      <c r="L760" s="729" t="s">
        <v>24</v>
      </c>
      <c r="M760" s="729" t="s">
        <v>138</v>
      </c>
      <c r="N760" s="729">
        <f>IFERROR(VLOOKUP(C760,[3]List1!$A:$D,4,FALSE),"N/A!")</f>
        <v>5.2724999999999994E-2</v>
      </c>
      <c r="O760" s="729">
        <f>IFERROR(VLOOKUP(C760,[3]List1!$A:$D,3,FALSE),"N/A!")</f>
        <v>2850</v>
      </c>
      <c r="P760" s="729">
        <f>IFERROR(VLOOKUP(C760,[3]List1!$A:$D,2,FALSE),"N/A!")</f>
        <v>21000</v>
      </c>
      <c r="Q760" s="729" t="s">
        <v>14242</v>
      </c>
      <c r="R760" s="729" t="s">
        <v>24</v>
      </c>
      <c r="S760" s="729" t="str">
        <f>IF($W$17=$AF$1,"červená fólie",IFERROR(VLOOKUP("červená fólie",Jazyky_ceník!$A:$Q,MATCH($W$17,Jazyky_ceník!$A$1:$Q$1,0),FALSE),"!!!"))</f>
        <v>červená fólie</v>
      </c>
      <c r="T760" s="729">
        <v>150</v>
      </c>
      <c r="U760" s="729">
        <v>40</v>
      </c>
      <c r="V760" s="729">
        <v>30</v>
      </c>
      <c r="W760" s="729" t="str">
        <f>IFERROR(VLOOKUP('General price list'!$C760,Popisy!A:P,MATCH($W$17,Popisy!$A$7:$P$7,0),FALSE),"---------------")</f>
        <v>15 různobarevných efektů</v>
      </c>
      <c r="X760" s="729" t="str">
        <f t="shared" si="1790"/>
        <v/>
      </c>
      <c r="Y760" s="729" t="str">
        <f t="shared" si="1791"/>
        <v/>
      </c>
      <c r="Z760" s="729" t="str">
        <f>HYPERLINK("https://www.klasekpyrotechnics.cz/c1503x-c")</f>
        <v>https://www.klasekpyrotechnics.cz/c1503x-c</v>
      </c>
      <c r="AA760" s="729">
        <f>IFERROR(IF(VLOOKUP(C760,[4]List1!$A:$D,4,FALSE)=0,"",VLOOKUP(C760,[4]List1!$A:$D,4,FALSE)),"")</f>
        <v>28</v>
      </c>
      <c r="AB760" s="720"/>
      <c r="AC760" s="751" t="str">
        <f>IFERROR(IF(VLOOKUP(C760,[1]List1!$A:$D,2,FALSE)="VYPRODÁNO",$V$9,IF(VLOOKUP(C760,[1]List1!$A:$D,2,FALSE)="DOCHÁZÍ",$V$3,VLOOKUP(C760,[1]List1!$A:$D,2,FALSE))),"OFFLINE!")</f>
        <v>DOCHÁZÍ</v>
      </c>
      <c r="AD760" s="752" t="str">
        <f ca="1">IF(AP760="NE",$V$10,IF(AC760=$V$3,IF(AQ760&lt;1,$V$8,$V$2&amp;" "&amp;AQ760&amp;" "&amp;$V$1),IF(AC760="SKLADEM",$V$6,IFERROR(IF(OR(AC760-TODAY()&gt;45,VLOOKUP(C760,[1]List1!$A:$E,4,FALSE)=0),AC760,DAY(AC760)&amp;"."&amp;MONTH(AC760)&amp;"."&amp;YEAR(AC760)&amp;" "&amp;$V$4&amp;VLOOKUP(C760,[1]List1!$A:$E,4,FALSE)&amp;" "&amp;$V$1),AC760))))</f>
        <v>POSLEDNÍCH 67 VK</v>
      </c>
      <c r="AE760" s="729" t="str">
        <f t="shared" ca="1" si="1792"/>
        <v>POSLEDNÍCH 67 VK</v>
      </c>
      <c r="AF760" s="735">
        <f t="shared" si="1793"/>
        <v>0</v>
      </c>
      <c r="AG760" s="735">
        <f t="shared" si="1794"/>
        <v>0</v>
      </c>
      <c r="AH760" s="736">
        <f t="shared" si="1795"/>
        <v>0</v>
      </c>
      <c r="AI760" s="729">
        <f t="shared" si="1796"/>
        <v>0</v>
      </c>
      <c r="AJ760" s="729">
        <f t="shared" si="1797"/>
        <v>0</v>
      </c>
      <c r="AK760" s="729" t="str">
        <f t="shared" si="1798"/>
        <v/>
      </c>
      <c r="AL760" s="729">
        <f t="shared" si="1799"/>
        <v>0</v>
      </c>
      <c r="AM760" s="729" t="str">
        <f t="shared" si="1800"/>
        <v/>
      </c>
      <c r="AN760" s="729">
        <f t="shared" si="1801"/>
        <v>0</v>
      </c>
      <c r="AO760" s="380"/>
      <c r="AP760" s="322" t="str">
        <f t="shared" si="1738"/>
        <v/>
      </c>
      <c r="AQ760" s="323">
        <f>IF(AC760=$V$3,IF(VLOOKUP(C760,[1]List1!$A:$E,5,FALSE)=0,1,VLOOKUP(C760,[1]List1!$A:$E,5,FALSE)),"")</f>
        <v>67</v>
      </c>
      <c r="AR760" s="304" t="str">
        <f t="shared" si="1739"/>
        <v/>
      </c>
      <c r="AS760" s="423" t="str">
        <f t="shared" si="1740"/>
        <v/>
      </c>
      <c r="AT760" s="304" t="str">
        <f t="shared" si="1741"/>
        <v/>
      </c>
      <c r="AU760" s="342" t="e">
        <f t="shared" si="1742"/>
        <v>#N/A</v>
      </c>
      <c r="AV760" s="304" t="e">
        <f t="shared" si="1743"/>
        <v>#N/A</v>
      </c>
      <c r="AX760" s="304">
        <f>IF(AND('General price list'!$J760="F4",'General price list'!$AB760+0&gt;0),1,0)</f>
        <v>0</v>
      </c>
      <c r="AY760" s="304">
        <f t="shared" si="1744"/>
        <v>1</v>
      </c>
      <c r="AZ760" s="304">
        <f t="shared" si="1745"/>
        <v>0</v>
      </c>
    </row>
    <row r="761" spans="1:52" ht="15" customHeight="1">
      <c r="A761" s="712" t="str">
        <f>Kat.!C758</f>
        <v/>
      </c>
      <c r="B761" s="745">
        <f>IF(AND('General price list'!$J761="F4",$AI$1=FALSE),0,IF(AC761="SKLADEM",1,IF(AC761=$V$3,1,0)))</f>
        <v>1</v>
      </c>
      <c r="C761" s="714" t="s">
        <v>1604</v>
      </c>
      <c r="D761" s="715" t="s">
        <v>14607</v>
      </c>
      <c r="E761" s="716" t="s">
        <v>136</v>
      </c>
      <c r="F761" s="712">
        <f>IFERROR(ROUND(IF($AL$3=2,VLOOKUP(C761,[2]List1!$A:$D,2,FALSE)*1.08,VLOOKUP(C761,[2]List1!$A:$D,2,FALSE)),0),"NEUVEDENO!")</f>
        <v>3599</v>
      </c>
      <c r="G761" s="717">
        <f t="shared" si="1788"/>
        <v>3599</v>
      </c>
      <c r="H761" s="718">
        <f t="shared" si="1789"/>
        <v>146.24790218173101</v>
      </c>
      <c r="I761" s="746">
        <v>1</v>
      </c>
      <c r="J761" s="716" t="s">
        <v>137</v>
      </c>
      <c r="K761" s="716" t="s">
        <v>14734</v>
      </c>
      <c r="L761" s="716" t="s">
        <v>24</v>
      </c>
      <c r="M761" s="716" t="s">
        <v>138</v>
      </c>
      <c r="N761" s="716">
        <f>IFERROR(VLOOKUP(C761,[3]List1!$A:$D,4,FALSE),"N/A!")</f>
        <v>5.2724999999999994E-2</v>
      </c>
      <c r="O761" s="716">
        <f>IFERROR(VLOOKUP(C761,[3]List1!$A:$D,3,FALSE),"N/A!")</f>
        <v>2700</v>
      </c>
      <c r="P761" s="716">
        <f>IFERROR(VLOOKUP(C761,[3]List1!$A:$D,2,FALSE),"N/A!")</f>
        <v>20000</v>
      </c>
      <c r="Q761" s="716" t="s">
        <v>14242</v>
      </c>
      <c r="R761" s="716" t="s">
        <v>24</v>
      </c>
      <c r="S761" s="716" t="str">
        <f>IF($W$17=$AF$1,"transparentní fólie",IFERROR(VLOOKUP("transparentní fólie",Jazyky_ceník!$A:$Q,MATCH($W$17,Jazyky_ceník!$A$1:$Q$1,0),FALSE),"!!!"))</f>
        <v>transparentní fólie</v>
      </c>
      <c r="T761" s="716">
        <v>150</v>
      </c>
      <c r="U761" s="716">
        <v>40</v>
      </c>
      <c r="V761" s="716">
        <v>29</v>
      </c>
      <c r="W761" s="716" t="str">
        <f>IFERROR(VLOOKUP('General price list'!$C761,Popisy!A:P,MATCH($W$17,Popisy!$A$7:$P$7,0),FALSE),"---------------")</f>
        <v>15 různobarevných efektů</v>
      </c>
      <c r="X761" s="716" t="str">
        <f t="shared" si="1790"/>
        <v/>
      </c>
      <c r="Y761" s="716" t="str">
        <f t="shared" si="1791"/>
        <v/>
      </c>
      <c r="Z761" s="716" t="str">
        <f>HYPERLINK("https://www.klasekpyrotechnics.cz/c1503bpf-c")</f>
        <v>https://www.klasekpyrotechnics.cz/c1503bpf-c</v>
      </c>
      <c r="AA761" s="716">
        <f>IFERROR(IF(VLOOKUP(C761,[4]List1!$A:$D,4,FALSE)=0,"",VLOOKUP(C761,[4]List1!$A:$D,4,FALSE)),"")</f>
        <v>28</v>
      </c>
      <c r="AB761" s="720"/>
      <c r="AC761" s="747" t="str">
        <f>IFERROR(IF(VLOOKUP(C761,[1]List1!$A:$D,2,FALSE)="VYPRODÁNO",$V$9,IF(VLOOKUP(C761,[1]List1!$A:$D,2,FALSE)="DOCHÁZÍ",$V$3,VLOOKUP(C761,[1]List1!$A:$D,2,FALSE))),"OFFLINE!")</f>
        <v>SKLADEM</v>
      </c>
      <c r="AD761" s="748" t="str">
        <f ca="1">IF(AP761="NE",$V$10,IF(AC761=$V$3,IF(AQ761&lt;1,$V$8,$V$2&amp;" "&amp;AQ761&amp;" "&amp;$V$1),IF(AC761="SKLADEM",$V$6,IFERROR(IF(OR(AC761-TODAY()&gt;45,VLOOKUP(C761,[1]List1!$A:$E,4,FALSE)=0),AC761,DAY(AC761)&amp;"."&amp;MONTH(AC761)&amp;"."&amp;YEAR(AC761)&amp;" "&amp;$V$4&amp;VLOOKUP(C761,[1]List1!$A:$E,4,FALSE)&amp;" "&amp;$V$1),AC761))))</f>
        <v>SKLADEM</v>
      </c>
      <c r="AE761" s="716" t="str">
        <f t="shared" ca="1" si="1792"/>
        <v>SKLADEM</v>
      </c>
      <c r="AF761" s="723">
        <f t="shared" si="1793"/>
        <v>0</v>
      </c>
      <c r="AG761" s="723">
        <f t="shared" si="1794"/>
        <v>0</v>
      </c>
      <c r="AH761" s="724">
        <f t="shared" si="1795"/>
        <v>0</v>
      </c>
      <c r="AI761" s="716">
        <f t="shared" si="1796"/>
        <v>0</v>
      </c>
      <c r="AJ761" s="716">
        <f t="shared" si="1797"/>
        <v>0</v>
      </c>
      <c r="AK761" s="716" t="str">
        <f t="shared" si="1798"/>
        <v/>
      </c>
      <c r="AL761" s="716">
        <f t="shared" si="1799"/>
        <v>0</v>
      </c>
      <c r="AM761" s="716" t="str">
        <f t="shared" si="1800"/>
        <v/>
      </c>
      <c r="AN761" s="716">
        <f t="shared" si="1801"/>
        <v>0</v>
      </c>
      <c r="AO761" s="380"/>
      <c r="AP761" s="322" t="str">
        <f t="shared" si="1738"/>
        <v/>
      </c>
      <c r="AQ761" s="323" t="str">
        <f>IF(AC761=$V$3,IF(VLOOKUP(C761,[1]List1!$A:$E,5,FALSE)=0,1,VLOOKUP(C761,[1]List1!$A:$E,5,FALSE)),"")</f>
        <v/>
      </c>
      <c r="AR761" s="304" t="str">
        <f t="shared" si="1739"/>
        <v/>
      </c>
      <c r="AS761" s="423" t="str">
        <f t="shared" si="1740"/>
        <v/>
      </c>
      <c r="AT761" s="304" t="str">
        <f t="shared" si="1741"/>
        <v/>
      </c>
      <c r="AU761" s="342" t="e">
        <f t="shared" si="1742"/>
        <v>#N/A</v>
      </c>
      <c r="AV761" s="304" t="e">
        <f t="shared" si="1743"/>
        <v>#N/A</v>
      </c>
      <c r="AX761" s="304">
        <f>IF(AND('General price list'!$J761="F4",'General price list'!$AB761+0&gt;0),1,0)</f>
        <v>0</v>
      </c>
      <c r="AY761" s="304">
        <f t="shared" si="1744"/>
        <v>1</v>
      </c>
      <c r="AZ761" s="304">
        <f t="shared" si="1745"/>
        <v>0</v>
      </c>
    </row>
    <row r="762" spans="1:52" ht="15" customHeight="1">
      <c r="A762" s="725" t="str">
        <f>Kat.!C759</f>
        <v/>
      </c>
      <c r="B762" s="749">
        <f>IF(AND('General price list'!$J762="F4",$AI$1=FALSE),0,IF(AC762="SKLADEM",1,IF(AC762=$V$3,1,0)))</f>
        <v>1</v>
      </c>
      <c r="C762" s="727" t="s">
        <v>12018</v>
      </c>
      <c r="D762" s="728" t="s">
        <v>12852</v>
      </c>
      <c r="E762" s="729" t="s">
        <v>136</v>
      </c>
      <c r="F762" s="725">
        <f>IFERROR(ROUND(IF($AL$3=2,VLOOKUP(C762,[2]List1!$A:$D,2,FALSE)*1.08,VLOOKUP(C762,[2]List1!$A:$D,2,FALSE)),0),"NEUVEDENO!")</f>
        <v>5493</v>
      </c>
      <c r="G762" s="730">
        <f t="shared" si="1788"/>
        <v>5493</v>
      </c>
      <c r="H762" s="731">
        <f t="shared" si="1789"/>
        <v>223.21192739212236</v>
      </c>
      <c r="I762" s="750">
        <v>1</v>
      </c>
      <c r="J762" s="729" t="s">
        <v>137</v>
      </c>
      <c r="K762" s="729"/>
      <c r="L762" s="729" t="s">
        <v>24</v>
      </c>
      <c r="M762" s="729" t="s">
        <v>138</v>
      </c>
      <c r="N762" s="729">
        <f>IFERROR(VLOOKUP(C762,[3]List1!$A:$D,4,FALSE),"N/A!")</f>
        <v>0.10326225</v>
      </c>
      <c r="O762" s="729">
        <f>IFERROR(VLOOKUP(C762,[3]List1!$A:$D,3,FALSE),"N/A!")</f>
        <v>2994</v>
      </c>
      <c r="P762" s="729">
        <f>IFERROR(VLOOKUP(C762,[3]List1!$A:$D,2,FALSE),"N/A!")</f>
        <v>29500</v>
      </c>
      <c r="Q762" s="729" t="s">
        <v>14245</v>
      </c>
      <c r="R762" s="729" t="s">
        <v>24</v>
      </c>
      <c r="S762" s="729" t="str">
        <f>IF($W$17=$AF$1,"transparentní fólie",IFERROR(VLOOKUP("transparentní fólie",Jazyky_ceník!$A:$Q,MATCH($W$17,Jazyky_ceník!$A$1:$Q$1,0),FALSE),"!!!"))</f>
        <v>transparentní fólie</v>
      </c>
      <c r="T762" s="729">
        <v>150</v>
      </c>
      <c r="U762" s="729">
        <v>40</v>
      </c>
      <c r="V762" s="729">
        <v>30</v>
      </c>
      <c r="W762" s="729" t="str">
        <f>IFERROR(VLOOKUP('General price list'!$C762,Popisy!A:P,MATCH($W$17,Popisy!$A$7:$P$7,0),FALSE),"---------------")</f>
        <v>24 různobarevných efektů</v>
      </c>
      <c r="X762" s="729" t="str">
        <f t="shared" si="1790"/>
        <v/>
      </c>
      <c r="Y762" s="729" t="str">
        <f t="shared" si="1791"/>
        <v/>
      </c>
      <c r="Z762" s="729" t="str">
        <f>HYPERLINK("https://www.klasekpyrotechnics.cz/c1923xmf-c")</f>
        <v>https://www.klasekpyrotechnics.cz/c1923xmf-c</v>
      </c>
      <c r="AA762" s="729">
        <f>IFERROR(IF(VLOOKUP(C762,[4]List1!$A:$D,4,FALSE)=0,"",VLOOKUP(C762,[4]List1!$A:$D,4,FALSE)),"")</f>
        <v>14</v>
      </c>
      <c r="AB762" s="720"/>
      <c r="AC762" s="751" t="str">
        <f>IFERROR(IF(VLOOKUP(C762,[1]List1!$A:$D,2,FALSE)="VYPRODÁNO",$V$9,IF(VLOOKUP(C762,[1]List1!$A:$D,2,FALSE)="DOCHÁZÍ",$V$3,VLOOKUP(C762,[1]List1!$A:$D,2,FALSE))),"OFFLINE!")</f>
        <v>SKLADEM</v>
      </c>
      <c r="AD762" s="752" t="str">
        <f ca="1">IF(AP762="NE",$V$10,IF(AC762=$V$3,IF(AQ762&lt;1,$V$8,$V$2&amp;" "&amp;AQ762&amp;" "&amp;$V$1),IF(AC762="SKLADEM",$V$6,IFERROR(IF(OR(AC762-TODAY()&gt;45,VLOOKUP(C762,[1]List1!$A:$E,4,FALSE)=0),AC762,DAY(AC762)&amp;"."&amp;MONTH(AC762)&amp;"."&amp;YEAR(AC762)&amp;" "&amp;$V$4&amp;VLOOKUP(C762,[1]List1!$A:$E,4,FALSE)&amp;" "&amp;$V$1),AC762))))</f>
        <v>SKLADEM</v>
      </c>
      <c r="AE762" s="729" t="str">
        <f t="shared" ca="1" si="1792"/>
        <v>SKLADEM</v>
      </c>
      <c r="AF762" s="735">
        <f t="shared" si="1793"/>
        <v>0</v>
      </c>
      <c r="AG762" s="735">
        <f t="shared" si="1794"/>
        <v>0</v>
      </c>
      <c r="AH762" s="736">
        <f t="shared" si="1795"/>
        <v>0</v>
      </c>
      <c r="AI762" s="729">
        <f t="shared" si="1796"/>
        <v>0</v>
      </c>
      <c r="AJ762" s="729">
        <f t="shared" si="1797"/>
        <v>0</v>
      </c>
      <c r="AK762" s="729" t="str">
        <f t="shared" si="1798"/>
        <v/>
      </c>
      <c r="AL762" s="729">
        <f t="shared" si="1799"/>
        <v>0</v>
      </c>
      <c r="AM762" s="729" t="str">
        <f t="shared" si="1800"/>
        <v/>
      </c>
      <c r="AN762" s="729">
        <f t="shared" si="1801"/>
        <v>0</v>
      </c>
      <c r="AO762" s="380"/>
      <c r="AP762" s="322" t="str">
        <f t="shared" si="1738"/>
        <v/>
      </c>
      <c r="AQ762" s="323" t="str">
        <f>IF(AC762=$V$3,IF(VLOOKUP(C762,[1]List1!$A:$E,5,FALSE)=0,1,VLOOKUP(C762,[1]List1!$A:$E,5,FALSE)),"")</f>
        <v/>
      </c>
      <c r="AR762" s="304" t="str">
        <f t="shared" si="1739"/>
        <v/>
      </c>
      <c r="AS762" s="423" t="str">
        <f t="shared" si="1740"/>
        <v/>
      </c>
      <c r="AT762" s="304" t="str">
        <f t="shared" si="1741"/>
        <v/>
      </c>
      <c r="AU762" s="342" t="e">
        <f t="shared" si="1742"/>
        <v>#N/A</v>
      </c>
      <c r="AV762" s="304" t="e">
        <f t="shared" si="1743"/>
        <v>#N/A</v>
      </c>
      <c r="AX762" s="304">
        <f>IF(AND('General price list'!$J762="F4",'General price list'!$AB762+0&gt;0),1,0)</f>
        <v>0</v>
      </c>
      <c r="AY762" s="304">
        <f t="shared" si="1744"/>
        <v>1</v>
      </c>
      <c r="AZ762" s="304">
        <f t="shared" si="1745"/>
        <v>0</v>
      </c>
    </row>
    <row r="763" spans="1:52" ht="15" customHeight="1">
      <c r="A763" s="712" t="str">
        <f>Kat.!C760</f>
        <v/>
      </c>
      <c r="B763" s="745">
        <f>IF(AND('General price list'!$J763="F4",$AI$1=FALSE),0,IF(AC763="SKLADEM",1,IF(AC763=$V$3,1,0)))</f>
        <v>1</v>
      </c>
      <c r="C763" s="714" t="s">
        <v>1605</v>
      </c>
      <c r="D763" s="715" t="s">
        <v>14579</v>
      </c>
      <c r="E763" s="716" t="s">
        <v>136</v>
      </c>
      <c r="F763" s="712">
        <f>IFERROR(ROUND(IF($AL$3=2,VLOOKUP(C763,[2]List1!$A:$D,2,FALSE)*1.08,VLOOKUP(C763,[2]List1!$A:$D,2,FALSE)),0),"NEUVEDENO!")</f>
        <v>4739</v>
      </c>
      <c r="G763" s="717">
        <f t="shared" si="1788"/>
        <v>4739</v>
      </c>
      <c r="H763" s="718">
        <f t="shared" si="1789"/>
        <v>192.57260584585254</v>
      </c>
      <c r="I763" s="746">
        <v>1</v>
      </c>
      <c r="J763" s="716" t="s">
        <v>137</v>
      </c>
      <c r="K763" s="716" t="s">
        <v>14734</v>
      </c>
      <c r="L763" s="716" t="s">
        <v>24</v>
      </c>
      <c r="M763" s="716" t="s">
        <v>138</v>
      </c>
      <c r="N763" s="716">
        <f>IFERROR(VLOOKUP(C763,[3]List1!$A:$D,4,FALSE),"N/A!")</f>
        <v>7.03125E-2</v>
      </c>
      <c r="O763" s="716">
        <f>IFERROR(VLOOKUP(C763,[3]List1!$A:$D,3,FALSE),"N/A!")</f>
        <v>3600</v>
      </c>
      <c r="P763" s="716">
        <f>IFERROR(VLOOKUP(C763,[3]List1!$A:$D,2,FALSE),"N/A!")</f>
        <v>27000</v>
      </c>
      <c r="Q763" s="716" t="s">
        <v>14246</v>
      </c>
      <c r="R763" s="716" t="s">
        <v>24</v>
      </c>
      <c r="S763" s="716" t="str">
        <f>IF($W$17=$AF$1,"červená fólie",IFERROR(VLOOKUP("červená fólie",Jazyky_ceník!$A:$Q,MATCH($W$17,Jazyky_ceník!$A$1:$Q$1,0),FALSE),"!!!"))</f>
        <v>červená fólie</v>
      </c>
      <c r="T763" s="716">
        <v>180</v>
      </c>
      <c r="U763" s="716">
        <v>40</v>
      </c>
      <c r="V763" s="716">
        <v>29</v>
      </c>
      <c r="W763" s="716" t="str">
        <f>IFERROR(VLOOKUP('General price list'!$C763,Popisy!A:P,MATCH($W$17,Popisy!$A$7:$P$7,0),FALSE),"---------------")</f>
        <v>20 různobarevných efektů</v>
      </c>
      <c r="X763" s="716" t="str">
        <f t="shared" si="1790"/>
        <v/>
      </c>
      <c r="Y763" s="716" t="str">
        <f t="shared" si="1791"/>
        <v/>
      </c>
      <c r="Z763" s="716" t="str">
        <f>HYPERLINK("https://www.klasekpyrotechnics.cz/c2003bp-c")</f>
        <v>https://www.klasekpyrotechnics.cz/c2003bp-c</v>
      </c>
      <c r="AA763" s="716">
        <f>IFERROR(IF(VLOOKUP(C763,[4]List1!$A:$D,4,FALSE)=0,"",VLOOKUP(C763,[4]List1!$A:$D,4,FALSE)),"")</f>
        <v>18</v>
      </c>
      <c r="AB763" s="720"/>
      <c r="AC763" s="747" t="str">
        <f>IFERROR(IF(VLOOKUP(C763,[1]List1!$A:$D,2,FALSE)="VYPRODÁNO",$V$9,IF(VLOOKUP(C763,[1]List1!$A:$D,2,FALSE)="DOCHÁZÍ",$V$3,VLOOKUP(C763,[1]List1!$A:$D,2,FALSE))),"OFFLINE!")</f>
        <v>SKLADEM</v>
      </c>
      <c r="AD763" s="748" t="str">
        <f ca="1">IF(AP763="NE",$V$10,IF(AC763=$V$3,IF(AQ763&lt;1,$V$8,$V$2&amp;" "&amp;AQ763&amp;" "&amp;$V$1),IF(AC763="SKLADEM",$V$6,IFERROR(IF(OR(AC763-TODAY()&gt;45,VLOOKUP(C763,[1]List1!$A:$E,4,FALSE)=0),AC763,DAY(AC763)&amp;"."&amp;MONTH(AC763)&amp;"."&amp;YEAR(AC763)&amp;" "&amp;$V$4&amp;VLOOKUP(C763,[1]List1!$A:$E,4,FALSE)&amp;" "&amp;$V$1),AC763))))</f>
        <v>SKLADEM</v>
      </c>
      <c r="AE763" s="716" t="str">
        <f t="shared" ca="1" si="1792"/>
        <v>SKLADEM</v>
      </c>
      <c r="AF763" s="723">
        <f t="shared" si="1793"/>
        <v>0</v>
      </c>
      <c r="AG763" s="723">
        <f t="shared" si="1794"/>
        <v>0</v>
      </c>
      <c r="AH763" s="724">
        <f t="shared" si="1795"/>
        <v>0</v>
      </c>
      <c r="AI763" s="716">
        <f t="shared" si="1796"/>
        <v>0</v>
      </c>
      <c r="AJ763" s="716">
        <f t="shared" si="1797"/>
        <v>0</v>
      </c>
      <c r="AK763" s="716" t="str">
        <f t="shared" si="1798"/>
        <v/>
      </c>
      <c r="AL763" s="716">
        <f t="shared" si="1799"/>
        <v>0</v>
      </c>
      <c r="AM763" s="716" t="str">
        <f t="shared" si="1800"/>
        <v/>
      </c>
      <c r="AN763" s="716">
        <f t="shared" si="1801"/>
        <v>0</v>
      </c>
      <c r="AO763" s="380"/>
      <c r="AP763" s="322" t="str">
        <f t="shared" si="1738"/>
        <v/>
      </c>
      <c r="AQ763" s="323" t="str">
        <f>IF(AC763=$V$3,IF(VLOOKUP(C763,[1]List1!$A:$E,5,FALSE)=0,1,VLOOKUP(C763,[1]List1!$A:$E,5,FALSE)),"")</f>
        <v/>
      </c>
      <c r="AR763" s="304" t="str">
        <f t="shared" si="1739"/>
        <v/>
      </c>
      <c r="AS763" s="423" t="str">
        <f t="shared" si="1740"/>
        <v/>
      </c>
      <c r="AT763" s="304" t="str">
        <f t="shared" si="1741"/>
        <v/>
      </c>
      <c r="AU763" s="342" t="e">
        <f t="shared" si="1742"/>
        <v>#N/A</v>
      </c>
      <c r="AV763" s="304" t="e">
        <f t="shared" si="1743"/>
        <v>#N/A</v>
      </c>
      <c r="AX763" s="304">
        <f>IF(AND('General price list'!$J763="F4",'General price list'!$AB763+0&gt;0),1,0)</f>
        <v>0</v>
      </c>
      <c r="AY763" s="304">
        <f t="shared" si="1744"/>
        <v>1</v>
      </c>
      <c r="AZ763" s="304">
        <f t="shared" si="1745"/>
        <v>0</v>
      </c>
    </row>
    <row r="764" spans="1:52" ht="15" customHeight="1">
      <c r="A764" s="725" t="str">
        <f>Kat.!C761</f>
        <v/>
      </c>
      <c r="B764" s="749">
        <f>IF(AND('General price list'!$J764="F4",$AI$1=FALSE),0,IF(AC764="SKLADEM",1,IF(AC764=$V$3,1,0)))</f>
        <v>0</v>
      </c>
      <c r="C764" s="727" t="s">
        <v>1606</v>
      </c>
      <c r="D764" s="728" t="s">
        <v>1588</v>
      </c>
      <c r="E764" s="729" t="s">
        <v>136</v>
      </c>
      <c r="F764" s="725">
        <f>IFERROR(ROUND(IF($AL$3=2,VLOOKUP(C764,[2]List1!$A:$D,2,FALSE)*1.08,VLOOKUP(C764,[2]List1!$A:$D,2,FALSE)),0),"NEUVEDENO!")</f>
        <v>4799</v>
      </c>
      <c r="G764" s="730">
        <f t="shared" si="1788"/>
        <v>4799</v>
      </c>
      <c r="H764" s="731">
        <f t="shared" si="1789"/>
        <v>195.01074814396418</v>
      </c>
      <c r="I764" s="750">
        <v>1</v>
      </c>
      <c r="J764" s="729" t="s">
        <v>137</v>
      </c>
      <c r="K764" s="729" t="s">
        <v>14820</v>
      </c>
      <c r="L764" s="729" t="s">
        <v>24</v>
      </c>
      <c r="M764" s="729" t="s">
        <v>138</v>
      </c>
      <c r="N764" s="729">
        <f>IFERROR(VLOOKUP(C764,[3]List1!$A:$D,4,FALSE),"N/A!")</f>
        <v>7.03125E-2</v>
      </c>
      <c r="O764" s="729">
        <f>IFERROR(VLOOKUP(C764,[3]List1!$A:$D,3,FALSE),"N/A!")</f>
        <v>3800</v>
      </c>
      <c r="P764" s="729">
        <f>IFERROR(VLOOKUP(C764,[3]List1!$A:$D,2,FALSE),"N/A!")</f>
        <v>27000</v>
      </c>
      <c r="Q764" s="729" t="s">
        <v>14242</v>
      </c>
      <c r="R764" s="729" t="s">
        <v>24</v>
      </c>
      <c r="S764" s="729" t="str">
        <f>IF($W$17=$AF$1,"červená fólie",IFERROR(VLOOKUP("červená fólie",Jazyky_ceník!$A:$Q,MATCH($W$17,Jazyky_ceník!$A$1:$Q$1,0),FALSE),"!!!"))</f>
        <v>červená fólie</v>
      </c>
      <c r="T764" s="729">
        <v>180</v>
      </c>
      <c r="U764" s="729">
        <v>40</v>
      </c>
      <c r="V764" s="729">
        <v>30</v>
      </c>
      <c r="W764" s="729" t="str">
        <f>IFERROR(VLOOKUP('General price list'!$C764,Popisy!A:P,MATCH($W$17,Popisy!$A$7:$P$7,0),FALSE),"---------------")</f>
        <v>20 různobarevných efektů</v>
      </c>
      <c r="X764" s="729" t="str">
        <f t="shared" si="1790"/>
        <v/>
      </c>
      <c r="Y764" s="729" t="str">
        <f t="shared" si="1791"/>
        <v/>
      </c>
      <c r="Z764" s="729" t="str">
        <f>HYPERLINK("https://www.klasekpyrotechnics.cz/c2003u-c")</f>
        <v>https://www.klasekpyrotechnics.cz/c2003u-c</v>
      </c>
      <c r="AA764" s="729">
        <f>IFERROR(IF(VLOOKUP(C764,[4]List1!$A:$D,4,FALSE)=0,"",VLOOKUP(C764,[4]List1!$A:$D,4,FALSE)),"")</f>
        <v>18</v>
      </c>
      <c r="AB764" s="720"/>
      <c r="AC764" s="751" t="str">
        <f>IFERROR(IF(VLOOKUP(C764,[1]List1!$A:$D,2,FALSE)="VYPRODÁNO",$V$9,IF(VLOOKUP(C764,[1]List1!$A:$D,2,FALSE)="DOCHÁZÍ",$V$3,VLOOKUP(C764,[1]List1!$A:$D,2,FALSE))),"OFFLINE!")</f>
        <v>15.06.2024</v>
      </c>
      <c r="AD764" s="752" t="str">
        <f ca="1">IF(AP764="NE",$V$10,IF(AC764=$V$3,IF(AQ764&lt;1,$V$8,$V$2&amp;" "&amp;AQ764&amp;" "&amp;$V$1),IF(AC764="SKLADEM",$V$6,IFERROR(IF(OR(AC764-TODAY()&gt;45,VLOOKUP(C764,[1]List1!$A:$E,4,FALSE)=0),AC764,DAY(AC764)&amp;"."&amp;MONTH(AC764)&amp;"."&amp;YEAR(AC764)&amp;" "&amp;$V$4&amp;VLOOKUP(C764,[1]List1!$A:$E,4,FALSE)&amp;" "&amp;$V$1),AC764))))</f>
        <v>15.06.2024</v>
      </c>
      <c r="AE764" s="729" t="str">
        <f t="shared" ca="1" si="1792"/>
        <v>15.06.2024</v>
      </c>
      <c r="AF764" s="735">
        <f t="shared" si="1793"/>
        <v>0</v>
      </c>
      <c r="AG764" s="735">
        <f t="shared" si="1794"/>
        <v>0</v>
      </c>
      <c r="AH764" s="736">
        <f t="shared" si="1795"/>
        <v>0</v>
      </c>
      <c r="AI764" s="729">
        <f t="shared" si="1796"/>
        <v>0</v>
      </c>
      <c r="AJ764" s="729">
        <f t="shared" si="1797"/>
        <v>0</v>
      </c>
      <c r="AK764" s="729" t="str">
        <f t="shared" si="1798"/>
        <v/>
      </c>
      <c r="AL764" s="729">
        <f t="shared" si="1799"/>
        <v>0</v>
      </c>
      <c r="AM764" s="729" t="str">
        <f t="shared" si="1800"/>
        <v/>
      </c>
      <c r="AN764" s="729">
        <f t="shared" si="1801"/>
        <v>0</v>
      </c>
      <c r="AO764" s="380"/>
      <c r="AP764" s="322" t="str">
        <f t="shared" si="1738"/>
        <v/>
      </c>
      <c r="AQ764" s="323" t="str">
        <f>IF(AC764=$V$3,IF(VLOOKUP(C764,[1]List1!$A:$E,5,FALSE)=0,1,VLOOKUP(C764,[1]List1!$A:$E,5,FALSE)),"")</f>
        <v/>
      </c>
      <c r="AR764" s="304" t="str">
        <f t="shared" si="1739"/>
        <v/>
      </c>
      <c r="AS764" s="423" t="str">
        <f t="shared" si="1740"/>
        <v/>
      </c>
      <c r="AT764" s="304" t="str">
        <f t="shared" si="1741"/>
        <v/>
      </c>
      <c r="AU764" s="342" t="e">
        <f t="shared" si="1742"/>
        <v>#N/A</v>
      </c>
      <c r="AV764" s="304" t="e">
        <f t="shared" si="1743"/>
        <v>#N/A</v>
      </c>
      <c r="AX764" s="304">
        <f>IF(AND('General price list'!$J764="F4",'General price list'!$AB764+0&gt;0),1,0)</f>
        <v>0</v>
      </c>
      <c r="AY764" s="304">
        <f t="shared" si="1744"/>
        <v>1</v>
      </c>
      <c r="AZ764" s="304">
        <f t="shared" si="1745"/>
        <v>0</v>
      </c>
    </row>
    <row r="765" spans="1:52" ht="15" customHeight="1">
      <c r="A765" s="712" t="str">
        <f>Kat.!C762</f>
        <v/>
      </c>
      <c r="B765" s="745">
        <f>IF(AND('General price list'!$J765="F4",$AI$1=FALSE),0,IF(AC765="SKLADEM",1,IF(AC765=$V$3,1,0)))</f>
        <v>1</v>
      </c>
      <c r="C765" s="714" t="s">
        <v>1607</v>
      </c>
      <c r="D765" s="715" t="s">
        <v>1589</v>
      </c>
      <c r="E765" s="716" t="s">
        <v>136</v>
      </c>
      <c r="F765" s="712">
        <f>IFERROR(ROUND(IF($AL$3=2,VLOOKUP(C765,[2]List1!$A:$D,2,FALSE)*1.08,VLOOKUP(C765,[2]List1!$A:$D,2,FALSE)),0),"NEUVEDENO!")</f>
        <v>4799</v>
      </c>
      <c r="G765" s="717">
        <f t="shared" si="1788"/>
        <v>4799</v>
      </c>
      <c r="H765" s="718">
        <f t="shared" si="1789"/>
        <v>195.01074814396418</v>
      </c>
      <c r="I765" s="746">
        <v>1</v>
      </c>
      <c r="J765" s="716" t="s">
        <v>137</v>
      </c>
      <c r="K765" s="716" t="s">
        <v>14734</v>
      </c>
      <c r="L765" s="716" t="s">
        <v>24</v>
      </c>
      <c r="M765" s="716" t="s">
        <v>138</v>
      </c>
      <c r="N765" s="716">
        <f>IFERROR(VLOOKUP(C765,[3]List1!$A:$D,4,FALSE),"N/A!")</f>
        <v>7.03125E-2</v>
      </c>
      <c r="O765" s="716">
        <f>IFERROR(VLOOKUP(C765,[3]List1!$A:$D,3,FALSE),"N/A!")</f>
        <v>3800</v>
      </c>
      <c r="P765" s="716">
        <f>IFERROR(VLOOKUP(C765,[3]List1!$A:$D,2,FALSE),"N/A!")</f>
        <v>27000</v>
      </c>
      <c r="Q765" s="716" t="s">
        <v>14242</v>
      </c>
      <c r="R765" s="716" t="s">
        <v>24</v>
      </c>
      <c r="S765" s="716" t="str">
        <f>IF($W$17=$AF$1,"červená fólie",IFERROR(VLOOKUP("červená fólie",Jazyky_ceník!$A:$Q,MATCH($W$17,Jazyky_ceník!$A$1:$Q$1,0),FALSE),"!!!"))</f>
        <v>červená fólie</v>
      </c>
      <c r="T765" s="716">
        <v>180</v>
      </c>
      <c r="U765" s="716">
        <v>40</v>
      </c>
      <c r="V765" s="716">
        <v>30</v>
      </c>
      <c r="W765" s="716" t="str">
        <f>IFERROR(VLOOKUP('General price list'!$C765,Popisy!A:P,MATCH($W$17,Popisy!$A$7:$P$7,0),FALSE),"---------------")</f>
        <v>20 různobarevných efektů</v>
      </c>
      <c r="X765" s="716" t="str">
        <f t="shared" si="1790"/>
        <v/>
      </c>
      <c r="Y765" s="716" t="str">
        <f t="shared" si="1791"/>
        <v/>
      </c>
      <c r="Z765" s="716" t="str">
        <f>HYPERLINK("https://www.klasekpyrotechnics.cz/c2003f-c")</f>
        <v>https://www.klasekpyrotechnics.cz/c2003f-c</v>
      </c>
      <c r="AA765" s="716">
        <f>IFERROR(IF(VLOOKUP(C765,[4]List1!$A:$D,4,FALSE)=0,"",VLOOKUP(C765,[4]List1!$A:$D,4,FALSE)),"")</f>
        <v>18</v>
      </c>
      <c r="AB765" s="720"/>
      <c r="AC765" s="747" t="str">
        <f>IFERROR(IF(VLOOKUP(C765,[1]List1!$A:$D,2,FALSE)="VYPRODÁNO",$V$9,IF(VLOOKUP(C765,[1]List1!$A:$D,2,FALSE)="DOCHÁZÍ",$V$3,VLOOKUP(C765,[1]List1!$A:$D,2,FALSE))),"OFFLINE!")</f>
        <v>SKLADEM</v>
      </c>
      <c r="AD765" s="748" t="str">
        <f ca="1">IF(AP765="NE",$V$10,IF(AC765=$V$3,IF(AQ765&lt;1,$V$8,$V$2&amp;" "&amp;AQ765&amp;" "&amp;$V$1),IF(AC765="SKLADEM",$V$6,IFERROR(IF(OR(AC765-TODAY()&gt;45,VLOOKUP(C765,[1]List1!$A:$E,4,FALSE)=0),AC765,DAY(AC765)&amp;"."&amp;MONTH(AC765)&amp;"."&amp;YEAR(AC765)&amp;" "&amp;$V$4&amp;VLOOKUP(C765,[1]List1!$A:$E,4,FALSE)&amp;" "&amp;$V$1),AC765))))</f>
        <v>SKLADEM</v>
      </c>
      <c r="AE765" s="716" t="str">
        <f t="shared" ca="1" si="1792"/>
        <v>SKLADEM</v>
      </c>
      <c r="AF765" s="723">
        <f t="shared" si="1793"/>
        <v>0</v>
      </c>
      <c r="AG765" s="723">
        <f t="shared" si="1794"/>
        <v>0</v>
      </c>
      <c r="AH765" s="724">
        <f t="shared" si="1795"/>
        <v>0</v>
      </c>
      <c r="AI765" s="716">
        <f t="shared" si="1796"/>
        <v>0</v>
      </c>
      <c r="AJ765" s="716">
        <f t="shared" si="1797"/>
        <v>0</v>
      </c>
      <c r="AK765" s="716" t="str">
        <f t="shared" si="1798"/>
        <v/>
      </c>
      <c r="AL765" s="716">
        <f t="shared" si="1799"/>
        <v>0</v>
      </c>
      <c r="AM765" s="716" t="str">
        <f t="shared" si="1800"/>
        <v/>
      </c>
      <c r="AN765" s="716">
        <f t="shared" si="1801"/>
        <v>0</v>
      </c>
      <c r="AO765" s="380"/>
      <c r="AP765" s="322" t="str">
        <f t="shared" si="1738"/>
        <v/>
      </c>
      <c r="AQ765" s="323" t="str">
        <f>IF(AC765=$V$3,IF(VLOOKUP(C765,[1]List1!$A:$E,5,FALSE)=0,1,VLOOKUP(C765,[1]List1!$A:$E,5,FALSE)),"")</f>
        <v/>
      </c>
      <c r="AR765" s="304" t="str">
        <f t="shared" si="1739"/>
        <v/>
      </c>
      <c r="AS765" s="423" t="str">
        <f t="shared" si="1740"/>
        <v/>
      </c>
      <c r="AT765" s="304" t="str">
        <f t="shared" si="1741"/>
        <v/>
      </c>
      <c r="AU765" s="342" t="e">
        <f t="shared" si="1742"/>
        <v>#N/A</v>
      </c>
      <c r="AV765" s="304" t="e">
        <f t="shared" si="1743"/>
        <v>#N/A</v>
      </c>
      <c r="AX765" s="304">
        <f>IF(AND('General price list'!$J765="F4",'General price list'!$AB765+0&gt;0),1,0)</f>
        <v>0</v>
      </c>
      <c r="AY765" s="304">
        <f t="shared" si="1744"/>
        <v>1</v>
      </c>
      <c r="AZ765" s="304">
        <f t="shared" si="1745"/>
        <v>0</v>
      </c>
    </row>
    <row r="766" spans="1:52" ht="15" customHeight="1">
      <c r="A766" s="725" t="str">
        <f>Kat.!C763</f>
        <v/>
      </c>
      <c r="B766" s="749">
        <f>IF(AND('General price list'!$J766="F4",$AI$1=FALSE),0,IF(AC766="SKLADEM",1,IF(AC766=$V$3,1,0)))</f>
        <v>1</v>
      </c>
      <c r="C766" s="727" t="s">
        <v>1608</v>
      </c>
      <c r="D766" s="728" t="s">
        <v>12853</v>
      </c>
      <c r="E766" s="729" t="s">
        <v>136</v>
      </c>
      <c r="F766" s="725">
        <f>IFERROR(ROUND(IF($AL$3=2,VLOOKUP(C766,[2]List1!$A:$D,2,FALSE)*1.08,VLOOKUP(C766,[2]List1!$A:$D,2,FALSE)),0),"NEUVEDENO!")</f>
        <v>5625</v>
      </c>
      <c r="G766" s="730">
        <f t="shared" si="1788"/>
        <v>5625</v>
      </c>
      <c r="H766" s="731">
        <f t="shared" si="1789"/>
        <v>228.57584044796803</v>
      </c>
      <c r="I766" s="750">
        <v>1</v>
      </c>
      <c r="J766" s="729" t="s">
        <v>137</v>
      </c>
      <c r="K766" s="729"/>
      <c r="L766" s="729" t="s">
        <v>24</v>
      </c>
      <c r="M766" s="729" t="s">
        <v>138</v>
      </c>
      <c r="N766" s="729">
        <f>IFERROR(VLOOKUP(C766,[3]List1!$A:$D,4,FALSE),"N/A!")</f>
        <v>7.03125E-2</v>
      </c>
      <c r="O766" s="729">
        <f>IFERROR(VLOOKUP(C766,[3]List1!$A:$D,3,FALSE),"N/A!")</f>
        <v>3996</v>
      </c>
      <c r="P766" s="729">
        <f>IFERROR(VLOOKUP(C766,[3]List1!$A:$D,2,FALSE),"N/A!")</f>
        <v>28000</v>
      </c>
      <c r="Q766" s="729" t="s">
        <v>1121</v>
      </c>
      <c r="R766" s="729" t="s">
        <v>24</v>
      </c>
      <c r="S766" s="729" t="str">
        <f>IF($W$17=$AF$1,"červená fólie",IFERROR(VLOOKUP("červená fólie",Jazyky_ceník!$A:$Q,MATCH($W$17,Jazyky_ceník!$A$1:$Q$1,0),FALSE),"!!!"))</f>
        <v>červená fólie</v>
      </c>
      <c r="T766" s="729">
        <v>180</v>
      </c>
      <c r="U766" s="729">
        <v>43</v>
      </c>
      <c r="V766" s="729">
        <v>33</v>
      </c>
      <c r="W766" s="729" t="str">
        <f>IFERROR(VLOOKUP('General price list'!$C766,Popisy!A:P,MATCH($W$17,Popisy!$A$7:$P$7,0),FALSE),"---------------")</f>
        <v>10 různobarevných efektů</v>
      </c>
      <c r="X766" s="729" t="str">
        <f t="shared" si="1790"/>
        <v/>
      </c>
      <c r="Y766" s="729" t="str">
        <f t="shared" si="1791"/>
        <v/>
      </c>
      <c r="Z766" s="729" t="str">
        <f>HYPERLINK("https://www.klasekpyrotechnics.cz/c2003sig-c")</f>
        <v>https://www.klasekpyrotechnics.cz/c2003sig-c</v>
      </c>
      <c r="AA766" s="729">
        <f>IFERROR(IF(VLOOKUP(C766,[4]List1!$A:$D,4,FALSE)=0,"",VLOOKUP(C766,[4]List1!$A:$D,4,FALSE)),"")</f>
        <v>18</v>
      </c>
      <c r="AB766" s="720"/>
      <c r="AC766" s="751" t="str">
        <f>IFERROR(IF(VLOOKUP(C766,[1]List1!$A:$D,2,FALSE)="VYPRODÁNO",$V$9,IF(VLOOKUP(C766,[1]List1!$A:$D,2,FALSE)="DOCHÁZÍ",$V$3,VLOOKUP(C766,[1]List1!$A:$D,2,FALSE))),"OFFLINE!")</f>
        <v>SKLADEM</v>
      </c>
      <c r="AD766" s="752" t="str">
        <f ca="1">IF(AP766="NE",$V$10,IF(AC766=$V$3,IF(AQ766&lt;1,$V$8,$V$2&amp;" "&amp;AQ766&amp;" "&amp;$V$1),IF(AC766="SKLADEM",$V$6,IFERROR(IF(OR(AC766-TODAY()&gt;45,VLOOKUP(C766,[1]List1!$A:$E,4,FALSE)=0),AC766,DAY(AC766)&amp;"."&amp;MONTH(AC766)&amp;"."&amp;YEAR(AC766)&amp;" "&amp;$V$4&amp;VLOOKUP(C766,[1]List1!$A:$E,4,FALSE)&amp;" "&amp;$V$1),AC766))))</f>
        <v>SKLADEM</v>
      </c>
      <c r="AE766" s="729" t="str">
        <f t="shared" ca="1" si="1792"/>
        <v>SKLADEM</v>
      </c>
      <c r="AF766" s="735">
        <f t="shared" si="1793"/>
        <v>0</v>
      </c>
      <c r="AG766" s="735">
        <f t="shared" si="1794"/>
        <v>0</v>
      </c>
      <c r="AH766" s="736">
        <f t="shared" si="1795"/>
        <v>0</v>
      </c>
      <c r="AI766" s="729">
        <f t="shared" si="1796"/>
        <v>0</v>
      </c>
      <c r="AJ766" s="729">
        <f t="shared" si="1797"/>
        <v>0</v>
      </c>
      <c r="AK766" s="729" t="str">
        <f t="shared" si="1798"/>
        <v/>
      </c>
      <c r="AL766" s="729">
        <f t="shared" si="1799"/>
        <v>0</v>
      </c>
      <c r="AM766" s="729" t="str">
        <f t="shared" si="1800"/>
        <v/>
      </c>
      <c r="AN766" s="729">
        <f t="shared" si="1801"/>
        <v>0</v>
      </c>
      <c r="AO766" s="380"/>
      <c r="AP766" s="322" t="str">
        <f t="shared" si="1738"/>
        <v/>
      </c>
      <c r="AQ766" s="323" t="str">
        <f>IF(AC766=$V$3,IF(VLOOKUP(C766,[1]List1!$A:$E,5,FALSE)=0,1,VLOOKUP(C766,[1]List1!$A:$E,5,FALSE)),"")</f>
        <v/>
      </c>
      <c r="AR766" s="304" t="str">
        <f t="shared" si="1739"/>
        <v/>
      </c>
      <c r="AS766" s="423" t="str">
        <f t="shared" si="1740"/>
        <v/>
      </c>
      <c r="AT766" s="304" t="str">
        <f t="shared" si="1741"/>
        <v/>
      </c>
      <c r="AU766" s="342" t="e">
        <f t="shared" si="1742"/>
        <v>#N/A</v>
      </c>
      <c r="AV766" s="304" t="e">
        <f t="shared" si="1743"/>
        <v>#N/A</v>
      </c>
      <c r="AX766" s="304">
        <f>IF(AND('General price list'!$J766="F4",'General price list'!$AB766+0&gt;0),1,0)</f>
        <v>0</v>
      </c>
      <c r="AY766" s="304">
        <f t="shared" si="1744"/>
        <v>1</v>
      </c>
      <c r="AZ766" s="304">
        <f t="shared" si="1745"/>
        <v>0</v>
      </c>
    </row>
    <row r="767" spans="1:52" ht="15" customHeight="1">
      <c r="A767" s="712" t="str">
        <f>Kat.!C764</f>
        <v/>
      </c>
      <c r="B767" s="745">
        <f>IF(AND('General price list'!$J767="F4",$AI$1=FALSE),0,IF(AC767="SKLADEM",1,IF(AC767=$V$3,1,0)))</f>
        <v>1</v>
      </c>
      <c r="C767" s="714" t="s">
        <v>1609</v>
      </c>
      <c r="D767" s="715" t="s">
        <v>5451</v>
      </c>
      <c r="E767" s="716" t="s">
        <v>136</v>
      </c>
      <c r="F767" s="712">
        <f>IFERROR(ROUND(IF($AL$3=2,VLOOKUP(C767,[2]List1!$A:$D,2,FALSE)*1.08,VLOOKUP(C767,[2]List1!$A:$D,2,FALSE)),0),"NEUVEDENO!")</f>
        <v>7935</v>
      </c>
      <c r="G767" s="717">
        <f t="shared" si="1788"/>
        <v>7935</v>
      </c>
      <c r="H767" s="718">
        <f t="shared" si="1789"/>
        <v>322.44431892526688</v>
      </c>
      <c r="I767" s="746">
        <v>1</v>
      </c>
      <c r="J767" s="716" t="s">
        <v>137</v>
      </c>
      <c r="K767" s="716"/>
      <c r="L767" s="716" t="s">
        <v>24</v>
      </c>
      <c r="M767" s="716" t="s">
        <v>138</v>
      </c>
      <c r="N767" s="716">
        <f>IFERROR(VLOOKUP(C767,[3]List1!$A:$D,4,FALSE),"N/A!")</f>
        <v>0.13234374999999998</v>
      </c>
      <c r="O767" s="716">
        <f>IFERROR(VLOOKUP(C767,[3]List1!$A:$D,3,FALSE),"N/A!")</f>
        <v>3992</v>
      </c>
      <c r="P767" s="716">
        <f>IFERROR(VLOOKUP(C767,[3]List1!$A:$D,2,FALSE),"N/A!")</f>
        <v>42000</v>
      </c>
      <c r="Q767" s="716" t="s">
        <v>11854</v>
      </c>
      <c r="R767" s="716" t="s">
        <v>24</v>
      </c>
      <c r="S767" s="716" t="str">
        <f>IF($W$17=$AF$1,"červená fólie",IFERROR(VLOOKUP("červená fólie",Jazyky_ceník!$A:$Q,MATCH($W$17,Jazyky_ceník!$A$1:$Q$1,0),FALSE),"!!!"))</f>
        <v>červená fólie</v>
      </c>
      <c r="T767" s="716">
        <v>200</v>
      </c>
      <c r="U767" s="716">
        <v>40</v>
      </c>
      <c r="V767" s="716">
        <v>30</v>
      </c>
      <c r="W767" s="716" t="str">
        <f>IFERROR(VLOOKUP('General price list'!$C767,Popisy!A:P,MATCH($W$17,Popisy!$A$7:$P$7,0),FALSE),"---------------")</f>
        <v>32 různobarevných efektů</v>
      </c>
      <c r="X767" s="716" t="str">
        <f t="shared" si="1790"/>
        <v/>
      </c>
      <c r="Y767" s="716" t="str">
        <f t="shared" si="1791"/>
        <v/>
      </c>
      <c r="Z767" s="716" t="str">
        <f>HYPERLINK("https://www.klasekpyrotechnics.cz/c2563xmf-c")</f>
        <v>https://www.klasekpyrotechnics.cz/c2563xmf-c</v>
      </c>
      <c r="AA767" s="716">
        <f>IFERROR(IF(VLOOKUP(C767,[4]List1!$A:$D,4,FALSE)=0,"",VLOOKUP(C767,[4]List1!$A:$D,4,FALSE)),"")</f>
        <v>7</v>
      </c>
      <c r="AB767" s="720"/>
      <c r="AC767" s="747" t="str">
        <f>IFERROR(IF(VLOOKUP(C767,[1]List1!$A:$D,2,FALSE)="VYPRODÁNO",$V$9,IF(VLOOKUP(C767,[1]List1!$A:$D,2,FALSE)="DOCHÁZÍ",$V$3,VLOOKUP(C767,[1]List1!$A:$D,2,FALSE))),"OFFLINE!")</f>
        <v>SKLADEM</v>
      </c>
      <c r="AD767" s="748" t="str">
        <f ca="1">IF(AP767="NE",$V$10,IF(AC767=$V$3,IF(AQ767&lt;1,$V$8,$V$2&amp;" "&amp;AQ767&amp;" "&amp;$V$1),IF(AC767="SKLADEM",$V$6,IFERROR(IF(OR(AC767-TODAY()&gt;45,VLOOKUP(C767,[1]List1!$A:$E,4,FALSE)=0),AC767,DAY(AC767)&amp;"."&amp;MONTH(AC767)&amp;"."&amp;YEAR(AC767)&amp;" "&amp;$V$4&amp;VLOOKUP(C767,[1]List1!$A:$E,4,FALSE)&amp;" "&amp;$V$1),AC767))))</f>
        <v>SKLADEM</v>
      </c>
      <c r="AE767" s="716" t="str">
        <f t="shared" ca="1" si="1792"/>
        <v>SKLADEM</v>
      </c>
      <c r="AF767" s="723">
        <f t="shared" si="1793"/>
        <v>0</v>
      </c>
      <c r="AG767" s="723">
        <f t="shared" si="1794"/>
        <v>0</v>
      </c>
      <c r="AH767" s="724">
        <f t="shared" si="1795"/>
        <v>0</v>
      </c>
      <c r="AI767" s="716">
        <f t="shared" si="1796"/>
        <v>0</v>
      </c>
      <c r="AJ767" s="716">
        <f t="shared" si="1797"/>
        <v>0</v>
      </c>
      <c r="AK767" s="716" t="str">
        <f t="shared" si="1798"/>
        <v/>
      </c>
      <c r="AL767" s="716">
        <f t="shared" si="1799"/>
        <v>0</v>
      </c>
      <c r="AM767" s="716" t="str">
        <f t="shared" si="1800"/>
        <v/>
      </c>
      <c r="AN767" s="716">
        <f t="shared" si="1801"/>
        <v>0</v>
      </c>
      <c r="AO767" s="380"/>
      <c r="AP767" s="322" t="str">
        <f t="shared" si="1738"/>
        <v/>
      </c>
      <c r="AQ767" s="323" t="str">
        <f>IF(AC767=$V$3,IF(VLOOKUP(C767,[1]List1!$A:$E,5,FALSE)=0,1,VLOOKUP(C767,[1]List1!$A:$E,5,FALSE)),"")</f>
        <v/>
      </c>
      <c r="AR767" s="304" t="str">
        <f t="shared" si="1739"/>
        <v/>
      </c>
      <c r="AS767" s="423" t="str">
        <f t="shared" si="1740"/>
        <v/>
      </c>
      <c r="AT767" s="304" t="str">
        <f t="shared" si="1741"/>
        <v/>
      </c>
      <c r="AU767" s="342" t="e">
        <f t="shared" si="1742"/>
        <v>#N/A</v>
      </c>
      <c r="AV767" s="304" t="e">
        <f t="shared" si="1743"/>
        <v>#N/A</v>
      </c>
      <c r="AX767" s="304">
        <f>IF(AND('General price list'!$J767="F4",'General price list'!$AB767+0&gt;0),1,0)</f>
        <v>0</v>
      </c>
      <c r="AY767" s="304">
        <f t="shared" si="1744"/>
        <v>1</v>
      </c>
      <c r="AZ767" s="304">
        <f t="shared" si="1745"/>
        <v>0</v>
      </c>
    </row>
    <row r="768" spans="1:52" ht="15" customHeight="1">
      <c r="A768" s="773" t="str">
        <f>Kat.!C765</f>
        <v xml:space="preserve">                                                               Složený ohňostroj(s ochraným obalem) 30mm - F3 - 1.3G</v>
      </c>
      <c r="B768" s="774"/>
      <c r="C768" s="774"/>
      <c r="D768" s="774"/>
      <c r="E768" s="774"/>
      <c r="F768" s="774"/>
      <c r="G768" s="774"/>
      <c r="H768" s="774"/>
      <c r="I768" s="774"/>
      <c r="J768" s="774"/>
      <c r="K768" s="774"/>
      <c r="L768" s="774"/>
      <c r="M768" s="774"/>
      <c r="N768" s="774"/>
      <c r="O768" s="774"/>
      <c r="P768" s="774"/>
      <c r="Q768" s="774"/>
      <c r="R768" s="774"/>
      <c r="S768" s="774"/>
      <c r="T768" s="774"/>
      <c r="U768" s="774"/>
      <c r="V768" s="774"/>
      <c r="W768" s="774"/>
      <c r="X768" s="774"/>
      <c r="Y768" s="774"/>
      <c r="Z768" s="774"/>
      <c r="AA768" s="774" t="str">
        <f>IFERROR(IF(VLOOKUP(C768,[4]List1!$A:$D,4,FALSE)=0,"",VLOOKUP(C768,[4]List1!$A:$D,4,FALSE)),"")</f>
        <v/>
      </c>
      <c r="AB768" s="774"/>
      <c r="AC768" s="775" t="str">
        <f>IFERROR(IF(VLOOKUP(C768,[1]List1!$A:$D,2,FALSE)="VYPRODÁNO",$V$9,IF(VLOOKUP(C768,[1]List1!$A:$D,2,FALSE)="DOCHÁZÍ",$V$3,VLOOKUP(C768,[1]List1!$A:$D,2,FALSE))),"OFFLINE!")</f>
        <v>OFFLINE!</v>
      </c>
      <c r="AD768" s="774"/>
      <c r="AE768" s="774"/>
      <c r="AF768" s="774"/>
      <c r="AG768" s="774"/>
      <c r="AH768" s="774"/>
      <c r="AI768" s="774"/>
      <c r="AJ768" s="774"/>
      <c r="AK768" s="774"/>
      <c r="AL768" s="774"/>
      <c r="AM768" s="774"/>
      <c r="AN768" s="774"/>
      <c r="AO768" s="380"/>
      <c r="AP768" s="322" t="str">
        <f t="shared" si="1738"/>
        <v/>
      </c>
      <c r="AQ768" s="323" t="str">
        <f>IF(AC768=$V$3,IF(VLOOKUP(C768,[1]List1!$A:$E,5,FALSE)=0,1,VLOOKUP(C768,[1]List1!$A:$E,5,FALSE)),"")</f>
        <v/>
      </c>
      <c r="AR768" s="304" t="str">
        <f t="shared" si="1739"/>
        <v/>
      </c>
      <c r="AS768" s="423" t="str">
        <f t="shared" si="1740"/>
        <v/>
      </c>
      <c r="AT768" s="304" t="str">
        <f t="shared" si="1741"/>
        <v/>
      </c>
      <c r="AU768" s="342" t="e">
        <f t="shared" si="1742"/>
        <v>#N/A</v>
      </c>
      <c r="AV768" s="304" t="e">
        <f t="shared" si="1743"/>
        <v>#N/A</v>
      </c>
      <c r="AX768" s="304">
        <f>IF(AND('General price list'!$J768="F4",'General price list'!$AB768+0&gt;0),1,0)</f>
        <v>0</v>
      </c>
      <c r="AY768" s="304">
        <f t="shared" si="1744"/>
        <v>0</v>
      </c>
      <c r="AZ768" s="304">
        <f t="shared" si="1745"/>
        <v>0</v>
      </c>
    </row>
    <row r="769" spans="1:52" ht="15" customHeight="1">
      <c r="A769" s="712" t="str">
        <f>Kat.!C766</f>
        <v/>
      </c>
      <c r="B769" s="713">
        <f>IF(AND('General price list'!$J769="F4",$AI$1=FALSE),0,IF(AC769="SKLADEM",1,IF(AC769=$V$3,1,0)))</f>
        <v>1</v>
      </c>
      <c r="C769" s="714" t="s">
        <v>2751</v>
      </c>
      <c r="D769" s="715" t="s">
        <v>14569</v>
      </c>
      <c r="E769" s="716" t="s">
        <v>136</v>
      </c>
      <c r="F769" s="712">
        <f>IFERROR(ROUND(IF($AL$3=2,VLOOKUP(C769,[2]List1!$A:$D,2,FALSE)*1.08,VLOOKUP(C769,[2]List1!$A:$D,2,FALSE)),0),"NEUVEDENO!")</f>
        <v>2463</v>
      </c>
      <c r="G769" s="717">
        <f t="shared" ref="G769:G782" si="1802">(F769)*$B$19</f>
        <v>2463</v>
      </c>
      <c r="H769" s="718">
        <f t="shared" ref="H769:H782" si="1803">G769/$F$19</f>
        <v>100.0857413374836</v>
      </c>
      <c r="I769" s="719">
        <v>1</v>
      </c>
      <c r="J769" s="716" t="s">
        <v>137</v>
      </c>
      <c r="K769" s="716">
        <v>6</v>
      </c>
      <c r="L769" s="716" t="s">
        <v>24</v>
      </c>
      <c r="M769" s="716" t="s">
        <v>138</v>
      </c>
      <c r="N769" s="716">
        <f>IFERROR(VLOOKUP(C769,[3]List1!$A:$D,4,FALSE),"N/A!")</f>
        <v>3.5625000000000004E-2</v>
      </c>
      <c r="O769" s="716">
        <f>IFERROR(VLOOKUP(C769,[3]List1!$A:$D,3,FALSE),"N/A!")</f>
        <v>1800</v>
      </c>
      <c r="P769" s="716">
        <f>IFERROR(VLOOKUP(C769,[3]List1!$A:$D,2,FALSE),"N/A!")</f>
        <v>13500</v>
      </c>
      <c r="Q769" s="716" t="s">
        <v>2796</v>
      </c>
      <c r="R769" s="716" t="s">
        <v>24</v>
      </c>
      <c r="S769" s="716" t="str">
        <f>IF($W$17=$AF$1,"červená fólie",IFERROR(VLOOKUP("červená fólie",Jazyky_ceník!$A:$Q,MATCH($W$17,Jazyky_ceník!$A$1:$Q$1,0),FALSE),"!!!"))</f>
        <v>červená fólie</v>
      </c>
      <c r="T769" s="716">
        <v>100</v>
      </c>
      <c r="U769" s="716">
        <v>40</v>
      </c>
      <c r="V769" s="716">
        <v>29</v>
      </c>
      <c r="W769" s="716" t="str">
        <f>IFERROR(VLOOKUP('General price list'!$C769,Popisy!A:P,MATCH($W$17,Popisy!$A$7:$P$7,0),FALSE),"---------------")</f>
        <v>10 různobarevných efektů</v>
      </c>
      <c r="X769" s="716" t="str">
        <f t="shared" ref="X769:X782" si="1804">IF(AB769&lt;0.0001,"",AB769)</f>
        <v/>
      </c>
      <c r="Y769" s="716" t="str">
        <f t="shared" ref="Y769:Y782" si="1805">IF($AL$3=2,IF(OR(AB769&lt;&gt;"",AB769&lt;&gt;0),AU769,""),IF(C769="","",IF(AB769&lt;0.0001,"",IF(B769=0,"",IF(AQ769&lt;AB769,"",AB769)))))</f>
        <v/>
      </c>
      <c r="Z769" s="716" t="str">
        <f>HYPERLINK("https://www.klasekpyrotechnics.cz/c1003bp-c_t")</f>
        <v>https://www.klasekpyrotechnics.cz/c1003bp-c_t</v>
      </c>
      <c r="AA769" s="716">
        <f>IFERROR(IF(VLOOKUP(C769,[4]List1!$A:$D,4,FALSE)=0,"",VLOOKUP(C769,[4]List1!$A:$D,4,FALSE)),"")</f>
        <v>36</v>
      </c>
      <c r="AB769" s="720"/>
      <c r="AC769" s="721" t="str">
        <f>IFERROR(IF(VLOOKUP(C769,[1]List1!$A:$D,2,FALSE)="VYPRODÁNO",$V$9,IF(VLOOKUP(C769,[1]List1!$A:$D,2,FALSE)="DOCHÁZÍ",$V$3,VLOOKUP(C769,[1]List1!$A:$D,2,FALSE))),"OFFLINE!")</f>
        <v>SKLADEM</v>
      </c>
      <c r="AD769" s="722" t="str">
        <f ca="1">IF(AP769="NE",$V$10,IF(AC769=$V$3,IF(AQ769&lt;1,$V$8,$V$2&amp;" "&amp;AQ769&amp;" "&amp;$V$1),IF(AC769="SKLADEM",$V$6,IFERROR(IF(OR(AC769-TODAY()&gt;45,VLOOKUP(C769,[1]List1!$A:$E,4,FALSE)=0),AC769,DAY(AC769)&amp;"."&amp;MONTH(AC769)&amp;"."&amp;YEAR(AC769)&amp;" "&amp;$V$4&amp;VLOOKUP(C769,[1]List1!$A:$E,4,FALSE)&amp;" "&amp;$V$1),AC769))))</f>
        <v>SKLADEM</v>
      </c>
      <c r="AE769" s="716" t="str">
        <f t="shared" ref="AE769:AE782" ca="1" si="1806">IFERROR(IF(AV769&lt;&gt;"",AV769,AD769),AD769)</f>
        <v>SKLADEM</v>
      </c>
      <c r="AF769" s="723">
        <f t="shared" ref="AF769:AF782" si="1807">IFERROR(IF(AB769=Y769,G769*I769*Y769,0),0)</f>
        <v>0</v>
      </c>
      <c r="AG769" s="723">
        <f t="shared" ref="AG769:AG782" si="1808">IF($W$17=$AF$8,AH769*1.23,AF769*1.21)</f>
        <v>0</v>
      </c>
      <c r="AH769" s="724">
        <f t="shared" ref="AH769:AH782" si="1809">IFERROR(IF(Y769=AB769,H769*I769*Y769,0),0)</f>
        <v>0</v>
      </c>
      <c r="AI769" s="716">
        <f t="shared" ref="AI769:AI782" si="1810">IFERROR(IF(Y769=AB769,(P769*Y769)/1000,1),0)</f>
        <v>0</v>
      </c>
      <c r="AJ769" s="716">
        <f t="shared" ref="AJ769:AJ782" si="1811">IFERROR(IF(Y769=AB769,N769*Y769,0.1),0)</f>
        <v>0</v>
      </c>
      <c r="AK769" s="716" t="str">
        <f t="shared" ref="AK769:AK782" si="1812">IFERROR(IF(Y769=AB769,IF(M769="1.1G",(O769/1000)*Y769,""),""),0)</f>
        <v/>
      </c>
      <c r="AL769" s="716">
        <f t="shared" ref="AL769:AL782" si="1813">IFERROR(IF(Y769=AB769,IF(M769="1.3G",(O769/1000)*AB769,""),""),0)</f>
        <v>0</v>
      </c>
      <c r="AM769" s="716" t="str">
        <f t="shared" ref="AM769:AM782" si="1814">IFERROR(IF(Y769=AB769,IF(M769="1.4G",(O769/1000)*AB769,""),""),0)</f>
        <v/>
      </c>
      <c r="AN769" s="716">
        <f t="shared" ref="AN769:AN782" si="1815">SUM(AK769:AM769)</f>
        <v>0</v>
      </c>
      <c r="AO769" s="380"/>
      <c r="AP769" s="322" t="str">
        <f t="shared" si="1738"/>
        <v/>
      </c>
      <c r="AQ769" s="323" t="str">
        <f>IF(AC769=$V$3,IF(VLOOKUP(C769,[1]List1!$A:$E,5,FALSE)=0,1,VLOOKUP(C769,[1]List1!$A:$E,5,FALSE)),"")</f>
        <v/>
      </c>
      <c r="AR769" s="304" t="str">
        <f t="shared" si="1739"/>
        <v/>
      </c>
      <c r="AS769" s="423" t="str">
        <f t="shared" si="1740"/>
        <v/>
      </c>
      <c r="AT769" s="304" t="str">
        <f t="shared" si="1741"/>
        <v/>
      </c>
      <c r="AU769" s="342" t="e">
        <f t="shared" si="1742"/>
        <v>#N/A</v>
      </c>
      <c r="AV769" s="304" t="e">
        <f t="shared" si="1743"/>
        <v>#N/A</v>
      </c>
      <c r="AX769" s="304">
        <f>IF(AND('General price list'!$J769="F4",'General price list'!$AB769+0&gt;0),1,0)</f>
        <v>0</v>
      </c>
      <c r="AY769" s="304">
        <f t="shared" si="1744"/>
        <v>1</v>
      </c>
      <c r="AZ769" s="304">
        <f t="shared" si="1745"/>
        <v>0</v>
      </c>
    </row>
    <row r="770" spans="1:52" ht="15" customHeight="1">
      <c r="A770" s="725" t="str">
        <f>Kat.!C767</f>
        <v/>
      </c>
      <c r="B770" s="726">
        <f>IF(AND('General price list'!$J770="F4",$AI$1=FALSE),0,IF(AC770="SKLADEM",1,IF(AC770=$V$3,1,0)))</f>
        <v>1</v>
      </c>
      <c r="C770" s="727" t="s">
        <v>2752</v>
      </c>
      <c r="D770" s="728" t="s">
        <v>14570</v>
      </c>
      <c r="E770" s="729" t="s">
        <v>136</v>
      </c>
      <c r="F770" s="725">
        <f>IFERROR(ROUND(IF($AL$3=2,VLOOKUP(C770,[2]List1!$A:$D,2,FALSE)*1.08,VLOOKUP(C770,[2]List1!$A:$D,2,FALSE)),0),"NEUVEDENO!")</f>
        <v>2463</v>
      </c>
      <c r="G770" s="730">
        <f t="shared" si="1802"/>
        <v>2463</v>
      </c>
      <c r="H770" s="731">
        <f t="shared" si="1803"/>
        <v>100.0857413374836</v>
      </c>
      <c r="I770" s="732">
        <v>1</v>
      </c>
      <c r="J770" s="729" t="s">
        <v>137</v>
      </c>
      <c r="K770" s="729">
        <v>6</v>
      </c>
      <c r="L770" s="729" t="s">
        <v>24</v>
      </c>
      <c r="M770" s="729" t="s">
        <v>138</v>
      </c>
      <c r="N770" s="729">
        <f>IFERROR(VLOOKUP(C770,[3]List1!$A:$D,4,FALSE),"N/A!")</f>
        <v>3.5625000000000004E-2</v>
      </c>
      <c r="O770" s="729">
        <f>IFERROR(VLOOKUP(C770,[3]List1!$A:$D,3,FALSE),"N/A!")</f>
        <v>1800</v>
      </c>
      <c r="P770" s="729">
        <f>IFERROR(VLOOKUP(C770,[3]List1!$A:$D,2,FALSE),"N/A!")</f>
        <v>13500</v>
      </c>
      <c r="Q770" s="729" t="s">
        <v>2797</v>
      </c>
      <c r="R770" s="729" t="s">
        <v>24</v>
      </c>
      <c r="S770" s="729" t="str">
        <f>IF($W$17=$AF$1,"transparentní fólie",IFERROR(VLOOKUP("transparentní fólie",Jazyky_ceník!$A:$Q,MATCH($W$17,Jazyky_ceník!$A$1:$Q$1,0),FALSE),"!!!"))</f>
        <v>transparentní fólie</v>
      </c>
      <c r="T770" s="729">
        <v>100</v>
      </c>
      <c r="U770" s="729">
        <v>40</v>
      </c>
      <c r="V770" s="729">
        <v>29</v>
      </c>
      <c r="W770" s="729" t="str">
        <f>IFERROR(VLOOKUP('General price list'!$C770,Popisy!A:P,MATCH($W$17,Popisy!$A$7:$P$7,0),FALSE),"---------------")</f>
        <v>10 různobarevných efektů</v>
      </c>
      <c r="X770" s="729" t="str">
        <f t="shared" si="1804"/>
        <v/>
      </c>
      <c r="Y770" s="729" t="str">
        <f t="shared" si="1805"/>
        <v/>
      </c>
      <c r="Z770" s="729" t="str">
        <f>HYPERLINK("https://www.klasekpyrotechnics.cz/c1003bpf-c_t")</f>
        <v>https://www.klasekpyrotechnics.cz/c1003bpf-c_t</v>
      </c>
      <c r="AA770" s="729">
        <f>IFERROR(IF(VLOOKUP(C770,[4]List1!$A:$D,4,FALSE)=0,"",VLOOKUP(C770,[4]List1!$A:$D,4,FALSE)),"")</f>
        <v>36</v>
      </c>
      <c r="AB770" s="720"/>
      <c r="AC770" s="733" t="str">
        <f>IFERROR(IF(VLOOKUP(C770,[1]List1!$A:$D,2,FALSE)="VYPRODÁNO",$V$9,IF(VLOOKUP(C770,[1]List1!$A:$D,2,FALSE)="DOCHÁZÍ",$V$3,VLOOKUP(C770,[1]List1!$A:$D,2,FALSE))),"OFFLINE!")</f>
        <v>SKLADEM</v>
      </c>
      <c r="AD770" s="734" t="str">
        <f ca="1">IF(AP770="NE",$V$10,IF(AC770=$V$3,IF(AQ770&lt;1,$V$8,$V$2&amp;" "&amp;AQ770&amp;" "&amp;$V$1),IF(AC770="SKLADEM",$V$6,IFERROR(IF(OR(AC770-TODAY()&gt;45,VLOOKUP(C770,[1]List1!$A:$E,4,FALSE)=0),AC770,DAY(AC770)&amp;"."&amp;MONTH(AC770)&amp;"."&amp;YEAR(AC770)&amp;" "&amp;$V$4&amp;VLOOKUP(C770,[1]List1!$A:$E,4,FALSE)&amp;" "&amp;$V$1),AC770))))</f>
        <v>SKLADEM</v>
      </c>
      <c r="AE770" s="729" t="str">
        <f t="shared" ca="1" si="1806"/>
        <v>SKLADEM</v>
      </c>
      <c r="AF770" s="735">
        <f t="shared" si="1807"/>
        <v>0</v>
      </c>
      <c r="AG770" s="735">
        <f t="shared" si="1808"/>
        <v>0</v>
      </c>
      <c r="AH770" s="736">
        <f t="shared" si="1809"/>
        <v>0</v>
      </c>
      <c r="AI770" s="729">
        <f t="shared" si="1810"/>
        <v>0</v>
      </c>
      <c r="AJ770" s="729">
        <f t="shared" si="1811"/>
        <v>0</v>
      </c>
      <c r="AK770" s="729" t="str">
        <f t="shared" si="1812"/>
        <v/>
      </c>
      <c r="AL770" s="729">
        <f t="shared" si="1813"/>
        <v>0</v>
      </c>
      <c r="AM770" s="729" t="str">
        <f t="shared" si="1814"/>
        <v/>
      </c>
      <c r="AN770" s="729">
        <f t="shared" si="1815"/>
        <v>0</v>
      </c>
      <c r="AO770" s="380"/>
      <c r="AP770" s="322" t="str">
        <f t="shared" si="1738"/>
        <v/>
      </c>
      <c r="AQ770" s="323" t="str">
        <f>IF(AC770=$V$3,IF(VLOOKUP(C770,[1]List1!$A:$E,5,FALSE)=0,1,VLOOKUP(C770,[1]List1!$A:$E,5,FALSE)),"")</f>
        <v/>
      </c>
      <c r="AR770" s="304" t="str">
        <f t="shared" si="1739"/>
        <v/>
      </c>
      <c r="AS770" s="423" t="str">
        <f t="shared" si="1740"/>
        <v/>
      </c>
      <c r="AT770" s="304" t="str">
        <f t="shared" si="1741"/>
        <v/>
      </c>
      <c r="AU770" s="342" t="e">
        <f t="shared" si="1742"/>
        <v>#N/A</v>
      </c>
      <c r="AV770" s="304" t="e">
        <f t="shared" si="1743"/>
        <v>#N/A</v>
      </c>
      <c r="AX770" s="304">
        <f>IF(AND('General price list'!$J770="F4",'General price list'!$AB770+0&gt;0),1,0)</f>
        <v>0</v>
      </c>
      <c r="AY770" s="304">
        <f t="shared" si="1744"/>
        <v>1</v>
      </c>
      <c r="AZ770" s="304">
        <f t="shared" si="1745"/>
        <v>0</v>
      </c>
    </row>
    <row r="771" spans="1:52" ht="15" customHeight="1">
      <c r="A771" s="712" t="str">
        <f>Kat.!C768</f>
        <v/>
      </c>
      <c r="B771" s="737">
        <f>IF(AND('General price list'!$J771="F4",$AI$1=FALSE),0,IF(AC771="SKLADEM",1,IF(AC771=$V$3,1,0)))</f>
        <v>0</v>
      </c>
      <c r="C771" s="714" t="s">
        <v>2753</v>
      </c>
      <c r="D771" s="715" t="s">
        <v>1582</v>
      </c>
      <c r="E771" s="716" t="s">
        <v>136</v>
      </c>
      <c r="F771" s="712">
        <f>IFERROR(ROUND(IF($AL$3=2,VLOOKUP(C771,[2]List1!$A:$D,2,FALSE)*1.08,VLOOKUP(C771,[2]List1!$A:$D,2,FALSE)),0),"NEUVEDENO!")</f>
        <v>2497</v>
      </c>
      <c r="G771" s="717">
        <f t="shared" si="1802"/>
        <v>2497</v>
      </c>
      <c r="H771" s="718">
        <f t="shared" si="1803"/>
        <v>101.46735530641354</v>
      </c>
      <c r="I771" s="738">
        <v>1</v>
      </c>
      <c r="J771" s="716" t="s">
        <v>137</v>
      </c>
      <c r="K771" s="716">
        <v>6</v>
      </c>
      <c r="L771" s="716" t="s">
        <v>24</v>
      </c>
      <c r="M771" s="716" t="s">
        <v>138</v>
      </c>
      <c r="N771" s="716">
        <f>IFERROR(VLOOKUP(C771,[3]List1!$A:$D,4,FALSE),"N/A!")</f>
        <v>3.5625000000000004E-2</v>
      </c>
      <c r="O771" s="716">
        <f>IFERROR(VLOOKUP(C771,[3]List1!$A:$D,3,FALSE),"N/A!")</f>
        <v>1900</v>
      </c>
      <c r="P771" s="716">
        <f>IFERROR(VLOOKUP(C771,[3]List1!$A:$D,2,FALSE),"N/A!")</f>
        <v>13500</v>
      </c>
      <c r="Q771" s="716" t="s">
        <v>2797</v>
      </c>
      <c r="R771" s="716" t="s">
        <v>24</v>
      </c>
      <c r="S771" s="716" t="str">
        <f>IF($W$17=$AF$1,"červená fólie",IFERROR(VLOOKUP("červená fólie",Jazyky_ceník!$A:$Q,MATCH($W$17,Jazyky_ceník!$A$1:$Q$1,0),FALSE),"!!!"))</f>
        <v>červená fólie</v>
      </c>
      <c r="T771" s="716">
        <v>100</v>
      </c>
      <c r="U771" s="716">
        <v>40</v>
      </c>
      <c r="V771" s="716">
        <v>30</v>
      </c>
      <c r="W771" s="716" t="str">
        <f>IFERROR(VLOOKUP('General price list'!$C771,Popisy!A:P,MATCH($W$17,Popisy!$A$7:$P$7,0),FALSE),"---------------")</f>
        <v>10 různobarevných efektů</v>
      </c>
      <c r="X771" s="716" t="str">
        <f t="shared" si="1804"/>
        <v/>
      </c>
      <c r="Y771" s="716" t="str">
        <f t="shared" si="1805"/>
        <v/>
      </c>
      <c r="Z771" s="716" t="str">
        <f>HYPERLINK("https://www.klasekpyrotechnics.cz/c1003bb-c_t")</f>
        <v>https://www.klasekpyrotechnics.cz/c1003bb-c_t</v>
      </c>
      <c r="AA771" s="716">
        <f>IFERROR(IF(VLOOKUP(C771,[4]List1!$A:$D,4,FALSE)=0,"",VLOOKUP(C771,[4]List1!$A:$D,4,FALSE)),"")</f>
        <v>36</v>
      </c>
      <c r="AB771" s="720"/>
      <c r="AC771" s="739" t="str">
        <f>IFERROR(IF(VLOOKUP(C771,[1]List1!$A:$D,2,FALSE)="VYPRODÁNO",$V$9,IF(VLOOKUP(C771,[1]List1!$A:$D,2,FALSE)="DOCHÁZÍ",$V$3,VLOOKUP(C771,[1]List1!$A:$D,2,FALSE))),"OFFLINE!")</f>
        <v>15.05.2024</v>
      </c>
      <c r="AD771" s="740" t="str">
        <f ca="1">IF(AP771="NE",$V$10,IF(AC771=$V$3,IF(AQ771&lt;1,$V$8,$V$2&amp;" "&amp;AQ771&amp;" "&amp;$V$1),IF(AC771="SKLADEM",$V$6,IFERROR(IF(OR(AC771-TODAY()&gt;45,VLOOKUP(C771,[1]List1!$A:$E,4,FALSE)=0),AC771,DAY(AC771)&amp;"."&amp;MONTH(AC771)&amp;"."&amp;YEAR(AC771)&amp;" "&amp;$V$4&amp;VLOOKUP(C771,[1]List1!$A:$E,4,FALSE)&amp;" "&amp;$V$1),AC771))))</f>
        <v>15.05.2024</v>
      </c>
      <c r="AE771" s="716" t="str">
        <f t="shared" ca="1" si="1806"/>
        <v>15.05.2024</v>
      </c>
      <c r="AF771" s="723">
        <f t="shared" si="1807"/>
        <v>0</v>
      </c>
      <c r="AG771" s="723">
        <f t="shared" si="1808"/>
        <v>0</v>
      </c>
      <c r="AH771" s="724">
        <f t="shared" si="1809"/>
        <v>0</v>
      </c>
      <c r="AI771" s="716">
        <f t="shared" si="1810"/>
        <v>0</v>
      </c>
      <c r="AJ771" s="716">
        <f t="shared" si="1811"/>
        <v>0</v>
      </c>
      <c r="AK771" s="716" t="str">
        <f t="shared" si="1812"/>
        <v/>
      </c>
      <c r="AL771" s="716">
        <f t="shared" si="1813"/>
        <v>0</v>
      </c>
      <c r="AM771" s="716" t="str">
        <f t="shared" si="1814"/>
        <v/>
      </c>
      <c r="AN771" s="716">
        <f t="shared" si="1815"/>
        <v>0</v>
      </c>
      <c r="AO771" s="380"/>
      <c r="AP771" s="322" t="str">
        <f t="shared" si="1738"/>
        <v/>
      </c>
      <c r="AQ771" s="323" t="str">
        <f>IF(AC771=$V$3,IF(VLOOKUP(C771,[1]List1!$A:$E,5,FALSE)=0,1,VLOOKUP(C771,[1]List1!$A:$E,5,FALSE)),"")</f>
        <v/>
      </c>
      <c r="AR771" s="304" t="str">
        <f t="shared" si="1739"/>
        <v/>
      </c>
      <c r="AS771" s="423" t="str">
        <f t="shared" si="1740"/>
        <v/>
      </c>
      <c r="AT771" s="304" t="str">
        <f t="shared" si="1741"/>
        <v/>
      </c>
      <c r="AU771" s="342" t="e">
        <f t="shared" si="1742"/>
        <v>#N/A</v>
      </c>
      <c r="AV771" s="304" t="e">
        <f t="shared" si="1743"/>
        <v>#N/A</v>
      </c>
      <c r="AX771" s="304">
        <f>IF(AND('General price list'!$J771="F4",'General price list'!$AB771+0&gt;0),1,0)</f>
        <v>0</v>
      </c>
      <c r="AY771" s="304">
        <f t="shared" si="1744"/>
        <v>1</v>
      </c>
      <c r="AZ771" s="304">
        <f t="shared" si="1745"/>
        <v>0</v>
      </c>
    </row>
    <row r="772" spans="1:52" ht="15" customHeight="1">
      <c r="A772" s="725" t="str">
        <f>Kat.!C769</f>
        <v/>
      </c>
      <c r="B772" s="726">
        <f>IF(AND('General price list'!$J772="F4",$AI$1=FALSE),0,IF(AC772="SKLADEM",1,IF(AC772=$V$3,1,0)))</f>
        <v>0</v>
      </c>
      <c r="C772" s="727" t="s">
        <v>2754</v>
      </c>
      <c r="D772" s="728" t="s">
        <v>1583</v>
      </c>
      <c r="E772" s="729" t="s">
        <v>136</v>
      </c>
      <c r="F772" s="725">
        <f>IFERROR(ROUND(IF($AL$3=2,VLOOKUP(C772,[2]List1!$A:$D,2,FALSE)*1.08,VLOOKUP(C772,[2]List1!$A:$D,2,FALSE)),0),"NEUVEDENO!")</f>
        <v>3082</v>
      </c>
      <c r="G772" s="730">
        <f t="shared" si="1802"/>
        <v>3082</v>
      </c>
      <c r="H772" s="731">
        <f t="shared" si="1803"/>
        <v>125.23924271300221</v>
      </c>
      <c r="I772" s="732">
        <v>1</v>
      </c>
      <c r="J772" s="729" t="s">
        <v>137</v>
      </c>
      <c r="K772" s="729">
        <v>6</v>
      </c>
      <c r="L772" s="729" t="s">
        <v>24</v>
      </c>
      <c r="M772" s="729" t="s">
        <v>138</v>
      </c>
      <c r="N772" s="729">
        <f>IFERROR(VLOOKUP(C772,[3]List1!$A:$D,4,FALSE),"N/A!")</f>
        <v>3.5625000000000004E-2</v>
      </c>
      <c r="O772" s="729">
        <f>IFERROR(VLOOKUP(C772,[3]List1!$A:$D,3,FALSE),"N/A!")</f>
        <v>1998</v>
      </c>
      <c r="P772" s="729">
        <f>IFERROR(VLOOKUP(C772,[3]List1!$A:$D,2,FALSE),"N/A!")</f>
        <v>14000</v>
      </c>
      <c r="Q772" s="729" t="s">
        <v>2797</v>
      </c>
      <c r="R772" s="729" t="s">
        <v>24</v>
      </c>
      <c r="S772" s="729" t="str">
        <f>IF($W$17=$AF$1,"červená fólie",IFERROR(VLOOKUP("červená fólie",Jazyky_ceník!$A:$Q,MATCH($W$17,Jazyky_ceník!$A$1:$Q$1,0),FALSE),"!!!"))</f>
        <v>červená fólie</v>
      </c>
      <c r="T772" s="729">
        <v>100</v>
      </c>
      <c r="U772" s="729">
        <v>43</v>
      </c>
      <c r="V772" s="729">
        <v>33</v>
      </c>
      <c r="W772" s="729" t="str">
        <f>IFERROR(VLOOKUP('General price list'!$C772,Popisy!A:P,MATCH($W$17,Popisy!$A$7:$P$7,0),FALSE),"---------------")</f>
        <v>10 různobarevných efektů</v>
      </c>
      <c r="X772" s="729" t="str">
        <f t="shared" si="1804"/>
        <v/>
      </c>
      <c r="Y772" s="729" t="str">
        <f t="shared" si="1805"/>
        <v/>
      </c>
      <c r="Z772" s="729" t="str">
        <f>HYPERLINK("https://www.klasekpyrotechnics.cz/c1003sig-c_t")</f>
        <v>https://www.klasekpyrotechnics.cz/c1003sig-c_t</v>
      </c>
      <c r="AA772" s="729">
        <f>IFERROR(IF(VLOOKUP(C772,[4]List1!$A:$D,4,FALSE)=0,"",VLOOKUP(C772,[4]List1!$A:$D,4,FALSE)),"")</f>
        <v>36</v>
      </c>
      <c r="AB772" s="720"/>
      <c r="AC772" s="733" t="str">
        <f>IFERROR(IF(VLOOKUP(C772,[1]List1!$A:$D,2,FALSE)="VYPRODÁNO",$V$9,IF(VLOOKUP(C772,[1]List1!$A:$D,2,FALSE)="DOCHÁZÍ",$V$3,VLOOKUP(C772,[1]List1!$A:$D,2,FALSE))),"OFFLINE!")</f>
        <v>15.09.2024</v>
      </c>
      <c r="AD772" s="734" t="str">
        <f ca="1">IF(AP772="NE",$V$10,IF(AC772=$V$3,IF(AQ772&lt;1,$V$8,$V$2&amp;" "&amp;AQ772&amp;" "&amp;$V$1),IF(AC772="SKLADEM",$V$6,IFERROR(IF(OR(AC772-TODAY()&gt;45,VLOOKUP(C772,[1]List1!$A:$E,4,FALSE)=0),AC772,DAY(AC772)&amp;"."&amp;MONTH(AC772)&amp;"."&amp;YEAR(AC772)&amp;" "&amp;$V$4&amp;VLOOKUP(C772,[1]List1!$A:$E,4,FALSE)&amp;" "&amp;$V$1),AC772))))</f>
        <v>15.09.2024</v>
      </c>
      <c r="AE772" s="729" t="str">
        <f t="shared" ca="1" si="1806"/>
        <v>15.09.2024</v>
      </c>
      <c r="AF772" s="735">
        <f t="shared" si="1807"/>
        <v>0</v>
      </c>
      <c r="AG772" s="735">
        <f t="shared" si="1808"/>
        <v>0</v>
      </c>
      <c r="AH772" s="736">
        <f t="shared" si="1809"/>
        <v>0</v>
      </c>
      <c r="AI772" s="729">
        <f t="shared" si="1810"/>
        <v>0</v>
      </c>
      <c r="AJ772" s="729">
        <f t="shared" si="1811"/>
        <v>0</v>
      </c>
      <c r="AK772" s="729" t="str">
        <f t="shared" si="1812"/>
        <v/>
      </c>
      <c r="AL772" s="729">
        <f t="shared" si="1813"/>
        <v>0</v>
      </c>
      <c r="AM772" s="729" t="str">
        <f t="shared" si="1814"/>
        <v/>
      </c>
      <c r="AN772" s="729">
        <f t="shared" si="1815"/>
        <v>0</v>
      </c>
      <c r="AO772" s="380"/>
      <c r="AP772" s="322" t="str">
        <f t="shared" si="1738"/>
        <v/>
      </c>
      <c r="AQ772" s="323" t="str">
        <f>IF(AC772=$V$3,IF(VLOOKUP(C772,[1]List1!$A:$E,5,FALSE)=0,1,VLOOKUP(C772,[1]List1!$A:$E,5,FALSE)),"")</f>
        <v/>
      </c>
      <c r="AR772" s="304" t="str">
        <f t="shared" si="1739"/>
        <v/>
      </c>
      <c r="AS772" s="423" t="str">
        <f t="shared" si="1740"/>
        <v/>
      </c>
      <c r="AT772" s="304" t="str">
        <f t="shared" si="1741"/>
        <v/>
      </c>
      <c r="AU772" s="342" t="e">
        <f t="shared" si="1742"/>
        <v>#N/A</v>
      </c>
      <c r="AV772" s="304" t="e">
        <f t="shared" si="1743"/>
        <v>#N/A</v>
      </c>
      <c r="AX772" s="304">
        <f>IF(AND('General price list'!$J772="F4",'General price list'!$AB772+0&gt;0),1,0)</f>
        <v>0</v>
      </c>
      <c r="AY772" s="304">
        <f t="shared" si="1744"/>
        <v>1</v>
      </c>
      <c r="AZ772" s="304">
        <f t="shared" si="1745"/>
        <v>0</v>
      </c>
    </row>
    <row r="773" spans="1:52" ht="15" customHeight="1">
      <c r="A773" s="712" t="str">
        <f>Kat.!C770</f>
        <v/>
      </c>
      <c r="B773" s="737">
        <f>IF(AND('General price list'!$J773="F4",$AI$1=FALSE),0,IF(AC773="SKLADEM",1,IF(AC773=$V$3,1,0)))</f>
        <v>0</v>
      </c>
      <c r="C773" s="714" t="s">
        <v>2755</v>
      </c>
      <c r="D773" s="715" t="s">
        <v>1335</v>
      </c>
      <c r="E773" s="716" t="s">
        <v>136</v>
      </c>
      <c r="F773" s="712">
        <f>IFERROR(ROUND(IF($AL$3=2,VLOOKUP(C773,[2]List1!$A:$D,2,FALSE)*1.08,VLOOKUP(C773,[2]List1!$A:$D,2,FALSE)),0),"NEUVEDENO!")</f>
        <v>2871</v>
      </c>
      <c r="G773" s="717">
        <f t="shared" si="1802"/>
        <v>2871</v>
      </c>
      <c r="H773" s="718">
        <f t="shared" si="1803"/>
        <v>116.66510896464288</v>
      </c>
      <c r="I773" s="738">
        <v>1</v>
      </c>
      <c r="J773" s="716" t="s">
        <v>137</v>
      </c>
      <c r="K773" s="716">
        <v>6</v>
      </c>
      <c r="L773" s="716" t="s">
        <v>24</v>
      </c>
      <c r="M773" s="716" t="s">
        <v>138</v>
      </c>
      <c r="N773" s="716">
        <f>IFERROR(VLOOKUP(C773,[3]List1!$A:$D,4,FALSE),"N/A!")</f>
        <v>3.5625000000000004E-2</v>
      </c>
      <c r="O773" s="716">
        <f>IFERROR(VLOOKUP(C773,[3]List1!$A:$D,3,FALSE),"N/A!")</f>
        <v>1900</v>
      </c>
      <c r="P773" s="716">
        <f>IFERROR(VLOOKUP(C773,[3]List1!$A:$D,2,FALSE),"N/A!")</f>
        <v>13500</v>
      </c>
      <c r="Q773" s="716" t="s">
        <v>1591</v>
      </c>
      <c r="R773" s="716" t="s">
        <v>24</v>
      </c>
      <c r="S773" s="716" t="str">
        <f>IF($W$17=$AF$1,"červená fólie",IFERROR(VLOOKUP("červená fólie",Jazyky_ceník!$A:$Q,MATCH($W$17,Jazyky_ceník!$A$1:$Q$1,0),FALSE),"!!!"))</f>
        <v>červená fólie</v>
      </c>
      <c r="T773" s="716">
        <v>100</v>
      </c>
      <c r="U773" s="716">
        <v>40</v>
      </c>
      <c r="V773" s="716">
        <v>30</v>
      </c>
      <c r="W773" s="716" t="str">
        <f>IFERROR(VLOOKUP('General price list'!$C773,Popisy!A:P,MATCH($W$17,Popisy!$A$7:$P$7,0),FALSE),"---------------")</f>
        <v>10 různobarevných efektů, karton obsahuje nálepky s různým věkem</v>
      </c>
      <c r="X773" s="716" t="str">
        <f t="shared" si="1804"/>
        <v/>
      </c>
      <c r="Y773" s="716" t="str">
        <f t="shared" si="1805"/>
        <v/>
      </c>
      <c r="Z773" s="716" t="str">
        <f>HYPERLINK("https://www.klasekpyrotechnics.cz/c1003vs-c_t")</f>
        <v>https://www.klasekpyrotechnics.cz/c1003vs-c_t</v>
      </c>
      <c r="AA773" s="716">
        <f>IFERROR(IF(VLOOKUP(C773,[4]List1!$A:$D,4,FALSE)=0,"",VLOOKUP(C773,[4]List1!$A:$D,4,FALSE)),"")</f>
        <v>36</v>
      </c>
      <c r="AB773" s="720"/>
      <c r="AC773" s="739" t="str">
        <f>IFERROR(IF(VLOOKUP(C773,[1]List1!$A:$D,2,FALSE)="VYPRODÁNO",$V$9,IF(VLOOKUP(C773,[1]List1!$A:$D,2,FALSE)="DOCHÁZÍ",$V$3,VLOOKUP(C773,[1]List1!$A:$D,2,FALSE))),"OFFLINE!")</f>
        <v>15.09.2024</v>
      </c>
      <c r="AD773" s="740" t="str">
        <f ca="1">IF(AP773="NE",$V$10,IF(AC773=$V$3,IF(AQ773&lt;1,$V$8,$V$2&amp;" "&amp;AQ773&amp;" "&amp;$V$1),IF(AC773="SKLADEM",$V$6,IFERROR(IF(OR(AC773-TODAY()&gt;45,VLOOKUP(C773,[1]List1!$A:$E,4,FALSE)=0),AC773,DAY(AC773)&amp;"."&amp;MONTH(AC773)&amp;"."&amp;YEAR(AC773)&amp;" "&amp;$V$4&amp;VLOOKUP(C773,[1]List1!$A:$E,4,FALSE)&amp;" "&amp;$V$1),AC773))))</f>
        <v>15.09.2024</v>
      </c>
      <c r="AE773" s="716" t="str">
        <f t="shared" ca="1" si="1806"/>
        <v>15.09.2024</v>
      </c>
      <c r="AF773" s="723">
        <f t="shared" si="1807"/>
        <v>0</v>
      </c>
      <c r="AG773" s="723">
        <f t="shared" si="1808"/>
        <v>0</v>
      </c>
      <c r="AH773" s="724">
        <f t="shared" si="1809"/>
        <v>0</v>
      </c>
      <c r="AI773" s="716">
        <f t="shared" si="1810"/>
        <v>0</v>
      </c>
      <c r="AJ773" s="716">
        <f t="shared" si="1811"/>
        <v>0</v>
      </c>
      <c r="AK773" s="716" t="str">
        <f t="shared" si="1812"/>
        <v/>
      </c>
      <c r="AL773" s="716">
        <f t="shared" si="1813"/>
        <v>0</v>
      </c>
      <c r="AM773" s="716" t="str">
        <f t="shared" si="1814"/>
        <v/>
      </c>
      <c r="AN773" s="716">
        <f t="shared" si="1815"/>
        <v>0</v>
      </c>
      <c r="AO773" s="380"/>
      <c r="AP773" s="322" t="str">
        <f t="shared" si="1738"/>
        <v/>
      </c>
      <c r="AQ773" s="323" t="str">
        <f>IF(AC773=$V$3,IF(VLOOKUP(C773,[1]List1!$A:$E,5,FALSE)=0,1,VLOOKUP(C773,[1]List1!$A:$E,5,FALSE)),"")</f>
        <v/>
      </c>
      <c r="AR773" s="304" t="str">
        <f t="shared" si="1739"/>
        <v/>
      </c>
      <c r="AS773" s="423" t="str">
        <f t="shared" si="1740"/>
        <v/>
      </c>
      <c r="AT773" s="304" t="str">
        <f t="shared" si="1741"/>
        <v/>
      </c>
      <c r="AU773" s="342" t="e">
        <f t="shared" si="1742"/>
        <v>#N/A</v>
      </c>
      <c r="AV773" s="304" t="e">
        <f t="shared" si="1743"/>
        <v>#N/A</v>
      </c>
      <c r="AX773" s="304">
        <f>IF(AND('General price list'!$J773="F4",'General price list'!$AB773+0&gt;0),1,0)</f>
        <v>0</v>
      </c>
      <c r="AY773" s="304">
        <f t="shared" si="1744"/>
        <v>1</v>
      </c>
      <c r="AZ773" s="304">
        <f t="shared" si="1745"/>
        <v>0</v>
      </c>
    </row>
    <row r="774" spans="1:52" ht="15" customHeight="1">
      <c r="A774" s="725" t="str">
        <f>Kat.!C771</f>
        <v/>
      </c>
      <c r="B774" s="726">
        <f>IF(AND('General price list'!$J774="F4",$AI$1=FALSE),0,IF(AC774="SKLADEM",1,IF(AC774=$V$3,1,0)))</f>
        <v>1</v>
      </c>
      <c r="C774" s="727" t="s">
        <v>5456</v>
      </c>
      <c r="D774" s="728" t="s">
        <v>5450</v>
      </c>
      <c r="E774" s="729" t="s">
        <v>136</v>
      </c>
      <c r="F774" s="725">
        <f>IFERROR(ROUND(IF($AL$3=2,VLOOKUP(C774,[2]List1!$A:$D,2,FALSE)*1.08,VLOOKUP(C774,[2]List1!$A:$D,2,FALSE)),0),"NEUVEDENO!")</f>
        <v>3449</v>
      </c>
      <c r="G774" s="730">
        <f t="shared" si="1802"/>
        <v>3449</v>
      </c>
      <c r="H774" s="731">
        <f t="shared" si="1803"/>
        <v>140.15254643645187</v>
      </c>
      <c r="I774" s="732">
        <v>1</v>
      </c>
      <c r="J774" s="729" t="s">
        <v>137</v>
      </c>
      <c r="K774" s="729">
        <v>6</v>
      </c>
      <c r="L774" s="729" t="s">
        <v>24</v>
      </c>
      <c r="M774" s="729" t="s">
        <v>138</v>
      </c>
      <c r="N774" s="729">
        <f>IFERROR(VLOOKUP(C774,[3]List1!$A:$D,4,FALSE),"N/A!")</f>
        <v>5.726875E-2</v>
      </c>
      <c r="O774" s="729">
        <f>IFERROR(VLOOKUP(C774,[3]List1!$A:$D,3,FALSE),"N/A!")</f>
        <v>1900</v>
      </c>
      <c r="P774" s="729">
        <f>IFERROR(VLOOKUP(C774,[3]List1!$A:$D,2,FALSE),"N/A!")</f>
        <v>15100</v>
      </c>
      <c r="Q774" s="729" t="s">
        <v>14247</v>
      </c>
      <c r="R774" s="729" t="s">
        <v>24</v>
      </c>
      <c r="S774" s="729" t="str">
        <f>IF($W$17=$AF$1,"červená fólie",IFERROR(VLOOKUP("červená fólie",Jazyky_ceník!$A:$Q,MATCH($W$17,Jazyky_ceník!$A$1:$Q$1,0),FALSE),"!!!"))</f>
        <v>červená fólie</v>
      </c>
      <c r="T774" s="729">
        <v>80</v>
      </c>
      <c r="U774" s="729">
        <v>40</v>
      </c>
      <c r="V774" s="729">
        <v>30</v>
      </c>
      <c r="W774" s="729" t="str">
        <f>IFERROR(VLOOKUP('General price list'!$C774,Popisy!A:P,MATCH($W$17,Popisy!$A$7:$P$7,0),FALSE),"---------------")</f>
        <v>10 různobarevných efektů</v>
      </c>
      <c r="X774" s="729" t="str">
        <f t="shared" si="1804"/>
        <v/>
      </c>
      <c r="Y774" s="729" t="str">
        <f t="shared" si="1805"/>
        <v/>
      </c>
      <c r="Z774" s="729" t="str">
        <f>HYPERLINK("https://www.klasekpyrotechnics.cz/cf1003p-c")</f>
        <v>https://www.klasekpyrotechnics.cz/cf1003p-c</v>
      </c>
      <c r="AA774" s="729">
        <f>IFERROR(IF(VLOOKUP(C774,[4]List1!$A:$D,4,FALSE)=0,"",VLOOKUP(C774,[4]List1!$A:$D,4,FALSE)),"")</f>
        <v>24</v>
      </c>
      <c r="AB774" s="720"/>
      <c r="AC774" s="733" t="str">
        <f>IFERROR(IF(VLOOKUP(C774,[1]List1!$A:$D,2,FALSE)="VYPRODÁNO",$V$9,IF(VLOOKUP(C774,[1]List1!$A:$D,2,FALSE)="DOCHÁZÍ",$V$3,VLOOKUP(C774,[1]List1!$A:$D,2,FALSE))),"OFFLINE!")</f>
        <v>SKLADEM</v>
      </c>
      <c r="AD774" s="734" t="str">
        <f ca="1">IF(AP774="NE",$V$10,IF(AC774=$V$3,IF(AQ774&lt;1,$V$8,$V$2&amp;" "&amp;AQ774&amp;" "&amp;$V$1),IF(AC774="SKLADEM",$V$6,IFERROR(IF(OR(AC774-TODAY()&gt;45,VLOOKUP(C774,[1]List1!$A:$E,4,FALSE)=0),AC774,DAY(AC774)&amp;"."&amp;MONTH(AC774)&amp;"."&amp;YEAR(AC774)&amp;" "&amp;$V$4&amp;VLOOKUP(C774,[1]List1!$A:$E,4,FALSE)&amp;" "&amp;$V$1),AC774))))</f>
        <v>SKLADEM</v>
      </c>
      <c r="AE774" s="729" t="str">
        <f t="shared" ca="1" si="1806"/>
        <v>SKLADEM</v>
      </c>
      <c r="AF774" s="735">
        <f t="shared" si="1807"/>
        <v>0</v>
      </c>
      <c r="AG774" s="735">
        <f t="shared" si="1808"/>
        <v>0</v>
      </c>
      <c r="AH774" s="736">
        <f t="shared" si="1809"/>
        <v>0</v>
      </c>
      <c r="AI774" s="729">
        <f t="shared" si="1810"/>
        <v>0</v>
      </c>
      <c r="AJ774" s="729">
        <f t="shared" si="1811"/>
        <v>0</v>
      </c>
      <c r="AK774" s="729" t="str">
        <f t="shared" si="1812"/>
        <v/>
      </c>
      <c r="AL774" s="729">
        <f t="shared" si="1813"/>
        <v>0</v>
      </c>
      <c r="AM774" s="729" t="str">
        <f t="shared" si="1814"/>
        <v/>
      </c>
      <c r="AN774" s="729">
        <f t="shared" si="1815"/>
        <v>0</v>
      </c>
      <c r="AO774" s="380"/>
      <c r="AP774" s="322" t="str">
        <f t="shared" si="1738"/>
        <v/>
      </c>
      <c r="AQ774" s="323" t="str">
        <f>IF(AC774=$V$3,IF(VLOOKUP(C774,[1]List1!$A:$E,5,FALSE)=0,1,VLOOKUP(C774,[1]List1!$A:$E,5,FALSE)),"")</f>
        <v/>
      </c>
      <c r="AR774" s="304" t="str">
        <f t="shared" si="1739"/>
        <v/>
      </c>
      <c r="AS774" s="423" t="str">
        <f t="shared" si="1740"/>
        <v/>
      </c>
      <c r="AT774" s="304" t="str">
        <f t="shared" si="1741"/>
        <v/>
      </c>
      <c r="AU774" s="342" t="e">
        <f t="shared" si="1742"/>
        <v>#N/A</v>
      </c>
      <c r="AV774" s="304" t="e">
        <f t="shared" si="1743"/>
        <v>#N/A</v>
      </c>
      <c r="AX774" s="304">
        <f>IF(AND('General price list'!$J774="F4",'General price list'!$AB774+0&gt;0),1,0)</f>
        <v>0</v>
      </c>
      <c r="AY774" s="304">
        <f t="shared" si="1744"/>
        <v>1</v>
      </c>
      <c r="AZ774" s="304">
        <f t="shared" si="1745"/>
        <v>0</v>
      </c>
    </row>
    <row r="775" spans="1:52" ht="15" customHeight="1">
      <c r="A775" s="712" t="str">
        <f>Kat.!C772</f>
        <v/>
      </c>
      <c r="B775" s="737">
        <f>IF(AND('General price list'!$J775="F4",$AI$1=FALSE),0,IF(AC775="SKLADEM",1,IF(AC775=$V$3,1,0)))</f>
        <v>1</v>
      </c>
      <c r="C775" s="714" t="s">
        <v>2756</v>
      </c>
      <c r="D775" s="715" t="s">
        <v>2572</v>
      </c>
      <c r="E775" s="716" t="s">
        <v>136</v>
      </c>
      <c r="F775" s="712">
        <f>IFERROR(ROUND(IF($AL$3=2,VLOOKUP(C775,[2]List1!$A:$D,2,FALSE)*1.08,VLOOKUP(C775,[2]List1!$A:$D,2,FALSE)),0),"NEUVEDENO!")</f>
        <v>4355</v>
      </c>
      <c r="G775" s="717">
        <f t="shared" si="1802"/>
        <v>4355</v>
      </c>
      <c r="H775" s="718">
        <f t="shared" si="1803"/>
        <v>176.96849513793791</v>
      </c>
      <c r="I775" s="738">
        <v>1</v>
      </c>
      <c r="J775" s="716" t="s">
        <v>137</v>
      </c>
      <c r="K775" s="716">
        <v>6</v>
      </c>
      <c r="L775" s="716" t="s">
        <v>24</v>
      </c>
      <c r="M775" s="716" t="s">
        <v>138</v>
      </c>
      <c r="N775" s="716">
        <f>IFERROR(VLOOKUP(C775,[3]List1!$A:$D,4,FALSE),"N/A!")</f>
        <v>6.7306249999999998E-2</v>
      </c>
      <c r="O775" s="716">
        <f>IFERROR(VLOOKUP(C775,[3]List1!$A:$D,3,FALSE),"N/A!")</f>
        <v>1998</v>
      </c>
      <c r="P775" s="716">
        <f>IFERROR(VLOOKUP(C775,[3]List1!$A:$D,2,FALSE),"N/A!")</f>
        <v>20000</v>
      </c>
      <c r="Q775" s="716" t="s">
        <v>14243</v>
      </c>
      <c r="R775" s="716" t="s">
        <v>24</v>
      </c>
      <c r="S775" s="716" t="str">
        <f>IF($W$17=$AF$1,"červená fólie",IFERROR(VLOOKUP("červená fólie",Jazyky_ceník!$A:$Q,MATCH($W$17,Jazyky_ceník!$A$1:$Q$1,0),FALSE),"!!!"))</f>
        <v>červená fólie</v>
      </c>
      <c r="T775" s="716">
        <v>80</v>
      </c>
      <c r="U775" s="716">
        <v>40</v>
      </c>
      <c r="V775" s="716">
        <v>31</v>
      </c>
      <c r="W775" s="716" t="str">
        <f>IFERROR(VLOOKUP('General price list'!$C775,Popisy!A:P,MATCH($W$17,Popisy!$A$7:$P$7,0),FALSE),"---------------")</f>
        <v>16 různobarevných efektů</v>
      </c>
      <c r="X775" s="716" t="str">
        <f t="shared" si="1804"/>
        <v/>
      </c>
      <c r="Y775" s="716" t="str">
        <f t="shared" si="1805"/>
        <v/>
      </c>
      <c r="Z775" s="716" t="str">
        <f>HYPERLINK("https://www.klasekpyrotechnics.cz/c128xmpt-c_t")</f>
        <v>https://www.klasekpyrotechnics.cz/c128xmpt-c_t</v>
      </c>
      <c r="AA775" s="716">
        <f>IFERROR(IF(VLOOKUP(C775,[4]List1!$A:$D,4,FALSE)=0,"",VLOOKUP(C775,[4]List1!$A:$D,4,FALSE)),"")</f>
        <v>12</v>
      </c>
      <c r="AB775" s="720"/>
      <c r="AC775" s="739" t="str">
        <f>IFERROR(IF(VLOOKUP(C775,[1]List1!$A:$D,2,FALSE)="VYPRODÁNO",$V$9,IF(VLOOKUP(C775,[1]List1!$A:$D,2,FALSE)="DOCHÁZÍ",$V$3,VLOOKUP(C775,[1]List1!$A:$D,2,FALSE))),"OFFLINE!")</f>
        <v>SKLADEM</v>
      </c>
      <c r="AD775" s="740" t="str">
        <f ca="1">IF(AP775="NE",$V$10,IF(AC775=$V$3,IF(AQ775&lt;1,$V$8,$V$2&amp;" "&amp;AQ775&amp;" "&amp;$V$1),IF(AC775="SKLADEM",$V$6,IFERROR(IF(OR(AC775-TODAY()&gt;45,VLOOKUP(C775,[1]List1!$A:$E,4,FALSE)=0),AC775,DAY(AC775)&amp;"."&amp;MONTH(AC775)&amp;"."&amp;YEAR(AC775)&amp;" "&amp;$V$4&amp;VLOOKUP(C775,[1]List1!$A:$E,4,FALSE)&amp;" "&amp;$V$1),AC775))))</f>
        <v>SKLADEM</v>
      </c>
      <c r="AE775" s="716" t="str">
        <f t="shared" ca="1" si="1806"/>
        <v>SKLADEM</v>
      </c>
      <c r="AF775" s="723">
        <f t="shared" si="1807"/>
        <v>0</v>
      </c>
      <c r="AG775" s="723">
        <f t="shared" si="1808"/>
        <v>0</v>
      </c>
      <c r="AH775" s="724">
        <f t="shared" si="1809"/>
        <v>0</v>
      </c>
      <c r="AI775" s="716">
        <f t="shared" si="1810"/>
        <v>0</v>
      </c>
      <c r="AJ775" s="716">
        <f t="shared" si="1811"/>
        <v>0</v>
      </c>
      <c r="AK775" s="716" t="str">
        <f t="shared" si="1812"/>
        <v/>
      </c>
      <c r="AL775" s="716">
        <f t="shared" si="1813"/>
        <v>0</v>
      </c>
      <c r="AM775" s="716" t="str">
        <f t="shared" si="1814"/>
        <v/>
      </c>
      <c r="AN775" s="716">
        <f t="shared" si="1815"/>
        <v>0</v>
      </c>
      <c r="AO775" s="380"/>
      <c r="AP775" s="322" t="str">
        <f t="shared" si="1738"/>
        <v/>
      </c>
      <c r="AQ775" s="323" t="str">
        <f>IF(AC775=$V$3,IF(VLOOKUP(C775,[1]List1!$A:$E,5,FALSE)=0,1,VLOOKUP(C775,[1]List1!$A:$E,5,FALSE)),"")</f>
        <v/>
      </c>
      <c r="AR775" s="304" t="str">
        <f t="shared" si="1739"/>
        <v/>
      </c>
      <c r="AS775" s="423" t="str">
        <f t="shared" si="1740"/>
        <v/>
      </c>
      <c r="AT775" s="304" t="str">
        <f t="shared" si="1741"/>
        <v/>
      </c>
      <c r="AU775" s="342" t="e">
        <f t="shared" si="1742"/>
        <v>#N/A</v>
      </c>
      <c r="AV775" s="304" t="e">
        <f t="shared" si="1743"/>
        <v>#N/A</v>
      </c>
      <c r="AX775" s="304">
        <f>IF(AND('General price list'!$J775="F4",'General price list'!$AB775+0&gt;0),1,0)</f>
        <v>0</v>
      </c>
      <c r="AY775" s="304">
        <f t="shared" si="1744"/>
        <v>1</v>
      </c>
      <c r="AZ775" s="304">
        <f t="shared" si="1745"/>
        <v>0</v>
      </c>
    </row>
    <row r="776" spans="1:52" ht="15" customHeight="1">
      <c r="A776" s="725" t="str">
        <f>Kat.!C773</f>
        <v/>
      </c>
      <c r="B776" s="726">
        <f>IF(AND('General price list'!$J776="F4",$AI$1=FALSE),0,IF(AC776="SKLADEM",1,IF(AC776=$V$3,1,0)))</f>
        <v>1</v>
      </c>
      <c r="C776" s="727" t="s">
        <v>2652</v>
      </c>
      <c r="D776" s="728" t="s">
        <v>1584</v>
      </c>
      <c r="E776" s="729" t="s">
        <v>136</v>
      </c>
      <c r="F776" s="725">
        <f>IFERROR(ROUND(IF($AL$3=2,VLOOKUP(C776,[2]List1!$A:$D,2,FALSE)*1.08,VLOOKUP(C776,[2]List1!$A:$D,2,FALSE)),0),"NEUVEDENO!")</f>
        <v>4245</v>
      </c>
      <c r="G776" s="730">
        <f t="shared" si="1802"/>
        <v>4245</v>
      </c>
      <c r="H776" s="731">
        <f t="shared" si="1803"/>
        <v>172.49856759139988</v>
      </c>
      <c r="I776" s="732">
        <v>1</v>
      </c>
      <c r="J776" s="729" t="s">
        <v>137</v>
      </c>
      <c r="K776" s="729">
        <v>6</v>
      </c>
      <c r="L776" s="729" t="s">
        <v>24</v>
      </c>
      <c r="M776" s="729" t="s">
        <v>138</v>
      </c>
      <c r="N776" s="729">
        <f>IFERROR(VLOOKUP(C776,[3]List1!$A:$D,4,FALSE),"N/A!")</f>
        <v>6.7306249999999998E-2</v>
      </c>
      <c r="O776" s="729">
        <f>IFERROR(VLOOKUP(C776,[3]List1!$A:$D,3,FALSE),"N/A!")</f>
        <v>1996</v>
      </c>
      <c r="P776" s="729">
        <f>IFERROR(VLOOKUP(C776,[3]List1!$A:$D,2,FALSE),"N/A!")</f>
        <v>20500</v>
      </c>
      <c r="Q776" s="729" t="s">
        <v>14248</v>
      </c>
      <c r="R776" s="729" t="s">
        <v>24</v>
      </c>
      <c r="S776" s="729" t="str">
        <f>IF($W$17=$AF$1,"červená fólie",IFERROR(VLOOKUP("červená fólie",Jazyky_ceník!$A:$Q,MATCH($W$17,Jazyky_ceník!$A$1:$Q$1,0),FALSE),"!!!"))</f>
        <v>červená fólie</v>
      </c>
      <c r="T776" s="729">
        <v>100</v>
      </c>
      <c r="U776" s="729">
        <v>40</v>
      </c>
      <c r="V776" s="729">
        <v>30</v>
      </c>
      <c r="W776" s="729" t="str">
        <f>IFERROR(VLOOKUP('General price list'!$C776,Popisy!A:P,MATCH($W$17,Popisy!$A$7:$P$7,0),FALSE),"---------------")</f>
        <v>16 různobarevných efektů</v>
      </c>
      <c r="X776" s="729" t="str">
        <f t="shared" si="1804"/>
        <v/>
      </c>
      <c r="Y776" s="729" t="str">
        <f t="shared" si="1805"/>
        <v/>
      </c>
      <c r="Z776" s="729" t="str">
        <f>HYPERLINK("https://www.klasekpyrotechnics.cz/c128xmb-c_t")</f>
        <v>https://www.klasekpyrotechnics.cz/c128xmb-c_t</v>
      </c>
      <c r="AA776" s="729">
        <f>IFERROR(IF(VLOOKUP(C776,[4]List1!$A:$D,4,FALSE)=0,"",VLOOKUP(C776,[4]List1!$A:$D,4,FALSE)),"")</f>
        <v>12</v>
      </c>
      <c r="AB776" s="720"/>
      <c r="AC776" s="733" t="str">
        <f>IFERROR(IF(VLOOKUP(C776,[1]List1!$A:$D,2,FALSE)="VYPRODÁNO",$V$9,IF(VLOOKUP(C776,[1]List1!$A:$D,2,FALSE)="DOCHÁZÍ",$V$3,VLOOKUP(C776,[1]List1!$A:$D,2,FALSE))),"OFFLINE!")</f>
        <v>SKLADEM</v>
      </c>
      <c r="AD776" s="734" t="str">
        <f ca="1">IF(AP776="NE",$V$10,IF(AC776=$V$3,IF(AQ776&lt;1,$V$8,$V$2&amp;" "&amp;AQ776&amp;" "&amp;$V$1),IF(AC776="SKLADEM",$V$6,IFERROR(IF(OR(AC776-TODAY()&gt;45,VLOOKUP(C776,[1]List1!$A:$E,4,FALSE)=0),AC776,DAY(AC776)&amp;"."&amp;MONTH(AC776)&amp;"."&amp;YEAR(AC776)&amp;" "&amp;$V$4&amp;VLOOKUP(C776,[1]List1!$A:$E,4,FALSE)&amp;" "&amp;$V$1),AC776))))</f>
        <v>SKLADEM</v>
      </c>
      <c r="AE776" s="729" t="str">
        <f t="shared" ca="1" si="1806"/>
        <v>SKLADEM</v>
      </c>
      <c r="AF776" s="735">
        <f t="shared" si="1807"/>
        <v>0</v>
      </c>
      <c r="AG776" s="735">
        <f t="shared" si="1808"/>
        <v>0</v>
      </c>
      <c r="AH776" s="736">
        <f t="shared" si="1809"/>
        <v>0</v>
      </c>
      <c r="AI776" s="729">
        <f t="shared" si="1810"/>
        <v>0</v>
      </c>
      <c r="AJ776" s="729">
        <f t="shared" si="1811"/>
        <v>0</v>
      </c>
      <c r="AK776" s="729" t="str">
        <f t="shared" si="1812"/>
        <v/>
      </c>
      <c r="AL776" s="729">
        <f t="shared" si="1813"/>
        <v>0</v>
      </c>
      <c r="AM776" s="729" t="str">
        <f t="shared" si="1814"/>
        <v/>
      </c>
      <c r="AN776" s="729">
        <f t="shared" si="1815"/>
        <v>0</v>
      </c>
      <c r="AO776" s="380"/>
      <c r="AP776" s="322" t="str">
        <f t="shared" si="1738"/>
        <v/>
      </c>
      <c r="AQ776" s="323" t="str">
        <f>IF(AC776=$V$3,IF(VLOOKUP(C776,[1]List1!$A:$E,5,FALSE)=0,1,VLOOKUP(C776,[1]List1!$A:$E,5,FALSE)),"")</f>
        <v/>
      </c>
      <c r="AR776" s="304" t="str">
        <f t="shared" si="1739"/>
        <v/>
      </c>
      <c r="AS776" s="423" t="str">
        <f t="shared" si="1740"/>
        <v/>
      </c>
      <c r="AT776" s="304" t="str">
        <f t="shared" si="1741"/>
        <v/>
      </c>
      <c r="AU776" s="342" t="e">
        <f t="shared" si="1742"/>
        <v>#N/A</v>
      </c>
      <c r="AV776" s="304" t="e">
        <f t="shared" si="1743"/>
        <v>#N/A</v>
      </c>
      <c r="AX776" s="304">
        <f>IF(AND('General price list'!$J776="F4",'General price list'!$AB776+0&gt;0),1,0)</f>
        <v>0</v>
      </c>
      <c r="AY776" s="304">
        <f t="shared" si="1744"/>
        <v>1</v>
      </c>
      <c r="AZ776" s="304">
        <f t="shared" si="1745"/>
        <v>0</v>
      </c>
    </row>
    <row r="777" spans="1:52" ht="15" customHeight="1">
      <c r="A777" s="712" t="str">
        <f>Kat.!C774</f>
        <v/>
      </c>
      <c r="B777" s="737">
        <f>IF(AND('General price list'!$J777="F4",$AI$1=FALSE),0,IF(AC777="SKLADEM",1,IF(AC777=$V$3,1,0)))</f>
        <v>1</v>
      </c>
      <c r="C777" s="714" t="s">
        <v>2757</v>
      </c>
      <c r="D777" s="715" t="s">
        <v>1603</v>
      </c>
      <c r="E777" s="716" t="s">
        <v>136</v>
      </c>
      <c r="F777" s="712">
        <f>IFERROR(ROUND(IF($AL$3=2,VLOOKUP(C777,[2]List1!$A:$D,2,FALSE)*1.08,VLOOKUP(C777,[2]List1!$A:$D,2,FALSE)),0),"NEUVEDENO!")</f>
        <v>4143</v>
      </c>
      <c r="G777" s="717">
        <f t="shared" si="1802"/>
        <v>4143</v>
      </c>
      <c r="H777" s="718">
        <f t="shared" si="1803"/>
        <v>168.35372568461005</v>
      </c>
      <c r="I777" s="738">
        <v>1</v>
      </c>
      <c r="J777" s="716" t="s">
        <v>137</v>
      </c>
      <c r="K777" s="716">
        <v>6</v>
      </c>
      <c r="L777" s="716" t="s">
        <v>24</v>
      </c>
      <c r="M777" s="716" t="s">
        <v>138</v>
      </c>
      <c r="N777" s="716">
        <f>IFERROR(VLOOKUP(C777,[3]List1!$A:$D,4,FALSE),"N/A!")</f>
        <v>5.2724999999999994E-2</v>
      </c>
      <c r="O777" s="716">
        <f>IFERROR(VLOOKUP(C777,[3]List1!$A:$D,3,FALSE),"N/A!")</f>
        <v>2850</v>
      </c>
      <c r="P777" s="716">
        <f>IFERROR(VLOOKUP(C777,[3]List1!$A:$D,2,FALSE),"N/A!")</f>
        <v>19200</v>
      </c>
      <c r="Q777" s="716" t="s">
        <v>2796</v>
      </c>
      <c r="R777" s="716" t="s">
        <v>24</v>
      </c>
      <c r="S777" s="716" t="str">
        <f>IF($W$17=$AF$1,"červená fólie",IFERROR(VLOOKUP("červená fólie",Jazyky_ceník!$A:$Q,MATCH($W$17,Jazyky_ceník!$A$1:$Q$1,0),FALSE),"!!!"))</f>
        <v>červená fólie</v>
      </c>
      <c r="T777" s="716">
        <v>150</v>
      </c>
      <c r="U777" s="716">
        <v>40</v>
      </c>
      <c r="V777" s="716">
        <v>30</v>
      </c>
      <c r="W777" s="716" t="str">
        <f>IFERROR(VLOOKUP('General price list'!$C777,Popisy!A:P,MATCH($W$17,Popisy!$A$7:$P$7,0),FALSE),"---------------")</f>
        <v>15 různobarevných efektů</v>
      </c>
      <c r="X777" s="716" t="str">
        <f t="shared" si="1804"/>
        <v/>
      </c>
      <c r="Y777" s="716" t="str">
        <f t="shared" si="1805"/>
        <v/>
      </c>
      <c r="Z777" s="716" t="str">
        <f>HYPERLINK("https://www.klasekpyrotechnics.cz/c1503x-c_t")</f>
        <v>https://www.klasekpyrotechnics.cz/c1503x-c_t</v>
      </c>
      <c r="AA777" s="716">
        <f>IFERROR(IF(VLOOKUP(C777,[4]List1!$A:$D,4,FALSE)=0,"",VLOOKUP(C777,[4]List1!$A:$D,4,FALSE)),"")</f>
        <v>24</v>
      </c>
      <c r="AB777" s="720"/>
      <c r="AC777" s="739" t="str">
        <f>IFERROR(IF(VLOOKUP(C777,[1]List1!$A:$D,2,FALSE)="VYPRODÁNO",$V$9,IF(VLOOKUP(C777,[1]List1!$A:$D,2,FALSE)="DOCHÁZÍ",$V$3,VLOOKUP(C777,[1]List1!$A:$D,2,FALSE))),"OFFLINE!")</f>
        <v>DOCHÁZÍ</v>
      </c>
      <c r="AD777" s="740" t="str">
        <f ca="1">IF(AP777="NE",$V$10,IF(AC777=$V$3,IF(AQ777&lt;1,$V$8,$V$2&amp;" "&amp;AQ777&amp;" "&amp;$V$1),IF(AC777="SKLADEM",$V$6,IFERROR(IF(OR(AC777-TODAY()&gt;45,VLOOKUP(C777,[1]List1!$A:$E,4,FALSE)=0),AC777,DAY(AC777)&amp;"."&amp;MONTH(AC777)&amp;"."&amp;YEAR(AC777)&amp;" "&amp;$V$4&amp;VLOOKUP(C777,[1]List1!$A:$E,4,FALSE)&amp;" "&amp;$V$1),AC777))))</f>
        <v>POSLEDNÍCH 67 VK</v>
      </c>
      <c r="AE777" s="716" t="str">
        <f t="shared" ca="1" si="1806"/>
        <v>POSLEDNÍCH 67 VK</v>
      </c>
      <c r="AF777" s="723">
        <f t="shared" si="1807"/>
        <v>0</v>
      </c>
      <c r="AG777" s="723">
        <f t="shared" si="1808"/>
        <v>0</v>
      </c>
      <c r="AH777" s="724">
        <f t="shared" si="1809"/>
        <v>0</v>
      </c>
      <c r="AI777" s="716">
        <f t="shared" si="1810"/>
        <v>0</v>
      </c>
      <c r="AJ777" s="716">
        <f t="shared" si="1811"/>
        <v>0</v>
      </c>
      <c r="AK777" s="716" t="str">
        <f t="shared" si="1812"/>
        <v/>
      </c>
      <c r="AL777" s="716">
        <f t="shared" si="1813"/>
        <v>0</v>
      </c>
      <c r="AM777" s="716" t="str">
        <f t="shared" si="1814"/>
        <v/>
      </c>
      <c r="AN777" s="716">
        <f t="shared" si="1815"/>
        <v>0</v>
      </c>
      <c r="AO777" s="380"/>
      <c r="AP777" s="322" t="str">
        <f t="shared" si="1738"/>
        <v/>
      </c>
      <c r="AQ777" s="323">
        <f>IF(AC777=$V$3,IF(VLOOKUP(C777,[1]List1!$A:$E,5,FALSE)=0,1,VLOOKUP(C777,[1]List1!$A:$E,5,FALSE)),"")</f>
        <v>67</v>
      </c>
      <c r="AR777" s="304" t="str">
        <f t="shared" si="1739"/>
        <v/>
      </c>
      <c r="AS777" s="423" t="str">
        <f t="shared" si="1740"/>
        <v/>
      </c>
      <c r="AT777" s="304" t="str">
        <f t="shared" si="1741"/>
        <v/>
      </c>
      <c r="AU777" s="342" t="e">
        <f t="shared" si="1742"/>
        <v>#N/A</v>
      </c>
      <c r="AV777" s="304" t="e">
        <f t="shared" si="1743"/>
        <v>#N/A</v>
      </c>
      <c r="AX777" s="304">
        <f>IF(AND('General price list'!$J777="F4",'General price list'!$AB777+0&gt;0),1,0)</f>
        <v>0</v>
      </c>
      <c r="AY777" s="304">
        <f t="shared" si="1744"/>
        <v>1</v>
      </c>
      <c r="AZ777" s="304">
        <f t="shared" si="1745"/>
        <v>0</v>
      </c>
    </row>
    <row r="778" spans="1:52" ht="15" customHeight="1">
      <c r="A778" s="725" t="str">
        <f>Kat.!C775</f>
        <v/>
      </c>
      <c r="B778" s="726">
        <f>IF(AND('General price list'!$J778="F4",$AI$1=FALSE),0,IF(AC778="SKLADEM",1,IF(AC778=$V$3,1,0)))</f>
        <v>1</v>
      </c>
      <c r="C778" s="727" t="s">
        <v>2758</v>
      </c>
      <c r="D778" s="728" t="s">
        <v>14607</v>
      </c>
      <c r="E778" s="729" t="s">
        <v>136</v>
      </c>
      <c r="F778" s="725">
        <f>IFERROR(ROUND(IF($AL$3=2,VLOOKUP(C778,[2]List1!$A:$D,2,FALSE)*1.08,VLOOKUP(C778,[2]List1!$A:$D,2,FALSE)),0),"NEUVEDENO!")</f>
        <v>4031</v>
      </c>
      <c r="G778" s="730">
        <f t="shared" si="1802"/>
        <v>4031</v>
      </c>
      <c r="H778" s="731">
        <f t="shared" si="1803"/>
        <v>163.80252672813495</v>
      </c>
      <c r="I778" s="732">
        <v>1</v>
      </c>
      <c r="J778" s="729" t="s">
        <v>137</v>
      </c>
      <c r="K778" s="729">
        <v>6</v>
      </c>
      <c r="L778" s="729" t="s">
        <v>24</v>
      </c>
      <c r="M778" s="729" t="s">
        <v>138</v>
      </c>
      <c r="N778" s="729">
        <f>IFERROR(VLOOKUP(C778,[3]List1!$A:$D,4,FALSE),"N/A!")</f>
        <v>5.2724999999999994E-2</v>
      </c>
      <c r="O778" s="729">
        <f>IFERROR(VLOOKUP(C778,[3]List1!$A:$D,3,FALSE),"N/A!")</f>
        <v>2700</v>
      </c>
      <c r="P778" s="729">
        <f>IFERROR(VLOOKUP(C778,[3]List1!$A:$D,2,FALSE),"N/A!")</f>
        <v>20000</v>
      </c>
      <c r="Q778" s="729" t="s">
        <v>2797</v>
      </c>
      <c r="R778" s="729" t="s">
        <v>24</v>
      </c>
      <c r="S778" s="729" t="str">
        <f>IF($W$17=$AF$1,"transparentní fólie",IFERROR(VLOOKUP("transparentní fólie",Jazyky_ceník!$A:$Q,MATCH($W$17,Jazyky_ceník!$A$1:$Q$1,0),FALSE),"!!!"))</f>
        <v>transparentní fólie</v>
      </c>
      <c r="T778" s="729">
        <v>150</v>
      </c>
      <c r="U778" s="729">
        <v>40</v>
      </c>
      <c r="V778" s="729">
        <v>29</v>
      </c>
      <c r="W778" s="729" t="str">
        <f>IFERROR(VLOOKUP('General price list'!$C778,Popisy!A:P,MATCH($W$17,Popisy!$A$7:$P$7,0),FALSE),"---------------")</f>
        <v>15 různobarevných efektů</v>
      </c>
      <c r="X778" s="729" t="str">
        <f t="shared" si="1804"/>
        <v/>
      </c>
      <c r="Y778" s="729" t="str">
        <f t="shared" si="1805"/>
        <v/>
      </c>
      <c r="Z778" s="729" t="str">
        <f>HYPERLINK("https://www.klasekpyrotechnics.cz/c1503bpf-c_t")</f>
        <v>https://www.klasekpyrotechnics.cz/c1503bpf-c_t</v>
      </c>
      <c r="AA778" s="729">
        <f>IFERROR(IF(VLOOKUP(C778,[4]List1!$A:$D,4,FALSE)=0,"",VLOOKUP(C778,[4]List1!$A:$D,4,FALSE)),"")</f>
        <v>24</v>
      </c>
      <c r="AB778" s="720"/>
      <c r="AC778" s="733" t="str">
        <f>IFERROR(IF(VLOOKUP(C778,[1]List1!$A:$D,2,FALSE)="VYPRODÁNO",$V$9,IF(VLOOKUP(C778,[1]List1!$A:$D,2,FALSE)="DOCHÁZÍ",$V$3,VLOOKUP(C778,[1]List1!$A:$D,2,FALSE))),"OFFLINE!")</f>
        <v>SKLADEM</v>
      </c>
      <c r="AD778" s="734" t="str">
        <f ca="1">IF(AP778="NE",$V$10,IF(AC778=$V$3,IF(AQ778&lt;1,$V$8,$V$2&amp;" "&amp;AQ778&amp;" "&amp;$V$1),IF(AC778="SKLADEM",$V$6,IFERROR(IF(OR(AC778-TODAY()&gt;45,VLOOKUP(C778,[1]List1!$A:$E,4,FALSE)=0),AC778,DAY(AC778)&amp;"."&amp;MONTH(AC778)&amp;"."&amp;YEAR(AC778)&amp;" "&amp;$V$4&amp;VLOOKUP(C778,[1]List1!$A:$E,4,FALSE)&amp;" "&amp;$V$1),AC778))))</f>
        <v>SKLADEM</v>
      </c>
      <c r="AE778" s="729" t="str">
        <f t="shared" ca="1" si="1806"/>
        <v>SKLADEM</v>
      </c>
      <c r="AF778" s="735">
        <f t="shared" si="1807"/>
        <v>0</v>
      </c>
      <c r="AG778" s="735">
        <f t="shared" si="1808"/>
        <v>0</v>
      </c>
      <c r="AH778" s="736">
        <f t="shared" si="1809"/>
        <v>0</v>
      </c>
      <c r="AI778" s="729">
        <f t="shared" si="1810"/>
        <v>0</v>
      </c>
      <c r="AJ778" s="729">
        <f t="shared" si="1811"/>
        <v>0</v>
      </c>
      <c r="AK778" s="729" t="str">
        <f t="shared" si="1812"/>
        <v/>
      </c>
      <c r="AL778" s="729">
        <f t="shared" si="1813"/>
        <v>0</v>
      </c>
      <c r="AM778" s="729" t="str">
        <f t="shared" si="1814"/>
        <v/>
      </c>
      <c r="AN778" s="729">
        <f t="shared" si="1815"/>
        <v>0</v>
      </c>
      <c r="AO778" s="380"/>
      <c r="AP778" s="322" t="str">
        <f t="shared" si="1738"/>
        <v/>
      </c>
      <c r="AQ778" s="323" t="str">
        <f>IF(AC778=$V$3,IF(VLOOKUP(C778,[1]List1!$A:$E,5,FALSE)=0,1,VLOOKUP(C778,[1]List1!$A:$E,5,FALSE)),"")</f>
        <v/>
      </c>
      <c r="AR778" s="304" t="str">
        <f t="shared" si="1739"/>
        <v/>
      </c>
      <c r="AS778" s="423" t="str">
        <f t="shared" si="1740"/>
        <v/>
      </c>
      <c r="AT778" s="304" t="str">
        <f t="shared" si="1741"/>
        <v/>
      </c>
      <c r="AU778" s="342" t="e">
        <f t="shared" si="1742"/>
        <v>#N/A</v>
      </c>
      <c r="AV778" s="304" t="e">
        <f t="shared" si="1743"/>
        <v>#N/A</v>
      </c>
      <c r="AX778" s="304">
        <f>IF(AND('General price list'!$J778="F4",'General price list'!$AB778+0&gt;0),1,0)</f>
        <v>0</v>
      </c>
      <c r="AY778" s="304">
        <f t="shared" si="1744"/>
        <v>1</v>
      </c>
      <c r="AZ778" s="304">
        <f t="shared" si="1745"/>
        <v>0</v>
      </c>
    </row>
    <row r="779" spans="1:52" ht="15" customHeight="1">
      <c r="A779" s="712" t="str">
        <f>Kat.!C776</f>
        <v/>
      </c>
      <c r="B779" s="737">
        <f>IF(AND('General price list'!$J779="F4",$AI$1=FALSE),0,IF(AC779="SKLADEM",1,IF(AC779=$V$3,1,0)))</f>
        <v>1</v>
      </c>
      <c r="C779" s="714" t="s">
        <v>2759</v>
      </c>
      <c r="D779" s="715" t="s">
        <v>14579</v>
      </c>
      <c r="E779" s="716" t="s">
        <v>136</v>
      </c>
      <c r="F779" s="712">
        <f>IFERROR(ROUND(IF($AL$3=2,VLOOKUP(C779,[2]List1!$A:$D,2,FALSE)*1.08,VLOOKUP(C779,[2]List1!$A:$D,2,FALSE)),0),"NEUVEDENO!")</f>
        <v>5308</v>
      </c>
      <c r="G779" s="717">
        <f t="shared" si="1802"/>
        <v>5308</v>
      </c>
      <c r="H779" s="718">
        <f t="shared" si="1803"/>
        <v>215.69432197294475</v>
      </c>
      <c r="I779" s="738">
        <v>1</v>
      </c>
      <c r="J779" s="716" t="s">
        <v>137</v>
      </c>
      <c r="K779" s="716">
        <v>6</v>
      </c>
      <c r="L779" s="716" t="s">
        <v>24</v>
      </c>
      <c r="M779" s="716" t="s">
        <v>138</v>
      </c>
      <c r="N779" s="716">
        <f>IFERROR(VLOOKUP(C779,[3]List1!$A:$D,4,FALSE),"N/A!")</f>
        <v>6.7968749999999994E-2</v>
      </c>
      <c r="O779" s="716">
        <f>IFERROR(VLOOKUP(C779,[3]List1!$A:$D,3,FALSE),"N/A!")</f>
        <v>3600</v>
      </c>
      <c r="P779" s="716">
        <f>IFERROR(VLOOKUP(C779,[3]List1!$A:$D,2,FALSE),"N/A!")</f>
        <v>25500</v>
      </c>
      <c r="Q779" s="716" t="s">
        <v>2798</v>
      </c>
      <c r="R779" s="716" t="s">
        <v>24</v>
      </c>
      <c r="S779" s="716" t="str">
        <f>IF($W$17=$AF$1,"červená fólie",IFERROR(VLOOKUP("červená fólie",Jazyky_ceník!$A:$Q,MATCH($W$17,Jazyky_ceník!$A$1:$Q$1,0),FALSE),"!!!"))</f>
        <v>červená fólie</v>
      </c>
      <c r="T779" s="716">
        <v>180</v>
      </c>
      <c r="U779" s="716">
        <v>40</v>
      </c>
      <c r="V779" s="716">
        <v>29</v>
      </c>
      <c r="W779" s="716" t="str">
        <f>IFERROR(VLOOKUP('General price list'!$C779,Popisy!A:P,MATCH($W$17,Popisy!$A$7:$P$7,0),FALSE),"---------------")</f>
        <v>20 různobarevných efektů</v>
      </c>
      <c r="X779" s="716" t="str">
        <f t="shared" si="1804"/>
        <v/>
      </c>
      <c r="Y779" s="716" t="str">
        <f t="shared" si="1805"/>
        <v/>
      </c>
      <c r="Z779" s="716" t="str">
        <f>HYPERLINK("https://www.klasekpyrotechnics.cz/c2003bp-c_t")</f>
        <v>https://www.klasekpyrotechnics.cz/c2003bp-c_t</v>
      </c>
      <c r="AA779" s="716">
        <f>IFERROR(IF(VLOOKUP(C779,[4]List1!$A:$D,4,FALSE)=0,"",VLOOKUP(C779,[4]List1!$A:$D,4,FALSE)),"")</f>
        <v>21</v>
      </c>
      <c r="AB779" s="720"/>
      <c r="AC779" s="739" t="str">
        <f>IFERROR(IF(VLOOKUP(C779,[1]List1!$A:$D,2,FALSE)="VYPRODÁNO",$V$9,IF(VLOOKUP(C779,[1]List1!$A:$D,2,FALSE)="DOCHÁZÍ",$V$3,VLOOKUP(C779,[1]List1!$A:$D,2,FALSE))),"OFFLINE!")</f>
        <v>SKLADEM</v>
      </c>
      <c r="AD779" s="740" t="str">
        <f ca="1">IF(AP779="NE",$V$10,IF(AC779=$V$3,IF(AQ779&lt;1,$V$8,$V$2&amp;" "&amp;AQ779&amp;" "&amp;$V$1),IF(AC779="SKLADEM",$V$6,IFERROR(IF(OR(AC779-TODAY()&gt;45,VLOOKUP(C779,[1]List1!$A:$E,4,FALSE)=0),AC779,DAY(AC779)&amp;"."&amp;MONTH(AC779)&amp;"."&amp;YEAR(AC779)&amp;" "&amp;$V$4&amp;VLOOKUP(C779,[1]List1!$A:$E,4,FALSE)&amp;" "&amp;$V$1),AC779))))</f>
        <v>SKLADEM</v>
      </c>
      <c r="AE779" s="716" t="str">
        <f t="shared" ca="1" si="1806"/>
        <v>SKLADEM</v>
      </c>
      <c r="AF779" s="723">
        <f t="shared" si="1807"/>
        <v>0</v>
      </c>
      <c r="AG779" s="723">
        <f t="shared" si="1808"/>
        <v>0</v>
      </c>
      <c r="AH779" s="724">
        <f t="shared" si="1809"/>
        <v>0</v>
      </c>
      <c r="AI779" s="716">
        <f t="shared" si="1810"/>
        <v>0</v>
      </c>
      <c r="AJ779" s="716">
        <f t="shared" si="1811"/>
        <v>0</v>
      </c>
      <c r="AK779" s="716" t="str">
        <f t="shared" si="1812"/>
        <v/>
      </c>
      <c r="AL779" s="716">
        <f t="shared" si="1813"/>
        <v>0</v>
      </c>
      <c r="AM779" s="716" t="str">
        <f t="shared" si="1814"/>
        <v/>
      </c>
      <c r="AN779" s="716">
        <f t="shared" si="1815"/>
        <v>0</v>
      </c>
      <c r="AO779" s="380"/>
      <c r="AP779" s="322" t="str">
        <f t="shared" si="1738"/>
        <v/>
      </c>
      <c r="AQ779" s="323" t="str">
        <f>IF(AC779=$V$3,IF(VLOOKUP(C779,[1]List1!$A:$E,5,FALSE)=0,1,VLOOKUP(C779,[1]List1!$A:$E,5,FALSE)),"")</f>
        <v/>
      </c>
      <c r="AR779" s="304" t="str">
        <f t="shared" si="1739"/>
        <v/>
      </c>
      <c r="AS779" s="423" t="str">
        <f t="shared" si="1740"/>
        <v/>
      </c>
      <c r="AT779" s="304" t="str">
        <f t="shared" si="1741"/>
        <v/>
      </c>
      <c r="AU779" s="342" t="e">
        <f t="shared" si="1742"/>
        <v>#N/A</v>
      </c>
      <c r="AV779" s="304" t="e">
        <f t="shared" si="1743"/>
        <v>#N/A</v>
      </c>
      <c r="AX779" s="304">
        <f>IF(AND('General price list'!$J779="F4",'General price list'!$AB779+0&gt;0),1,0)</f>
        <v>0</v>
      </c>
      <c r="AY779" s="304">
        <f t="shared" si="1744"/>
        <v>1</v>
      </c>
      <c r="AZ779" s="304">
        <f t="shared" si="1745"/>
        <v>0</v>
      </c>
    </row>
    <row r="780" spans="1:52" ht="15" customHeight="1">
      <c r="A780" s="725" t="str">
        <f>Kat.!C777</f>
        <v/>
      </c>
      <c r="B780" s="726">
        <f>IF(AND('General price list'!$J780="F4",$AI$1=FALSE),0,IF(AC780="SKLADEM",1,IF(AC780=$V$3,1,0)))</f>
        <v>0</v>
      </c>
      <c r="C780" s="727" t="s">
        <v>2760</v>
      </c>
      <c r="D780" s="728" t="s">
        <v>1588</v>
      </c>
      <c r="E780" s="729" t="s">
        <v>136</v>
      </c>
      <c r="F780" s="725">
        <f>IFERROR(ROUND(IF($AL$3=2,VLOOKUP(C780,[2]List1!$A:$D,2,FALSE)*1.08,VLOOKUP(C780,[2]List1!$A:$D,2,FALSE)),0),"NEUVEDENO!")</f>
        <v>5375</v>
      </c>
      <c r="G780" s="730">
        <f t="shared" si="1802"/>
        <v>5375</v>
      </c>
      <c r="H780" s="731">
        <f t="shared" si="1803"/>
        <v>218.41691420583612</v>
      </c>
      <c r="I780" s="732">
        <v>1</v>
      </c>
      <c r="J780" s="729" t="s">
        <v>137</v>
      </c>
      <c r="K780" s="729">
        <v>6</v>
      </c>
      <c r="L780" s="729" t="s">
        <v>24</v>
      </c>
      <c r="M780" s="729" t="s">
        <v>138</v>
      </c>
      <c r="N780" s="729">
        <f>IFERROR(VLOOKUP(C780,[3]List1!$A:$D,4,FALSE),"N/A!")</f>
        <v>6.7968749999999994E-2</v>
      </c>
      <c r="O780" s="729">
        <f>IFERROR(VLOOKUP(C780,[3]List1!$A:$D,3,FALSE),"N/A!")</f>
        <v>3800</v>
      </c>
      <c r="P780" s="729">
        <f>IFERROR(VLOOKUP(C780,[3]List1!$A:$D,2,FALSE),"N/A!")</f>
        <v>27800</v>
      </c>
      <c r="Q780" s="729" t="s">
        <v>14249</v>
      </c>
      <c r="R780" s="729" t="s">
        <v>24</v>
      </c>
      <c r="S780" s="729" t="str">
        <f>IF($W$17=$AF$1,"červená fólie",IFERROR(VLOOKUP("červená fólie",Jazyky_ceník!$A:$Q,MATCH($W$17,Jazyky_ceník!$A$1:$Q$1,0),FALSE),"!!!"))</f>
        <v>červená fólie</v>
      </c>
      <c r="T780" s="729">
        <v>180</v>
      </c>
      <c r="U780" s="729">
        <v>40</v>
      </c>
      <c r="V780" s="729">
        <v>30</v>
      </c>
      <c r="W780" s="729" t="str">
        <f>IFERROR(VLOOKUP('General price list'!$C780,Popisy!A:P,MATCH($W$17,Popisy!$A$7:$P$7,0),FALSE),"---------------")</f>
        <v>20 různobarevných efektů</v>
      </c>
      <c r="X780" s="729" t="str">
        <f t="shared" si="1804"/>
        <v/>
      </c>
      <c r="Y780" s="729" t="str">
        <f t="shared" si="1805"/>
        <v/>
      </c>
      <c r="Z780" s="729" t="str">
        <f>HYPERLINK("https://www.klasekpyrotechnics.cz/c2003u-c_t")</f>
        <v>https://www.klasekpyrotechnics.cz/c2003u-c_t</v>
      </c>
      <c r="AA780" s="729">
        <f>IFERROR(IF(VLOOKUP(C780,[4]List1!$A:$D,4,FALSE)=0,"",VLOOKUP(C780,[4]List1!$A:$D,4,FALSE)),"")</f>
        <v>21</v>
      </c>
      <c r="AB780" s="720"/>
      <c r="AC780" s="733" t="str">
        <f>IFERROR(IF(VLOOKUP(C780,[1]List1!$A:$D,2,FALSE)="VYPRODÁNO",$V$9,IF(VLOOKUP(C780,[1]List1!$A:$D,2,FALSE)="DOCHÁZÍ",$V$3,VLOOKUP(C780,[1]List1!$A:$D,2,FALSE))),"OFFLINE!")</f>
        <v>15.06.2024</v>
      </c>
      <c r="AD780" s="734" t="str">
        <f ca="1">IF(AP780="NE",$V$10,IF(AC780=$V$3,IF(AQ780&lt;1,$V$8,$V$2&amp;" "&amp;AQ780&amp;" "&amp;$V$1),IF(AC780="SKLADEM",$V$6,IFERROR(IF(OR(AC780-TODAY()&gt;45,VLOOKUP(C780,[1]List1!$A:$E,4,FALSE)=0),AC780,DAY(AC780)&amp;"."&amp;MONTH(AC780)&amp;"."&amp;YEAR(AC780)&amp;" "&amp;$V$4&amp;VLOOKUP(C780,[1]List1!$A:$E,4,FALSE)&amp;" "&amp;$V$1),AC780))))</f>
        <v>15.06.2024</v>
      </c>
      <c r="AE780" s="729" t="str">
        <f t="shared" ca="1" si="1806"/>
        <v>15.06.2024</v>
      </c>
      <c r="AF780" s="735">
        <f t="shared" si="1807"/>
        <v>0</v>
      </c>
      <c r="AG780" s="735">
        <f t="shared" si="1808"/>
        <v>0</v>
      </c>
      <c r="AH780" s="736">
        <f t="shared" si="1809"/>
        <v>0</v>
      </c>
      <c r="AI780" s="729">
        <f t="shared" si="1810"/>
        <v>0</v>
      </c>
      <c r="AJ780" s="729">
        <f t="shared" si="1811"/>
        <v>0</v>
      </c>
      <c r="AK780" s="729" t="str">
        <f t="shared" si="1812"/>
        <v/>
      </c>
      <c r="AL780" s="729">
        <f t="shared" si="1813"/>
        <v>0</v>
      </c>
      <c r="AM780" s="729" t="str">
        <f t="shared" si="1814"/>
        <v/>
      </c>
      <c r="AN780" s="729">
        <f t="shared" si="1815"/>
        <v>0</v>
      </c>
      <c r="AO780" s="380"/>
      <c r="AP780" s="322" t="str">
        <f t="shared" si="1738"/>
        <v/>
      </c>
      <c r="AQ780" s="323" t="str">
        <f>IF(AC780=$V$3,IF(VLOOKUP(C780,[1]List1!$A:$E,5,FALSE)=0,1,VLOOKUP(C780,[1]List1!$A:$E,5,FALSE)),"")</f>
        <v/>
      </c>
      <c r="AR780" s="304" t="str">
        <f t="shared" si="1739"/>
        <v/>
      </c>
      <c r="AS780" s="423" t="str">
        <f t="shared" si="1740"/>
        <v/>
      </c>
      <c r="AT780" s="304" t="str">
        <f t="shared" si="1741"/>
        <v/>
      </c>
      <c r="AU780" s="342" t="e">
        <f t="shared" si="1742"/>
        <v>#N/A</v>
      </c>
      <c r="AV780" s="304" t="e">
        <f t="shared" si="1743"/>
        <v>#N/A</v>
      </c>
      <c r="AX780" s="304">
        <f>IF(AND('General price list'!$J780="F4",'General price list'!$AB780+0&gt;0),1,0)</f>
        <v>0</v>
      </c>
      <c r="AY780" s="304">
        <f t="shared" si="1744"/>
        <v>1</v>
      </c>
      <c r="AZ780" s="304">
        <f t="shared" si="1745"/>
        <v>0</v>
      </c>
    </row>
    <row r="781" spans="1:52" ht="15" customHeight="1">
      <c r="A781" s="712" t="str">
        <f>Kat.!C778</f>
        <v/>
      </c>
      <c r="B781" s="737">
        <f>IF(AND('General price list'!$J781="F4",$AI$1=FALSE),0,IF(AC781="SKLADEM",1,IF(AC781=$V$3,1,0)))</f>
        <v>1</v>
      </c>
      <c r="C781" s="714" t="s">
        <v>5457</v>
      </c>
      <c r="D781" s="715" t="s">
        <v>12853</v>
      </c>
      <c r="E781" s="716" t="s">
        <v>136</v>
      </c>
      <c r="F781" s="712">
        <f>IFERROR(ROUND(IF($AL$3=2,VLOOKUP(C781,[2]List1!$A:$D,2,FALSE)*1.08,VLOOKUP(C781,[2]List1!$A:$D,2,FALSE)),0),"NEUVEDENO!")</f>
        <v>6300</v>
      </c>
      <c r="G781" s="717">
        <f t="shared" si="1802"/>
        <v>6300</v>
      </c>
      <c r="H781" s="718">
        <f t="shared" si="1803"/>
        <v>256.00494130172422</v>
      </c>
      <c r="I781" s="738">
        <v>1</v>
      </c>
      <c r="J781" s="716" t="s">
        <v>137</v>
      </c>
      <c r="K781" s="716">
        <v>6</v>
      </c>
      <c r="L781" s="716" t="s">
        <v>24</v>
      </c>
      <c r="M781" s="716" t="s">
        <v>138</v>
      </c>
      <c r="N781" s="716">
        <f>IFERROR(VLOOKUP(C781,[3]List1!$A:$D,4,FALSE),"N/A!")</f>
        <v>6.7968749999999994E-2</v>
      </c>
      <c r="O781" s="716">
        <f>IFERROR(VLOOKUP(C781,[3]List1!$A:$D,3,FALSE),"N/A!")</f>
        <v>3996</v>
      </c>
      <c r="P781" s="716">
        <f>IFERROR(VLOOKUP(C781,[3]List1!$A:$D,2,FALSE),"N/A!")</f>
        <v>28000</v>
      </c>
      <c r="Q781" s="716" t="s">
        <v>14250</v>
      </c>
      <c r="R781" s="716" t="s">
        <v>24</v>
      </c>
      <c r="S781" s="716" t="str">
        <f>IF($W$17=$AF$1,"červená fólie",IFERROR(VLOOKUP("červená fólie",Jazyky_ceník!$A:$Q,MATCH($W$17,Jazyky_ceník!$A$1:$Q$1,0),FALSE),"!!!"))</f>
        <v>červená fólie</v>
      </c>
      <c r="T781" s="716">
        <v>180</v>
      </c>
      <c r="U781" s="716">
        <v>43</v>
      </c>
      <c r="V781" s="716">
        <v>33</v>
      </c>
      <c r="W781" s="716" t="str">
        <f>IFERROR(VLOOKUP('General price list'!$C781,Popisy!A:P,MATCH($W$17,Popisy!$A$7:$P$7,0),FALSE),"---------------")</f>
        <v>10 různobarevných efektů</v>
      </c>
      <c r="X781" s="716" t="str">
        <f t="shared" si="1804"/>
        <v/>
      </c>
      <c r="Y781" s="716" t="str">
        <f t="shared" si="1805"/>
        <v/>
      </c>
      <c r="Z781" s="716" t="str">
        <f>HYPERLINK("https://www.klasekpyrotechnics.cz/c2003sig-c_t")</f>
        <v>https://www.klasekpyrotechnics.cz/c2003sig-c_t</v>
      </c>
      <c r="AA781" s="716">
        <f>IFERROR(IF(VLOOKUP(C781,[4]List1!$A:$D,4,FALSE)=0,"",VLOOKUP(C781,[4]List1!$A:$D,4,FALSE)),"")</f>
        <v>21</v>
      </c>
      <c r="AB781" s="720"/>
      <c r="AC781" s="739" t="str">
        <f>IFERROR(IF(VLOOKUP(C781,[1]List1!$A:$D,2,FALSE)="VYPRODÁNO",$V$9,IF(VLOOKUP(C781,[1]List1!$A:$D,2,FALSE)="DOCHÁZÍ",$V$3,VLOOKUP(C781,[1]List1!$A:$D,2,FALSE))),"OFFLINE!")</f>
        <v>SKLADEM</v>
      </c>
      <c r="AD781" s="740" t="str">
        <f ca="1">IF(AP781="NE",$V$10,IF(AC781=$V$3,IF(AQ781&lt;1,$V$8,$V$2&amp;" "&amp;AQ781&amp;" "&amp;$V$1),IF(AC781="SKLADEM",$V$6,IFERROR(IF(OR(AC781-TODAY()&gt;45,VLOOKUP(C781,[1]List1!$A:$E,4,FALSE)=0),AC781,DAY(AC781)&amp;"."&amp;MONTH(AC781)&amp;"."&amp;YEAR(AC781)&amp;" "&amp;$V$4&amp;VLOOKUP(C781,[1]List1!$A:$E,4,FALSE)&amp;" "&amp;$V$1),AC781))))</f>
        <v>SKLADEM</v>
      </c>
      <c r="AE781" s="716" t="str">
        <f t="shared" ca="1" si="1806"/>
        <v>SKLADEM</v>
      </c>
      <c r="AF781" s="723">
        <f t="shared" si="1807"/>
        <v>0</v>
      </c>
      <c r="AG781" s="723">
        <f t="shared" si="1808"/>
        <v>0</v>
      </c>
      <c r="AH781" s="724">
        <f t="shared" si="1809"/>
        <v>0</v>
      </c>
      <c r="AI781" s="716">
        <f t="shared" si="1810"/>
        <v>0</v>
      </c>
      <c r="AJ781" s="716">
        <f t="shared" si="1811"/>
        <v>0</v>
      </c>
      <c r="AK781" s="716" t="str">
        <f t="shared" si="1812"/>
        <v/>
      </c>
      <c r="AL781" s="716">
        <f t="shared" si="1813"/>
        <v>0</v>
      </c>
      <c r="AM781" s="716" t="str">
        <f t="shared" si="1814"/>
        <v/>
      </c>
      <c r="AN781" s="716">
        <f t="shared" si="1815"/>
        <v>0</v>
      </c>
      <c r="AO781" s="380"/>
      <c r="AP781" s="322" t="str">
        <f t="shared" si="1738"/>
        <v/>
      </c>
      <c r="AQ781" s="323" t="str">
        <f>IF(AC781=$V$3,IF(VLOOKUP(C781,[1]List1!$A:$E,5,FALSE)=0,1,VLOOKUP(C781,[1]List1!$A:$E,5,FALSE)),"")</f>
        <v/>
      </c>
      <c r="AR781" s="304" t="str">
        <f t="shared" si="1739"/>
        <v/>
      </c>
      <c r="AS781" s="423" t="str">
        <f t="shared" si="1740"/>
        <v/>
      </c>
      <c r="AT781" s="304" t="str">
        <f t="shared" si="1741"/>
        <v/>
      </c>
      <c r="AU781" s="342" t="e">
        <f t="shared" si="1742"/>
        <v>#N/A</v>
      </c>
      <c r="AV781" s="304" t="e">
        <f t="shared" si="1743"/>
        <v>#N/A</v>
      </c>
      <c r="AX781" s="304">
        <f>IF(AND('General price list'!$J781="F4",'General price list'!$AB781+0&gt;0),1,0)</f>
        <v>0</v>
      </c>
      <c r="AY781" s="304">
        <f t="shared" si="1744"/>
        <v>1</v>
      </c>
      <c r="AZ781" s="304">
        <f t="shared" si="1745"/>
        <v>0</v>
      </c>
    </row>
    <row r="782" spans="1:52" ht="15" customHeight="1">
      <c r="A782" s="725" t="str">
        <f>Kat.!C779</f>
        <v/>
      </c>
      <c r="B782" s="726">
        <f>IF(AND('General price list'!$J782="F4",$AI$1=FALSE),0,IF(AC782="SKLADEM",1,IF(AC782=$V$3,1,0)))</f>
        <v>1</v>
      </c>
      <c r="C782" s="727" t="s">
        <v>2653</v>
      </c>
      <c r="D782" s="728" t="s">
        <v>5451</v>
      </c>
      <c r="E782" s="729" t="s">
        <v>136</v>
      </c>
      <c r="F782" s="725">
        <f>IFERROR(ROUND(IF($AL$3=2,VLOOKUP(C782,[2]List1!$A:$D,2,FALSE)*1.08,VLOOKUP(C782,[2]List1!$A:$D,2,FALSE)),0),"NEUVEDENO!")</f>
        <v>8888</v>
      </c>
      <c r="G782" s="730">
        <f t="shared" si="1802"/>
        <v>8888</v>
      </c>
      <c r="H782" s="731">
        <f t="shared" si="1803"/>
        <v>361.17014576027373</v>
      </c>
      <c r="I782" s="732">
        <v>1</v>
      </c>
      <c r="J782" s="729" t="s">
        <v>137</v>
      </c>
      <c r="K782" s="729">
        <v>6</v>
      </c>
      <c r="L782" s="729" t="s">
        <v>24</v>
      </c>
      <c r="M782" s="729" t="s">
        <v>138</v>
      </c>
      <c r="N782" s="729">
        <f>IFERROR(VLOOKUP(C782,[3]List1!$A:$D,4,FALSE),"N/A!")</f>
        <v>0.13234374999999998</v>
      </c>
      <c r="O782" s="729">
        <f>IFERROR(VLOOKUP(C782,[3]List1!$A:$D,3,FALSE),"N/A!")</f>
        <v>3992</v>
      </c>
      <c r="P782" s="729">
        <f>IFERROR(VLOOKUP(C782,[3]List1!$A:$D,2,FALSE),"N/A!")</f>
        <v>42000</v>
      </c>
      <c r="Q782" s="729" t="s">
        <v>11854</v>
      </c>
      <c r="R782" s="729" t="s">
        <v>24</v>
      </c>
      <c r="S782" s="729" t="str">
        <f>IF($W$17=$AF$1,"červená fólie",IFERROR(VLOOKUP("červená fólie",Jazyky_ceník!$A:$Q,MATCH($W$17,Jazyky_ceník!$A$1:$Q$1,0),FALSE),"!!!"))</f>
        <v>červená fólie</v>
      </c>
      <c r="T782" s="729">
        <v>200</v>
      </c>
      <c r="U782" s="729">
        <v>40</v>
      </c>
      <c r="V782" s="729">
        <v>30</v>
      </c>
      <c r="W782" s="729" t="str">
        <f>IFERROR(VLOOKUP('General price list'!$C782,Popisy!A:P,MATCH($W$17,Popisy!$A$7:$P$7,0),FALSE),"---------------")</f>
        <v>32 různobarevných efektů</v>
      </c>
      <c r="X782" s="729" t="str">
        <f t="shared" si="1804"/>
        <v/>
      </c>
      <c r="Y782" s="729" t="str">
        <f t="shared" si="1805"/>
        <v/>
      </c>
      <c r="Z782" s="729" t="str">
        <f>HYPERLINK("https://www.klasekpyrotechnics.cz/c2563xmf-c_t")</f>
        <v>https://www.klasekpyrotechnics.cz/c2563xmf-c_t</v>
      </c>
      <c r="AA782" s="729">
        <f>IFERROR(IF(VLOOKUP(C782,[4]List1!$A:$D,4,FALSE)=0,"",VLOOKUP(C782,[4]List1!$A:$D,4,FALSE)),"")</f>
        <v>14</v>
      </c>
      <c r="AB782" s="720"/>
      <c r="AC782" s="733" t="str">
        <f>IFERROR(IF(VLOOKUP(C782,[1]List1!$A:$D,2,FALSE)="VYPRODÁNO",$V$9,IF(VLOOKUP(C782,[1]List1!$A:$D,2,FALSE)="DOCHÁZÍ",$V$3,VLOOKUP(C782,[1]List1!$A:$D,2,FALSE))),"OFFLINE!")</f>
        <v>SKLADEM</v>
      </c>
      <c r="AD782" s="734" t="str">
        <f ca="1">IF(AP782="NE",$V$10,IF(AC782=$V$3,IF(AQ782&lt;1,$V$8,$V$2&amp;" "&amp;AQ782&amp;" "&amp;$V$1),IF(AC782="SKLADEM",$V$6,IFERROR(IF(OR(AC782-TODAY()&gt;45,VLOOKUP(C782,[1]List1!$A:$E,4,FALSE)=0),AC782,DAY(AC782)&amp;"."&amp;MONTH(AC782)&amp;"."&amp;YEAR(AC782)&amp;" "&amp;$V$4&amp;VLOOKUP(C782,[1]List1!$A:$E,4,FALSE)&amp;" "&amp;$V$1),AC782))))</f>
        <v>SKLADEM</v>
      </c>
      <c r="AE782" s="729" t="str">
        <f t="shared" ca="1" si="1806"/>
        <v>SKLADEM</v>
      </c>
      <c r="AF782" s="735">
        <f t="shared" si="1807"/>
        <v>0</v>
      </c>
      <c r="AG782" s="735">
        <f t="shared" si="1808"/>
        <v>0</v>
      </c>
      <c r="AH782" s="736">
        <f t="shared" si="1809"/>
        <v>0</v>
      </c>
      <c r="AI782" s="729">
        <f t="shared" si="1810"/>
        <v>0</v>
      </c>
      <c r="AJ782" s="729">
        <f t="shared" si="1811"/>
        <v>0</v>
      </c>
      <c r="AK782" s="729" t="str">
        <f t="shared" si="1812"/>
        <v/>
      </c>
      <c r="AL782" s="729">
        <f t="shared" si="1813"/>
        <v>0</v>
      </c>
      <c r="AM782" s="729" t="str">
        <f t="shared" si="1814"/>
        <v/>
      </c>
      <c r="AN782" s="729">
        <f t="shared" si="1815"/>
        <v>0</v>
      </c>
      <c r="AO782" s="380"/>
      <c r="AP782" s="322" t="str">
        <f t="shared" si="1738"/>
        <v/>
      </c>
      <c r="AQ782" s="323" t="str">
        <f>IF(AC782=$V$3,IF(VLOOKUP(C782,[1]List1!$A:$E,5,FALSE)=0,1,VLOOKUP(C782,[1]List1!$A:$E,5,FALSE)),"")</f>
        <v/>
      </c>
      <c r="AR782" s="304" t="str">
        <f t="shared" si="1739"/>
        <v/>
      </c>
      <c r="AS782" s="423" t="str">
        <f t="shared" si="1740"/>
        <v/>
      </c>
      <c r="AT782" s="304" t="str">
        <f t="shared" si="1741"/>
        <v/>
      </c>
      <c r="AU782" s="342" t="e">
        <f t="shared" si="1742"/>
        <v>#N/A</v>
      </c>
      <c r="AV782" s="304" t="e">
        <f t="shared" si="1743"/>
        <v>#N/A</v>
      </c>
      <c r="AX782" s="304">
        <f>IF(AND('General price list'!$J782="F4",'General price list'!$AB782+0&gt;0),1,0)</f>
        <v>0</v>
      </c>
      <c r="AY782" s="304">
        <f t="shared" si="1744"/>
        <v>1</v>
      </c>
      <c r="AZ782" s="304">
        <f t="shared" si="1745"/>
        <v>0</v>
      </c>
    </row>
    <row r="783" spans="1:52" ht="15" customHeight="1">
      <c r="A783" s="773" t="str">
        <f>Kat.!C780</f>
        <v xml:space="preserve">                                                               Baterie 16ran, 50mm moždíř-1.3G</v>
      </c>
      <c r="B783" s="774"/>
      <c r="C783" s="774"/>
      <c r="D783" s="774"/>
      <c r="E783" s="774"/>
      <c r="F783" s="774"/>
      <c r="G783" s="774"/>
      <c r="H783" s="774"/>
      <c r="I783" s="774"/>
      <c r="J783" s="774"/>
      <c r="K783" s="774"/>
      <c r="L783" s="774"/>
      <c r="M783" s="774"/>
      <c r="N783" s="774"/>
      <c r="O783" s="774"/>
      <c r="P783" s="774"/>
      <c r="Q783" s="774"/>
      <c r="R783" s="774"/>
      <c r="S783" s="774"/>
      <c r="T783" s="774"/>
      <c r="U783" s="774"/>
      <c r="V783" s="774"/>
      <c r="W783" s="774"/>
      <c r="X783" s="774"/>
      <c r="Y783" s="774"/>
      <c r="Z783" s="774"/>
      <c r="AA783" s="774" t="str">
        <f>IFERROR(IF(VLOOKUP(C783,[4]List1!$A:$D,4,FALSE)=0,"",VLOOKUP(C783,[4]List1!$A:$D,4,FALSE)),"")</f>
        <v/>
      </c>
      <c r="AB783" s="774"/>
      <c r="AC783" s="775" t="str">
        <f>IFERROR(IF(VLOOKUP(C783,[1]List1!$A:$D,2,FALSE)="VYPRODÁNO",$V$9,IF(VLOOKUP(C783,[1]List1!$A:$D,2,FALSE)="DOCHÁZÍ",$V$3,VLOOKUP(C783,[1]List1!$A:$D,2,FALSE))),"OFFLINE!")</f>
        <v>OFFLINE!</v>
      </c>
      <c r="AD783" s="774"/>
      <c r="AE783" s="774"/>
      <c r="AF783" s="774"/>
      <c r="AG783" s="774"/>
      <c r="AH783" s="774"/>
      <c r="AI783" s="774"/>
      <c r="AJ783" s="774"/>
      <c r="AK783" s="774"/>
      <c r="AL783" s="774"/>
      <c r="AM783" s="774"/>
      <c r="AN783" s="774"/>
      <c r="AO783" s="380"/>
      <c r="AP783" s="322" t="str">
        <f t="shared" si="1738"/>
        <v/>
      </c>
      <c r="AQ783" s="323" t="str">
        <f>IF(AC783=$V$3,IF(VLOOKUP(C783,[1]List1!$A:$E,5,FALSE)=0,1,VLOOKUP(C783,[1]List1!$A:$E,5,FALSE)),"")</f>
        <v/>
      </c>
      <c r="AR783" s="304" t="str">
        <f t="shared" si="1739"/>
        <v/>
      </c>
      <c r="AS783" s="423" t="str">
        <f t="shared" si="1740"/>
        <v/>
      </c>
      <c r="AT783" s="304" t="str">
        <f t="shared" si="1741"/>
        <v/>
      </c>
      <c r="AU783" s="342" t="e">
        <f t="shared" si="1742"/>
        <v>#N/A</v>
      </c>
      <c r="AV783" s="304" t="e">
        <f t="shared" si="1743"/>
        <v>#N/A</v>
      </c>
      <c r="AX783" s="304">
        <f>IF(AND('General price list'!$J783="F4",'General price list'!$AB783+0&gt;0),1,0)</f>
        <v>0</v>
      </c>
      <c r="AY783" s="304">
        <f t="shared" si="1744"/>
        <v>0</v>
      </c>
      <c r="AZ783" s="304">
        <f t="shared" si="1745"/>
        <v>0</v>
      </c>
    </row>
    <row r="784" spans="1:52" ht="15" customHeight="1">
      <c r="A784" s="725" t="str">
        <f>Kat.!C781</f>
        <v/>
      </c>
      <c r="B784" s="741">
        <f>IF(AND('General price list'!$J784="F4",$AI$1=FALSE),0,IF(AC784="SKLADEM",1,IF(AC784=$V$3,1,0)))</f>
        <v>1</v>
      </c>
      <c r="C784" s="727" t="s">
        <v>1611</v>
      </c>
      <c r="D784" s="728" t="s">
        <v>1612</v>
      </c>
      <c r="E784" s="729" t="s">
        <v>810</v>
      </c>
      <c r="F784" s="725">
        <f>IFERROR(ROUND(IF($AL$3=2,VLOOKUP(C784,[2]List1!$A:$D,2,FALSE)*1.08,VLOOKUP(C784,[2]List1!$A:$D,2,FALSE)),0),"NEUVEDENO!")</f>
        <v>1158</v>
      </c>
      <c r="G784" s="730">
        <f t="shared" ref="G784:G785" si="1816">(F784)*$B$19</f>
        <v>1158</v>
      </c>
      <c r="H784" s="731">
        <f t="shared" ref="H784:H785" si="1817">G784/$F$19</f>
        <v>47.056146353555015</v>
      </c>
      <c r="I784" s="742">
        <v>3</v>
      </c>
      <c r="J784" s="729" t="s">
        <v>137</v>
      </c>
      <c r="K784" s="729"/>
      <c r="L784" s="729" t="s">
        <v>24</v>
      </c>
      <c r="M784" s="729" t="s">
        <v>138</v>
      </c>
      <c r="N784" s="729">
        <f>IFERROR(VLOOKUP(C784,[3]List1!$A:$D,4,FALSE),"N/A!")</f>
        <v>5.3249999999999999E-2</v>
      </c>
      <c r="O784" s="729">
        <f>IFERROR(VLOOKUP(C784,[3]List1!$A:$D,3,FALSE),"N/A!")</f>
        <v>2400</v>
      </c>
      <c r="P784" s="729">
        <f>IFERROR(VLOOKUP(C784,[3]List1!$A:$D,2,FALSE),"N/A!")</f>
        <v>18500</v>
      </c>
      <c r="Q784" s="729" t="s">
        <v>14251</v>
      </c>
      <c r="R784" s="729" t="s">
        <v>24</v>
      </c>
      <c r="S784" s="729" t="str">
        <f>IF($W$17=$AF$1,"červená fólie",IFERROR(VLOOKUP("červená fólie",Jazyky_ceník!$A:$Q,MATCH($W$17,Jazyky_ceník!$A$1:$Q$1,0),FALSE),"!!!"))</f>
        <v>červená fólie</v>
      </c>
      <c r="T784" s="729">
        <v>35</v>
      </c>
      <c r="U784" s="729">
        <v>60</v>
      </c>
      <c r="V784" s="729">
        <v>40</v>
      </c>
      <c r="W784" s="729" t="str">
        <f>IFERROR(VLOOKUP('General price list'!$C784,Popisy!A:P,MATCH($W$17,Popisy!$A$7:$P$7,0),FALSE),"---------------")</f>
        <v>5 různobarevných efektů střídajících se po každé ráně</v>
      </c>
      <c r="X784" s="729" t="str">
        <f t="shared" ref="X784:X785" si="1818">IF(AB784&lt;0.0001,"",AB784)</f>
        <v/>
      </c>
      <c r="Y784" s="729" t="str">
        <f t="shared" ref="Y784:Y785" si="1819">IF($AL$3=2,IF(OR(AB784&lt;&gt;"",AB784&lt;&gt;0),AU784,""),IF(C784="","",IF(AB784&lt;0.0001,"",IF(B784=0,"",IF(AQ784&lt;AB784,"",AB784)))))</f>
        <v/>
      </c>
      <c r="Z784" s="729" t="str">
        <f>HYPERLINK("https://www.klasekpyrotechnics.cz/c165ja")</f>
        <v>https://www.klasekpyrotechnics.cz/c165ja</v>
      </c>
      <c r="AA784" s="729">
        <f>IFERROR(IF(VLOOKUP(C784,[4]List1!$A:$D,4,FALSE)=0,"",VLOOKUP(C784,[4]List1!$A:$D,4,FALSE)),"")</f>
        <v>25</v>
      </c>
      <c r="AB784" s="720"/>
      <c r="AC784" s="743" t="str">
        <f>IFERROR(IF(VLOOKUP(C784,[1]List1!$A:$D,2,FALSE)="VYPRODÁNO",$V$9,IF(VLOOKUP(C784,[1]List1!$A:$D,2,FALSE)="DOCHÁZÍ",$V$3,VLOOKUP(C784,[1]List1!$A:$D,2,FALSE))),"OFFLINE!")</f>
        <v>SKLADEM</v>
      </c>
      <c r="AD784" s="744" t="str">
        <f ca="1">IF(AP784="NE",$V$10,IF(AC784=$V$3,IF(AQ784&lt;1,$V$8,$V$2&amp;" "&amp;AQ784&amp;" "&amp;$V$1),IF(AC784="SKLADEM",$V$6,IFERROR(IF(OR(AC784-TODAY()&gt;45,VLOOKUP(C784,[1]List1!$A:$E,4,FALSE)=0),AC784,DAY(AC784)&amp;"."&amp;MONTH(AC784)&amp;"."&amp;YEAR(AC784)&amp;" "&amp;$V$4&amp;VLOOKUP(C784,[1]List1!$A:$E,4,FALSE)&amp;" "&amp;$V$1),AC784))))</f>
        <v>SKLADEM</v>
      </c>
      <c r="AE784" s="729" t="str">
        <f t="shared" ref="AE784:AE785" ca="1" si="1820">IFERROR(IF(AV784&lt;&gt;"",AV784,AD784),AD784)</f>
        <v>SKLADEM</v>
      </c>
      <c r="AF784" s="735">
        <f t="shared" ref="AF784:AF785" si="1821">IFERROR(IF(AB784=Y784,G784*I784*Y784,0),0)</f>
        <v>0</v>
      </c>
      <c r="AG784" s="735">
        <f t="shared" ref="AG784:AG785" si="1822">IF($W$17=$AF$8,AH784*1.23,AF784*1.21)</f>
        <v>0</v>
      </c>
      <c r="AH784" s="736">
        <f t="shared" ref="AH784:AH785" si="1823">IFERROR(IF(Y784=AB784,H784*I784*Y784,0),0)</f>
        <v>0</v>
      </c>
      <c r="AI784" s="729">
        <f t="shared" ref="AI784:AI785" si="1824">IFERROR(IF(Y784=AB784,(P784*Y784)/1000,1),0)</f>
        <v>0</v>
      </c>
      <c r="AJ784" s="729">
        <f t="shared" ref="AJ784:AJ785" si="1825">IFERROR(IF(Y784=AB784,N784*Y784,0.1),0)</f>
        <v>0</v>
      </c>
      <c r="AK784" s="729" t="str">
        <f t="shared" ref="AK784:AK785" si="1826">IFERROR(IF(Y784=AB784,IF(M784="1.1G",(O784/1000)*Y784,""),""),0)</f>
        <v/>
      </c>
      <c r="AL784" s="729">
        <f t="shared" ref="AL784:AL785" si="1827">IFERROR(IF(Y784=AB784,IF(M784="1.3G",(O784/1000)*AB784,""),""),0)</f>
        <v>0</v>
      </c>
      <c r="AM784" s="729" t="str">
        <f t="shared" ref="AM784:AM785" si="1828">IFERROR(IF(Y784=AB784,IF(M784="1.4G",(O784/1000)*AB784,""),""),0)</f>
        <v/>
      </c>
      <c r="AN784" s="729">
        <f t="shared" ref="AN784:AN785" si="1829">SUM(AK784:AM784)</f>
        <v>0</v>
      </c>
      <c r="AO784" s="380"/>
      <c r="AP784" s="322" t="str">
        <f t="shared" si="1738"/>
        <v/>
      </c>
      <c r="AQ784" s="323" t="str">
        <f>IF(AC784=$V$3,IF(VLOOKUP(C784,[1]List1!$A:$E,5,FALSE)=0,1,VLOOKUP(C784,[1]List1!$A:$E,5,FALSE)),"")</f>
        <v/>
      </c>
      <c r="AR784" s="304" t="str">
        <f t="shared" si="1739"/>
        <v/>
      </c>
      <c r="AS784" s="423" t="str">
        <f t="shared" si="1740"/>
        <v/>
      </c>
      <c r="AT784" s="304" t="str">
        <f t="shared" si="1741"/>
        <v/>
      </c>
      <c r="AU784" s="342" t="e">
        <f t="shared" si="1742"/>
        <v>#N/A</v>
      </c>
      <c r="AV784" s="304" t="e">
        <f t="shared" si="1743"/>
        <v>#N/A</v>
      </c>
      <c r="AX784" s="304">
        <f>IF(AND('General price list'!$J784="F4",'General price list'!$AB784+0&gt;0),1,0)</f>
        <v>0</v>
      </c>
      <c r="AY784" s="304">
        <f t="shared" si="1744"/>
        <v>1</v>
      </c>
      <c r="AZ784" s="304">
        <f t="shared" si="1745"/>
        <v>0</v>
      </c>
    </row>
    <row r="785" spans="1:52" ht="15" customHeight="1">
      <c r="A785" s="712" t="str">
        <f>Kat.!C782</f>
        <v/>
      </c>
      <c r="B785" s="745">
        <f>IF(AND('General price list'!$J785="F4",$AI$1=FALSE),0,IF(AC785="SKLADEM",1,IF(AC785=$V$3,1,0)))</f>
        <v>1</v>
      </c>
      <c r="C785" s="714" t="s">
        <v>1613</v>
      </c>
      <c r="D785" s="715" t="s">
        <v>1614</v>
      </c>
      <c r="E785" s="716" t="s">
        <v>810</v>
      </c>
      <c r="F785" s="712">
        <f>IFERROR(ROUND(IF($AL$3=2,VLOOKUP(C785,[2]List1!$A:$D,2,FALSE)*1.08,VLOOKUP(C785,[2]List1!$A:$D,2,FALSE)),0),"NEUVEDENO!")</f>
        <v>1158</v>
      </c>
      <c r="G785" s="717">
        <f t="shared" si="1816"/>
        <v>1158</v>
      </c>
      <c r="H785" s="718">
        <f t="shared" si="1817"/>
        <v>47.056146353555015</v>
      </c>
      <c r="I785" s="746">
        <v>3</v>
      </c>
      <c r="J785" s="716" t="s">
        <v>137</v>
      </c>
      <c r="K785" s="716"/>
      <c r="L785" s="716" t="s">
        <v>24</v>
      </c>
      <c r="M785" s="716" t="s">
        <v>138</v>
      </c>
      <c r="N785" s="716">
        <f>IFERROR(VLOOKUP(C785,[3]List1!$A:$D,4,FALSE),"N/A!")</f>
        <v>5.3249999999999999E-2</v>
      </c>
      <c r="O785" s="716">
        <f>IFERROR(VLOOKUP(C785,[3]List1!$A:$D,3,FALSE),"N/A!")</f>
        <v>2400</v>
      </c>
      <c r="P785" s="716">
        <f>IFERROR(VLOOKUP(C785,[3]List1!$A:$D,2,FALSE),"N/A!")</f>
        <v>19000</v>
      </c>
      <c r="Q785" s="716" t="s">
        <v>14252</v>
      </c>
      <c r="R785" s="716" t="s">
        <v>24</v>
      </c>
      <c r="S785" s="716" t="str">
        <f>IF($W$17=$AF$1,"červená fólie",IFERROR(VLOOKUP("červená fólie",Jazyky_ceník!$A:$Q,MATCH($W$17,Jazyky_ceník!$A$1:$Q$1,0),FALSE),"!!!"))</f>
        <v>červená fólie</v>
      </c>
      <c r="T785" s="716">
        <v>35</v>
      </c>
      <c r="U785" s="716">
        <v>60</v>
      </c>
      <c r="V785" s="716">
        <v>40</v>
      </c>
      <c r="W785" s="716" t="str">
        <f>IFERROR(VLOOKUP('General price list'!$C785,Popisy!A:P,MATCH($W$17,Popisy!$A$7:$P$7,0),FALSE),"---------------")</f>
        <v>5 různobarevných efektů střídajících se po každé ráně</v>
      </c>
      <c r="X785" s="716" t="str">
        <f t="shared" si="1818"/>
        <v/>
      </c>
      <c r="Y785" s="716" t="str">
        <f t="shared" si="1819"/>
        <v/>
      </c>
      <c r="Z785" s="716" t="str">
        <f>HYPERLINK("https://www.klasekpyrotechnics.cz/c165p")</f>
        <v>https://www.klasekpyrotechnics.cz/c165p</v>
      </c>
      <c r="AA785" s="716">
        <f>IFERROR(IF(VLOOKUP(C785,[4]List1!$A:$D,4,FALSE)=0,"",VLOOKUP(C785,[4]List1!$A:$D,4,FALSE)),"")</f>
        <v>25</v>
      </c>
      <c r="AB785" s="720"/>
      <c r="AC785" s="747" t="str">
        <f>IFERROR(IF(VLOOKUP(C785,[1]List1!$A:$D,2,FALSE)="VYPRODÁNO",$V$9,IF(VLOOKUP(C785,[1]List1!$A:$D,2,FALSE)="DOCHÁZÍ",$V$3,VLOOKUP(C785,[1]List1!$A:$D,2,FALSE))),"OFFLINE!")</f>
        <v>DOCHÁZÍ</v>
      </c>
      <c r="AD785" s="748" t="str">
        <f ca="1">IF(AP785="NE",$V$10,IF(AC785=$V$3,IF(AQ785&lt;1,$V$8,$V$2&amp;" "&amp;AQ785&amp;" "&amp;$V$1),IF(AC785="SKLADEM",$V$6,IFERROR(IF(OR(AC785-TODAY()&gt;45,VLOOKUP(C785,[1]List1!$A:$E,4,FALSE)=0),AC785,DAY(AC785)&amp;"."&amp;MONTH(AC785)&amp;"."&amp;YEAR(AC785)&amp;" "&amp;$V$4&amp;VLOOKUP(C785,[1]List1!$A:$E,4,FALSE)&amp;" "&amp;$V$1),AC785))))</f>
        <v>POSLEDNÍCH 16 VK</v>
      </c>
      <c r="AE785" s="716" t="str">
        <f t="shared" ca="1" si="1820"/>
        <v>POSLEDNÍCH 16 VK</v>
      </c>
      <c r="AF785" s="723">
        <f t="shared" si="1821"/>
        <v>0</v>
      </c>
      <c r="AG785" s="723">
        <f t="shared" si="1822"/>
        <v>0</v>
      </c>
      <c r="AH785" s="724">
        <f t="shared" si="1823"/>
        <v>0</v>
      </c>
      <c r="AI785" s="716">
        <f t="shared" si="1824"/>
        <v>0</v>
      </c>
      <c r="AJ785" s="716">
        <f t="shared" si="1825"/>
        <v>0</v>
      </c>
      <c r="AK785" s="716" t="str">
        <f t="shared" si="1826"/>
        <v/>
      </c>
      <c r="AL785" s="716">
        <f t="shared" si="1827"/>
        <v>0</v>
      </c>
      <c r="AM785" s="716" t="str">
        <f t="shared" si="1828"/>
        <v/>
      </c>
      <c r="AN785" s="716">
        <f t="shared" si="1829"/>
        <v>0</v>
      </c>
      <c r="AO785" s="380"/>
      <c r="AP785" s="322" t="str">
        <f t="shared" si="1738"/>
        <v/>
      </c>
      <c r="AQ785" s="323">
        <f>IF(AC785=$V$3,IF(VLOOKUP(C785,[1]List1!$A:$E,5,FALSE)=0,1,VLOOKUP(C785,[1]List1!$A:$E,5,FALSE)),"")</f>
        <v>16</v>
      </c>
      <c r="AR785" s="304" t="str">
        <f t="shared" si="1739"/>
        <v/>
      </c>
      <c r="AS785" s="423" t="str">
        <f t="shared" si="1740"/>
        <v/>
      </c>
      <c r="AT785" s="304" t="str">
        <f t="shared" si="1741"/>
        <v/>
      </c>
      <c r="AU785" s="342" t="e">
        <f t="shared" si="1742"/>
        <v>#N/A</v>
      </c>
      <c r="AV785" s="304" t="e">
        <f t="shared" si="1743"/>
        <v>#N/A</v>
      </c>
      <c r="AX785" s="304">
        <f>IF(AND('General price list'!$J785="F4",'General price list'!$AB785+0&gt;0),1,0)</f>
        <v>0</v>
      </c>
      <c r="AY785" s="304">
        <f t="shared" si="1744"/>
        <v>1</v>
      </c>
      <c r="AZ785" s="304">
        <f t="shared" si="1745"/>
        <v>0</v>
      </c>
    </row>
    <row r="786" spans="1:52" ht="15" customHeight="1">
      <c r="A786" s="773" t="str">
        <f>Kat.!C783</f>
        <v xml:space="preserve">                                                               Baterie 25ran, 45mm moždíř-1.3G</v>
      </c>
      <c r="B786" s="774"/>
      <c r="C786" s="774"/>
      <c r="D786" s="774"/>
      <c r="E786" s="774"/>
      <c r="F786" s="774"/>
      <c r="G786" s="774"/>
      <c r="H786" s="774"/>
      <c r="I786" s="774"/>
      <c r="J786" s="774"/>
      <c r="K786" s="774"/>
      <c r="L786" s="774"/>
      <c r="M786" s="774"/>
      <c r="N786" s="774"/>
      <c r="O786" s="774"/>
      <c r="P786" s="774"/>
      <c r="Q786" s="774"/>
      <c r="R786" s="774"/>
      <c r="S786" s="774"/>
      <c r="T786" s="774"/>
      <c r="U786" s="774"/>
      <c r="V786" s="774"/>
      <c r="W786" s="774"/>
      <c r="X786" s="774"/>
      <c r="Y786" s="774"/>
      <c r="Z786" s="774"/>
      <c r="AA786" s="774" t="str">
        <f>IFERROR(IF(VLOOKUP(C786,[4]List1!$A:$D,4,FALSE)=0,"",VLOOKUP(C786,[4]List1!$A:$D,4,FALSE)),"")</f>
        <v/>
      </c>
      <c r="AB786" s="774"/>
      <c r="AC786" s="775" t="str">
        <f>IFERROR(IF(VLOOKUP(C786,[1]List1!$A:$D,2,FALSE)="VYPRODÁNO",$V$9,IF(VLOOKUP(C786,[1]List1!$A:$D,2,FALSE)="DOCHÁZÍ",$V$3,VLOOKUP(C786,[1]List1!$A:$D,2,FALSE))),"OFFLINE!")</f>
        <v>OFFLINE!</v>
      </c>
      <c r="AD786" s="774"/>
      <c r="AE786" s="774"/>
      <c r="AF786" s="774"/>
      <c r="AG786" s="774"/>
      <c r="AH786" s="774"/>
      <c r="AI786" s="774"/>
      <c r="AJ786" s="774"/>
      <c r="AK786" s="774"/>
      <c r="AL786" s="774"/>
      <c r="AM786" s="774"/>
      <c r="AN786" s="774"/>
      <c r="AO786" s="380"/>
      <c r="AP786" s="322" t="str">
        <f t="shared" si="1738"/>
        <v/>
      </c>
      <c r="AQ786" s="323" t="str">
        <f>IF(AC786=$V$3,IF(VLOOKUP(C786,[1]List1!$A:$E,5,FALSE)=0,1,VLOOKUP(C786,[1]List1!$A:$E,5,FALSE)),"")</f>
        <v/>
      </c>
      <c r="AR786" s="304" t="str">
        <f t="shared" si="1739"/>
        <v/>
      </c>
      <c r="AS786" s="423" t="str">
        <f t="shared" si="1740"/>
        <v/>
      </c>
      <c r="AT786" s="304" t="str">
        <f t="shared" si="1741"/>
        <v/>
      </c>
      <c r="AU786" s="342" t="e">
        <f t="shared" si="1742"/>
        <v>#N/A</v>
      </c>
      <c r="AV786" s="304" t="e">
        <f t="shared" si="1743"/>
        <v>#N/A</v>
      </c>
      <c r="AX786" s="304">
        <f>IF(AND('General price list'!$J786="F4",'General price list'!$AB786+0&gt;0),1,0)</f>
        <v>0</v>
      </c>
      <c r="AY786" s="304">
        <f t="shared" si="1744"/>
        <v>0</v>
      </c>
      <c r="AZ786" s="304">
        <f t="shared" si="1745"/>
        <v>0</v>
      </c>
    </row>
    <row r="787" spans="1:52" ht="15" customHeight="1">
      <c r="A787" s="712" t="str">
        <f>Kat.!C784</f>
        <v/>
      </c>
      <c r="B787" s="713">
        <f>IF(AND('General price list'!$J787="F4",$AI$1=FALSE),0,IF(AC787="SKLADEM",1,IF(AC787=$V$3,1,0)))</f>
        <v>1</v>
      </c>
      <c r="C787" s="714" t="s">
        <v>2574</v>
      </c>
      <c r="D787" s="715" t="s">
        <v>2575</v>
      </c>
      <c r="E787" s="716" t="s">
        <v>1078</v>
      </c>
      <c r="F787" s="712">
        <f>IFERROR(ROUND(IF($AL$3=2,VLOOKUP(C787,[2]List1!$A:$D,2,FALSE)*1.08,VLOOKUP(C787,[2]List1!$A:$D,2,FALSE)),0),"NEUVEDENO!")</f>
        <v>1435</v>
      </c>
      <c r="G787" s="717">
        <f t="shared" ref="G787:G789" si="1830">(F787)*$B$19</f>
        <v>1435</v>
      </c>
      <c r="H787" s="718">
        <f t="shared" ref="H787:H789" si="1831">G787/$F$19</f>
        <v>58.312236629837173</v>
      </c>
      <c r="I787" s="719">
        <v>2</v>
      </c>
      <c r="J787" s="716" t="s">
        <v>137</v>
      </c>
      <c r="K787" s="716" t="s">
        <v>12734</v>
      </c>
      <c r="L787" s="716" t="s">
        <v>24</v>
      </c>
      <c r="M787" s="716" t="s">
        <v>138</v>
      </c>
      <c r="N787" s="716">
        <f>IFERROR(VLOOKUP(C787,[3]List1!$A:$D,4,FALSE),"N/A!")</f>
        <v>5.8463999999999995E-2</v>
      </c>
      <c r="O787" s="716">
        <f>IFERROR(VLOOKUP(C787,[3]List1!$A:$D,3,FALSE),"N/A!")</f>
        <v>1980</v>
      </c>
      <c r="P787" s="716">
        <f>IFERROR(VLOOKUP(C787,[3]List1!$A:$D,2,FALSE),"N/A!")</f>
        <v>20000</v>
      </c>
      <c r="Q787" s="716" t="s">
        <v>14253</v>
      </c>
      <c r="R787" s="716" t="s">
        <v>24</v>
      </c>
      <c r="S787" s="716" t="str">
        <f>IF($W$17=$AF$1,"design",IFERROR(VLOOKUP("design",Jazyky_ceník!$A:$Q,MATCH($W$17,Jazyky_ceník!$A$1:$Q$1,0),FALSE),"!!!"))</f>
        <v>design</v>
      </c>
      <c r="T787" s="716">
        <v>45</v>
      </c>
      <c r="U787" s="716">
        <v>60</v>
      </c>
      <c r="V787" s="716">
        <v>37</v>
      </c>
      <c r="W787" s="716" t="str">
        <f>IFERROR(VLOOKUP('General price list'!$C787,Popisy!A:P,MATCH($W$17,Popisy!$A$7:$P$7,0),FALSE),"---------------")</f>
        <v>5 různobarevných efektů</v>
      </c>
      <c r="X787" s="716" t="str">
        <f t="shared" ref="X787:X789" si="1832">IF(AB787&lt;0.0001,"",AB787)</f>
        <v/>
      </c>
      <c r="Y787" s="716" t="str">
        <f t="shared" ref="Y787:Y789" si="1833">IF($AL$3=2,IF(OR(AB787&lt;&gt;"",AB787&lt;&gt;0),AU787,""),IF(C787="","",IF(AB787&lt;0.0001,"",IF(B787=0,"",IF(AQ787&lt;AB787,"",AB787)))))</f>
        <v/>
      </c>
      <c r="Z787" s="716" t="str">
        <f>HYPERLINK("https://www.klasekpyrotechnics.cz/c2545no")</f>
        <v>https://www.klasekpyrotechnics.cz/c2545no</v>
      </c>
      <c r="AA787" s="716">
        <f>IFERROR(IF(VLOOKUP(C787,[4]List1!$A:$D,4,FALSE)=0,"",VLOOKUP(C787,[4]List1!$A:$D,4,FALSE)),"")</f>
        <v>30</v>
      </c>
      <c r="AB787" s="720"/>
      <c r="AC787" s="721" t="str">
        <f>IFERROR(IF(VLOOKUP(C787,[1]List1!$A:$D,2,FALSE)="VYPRODÁNO",$V$9,IF(VLOOKUP(C787,[1]List1!$A:$D,2,FALSE)="DOCHÁZÍ",$V$3,VLOOKUP(C787,[1]List1!$A:$D,2,FALSE))),"OFFLINE!")</f>
        <v>SKLADEM</v>
      </c>
      <c r="AD787" s="722" t="str">
        <f ca="1">IF(AP787="NE",$V$10,IF(AC787=$V$3,IF(AQ787&lt;1,$V$8,$V$2&amp;" "&amp;AQ787&amp;" "&amp;$V$1),IF(AC787="SKLADEM",$V$6,IFERROR(IF(OR(AC787-TODAY()&gt;45,VLOOKUP(C787,[1]List1!$A:$E,4,FALSE)=0),AC787,DAY(AC787)&amp;"."&amp;MONTH(AC787)&amp;"."&amp;YEAR(AC787)&amp;" "&amp;$V$4&amp;VLOOKUP(C787,[1]List1!$A:$E,4,FALSE)&amp;" "&amp;$V$1),AC787))))</f>
        <v>SKLADEM</v>
      </c>
      <c r="AE787" s="716" t="str">
        <f t="shared" ref="AE787:AE789" ca="1" si="1834">IFERROR(IF(AV787&lt;&gt;"",AV787,AD787),AD787)</f>
        <v>SKLADEM</v>
      </c>
      <c r="AF787" s="723">
        <f t="shared" ref="AF787:AF789" si="1835">IFERROR(IF(AB787=Y787,G787*I787*Y787,0),0)</f>
        <v>0</v>
      </c>
      <c r="AG787" s="723">
        <f t="shared" ref="AG787:AG789" si="1836">IF($W$17=$AF$8,AH787*1.23,AF787*1.21)</f>
        <v>0</v>
      </c>
      <c r="AH787" s="724">
        <f t="shared" ref="AH787:AH789" si="1837">IFERROR(IF(Y787=AB787,H787*I787*Y787,0),0)</f>
        <v>0</v>
      </c>
      <c r="AI787" s="716">
        <f t="shared" ref="AI787:AI789" si="1838">IFERROR(IF(Y787=AB787,(P787*Y787)/1000,1),0)</f>
        <v>0</v>
      </c>
      <c r="AJ787" s="716">
        <f t="shared" ref="AJ787:AJ789" si="1839">IFERROR(IF(Y787=AB787,N787*Y787,0.1),0)</f>
        <v>0</v>
      </c>
      <c r="AK787" s="716" t="str">
        <f t="shared" ref="AK787:AK789" si="1840">IFERROR(IF(Y787=AB787,IF(M787="1.1G",(O787/1000)*Y787,""),""),0)</f>
        <v/>
      </c>
      <c r="AL787" s="716">
        <f t="shared" ref="AL787:AL789" si="1841">IFERROR(IF(Y787=AB787,IF(M787="1.3G",(O787/1000)*AB787,""),""),0)</f>
        <v>0</v>
      </c>
      <c r="AM787" s="716" t="str">
        <f t="shared" ref="AM787:AM789" si="1842">IFERROR(IF(Y787=AB787,IF(M787="1.4G",(O787/1000)*AB787,""),""),0)</f>
        <v/>
      </c>
      <c r="AN787" s="716">
        <f t="shared" ref="AN787:AN789" si="1843">SUM(AK787:AM787)</f>
        <v>0</v>
      </c>
      <c r="AO787" s="380"/>
      <c r="AP787" s="322" t="str">
        <f t="shared" ref="AP787:AP789" si="1844">IF($AL$3=1,IF(Y787=AB787,"","NE"),IF(AR787=$V$10,"NE",""))</f>
        <v/>
      </c>
      <c r="AQ787" s="323" t="str">
        <f>IF(AC787=$V$3,IF(VLOOKUP(C787,[1]List1!$A:$E,5,FALSE)=0,1,VLOOKUP(C787,[1]List1!$A:$E,5,FALSE)),"")</f>
        <v/>
      </c>
      <c r="AR787" s="304" t="str">
        <f t="shared" ref="AR787:AR789" si="1845">IF($AL$3=1,"",IF(OR(AB787&lt;&gt;"",AB787&lt;&gt;0),IF(OR(AC787=$V$6,AC787=$V$3,AC787=$V$9),$V$10,""),""))</f>
        <v/>
      </c>
      <c r="AS787" s="423" t="str">
        <f t="shared" ref="AS787:AS789" si="1846">IF(AT787&lt;&gt;"","X","")</f>
        <v/>
      </c>
      <c r="AT787" s="304" t="str">
        <f t="shared" ref="AT787:AT789" si="1847">IF(AND($AL$3=2,AR787="",AB787&lt;&gt;""),AD787,"")</f>
        <v/>
      </c>
      <c r="AU787" s="342" t="e">
        <f t="shared" ref="AU787:AU789" si="1848">IF(AT787=$AS$21,AB787,"")</f>
        <v>#N/A</v>
      </c>
      <c r="AV787" s="304" t="e">
        <f t="shared" ref="AV787:AV789" si="1849">IF(OR(AB787="",AND(AT787&lt;&gt;"",AU787&lt;&gt;"")),"",$V$10)</f>
        <v>#N/A</v>
      </c>
      <c r="AX787" s="304">
        <f>IF(AND('General price list'!$J787="F4",'General price list'!$AB787+0&gt;0),1,0)</f>
        <v>0</v>
      </c>
      <c r="AY787" s="304">
        <f t="shared" ref="AY787:AY789" si="1850">IFERROR(FIND(VLOOKUP($AC$7,$AD$1:$AE$12,2,FALSE),Q787,1),0)</f>
        <v>1</v>
      </c>
      <c r="AZ787" s="304">
        <f t="shared" ref="AZ787:AZ789" si="1851">IFERROR(FIND(VLOOKUP($AC$7,$AD$1:$AE$12,2,FALSE),R787,1),0)</f>
        <v>0</v>
      </c>
    </row>
    <row r="788" spans="1:52" ht="15" customHeight="1">
      <c r="A788" s="725" t="str">
        <f>Kat.!C785</f>
        <v/>
      </c>
      <c r="B788" s="726">
        <f>IF(AND('General price list'!$J788="F4",$AI$1=FALSE),0,IF(AC788="SKLADEM",1,IF(AC788=$V$3,1,0)))</f>
        <v>0</v>
      </c>
      <c r="C788" s="727" t="s">
        <v>2576</v>
      </c>
      <c r="D788" s="728" t="s">
        <v>1617</v>
      </c>
      <c r="E788" s="729" t="s">
        <v>1078</v>
      </c>
      <c r="F788" s="725">
        <f>IFERROR(ROUND(IF($AL$3=2,VLOOKUP(C788,[2]List1!$A:$D,2,FALSE)*1.08,VLOOKUP(C788,[2]List1!$A:$D,2,FALSE)),0),"NEUVEDENO!")</f>
        <v>1435</v>
      </c>
      <c r="G788" s="730">
        <f t="shared" si="1830"/>
        <v>1435</v>
      </c>
      <c r="H788" s="731">
        <f t="shared" si="1831"/>
        <v>58.312236629837173</v>
      </c>
      <c r="I788" s="732">
        <v>2</v>
      </c>
      <c r="J788" s="729" t="s">
        <v>137</v>
      </c>
      <c r="K788" s="729"/>
      <c r="L788" s="729" t="s">
        <v>24</v>
      </c>
      <c r="M788" s="729" t="s">
        <v>138</v>
      </c>
      <c r="N788" s="729">
        <f>IFERROR(VLOOKUP(C788,[3]List1!$A:$D,4,FALSE),"N/A!")</f>
        <v>5.8463999999999995E-2</v>
      </c>
      <c r="O788" s="729">
        <f>IFERROR(VLOOKUP(C788,[3]List1!$A:$D,3,FALSE),"N/A!")</f>
        <v>1980</v>
      </c>
      <c r="P788" s="729">
        <f>IFERROR(VLOOKUP(C788,[3]List1!$A:$D,2,FALSE),"N/A!")</f>
        <v>20000</v>
      </c>
      <c r="Q788" s="729" t="s">
        <v>14341</v>
      </c>
      <c r="R788" s="729" t="s">
        <v>24</v>
      </c>
      <c r="S788" s="729" t="str">
        <f>IF($W$17=$AF$1,"červená fólie",IFERROR(VLOOKUP("červená fólie",Jazyky_ceník!$A:$Q,MATCH($W$17,Jazyky_ceník!$A$1:$Q$1,0),FALSE),"!!!"))</f>
        <v>červená fólie</v>
      </c>
      <c r="T788" s="729">
        <v>45</v>
      </c>
      <c r="U788" s="729">
        <v>60</v>
      </c>
      <c r="V788" s="729">
        <v>37</v>
      </c>
      <c r="W788" s="729" t="str">
        <f>IFERROR(VLOOKUP('General price list'!$C788,Popisy!A:P,MATCH($W$17,Popisy!$A$7:$P$7,0),FALSE),"---------------")</f>
        <v>5 různobarevných efektů</v>
      </c>
      <c r="X788" s="729" t="str">
        <f t="shared" si="1832"/>
        <v/>
      </c>
      <c r="Y788" s="729" t="str">
        <f t="shared" si="1833"/>
        <v/>
      </c>
      <c r="Z788" s="729" t="str">
        <f>HYPERLINK("https://www.klasekpyrotechnics.cz/c2545di")</f>
        <v>https://www.klasekpyrotechnics.cz/c2545di</v>
      </c>
      <c r="AA788" s="729">
        <f>IFERROR(IF(VLOOKUP(C788,[4]List1!$A:$D,4,FALSE)=0,"",VLOOKUP(C788,[4]List1!$A:$D,4,FALSE)),"")</f>
        <v>30</v>
      </c>
      <c r="AB788" s="720"/>
      <c r="AC788" s="733" t="str">
        <f>IFERROR(IF(VLOOKUP(C788,[1]List1!$A:$D,2,FALSE)="VYPRODÁNO",$V$9,IF(VLOOKUP(C788,[1]List1!$A:$D,2,FALSE)="DOCHÁZÍ",$V$3,VLOOKUP(C788,[1]List1!$A:$D,2,FALSE))),"OFFLINE!")</f>
        <v>15.06.2024</v>
      </c>
      <c r="AD788" s="734" t="str">
        <f ca="1">IF(AP788="NE",$V$10,IF(AC788=$V$3,IF(AQ788&lt;1,$V$8,$V$2&amp;" "&amp;AQ788&amp;" "&amp;$V$1),IF(AC788="SKLADEM",$V$6,IFERROR(IF(OR(AC788-TODAY()&gt;45,VLOOKUP(C788,[1]List1!$A:$E,4,FALSE)=0),AC788,DAY(AC788)&amp;"."&amp;MONTH(AC788)&amp;"."&amp;YEAR(AC788)&amp;" "&amp;$V$4&amp;VLOOKUP(C788,[1]List1!$A:$E,4,FALSE)&amp;" "&amp;$V$1),AC788))))</f>
        <v>15.06.2024</v>
      </c>
      <c r="AE788" s="729" t="str">
        <f t="shared" ca="1" si="1834"/>
        <v>15.06.2024</v>
      </c>
      <c r="AF788" s="735">
        <f t="shared" si="1835"/>
        <v>0</v>
      </c>
      <c r="AG788" s="735">
        <f t="shared" si="1836"/>
        <v>0</v>
      </c>
      <c r="AH788" s="736">
        <f t="shared" si="1837"/>
        <v>0</v>
      </c>
      <c r="AI788" s="729">
        <f t="shared" si="1838"/>
        <v>0</v>
      </c>
      <c r="AJ788" s="729">
        <f t="shared" si="1839"/>
        <v>0</v>
      </c>
      <c r="AK788" s="729" t="str">
        <f t="shared" si="1840"/>
        <v/>
      </c>
      <c r="AL788" s="729">
        <f t="shared" si="1841"/>
        <v>0</v>
      </c>
      <c r="AM788" s="729" t="str">
        <f t="shared" si="1842"/>
        <v/>
      </c>
      <c r="AN788" s="729">
        <f t="shared" si="1843"/>
        <v>0</v>
      </c>
      <c r="AO788" s="380"/>
      <c r="AP788" s="322" t="str">
        <f t="shared" si="1844"/>
        <v/>
      </c>
      <c r="AQ788" s="323" t="str">
        <f>IF(AC788=$V$3,IF(VLOOKUP(C788,[1]List1!$A:$E,5,FALSE)=0,1,VLOOKUP(C788,[1]List1!$A:$E,5,FALSE)),"")</f>
        <v/>
      </c>
      <c r="AR788" s="304" t="str">
        <f t="shared" si="1845"/>
        <v/>
      </c>
      <c r="AS788" s="423" t="str">
        <f t="shared" si="1846"/>
        <v/>
      </c>
      <c r="AT788" s="304" t="str">
        <f t="shared" si="1847"/>
        <v/>
      </c>
      <c r="AU788" s="342" t="e">
        <f t="shared" si="1848"/>
        <v>#N/A</v>
      </c>
      <c r="AV788" s="304" t="e">
        <f t="shared" si="1849"/>
        <v>#N/A</v>
      </c>
      <c r="AX788" s="304">
        <f>IF(AND('General price list'!$J788="F4",'General price list'!$AB788+0&gt;0),1,0)</f>
        <v>0</v>
      </c>
      <c r="AY788" s="304">
        <f t="shared" si="1850"/>
        <v>1</v>
      </c>
      <c r="AZ788" s="304">
        <f t="shared" si="1851"/>
        <v>0</v>
      </c>
    </row>
    <row r="789" spans="1:52" ht="15" customHeight="1">
      <c r="A789" s="712" t="str">
        <f>Kat.!C786</f>
        <v>×</v>
      </c>
      <c r="B789" s="737">
        <f>IF(AND('General price list'!$J789="F4",$AI$1=FALSE),0,IF(AC789="SKLADEM",1,IF(AC789=$V$3,1,0)))</f>
        <v>1</v>
      </c>
      <c r="C789" s="714" t="s">
        <v>2577</v>
      </c>
      <c r="D789" s="715" t="s">
        <v>1616</v>
      </c>
      <c r="E789" s="716" t="s">
        <v>1078</v>
      </c>
      <c r="F789" s="712">
        <f>IFERROR(ROUND(IF($AL$3=2,VLOOKUP(C789,[2]List1!$A:$D,2,FALSE)*1.08,VLOOKUP(C789,[2]List1!$A:$D,2,FALSE)),0),"NEUVEDENO!")</f>
        <v>1435</v>
      </c>
      <c r="G789" s="717">
        <f t="shared" si="1830"/>
        <v>1435</v>
      </c>
      <c r="H789" s="718">
        <f t="shared" si="1831"/>
        <v>58.312236629837173</v>
      </c>
      <c r="I789" s="738">
        <v>2</v>
      </c>
      <c r="J789" s="716" t="s">
        <v>137</v>
      </c>
      <c r="K789" s="716" t="s">
        <v>12734</v>
      </c>
      <c r="L789" s="716" t="s">
        <v>24</v>
      </c>
      <c r="M789" s="716" t="s">
        <v>138</v>
      </c>
      <c r="N789" s="716">
        <f>IFERROR(VLOOKUP(C789,[3]List1!$A:$D,4,FALSE),"N/A!")</f>
        <v>5.8463999999999995E-2</v>
      </c>
      <c r="O789" s="716">
        <f>IFERROR(VLOOKUP(C789,[3]List1!$A:$D,3,FALSE),"N/A!")</f>
        <v>1980</v>
      </c>
      <c r="P789" s="716">
        <f>IFERROR(VLOOKUP(C789,[3]List1!$A:$D,2,FALSE),"N/A!")</f>
        <v>20000</v>
      </c>
      <c r="Q789" s="716" t="s">
        <v>14254</v>
      </c>
      <c r="R789" s="716" t="s">
        <v>24</v>
      </c>
      <c r="S789" s="716" t="str">
        <f>IF($W$17=$AF$1,"červená fólie",IFERROR(VLOOKUP("červená fólie",Jazyky_ceník!$A:$Q,MATCH($W$17,Jazyky_ceník!$A$1:$Q$1,0),FALSE),"!!!"))</f>
        <v>červená fólie</v>
      </c>
      <c r="T789" s="716">
        <v>45</v>
      </c>
      <c r="U789" s="716">
        <v>60</v>
      </c>
      <c r="V789" s="716">
        <v>37</v>
      </c>
      <c r="W789" s="716" t="str">
        <f>IFERROR(VLOOKUP('General price list'!$C789,Popisy!A:P,MATCH($W$17,Popisy!$A$7:$P$7,0),FALSE),"---------------")</f>
        <v>5 různobarevných efektů</v>
      </c>
      <c r="X789" s="716" t="str">
        <f t="shared" si="1832"/>
        <v/>
      </c>
      <c r="Y789" s="716" t="str">
        <f t="shared" si="1833"/>
        <v/>
      </c>
      <c r="Z789" s="716" t="str">
        <f>HYPERLINK("https://www.klasekpyrotechnics.cz/c2545ma")</f>
        <v>https://www.klasekpyrotechnics.cz/c2545ma</v>
      </c>
      <c r="AA789" s="716">
        <f>IFERROR(IF(VLOOKUP(C789,[4]List1!$A:$D,4,FALSE)=0,"",VLOOKUP(C789,[4]List1!$A:$D,4,FALSE)),"")</f>
        <v>30</v>
      </c>
      <c r="AB789" s="720"/>
      <c r="AC789" s="739" t="str">
        <f>IFERROR(IF(VLOOKUP(C789,[1]List1!$A:$D,2,FALSE)="VYPRODÁNO",$V$9,IF(VLOOKUP(C789,[1]List1!$A:$D,2,FALSE)="DOCHÁZÍ",$V$3,VLOOKUP(C789,[1]List1!$A:$D,2,FALSE))),"OFFLINE!")</f>
        <v>DOCHÁZÍ</v>
      </c>
      <c r="AD789" s="740" t="str">
        <f ca="1">IF(AP789="NE",$V$10,IF(AC789=$V$3,IF(AQ789&lt;1,$V$8,$V$2&amp;" "&amp;AQ789&amp;" "&amp;$V$1),IF(AC789="SKLADEM",$V$6,IFERROR(IF(OR(AC789-TODAY()&gt;45,VLOOKUP(C789,[1]List1!$A:$E,4,FALSE)=0),AC789,DAY(AC789)&amp;"."&amp;MONTH(AC789)&amp;"."&amp;YEAR(AC789)&amp;" "&amp;$V$4&amp;VLOOKUP(C789,[1]List1!$A:$E,4,FALSE)&amp;" "&amp;$V$1),AC789))))</f>
        <v>POSLEDNÍCH 66 VK</v>
      </c>
      <c r="AE789" s="716" t="str">
        <f t="shared" ca="1" si="1834"/>
        <v>POSLEDNÍCH 66 VK</v>
      </c>
      <c r="AF789" s="723">
        <f t="shared" si="1835"/>
        <v>0</v>
      </c>
      <c r="AG789" s="723">
        <f t="shared" si="1836"/>
        <v>0</v>
      </c>
      <c r="AH789" s="724">
        <f t="shared" si="1837"/>
        <v>0</v>
      </c>
      <c r="AI789" s="716">
        <f t="shared" si="1838"/>
        <v>0</v>
      </c>
      <c r="AJ789" s="716">
        <f t="shared" si="1839"/>
        <v>0</v>
      </c>
      <c r="AK789" s="716" t="str">
        <f t="shared" si="1840"/>
        <v/>
      </c>
      <c r="AL789" s="716">
        <f t="shared" si="1841"/>
        <v>0</v>
      </c>
      <c r="AM789" s="716" t="str">
        <f t="shared" si="1842"/>
        <v/>
      </c>
      <c r="AN789" s="716">
        <f t="shared" si="1843"/>
        <v>0</v>
      </c>
      <c r="AO789" s="380"/>
      <c r="AP789" s="322" t="str">
        <f t="shared" si="1844"/>
        <v/>
      </c>
      <c r="AQ789" s="323">
        <f>IF(AC789=$V$3,IF(VLOOKUP(C789,[1]List1!$A:$E,5,FALSE)=0,1,VLOOKUP(C789,[1]List1!$A:$E,5,FALSE)),"")</f>
        <v>66</v>
      </c>
      <c r="AR789" s="304" t="str">
        <f t="shared" si="1845"/>
        <v/>
      </c>
      <c r="AS789" s="423" t="str">
        <f t="shared" si="1846"/>
        <v/>
      </c>
      <c r="AT789" s="304" t="str">
        <f t="shared" si="1847"/>
        <v/>
      </c>
      <c r="AU789" s="342" t="e">
        <f t="shared" si="1848"/>
        <v>#N/A</v>
      </c>
      <c r="AV789" s="304" t="e">
        <f t="shared" si="1849"/>
        <v>#N/A</v>
      </c>
      <c r="AX789" s="304">
        <f>IF(AND('General price list'!$J789="F4",'General price list'!$AB789+0&gt;0),1,0)</f>
        <v>0</v>
      </c>
      <c r="AY789" s="304">
        <f t="shared" si="1850"/>
        <v>1</v>
      </c>
      <c r="AZ789" s="304">
        <f t="shared" si="1851"/>
        <v>0</v>
      </c>
    </row>
    <row r="790" spans="1:52" ht="15" customHeight="1">
      <c r="A790" s="773" t="str">
        <f>Kat.!C787</f>
        <v xml:space="preserve">                                                               Baterie 25ran, 50mm moždíř-1.3G</v>
      </c>
      <c r="B790" s="774"/>
      <c r="C790" s="774"/>
      <c r="D790" s="774"/>
      <c r="E790" s="774"/>
      <c r="F790" s="774"/>
      <c r="G790" s="774"/>
      <c r="H790" s="774"/>
      <c r="I790" s="774"/>
      <c r="J790" s="774"/>
      <c r="K790" s="774"/>
      <c r="L790" s="774"/>
      <c r="M790" s="774"/>
      <c r="N790" s="774"/>
      <c r="O790" s="774"/>
      <c r="P790" s="774"/>
      <c r="Q790" s="774"/>
      <c r="R790" s="774"/>
      <c r="S790" s="774"/>
      <c r="T790" s="774"/>
      <c r="U790" s="774"/>
      <c r="V790" s="774"/>
      <c r="W790" s="774"/>
      <c r="X790" s="774"/>
      <c r="Y790" s="774"/>
      <c r="Z790" s="774"/>
      <c r="AA790" s="774" t="str">
        <f>IFERROR(IF(VLOOKUP(C790,[4]List1!$A:$D,4,FALSE)=0,"",VLOOKUP(C790,[4]List1!$A:$D,4,FALSE)),"")</f>
        <v/>
      </c>
      <c r="AB790" s="774"/>
      <c r="AC790" s="775" t="str">
        <f>IFERROR(IF(VLOOKUP(C790,[1]List1!$A:$D,2,FALSE)="VYPRODÁNO",$V$9,IF(VLOOKUP(C790,[1]List1!$A:$D,2,FALSE)="DOCHÁZÍ",$V$3,VLOOKUP(C790,[1]List1!$A:$D,2,FALSE))),"OFFLINE!")</f>
        <v>OFFLINE!</v>
      </c>
      <c r="AD790" s="774"/>
      <c r="AE790" s="774"/>
      <c r="AF790" s="774"/>
      <c r="AG790" s="774"/>
      <c r="AH790" s="774"/>
      <c r="AI790" s="774"/>
      <c r="AJ790" s="774"/>
      <c r="AK790" s="774"/>
      <c r="AL790" s="774"/>
      <c r="AM790" s="774"/>
      <c r="AN790" s="774"/>
      <c r="AO790" s="380"/>
      <c r="AP790" s="322" t="str">
        <f t="shared" ref="AP790:AP849" si="1852">IF($AL$3=1,IF(Y790=AB790,"","NE"),IF(AR790=$V$10,"NE",""))</f>
        <v/>
      </c>
      <c r="AQ790" s="323" t="str">
        <f>IF(AC790=$V$3,IF(VLOOKUP(C790,[1]List1!$A:$E,5,FALSE)=0,1,VLOOKUP(C790,[1]List1!$A:$E,5,FALSE)),"")</f>
        <v/>
      </c>
      <c r="AR790" s="304" t="str">
        <f t="shared" ref="AR790:AR849" si="1853">IF($AL$3=1,"",IF(OR(AB790&lt;&gt;"",AB790&lt;&gt;0),IF(OR(AC790=$V$6,AC790=$V$3,AC790=$V$9),$V$10,""),""))</f>
        <v/>
      </c>
      <c r="AS790" s="423" t="str">
        <f t="shared" ref="AS790:AS849" si="1854">IF(AT790&lt;&gt;"","X","")</f>
        <v/>
      </c>
      <c r="AT790" s="304" t="str">
        <f t="shared" ref="AT790:AT849" si="1855">IF(AND($AL$3=2,AR790="",AB790&lt;&gt;""),AD790,"")</f>
        <v/>
      </c>
      <c r="AU790" s="342" t="e">
        <f t="shared" ref="AU790:AU849" si="1856">IF(AT790=$AS$21,AB790,"")</f>
        <v>#N/A</v>
      </c>
      <c r="AV790" s="304" t="e">
        <f t="shared" ref="AV790:AV849" si="1857">IF(OR(AB790="",AND(AT790&lt;&gt;"",AU790&lt;&gt;"")),"",$V$10)</f>
        <v>#N/A</v>
      </c>
      <c r="AX790" s="304">
        <f>IF(AND('General price list'!$J790="F4",'General price list'!$AB790+0&gt;0),1,0)</f>
        <v>0</v>
      </c>
      <c r="AY790" s="304">
        <f t="shared" ref="AY790:AY849" si="1858">IFERROR(FIND(VLOOKUP($AC$7,$AD$1:$AE$12,2,FALSE),Q790,1),0)</f>
        <v>0</v>
      </c>
      <c r="AZ790" s="304">
        <f t="shared" ref="AZ790:AZ849" si="1859">IFERROR(FIND(VLOOKUP($AC$7,$AD$1:$AE$12,2,FALSE),R790,1),0)</f>
        <v>0</v>
      </c>
    </row>
    <row r="791" spans="1:52" ht="15" customHeight="1">
      <c r="A791" s="712" t="str">
        <f>Kat.!C788</f>
        <v/>
      </c>
      <c r="B791" s="713">
        <f>IF(AND('General price list'!$J791="F4",$AI$1=FALSE),0,IF(AC791="SKLADEM",1,IF(AC791=$V$3,1,0)))</f>
        <v>0</v>
      </c>
      <c r="C791" s="714" t="s">
        <v>1615</v>
      </c>
      <c r="D791" s="715" t="s">
        <v>14563</v>
      </c>
      <c r="E791" s="716" t="s">
        <v>1078</v>
      </c>
      <c r="F791" s="712">
        <f>IFERROR(ROUND(IF($AL$3=2,VLOOKUP(C791,[2]List1!$A:$D,2,FALSE)*1.08,VLOOKUP(C791,[2]List1!$A:$D,2,FALSE)),0),"NEUVEDENO!")</f>
        <v>1809</v>
      </c>
      <c r="G791" s="717">
        <f>(F791)*$B$19</f>
        <v>1809</v>
      </c>
      <c r="H791" s="718">
        <f>G791/$F$19</f>
        <v>73.509990288066518</v>
      </c>
      <c r="I791" s="719">
        <v>2</v>
      </c>
      <c r="J791" s="716" t="s">
        <v>137</v>
      </c>
      <c r="K791" s="716"/>
      <c r="L791" s="716" t="s">
        <v>24</v>
      </c>
      <c r="M791" s="716" t="s">
        <v>138</v>
      </c>
      <c r="N791" s="716">
        <f>IFERROR(VLOOKUP(C791,[3]List1!$A:$D,4,FALSE),"N/A!")</f>
        <v>5.2199999999999996E-2</v>
      </c>
      <c r="O791" s="716">
        <f>IFERROR(VLOOKUP(C791,[3]List1!$A:$D,3,FALSE),"N/A!")</f>
        <v>2000</v>
      </c>
      <c r="P791" s="716">
        <f>IFERROR(VLOOKUP(C791,[3]List1!$A:$D,2,FALSE),"N/A!")</f>
        <v>16000</v>
      </c>
      <c r="Q791" s="716" t="s">
        <v>14342</v>
      </c>
      <c r="R791" s="716" t="s">
        <v>24</v>
      </c>
      <c r="S791" s="716" t="str">
        <f>IF($W$17=$AF$1,"červená fólie",IFERROR(VLOOKUP("červená fólie",Jazyky_ceník!$A:$Q,MATCH($W$17,Jazyky_ceník!$A$1:$Q$1,0),FALSE),"!!!"))</f>
        <v>červená fólie</v>
      </c>
      <c r="T791" s="716">
        <v>40</v>
      </c>
      <c r="U791" s="716">
        <v>60</v>
      </c>
      <c r="V791" s="716">
        <v>39</v>
      </c>
      <c r="W791" s="716" t="str">
        <f>IFERROR(VLOOKUP('General price list'!$C791,Popisy!A:P,MATCH($W$17,Popisy!$A$7:$P$7,0),FALSE),"---------------")</f>
        <v>5 různobarevných efektů střídajících se po každé ráně</v>
      </c>
      <c r="X791" s="716" t="str">
        <f>IF(AB791&lt;0.0001,"",AB791)</f>
        <v/>
      </c>
      <c r="Y791" s="716" t="str">
        <f>IF($AL$3=2,IF(OR(AB791&lt;&gt;"",AB791&lt;&gt;0),AU791,""),IF(C791="","",IF(AB791&lt;0.0001,"",IF(B791=0,"",IF(AQ791&lt;AB791,"",AB791)))))</f>
        <v/>
      </c>
      <c r="Z791" s="716" t="str">
        <f>HYPERLINK("https://www.klasekpyrotechnics.cz/c255bp")</f>
        <v>https://www.klasekpyrotechnics.cz/c255bp</v>
      </c>
      <c r="AA791" s="716">
        <f>IFERROR(IF(VLOOKUP(C791,[4]List1!$A:$D,4,FALSE)=0,"",VLOOKUP(C791,[4]List1!$A:$D,4,FALSE)),"")</f>
        <v>20</v>
      </c>
      <c r="AB791" s="720"/>
      <c r="AC791" s="721" t="str">
        <f>IFERROR(IF(VLOOKUP(C791,[1]List1!$A:$D,2,FALSE)="VYPRODÁNO",$V$9,IF(VLOOKUP(C791,[1]List1!$A:$D,2,FALSE)="DOCHÁZÍ",$V$3,VLOOKUP(C791,[1]List1!$A:$D,2,FALSE))),"OFFLINE!")</f>
        <v>20.06.2024</v>
      </c>
      <c r="AD791" s="722" t="str">
        <f ca="1">IF(AP791="NE",$V$10,IF(AC791=$V$3,IF(AQ791&lt;1,$V$8,$V$2&amp;" "&amp;AQ791&amp;" "&amp;$V$1),IF(AC791="SKLADEM",$V$6,IFERROR(IF(OR(AC791-TODAY()&gt;45,VLOOKUP(C791,[1]List1!$A:$E,4,FALSE)=0),AC791,DAY(AC791)&amp;"."&amp;MONTH(AC791)&amp;"."&amp;YEAR(AC791)&amp;" "&amp;$V$4&amp;VLOOKUP(C791,[1]List1!$A:$E,4,FALSE)&amp;" "&amp;$V$1),AC791))))</f>
        <v>20.06.2024</v>
      </c>
      <c r="AE791" s="716" t="str">
        <f t="shared" ref="AE791" ca="1" si="1860">IFERROR(IF(AV791&lt;&gt;"",AV791,AD791),AD791)</f>
        <v>20.06.2024</v>
      </c>
      <c r="AF791" s="723">
        <f t="shared" ref="AF791" si="1861">IFERROR(IF(AB791=Y791,G791*I791*Y791,0),0)</f>
        <v>0</v>
      </c>
      <c r="AG791" s="723">
        <f t="shared" ref="AG791" si="1862">IF($W$17=$AF$8,AH791*1.23,AF791*1.21)</f>
        <v>0</v>
      </c>
      <c r="AH791" s="724">
        <f t="shared" ref="AH791" si="1863">IFERROR(IF(Y791=AB791,H791*I791*Y791,0),0)</f>
        <v>0</v>
      </c>
      <c r="AI791" s="716">
        <f t="shared" ref="AI791" si="1864">IFERROR(IF(Y791=AB791,(P791*Y791)/1000,1),0)</f>
        <v>0</v>
      </c>
      <c r="AJ791" s="716">
        <f t="shared" ref="AJ791" si="1865">IFERROR(IF(Y791=AB791,N791*Y791,0.1),0)</f>
        <v>0</v>
      </c>
      <c r="AK791" s="716" t="str">
        <f t="shared" ref="AK791" si="1866">IFERROR(IF(Y791=AB791,IF(M791="1.1G",(O791/1000)*Y791,""),""),0)</f>
        <v/>
      </c>
      <c r="AL791" s="716">
        <f t="shared" ref="AL791" si="1867">IFERROR(IF(Y791=AB791,IF(M791="1.3G",(O791/1000)*AB791,""),""),0)</f>
        <v>0</v>
      </c>
      <c r="AM791" s="716" t="str">
        <f t="shared" ref="AM791" si="1868">IFERROR(IF(Y791=AB791,IF(M791="1.4G",(O791/1000)*AB791,""),""),0)</f>
        <v/>
      </c>
      <c r="AN791" s="716">
        <f t="shared" ref="AN791" si="1869">SUM(AK791:AM791)</f>
        <v>0</v>
      </c>
      <c r="AO791" s="380"/>
      <c r="AP791" s="322" t="str">
        <f t="shared" si="1852"/>
        <v/>
      </c>
      <c r="AQ791" s="323" t="str">
        <f>IF(AC791=$V$3,IF(VLOOKUP(C791,[1]List1!$A:$E,5,FALSE)=0,1,VLOOKUP(C791,[1]List1!$A:$E,5,FALSE)),"")</f>
        <v/>
      </c>
      <c r="AR791" s="304" t="str">
        <f t="shared" si="1853"/>
        <v/>
      </c>
      <c r="AS791" s="423" t="str">
        <f t="shared" si="1854"/>
        <v/>
      </c>
      <c r="AT791" s="304" t="str">
        <f t="shared" si="1855"/>
        <v/>
      </c>
      <c r="AU791" s="342" t="e">
        <f t="shared" si="1856"/>
        <v>#N/A</v>
      </c>
      <c r="AV791" s="304" t="e">
        <f t="shared" si="1857"/>
        <v>#N/A</v>
      </c>
      <c r="AX791" s="304">
        <f>IF(AND('General price list'!$J791="F4",'General price list'!$AB791+0&gt;0),1,0)</f>
        <v>0</v>
      </c>
      <c r="AY791" s="304">
        <f t="shared" si="1858"/>
        <v>1</v>
      </c>
      <c r="AZ791" s="304">
        <f t="shared" si="1859"/>
        <v>0</v>
      </c>
    </row>
    <row r="792" spans="1:52" ht="15" customHeight="1">
      <c r="A792" s="773" t="str">
        <f>Kat.!C789</f>
        <v xml:space="preserve">                                                               Baterie 35ran, 45mm moždíř-1.3G</v>
      </c>
      <c r="B792" s="774"/>
      <c r="C792" s="774"/>
      <c r="D792" s="774"/>
      <c r="E792" s="774"/>
      <c r="F792" s="774"/>
      <c r="G792" s="774"/>
      <c r="H792" s="774"/>
      <c r="I792" s="774"/>
      <c r="J792" s="774"/>
      <c r="K792" s="774"/>
      <c r="L792" s="774"/>
      <c r="M792" s="774"/>
      <c r="N792" s="774"/>
      <c r="O792" s="774"/>
      <c r="P792" s="774"/>
      <c r="Q792" s="774"/>
      <c r="R792" s="774"/>
      <c r="S792" s="774"/>
      <c r="T792" s="774"/>
      <c r="U792" s="774"/>
      <c r="V792" s="774"/>
      <c r="W792" s="774"/>
      <c r="X792" s="774"/>
      <c r="Y792" s="774"/>
      <c r="Z792" s="774"/>
      <c r="AA792" s="774" t="str">
        <f>IFERROR(IF(VLOOKUP(C792,[4]List1!$A:$D,4,FALSE)=0,"",VLOOKUP(C792,[4]List1!$A:$D,4,FALSE)),"")</f>
        <v/>
      </c>
      <c r="AB792" s="774"/>
      <c r="AC792" s="775" t="str">
        <f>IFERROR(IF(VLOOKUP(C792,[1]List1!$A:$D,2,FALSE)="VYPRODÁNO",$V$9,IF(VLOOKUP(C792,[1]List1!$A:$D,2,FALSE)="DOCHÁZÍ",$V$3,VLOOKUP(C792,[1]List1!$A:$D,2,FALSE))),"OFFLINE!")</f>
        <v>OFFLINE!</v>
      </c>
      <c r="AD792" s="774"/>
      <c r="AE792" s="774"/>
      <c r="AF792" s="774"/>
      <c r="AG792" s="774"/>
      <c r="AH792" s="774"/>
      <c r="AI792" s="774"/>
      <c r="AJ792" s="774"/>
      <c r="AK792" s="774"/>
      <c r="AL792" s="774"/>
      <c r="AM792" s="774"/>
      <c r="AN792" s="774"/>
      <c r="AO792" s="380"/>
      <c r="AP792" s="322" t="str">
        <f t="shared" si="1852"/>
        <v/>
      </c>
      <c r="AQ792" s="323" t="str">
        <f>IF(AC792=$V$3,IF(VLOOKUP(C792,[1]List1!$A:$E,5,FALSE)=0,1,VLOOKUP(C792,[1]List1!$A:$E,5,FALSE)),"")</f>
        <v/>
      </c>
      <c r="AR792" s="304" t="str">
        <f t="shared" si="1853"/>
        <v/>
      </c>
      <c r="AS792" s="423" t="str">
        <f t="shared" si="1854"/>
        <v/>
      </c>
      <c r="AT792" s="304" t="str">
        <f t="shared" si="1855"/>
        <v/>
      </c>
      <c r="AU792" s="342" t="e">
        <f t="shared" si="1856"/>
        <v>#N/A</v>
      </c>
      <c r="AV792" s="304" t="e">
        <f t="shared" si="1857"/>
        <v>#N/A</v>
      </c>
      <c r="AX792" s="304">
        <f>IF(AND('General price list'!$J792="F4",'General price list'!$AB792+0&gt;0),1,0)</f>
        <v>0</v>
      </c>
      <c r="AY792" s="304">
        <f t="shared" si="1858"/>
        <v>0</v>
      </c>
      <c r="AZ792" s="304">
        <f t="shared" si="1859"/>
        <v>0</v>
      </c>
    </row>
    <row r="793" spans="1:52" ht="15" customHeight="1">
      <c r="A793" s="712" t="str">
        <f>Kat.!C790</f>
        <v/>
      </c>
      <c r="B793" s="713">
        <f>IF(AND('General price list'!$J793="F4",$AI$1=FALSE),0,IF(AC793="SKLADEM",1,IF(AC793=$V$3,1,0)))</f>
        <v>1</v>
      </c>
      <c r="C793" s="714" t="s">
        <v>2578</v>
      </c>
      <c r="D793" s="715" t="s">
        <v>2579</v>
      </c>
      <c r="E793" s="716" t="s">
        <v>1078</v>
      </c>
      <c r="F793" s="712">
        <f>IFERROR(ROUND(IF($AL$3=2,VLOOKUP(C793,[2]List1!$A:$D,2,FALSE)*1.08,VLOOKUP(C793,[2]List1!$A:$D,2,FALSE)),0),"NEUVEDENO!")</f>
        <v>2041</v>
      </c>
      <c r="G793" s="717">
        <f t="shared" ref="G793:G794" si="1870">(F793)*$B$19</f>
        <v>2041</v>
      </c>
      <c r="H793" s="718">
        <f t="shared" ref="H793:H794" si="1871">G793/$F$19</f>
        <v>82.937473840764937</v>
      </c>
      <c r="I793" s="719">
        <v>2</v>
      </c>
      <c r="J793" s="716" t="s">
        <v>137</v>
      </c>
      <c r="K793" s="716"/>
      <c r="L793" s="716" t="s">
        <v>24</v>
      </c>
      <c r="M793" s="716" t="s">
        <v>138</v>
      </c>
      <c r="N793" s="716">
        <f>IFERROR(VLOOKUP(C793,[3]List1!$A:$D,4,FALSE),"N/A!")</f>
        <v>7.6160000000000019E-2</v>
      </c>
      <c r="O793" s="716">
        <f>IFERROR(VLOOKUP(C793,[3]List1!$A:$D,3,FALSE),"N/A!")</f>
        <v>2000</v>
      </c>
      <c r="P793" s="716">
        <f>IFERROR(VLOOKUP(C793,[3]List1!$A:$D,2,FALSE),"N/A!")</f>
        <v>27000</v>
      </c>
      <c r="Q793" s="716" t="s">
        <v>14343</v>
      </c>
      <c r="R793" s="716" t="s">
        <v>24</v>
      </c>
      <c r="S793" s="716" t="str">
        <f>IF($W$17=$AF$1,"červená fólie",IFERROR(VLOOKUP("červená fólie",Jazyky_ceník!$A:$Q,MATCH($W$17,Jazyky_ceník!$A$1:$Q$1,0),FALSE),"!!!"))</f>
        <v>červená fólie</v>
      </c>
      <c r="T793" s="716">
        <v>50</v>
      </c>
      <c r="U793" s="716">
        <v>60</v>
      </c>
      <c r="V793" s="716">
        <v>37</v>
      </c>
      <c r="W793" s="716" t="str">
        <f>IFERROR(VLOOKUP('General price list'!$C793,Popisy!A:P,MATCH($W$17,Popisy!$A$7:$P$7,0),FALSE),"---------------")</f>
        <v>7 různobarevných efektů</v>
      </c>
      <c r="X793" s="716" t="str">
        <f t="shared" ref="X793:X794" si="1872">IF(AB793&lt;0.0001,"",AB793)</f>
        <v/>
      </c>
      <c r="Y793" s="716" t="str">
        <f t="shared" ref="Y793:Y794" si="1873">IF($AL$3=2,IF(OR(AB793&lt;&gt;"",AB793&lt;&gt;0),AU793,""),IF(C793="","",IF(AB793&lt;0.0001,"",IF(B793=0,"",IF(AQ793&lt;AB793,"",AB793)))))</f>
        <v/>
      </c>
      <c r="Z793" s="716" t="str">
        <f>HYPERLINK("https://www.klasekpyrotechnics.cz/c3545mf")</f>
        <v>https://www.klasekpyrotechnics.cz/c3545mf</v>
      </c>
      <c r="AA793" s="716">
        <f>IFERROR(IF(VLOOKUP(C793,[4]List1!$A:$D,4,FALSE)=0,"",VLOOKUP(C793,[4]List1!$A:$D,4,FALSE)),"")</f>
        <v>20</v>
      </c>
      <c r="AB793" s="720"/>
      <c r="AC793" s="721" t="str">
        <f>IFERROR(IF(VLOOKUP(C793,[1]List1!$A:$D,2,FALSE)="VYPRODÁNO",$V$9,IF(VLOOKUP(C793,[1]List1!$A:$D,2,FALSE)="DOCHÁZÍ",$V$3,VLOOKUP(C793,[1]List1!$A:$D,2,FALSE))),"OFFLINE!")</f>
        <v>DOCHÁZÍ</v>
      </c>
      <c r="AD793" s="722" t="str">
        <f ca="1">IF(AP793="NE",$V$10,IF(AC793=$V$3,IF(AQ793&lt;1,$V$8,$V$2&amp;" "&amp;AQ793&amp;" "&amp;$V$1),IF(AC793="SKLADEM",$V$6,IFERROR(IF(OR(AC793-TODAY()&gt;45,VLOOKUP(C793,[1]List1!$A:$E,4,FALSE)=0),AC793,DAY(AC793)&amp;"."&amp;MONTH(AC793)&amp;"."&amp;YEAR(AC793)&amp;" "&amp;$V$4&amp;VLOOKUP(C793,[1]List1!$A:$E,4,FALSE)&amp;" "&amp;$V$1),AC793))))</f>
        <v>POSLEDNÍCH 29 VK</v>
      </c>
      <c r="AE793" s="716" t="str">
        <f t="shared" ref="AE793:AE794" ca="1" si="1874">IFERROR(IF(AV793&lt;&gt;"",AV793,AD793),AD793)</f>
        <v>POSLEDNÍCH 29 VK</v>
      </c>
      <c r="AF793" s="723">
        <f t="shared" ref="AF793:AF794" si="1875">IFERROR(IF(AB793=Y793,G793*I793*Y793,0),0)</f>
        <v>0</v>
      </c>
      <c r="AG793" s="723">
        <f t="shared" ref="AG793:AG794" si="1876">IF($W$17=$AF$8,AH793*1.23,AF793*1.21)</f>
        <v>0</v>
      </c>
      <c r="AH793" s="724">
        <f t="shared" ref="AH793:AH794" si="1877">IFERROR(IF(Y793=AB793,H793*I793*Y793,0),0)</f>
        <v>0</v>
      </c>
      <c r="AI793" s="716">
        <f t="shared" ref="AI793:AI794" si="1878">IFERROR(IF(Y793=AB793,(P793*Y793)/1000,1),0)</f>
        <v>0</v>
      </c>
      <c r="AJ793" s="716">
        <f t="shared" ref="AJ793:AJ794" si="1879">IFERROR(IF(Y793=AB793,N793*Y793,0.1),0)</f>
        <v>0</v>
      </c>
      <c r="AK793" s="716" t="str">
        <f t="shared" ref="AK793:AK794" si="1880">IFERROR(IF(Y793=AB793,IF(M793="1.1G",(O793/1000)*Y793,""),""),0)</f>
        <v/>
      </c>
      <c r="AL793" s="716">
        <f t="shared" ref="AL793:AL794" si="1881">IFERROR(IF(Y793=AB793,IF(M793="1.3G",(O793/1000)*AB793,""),""),0)</f>
        <v>0</v>
      </c>
      <c r="AM793" s="716" t="str">
        <f t="shared" ref="AM793:AM794" si="1882">IFERROR(IF(Y793=AB793,IF(M793="1.4G",(O793/1000)*AB793,""),""),0)</f>
        <v/>
      </c>
      <c r="AN793" s="716">
        <f t="shared" ref="AN793:AN794" si="1883">SUM(AK793:AM793)</f>
        <v>0</v>
      </c>
      <c r="AO793" s="380"/>
      <c r="AP793" s="322" t="str">
        <f t="shared" si="1852"/>
        <v/>
      </c>
      <c r="AQ793" s="323">
        <f>IF(AC793=$V$3,IF(VLOOKUP(C793,[1]List1!$A:$E,5,FALSE)=0,1,VLOOKUP(C793,[1]List1!$A:$E,5,FALSE)),"")</f>
        <v>29</v>
      </c>
      <c r="AR793" s="304" t="str">
        <f t="shared" si="1853"/>
        <v/>
      </c>
      <c r="AS793" s="423" t="str">
        <f t="shared" si="1854"/>
        <v/>
      </c>
      <c r="AT793" s="304" t="str">
        <f t="shared" si="1855"/>
        <v/>
      </c>
      <c r="AU793" s="342" t="e">
        <f t="shared" si="1856"/>
        <v>#N/A</v>
      </c>
      <c r="AV793" s="304" t="e">
        <f t="shared" si="1857"/>
        <v>#N/A</v>
      </c>
      <c r="AX793" s="304">
        <f>IF(AND('General price list'!$J793="F4",'General price list'!$AB793+0&gt;0),1,0)</f>
        <v>0</v>
      </c>
      <c r="AY793" s="304">
        <f t="shared" si="1858"/>
        <v>1</v>
      </c>
      <c r="AZ793" s="304">
        <f t="shared" si="1859"/>
        <v>0</v>
      </c>
    </row>
    <row r="794" spans="1:52" ht="15" customHeight="1">
      <c r="A794" s="725" t="str">
        <f>Kat.!C791</f>
        <v/>
      </c>
      <c r="B794" s="726">
        <f>IF(AND('General price list'!$J794="F4",$AI$1=FALSE),0,IF(AC794="SKLADEM",1,IF(AC794=$V$3,1,0)))</f>
        <v>0</v>
      </c>
      <c r="C794" s="727" t="s">
        <v>2580</v>
      </c>
      <c r="D794" s="728" t="s">
        <v>2581</v>
      </c>
      <c r="E794" s="729" t="s">
        <v>1078</v>
      </c>
      <c r="F794" s="725">
        <f>IFERROR(ROUND(IF($AL$3=2,VLOOKUP(C794,[2]List1!$A:$D,2,FALSE)*1.08,VLOOKUP(C794,[2]List1!$A:$D,2,FALSE)),0),"NEUVEDENO!")</f>
        <v>2041</v>
      </c>
      <c r="G794" s="730">
        <f t="shared" si="1870"/>
        <v>2041</v>
      </c>
      <c r="H794" s="731">
        <f t="shared" si="1871"/>
        <v>82.937473840764937</v>
      </c>
      <c r="I794" s="732">
        <v>2</v>
      </c>
      <c r="J794" s="729" t="s">
        <v>137</v>
      </c>
      <c r="K794" s="729" t="s">
        <v>12734</v>
      </c>
      <c r="L794" s="729" t="s">
        <v>24</v>
      </c>
      <c r="M794" s="729" t="s">
        <v>138</v>
      </c>
      <c r="N794" s="729">
        <f>IFERROR(VLOOKUP(C794,[3]List1!$A:$D,4,FALSE),"N/A!")</f>
        <v>7.6160000000000019E-2</v>
      </c>
      <c r="O794" s="729">
        <f>IFERROR(VLOOKUP(C794,[3]List1!$A:$D,3,FALSE),"N/A!")</f>
        <v>2000</v>
      </c>
      <c r="P794" s="729">
        <f>IFERROR(VLOOKUP(C794,[3]List1!$A:$D,2,FALSE),"N/A!")</f>
        <v>27000</v>
      </c>
      <c r="Q794" s="729" t="s">
        <v>14343</v>
      </c>
      <c r="R794" s="729" t="s">
        <v>24</v>
      </c>
      <c r="S794" s="729" t="str">
        <f>IF($W$17=$AF$1,"design",IFERROR(VLOOKUP("design",Jazyky_ceník!$A:$Q,MATCH($W$17,Jazyky_ceník!$A$1:$Q$1,0),FALSE),"!!!"))</f>
        <v>design</v>
      </c>
      <c r="T794" s="729">
        <v>50</v>
      </c>
      <c r="U794" s="729">
        <v>60</v>
      </c>
      <c r="V794" s="729">
        <v>37</v>
      </c>
      <c r="W794" s="729" t="str">
        <f>IFERROR(VLOOKUP('General price list'!$C794,Popisy!A:P,MATCH($W$17,Popisy!$A$7:$P$7,0),FALSE),"---------------")</f>
        <v>7 různobarevných efektů</v>
      </c>
      <c r="X794" s="729" t="str">
        <f t="shared" si="1872"/>
        <v/>
      </c>
      <c r="Y794" s="729" t="str">
        <f t="shared" si="1873"/>
        <v/>
      </c>
      <c r="Z794" s="729" t="str">
        <f>HYPERLINK("https://www.klasekpyrotechnics.cz/c3545no")</f>
        <v>https://www.klasekpyrotechnics.cz/c3545no</v>
      </c>
      <c r="AA794" s="729">
        <f>IFERROR(IF(VLOOKUP(C794,[4]List1!$A:$D,4,FALSE)=0,"",VLOOKUP(C794,[4]List1!$A:$D,4,FALSE)),"")</f>
        <v>20</v>
      </c>
      <c r="AB794" s="720"/>
      <c r="AC794" s="733" t="str">
        <f>IFERROR(IF(VLOOKUP(C794,[1]List1!$A:$D,2,FALSE)="VYPRODÁNO",$V$9,IF(VLOOKUP(C794,[1]List1!$A:$D,2,FALSE)="DOCHÁZÍ",$V$3,VLOOKUP(C794,[1]List1!$A:$D,2,FALSE))),"OFFLINE!")</f>
        <v>15.09.2024</v>
      </c>
      <c r="AD794" s="734" t="str">
        <f ca="1">IF(AP794="NE",$V$10,IF(AC794=$V$3,IF(AQ794&lt;1,$V$8,$V$2&amp;" "&amp;AQ794&amp;" "&amp;$V$1),IF(AC794="SKLADEM",$V$6,IFERROR(IF(OR(AC794-TODAY()&gt;45,VLOOKUP(C794,[1]List1!$A:$E,4,FALSE)=0),AC794,DAY(AC794)&amp;"."&amp;MONTH(AC794)&amp;"."&amp;YEAR(AC794)&amp;" "&amp;$V$4&amp;VLOOKUP(C794,[1]List1!$A:$E,4,FALSE)&amp;" "&amp;$V$1),AC794))))</f>
        <v>15.09.2024</v>
      </c>
      <c r="AE794" s="729" t="str">
        <f t="shared" ca="1" si="1874"/>
        <v>15.09.2024</v>
      </c>
      <c r="AF794" s="735">
        <f t="shared" si="1875"/>
        <v>0</v>
      </c>
      <c r="AG794" s="735">
        <f t="shared" si="1876"/>
        <v>0</v>
      </c>
      <c r="AH794" s="736">
        <f t="shared" si="1877"/>
        <v>0</v>
      </c>
      <c r="AI794" s="729">
        <f t="shared" si="1878"/>
        <v>0</v>
      </c>
      <c r="AJ794" s="729">
        <f t="shared" si="1879"/>
        <v>0</v>
      </c>
      <c r="AK794" s="729" t="str">
        <f t="shared" si="1880"/>
        <v/>
      </c>
      <c r="AL794" s="729">
        <f t="shared" si="1881"/>
        <v>0</v>
      </c>
      <c r="AM794" s="729" t="str">
        <f t="shared" si="1882"/>
        <v/>
      </c>
      <c r="AN794" s="729">
        <f t="shared" si="1883"/>
        <v>0</v>
      </c>
      <c r="AO794" s="380"/>
      <c r="AP794" s="322" t="str">
        <f t="shared" si="1852"/>
        <v/>
      </c>
      <c r="AQ794" s="323" t="str">
        <f>IF(AC794=$V$3,IF(VLOOKUP(C794,[1]List1!$A:$E,5,FALSE)=0,1,VLOOKUP(C794,[1]List1!$A:$E,5,FALSE)),"")</f>
        <v/>
      </c>
      <c r="AR794" s="304" t="str">
        <f t="shared" si="1853"/>
        <v/>
      </c>
      <c r="AS794" s="423" t="str">
        <f t="shared" si="1854"/>
        <v/>
      </c>
      <c r="AT794" s="304" t="str">
        <f t="shared" si="1855"/>
        <v/>
      </c>
      <c r="AU794" s="342" t="e">
        <f t="shared" si="1856"/>
        <v>#N/A</v>
      </c>
      <c r="AV794" s="304" t="e">
        <f t="shared" si="1857"/>
        <v>#N/A</v>
      </c>
      <c r="AX794" s="304">
        <f>IF(AND('General price list'!$J794="F4",'General price list'!$AB794+0&gt;0),1,0)</f>
        <v>0</v>
      </c>
      <c r="AY794" s="304">
        <f t="shared" si="1858"/>
        <v>1</v>
      </c>
      <c r="AZ794" s="304">
        <f t="shared" si="1859"/>
        <v>0</v>
      </c>
    </row>
    <row r="795" spans="1:52" ht="15" customHeight="1">
      <c r="A795" s="773" t="str">
        <f>Kat.!C792</f>
        <v xml:space="preserve">                                                               Baterie 36ran, 45mm moždíř-1.3G</v>
      </c>
      <c r="B795" s="774"/>
      <c r="C795" s="774"/>
      <c r="D795" s="774"/>
      <c r="E795" s="774"/>
      <c r="F795" s="774"/>
      <c r="G795" s="774"/>
      <c r="H795" s="774"/>
      <c r="I795" s="774"/>
      <c r="J795" s="774"/>
      <c r="K795" s="774"/>
      <c r="L795" s="774"/>
      <c r="M795" s="774"/>
      <c r="N795" s="774"/>
      <c r="O795" s="774"/>
      <c r="P795" s="774"/>
      <c r="Q795" s="774"/>
      <c r="R795" s="774"/>
      <c r="S795" s="774"/>
      <c r="T795" s="774"/>
      <c r="U795" s="774"/>
      <c r="V795" s="774"/>
      <c r="W795" s="774"/>
      <c r="X795" s="774"/>
      <c r="Y795" s="774"/>
      <c r="Z795" s="774"/>
      <c r="AA795" s="774" t="str">
        <f>IFERROR(IF(VLOOKUP(C795,[4]List1!$A:$D,4,FALSE)=0,"",VLOOKUP(C795,[4]List1!$A:$D,4,FALSE)),"")</f>
        <v/>
      </c>
      <c r="AB795" s="774"/>
      <c r="AC795" s="775" t="str">
        <f>IFERROR(IF(VLOOKUP(C795,[1]List1!$A:$D,2,FALSE)="VYPRODÁNO",$V$9,IF(VLOOKUP(C795,[1]List1!$A:$D,2,FALSE)="DOCHÁZÍ",$V$3,VLOOKUP(C795,[1]List1!$A:$D,2,FALSE))),"OFFLINE!")</f>
        <v>OFFLINE!</v>
      </c>
      <c r="AD795" s="774"/>
      <c r="AE795" s="774"/>
      <c r="AF795" s="774"/>
      <c r="AG795" s="774"/>
      <c r="AH795" s="774"/>
      <c r="AI795" s="774"/>
      <c r="AJ795" s="774"/>
      <c r="AK795" s="774"/>
      <c r="AL795" s="774"/>
      <c r="AM795" s="774"/>
      <c r="AN795" s="774"/>
      <c r="AO795" s="380"/>
      <c r="AP795" s="322" t="str">
        <f t="shared" si="1852"/>
        <v/>
      </c>
      <c r="AQ795" s="323" t="str">
        <f>IF(AC795=$V$3,IF(VLOOKUP(C795,[1]List1!$A:$E,5,FALSE)=0,1,VLOOKUP(C795,[1]List1!$A:$E,5,FALSE)),"")</f>
        <v/>
      </c>
      <c r="AR795" s="304" t="str">
        <f t="shared" si="1853"/>
        <v/>
      </c>
      <c r="AS795" s="423" t="str">
        <f t="shared" si="1854"/>
        <v/>
      </c>
      <c r="AT795" s="304" t="str">
        <f t="shared" si="1855"/>
        <v/>
      </c>
      <c r="AU795" s="342" t="e">
        <f t="shared" si="1856"/>
        <v>#N/A</v>
      </c>
      <c r="AV795" s="304" t="e">
        <f t="shared" si="1857"/>
        <v>#N/A</v>
      </c>
      <c r="AX795" s="304">
        <f>IF(AND('General price list'!$J795="F4",'General price list'!$AB795+0&gt;0),1,0)</f>
        <v>0</v>
      </c>
      <c r="AY795" s="304">
        <f t="shared" si="1858"/>
        <v>0</v>
      </c>
      <c r="AZ795" s="304">
        <f t="shared" si="1859"/>
        <v>0</v>
      </c>
    </row>
    <row r="796" spans="1:52" ht="15" customHeight="1">
      <c r="A796" s="725" t="str">
        <f>Kat.!C793</f>
        <v/>
      </c>
      <c r="B796" s="741">
        <f>IF(AND('General price list'!$J796="F4",$AI$1=FALSE),0,IF(AC796="SKLADEM",1,IF(AC796=$V$3,1,0)))</f>
        <v>0</v>
      </c>
      <c r="C796" s="727" t="s">
        <v>2582</v>
      </c>
      <c r="D796" s="728" t="s">
        <v>1622</v>
      </c>
      <c r="E796" s="729" t="s">
        <v>1078</v>
      </c>
      <c r="F796" s="725">
        <f>IFERROR(ROUND(IF($AL$3=2,VLOOKUP(C796,[2]List1!$A:$D,2,FALSE)*1.08,VLOOKUP(C796,[2]List1!$A:$D,2,FALSE)),0),"NEUVEDENO!")</f>
        <v>2100</v>
      </c>
      <c r="G796" s="730">
        <f t="shared" ref="G796:G797" si="1884">(F796)*$B$19</f>
        <v>2100</v>
      </c>
      <c r="H796" s="731">
        <f t="shared" ref="H796:H797" si="1885">G796/$F$19</f>
        <v>85.334980433908058</v>
      </c>
      <c r="I796" s="742">
        <v>2</v>
      </c>
      <c r="J796" s="729" t="s">
        <v>137</v>
      </c>
      <c r="K796" s="729"/>
      <c r="L796" s="729" t="s">
        <v>24</v>
      </c>
      <c r="M796" s="729" t="s">
        <v>138</v>
      </c>
      <c r="N796" s="729">
        <f>IFERROR(VLOOKUP(C796,[3]List1!$A:$D,4,FALSE),"N/A!")</f>
        <v>7.4052000000000007E-2</v>
      </c>
      <c r="O796" s="729">
        <f>IFERROR(VLOOKUP(C796,[3]List1!$A:$D,3,FALSE),"N/A!")</f>
        <v>2000</v>
      </c>
      <c r="P796" s="729">
        <f>IFERROR(VLOOKUP(C796,[3]List1!$A:$D,2,FALSE),"N/A!")</f>
        <v>27800</v>
      </c>
      <c r="Q796" s="729" t="s">
        <v>14255</v>
      </c>
      <c r="R796" s="729" t="s">
        <v>24</v>
      </c>
      <c r="S796" s="729" t="str">
        <f>IF($W$17=$AF$1,"červená fólie",IFERROR(VLOOKUP("červená fólie",Jazyky_ceník!$A:$Q,MATCH($W$17,Jazyky_ceník!$A$1:$Q$1,0),FALSE),"!!!"))</f>
        <v>červená fólie</v>
      </c>
      <c r="T796" s="729">
        <v>50</v>
      </c>
      <c r="U796" s="729">
        <v>60</v>
      </c>
      <c r="V796" s="729">
        <v>37</v>
      </c>
      <c r="W796" s="729" t="str">
        <f>IFERROR(VLOOKUP('General price list'!$C796,Popisy!A:P,MATCH($W$17,Popisy!$A$7:$P$7,0),FALSE),"---------------")</f>
        <v>6 různobarevných efektů</v>
      </c>
      <c r="X796" s="729" t="str">
        <f t="shared" ref="X796:X797" si="1886">IF(AB796&lt;0.0001,"",AB796)</f>
        <v/>
      </c>
      <c r="Y796" s="729" t="str">
        <f t="shared" ref="Y796:Y797" si="1887">IF($AL$3=2,IF(OR(AB796&lt;&gt;"",AB796&lt;&gt;0),AU796,""),IF(C796="","",IF(AB796&lt;0.0001,"",IF(B796=0,"",IF(AQ796&lt;AB796,"",AB796)))))</f>
        <v/>
      </c>
      <c r="Z796" s="729" t="str">
        <f>HYPERLINK("https://www.klasekpyrotechnics.cz/c3645ba")</f>
        <v>https://www.klasekpyrotechnics.cz/c3645ba</v>
      </c>
      <c r="AA796" s="729">
        <f>IFERROR(IF(VLOOKUP(C796,[4]List1!$A:$D,4,FALSE)=0,"",VLOOKUP(C796,[4]List1!$A:$D,4,FALSE)),"")</f>
        <v>15</v>
      </c>
      <c r="AB796" s="720"/>
      <c r="AC796" s="743" t="str">
        <f>IFERROR(IF(VLOOKUP(C796,[1]List1!$A:$D,2,FALSE)="VYPRODÁNO",$V$9,IF(VLOOKUP(C796,[1]List1!$A:$D,2,FALSE)="DOCHÁZÍ",$V$3,VLOOKUP(C796,[1]List1!$A:$D,2,FALSE))),"OFFLINE!")</f>
        <v>15.09.2024</v>
      </c>
      <c r="AD796" s="744" t="str">
        <f ca="1">IF(AP796="NE",$V$10,IF(AC796=$V$3,IF(AQ796&lt;1,$V$8,$V$2&amp;" "&amp;AQ796&amp;" "&amp;$V$1),IF(AC796="SKLADEM",$V$6,IFERROR(IF(OR(AC796-TODAY()&gt;45,VLOOKUP(C796,[1]List1!$A:$E,4,FALSE)=0),AC796,DAY(AC796)&amp;"."&amp;MONTH(AC796)&amp;"."&amp;YEAR(AC796)&amp;" "&amp;$V$4&amp;VLOOKUP(C796,[1]List1!$A:$E,4,FALSE)&amp;" "&amp;$V$1),AC796))))</f>
        <v>15.09.2024</v>
      </c>
      <c r="AE796" s="729" t="str">
        <f t="shared" ref="AE796:AE797" ca="1" si="1888">IFERROR(IF(AV796&lt;&gt;"",AV796,AD796),AD796)</f>
        <v>15.09.2024</v>
      </c>
      <c r="AF796" s="735">
        <f t="shared" ref="AF796:AF797" si="1889">IFERROR(IF(AB796=Y796,G796*I796*Y796,0),0)</f>
        <v>0</v>
      </c>
      <c r="AG796" s="735">
        <f t="shared" ref="AG796:AG797" si="1890">IF($W$17=$AF$8,AH796*1.23,AF796*1.21)</f>
        <v>0</v>
      </c>
      <c r="AH796" s="736">
        <f t="shared" ref="AH796:AH797" si="1891">IFERROR(IF(Y796=AB796,H796*I796*Y796,0),0)</f>
        <v>0</v>
      </c>
      <c r="AI796" s="729">
        <f t="shared" ref="AI796:AI797" si="1892">IFERROR(IF(Y796=AB796,(P796*Y796)/1000,1),0)</f>
        <v>0</v>
      </c>
      <c r="AJ796" s="729">
        <f t="shared" ref="AJ796:AJ797" si="1893">IFERROR(IF(Y796=AB796,N796*Y796,0.1),0)</f>
        <v>0</v>
      </c>
      <c r="AK796" s="729" t="str">
        <f t="shared" ref="AK796:AK797" si="1894">IFERROR(IF(Y796=AB796,IF(M796="1.1G",(O796/1000)*Y796,""),""),0)</f>
        <v/>
      </c>
      <c r="AL796" s="729">
        <f t="shared" ref="AL796:AL797" si="1895">IFERROR(IF(Y796=AB796,IF(M796="1.3G",(O796/1000)*AB796,""),""),0)</f>
        <v>0</v>
      </c>
      <c r="AM796" s="729" t="str">
        <f t="shared" ref="AM796:AM797" si="1896">IFERROR(IF(Y796=AB796,IF(M796="1.4G",(O796/1000)*AB796,""),""),0)</f>
        <v/>
      </c>
      <c r="AN796" s="729">
        <f t="shared" ref="AN796:AN797" si="1897">SUM(AK796:AM796)</f>
        <v>0</v>
      </c>
      <c r="AO796" s="380"/>
      <c r="AP796" s="322" t="str">
        <f t="shared" si="1852"/>
        <v/>
      </c>
      <c r="AQ796" s="323" t="str">
        <f>IF(AC796=$V$3,IF(VLOOKUP(C796,[1]List1!$A:$E,5,FALSE)=0,1,VLOOKUP(C796,[1]List1!$A:$E,5,FALSE)),"")</f>
        <v/>
      </c>
      <c r="AR796" s="304" t="str">
        <f t="shared" si="1853"/>
        <v/>
      </c>
      <c r="AS796" s="423" t="str">
        <f t="shared" si="1854"/>
        <v/>
      </c>
      <c r="AT796" s="304" t="str">
        <f t="shared" si="1855"/>
        <v/>
      </c>
      <c r="AU796" s="342" t="e">
        <f t="shared" si="1856"/>
        <v>#N/A</v>
      </c>
      <c r="AV796" s="304" t="e">
        <f t="shared" si="1857"/>
        <v>#N/A</v>
      </c>
      <c r="AX796" s="304">
        <f>IF(AND('General price list'!$J796="F4",'General price list'!$AB796+0&gt;0),1,0)</f>
        <v>0</v>
      </c>
      <c r="AY796" s="304">
        <f t="shared" si="1858"/>
        <v>1</v>
      </c>
      <c r="AZ796" s="304">
        <f t="shared" si="1859"/>
        <v>0</v>
      </c>
    </row>
    <row r="797" spans="1:52" ht="15" customHeight="1">
      <c r="A797" s="712" t="str">
        <f>Kat.!C794</f>
        <v/>
      </c>
      <c r="B797" s="745">
        <f>IF(AND('General price list'!$J797="F4",$AI$1=FALSE),0,IF(AC797="SKLADEM",1,IF(AC797=$V$3,1,0)))</f>
        <v>0</v>
      </c>
      <c r="C797" s="714" t="s">
        <v>2583</v>
      </c>
      <c r="D797" s="715" t="s">
        <v>14608</v>
      </c>
      <c r="E797" s="716" t="s">
        <v>1078</v>
      </c>
      <c r="F797" s="712">
        <f>IFERROR(ROUND(IF($AL$3=2,VLOOKUP(C797,[2]List1!$A:$D,2,FALSE)*1.08,VLOOKUP(C797,[2]List1!$A:$D,2,FALSE)),0),"NEUVEDENO!")</f>
        <v>2100</v>
      </c>
      <c r="G797" s="717">
        <f t="shared" si="1884"/>
        <v>2100</v>
      </c>
      <c r="H797" s="718">
        <f t="shared" si="1885"/>
        <v>85.334980433908058</v>
      </c>
      <c r="I797" s="746">
        <v>2</v>
      </c>
      <c r="J797" s="716" t="s">
        <v>137</v>
      </c>
      <c r="K797" s="716" t="s">
        <v>12734</v>
      </c>
      <c r="L797" s="716" t="s">
        <v>24</v>
      </c>
      <c r="M797" s="716" t="s">
        <v>138</v>
      </c>
      <c r="N797" s="716">
        <f>IFERROR(VLOOKUP(C797,[3]List1!$A:$D,4,FALSE),"N/A!")</f>
        <v>7.4052000000000007E-2</v>
      </c>
      <c r="O797" s="716">
        <f>IFERROR(VLOOKUP(C797,[3]List1!$A:$D,3,FALSE),"N/A!")</f>
        <v>2000</v>
      </c>
      <c r="P797" s="716">
        <f>IFERROR(VLOOKUP(C797,[3]List1!$A:$D,2,FALSE),"N/A!")</f>
        <v>27800</v>
      </c>
      <c r="Q797" s="716" t="s">
        <v>14255</v>
      </c>
      <c r="R797" s="716" t="s">
        <v>24</v>
      </c>
      <c r="S797" s="716" t="str">
        <f>IF($W$17=$AF$1,"červená fólie",IFERROR(VLOOKUP("červená fólie",Jazyky_ceník!$A:$Q,MATCH($W$17,Jazyky_ceník!$A$1:$Q$1,0),FALSE),"!!!"))</f>
        <v>červená fólie</v>
      </c>
      <c r="T797" s="716">
        <v>50</v>
      </c>
      <c r="U797" s="716">
        <v>60</v>
      </c>
      <c r="V797" s="716">
        <v>37</v>
      </c>
      <c r="W797" s="716" t="str">
        <f>IFERROR(VLOOKUP('General price list'!$C797,Popisy!A:P,MATCH($W$17,Popisy!$A$7:$P$7,0),FALSE),"---------------")</f>
        <v>6 různobarevných efektů</v>
      </c>
      <c r="X797" s="716" t="str">
        <f t="shared" si="1886"/>
        <v/>
      </c>
      <c r="Y797" s="716" t="str">
        <f t="shared" si="1887"/>
        <v/>
      </c>
      <c r="Z797" s="716" t="str">
        <f>HYPERLINK("https://www.klasekpyrotechnics.cz/c3645se")</f>
        <v>https://www.klasekpyrotechnics.cz/c3645se</v>
      </c>
      <c r="AA797" s="716">
        <f>IFERROR(IF(VLOOKUP(C797,[4]List1!$A:$D,4,FALSE)=0,"",VLOOKUP(C797,[4]List1!$A:$D,4,FALSE)),"")</f>
        <v>15</v>
      </c>
      <c r="AB797" s="720"/>
      <c r="AC797" s="747" t="str">
        <f>IFERROR(IF(VLOOKUP(C797,[1]List1!$A:$D,2,FALSE)="VYPRODÁNO",$V$9,IF(VLOOKUP(C797,[1]List1!$A:$D,2,FALSE)="DOCHÁZÍ",$V$3,VLOOKUP(C797,[1]List1!$A:$D,2,FALSE))),"OFFLINE!")</f>
        <v>15.09.2024</v>
      </c>
      <c r="AD797" s="748" t="str">
        <f ca="1">IF(AP797="NE",$V$10,IF(AC797=$V$3,IF(AQ797&lt;1,$V$8,$V$2&amp;" "&amp;AQ797&amp;" "&amp;$V$1),IF(AC797="SKLADEM",$V$6,IFERROR(IF(OR(AC797-TODAY()&gt;45,VLOOKUP(C797,[1]List1!$A:$E,4,FALSE)=0),AC797,DAY(AC797)&amp;"."&amp;MONTH(AC797)&amp;"."&amp;YEAR(AC797)&amp;" "&amp;$V$4&amp;VLOOKUP(C797,[1]List1!$A:$E,4,FALSE)&amp;" "&amp;$V$1),AC797))))</f>
        <v>15.09.2024</v>
      </c>
      <c r="AE797" s="716" t="str">
        <f t="shared" ca="1" si="1888"/>
        <v>15.09.2024</v>
      </c>
      <c r="AF797" s="723">
        <f t="shared" si="1889"/>
        <v>0</v>
      </c>
      <c r="AG797" s="723">
        <f t="shared" si="1890"/>
        <v>0</v>
      </c>
      <c r="AH797" s="724">
        <f t="shared" si="1891"/>
        <v>0</v>
      </c>
      <c r="AI797" s="716">
        <f t="shared" si="1892"/>
        <v>0</v>
      </c>
      <c r="AJ797" s="716">
        <f t="shared" si="1893"/>
        <v>0</v>
      </c>
      <c r="AK797" s="716" t="str">
        <f t="shared" si="1894"/>
        <v/>
      </c>
      <c r="AL797" s="716">
        <f t="shared" si="1895"/>
        <v>0</v>
      </c>
      <c r="AM797" s="716" t="str">
        <f t="shared" si="1896"/>
        <v/>
      </c>
      <c r="AN797" s="716">
        <f t="shared" si="1897"/>
        <v>0</v>
      </c>
      <c r="AO797" s="380"/>
      <c r="AP797" s="322" t="str">
        <f t="shared" si="1852"/>
        <v/>
      </c>
      <c r="AQ797" s="323" t="str">
        <f>IF(AC797=$V$3,IF(VLOOKUP(C797,[1]List1!$A:$E,5,FALSE)=0,1,VLOOKUP(C797,[1]List1!$A:$E,5,FALSE)),"")</f>
        <v/>
      </c>
      <c r="AR797" s="304" t="str">
        <f t="shared" si="1853"/>
        <v/>
      </c>
      <c r="AS797" s="423" t="str">
        <f t="shared" si="1854"/>
        <v/>
      </c>
      <c r="AT797" s="304" t="str">
        <f t="shared" si="1855"/>
        <v/>
      </c>
      <c r="AU797" s="342" t="e">
        <f t="shared" si="1856"/>
        <v>#N/A</v>
      </c>
      <c r="AV797" s="304" t="e">
        <f t="shared" si="1857"/>
        <v>#N/A</v>
      </c>
      <c r="AX797" s="304">
        <f>IF(AND('General price list'!$J797="F4",'General price list'!$AB797+0&gt;0),1,0)</f>
        <v>0</v>
      </c>
      <c r="AY797" s="304">
        <f t="shared" si="1858"/>
        <v>1</v>
      </c>
      <c r="AZ797" s="304">
        <f t="shared" si="1859"/>
        <v>0</v>
      </c>
    </row>
    <row r="798" spans="1:52" ht="15" customHeight="1">
      <c r="A798" s="773" t="str">
        <f>Kat.!C795</f>
        <v xml:space="preserve">                                                               Baterie 36ran, 50mm moždíř-1.3G</v>
      </c>
      <c r="B798" s="774"/>
      <c r="C798" s="774"/>
      <c r="D798" s="774"/>
      <c r="E798" s="774"/>
      <c r="F798" s="774"/>
      <c r="G798" s="774"/>
      <c r="H798" s="774"/>
      <c r="I798" s="774"/>
      <c r="J798" s="774"/>
      <c r="K798" s="774"/>
      <c r="L798" s="774"/>
      <c r="M798" s="774"/>
      <c r="N798" s="774"/>
      <c r="O798" s="774"/>
      <c r="P798" s="774"/>
      <c r="Q798" s="774"/>
      <c r="R798" s="774"/>
      <c r="S798" s="774"/>
      <c r="T798" s="774"/>
      <c r="U798" s="774"/>
      <c r="V798" s="774"/>
      <c r="W798" s="774"/>
      <c r="X798" s="774"/>
      <c r="Y798" s="774"/>
      <c r="Z798" s="774"/>
      <c r="AA798" s="774" t="str">
        <f>IFERROR(IF(VLOOKUP(C798,[4]List1!$A:$D,4,FALSE)=0,"",VLOOKUP(C798,[4]List1!$A:$D,4,FALSE)),"")</f>
        <v/>
      </c>
      <c r="AB798" s="774"/>
      <c r="AC798" s="775" t="str">
        <f>IFERROR(IF(VLOOKUP(C798,[1]List1!$A:$D,2,FALSE)="VYPRODÁNO",$V$9,IF(VLOOKUP(C798,[1]List1!$A:$D,2,FALSE)="DOCHÁZÍ",$V$3,VLOOKUP(C798,[1]List1!$A:$D,2,FALSE))),"OFFLINE!")</f>
        <v>OFFLINE!</v>
      </c>
      <c r="AD798" s="774"/>
      <c r="AE798" s="774"/>
      <c r="AF798" s="774"/>
      <c r="AG798" s="774"/>
      <c r="AH798" s="774"/>
      <c r="AI798" s="774"/>
      <c r="AJ798" s="774"/>
      <c r="AK798" s="774"/>
      <c r="AL798" s="774"/>
      <c r="AM798" s="774"/>
      <c r="AN798" s="774"/>
      <c r="AO798" s="380"/>
      <c r="AP798" s="322" t="str">
        <f t="shared" si="1852"/>
        <v/>
      </c>
      <c r="AQ798" s="323" t="str">
        <f>IF(AC798=$V$3,IF(VLOOKUP(C798,[1]List1!$A:$E,5,FALSE)=0,1,VLOOKUP(C798,[1]List1!$A:$E,5,FALSE)),"")</f>
        <v/>
      </c>
      <c r="AR798" s="304" t="str">
        <f t="shared" si="1853"/>
        <v/>
      </c>
      <c r="AS798" s="423" t="str">
        <f t="shared" si="1854"/>
        <v/>
      </c>
      <c r="AT798" s="304" t="str">
        <f t="shared" si="1855"/>
        <v/>
      </c>
      <c r="AU798" s="342" t="e">
        <f t="shared" si="1856"/>
        <v>#N/A</v>
      </c>
      <c r="AV798" s="304" t="e">
        <f t="shared" si="1857"/>
        <v>#N/A</v>
      </c>
      <c r="AX798" s="304">
        <f>IF(AND('General price list'!$J798="F4",'General price list'!$AB798+0&gt;0),1,0)</f>
        <v>0</v>
      </c>
      <c r="AY798" s="304">
        <f t="shared" si="1858"/>
        <v>0</v>
      </c>
      <c r="AZ798" s="304">
        <f t="shared" si="1859"/>
        <v>0</v>
      </c>
    </row>
    <row r="799" spans="1:52" ht="15" customHeight="1">
      <c r="A799" s="712" t="str">
        <f>Kat.!C796</f>
        <v/>
      </c>
      <c r="B799" s="713">
        <f>IF(AND('General price list'!$J799="F4",$AI$1=FALSE),0,IF(AC799="SKLADEM",1,IF(AC799=$V$3,1,0)))</f>
        <v>0</v>
      </c>
      <c r="C799" s="714" t="s">
        <v>1618</v>
      </c>
      <c r="D799" s="715" t="s">
        <v>1619</v>
      </c>
      <c r="E799" s="716" t="s">
        <v>1078</v>
      </c>
      <c r="F799" s="712">
        <f>IFERROR(ROUND(IF($AL$3=2,VLOOKUP(C799,[2]List1!$A:$D,2,FALSE)*1.08,VLOOKUP(C799,[2]List1!$A:$D,2,FALSE)),0),"NEUVEDENO!")</f>
        <v>3064</v>
      </c>
      <c r="G799" s="717">
        <f>(F799)*$B$19</f>
        <v>3064</v>
      </c>
      <c r="H799" s="718">
        <f>G799/$F$19</f>
        <v>124.50780002356872</v>
      </c>
      <c r="I799" s="719">
        <v>2</v>
      </c>
      <c r="J799" s="716" t="s">
        <v>709</v>
      </c>
      <c r="K799" s="716"/>
      <c r="L799" s="716" t="s">
        <v>24</v>
      </c>
      <c r="M799" s="716" t="s">
        <v>138</v>
      </c>
      <c r="N799" s="716">
        <f>IFERROR(VLOOKUP(C799,[3]List1!$A:$D,4,FALSE),"N/A!")</f>
        <v>7.6449249999999982E-2</v>
      </c>
      <c r="O799" s="716">
        <f>IFERROR(VLOOKUP(C799,[3]List1!$A:$D,3,FALSE),"N/A!")</f>
        <v>3600</v>
      </c>
      <c r="P799" s="716">
        <f>IFERROR(VLOOKUP(C799,[3]List1!$A:$D,2,FALSE),"N/A!")</f>
        <v>29500</v>
      </c>
      <c r="Q799" s="716" t="s">
        <v>14256</v>
      </c>
      <c r="R799" s="716" t="s">
        <v>24</v>
      </c>
      <c r="S799" s="716" t="str">
        <f>IF($W$17=$AF$1,"design",IFERROR(VLOOKUP("design",Jazyky_ceník!$A:$Q,MATCH($W$17,Jazyky_ceník!$A$1:$Q$1,0),FALSE),"!!!"))</f>
        <v>design</v>
      </c>
      <c r="T799" s="716">
        <v>35</v>
      </c>
      <c r="U799" s="716"/>
      <c r="V799" s="716"/>
      <c r="W799" s="716" t="str">
        <f>IFERROR(VLOOKUP('General price list'!$C799,Popisy!A:P,MATCH($W$17,Popisy!$A$7:$P$7,0),FALSE),"---------------")</f>
        <v>stříbrná stopa s titanovou explozí</v>
      </c>
      <c r="X799" s="716" t="str">
        <f>IF(AB799&lt;0.0001,"",AB799)</f>
        <v/>
      </c>
      <c r="Y799" s="716" t="str">
        <f>IF($AL$3=2,IF(OR(AB799&lt;&gt;"",AB799&lt;&gt;0),AU799,""),IF(C799="","",IF(AB799&lt;0.0001,"",IF(B799=0,"",IF(AQ799&lt;AB799,"",AB799)))))</f>
        <v/>
      </c>
      <c r="Z799" s="716" t="str">
        <f>HYPERLINK("https://www.klasekpyrotechnics.cz/c365du")</f>
        <v>https://www.klasekpyrotechnics.cz/c365du</v>
      </c>
      <c r="AA799" s="716">
        <f>IFERROR(IF(VLOOKUP(C799,[4]List1!$A:$D,4,FALSE)=0,"",VLOOKUP(C799,[4]List1!$A:$D,4,FALSE)),"")</f>
        <v>15</v>
      </c>
      <c r="AB799" s="720"/>
      <c r="AC799" s="721" t="str">
        <f>IFERROR(IF(VLOOKUP(C799,[1]List1!$A:$D,2,FALSE)="VYPRODÁNO",$V$9,IF(VLOOKUP(C799,[1]List1!$A:$D,2,FALSE)="DOCHÁZÍ",$V$3,VLOOKUP(C799,[1]List1!$A:$D,2,FALSE))),"OFFLINE!")</f>
        <v>20.06.2024</v>
      </c>
      <c r="AD799" s="722" t="str">
        <f ca="1">IF(AP799="NE",$V$10,IF(AC799=$V$3,IF(AQ799&lt;1,$V$8,$V$2&amp;" "&amp;AQ799&amp;" "&amp;$V$1),IF(AC799="SKLADEM",$V$6,IFERROR(IF(OR(AC799-TODAY()&gt;45,VLOOKUP(C799,[1]List1!$A:$E,4,FALSE)=0),AC799,DAY(AC799)&amp;"."&amp;MONTH(AC799)&amp;"."&amp;YEAR(AC799)&amp;" "&amp;$V$4&amp;VLOOKUP(C799,[1]List1!$A:$E,4,FALSE)&amp;" "&amp;$V$1),AC799))))</f>
        <v>20.06.2024</v>
      </c>
      <c r="AE799" s="716" t="str">
        <f t="shared" ref="AE799" ca="1" si="1898">IFERROR(IF(AV799&lt;&gt;"",AV799,AD799),AD799)</f>
        <v>20.06.2024</v>
      </c>
      <c r="AF799" s="723">
        <f t="shared" ref="AF799" si="1899">IFERROR(IF(AB799=Y799,G799*I799*Y799,0),0)</f>
        <v>0</v>
      </c>
      <c r="AG799" s="723">
        <f t="shared" ref="AG799" si="1900">IF($W$17=$AF$8,AH799*1.23,AF799*1.21)</f>
        <v>0</v>
      </c>
      <c r="AH799" s="724">
        <f t="shared" ref="AH799" si="1901">IFERROR(IF(Y799=AB799,H799*I799*Y799,0),0)</f>
        <v>0</v>
      </c>
      <c r="AI799" s="716">
        <f t="shared" ref="AI799" si="1902">IFERROR(IF(Y799=AB799,(P799*Y799)/1000,1),0)</f>
        <v>0</v>
      </c>
      <c r="AJ799" s="716">
        <f t="shared" ref="AJ799" si="1903">IFERROR(IF(Y799=AB799,N799*Y799,0.1),0)</f>
        <v>0</v>
      </c>
      <c r="AK799" s="716" t="str">
        <f t="shared" ref="AK799" si="1904">IFERROR(IF(Y799=AB799,IF(M799="1.1G",(O799/1000)*Y799,""),""),0)</f>
        <v/>
      </c>
      <c r="AL799" s="716">
        <f t="shared" ref="AL799" si="1905">IFERROR(IF(Y799=AB799,IF(M799="1.3G",(O799/1000)*AB799,""),""),0)</f>
        <v>0</v>
      </c>
      <c r="AM799" s="716" t="str">
        <f t="shared" ref="AM799" si="1906">IFERROR(IF(Y799=AB799,IF(M799="1.4G",(O799/1000)*AB799,""),""),0)</f>
        <v/>
      </c>
      <c r="AN799" s="716">
        <f t="shared" ref="AN799" si="1907">SUM(AK799:AM799)</f>
        <v>0</v>
      </c>
      <c r="AO799" s="380"/>
      <c r="AP799" s="322" t="str">
        <f t="shared" si="1852"/>
        <v/>
      </c>
      <c r="AQ799" s="323" t="str">
        <f>IF(AC799=$V$3,IF(VLOOKUP(C799,[1]List1!$A:$E,5,FALSE)=0,1,VLOOKUP(C799,[1]List1!$A:$E,5,FALSE)),"")</f>
        <v/>
      </c>
      <c r="AR799" s="304" t="str">
        <f t="shared" si="1853"/>
        <v/>
      </c>
      <c r="AS799" s="423" t="str">
        <f t="shared" si="1854"/>
        <v/>
      </c>
      <c r="AT799" s="304" t="str">
        <f t="shared" si="1855"/>
        <v/>
      </c>
      <c r="AU799" s="342" t="e">
        <f t="shared" si="1856"/>
        <v>#N/A</v>
      </c>
      <c r="AV799" s="304" t="e">
        <f t="shared" si="1857"/>
        <v>#N/A</v>
      </c>
      <c r="AX799" s="304">
        <f>IF(AND('General price list'!$J799="F4",'General price list'!$AB799+0&gt;0),1,0)</f>
        <v>0</v>
      </c>
      <c r="AY799" s="304">
        <f t="shared" si="1858"/>
        <v>1</v>
      </c>
      <c r="AZ799" s="304">
        <f t="shared" si="1859"/>
        <v>0</v>
      </c>
    </row>
    <row r="800" spans="1:52" ht="15" customHeight="1">
      <c r="A800" s="773" t="str">
        <f>Kat.!C797</f>
        <v xml:space="preserve">                                                               Složený ohňostroj 45+50mm - 1.3G</v>
      </c>
      <c r="B800" s="774"/>
      <c r="C800" s="774"/>
      <c r="D800" s="774"/>
      <c r="E800" s="774"/>
      <c r="F800" s="774"/>
      <c r="G800" s="774"/>
      <c r="H800" s="774"/>
      <c r="I800" s="774"/>
      <c r="J800" s="774"/>
      <c r="K800" s="774"/>
      <c r="L800" s="774"/>
      <c r="M800" s="774"/>
      <c r="N800" s="774"/>
      <c r="O800" s="774"/>
      <c r="P800" s="774"/>
      <c r="Q800" s="774"/>
      <c r="R800" s="774"/>
      <c r="S800" s="774"/>
      <c r="T800" s="774"/>
      <c r="U800" s="774"/>
      <c r="V800" s="774"/>
      <c r="W800" s="774"/>
      <c r="X800" s="774"/>
      <c r="Y800" s="774"/>
      <c r="Z800" s="774"/>
      <c r="AA800" s="774" t="str">
        <f>IFERROR(IF(VLOOKUP(C800,[4]List1!$A:$D,4,FALSE)=0,"",VLOOKUP(C800,[4]List1!$A:$D,4,FALSE)),"")</f>
        <v/>
      </c>
      <c r="AB800" s="774"/>
      <c r="AC800" s="775" t="str">
        <f>IFERROR(IF(VLOOKUP(C800,[1]List1!$A:$D,2,FALSE)="VYPRODÁNO",$V$9,IF(VLOOKUP(C800,[1]List1!$A:$D,2,FALSE)="DOCHÁZÍ",$V$3,VLOOKUP(C800,[1]List1!$A:$D,2,FALSE))),"OFFLINE!")</f>
        <v>OFFLINE!</v>
      </c>
      <c r="AD800" s="774"/>
      <c r="AE800" s="774"/>
      <c r="AF800" s="774"/>
      <c r="AG800" s="774"/>
      <c r="AH800" s="774"/>
      <c r="AI800" s="774"/>
      <c r="AJ800" s="774"/>
      <c r="AK800" s="774"/>
      <c r="AL800" s="774"/>
      <c r="AM800" s="774"/>
      <c r="AN800" s="774"/>
      <c r="AO800" s="380"/>
      <c r="AP800" s="322" t="str">
        <f t="shared" si="1852"/>
        <v/>
      </c>
      <c r="AQ800" s="323" t="str">
        <f>IF(AC800=$V$3,IF(VLOOKUP(C800,[1]List1!$A:$E,5,FALSE)=0,1,VLOOKUP(C800,[1]List1!$A:$E,5,FALSE)),"")</f>
        <v/>
      </c>
      <c r="AR800" s="304" t="str">
        <f t="shared" si="1853"/>
        <v/>
      </c>
      <c r="AS800" s="423" t="str">
        <f t="shared" si="1854"/>
        <v/>
      </c>
      <c r="AT800" s="304" t="str">
        <f t="shared" si="1855"/>
        <v/>
      </c>
      <c r="AU800" s="342" t="e">
        <f t="shared" si="1856"/>
        <v>#N/A</v>
      </c>
      <c r="AV800" s="304" t="e">
        <f t="shared" si="1857"/>
        <v>#N/A</v>
      </c>
      <c r="AX800" s="304">
        <f>IF(AND('General price list'!$J800="F4",'General price list'!$AB800+0&gt;0),1,0)</f>
        <v>0</v>
      </c>
      <c r="AY800" s="304">
        <f t="shared" si="1858"/>
        <v>0</v>
      </c>
      <c r="AZ800" s="304">
        <f t="shared" si="1859"/>
        <v>0</v>
      </c>
    </row>
    <row r="801" spans="1:52" ht="15" customHeight="1">
      <c r="A801" s="712" t="str">
        <f>Kat.!C798</f>
        <v/>
      </c>
      <c r="B801" s="713">
        <f>IF(AND('General price list'!$J801="F4",$AI$1=FALSE),0,IF(AC801="SKLADEM",1,IF(AC801=$V$3,1,0)))</f>
        <v>0</v>
      </c>
      <c r="C801" s="714" t="s">
        <v>1624</v>
      </c>
      <c r="D801" s="715" t="s">
        <v>1625</v>
      </c>
      <c r="E801" s="716" t="s">
        <v>136</v>
      </c>
      <c r="F801" s="712">
        <f>IFERROR(ROUND(IF($AL$3=2,VLOOKUP(C801,[2]List1!$A:$D,2,FALSE)*1.08,VLOOKUP(C801,[2]List1!$A:$D,2,FALSE)),0),"NEUVEDENO!")</f>
        <v>3880</v>
      </c>
      <c r="G801" s="717">
        <f t="shared" ref="G801:G804" si="1908">(F801)*$B$19</f>
        <v>3880</v>
      </c>
      <c r="H801" s="718">
        <f t="shared" ref="H801:H804" si="1909">G801/$F$19</f>
        <v>157.66653527788728</v>
      </c>
      <c r="I801" s="719">
        <v>1</v>
      </c>
      <c r="J801" s="716" t="s">
        <v>137</v>
      </c>
      <c r="K801" s="716"/>
      <c r="L801" s="716" t="s">
        <v>24</v>
      </c>
      <c r="M801" s="716" t="s">
        <v>138</v>
      </c>
      <c r="N801" s="716">
        <f>IFERROR(VLOOKUP(C801,[3]List1!$A:$D,4,FALSE),"N/A!")</f>
        <v>5.7645000000000002E-2</v>
      </c>
      <c r="O801" s="716">
        <f>IFERROR(VLOOKUP(C801,[3]List1!$A:$D,3,FALSE),"N/A!")</f>
        <v>1998</v>
      </c>
      <c r="P801" s="716">
        <f>IFERROR(VLOOKUP(C801,[3]List1!$A:$D,2,FALSE),"N/A!")</f>
        <v>20500</v>
      </c>
      <c r="Q801" s="716" t="s">
        <v>14257</v>
      </c>
      <c r="R801" s="716" t="s">
        <v>24</v>
      </c>
      <c r="S801" s="716" t="str">
        <f>IF($W$17=$AF$1,"červená fólie",IFERROR(VLOOKUP("červená fólie",Jazyky_ceník!$A:$Q,MATCH($W$17,Jazyky_ceník!$A$1:$Q$1,0),FALSE),"!!!"))</f>
        <v>červená fólie</v>
      </c>
      <c r="T801" s="716">
        <v>70</v>
      </c>
      <c r="U801" s="716">
        <v>60</v>
      </c>
      <c r="V801" s="716">
        <v>40</v>
      </c>
      <c r="W801" s="716" t="str">
        <f>IFERROR(VLOOKUP('General price list'!$C801,Popisy!A:P,MATCH($W$17,Popisy!$A$7:$P$7,0),FALSE),"---------------")</f>
        <v>10 různobarevných efektů</v>
      </c>
      <c r="X801" s="716" t="str">
        <f t="shared" ref="X801:X804" si="1910">IF(AB801&lt;0.0001,"",AB801)</f>
        <v/>
      </c>
      <c r="Y801" s="716" t="str">
        <f t="shared" ref="Y801:Y804" si="1911">IF($AL$3=2,IF(OR(AB801&lt;&gt;"",AB801&lt;&gt;0),AU801,""),IF(C801="","",IF(AB801&lt;0.0001,"",IF(B801=0,"",IF(AQ801&lt;AB801,"",AB801)))))</f>
        <v/>
      </c>
      <c r="Z801" s="716" t="str">
        <f>HYPERLINK("https://www.klasekpyrotechnics.cz/c505x-c")</f>
        <v>https://www.klasekpyrotechnics.cz/c505x-c</v>
      </c>
      <c r="AA801" s="716">
        <f>IFERROR(IF(VLOOKUP(C801,[4]List1!$A:$D,4,FALSE)=0,"",VLOOKUP(C801,[4]List1!$A:$D,4,FALSE)),"")</f>
        <v>20</v>
      </c>
      <c r="AB801" s="720"/>
      <c r="AC801" s="721" t="str">
        <f>IFERROR(IF(VLOOKUP(C801,[1]List1!$A:$D,2,FALSE)="VYPRODÁNO",$V$9,IF(VLOOKUP(C801,[1]List1!$A:$D,2,FALSE)="DOCHÁZÍ",$V$3,VLOOKUP(C801,[1]List1!$A:$D,2,FALSE))),"OFFLINE!")</f>
        <v>15.06.2024</v>
      </c>
      <c r="AD801" s="722" t="str">
        <f ca="1">IF(AP801="NE",$V$10,IF(AC801=$V$3,IF(AQ801&lt;1,$V$8,$V$2&amp;" "&amp;AQ801&amp;" "&amp;$V$1),IF(AC801="SKLADEM",$V$6,IFERROR(IF(OR(AC801-TODAY()&gt;45,VLOOKUP(C801,[1]List1!$A:$E,4,FALSE)=0),AC801,DAY(AC801)&amp;"."&amp;MONTH(AC801)&amp;"."&amp;YEAR(AC801)&amp;" "&amp;$V$4&amp;VLOOKUP(C801,[1]List1!$A:$E,4,FALSE)&amp;" "&amp;$V$1),AC801))))</f>
        <v>15.06.2024</v>
      </c>
      <c r="AE801" s="716" t="str">
        <f t="shared" ref="AE801:AE804" ca="1" si="1912">IFERROR(IF(AV801&lt;&gt;"",AV801,AD801),AD801)</f>
        <v>15.06.2024</v>
      </c>
      <c r="AF801" s="723">
        <f t="shared" ref="AF801:AF804" si="1913">IFERROR(IF(AB801=Y801,G801*I801*Y801,0),0)</f>
        <v>0</v>
      </c>
      <c r="AG801" s="723">
        <f t="shared" ref="AG801:AG804" si="1914">IF($W$17=$AF$8,AH801*1.23,AF801*1.21)</f>
        <v>0</v>
      </c>
      <c r="AH801" s="724">
        <f t="shared" ref="AH801:AH804" si="1915">IFERROR(IF(Y801=AB801,H801*I801*Y801,0),0)</f>
        <v>0</v>
      </c>
      <c r="AI801" s="716">
        <f t="shared" ref="AI801:AI804" si="1916">IFERROR(IF(Y801=AB801,(P801*Y801)/1000,1),0)</f>
        <v>0</v>
      </c>
      <c r="AJ801" s="716">
        <f t="shared" ref="AJ801:AJ804" si="1917">IFERROR(IF(Y801=AB801,N801*Y801,0.1),0)</f>
        <v>0</v>
      </c>
      <c r="AK801" s="716" t="str">
        <f t="shared" ref="AK801:AK804" si="1918">IFERROR(IF(Y801=AB801,IF(M801="1.1G",(O801/1000)*Y801,""),""),0)</f>
        <v/>
      </c>
      <c r="AL801" s="716">
        <f t="shared" ref="AL801:AL804" si="1919">IFERROR(IF(Y801=AB801,IF(M801="1.3G",(O801/1000)*AB801,""),""),0)</f>
        <v>0</v>
      </c>
      <c r="AM801" s="716" t="str">
        <f t="shared" ref="AM801:AM804" si="1920">IFERROR(IF(Y801=AB801,IF(M801="1.4G",(O801/1000)*AB801,""),""),0)</f>
        <v/>
      </c>
      <c r="AN801" s="716">
        <f t="shared" ref="AN801:AN804" si="1921">SUM(AK801:AM801)</f>
        <v>0</v>
      </c>
      <c r="AO801" s="380"/>
      <c r="AP801" s="322" t="str">
        <f t="shared" si="1852"/>
        <v/>
      </c>
      <c r="AQ801" s="323" t="str">
        <f>IF(AC801=$V$3,IF(VLOOKUP(C801,[1]List1!$A:$E,5,FALSE)=0,1,VLOOKUP(C801,[1]List1!$A:$E,5,FALSE)),"")</f>
        <v/>
      </c>
      <c r="AR801" s="304" t="str">
        <f t="shared" si="1853"/>
        <v/>
      </c>
      <c r="AS801" s="423" t="str">
        <f t="shared" si="1854"/>
        <v/>
      </c>
      <c r="AT801" s="304" t="str">
        <f t="shared" si="1855"/>
        <v/>
      </c>
      <c r="AU801" s="342" t="e">
        <f t="shared" si="1856"/>
        <v>#N/A</v>
      </c>
      <c r="AV801" s="304" t="e">
        <f t="shared" si="1857"/>
        <v>#N/A</v>
      </c>
      <c r="AX801" s="304">
        <f>IF(AND('General price list'!$J801="F4",'General price list'!$AB801+0&gt;0),1,0)</f>
        <v>0</v>
      </c>
      <c r="AY801" s="304">
        <f t="shared" si="1858"/>
        <v>1</v>
      </c>
      <c r="AZ801" s="304">
        <f t="shared" si="1859"/>
        <v>0</v>
      </c>
    </row>
    <row r="802" spans="1:52" ht="15" customHeight="1">
      <c r="A802" s="725" t="str">
        <f>Kat.!C799</f>
        <v/>
      </c>
      <c r="B802" s="726">
        <f>IF(AND('General price list'!$J802="F4",$AI$1=FALSE),0,IF(AC802="SKLADEM",1,IF(AC802=$V$3,1,0)))</f>
        <v>0</v>
      </c>
      <c r="C802" s="727" t="s">
        <v>1626</v>
      </c>
      <c r="D802" s="728" t="s">
        <v>1627</v>
      </c>
      <c r="E802" s="729" t="s">
        <v>136</v>
      </c>
      <c r="F802" s="725">
        <f>IFERROR(ROUND(IF($AL$3=2,VLOOKUP(C802,[2]List1!$A:$D,2,FALSE)*1.08,VLOOKUP(C802,[2]List1!$A:$D,2,FALSE)),0),"NEUVEDENO!")</f>
        <v>3880</v>
      </c>
      <c r="G802" s="730">
        <f t="shared" si="1908"/>
        <v>3880</v>
      </c>
      <c r="H802" s="731">
        <f t="shared" si="1909"/>
        <v>157.66653527788728</v>
      </c>
      <c r="I802" s="732">
        <v>1</v>
      </c>
      <c r="J802" s="729" t="s">
        <v>137</v>
      </c>
      <c r="K802" s="729"/>
      <c r="L802" s="729" t="s">
        <v>24</v>
      </c>
      <c r="M802" s="729" t="s">
        <v>138</v>
      </c>
      <c r="N802" s="729">
        <f>IFERROR(VLOOKUP(C802,[3]List1!$A:$D,4,FALSE),"N/A!")</f>
        <v>5.7645000000000002E-2</v>
      </c>
      <c r="O802" s="729">
        <f>IFERROR(VLOOKUP(C802,[3]List1!$A:$D,3,FALSE),"N/A!")</f>
        <v>1998</v>
      </c>
      <c r="P802" s="729">
        <f>IFERROR(VLOOKUP(C802,[3]List1!$A:$D,2,FALSE),"N/A!")</f>
        <v>20500</v>
      </c>
      <c r="Q802" s="729" t="s">
        <v>14257</v>
      </c>
      <c r="R802" s="729" t="s">
        <v>24</v>
      </c>
      <c r="S802" s="729" t="str">
        <f>IF($W$17=$AF$1,"červená fólie",IFERROR(VLOOKUP("červená fólie",Jazyky_ceník!$A:$Q,MATCH($W$17,Jazyky_ceník!$A$1:$Q$1,0),FALSE),"!!!"))</f>
        <v>červená fólie</v>
      </c>
      <c r="T802" s="729">
        <v>70</v>
      </c>
      <c r="U802" s="729">
        <v>60</v>
      </c>
      <c r="V802" s="729">
        <v>40</v>
      </c>
      <c r="W802" s="729" t="str">
        <f>IFERROR(VLOOKUP('General price list'!$C802,Popisy!A:P,MATCH($W$17,Popisy!$A$7:$P$7,0),FALSE),"---------------")</f>
        <v>10 různobarevných efektů</v>
      </c>
      <c r="X802" s="729" t="str">
        <f t="shared" si="1910"/>
        <v/>
      </c>
      <c r="Y802" s="729" t="str">
        <f t="shared" si="1911"/>
        <v/>
      </c>
      <c r="Z802" s="729" t="str">
        <f>HYPERLINK("https://www.klasekpyrotechnics.cz/c505v-c")</f>
        <v>https://www.klasekpyrotechnics.cz/c505v-c</v>
      </c>
      <c r="AA802" s="729">
        <f>IFERROR(IF(VLOOKUP(C802,[4]List1!$A:$D,4,FALSE)=0,"",VLOOKUP(C802,[4]List1!$A:$D,4,FALSE)),"")</f>
        <v>20</v>
      </c>
      <c r="AB802" s="720"/>
      <c r="AC802" s="733" t="str">
        <f>IFERROR(IF(VLOOKUP(C802,[1]List1!$A:$D,2,FALSE)="VYPRODÁNO",$V$9,IF(VLOOKUP(C802,[1]List1!$A:$D,2,FALSE)="DOCHÁZÍ",$V$3,VLOOKUP(C802,[1]List1!$A:$D,2,FALSE))),"OFFLINE!")</f>
        <v>15.06.2024</v>
      </c>
      <c r="AD802" s="734" t="str">
        <f ca="1">IF(AP802="NE",$V$10,IF(AC802=$V$3,IF(AQ802&lt;1,$V$8,$V$2&amp;" "&amp;AQ802&amp;" "&amp;$V$1),IF(AC802="SKLADEM",$V$6,IFERROR(IF(OR(AC802-TODAY()&gt;45,VLOOKUP(C802,[1]List1!$A:$E,4,FALSE)=0),AC802,DAY(AC802)&amp;"."&amp;MONTH(AC802)&amp;"."&amp;YEAR(AC802)&amp;" "&amp;$V$4&amp;VLOOKUP(C802,[1]List1!$A:$E,4,FALSE)&amp;" "&amp;$V$1),AC802))))</f>
        <v>15.06.2024</v>
      </c>
      <c r="AE802" s="729" t="str">
        <f t="shared" ca="1" si="1912"/>
        <v>15.06.2024</v>
      </c>
      <c r="AF802" s="735">
        <f t="shared" si="1913"/>
        <v>0</v>
      </c>
      <c r="AG802" s="735">
        <f t="shared" si="1914"/>
        <v>0</v>
      </c>
      <c r="AH802" s="736">
        <f t="shared" si="1915"/>
        <v>0</v>
      </c>
      <c r="AI802" s="729">
        <f t="shared" si="1916"/>
        <v>0</v>
      </c>
      <c r="AJ802" s="729">
        <f t="shared" si="1917"/>
        <v>0</v>
      </c>
      <c r="AK802" s="729" t="str">
        <f t="shared" si="1918"/>
        <v/>
      </c>
      <c r="AL802" s="729">
        <f t="shared" si="1919"/>
        <v>0</v>
      </c>
      <c r="AM802" s="729" t="str">
        <f t="shared" si="1920"/>
        <v/>
      </c>
      <c r="AN802" s="729">
        <f t="shared" si="1921"/>
        <v>0</v>
      </c>
      <c r="AO802" s="380"/>
      <c r="AP802" s="322" t="str">
        <f t="shared" si="1852"/>
        <v/>
      </c>
      <c r="AQ802" s="323" t="str">
        <f>IF(AC802=$V$3,IF(VLOOKUP(C802,[1]List1!$A:$E,5,FALSE)=0,1,VLOOKUP(C802,[1]List1!$A:$E,5,FALSE)),"")</f>
        <v/>
      </c>
      <c r="AR802" s="304" t="str">
        <f t="shared" si="1853"/>
        <v/>
      </c>
      <c r="AS802" s="423" t="str">
        <f t="shared" si="1854"/>
        <v/>
      </c>
      <c r="AT802" s="304" t="str">
        <f t="shared" si="1855"/>
        <v/>
      </c>
      <c r="AU802" s="342" t="e">
        <f t="shared" si="1856"/>
        <v>#N/A</v>
      </c>
      <c r="AV802" s="304" t="e">
        <f t="shared" si="1857"/>
        <v>#N/A</v>
      </c>
      <c r="AX802" s="304">
        <f>IF(AND('General price list'!$J802="F4",'General price list'!$AB802+0&gt;0),1,0)</f>
        <v>0</v>
      </c>
      <c r="AY802" s="304">
        <f t="shared" si="1858"/>
        <v>1</v>
      </c>
      <c r="AZ802" s="304">
        <f t="shared" si="1859"/>
        <v>0</v>
      </c>
    </row>
    <row r="803" spans="1:52" ht="15" customHeight="1">
      <c r="A803" s="712" t="str">
        <f>Kat.!C800</f>
        <v/>
      </c>
      <c r="B803" s="737">
        <f>IF(AND('General price list'!$J803="F4",$AI$1=FALSE),0,IF(AC803="SKLADEM",1,IF(AC803=$V$3,1,0)))</f>
        <v>0</v>
      </c>
      <c r="C803" s="714" t="s">
        <v>1628</v>
      </c>
      <c r="D803" s="715" t="s">
        <v>1629</v>
      </c>
      <c r="E803" s="716" t="s">
        <v>136</v>
      </c>
      <c r="F803" s="712">
        <f>IFERROR(ROUND(IF($AL$3=2,VLOOKUP(C803,[2]List1!$A:$D,2,FALSE)*1.08,VLOOKUP(C803,[2]List1!$A:$D,2,FALSE)),0),"NEUVEDENO!")</f>
        <v>5531</v>
      </c>
      <c r="G803" s="717">
        <f t="shared" si="1908"/>
        <v>5531</v>
      </c>
      <c r="H803" s="718">
        <f t="shared" si="1909"/>
        <v>224.75608418092642</v>
      </c>
      <c r="I803" s="738">
        <v>1</v>
      </c>
      <c r="J803" s="716" t="s">
        <v>137</v>
      </c>
      <c r="K803" s="716"/>
      <c r="L803" s="716" t="s">
        <v>24</v>
      </c>
      <c r="M803" s="716" t="s">
        <v>138</v>
      </c>
      <c r="N803" s="716">
        <f>IFERROR(VLOOKUP(C803,[3]List1!$A:$D,4,FALSE),"N/A!")</f>
        <v>8.5522500000000001E-2</v>
      </c>
      <c r="O803" s="716">
        <f>IFERROR(VLOOKUP(C803,[3]List1!$A:$D,3,FALSE),"N/A!")</f>
        <v>2997</v>
      </c>
      <c r="P803" s="716">
        <f>IFERROR(VLOOKUP(C803,[3]List1!$A:$D,2,FALSE),"N/A!")</f>
        <v>30200</v>
      </c>
      <c r="Q803" s="716" t="s">
        <v>14257</v>
      </c>
      <c r="R803" s="716" t="s">
        <v>24</v>
      </c>
      <c r="S803" s="716" t="str">
        <f>IF($W$17=$AF$1,"červená fólie",IFERROR(VLOOKUP("červená fólie",Jazyky_ceník!$A:$Q,MATCH($W$17,Jazyky_ceník!$A$1:$Q$1,0),FALSE),"!!!"))</f>
        <v>červená fólie</v>
      </c>
      <c r="T803" s="716">
        <v>100</v>
      </c>
      <c r="U803" s="716">
        <v>60</v>
      </c>
      <c r="V803" s="716">
        <v>40</v>
      </c>
      <c r="W803" s="716" t="str">
        <f>IFERROR(VLOOKUP('General price list'!$C803,Popisy!A:P,MATCH($W$17,Popisy!$A$7:$P$7,0),FALSE),"---------------")</f>
        <v>15 různobarevných efektů</v>
      </c>
      <c r="X803" s="716" t="str">
        <f t="shared" si="1910"/>
        <v/>
      </c>
      <c r="Y803" s="716" t="str">
        <f t="shared" si="1911"/>
        <v/>
      </c>
      <c r="Z803" s="716" t="str">
        <f>HYPERLINK("https://www.klasekpyrotechnics.cz/c755r-c")</f>
        <v>https://www.klasekpyrotechnics.cz/c755r-c</v>
      </c>
      <c r="AA803" s="716">
        <f>IFERROR(IF(VLOOKUP(C803,[4]List1!$A:$D,4,FALSE)=0,"",VLOOKUP(C803,[4]List1!$A:$D,4,FALSE)),"")</f>
        <v>10</v>
      </c>
      <c r="AB803" s="720"/>
      <c r="AC803" s="739" t="str">
        <f>IFERROR(IF(VLOOKUP(C803,[1]List1!$A:$D,2,FALSE)="VYPRODÁNO",$V$9,IF(VLOOKUP(C803,[1]List1!$A:$D,2,FALSE)="DOCHÁZÍ",$V$3,VLOOKUP(C803,[1]List1!$A:$D,2,FALSE))),"OFFLINE!")</f>
        <v>15.08.2024</v>
      </c>
      <c r="AD803" s="740" t="str">
        <f ca="1">IF(AP803="NE",$V$10,IF(AC803=$V$3,IF(AQ803&lt;1,$V$8,$V$2&amp;" "&amp;AQ803&amp;" "&amp;$V$1),IF(AC803="SKLADEM",$V$6,IFERROR(IF(OR(AC803-TODAY()&gt;45,VLOOKUP(C803,[1]List1!$A:$E,4,FALSE)=0),AC803,DAY(AC803)&amp;"."&amp;MONTH(AC803)&amp;"."&amp;YEAR(AC803)&amp;" "&amp;$V$4&amp;VLOOKUP(C803,[1]List1!$A:$E,4,FALSE)&amp;" "&amp;$V$1),AC803))))</f>
        <v>15.08.2024</v>
      </c>
      <c r="AE803" s="716" t="str">
        <f t="shared" ca="1" si="1912"/>
        <v>15.08.2024</v>
      </c>
      <c r="AF803" s="723">
        <f t="shared" si="1913"/>
        <v>0</v>
      </c>
      <c r="AG803" s="723">
        <f t="shared" si="1914"/>
        <v>0</v>
      </c>
      <c r="AH803" s="724">
        <f t="shared" si="1915"/>
        <v>0</v>
      </c>
      <c r="AI803" s="716">
        <f t="shared" si="1916"/>
        <v>0</v>
      </c>
      <c r="AJ803" s="716">
        <f t="shared" si="1917"/>
        <v>0</v>
      </c>
      <c r="AK803" s="716" t="str">
        <f t="shared" si="1918"/>
        <v/>
      </c>
      <c r="AL803" s="716">
        <f t="shared" si="1919"/>
        <v>0</v>
      </c>
      <c r="AM803" s="716" t="str">
        <f t="shared" si="1920"/>
        <v/>
      </c>
      <c r="AN803" s="716">
        <f t="shared" si="1921"/>
        <v>0</v>
      </c>
      <c r="AO803" s="380"/>
      <c r="AP803" s="322" t="str">
        <f t="shared" si="1852"/>
        <v/>
      </c>
      <c r="AQ803" s="323" t="str">
        <f>IF(AC803=$V$3,IF(VLOOKUP(C803,[1]List1!$A:$E,5,FALSE)=0,1,VLOOKUP(C803,[1]List1!$A:$E,5,FALSE)),"")</f>
        <v/>
      </c>
      <c r="AR803" s="304" t="str">
        <f t="shared" si="1853"/>
        <v/>
      </c>
      <c r="AS803" s="423" t="str">
        <f t="shared" si="1854"/>
        <v/>
      </c>
      <c r="AT803" s="304" t="str">
        <f t="shared" si="1855"/>
        <v/>
      </c>
      <c r="AU803" s="342" t="e">
        <f t="shared" si="1856"/>
        <v>#N/A</v>
      </c>
      <c r="AV803" s="304" t="e">
        <f t="shared" si="1857"/>
        <v>#N/A</v>
      </c>
      <c r="AX803" s="304">
        <f>IF(AND('General price list'!$J803="F4",'General price list'!$AB803+0&gt;0),1,0)</f>
        <v>0</v>
      </c>
      <c r="AY803" s="304">
        <f t="shared" si="1858"/>
        <v>1</v>
      </c>
      <c r="AZ803" s="304">
        <f t="shared" si="1859"/>
        <v>0</v>
      </c>
    </row>
    <row r="804" spans="1:52" ht="15" customHeight="1">
      <c r="A804" s="725" t="str">
        <f>Kat.!C801</f>
        <v/>
      </c>
      <c r="B804" s="726">
        <f>IF(AND('General price list'!$J804="F4",$AI$1=FALSE),0,IF(AC804="SKLADEM",1,IF(AC804=$V$3,1,0)))</f>
        <v>0</v>
      </c>
      <c r="C804" s="727" t="s">
        <v>2584</v>
      </c>
      <c r="D804" s="728" t="s">
        <v>2585</v>
      </c>
      <c r="E804" s="729" t="s">
        <v>136</v>
      </c>
      <c r="F804" s="725">
        <f>IFERROR(ROUND(IF($AL$3=2,VLOOKUP(C804,[2]List1!$A:$D,2,FALSE)*1.08,VLOOKUP(C804,[2]List1!$A:$D,2,FALSE)),0),"NEUVEDENO!")</f>
        <v>6991</v>
      </c>
      <c r="G804" s="730">
        <f t="shared" si="1908"/>
        <v>6991</v>
      </c>
      <c r="H804" s="731">
        <f t="shared" si="1909"/>
        <v>284.08421343497679</v>
      </c>
      <c r="I804" s="732">
        <v>1</v>
      </c>
      <c r="J804" s="729" t="s">
        <v>137</v>
      </c>
      <c r="K804" s="729" t="s">
        <v>12734</v>
      </c>
      <c r="L804" s="729" t="s">
        <v>24</v>
      </c>
      <c r="M804" s="729" t="s">
        <v>138</v>
      </c>
      <c r="N804" s="729">
        <f>IFERROR(VLOOKUP(C804,[3]List1!$A:$D,4,FALSE),"N/A!")</f>
        <v>9.9066000000000015E-2</v>
      </c>
      <c r="O804" s="729">
        <f>IFERROR(VLOOKUP(C804,[3]List1!$A:$D,3,FALSE),"N/A!")</f>
        <v>3000</v>
      </c>
      <c r="P804" s="729">
        <f>IFERROR(VLOOKUP(C804,[3]List1!$A:$D,2,FALSE),"N/A!")</f>
        <v>36000</v>
      </c>
      <c r="Q804" s="729" t="s">
        <v>14344</v>
      </c>
      <c r="R804" s="729" t="s">
        <v>24</v>
      </c>
      <c r="S804" s="729" t="str">
        <f>IF($W$17=$AF$1,"červená fólie",IFERROR(VLOOKUP("červená fólie",Jazyky_ceník!$A:$Q,MATCH($W$17,Jazyky_ceník!$A$1:$Q$1,0),FALSE),"!!!"))</f>
        <v>červená fólie</v>
      </c>
      <c r="T804" s="729">
        <v>150</v>
      </c>
      <c r="U804" s="729">
        <v>60</v>
      </c>
      <c r="V804" s="729">
        <v>37</v>
      </c>
      <c r="W804" s="729" t="str">
        <f>IFERROR(VLOOKUP('General price list'!$C804,Popisy!A:P,MATCH($W$17,Popisy!$A$7:$P$7,0),FALSE),"---------------")</f>
        <v>21 různobarevných efektů</v>
      </c>
      <c r="X804" s="729" t="str">
        <f t="shared" si="1910"/>
        <v/>
      </c>
      <c r="Y804" s="729" t="str">
        <f t="shared" si="1911"/>
        <v/>
      </c>
      <c r="Z804" s="729" t="str">
        <f>HYPERLINK("https://www.klasekpyrotechnics.cz/c10545gi-c")</f>
        <v>https://www.klasekpyrotechnics.cz/c10545gi-c</v>
      </c>
      <c r="AA804" s="729">
        <f>IFERROR(IF(VLOOKUP(C804,[4]List1!$A:$D,4,FALSE)=0,"",VLOOKUP(C804,[4]List1!$A:$D,4,FALSE)),"")</f>
        <v>15</v>
      </c>
      <c r="AB804" s="720"/>
      <c r="AC804" s="733" t="str">
        <f>IFERROR(IF(VLOOKUP(C804,[1]List1!$A:$D,2,FALSE)="VYPRODÁNO",$V$9,IF(VLOOKUP(C804,[1]List1!$A:$D,2,FALSE)="DOCHÁZÍ",$V$3,VLOOKUP(C804,[1]List1!$A:$D,2,FALSE))),"OFFLINE!")</f>
        <v>15.06.2024</v>
      </c>
      <c r="AD804" s="734" t="str">
        <f ca="1">IF(AP804="NE",$V$10,IF(AC804=$V$3,IF(AQ804&lt;1,$V$8,$V$2&amp;" "&amp;AQ804&amp;" "&amp;$V$1),IF(AC804="SKLADEM",$V$6,IFERROR(IF(OR(AC804-TODAY()&gt;45,VLOOKUP(C804,[1]List1!$A:$E,4,FALSE)=0),AC804,DAY(AC804)&amp;"."&amp;MONTH(AC804)&amp;"."&amp;YEAR(AC804)&amp;" "&amp;$V$4&amp;VLOOKUP(C804,[1]List1!$A:$E,4,FALSE)&amp;" "&amp;$V$1),AC804))))</f>
        <v>15.06.2024</v>
      </c>
      <c r="AE804" s="729" t="str">
        <f t="shared" ca="1" si="1912"/>
        <v>15.06.2024</v>
      </c>
      <c r="AF804" s="735">
        <f t="shared" si="1913"/>
        <v>0</v>
      </c>
      <c r="AG804" s="735">
        <f t="shared" si="1914"/>
        <v>0</v>
      </c>
      <c r="AH804" s="736">
        <f t="shared" si="1915"/>
        <v>0</v>
      </c>
      <c r="AI804" s="729">
        <f t="shared" si="1916"/>
        <v>0</v>
      </c>
      <c r="AJ804" s="729">
        <f t="shared" si="1917"/>
        <v>0</v>
      </c>
      <c r="AK804" s="729" t="str">
        <f t="shared" si="1918"/>
        <v/>
      </c>
      <c r="AL804" s="729">
        <f t="shared" si="1919"/>
        <v>0</v>
      </c>
      <c r="AM804" s="729" t="str">
        <f t="shared" si="1920"/>
        <v/>
      </c>
      <c r="AN804" s="729">
        <f t="shared" si="1921"/>
        <v>0</v>
      </c>
      <c r="AO804" s="380"/>
      <c r="AP804" s="322" t="str">
        <f t="shared" si="1852"/>
        <v/>
      </c>
      <c r="AQ804" s="323" t="str">
        <f>IF(AC804=$V$3,IF(VLOOKUP(C804,[1]List1!$A:$E,5,FALSE)=0,1,VLOOKUP(C804,[1]List1!$A:$E,5,FALSE)),"")</f>
        <v/>
      </c>
      <c r="AR804" s="304" t="str">
        <f t="shared" si="1853"/>
        <v/>
      </c>
      <c r="AS804" s="423" t="str">
        <f t="shared" si="1854"/>
        <v/>
      </c>
      <c r="AT804" s="304" t="str">
        <f t="shared" si="1855"/>
        <v/>
      </c>
      <c r="AU804" s="342" t="e">
        <f t="shared" si="1856"/>
        <v>#N/A</v>
      </c>
      <c r="AV804" s="304" t="e">
        <f t="shared" si="1857"/>
        <v>#N/A</v>
      </c>
      <c r="AX804" s="304">
        <f>IF(AND('General price list'!$J804="F4",'General price list'!$AB804+0&gt;0),1,0)</f>
        <v>0</v>
      </c>
      <c r="AY804" s="304">
        <f t="shared" si="1858"/>
        <v>1</v>
      </c>
      <c r="AZ804" s="304">
        <f t="shared" si="1859"/>
        <v>0</v>
      </c>
    </row>
    <row r="805" spans="1:52" ht="15" customHeight="1">
      <c r="A805" s="773" t="str">
        <f>Kat.!C802</f>
        <v xml:space="preserve">                                                               Složený ohňostroj(s ochraným obalem) 45+50mm - 1.3G</v>
      </c>
      <c r="B805" s="774"/>
      <c r="C805" s="774"/>
      <c r="D805" s="774"/>
      <c r="E805" s="774"/>
      <c r="F805" s="774"/>
      <c r="G805" s="774"/>
      <c r="H805" s="774"/>
      <c r="I805" s="774"/>
      <c r="J805" s="774"/>
      <c r="K805" s="774"/>
      <c r="L805" s="774"/>
      <c r="M805" s="774"/>
      <c r="N805" s="774"/>
      <c r="O805" s="774"/>
      <c r="P805" s="774"/>
      <c r="Q805" s="774"/>
      <c r="R805" s="774"/>
      <c r="S805" s="774"/>
      <c r="T805" s="774"/>
      <c r="U805" s="774"/>
      <c r="V805" s="774"/>
      <c r="W805" s="774"/>
      <c r="X805" s="774"/>
      <c r="Y805" s="774"/>
      <c r="Z805" s="774"/>
      <c r="AA805" s="774" t="str">
        <f>IFERROR(IF(VLOOKUP(C805,[4]List1!$A:$D,4,FALSE)=0,"",VLOOKUP(C805,[4]List1!$A:$D,4,FALSE)),"")</f>
        <v/>
      </c>
      <c r="AB805" s="774"/>
      <c r="AC805" s="775" t="str">
        <f>IFERROR(IF(VLOOKUP(C805,[1]List1!$A:$D,2,FALSE)="VYPRODÁNO",$V$9,IF(VLOOKUP(C805,[1]List1!$A:$D,2,FALSE)="DOCHÁZÍ",$V$3,VLOOKUP(C805,[1]List1!$A:$D,2,FALSE))),"OFFLINE!")</f>
        <v>OFFLINE!</v>
      </c>
      <c r="AD805" s="774"/>
      <c r="AE805" s="774"/>
      <c r="AF805" s="774"/>
      <c r="AG805" s="774"/>
      <c r="AH805" s="774"/>
      <c r="AI805" s="774"/>
      <c r="AJ805" s="774"/>
      <c r="AK805" s="774"/>
      <c r="AL805" s="774"/>
      <c r="AM805" s="774"/>
      <c r="AN805" s="774"/>
      <c r="AO805" s="380"/>
      <c r="AP805" s="322" t="str">
        <f t="shared" si="1852"/>
        <v/>
      </c>
      <c r="AQ805" s="323" t="str">
        <f>IF(AC805=$V$3,IF(VLOOKUP(C805,[1]List1!$A:$E,5,FALSE)=0,1,VLOOKUP(C805,[1]List1!$A:$E,5,FALSE)),"")</f>
        <v/>
      </c>
      <c r="AR805" s="304" t="str">
        <f t="shared" si="1853"/>
        <v/>
      </c>
      <c r="AS805" s="423" t="str">
        <f t="shared" si="1854"/>
        <v/>
      </c>
      <c r="AT805" s="304" t="str">
        <f t="shared" si="1855"/>
        <v/>
      </c>
      <c r="AU805" s="342" t="e">
        <f t="shared" si="1856"/>
        <v>#N/A</v>
      </c>
      <c r="AV805" s="304" t="e">
        <f t="shared" si="1857"/>
        <v>#N/A</v>
      </c>
      <c r="AX805" s="304">
        <f>IF(AND('General price list'!$J805="F4",'General price list'!$AB805+0&gt;0),1,0)</f>
        <v>0</v>
      </c>
      <c r="AY805" s="304">
        <f t="shared" si="1858"/>
        <v>0</v>
      </c>
      <c r="AZ805" s="304">
        <f t="shared" si="1859"/>
        <v>0</v>
      </c>
    </row>
    <row r="806" spans="1:52" ht="15" customHeight="1">
      <c r="A806" s="725" t="str">
        <f>Kat.!C803</f>
        <v/>
      </c>
      <c r="B806" s="741">
        <f>IF(AND('General price list'!$J806="F4",$AI$1=FALSE),0,IF(AC806="SKLADEM",1,IF(AC806=$V$3,1,0)))</f>
        <v>0</v>
      </c>
      <c r="C806" s="727" t="s">
        <v>2762</v>
      </c>
      <c r="D806" s="728" t="s">
        <v>1625</v>
      </c>
      <c r="E806" s="729" t="s">
        <v>136</v>
      </c>
      <c r="F806" s="725">
        <f>IFERROR(ROUND(IF($AL$3=2,VLOOKUP(C806,[2]List1!$A:$D,2,FALSE)*1.08,VLOOKUP(C806,[2]List1!$A:$D,2,FALSE)),0),"NEUVEDENO!")</f>
        <v>4346</v>
      </c>
      <c r="G806" s="730">
        <f t="shared" ref="G806:G809" si="1922">(F806)*$B$19</f>
        <v>4346</v>
      </c>
      <c r="H806" s="731">
        <f t="shared" ref="H806:H809" si="1923">G806/$F$19</f>
        <v>176.60277379322116</v>
      </c>
      <c r="I806" s="742">
        <v>1</v>
      </c>
      <c r="J806" s="729" t="s">
        <v>137</v>
      </c>
      <c r="K806" s="729">
        <v>6</v>
      </c>
      <c r="L806" s="729" t="s">
        <v>24</v>
      </c>
      <c r="M806" s="729" t="s">
        <v>138</v>
      </c>
      <c r="N806" s="729">
        <f>IFERROR(VLOOKUP(C806,[3]List1!$A:$D,4,FALSE),"N/A!")</f>
        <v>5.7645000000000002E-2</v>
      </c>
      <c r="O806" s="729">
        <f>IFERROR(VLOOKUP(C806,[3]List1!$A:$D,3,FALSE),"N/A!")</f>
        <v>1998</v>
      </c>
      <c r="P806" s="729">
        <f>IFERROR(VLOOKUP(C806,[3]List1!$A:$D,2,FALSE),"N/A!")</f>
        <v>20500</v>
      </c>
      <c r="Q806" s="729" t="s">
        <v>2799</v>
      </c>
      <c r="R806" s="729" t="s">
        <v>24</v>
      </c>
      <c r="S806" s="729" t="str">
        <f>IF($W$17=$AF$1,"červená fólie",IFERROR(VLOOKUP("červená fólie",Jazyky_ceník!$A:$Q,MATCH($W$17,Jazyky_ceník!$A$1:$Q$1,0),FALSE),"!!!"))</f>
        <v>červená fólie</v>
      </c>
      <c r="T806" s="729">
        <v>70</v>
      </c>
      <c r="U806" s="729">
        <v>60</v>
      </c>
      <c r="V806" s="729">
        <v>40</v>
      </c>
      <c r="W806" s="729" t="str">
        <f>IFERROR(VLOOKUP('General price list'!$C806,Popisy!A:P,MATCH($W$17,Popisy!$A$7:$P$7,0),FALSE),"---------------")</f>
        <v>10 různobarevných efektů</v>
      </c>
      <c r="X806" s="729" t="str">
        <f t="shared" ref="X806:X809" si="1924">IF(AB806&lt;0.0001,"",AB806)</f>
        <v/>
      </c>
      <c r="Y806" s="729" t="str">
        <f t="shared" ref="Y806:Y809" si="1925">IF($AL$3=2,IF(OR(AB806&lt;&gt;"",AB806&lt;&gt;0),AU806,""),IF(C806="","",IF(AB806&lt;0.0001,"",IF(B806=0,"",IF(AQ806&lt;AB806,"",AB806)))))</f>
        <v/>
      </c>
      <c r="Z806" s="729" t="str">
        <f>HYPERLINK("https://www.klasekpyrotechnics.cz/c505x-c_t")</f>
        <v>https://www.klasekpyrotechnics.cz/c505x-c_t</v>
      </c>
      <c r="AA806" s="729">
        <f>IFERROR(IF(VLOOKUP(C806,[4]List1!$A:$D,4,FALSE)=0,"",VLOOKUP(C806,[4]List1!$A:$D,4,FALSE)),"")</f>
        <v>20</v>
      </c>
      <c r="AB806" s="720"/>
      <c r="AC806" s="743" t="str">
        <f>IFERROR(IF(VLOOKUP(C806,[1]List1!$A:$D,2,FALSE)="VYPRODÁNO",$V$9,IF(VLOOKUP(C806,[1]List1!$A:$D,2,FALSE)="DOCHÁZÍ",$V$3,VLOOKUP(C806,[1]List1!$A:$D,2,FALSE))),"OFFLINE!")</f>
        <v>15.06.2024</v>
      </c>
      <c r="AD806" s="744" t="str">
        <f ca="1">IF(AP806="NE",$V$10,IF(AC806=$V$3,IF(AQ806&lt;1,$V$8,$V$2&amp;" "&amp;AQ806&amp;" "&amp;$V$1),IF(AC806="SKLADEM",$V$6,IFERROR(IF(OR(AC806-TODAY()&gt;45,VLOOKUP(C806,[1]List1!$A:$E,4,FALSE)=0),AC806,DAY(AC806)&amp;"."&amp;MONTH(AC806)&amp;"."&amp;YEAR(AC806)&amp;" "&amp;$V$4&amp;VLOOKUP(C806,[1]List1!$A:$E,4,FALSE)&amp;" "&amp;$V$1),AC806))))</f>
        <v>15.06.2024</v>
      </c>
      <c r="AE806" s="729" t="str">
        <f t="shared" ref="AE806:AE809" ca="1" si="1926">IFERROR(IF(AV806&lt;&gt;"",AV806,AD806),AD806)</f>
        <v>15.06.2024</v>
      </c>
      <c r="AF806" s="735">
        <f t="shared" ref="AF806:AF809" si="1927">IFERROR(IF(AB806=Y806,G806*I806*Y806,0),0)</f>
        <v>0</v>
      </c>
      <c r="AG806" s="735">
        <f t="shared" ref="AG806:AG809" si="1928">IF($W$17=$AF$8,AH806*1.23,AF806*1.21)</f>
        <v>0</v>
      </c>
      <c r="AH806" s="736">
        <f t="shared" ref="AH806:AH809" si="1929">IFERROR(IF(Y806=AB806,H806*I806*Y806,0),0)</f>
        <v>0</v>
      </c>
      <c r="AI806" s="729">
        <f t="shared" ref="AI806:AI809" si="1930">IFERROR(IF(Y806=AB806,(P806*Y806)/1000,1),0)</f>
        <v>0</v>
      </c>
      <c r="AJ806" s="729">
        <f t="shared" ref="AJ806:AJ809" si="1931">IFERROR(IF(Y806=AB806,N806*Y806,0.1),0)</f>
        <v>0</v>
      </c>
      <c r="AK806" s="729" t="str">
        <f t="shared" ref="AK806:AK809" si="1932">IFERROR(IF(Y806=AB806,IF(M806="1.1G",(O806/1000)*Y806,""),""),0)</f>
        <v/>
      </c>
      <c r="AL806" s="729">
        <f t="shared" ref="AL806:AL809" si="1933">IFERROR(IF(Y806=AB806,IF(M806="1.3G",(O806/1000)*AB806,""),""),0)</f>
        <v>0</v>
      </c>
      <c r="AM806" s="729" t="str">
        <f t="shared" ref="AM806:AM809" si="1934">IFERROR(IF(Y806=AB806,IF(M806="1.4G",(O806/1000)*AB806,""),""),0)</f>
        <v/>
      </c>
      <c r="AN806" s="729">
        <f t="shared" ref="AN806:AN809" si="1935">SUM(AK806:AM806)</f>
        <v>0</v>
      </c>
      <c r="AO806" s="380"/>
      <c r="AP806" s="322" t="str">
        <f t="shared" si="1852"/>
        <v/>
      </c>
      <c r="AQ806" s="323" t="str">
        <f>IF(AC806=$V$3,IF(VLOOKUP(C806,[1]List1!$A:$E,5,FALSE)=0,1,VLOOKUP(C806,[1]List1!$A:$E,5,FALSE)),"")</f>
        <v/>
      </c>
      <c r="AR806" s="304" t="str">
        <f t="shared" si="1853"/>
        <v/>
      </c>
      <c r="AS806" s="423" t="str">
        <f t="shared" si="1854"/>
        <v/>
      </c>
      <c r="AT806" s="304" t="str">
        <f t="shared" si="1855"/>
        <v/>
      </c>
      <c r="AU806" s="342" t="e">
        <f t="shared" si="1856"/>
        <v>#N/A</v>
      </c>
      <c r="AV806" s="304" t="e">
        <f t="shared" si="1857"/>
        <v>#N/A</v>
      </c>
      <c r="AX806" s="304">
        <f>IF(AND('General price list'!$J806="F4",'General price list'!$AB806+0&gt;0),1,0)</f>
        <v>0</v>
      </c>
      <c r="AY806" s="304">
        <f t="shared" si="1858"/>
        <v>1</v>
      </c>
      <c r="AZ806" s="304">
        <f t="shared" si="1859"/>
        <v>0</v>
      </c>
    </row>
    <row r="807" spans="1:52" ht="15" customHeight="1">
      <c r="A807" s="712" t="str">
        <f>Kat.!C804</f>
        <v/>
      </c>
      <c r="B807" s="745">
        <f>IF(AND('General price list'!$J807="F4",$AI$1=FALSE),0,IF(AC807="SKLADEM",1,IF(AC807=$V$3,1,0)))</f>
        <v>0</v>
      </c>
      <c r="C807" s="714" t="s">
        <v>2763</v>
      </c>
      <c r="D807" s="715" t="s">
        <v>1627</v>
      </c>
      <c r="E807" s="716" t="s">
        <v>136</v>
      </c>
      <c r="F807" s="712">
        <f>IFERROR(ROUND(IF($AL$3=2,VLOOKUP(C807,[2]List1!$A:$D,2,FALSE)*1.08,VLOOKUP(C807,[2]List1!$A:$D,2,FALSE)),0),"NEUVEDENO!")</f>
        <v>4346</v>
      </c>
      <c r="G807" s="717">
        <f t="shared" si="1922"/>
        <v>4346</v>
      </c>
      <c r="H807" s="718">
        <f t="shared" si="1923"/>
        <v>176.60277379322116</v>
      </c>
      <c r="I807" s="746">
        <v>1</v>
      </c>
      <c r="J807" s="716" t="s">
        <v>137</v>
      </c>
      <c r="K807" s="716">
        <v>6</v>
      </c>
      <c r="L807" s="716" t="s">
        <v>24</v>
      </c>
      <c r="M807" s="716" t="s">
        <v>138</v>
      </c>
      <c r="N807" s="716">
        <f>IFERROR(VLOOKUP(C807,[3]List1!$A:$D,4,FALSE),"N/A!")</f>
        <v>5.7645000000000002E-2</v>
      </c>
      <c r="O807" s="716">
        <f>IFERROR(VLOOKUP(C807,[3]List1!$A:$D,3,FALSE),"N/A!")</f>
        <v>1998</v>
      </c>
      <c r="P807" s="716">
        <f>IFERROR(VLOOKUP(C807,[3]List1!$A:$D,2,FALSE),"N/A!")</f>
        <v>20500</v>
      </c>
      <c r="Q807" s="716" t="s">
        <v>2799</v>
      </c>
      <c r="R807" s="716" t="s">
        <v>24</v>
      </c>
      <c r="S807" s="716" t="str">
        <f>IF($W$17=$AF$1,"červená fólie",IFERROR(VLOOKUP("červená fólie",Jazyky_ceník!$A:$Q,MATCH($W$17,Jazyky_ceník!$A$1:$Q$1,0),FALSE),"!!!"))</f>
        <v>červená fólie</v>
      </c>
      <c r="T807" s="716">
        <v>70</v>
      </c>
      <c r="U807" s="716">
        <v>60</v>
      </c>
      <c r="V807" s="716">
        <v>40</v>
      </c>
      <c r="W807" s="716" t="str">
        <f>IFERROR(VLOOKUP('General price list'!$C807,Popisy!A:P,MATCH($W$17,Popisy!$A$7:$P$7,0),FALSE),"---------------")</f>
        <v>10 různobarevných efektů</v>
      </c>
      <c r="X807" s="716" t="str">
        <f t="shared" si="1924"/>
        <v/>
      </c>
      <c r="Y807" s="716" t="str">
        <f t="shared" si="1925"/>
        <v/>
      </c>
      <c r="Z807" s="716" t="str">
        <f>HYPERLINK("https://www.klasekpyrotechnics.cz/c505v-c_t")</f>
        <v>https://www.klasekpyrotechnics.cz/c505v-c_t</v>
      </c>
      <c r="AA807" s="716">
        <f>IFERROR(IF(VLOOKUP(C807,[4]List1!$A:$D,4,FALSE)=0,"",VLOOKUP(C807,[4]List1!$A:$D,4,FALSE)),"")</f>
        <v>20</v>
      </c>
      <c r="AB807" s="720"/>
      <c r="AC807" s="747" t="str">
        <f>IFERROR(IF(VLOOKUP(C807,[1]List1!$A:$D,2,FALSE)="VYPRODÁNO",$V$9,IF(VLOOKUP(C807,[1]List1!$A:$D,2,FALSE)="DOCHÁZÍ",$V$3,VLOOKUP(C807,[1]List1!$A:$D,2,FALSE))),"OFFLINE!")</f>
        <v>15.06.2024</v>
      </c>
      <c r="AD807" s="748" t="str">
        <f ca="1">IF(AP807="NE",$V$10,IF(AC807=$V$3,IF(AQ807&lt;1,$V$8,$V$2&amp;" "&amp;AQ807&amp;" "&amp;$V$1),IF(AC807="SKLADEM",$V$6,IFERROR(IF(OR(AC807-TODAY()&gt;45,VLOOKUP(C807,[1]List1!$A:$E,4,FALSE)=0),AC807,DAY(AC807)&amp;"."&amp;MONTH(AC807)&amp;"."&amp;YEAR(AC807)&amp;" "&amp;$V$4&amp;VLOOKUP(C807,[1]List1!$A:$E,4,FALSE)&amp;" "&amp;$V$1),AC807))))</f>
        <v>15.06.2024</v>
      </c>
      <c r="AE807" s="716" t="str">
        <f t="shared" ca="1" si="1926"/>
        <v>15.06.2024</v>
      </c>
      <c r="AF807" s="723">
        <f t="shared" si="1927"/>
        <v>0</v>
      </c>
      <c r="AG807" s="723">
        <f t="shared" si="1928"/>
        <v>0</v>
      </c>
      <c r="AH807" s="724">
        <f t="shared" si="1929"/>
        <v>0</v>
      </c>
      <c r="AI807" s="716">
        <f t="shared" si="1930"/>
        <v>0</v>
      </c>
      <c r="AJ807" s="716">
        <f t="shared" si="1931"/>
        <v>0</v>
      </c>
      <c r="AK807" s="716" t="str">
        <f t="shared" si="1932"/>
        <v/>
      </c>
      <c r="AL807" s="716">
        <f t="shared" si="1933"/>
        <v>0</v>
      </c>
      <c r="AM807" s="716" t="str">
        <f t="shared" si="1934"/>
        <v/>
      </c>
      <c r="AN807" s="716">
        <f t="shared" si="1935"/>
        <v>0</v>
      </c>
      <c r="AO807" s="380"/>
      <c r="AP807" s="322" t="str">
        <f t="shared" si="1852"/>
        <v/>
      </c>
      <c r="AQ807" s="323" t="str">
        <f>IF(AC807=$V$3,IF(VLOOKUP(C807,[1]List1!$A:$E,5,FALSE)=0,1,VLOOKUP(C807,[1]List1!$A:$E,5,FALSE)),"")</f>
        <v/>
      </c>
      <c r="AR807" s="304" t="str">
        <f t="shared" si="1853"/>
        <v/>
      </c>
      <c r="AS807" s="423" t="str">
        <f t="shared" si="1854"/>
        <v/>
      </c>
      <c r="AT807" s="304" t="str">
        <f t="shared" si="1855"/>
        <v/>
      </c>
      <c r="AU807" s="342" t="e">
        <f t="shared" si="1856"/>
        <v>#N/A</v>
      </c>
      <c r="AV807" s="304" t="e">
        <f t="shared" si="1857"/>
        <v>#N/A</v>
      </c>
      <c r="AX807" s="304">
        <f>IF(AND('General price list'!$J807="F4",'General price list'!$AB807+0&gt;0),1,0)</f>
        <v>0</v>
      </c>
      <c r="AY807" s="304">
        <f t="shared" si="1858"/>
        <v>1</v>
      </c>
      <c r="AZ807" s="304">
        <f t="shared" si="1859"/>
        <v>0</v>
      </c>
    </row>
    <row r="808" spans="1:52" ht="15" customHeight="1">
      <c r="A808" s="725" t="str">
        <f>Kat.!C805</f>
        <v/>
      </c>
      <c r="B808" s="749">
        <f>IF(AND('General price list'!$J808="F4",$AI$1=FALSE),0,IF(AC808="SKLADEM",1,IF(AC808=$V$3,1,0)))</f>
        <v>0</v>
      </c>
      <c r="C808" s="727" t="s">
        <v>2764</v>
      </c>
      <c r="D808" s="728" t="s">
        <v>1629</v>
      </c>
      <c r="E808" s="729" t="s">
        <v>136</v>
      </c>
      <c r="F808" s="725">
        <f>IFERROR(ROUND(IF($AL$3=2,VLOOKUP(C808,[2]List1!$A:$D,2,FALSE)*1.08,VLOOKUP(C808,[2]List1!$A:$D,2,FALSE)),0),"NEUVEDENO!")</f>
        <v>6195</v>
      </c>
      <c r="G808" s="730">
        <f t="shared" si="1922"/>
        <v>6195</v>
      </c>
      <c r="H808" s="731">
        <f t="shared" si="1923"/>
        <v>251.73819228002878</v>
      </c>
      <c r="I808" s="750">
        <v>1</v>
      </c>
      <c r="J808" s="729" t="s">
        <v>137</v>
      </c>
      <c r="K808" s="729">
        <v>6</v>
      </c>
      <c r="L808" s="729" t="s">
        <v>24</v>
      </c>
      <c r="M808" s="729" t="s">
        <v>138</v>
      </c>
      <c r="N808" s="729">
        <f>IFERROR(VLOOKUP(C808,[3]List1!$A:$D,4,FALSE),"N/A!")</f>
        <v>8.5522500000000001E-2</v>
      </c>
      <c r="O808" s="729">
        <f>IFERROR(VLOOKUP(C808,[3]List1!$A:$D,3,FALSE),"N/A!")</f>
        <v>2997</v>
      </c>
      <c r="P808" s="729">
        <f>IFERROR(VLOOKUP(C808,[3]List1!$A:$D,2,FALSE),"N/A!")</f>
        <v>30200</v>
      </c>
      <c r="Q808" s="729" t="s">
        <v>2799</v>
      </c>
      <c r="R808" s="729" t="s">
        <v>24</v>
      </c>
      <c r="S808" s="729" t="str">
        <f>IF($W$17=$AF$1,"červená fólie",IFERROR(VLOOKUP("červená fólie",Jazyky_ceník!$A:$Q,MATCH($W$17,Jazyky_ceník!$A$1:$Q$1,0),FALSE),"!!!"))</f>
        <v>červená fólie</v>
      </c>
      <c r="T808" s="729">
        <v>100</v>
      </c>
      <c r="U808" s="729">
        <v>60</v>
      </c>
      <c r="V808" s="729">
        <v>40</v>
      </c>
      <c r="W808" s="729" t="str">
        <f>IFERROR(VLOOKUP('General price list'!$C808,Popisy!A:P,MATCH($W$17,Popisy!$A$7:$P$7,0),FALSE),"---------------")</f>
        <v>15 různobarevných efektů</v>
      </c>
      <c r="X808" s="729" t="str">
        <f t="shared" si="1924"/>
        <v/>
      </c>
      <c r="Y808" s="729" t="str">
        <f t="shared" si="1925"/>
        <v/>
      </c>
      <c r="Z808" s="729" t="str">
        <f>HYPERLINK("https://www.klasekpyrotechnics.cz/c755r-c_t")</f>
        <v>https://www.klasekpyrotechnics.cz/c755r-c_t</v>
      </c>
      <c r="AA808" s="729">
        <f>IFERROR(IF(VLOOKUP(C808,[4]List1!$A:$D,4,FALSE)=0,"",VLOOKUP(C808,[4]List1!$A:$D,4,FALSE)),"")</f>
        <v>24</v>
      </c>
      <c r="AB808" s="720"/>
      <c r="AC808" s="751" t="str">
        <f>IFERROR(IF(VLOOKUP(C808,[1]List1!$A:$D,2,FALSE)="VYPRODÁNO",$V$9,IF(VLOOKUP(C808,[1]List1!$A:$D,2,FALSE)="DOCHÁZÍ",$V$3,VLOOKUP(C808,[1]List1!$A:$D,2,FALSE))),"OFFLINE!")</f>
        <v>15.08.2024</v>
      </c>
      <c r="AD808" s="752" t="str">
        <f ca="1">IF(AP808="NE",$V$10,IF(AC808=$V$3,IF(AQ808&lt;1,$V$8,$V$2&amp;" "&amp;AQ808&amp;" "&amp;$V$1),IF(AC808="SKLADEM",$V$6,IFERROR(IF(OR(AC808-TODAY()&gt;45,VLOOKUP(C808,[1]List1!$A:$E,4,FALSE)=0),AC808,DAY(AC808)&amp;"."&amp;MONTH(AC808)&amp;"."&amp;YEAR(AC808)&amp;" "&amp;$V$4&amp;VLOOKUP(C808,[1]List1!$A:$E,4,FALSE)&amp;" "&amp;$V$1),AC808))))</f>
        <v>15.08.2024</v>
      </c>
      <c r="AE808" s="729" t="str">
        <f t="shared" ca="1" si="1926"/>
        <v>15.08.2024</v>
      </c>
      <c r="AF808" s="735">
        <f t="shared" si="1927"/>
        <v>0</v>
      </c>
      <c r="AG808" s="735">
        <f t="shared" si="1928"/>
        <v>0</v>
      </c>
      <c r="AH808" s="736">
        <f t="shared" si="1929"/>
        <v>0</v>
      </c>
      <c r="AI808" s="729">
        <f t="shared" si="1930"/>
        <v>0</v>
      </c>
      <c r="AJ808" s="729">
        <f t="shared" si="1931"/>
        <v>0</v>
      </c>
      <c r="AK808" s="729" t="str">
        <f t="shared" si="1932"/>
        <v/>
      </c>
      <c r="AL808" s="729">
        <f t="shared" si="1933"/>
        <v>0</v>
      </c>
      <c r="AM808" s="729" t="str">
        <f t="shared" si="1934"/>
        <v/>
      </c>
      <c r="AN808" s="729">
        <f t="shared" si="1935"/>
        <v>0</v>
      </c>
      <c r="AO808" s="380"/>
      <c r="AP808" s="322" t="str">
        <f t="shared" si="1852"/>
        <v/>
      </c>
      <c r="AQ808" s="323" t="str">
        <f>IF(AC808=$V$3,IF(VLOOKUP(C808,[1]List1!$A:$E,5,FALSE)=0,1,VLOOKUP(C808,[1]List1!$A:$E,5,FALSE)),"")</f>
        <v/>
      </c>
      <c r="AR808" s="304" t="str">
        <f t="shared" si="1853"/>
        <v/>
      </c>
      <c r="AS808" s="423" t="str">
        <f t="shared" si="1854"/>
        <v/>
      </c>
      <c r="AT808" s="304" t="str">
        <f t="shared" si="1855"/>
        <v/>
      </c>
      <c r="AU808" s="342" t="e">
        <f t="shared" si="1856"/>
        <v>#N/A</v>
      </c>
      <c r="AV808" s="304" t="e">
        <f t="shared" si="1857"/>
        <v>#N/A</v>
      </c>
      <c r="AX808" s="304">
        <f>IF(AND('General price list'!$J808="F4",'General price list'!$AB808+0&gt;0),1,0)</f>
        <v>0</v>
      </c>
      <c r="AY808" s="304">
        <f t="shared" si="1858"/>
        <v>1</v>
      </c>
      <c r="AZ808" s="304">
        <f t="shared" si="1859"/>
        <v>0</v>
      </c>
    </row>
    <row r="809" spans="1:52" ht="15" customHeight="1">
      <c r="A809" s="712" t="str">
        <f>Kat.!C806</f>
        <v/>
      </c>
      <c r="B809" s="745">
        <f>IF(AND('General price list'!$J809="F4",$AI$1=FALSE),0,IF(AC809="SKLADEM",1,IF(AC809=$V$3,1,0)))</f>
        <v>0</v>
      </c>
      <c r="C809" s="714" t="s">
        <v>2765</v>
      </c>
      <c r="D809" s="715" t="s">
        <v>2585</v>
      </c>
      <c r="E809" s="716" t="s">
        <v>136</v>
      </c>
      <c r="F809" s="712">
        <f>IFERROR(ROUND(IF($AL$3=2,VLOOKUP(C809,[2]List1!$A:$D,2,FALSE)*1.08,VLOOKUP(C809,[2]List1!$A:$D,2,FALSE)),0),"NEUVEDENO!")</f>
        <v>7830</v>
      </c>
      <c r="G809" s="717">
        <f t="shared" si="1922"/>
        <v>7830</v>
      </c>
      <c r="H809" s="718">
        <f t="shared" si="1923"/>
        <v>318.17756990357151</v>
      </c>
      <c r="I809" s="746">
        <v>1</v>
      </c>
      <c r="J809" s="716" t="s">
        <v>137</v>
      </c>
      <c r="K809" s="716">
        <v>6</v>
      </c>
      <c r="L809" s="716" t="s">
        <v>24</v>
      </c>
      <c r="M809" s="716" t="s">
        <v>138</v>
      </c>
      <c r="N809" s="716">
        <f>IFERROR(VLOOKUP(C809,[3]List1!$A:$D,4,FALSE),"N/A!")</f>
        <v>9.9066000000000015E-2</v>
      </c>
      <c r="O809" s="716">
        <f>IFERROR(VLOOKUP(C809,[3]List1!$A:$D,3,FALSE),"N/A!")</f>
        <v>3000</v>
      </c>
      <c r="P809" s="716">
        <f>IFERROR(VLOOKUP(C809,[3]List1!$A:$D,2,FALSE),"N/A!")</f>
        <v>36000</v>
      </c>
      <c r="Q809" s="716" t="s">
        <v>14258</v>
      </c>
      <c r="R809" s="716" t="s">
        <v>24</v>
      </c>
      <c r="S809" s="716" t="str">
        <f>IF($W$17=$AF$1,"červená fólie",IFERROR(VLOOKUP("červená fólie",Jazyky_ceník!$A:$Q,MATCH($W$17,Jazyky_ceník!$A$1:$Q$1,0),FALSE),"!!!"))</f>
        <v>červená fólie</v>
      </c>
      <c r="T809" s="716">
        <v>150</v>
      </c>
      <c r="U809" s="716">
        <v>60</v>
      </c>
      <c r="V809" s="716">
        <v>37</v>
      </c>
      <c r="W809" s="716" t="str">
        <f>IFERROR(VLOOKUP('General price list'!$C809,Popisy!A:P,MATCH($W$17,Popisy!$A$7:$P$7,0),FALSE),"---------------")</f>
        <v>21 různobarevných efektů</v>
      </c>
      <c r="X809" s="716" t="str">
        <f t="shared" si="1924"/>
        <v/>
      </c>
      <c r="Y809" s="716" t="str">
        <f t="shared" si="1925"/>
        <v/>
      </c>
      <c r="Z809" s="716" t="str">
        <f>HYPERLINK("https://www.klasekpyrotechnics.cz/c10545gi-c_t")</f>
        <v>https://www.klasekpyrotechnics.cz/c10545gi-c_t</v>
      </c>
      <c r="AA809" s="716">
        <f>IFERROR(IF(VLOOKUP(C809,[4]List1!$A:$D,4,FALSE)=0,"",VLOOKUP(C809,[4]List1!$A:$D,4,FALSE)),"")</f>
        <v>15</v>
      </c>
      <c r="AB809" s="720"/>
      <c r="AC809" s="747" t="str">
        <f>IFERROR(IF(VLOOKUP(C809,[1]List1!$A:$D,2,FALSE)="VYPRODÁNO",$V$9,IF(VLOOKUP(C809,[1]List1!$A:$D,2,FALSE)="DOCHÁZÍ",$V$3,VLOOKUP(C809,[1]List1!$A:$D,2,FALSE))),"OFFLINE!")</f>
        <v>15.06.2024</v>
      </c>
      <c r="AD809" s="748" t="str">
        <f ca="1">IF(AP809="NE",$V$10,IF(AC809=$V$3,IF(AQ809&lt;1,$V$8,$V$2&amp;" "&amp;AQ809&amp;" "&amp;$V$1),IF(AC809="SKLADEM",$V$6,IFERROR(IF(OR(AC809-TODAY()&gt;45,VLOOKUP(C809,[1]List1!$A:$E,4,FALSE)=0),AC809,DAY(AC809)&amp;"."&amp;MONTH(AC809)&amp;"."&amp;YEAR(AC809)&amp;" "&amp;$V$4&amp;VLOOKUP(C809,[1]List1!$A:$E,4,FALSE)&amp;" "&amp;$V$1),AC809))))</f>
        <v>15.06.2024</v>
      </c>
      <c r="AE809" s="716" t="str">
        <f t="shared" ca="1" si="1926"/>
        <v>15.06.2024</v>
      </c>
      <c r="AF809" s="723">
        <f t="shared" si="1927"/>
        <v>0</v>
      </c>
      <c r="AG809" s="723">
        <f t="shared" si="1928"/>
        <v>0</v>
      </c>
      <c r="AH809" s="724">
        <f t="shared" si="1929"/>
        <v>0</v>
      </c>
      <c r="AI809" s="716">
        <f t="shared" si="1930"/>
        <v>0</v>
      </c>
      <c r="AJ809" s="716">
        <f t="shared" si="1931"/>
        <v>0</v>
      </c>
      <c r="AK809" s="716" t="str">
        <f t="shared" si="1932"/>
        <v/>
      </c>
      <c r="AL809" s="716">
        <f t="shared" si="1933"/>
        <v>0</v>
      </c>
      <c r="AM809" s="716" t="str">
        <f t="shared" si="1934"/>
        <v/>
      </c>
      <c r="AN809" s="716">
        <f t="shared" si="1935"/>
        <v>0</v>
      </c>
      <c r="AO809" s="380"/>
      <c r="AP809" s="322" t="str">
        <f t="shared" si="1852"/>
        <v/>
      </c>
      <c r="AQ809" s="323" t="str">
        <f>IF(AC809=$V$3,IF(VLOOKUP(C809,[1]List1!$A:$E,5,FALSE)=0,1,VLOOKUP(C809,[1]List1!$A:$E,5,FALSE)),"")</f>
        <v/>
      </c>
      <c r="AR809" s="304" t="str">
        <f t="shared" si="1853"/>
        <v/>
      </c>
      <c r="AS809" s="423" t="str">
        <f t="shared" si="1854"/>
        <v/>
      </c>
      <c r="AT809" s="304" t="str">
        <f t="shared" si="1855"/>
        <v/>
      </c>
      <c r="AU809" s="342" t="e">
        <f t="shared" si="1856"/>
        <v>#N/A</v>
      </c>
      <c r="AV809" s="304" t="e">
        <f t="shared" si="1857"/>
        <v>#N/A</v>
      </c>
      <c r="AX809" s="304">
        <f>IF(AND('General price list'!$J809="F4",'General price list'!$AB809+0&gt;0),1,0)</f>
        <v>0</v>
      </c>
      <c r="AY809" s="304">
        <f t="shared" si="1858"/>
        <v>1</v>
      </c>
      <c r="AZ809" s="304">
        <f t="shared" si="1859"/>
        <v>0</v>
      </c>
    </row>
    <row r="810" spans="1:52" ht="15" customHeight="1">
      <c r="A810" s="773" t="str">
        <f>Kat.!C807</f>
        <v xml:space="preserve">                                                               Baterie min 250ran, 50mm moždíř-1.3G</v>
      </c>
      <c r="B810" s="774"/>
      <c r="C810" s="774"/>
      <c r="D810" s="774"/>
      <c r="E810" s="774"/>
      <c r="F810" s="774"/>
      <c r="G810" s="774"/>
      <c r="H810" s="774"/>
      <c r="I810" s="774"/>
      <c r="J810" s="774"/>
      <c r="K810" s="774"/>
      <c r="L810" s="774"/>
      <c r="M810" s="774"/>
      <c r="N810" s="774"/>
      <c r="O810" s="774"/>
      <c r="P810" s="774"/>
      <c r="Q810" s="774"/>
      <c r="R810" s="774"/>
      <c r="S810" s="774"/>
      <c r="T810" s="774"/>
      <c r="U810" s="774"/>
      <c r="V810" s="774"/>
      <c r="W810" s="774"/>
      <c r="X810" s="774"/>
      <c r="Y810" s="774"/>
      <c r="Z810" s="774"/>
      <c r="AA810" s="774" t="str">
        <f>IFERROR(IF(VLOOKUP(C810,[4]List1!$A:$D,4,FALSE)=0,"",VLOOKUP(C810,[4]List1!$A:$D,4,FALSE)),"")</f>
        <v/>
      </c>
      <c r="AB810" s="774"/>
      <c r="AC810" s="775" t="str">
        <f>IFERROR(IF(VLOOKUP(C810,[1]List1!$A:$D,2,FALSE)="VYPRODÁNO",$V$9,IF(VLOOKUP(C810,[1]List1!$A:$D,2,FALSE)="DOCHÁZÍ",$V$3,VLOOKUP(C810,[1]List1!$A:$D,2,FALSE))),"OFFLINE!")</f>
        <v>OFFLINE!</v>
      </c>
      <c r="AD810" s="774"/>
      <c r="AE810" s="774"/>
      <c r="AF810" s="774"/>
      <c r="AG810" s="774"/>
      <c r="AH810" s="774"/>
      <c r="AI810" s="774"/>
      <c r="AJ810" s="774"/>
      <c r="AK810" s="774"/>
      <c r="AL810" s="774"/>
      <c r="AM810" s="774"/>
      <c r="AN810" s="774"/>
      <c r="AO810" s="380"/>
      <c r="AP810" s="322" t="str">
        <f t="shared" si="1852"/>
        <v/>
      </c>
      <c r="AQ810" s="323" t="str">
        <f>IF(AC810=$V$3,IF(VLOOKUP(C810,[1]List1!$A:$E,5,FALSE)=0,1,VLOOKUP(C810,[1]List1!$A:$E,5,FALSE)),"")</f>
        <v/>
      </c>
      <c r="AR810" s="304" t="str">
        <f t="shared" si="1853"/>
        <v/>
      </c>
      <c r="AS810" s="423" t="str">
        <f t="shared" si="1854"/>
        <v/>
      </c>
      <c r="AT810" s="304" t="str">
        <f t="shared" si="1855"/>
        <v/>
      </c>
      <c r="AU810" s="342" t="e">
        <f t="shared" si="1856"/>
        <v>#N/A</v>
      </c>
      <c r="AV810" s="304" t="e">
        <f t="shared" si="1857"/>
        <v>#N/A</v>
      </c>
      <c r="AX810" s="304">
        <f>IF(AND('General price list'!$J810="F4",'General price list'!$AB810+0&gt;0),1,0)</f>
        <v>0</v>
      </c>
      <c r="AY810" s="304">
        <f t="shared" si="1858"/>
        <v>0</v>
      </c>
      <c r="AZ810" s="304">
        <f t="shared" si="1859"/>
        <v>0</v>
      </c>
    </row>
    <row r="811" spans="1:52" ht="15" customHeight="1">
      <c r="A811" s="712" t="str">
        <f>Kat.!C808</f>
        <v/>
      </c>
      <c r="B811" s="713">
        <f>IF(AND('General price list'!$J811="F4",$AI$1=FALSE),0,IF(AC811="SKLADEM",1,IF(AC811=$V$3,1,0)))</f>
        <v>0</v>
      </c>
      <c r="C811" s="714" t="s">
        <v>1630</v>
      </c>
      <c r="D811" s="715" t="s">
        <v>1631</v>
      </c>
      <c r="E811" s="716" t="s">
        <v>1078</v>
      </c>
      <c r="F811" s="712">
        <f>IFERROR(ROUND(IF($AL$3=2,VLOOKUP(C811,[2]List1!$A:$D,2,FALSE)*1.08,VLOOKUP(C811,[2]List1!$A:$D,2,FALSE)),0),"NEUVEDENO!")</f>
        <v>2034</v>
      </c>
      <c r="G811" s="717">
        <f>(F811)*$B$19</f>
        <v>2034</v>
      </c>
      <c r="H811" s="718">
        <f>G811/$F$19</f>
        <v>82.653023905985236</v>
      </c>
      <c r="I811" s="719">
        <v>2</v>
      </c>
      <c r="J811" s="716" t="s">
        <v>137</v>
      </c>
      <c r="K811" s="716"/>
      <c r="L811" s="716" t="s">
        <v>24</v>
      </c>
      <c r="M811" s="716" t="s">
        <v>138</v>
      </c>
      <c r="N811" s="716">
        <f>IFERROR(VLOOKUP(C811,[3]List1!$A:$D,4,FALSE),"N/A!")</f>
        <v>6.3488000000000003E-2</v>
      </c>
      <c r="O811" s="716">
        <f>IFERROR(VLOOKUP(C811,[3]List1!$A:$D,3,FALSE),"N/A!")</f>
        <v>2000</v>
      </c>
      <c r="P811" s="716">
        <f>IFERROR(VLOOKUP(C811,[3]List1!$A:$D,2,FALSE),"N/A!")</f>
        <v>17000</v>
      </c>
      <c r="Q811" s="716" t="s">
        <v>14345</v>
      </c>
      <c r="R811" s="716" t="s">
        <v>24</v>
      </c>
      <c r="S811" s="716" t="str">
        <f>IF($W$17=$AF$1,"design",IFERROR(VLOOKUP("design",Jazyky_ceník!$A:$Q,MATCH($W$17,Jazyky_ceník!$A$1:$Q$1,0),FALSE),"!!!"))</f>
        <v>design</v>
      </c>
      <c r="T811" s="716">
        <v>30</v>
      </c>
      <c r="U811" s="716"/>
      <c r="V811" s="716"/>
      <c r="W811" s="716" t="str">
        <f>IFERROR(VLOOKUP('General price list'!$C811,Popisy!A:P,MATCH($W$17,Popisy!$A$7:$P$7,0),FALSE),"---------------")</f>
        <v>Bílá mina s červenou stopou a titanovou explozí(každý moždíř obsahuje 10ran)</v>
      </c>
      <c r="X811" s="716" t="str">
        <f>IF(AB811&lt;0.0001,"",AB811)</f>
        <v/>
      </c>
      <c r="Y811" s="716" t="str">
        <f>IF($AL$3=2,IF(OR(AB811&lt;&gt;"",AB811&lt;&gt;0),AU811,""),IF(C811="","",IF(AB811&lt;0.0001,"",IF(B811=0,"",IF(AQ811&lt;AB811,"",AB811)))))</f>
        <v/>
      </c>
      <c r="Z811" s="716" t="str">
        <f>HYPERLINK("https://www.klasekpyrotechnics.cz/c2505d")</f>
        <v>https://www.klasekpyrotechnics.cz/c2505d</v>
      </c>
      <c r="AA811" s="716">
        <f>IFERROR(IF(VLOOKUP(C811,[4]List1!$A:$D,4,FALSE)=0,"",VLOOKUP(C811,[4]List1!$A:$D,4,FALSE)),"")</f>
        <v>20</v>
      </c>
      <c r="AB811" s="720"/>
      <c r="AC811" s="721" t="str">
        <f>IFERROR(IF(VLOOKUP(C811,[1]List1!$A:$D,2,FALSE)="VYPRODÁNO",$V$9,IF(VLOOKUP(C811,[1]List1!$A:$D,2,FALSE)="DOCHÁZÍ",$V$3,VLOOKUP(C811,[1]List1!$A:$D,2,FALSE))),"OFFLINE!")</f>
        <v>15.07.2024</v>
      </c>
      <c r="AD811" s="722" t="str">
        <f ca="1">IF(AP811="NE",$V$10,IF(AC811=$V$3,IF(AQ811&lt;1,$V$8,$V$2&amp;" "&amp;AQ811&amp;" "&amp;$V$1),IF(AC811="SKLADEM",$V$6,IFERROR(IF(OR(AC811-TODAY()&gt;45,VLOOKUP(C811,[1]List1!$A:$E,4,FALSE)=0),AC811,DAY(AC811)&amp;"."&amp;MONTH(AC811)&amp;"."&amp;YEAR(AC811)&amp;" "&amp;$V$4&amp;VLOOKUP(C811,[1]List1!$A:$E,4,FALSE)&amp;" "&amp;$V$1),AC811))))</f>
        <v>15.07.2024</v>
      </c>
      <c r="AE811" s="716" t="str">
        <f t="shared" ref="AE811" ca="1" si="1936">IFERROR(IF(AV811&lt;&gt;"",AV811,AD811),AD811)</f>
        <v>15.07.2024</v>
      </c>
      <c r="AF811" s="723">
        <f t="shared" ref="AF811" si="1937">IFERROR(IF(AB811=Y811,G811*I811*Y811,0),0)</f>
        <v>0</v>
      </c>
      <c r="AG811" s="723">
        <f t="shared" ref="AG811" si="1938">IF($W$17=$AF$8,AH811*1.23,AF811*1.21)</f>
        <v>0</v>
      </c>
      <c r="AH811" s="724">
        <f t="shared" ref="AH811" si="1939">IFERROR(IF(Y811=AB811,H811*I811*Y811,0),0)</f>
        <v>0</v>
      </c>
      <c r="AI811" s="716">
        <f t="shared" ref="AI811" si="1940">IFERROR(IF(Y811=AB811,(P811*Y811)/1000,1),0)</f>
        <v>0</v>
      </c>
      <c r="AJ811" s="716">
        <f t="shared" ref="AJ811" si="1941">IFERROR(IF(Y811=AB811,N811*Y811,0.1),0)</f>
        <v>0</v>
      </c>
      <c r="AK811" s="716" t="str">
        <f t="shared" ref="AK811" si="1942">IFERROR(IF(Y811=AB811,IF(M811="1.1G",(O811/1000)*Y811,""),""),0)</f>
        <v/>
      </c>
      <c r="AL811" s="716">
        <f t="shared" ref="AL811" si="1943">IFERROR(IF(Y811=AB811,IF(M811="1.3G",(O811/1000)*AB811,""),""),0)</f>
        <v>0</v>
      </c>
      <c r="AM811" s="716" t="str">
        <f t="shared" ref="AM811" si="1944">IFERROR(IF(Y811=AB811,IF(M811="1.4G",(O811/1000)*AB811,""),""),0)</f>
        <v/>
      </c>
      <c r="AN811" s="716">
        <f t="shared" ref="AN811" si="1945">SUM(AK811:AM811)</f>
        <v>0</v>
      </c>
      <c r="AO811" s="380"/>
      <c r="AP811" s="322" t="str">
        <f t="shared" si="1852"/>
        <v/>
      </c>
      <c r="AQ811" s="323" t="str">
        <f>IF(AC811=$V$3,IF(VLOOKUP(C811,[1]List1!$A:$E,5,FALSE)=0,1,VLOOKUP(C811,[1]List1!$A:$E,5,FALSE)),"")</f>
        <v/>
      </c>
      <c r="AR811" s="304" t="str">
        <f t="shared" si="1853"/>
        <v/>
      </c>
      <c r="AS811" s="423" t="str">
        <f t="shared" si="1854"/>
        <v/>
      </c>
      <c r="AT811" s="304" t="str">
        <f t="shared" si="1855"/>
        <v/>
      </c>
      <c r="AU811" s="342" t="e">
        <f t="shared" si="1856"/>
        <v>#N/A</v>
      </c>
      <c r="AV811" s="304" t="e">
        <f t="shared" si="1857"/>
        <v>#N/A</v>
      </c>
      <c r="AX811" s="304">
        <f>IF(AND('General price list'!$J811="F4",'General price list'!$AB811+0&gt;0),1,0)</f>
        <v>0</v>
      </c>
      <c r="AY811" s="304">
        <f t="shared" si="1858"/>
        <v>1</v>
      </c>
      <c r="AZ811" s="304">
        <f t="shared" si="1859"/>
        <v>0</v>
      </c>
    </row>
    <row r="812" spans="1:52" ht="15" customHeight="1">
      <c r="A812" s="773" t="str">
        <f>Kat.!C809</f>
        <v xml:space="preserve">                                                               Baterie 24ran, 63mm moždíř-1.3G</v>
      </c>
      <c r="B812" s="774"/>
      <c r="C812" s="774"/>
      <c r="D812" s="774"/>
      <c r="E812" s="774"/>
      <c r="F812" s="774"/>
      <c r="G812" s="774"/>
      <c r="H812" s="774"/>
      <c r="I812" s="774"/>
      <c r="J812" s="774"/>
      <c r="K812" s="774"/>
      <c r="L812" s="774"/>
      <c r="M812" s="774"/>
      <c r="N812" s="774"/>
      <c r="O812" s="774"/>
      <c r="P812" s="774"/>
      <c r="Q812" s="774"/>
      <c r="R812" s="774"/>
      <c r="S812" s="774"/>
      <c r="T812" s="774"/>
      <c r="U812" s="774"/>
      <c r="V812" s="774"/>
      <c r="W812" s="774"/>
      <c r="X812" s="774"/>
      <c r="Y812" s="774"/>
      <c r="Z812" s="774"/>
      <c r="AA812" s="774" t="str">
        <f>IFERROR(IF(VLOOKUP(C812,[4]List1!$A:$D,4,FALSE)=0,"",VLOOKUP(C812,[4]List1!$A:$D,4,FALSE)),"")</f>
        <v/>
      </c>
      <c r="AB812" s="774"/>
      <c r="AC812" s="775" t="str">
        <f>IFERROR(IF(VLOOKUP(C812,[1]List1!$A:$D,2,FALSE)="VYPRODÁNO",$V$9,IF(VLOOKUP(C812,[1]List1!$A:$D,2,FALSE)="DOCHÁZÍ",$V$3,VLOOKUP(C812,[1]List1!$A:$D,2,FALSE))),"OFFLINE!")</f>
        <v>OFFLINE!</v>
      </c>
      <c r="AD812" s="774"/>
      <c r="AE812" s="774"/>
      <c r="AF812" s="774"/>
      <c r="AG812" s="774"/>
      <c r="AH812" s="774"/>
      <c r="AI812" s="774"/>
      <c r="AJ812" s="774"/>
      <c r="AK812" s="774"/>
      <c r="AL812" s="774"/>
      <c r="AM812" s="774"/>
      <c r="AN812" s="774"/>
      <c r="AO812" s="380"/>
      <c r="AP812" s="322" t="str">
        <f t="shared" si="1852"/>
        <v/>
      </c>
      <c r="AQ812" s="323" t="str">
        <f>IF(AC812=$V$3,IF(VLOOKUP(C812,[1]List1!$A:$E,5,FALSE)=0,1,VLOOKUP(C812,[1]List1!$A:$E,5,FALSE)),"")</f>
        <v/>
      </c>
      <c r="AR812" s="304" t="str">
        <f t="shared" si="1853"/>
        <v/>
      </c>
      <c r="AS812" s="423" t="str">
        <f t="shared" si="1854"/>
        <v/>
      </c>
      <c r="AT812" s="304" t="str">
        <f t="shared" si="1855"/>
        <v/>
      </c>
      <c r="AU812" s="342" t="e">
        <f t="shared" si="1856"/>
        <v>#N/A</v>
      </c>
      <c r="AV812" s="304" t="e">
        <f t="shared" si="1857"/>
        <v>#N/A</v>
      </c>
      <c r="AX812" s="304">
        <f>IF(AND('General price list'!$J812="F4",'General price list'!$AB812+0&gt;0),1,0)</f>
        <v>0</v>
      </c>
      <c r="AY812" s="304">
        <f t="shared" si="1858"/>
        <v>0</v>
      </c>
      <c r="AZ812" s="304">
        <f t="shared" si="1859"/>
        <v>0</v>
      </c>
    </row>
    <row r="813" spans="1:52" ht="15" customHeight="1">
      <c r="A813" s="712" t="str">
        <f>Kat.!C810</f>
        <v/>
      </c>
      <c r="B813" s="713">
        <f>IF(AND('General price list'!$J813="F4",$AI$1=FALSE),0,IF(AC813="SKLADEM",1,IF(AC813=$V$3,1,0)))</f>
        <v>0</v>
      </c>
      <c r="C813" s="714" t="s">
        <v>1636</v>
      </c>
      <c r="D813" s="715" t="s">
        <v>1637</v>
      </c>
      <c r="E813" s="716" t="s">
        <v>1078</v>
      </c>
      <c r="F813" s="712">
        <f>IFERROR(ROUND(IF($AL$3=2,VLOOKUP(C813,[2]List1!$A:$D,2,FALSE)*1.08,VLOOKUP(C813,[2]List1!$A:$D,2,FALSE)),0),"NEUVEDENO!")</f>
        <v>4438</v>
      </c>
      <c r="G813" s="717">
        <f>(F813)*$B$19</f>
        <v>4438</v>
      </c>
      <c r="H813" s="718">
        <f>G813/$F$19</f>
        <v>180.3412586503257</v>
      </c>
      <c r="I813" s="719">
        <v>2</v>
      </c>
      <c r="J813" s="716" t="s">
        <v>709</v>
      </c>
      <c r="K813" s="716"/>
      <c r="L813" s="716" t="s">
        <v>24</v>
      </c>
      <c r="M813" s="716" t="s">
        <v>138</v>
      </c>
      <c r="N813" s="716">
        <f>IFERROR(VLOOKUP(C813,[3]List1!$A:$D,4,FALSE),"N/A!")</f>
        <v>9.917999999999999E-2</v>
      </c>
      <c r="O813" s="716">
        <f>IFERROR(VLOOKUP(C813,[3]List1!$A:$D,3,FALSE),"N/A!")</f>
        <v>1920</v>
      </c>
      <c r="P813" s="716">
        <f>IFERROR(VLOOKUP(C813,[3]List1!$A:$D,2,FALSE),"N/A!")</f>
        <v>25100</v>
      </c>
      <c r="Q813" s="716" t="s">
        <v>14304</v>
      </c>
      <c r="R813" s="716" t="s">
        <v>24</v>
      </c>
      <c r="S813" s="716" t="str">
        <f>IF($W$17=$AF$1,"design",IFERROR(VLOOKUP("design",Jazyky_ceník!$A:$Q,MATCH($W$17,Jazyky_ceník!$A$1:$Q$1,0),FALSE),"!!!"))</f>
        <v>design</v>
      </c>
      <c r="T813" s="716">
        <v>50</v>
      </c>
      <c r="U813" s="716">
        <v>75</v>
      </c>
      <c r="V813" s="716">
        <v>47</v>
      </c>
      <c r="W813" s="716" t="str">
        <f>IFERROR(VLOOKUP('General price list'!$C813,Popisy!A:P,MATCH($W$17,Popisy!$A$7:$P$7,0),FALSE),"---------------")</f>
        <v>6 různobarevných efektů</v>
      </c>
      <c r="X813" s="716" t="str">
        <f>IF(AB813&lt;0.0001,"",AB813)</f>
        <v/>
      </c>
      <c r="Y813" s="716" t="str">
        <f>IF($AL$3=2,IF(OR(AB813&lt;&gt;"",AB813&lt;&gt;0),AU813,""),IF(C813="","",IF(AB813&lt;0.0001,"",IF(B813=0,"",IF(AQ813&lt;AB813,"",AB813)))))</f>
        <v/>
      </c>
      <c r="Z813" s="716" t="str">
        <f>HYPERLINK("https://www.klasekpyrotechnics.cz/c2463b")</f>
        <v>https://www.klasekpyrotechnics.cz/c2463b</v>
      </c>
      <c r="AA813" s="716" t="str">
        <f>IFERROR(IF(VLOOKUP(C813,[4]List1!$A:$D,4,FALSE)=0,"",VLOOKUP(C813,[4]List1!$A:$D,4,FALSE)),"")</f>
        <v>16</v>
      </c>
      <c r="AB813" s="720"/>
      <c r="AC813" s="721" t="str">
        <f>IFERROR(IF(VLOOKUP(C813,[1]List1!$A:$D,2,FALSE)="VYPRODÁNO",$V$9,IF(VLOOKUP(C813,[1]List1!$A:$D,2,FALSE)="DOCHÁZÍ",$V$3,VLOOKUP(C813,[1]List1!$A:$D,2,FALSE))),"OFFLINE!")</f>
        <v>30.04.2024</v>
      </c>
      <c r="AD813" s="722" t="str">
        <f ca="1">IF(AP813="NE",$V$10,IF(AC813=$V$3,IF(AQ813&lt;1,$V$8,$V$2&amp;" "&amp;AQ813&amp;" "&amp;$V$1),IF(AC813="SKLADEM",$V$6,IFERROR(IF(OR(AC813-TODAY()&gt;45,VLOOKUP(C813,[1]List1!$A:$E,4,FALSE)=0),AC813,DAY(AC813)&amp;"."&amp;MONTH(AC813)&amp;"."&amp;YEAR(AC813)&amp;" "&amp;$V$4&amp;VLOOKUP(C813,[1]List1!$A:$E,4,FALSE)&amp;" "&amp;$V$1),AC813))))</f>
        <v>30.04.2024</v>
      </c>
      <c r="AE813" s="716" t="str">
        <f t="shared" ref="AE813" ca="1" si="1946">IFERROR(IF(AV813&lt;&gt;"",AV813,AD813),AD813)</f>
        <v>30.04.2024</v>
      </c>
      <c r="AF813" s="723">
        <f t="shared" ref="AF813" si="1947">IFERROR(IF(AB813=Y813,G813*I813*Y813,0),0)</f>
        <v>0</v>
      </c>
      <c r="AG813" s="723">
        <f t="shared" ref="AG813" si="1948">IF($W$17=$AF$8,AH813*1.23,AF813*1.21)</f>
        <v>0</v>
      </c>
      <c r="AH813" s="724">
        <f t="shared" ref="AH813" si="1949">IFERROR(IF(Y813=AB813,H813*I813*Y813,0),0)</f>
        <v>0</v>
      </c>
      <c r="AI813" s="716">
        <f t="shared" ref="AI813" si="1950">IFERROR(IF(Y813=AB813,(P813*Y813)/1000,1),0)</f>
        <v>0</v>
      </c>
      <c r="AJ813" s="716">
        <f t="shared" ref="AJ813" si="1951">IFERROR(IF(Y813=AB813,N813*Y813,0.1),0)</f>
        <v>0</v>
      </c>
      <c r="AK813" s="716" t="str">
        <f t="shared" ref="AK813" si="1952">IFERROR(IF(Y813=AB813,IF(M813="1.1G",(O813/1000)*Y813,""),""),0)</f>
        <v/>
      </c>
      <c r="AL813" s="716">
        <f t="shared" ref="AL813" si="1953">IFERROR(IF(Y813=AB813,IF(M813="1.3G",(O813/1000)*AB813,""),""),0)</f>
        <v>0</v>
      </c>
      <c r="AM813" s="716" t="str">
        <f t="shared" ref="AM813" si="1954">IFERROR(IF(Y813=AB813,IF(M813="1.4G",(O813/1000)*AB813,""),""),0)</f>
        <v/>
      </c>
      <c r="AN813" s="716">
        <f t="shared" ref="AN813" si="1955">SUM(AK813:AM813)</f>
        <v>0</v>
      </c>
      <c r="AO813" s="380"/>
      <c r="AP813" s="322" t="str">
        <f t="shared" si="1852"/>
        <v/>
      </c>
      <c r="AQ813" s="323" t="str">
        <f>IF(AC813=$V$3,IF(VLOOKUP(C813,[1]List1!$A:$E,5,FALSE)=0,1,VLOOKUP(C813,[1]List1!$A:$E,5,FALSE)),"")</f>
        <v/>
      </c>
      <c r="AR813" s="304" t="str">
        <f t="shared" si="1853"/>
        <v/>
      </c>
      <c r="AS813" s="423" t="str">
        <f t="shared" si="1854"/>
        <v/>
      </c>
      <c r="AT813" s="304" t="str">
        <f t="shared" si="1855"/>
        <v/>
      </c>
      <c r="AU813" s="342" t="e">
        <f t="shared" si="1856"/>
        <v>#N/A</v>
      </c>
      <c r="AV813" s="304" t="e">
        <f t="shared" si="1857"/>
        <v>#N/A</v>
      </c>
      <c r="AX813" s="304">
        <f>IF(AND('General price list'!$J813="F4",'General price list'!$AB813+0&gt;0),1,0)</f>
        <v>0</v>
      </c>
      <c r="AY813" s="304">
        <f t="shared" si="1858"/>
        <v>1</v>
      </c>
      <c r="AZ813" s="304">
        <f t="shared" si="1859"/>
        <v>0</v>
      </c>
    </row>
    <row r="814" spans="1:52" ht="15" customHeight="1">
      <c r="A814" s="773" t="str">
        <f>Kat.!C811</f>
        <v xml:space="preserve">                                                               Baterie 49ran, 63mm moždíř-1.3G</v>
      </c>
      <c r="B814" s="774"/>
      <c r="C814" s="774"/>
      <c r="D814" s="774"/>
      <c r="E814" s="774"/>
      <c r="F814" s="774"/>
      <c r="G814" s="774"/>
      <c r="H814" s="774"/>
      <c r="I814" s="774"/>
      <c r="J814" s="774"/>
      <c r="K814" s="774"/>
      <c r="L814" s="774"/>
      <c r="M814" s="774"/>
      <c r="N814" s="774"/>
      <c r="O814" s="774"/>
      <c r="P814" s="774"/>
      <c r="Q814" s="774"/>
      <c r="R814" s="774"/>
      <c r="S814" s="774"/>
      <c r="T814" s="774"/>
      <c r="U814" s="774"/>
      <c r="V814" s="774"/>
      <c r="W814" s="774"/>
      <c r="X814" s="774"/>
      <c r="Y814" s="774"/>
      <c r="Z814" s="774"/>
      <c r="AA814" s="774" t="str">
        <f>IFERROR(IF(VLOOKUP(C814,[4]List1!$A:$D,4,FALSE)=0,"",VLOOKUP(C814,[4]List1!$A:$D,4,FALSE)),"")</f>
        <v/>
      </c>
      <c r="AB814" s="774"/>
      <c r="AC814" s="775" t="str">
        <f>IFERROR(IF(VLOOKUP(C814,[1]List1!$A:$D,2,FALSE)="VYPRODÁNO",$V$9,IF(VLOOKUP(C814,[1]List1!$A:$D,2,FALSE)="DOCHÁZÍ",$V$3,VLOOKUP(C814,[1]List1!$A:$D,2,FALSE))),"OFFLINE!")</f>
        <v>OFFLINE!</v>
      </c>
      <c r="AD814" s="774"/>
      <c r="AE814" s="774"/>
      <c r="AF814" s="774"/>
      <c r="AG814" s="774"/>
      <c r="AH814" s="774"/>
      <c r="AI814" s="774"/>
      <c r="AJ814" s="774"/>
      <c r="AK814" s="774"/>
      <c r="AL814" s="774"/>
      <c r="AM814" s="774"/>
      <c r="AN814" s="774"/>
      <c r="AO814" s="380"/>
      <c r="AP814" s="322" t="str">
        <f t="shared" si="1852"/>
        <v/>
      </c>
      <c r="AQ814" s="323" t="str">
        <f>IF(AC814=$V$3,IF(VLOOKUP(C814,[1]List1!$A:$E,5,FALSE)=0,1,VLOOKUP(C814,[1]List1!$A:$E,5,FALSE)),"")</f>
        <v/>
      </c>
      <c r="AR814" s="304" t="str">
        <f t="shared" si="1853"/>
        <v/>
      </c>
      <c r="AS814" s="423" t="str">
        <f t="shared" si="1854"/>
        <v/>
      </c>
      <c r="AT814" s="304" t="str">
        <f t="shared" si="1855"/>
        <v/>
      </c>
      <c r="AU814" s="342" t="e">
        <f t="shared" si="1856"/>
        <v>#N/A</v>
      </c>
      <c r="AV814" s="304" t="e">
        <f t="shared" si="1857"/>
        <v>#N/A</v>
      </c>
      <c r="AX814" s="304">
        <f>IF(AND('General price list'!$J814="F4",'General price list'!$AB814+0&gt;0),1,0)</f>
        <v>0</v>
      </c>
      <c r="AY814" s="304">
        <f t="shared" si="1858"/>
        <v>0</v>
      </c>
      <c r="AZ814" s="304">
        <f t="shared" si="1859"/>
        <v>0</v>
      </c>
    </row>
    <row r="815" spans="1:52" ht="15" customHeight="1">
      <c r="A815" s="712" t="str">
        <f>Kat.!C812</f>
        <v/>
      </c>
      <c r="B815" s="713">
        <f>IF(AND('General price list'!$J815="F4",$AI$1=FALSE),0,IF(AC815="SKLADEM",1,IF(AC815=$V$3,1,0)))</f>
        <v>0</v>
      </c>
      <c r="C815" s="714" t="s">
        <v>1638</v>
      </c>
      <c r="D815" s="715" t="s">
        <v>14609</v>
      </c>
      <c r="E815" s="716" t="s">
        <v>136</v>
      </c>
      <c r="F815" s="712">
        <f>IFERROR(ROUND(IF($AL$3=2,VLOOKUP(C815,[2]List1!$A:$D,2,FALSE)*1.08,VLOOKUP(C815,[2]List1!$A:$D,2,FALSE)),0),"NEUVEDENO!")</f>
        <v>8965</v>
      </c>
      <c r="G815" s="717">
        <f>(F815)*$B$19</f>
        <v>8965</v>
      </c>
      <c r="H815" s="718">
        <f>G815/$F$19</f>
        <v>364.29909504285035</v>
      </c>
      <c r="I815" s="719">
        <v>1</v>
      </c>
      <c r="J815" s="716" t="s">
        <v>709</v>
      </c>
      <c r="K815" s="716"/>
      <c r="L815" s="716" t="s">
        <v>24</v>
      </c>
      <c r="M815" s="716" t="s">
        <v>138</v>
      </c>
      <c r="N815" s="716">
        <f>IFERROR(VLOOKUP(C815,[3]List1!$A:$D,4,FALSE),"N/A!")</f>
        <v>0.10078550000000001</v>
      </c>
      <c r="O815" s="716">
        <f>IFERROR(VLOOKUP(C815,[3]List1!$A:$D,3,FALSE),"N/A!")</f>
        <v>1960</v>
      </c>
      <c r="P815" s="716">
        <f>IFERROR(VLOOKUP(C815,[3]List1!$A:$D,2,FALSE),"N/A!")</f>
        <v>25500</v>
      </c>
      <c r="Q815" s="716" t="s">
        <v>11855</v>
      </c>
      <c r="R815" s="716" t="s">
        <v>24</v>
      </c>
      <c r="S815" s="716" t="str">
        <f>IF($W$17=$AF$1,"design",IFERROR(VLOOKUP("design",Jazyky_ceník!$A:$Q,MATCH($W$17,Jazyky_ceník!$A$1:$Q$1,0),FALSE),"!!!"))</f>
        <v>design</v>
      </c>
      <c r="T815" s="716">
        <v>70</v>
      </c>
      <c r="U815" s="716">
        <v>75</v>
      </c>
      <c r="V815" s="716">
        <v>47</v>
      </c>
      <c r="W815" s="716" t="str">
        <f>IFERROR(VLOOKUP('General price list'!$C815,Popisy!A:P,MATCH($W$17,Popisy!$A$7:$P$7,0),FALSE),"---------------")</f>
        <v>7 různobarevných efektů</v>
      </c>
      <c r="X815" s="716" t="str">
        <f>IF(AB815&lt;0.0001,"",AB815)</f>
        <v/>
      </c>
      <c r="Y815" s="716" t="str">
        <f>IF($AL$3=2,IF(OR(AB815&lt;&gt;"",AB815&lt;&gt;0),AU815,""),IF(C815="","",IF(AB815&lt;0.0001,"",IF(B815=0,"",IF(AQ815&lt;AB815,"",AB815)))))</f>
        <v/>
      </c>
      <c r="Z815" s="716" t="str">
        <f>HYPERLINK("https://www.klasekpyrotechnics.cz/c4963v")</f>
        <v>https://www.klasekpyrotechnics.cz/c4963v</v>
      </c>
      <c r="AA815" s="716">
        <f>IFERROR(IF(VLOOKUP(C815,[4]List1!$A:$D,4,FALSE)=0,"",VLOOKUP(C815,[4]List1!$A:$D,4,FALSE)),"")</f>
        <v>8</v>
      </c>
      <c r="AB815" s="720"/>
      <c r="AC815" s="721" t="str">
        <f>IFERROR(IF(VLOOKUP(C815,[1]List1!$A:$D,2,FALSE)="VYPRODÁNO",$V$9,IF(VLOOKUP(C815,[1]List1!$A:$D,2,FALSE)="DOCHÁZÍ",$V$3,VLOOKUP(C815,[1]List1!$A:$D,2,FALSE))),"OFFLINE!")</f>
        <v>SKLADEM</v>
      </c>
      <c r="AD815" s="722" t="str">
        <f ca="1">IF(AP815="NE",$V$10,IF(AC815=$V$3,IF(AQ815&lt;1,$V$8,$V$2&amp;" "&amp;AQ815&amp;" "&amp;$V$1),IF(AC815="SKLADEM",$V$6,IFERROR(IF(OR(AC815-TODAY()&gt;45,VLOOKUP(C815,[1]List1!$A:$E,4,FALSE)=0),AC815,DAY(AC815)&amp;"."&amp;MONTH(AC815)&amp;"."&amp;YEAR(AC815)&amp;" "&amp;$V$4&amp;VLOOKUP(C815,[1]List1!$A:$E,4,FALSE)&amp;" "&amp;$V$1),AC815))))</f>
        <v>SKLADEM</v>
      </c>
      <c r="AE815" s="716" t="str">
        <f t="shared" ref="AE815" ca="1" si="1956">IFERROR(IF(AV815&lt;&gt;"",AV815,AD815),AD815)</f>
        <v>SKLADEM</v>
      </c>
      <c r="AF815" s="723">
        <f t="shared" ref="AF815" si="1957">IFERROR(IF(AB815=Y815,G815*I815*Y815,0),0)</f>
        <v>0</v>
      </c>
      <c r="AG815" s="723">
        <f t="shared" ref="AG815" si="1958">IF($W$17=$AF$8,AH815*1.23,AF815*1.21)</f>
        <v>0</v>
      </c>
      <c r="AH815" s="724">
        <f t="shared" ref="AH815" si="1959">IFERROR(IF(Y815=AB815,H815*I815*Y815,0),0)</f>
        <v>0</v>
      </c>
      <c r="AI815" s="716">
        <f t="shared" ref="AI815" si="1960">IFERROR(IF(Y815=AB815,(P815*Y815)/1000,1),0)</f>
        <v>0</v>
      </c>
      <c r="AJ815" s="716">
        <f t="shared" ref="AJ815" si="1961">IFERROR(IF(Y815=AB815,N815*Y815,0.1),0)</f>
        <v>0</v>
      </c>
      <c r="AK815" s="716" t="str">
        <f t="shared" ref="AK815" si="1962">IFERROR(IF(Y815=AB815,IF(M815="1.1G",(O815/1000)*Y815,""),""),0)</f>
        <v/>
      </c>
      <c r="AL815" s="716">
        <f t="shared" ref="AL815" si="1963">IFERROR(IF(Y815=AB815,IF(M815="1.3G",(O815/1000)*AB815,""),""),0)</f>
        <v>0</v>
      </c>
      <c r="AM815" s="716" t="str">
        <f t="shared" ref="AM815" si="1964">IFERROR(IF(Y815=AB815,IF(M815="1.4G",(O815/1000)*AB815,""),""),0)</f>
        <v/>
      </c>
      <c r="AN815" s="716">
        <f t="shared" ref="AN815" si="1965">SUM(AK815:AM815)</f>
        <v>0</v>
      </c>
      <c r="AO815" s="380"/>
      <c r="AP815" s="322" t="str">
        <f t="shared" si="1852"/>
        <v/>
      </c>
      <c r="AQ815" s="323" t="str">
        <f>IF(AC815=$V$3,IF(VLOOKUP(C815,[1]List1!$A:$E,5,FALSE)=0,1,VLOOKUP(C815,[1]List1!$A:$E,5,FALSE)),"")</f>
        <v/>
      </c>
      <c r="AR815" s="304" t="str">
        <f t="shared" si="1853"/>
        <v/>
      </c>
      <c r="AS815" s="423" t="str">
        <f t="shared" si="1854"/>
        <v/>
      </c>
      <c r="AT815" s="304" t="str">
        <f t="shared" si="1855"/>
        <v/>
      </c>
      <c r="AU815" s="342" t="e">
        <f t="shared" si="1856"/>
        <v>#N/A</v>
      </c>
      <c r="AV815" s="304" t="e">
        <f t="shared" si="1857"/>
        <v>#N/A</v>
      </c>
      <c r="AX815" s="304">
        <f>IF(AND('General price list'!$J815="F4",'General price list'!$AB815+0&gt;0),1,0)</f>
        <v>0</v>
      </c>
      <c r="AY815" s="304">
        <f t="shared" si="1858"/>
        <v>1</v>
      </c>
      <c r="AZ815" s="304">
        <f t="shared" si="1859"/>
        <v>0</v>
      </c>
    </row>
    <row r="816" spans="1:52" ht="15" customHeight="1">
      <c r="A816" s="773" t="str">
        <f>Kat.!C814</f>
        <v xml:space="preserve">                                                               Baterie 25ran, 75mm moždíř-1.3G</v>
      </c>
      <c r="B816" s="774"/>
      <c r="C816" s="774"/>
      <c r="D816" s="774"/>
      <c r="E816" s="774"/>
      <c r="F816" s="774"/>
      <c r="G816" s="774"/>
      <c r="H816" s="774"/>
      <c r="I816" s="774"/>
      <c r="J816" s="774"/>
      <c r="K816" s="774"/>
      <c r="L816" s="774"/>
      <c r="M816" s="774"/>
      <c r="N816" s="774"/>
      <c r="O816" s="774"/>
      <c r="P816" s="774"/>
      <c r="Q816" s="774"/>
      <c r="R816" s="774"/>
      <c r="S816" s="774"/>
      <c r="T816" s="774"/>
      <c r="U816" s="774"/>
      <c r="V816" s="774"/>
      <c r="W816" s="774"/>
      <c r="X816" s="774"/>
      <c r="Y816" s="774"/>
      <c r="Z816" s="774"/>
      <c r="AA816" s="774" t="str">
        <f>IFERROR(IF(VLOOKUP(C816,[4]List1!$A:$D,4,FALSE)=0,"",VLOOKUP(C816,[4]List1!$A:$D,4,FALSE)),"")</f>
        <v/>
      </c>
      <c r="AB816" s="774"/>
      <c r="AC816" s="775" t="str">
        <f>IFERROR(IF(VLOOKUP(C816,[1]List1!$A:$D,2,FALSE)="VYPRODÁNO",$V$9,IF(VLOOKUP(C816,[1]List1!$A:$D,2,FALSE)="DOCHÁZÍ",$V$3,VLOOKUP(C816,[1]List1!$A:$D,2,FALSE))),"OFFLINE!")</f>
        <v>OFFLINE!</v>
      </c>
      <c r="AD816" s="774"/>
      <c r="AE816" s="774"/>
      <c r="AF816" s="774"/>
      <c r="AG816" s="774"/>
      <c r="AH816" s="774"/>
      <c r="AI816" s="774"/>
      <c r="AJ816" s="774"/>
      <c r="AK816" s="774"/>
      <c r="AL816" s="774"/>
      <c r="AM816" s="774"/>
      <c r="AN816" s="774"/>
      <c r="AO816" s="380"/>
      <c r="AP816" s="322" t="str">
        <f t="shared" si="1852"/>
        <v/>
      </c>
      <c r="AQ816" s="323" t="str">
        <f>IF(AC816=$V$3,IF(VLOOKUP(C816,[1]List1!$A:$E,5,FALSE)=0,1,VLOOKUP(C816,[1]List1!$A:$E,5,FALSE)),"")</f>
        <v/>
      </c>
      <c r="AR816" s="304" t="str">
        <f t="shared" si="1853"/>
        <v/>
      </c>
      <c r="AS816" s="423" t="str">
        <f t="shared" si="1854"/>
        <v/>
      </c>
      <c r="AT816" s="304" t="str">
        <f t="shared" si="1855"/>
        <v/>
      </c>
      <c r="AU816" s="342" t="e">
        <f t="shared" si="1856"/>
        <v>#N/A</v>
      </c>
      <c r="AV816" s="304" t="e">
        <f t="shared" si="1857"/>
        <v>#N/A</v>
      </c>
      <c r="AX816" s="304">
        <f>IF(AND('General price list'!$J816="F4",'General price list'!$AB816+0&gt;0),1,0)</f>
        <v>0</v>
      </c>
      <c r="AY816" s="304">
        <f t="shared" si="1858"/>
        <v>0</v>
      </c>
      <c r="AZ816" s="304">
        <f t="shared" si="1859"/>
        <v>0</v>
      </c>
    </row>
    <row r="817" spans="1:52" ht="15" customHeight="1">
      <c r="A817" s="712" t="str">
        <f>Kat.!C815</f>
        <v/>
      </c>
      <c r="B817" s="713">
        <f>IF(AND('General price list'!$J817="F4",$AI$1=FALSE),0,IF(AC817="SKLADEM",1,IF(AC817=$V$3,1,0)))</f>
        <v>0</v>
      </c>
      <c r="C817" s="714" t="s">
        <v>1640</v>
      </c>
      <c r="D817" s="715" t="s">
        <v>1641</v>
      </c>
      <c r="E817" s="716" t="s">
        <v>136</v>
      </c>
      <c r="F817" s="712">
        <f>IFERROR(ROUND(IF($AL$3=2,VLOOKUP(C817,[2]List1!$A:$D,2,FALSE)*1.08,VLOOKUP(C817,[2]List1!$A:$D,2,FALSE)),0),"NEUVEDENO!")</f>
        <v>7444</v>
      </c>
      <c r="G817" s="717">
        <f>(F817)*$B$19</f>
        <v>7444</v>
      </c>
      <c r="H817" s="718">
        <f>G817/$F$19</f>
        <v>302.49218778571981</v>
      </c>
      <c r="I817" s="719">
        <v>1</v>
      </c>
      <c r="J817" s="716" t="s">
        <v>709</v>
      </c>
      <c r="K817" s="716">
        <v>5</v>
      </c>
      <c r="L817" s="716" t="s">
        <v>24</v>
      </c>
      <c r="M817" s="716" t="s">
        <v>138</v>
      </c>
      <c r="N817" s="716">
        <f>IFERROR(VLOOKUP(C817,[3]List1!$A:$D,4,FALSE),"N/A!")</f>
        <v>9.5174999999999996E-2</v>
      </c>
      <c r="O817" s="716">
        <f>IFERROR(VLOOKUP(C817,[3]List1!$A:$D,3,FALSE),"N/A!")</f>
        <v>3750</v>
      </c>
      <c r="P817" s="716">
        <f>IFERROR(VLOOKUP(C817,[3]List1!$A:$D,2,FALSE),"N/A!")</f>
        <v>18300</v>
      </c>
      <c r="Q817" s="716" t="s">
        <v>14346</v>
      </c>
      <c r="R817" s="716" t="s">
        <v>24</v>
      </c>
      <c r="S817" s="716" t="str">
        <f>IF($W$17=$AF$1,"design",IFERROR(VLOOKUP("design",Jazyky_ceník!$A:$Q,MATCH($W$17,Jazyky_ceník!$A$1:$Q$1,0),FALSE),"!!!"))</f>
        <v>design</v>
      </c>
      <c r="T817" s="716">
        <v>60</v>
      </c>
      <c r="U817" s="716">
        <v>90</v>
      </c>
      <c r="V817" s="716">
        <v>55</v>
      </c>
      <c r="W817" s="716" t="str">
        <f>IFERROR(VLOOKUP('General price list'!$C817,Popisy!A:P,MATCH($W$17,Popisy!$A$7:$P$7,0),FALSE),"---------------")</f>
        <v>5 různobarevných efektů střídajících se po každé ráně</v>
      </c>
      <c r="X817" s="716" t="str">
        <f>IF(AB817&lt;0.0001,"",AB817)</f>
        <v/>
      </c>
      <c r="Y817" s="716" t="str">
        <f>IF($AL$3=2,IF(OR(AB817&lt;&gt;"",AB817&lt;&gt;0),AU817,""),IF(C817="","",IF(AB817&lt;0.0001,"",IF(B817=0,"",IF(AQ817&lt;AB817,"",AB817)))))</f>
        <v/>
      </c>
      <c r="Z817" s="716" t="str">
        <f>HYPERLINK("https://www.klasekpyrotechnics.cz/c2575c")</f>
        <v>https://www.klasekpyrotechnics.cz/c2575c</v>
      </c>
      <c r="AA817" s="716" t="str">
        <f>IFERROR(IF(VLOOKUP(C817,[4]List1!$A:$D,4,FALSE)=0,"",VLOOKUP(C817,[4]List1!$A:$D,4,FALSE)),"")</f>
        <v>24</v>
      </c>
      <c r="AB817" s="720"/>
      <c r="AC817" s="721" t="str">
        <f>IFERROR(IF(VLOOKUP(C817,[1]List1!$A:$D,2,FALSE)="VYPRODÁNO",$V$9,IF(VLOOKUP(C817,[1]List1!$A:$D,2,FALSE)="DOCHÁZÍ",$V$3,VLOOKUP(C817,[1]List1!$A:$D,2,FALSE))),"OFFLINE!")</f>
        <v>30.04.2024</v>
      </c>
      <c r="AD817" s="722" t="str">
        <f ca="1">IF(AP817="NE",$V$10,IF(AC817=$V$3,IF(AQ817&lt;1,$V$8,$V$2&amp;" "&amp;AQ817&amp;" "&amp;$V$1),IF(AC817="SKLADEM",$V$6,IFERROR(IF(OR(AC817-TODAY()&gt;45,VLOOKUP(C817,[1]List1!$A:$E,4,FALSE)=0),AC817,DAY(AC817)&amp;"."&amp;MONTH(AC817)&amp;"."&amp;YEAR(AC817)&amp;" "&amp;$V$4&amp;VLOOKUP(C817,[1]List1!$A:$E,4,FALSE)&amp;" "&amp;$V$1),AC817))))</f>
        <v>30.04.2024</v>
      </c>
      <c r="AE817" s="716" t="str">
        <f t="shared" ref="AE817" ca="1" si="1966">IFERROR(IF(AV817&lt;&gt;"",AV817,AD817),AD817)</f>
        <v>30.04.2024</v>
      </c>
      <c r="AF817" s="723">
        <f t="shared" ref="AF817" si="1967">IFERROR(IF(AB817=Y817,G817*I817*Y817,0),0)</f>
        <v>0</v>
      </c>
      <c r="AG817" s="723">
        <f t="shared" ref="AG817" si="1968">IF($W$17=$AF$8,AH817*1.23,AF817*1.21)</f>
        <v>0</v>
      </c>
      <c r="AH817" s="724">
        <f t="shared" ref="AH817" si="1969">IFERROR(IF(Y817=AB817,H817*I817*Y817,0),0)</f>
        <v>0</v>
      </c>
      <c r="AI817" s="716">
        <f t="shared" ref="AI817" si="1970">IFERROR(IF(Y817=AB817,(P817*Y817)/1000,1),0)</f>
        <v>0</v>
      </c>
      <c r="AJ817" s="716">
        <f t="shared" ref="AJ817" si="1971">IFERROR(IF(Y817=AB817,N817*Y817,0.1),0)</f>
        <v>0</v>
      </c>
      <c r="AK817" s="716" t="str">
        <f t="shared" ref="AK817" si="1972">IFERROR(IF(Y817=AB817,IF(M817="1.1G",(O817/1000)*Y817,""),""),0)</f>
        <v/>
      </c>
      <c r="AL817" s="716">
        <f t="shared" ref="AL817" si="1973">IFERROR(IF(Y817=AB817,IF(M817="1.3G",(O817/1000)*AB817,""),""),0)</f>
        <v>0</v>
      </c>
      <c r="AM817" s="716" t="str">
        <f t="shared" ref="AM817" si="1974">IFERROR(IF(Y817=AB817,IF(M817="1.4G",(O817/1000)*AB817,""),""),0)</f>
        <v/>
      </c>
      <c r="AN817" s="716">
        <f t="shared" ref="AN817" si="1975">SUM(AK817:AM817)</f>
        <v>0</v>
      </c>
      <c r="AO817" s="380"/>
      <c r="AP817" s="322" t="str">
        <f t="shared" si="1852"/>
        <v/>
      </c>
      <c r="AQ817" s="323" t="str">
        <f>IF(AC817=$V$3,IF(VLOOKUP(C817,[1]List1!$A:$E,5,FALSE)=0,1,VLOOKUP(C817,[1]List1!$A:$E,5,FALSE)),"")</f>
        <v/>
      </c>
      <c r="AR817" s="304" t="str">
        <f t="shared" si="1853"/>
        <v/>
      </c>
      <c r="AS817" s="423" t="str">
        <f t="shared" si="1854"/>
        <v/>
      </c>
      <c r="AT817" s="304" t="str">
        <f t="shared" si="1855"/>
        <v/>
      </c>
      <c r="AU817" s="342" t="e">
        <f t="shared" si="1856"/>
        <v>#N/A</v>
      </c>
      <c r="AV817" s="304" t="e">
        <f t="shared" si="1857"/>
        <v>#N/A</v>
      </c>
      <c r="AX817" s="304">
        <f>IF(AND('General price list'!$J817="F4",'General price list'!$AB817+0&gt;0),1,0)</f>
        <v>0</v>
      </c>
      <c r="AY817" s="304">
        <f t="shared" si="1858"/>
        <v>1</v>
      </c>
      <c r="AZ817" s="304">
        <f t="shared" si="1859"/>
        <v>0</v>
      </c>
    </row>
    <row r="818" spans="1:52" ht="20.25" customHeight="1">
      <c r="A818" s="773" t="str">
        <f>Kat.!C816</f>
        <v xml:space="preserve">                                                               Multikaliberní kompakty do 30mm</v>
      </c>
      <c r="B818" s="774"/>
      <c r="C818" s="774"/>
      <c r="D818" s="774"/>
      <c r="E818" s="774"/>
      <c r="F818" s="774"/>
      <c r="G818" s="774"/>
      <c r="H818" s="774"/>
      <c r="I818" s="774"/>
      <c r="J818" s="774"/>
      <c r="K818" s="774"/>
      <c r="L818" s="774"/>
      <c r="M818" s="774"/>
      <c r="N818" s="774"/>
      <c r="O818" s="774"/>
      <c r="P818" s="774"/>
      <c r="Q818" s="774"/>
      <c r="R818" s="774"/>
      <c r="S818" s="774"/>
      <c r="T818" s="774"/>
      <c r="U818" s="774"/>
      <c r="V818" s="774"/>
      <c r="W818" s="774"/>
      <c r="X818" s="774"/>
      <c r="Y818" s="774"/>
      <c r="Z818" s="774"/>
      <c r="AA818" s="774" t="str">
        <f>IFERROR(IF(VLOOKUP(C818,[4]List1!$A:$D,4,FALSE)=0,"",VLOOKUP(C818,[4]List1!$A:$D,4,FALSE)),"")</f>
        <v/>
      </c>
      <c r="AB818" s="774"/>
      <c r="AC818" s="775" t="str">
        <f>IFERROR(IF(VLOOKUP(C818,[1]List1!$A:$D,2,FALSE)="VYPRODÁNO",$V$9,IF(VLOOKUP(C818,[1]List1!$A:$D,2,FALSE)="DOCHÁZÍ",$V$3,VLOOKUP(C818,[1]List1!$A:$D,2,FALSE))),"OFFLINE!")</f>
        <v>OFFLINE!</v>
      </c>
      <c r="AD818" s="774"/>
      <c r="AE818" s="774"/>
      <c r="AF818" s="774"/>
      <c r="AG818" s="774"/>
      <c r="AH818" s="774"/>
      <c r="AI818" s="774"/>
      <c r="AJ818" s="774"/>
      <c r="AK818" s="774"/>
      <c r="AL818" s="774"/>
      <c r="AM818" s="774"/>
      <c r="AN818" s="774"/>
      <c r="AO818" s="380"/>
      <c r="AP818" s="322" t="str">
        <f t="shared" si="1852"/>
        <v/>
      </c>
      <c r="AQ818" s="323" t="str">
        <f>IF(AC818=$V$3,IF(VLOOKUP(C818,[1]List1!$A:$E,5,FALSE)=0,1,VLOOKUP(C818,[1]List1!$A:$E,5,FALSE)),"")</f>
        <v/>
      </c>
      <c r="AR818" s="304" t="str">
        <f t="shared" si="1853"/>
        <v/>
      </c>
      <c r="AS818" s="423" t="str">
        <f t="shared" si="1854"/>
        <v/>
      </c>
      <c r="AT818" s="304" t="str">
        <f t="shared" si="1855"/>
        <v/>
      </c>
      <c r="AU818" s="342" t="e">
        <f t="shared" si="1856"/>
        <v>#N/A</v>
      </c>
      <c r="AV818" s="304" t="e">
        <f t="shared" si="1857"/>
        <v>#N/A</v>
      </c>
      <c r="AX818" s="304">
        <f>IF(AND('General price list'!$J818="F4",'General price list'!$AB818+0&gt;0),1,0)</f>
        <v>0</v>
      </c>
      <c r="AY818" s="304">
        <f t="shared" si="1858"/>
        <v>0</v>
      </c>
      <c r="AZ818" s="304">
        <f t="shared" si="1859"/>
        <v>0</v>
      </c>
    </row>
    <row r="819" spans="1:52" ht="15" customHeight="1">
      <c r="A819" s="773" t="str">
        <f>Kat.!C817</f>
        <v xml:space="preserve">                                                               Baterie 39ran, 20+25+30mm šikmý+V+W moždíř-1.3G</v>
      </c>
      <c r="B819" s="774"/>
      <c r="C819" s="774"/>
      <c r="D819" s="774"/>
      <c r="E819" s="774"/>
      <c r="F819" s="774"/>
      <c r="G819" s="774"/>
      <c r="H819" s="774"/>
      <c r="I819" s="774"/>
      <c r="J819" s="774"/>
      <c r="K819" s="774"/>
      <c r="L819" s="774"/>
      <c r="M819" s="774"/>
      <c r="N819" s="774"/>
      <c r="O819" s="774"/>
      <c r="P819" s="774"/>
      <c r="Q819" s="774"/>
      <c r="R819" s="774"/>
      <c r="S819" s="774"/>
      <c r="T819" s="774"/>
      <c r="U819" s="774"/>
      <c r="V819" s="774"/>
      <c r="W819" s="774"/>
      <c r="X819" s="774"/>
      <c r="Y819" s="774"/>
      <c r="Z819" s="774"/>
      <c r="AA819" s="774" t="str">
        <f>IFERROR(IF(VLOOKUP(C819,[4]List1!$A:$D,4,FALSE)=0,"",VLOOKUP(C819,[4]List1!$A:$D,4,FALSE)),"")</f>
        <v/>
      </c>
      <c r="AB819" s="774"/>
      <c r="AC819" s="775" t="str">
        <f>IFERROR(IF(VLOOKUP(C819,[1]List1!$A:$D,2,FALSE)="VYPRODÁNO",$V$9,IF(VLOOKUP(C819,[1]List1!$A:$D,2,FALSE)="DOCHÁZÍ",$V$3,VLOOKUP(C819,[1]List1!$A:$D,2,FALSE))),"OFFLINE!")</f>
        <v>OFFLINE!</v>
      </c>
      <c r="AD819" s="774"/>
      <c r="AE819" s="774"/>
      <c r="AF819" s="774"/>
      <c r="AG819" s="774"/>
      <c r="AH819" s="774"/>
      <c r="AI819" s="774"/>
      <c r="AJ819" s="774"/>
      <c r="AK819" s="774"/>
      <c r="AL819" s="774"/>
      <c r="AM819" s="774"/>
      <c r="AN819" s="774"/>
      <c r="AO819" s="380"/>
      <c r="AP819" s="322" t="str">
        <f t="shared" si="1852"/>
        <v/>
      </c>
      <c r="AQ819" s="323" t="str">
        <f>IF(AC819=$V$3,IF(VLOOKUP(C819,[1]List1!$A:$E,5,FALSE)=0,1,VLOOKUP(C819,[1]List1!$A:$E,5,FALSE)),"")</f>
        <v/>
      </c>
      <c r="AR819" s="304" t="str">
        <f t="shared" si="1853"/>
        <v/>
      </c>
      <c r="AS819" s="423" t="str">
        <f t="shared" si="1854"/>
        <v/>
      </c>
      <c r="AT819" s="304" t="str">
        <f t="shared" si="1855"/>
        <v/>
      </c>
      <c r="AU819" s="342" t="e">
        <f t="shared" si="1856"/>
        <v>#N/A</v>
      </c>
      <c r="AV819" s="304" t="e">
        <f t="shared" si="1857"/>
        <v>#N/A</v>
      </c>
      <c r="AX819" s="304">
        <f>IF(AND('General price list'!$J819="F4",'General price list'!$AB819+0&gt;0),1,0)</f>
        <v>0</v>
      </c>
      <c r="AY819" s="304">
        <f t="shared" si="1858"/>
        <v>0</v>
      </c>
      <c r="AZ819" s="304">
        <f t="shared" si="1859"/>
        <v>0</v>
      </c>
    </row>
    <row r="820" spans="1:52" ht="15" customHeight="1">
      <c r="A820" s="725" t="str">
        <f>Kat.!C818</f>
        <v/>
      </c>
      <c r="B820" s="741">
        <f>IF(AND('General price list'!$J820="F4",$AI$1=FALSE),0,IF(AC820="SKLADEM",1,IF(AC820=$V$3,1,0)))</f>
        <v>1</v>
      </c>
      <c r="C820" s="727" t="s">
        <v>2586</v>
      </c>
      <c r="D820" s="728" t="s">
        <v>12854</v>
      </c>
      <c r="E820" s="729" t="s">
        <v>435</v>
      </c>
      <c r="F820" s="725">
        <f>IFERROR(ROUND(IF($AL$3=2,VLOOKUP(C820,[2]List1!$A:$D,2,FALSE)*1.08,VLOOKUP(C820,[2]List1!$A:$D,2,FALSE)),0),"NEUVEDENO!")</f>
        <v>671</v>
      </c>
      <c r="G820" s="730">
        <f>(F820)*$B$19</f>
        <v>671</v>
      </c>
      <c r="H820" s="731">
        <f>G820/$F$19</f>
        <v>27.266558033882053</v>
      </c>
      <c r="I820" s="742">
        <v>8</v>
      </c>
      <c r="J820" s="729" t="s">
        <v>46</v>
      </c>
      <c r="K820" s="729"/>
      <c r="L820" s="729" t="s">
        <v>24</v>
      </c>
      <c r="M820" s="729" t="s">
        <v>138</v>
      </c>
      <c r="N820" s="729">
        <f>IFERROR(VLOOKUP(C820,[3]List1!$A:$D,4,FALSE),"N/A!")</f>
        <v>0.103092</v>
      </c>
      <c r="O820" s="729">
        <f>IFERROR(VLOOKUP(C820,[3]List1!$A:$D,3,FALSE),"N/A!")</f>
        <v>3920</v>
      </c>
      <c r="P820" s="729">
        <f>IFERROR(VLOOKUP(C820,[3]List1!$A:$D,2,FALSE),"N/A!")</f>
        <v>20200</v>
      </c>
      <c r="Q820" s="729" t="s">
        <v>14259</v>
      </c>
      <c r="R820" s="729" t="s">
        <v>24</v>
      </c>
      <c r="S820" s="729" t="str">
        <f>IF($W$17=$AF$1,"design",IFERROR(VLOOKUP("design",Jazyky_ceník!$A:$Q,MATCH($W$17,Jazyky_ceník!$A$1:$Q$1,0),FALSE),"!!!"))</f>
        <v>design</v>
      </c>
      <c r="T820" s="729">
        <v>30</v>
      </c>
      <c r="U820" s="729" t="s">
        <v>13822</v>
      </c>
      <c r="V820" s="729" t="s">
        <v>13823</v>
      </c>
      <c r="W820" s="729" t="str">
        <f>IFERROR(VLOOKUP('General price list'!$C820,Popisy!A:P,MATCH($W$17,Popisy!$A$7:$P$7,0),FALSE),"---------------")</f>
        <v>6 různobarevných efektů</v>
      </c>
      <c r="X820" s="729" t="str">
        <f>IF(AB820&lt;0.0001,"",AB820)</f>
        <v/>
      </c>
      <c r="Y820" s="729" t="str">
        <f>IF($AL$3=2,IF(OR(AB820&lt;&gt;"",AB820&lt;&gt;0),AU820,""),IF(C820="","",IF(AB820&lt;0.0001,"",IF(B820=0,"",IF(AQ820&lt;AB820,"",AB820)))))</f>
        <v/>
      </c>
      <c r="Z820" s="729" t="str">
        <f>HYPERLINK("https://www.klasekpyrotechnics.cz/c39mpt")</f>
        <v>https://www.klasekpyrotechnics.cz/c39mpt</v>
      </c>
      <c r="AA820" s="729">
        <f>IFERROR(IF(VLOOKUP(C820,[4]List1!$A:$D,4,FALSE)=0,"",VLOOKUP(C820,[4]List1!$A:$D,4,FALSE)),"")</f>
        <v>8</v>
      </c>
      <c r="AB820" s="720"/>
      <c r="AC820" s="743" t="str">
        <f>IFERROR(IF(VLOOKUP(C820,[1]List1!$A:$D,2,FALSE)="VYPRODÁNO",$V$9,IF(VLOOKUP(C820,[1]List1!$A:$D,2,FALSE)="DOCHÁZÍ",$V$3,VLOOKUP(C820,[1]List1!$A:$D,2,FALSE))),"OFFLINE!")</f>
        <v>SKLADEM</v>
      </c>
      <c r="AD820" s="744" t="str">
        <f ca="1">IF(AP820="NE",$V$10,IF(AC820=$V$3,IF(AQ820&lt;1,$V$8,$V$2&amp;" "&amp;AQ820&amp;" "&amp;$V$1),IF(AC820="SKLADEM",$V$6,IFERROR(IF(OR(AC820-TODAY()&gt;45,VLOOKUP(C820,[1]List1!$A:$E,4,FALSE)=0),AC820,DAY(AC820)&amp;"."&amp;MONTH(AC820)&amp;"."&amp;YEAR(AC820)&amp;" "&amp;$V$4&amp;VLOOKUP(C820,[1]List1!$A:$E,4,FALSE)&amp;" "&amp;$V$1),AC820))))</f>
        <v>SKLADEM</v>
      </c>
      <c r="AE820" s="729" t="str">
        <f t="shared" ref="AE820" ca="1" si="1976">IFERROR(IF(AV820&lt;&gt;"",AV820,AD820),AD820)</f>
        <v>SKLADEM</v>
      </c>
      <c r="AF820" s="735">
        <f t="shared" ref="AF820" si="1977">IFERROR(IF(AB820=Y820,G820*I820*Y820,0),0)</f>
        <v>0</v>
      </c>
      <c r="AG820" s="735">
        <f t="shared" ref="AG820" si="1978">IF($W$17=$AF$8,AH820*1.23,AF820*1.21)</f>
        <v>0</v>
      </c>
      <c r="AH820" s="736">
        <f t="shared" ref="AH820" si="1979">IFERROR(IF(Y820=AB820,H820*I820*Y820,0),0)</f>
        <v>0</v>
      </c>
      <c r="AI820" s="729">
        <f t="shared" ref="AI820" si="1980">IFERROR(IF(Y820=AB820,(P820*Y820)/1000,1),0)</f>
        <v>0</v>
      </c>
      <c r="AJ820" s="729">
        <f t="shared" ref="AJ820" si="1981">IFERROR(IF(Y820=AB820,N820*Y820,0.1),0)</f>
        <v>0</v>
      </c>
      <c r="AK820" s="729" t="str">
        <f t="shared" ref="AK820" si="1982">IFERROR(IF(Y820=AB820,IF(M820="1.1G",(O820/1000)*Y820,""),""),0)</f>
        <v/>
      </c>
      <c r="AL820" s="729">
        <f t="shared" ref="AL820" si="1983">IFERROR(IF(Y820=AB820,IF(M820="1.3G",(O820/1000)*AB820,""),""),0)</f>
        <v>0</v>
      </c>
      <c r="AM820" s="729" t="str">
        <f t="shared" ref="AM820" si="1984">IFERROR(IF(Y820=AB820,IF(M820="1.4G",(O820/1000)*AB820,""),""),0)</f>
        <v/>
      </c>
      <c r="AN820" s="729">
        <f t="shared" ref="AN820" si="1985">SUM(AK820:AM820)</f>
        <v>0</v>
      </c>
      <c r="AO820" s="380"/>
      <c r="AP820" s="322" t="str">
        <f t="shared" si="1852"/>
        <v/>
      </c>
      <c r="AQ820" s="323" t="str">
        <f>IF(AC820=$V$3,IF(VLOOKUP(C820,[1]List1!$A:$E,5,FALSE)=0,1,VLOOKUP(C820,[1]List1!$A:$E,5,FALSE)),"")</f>
        <v/>
      </c>
      <c r="AR820" s="304" t="str">
        <f t="shared" si="1853"/>
        <v/>
      </c>
      <c r="AS820" s="423" t="str">
        <f t="shared" si="1854"/>
        <v/>
      </c>
      <c r="AT820" s="304" t="str">
        <f t="shared" si="1855"/>
        <v/>
      </c>
      <c r="AU820" s="342" t="e">
        <f t="shared" si="1856"/>
        <v>#N/A</v>
      </c>
      <c r="AV820" s="304" t="e">
        <f t="shared" si="1857"/>
        <v>#N/A</v>
      </c>
      <c r="AX820" s="304">
        <f>IF(AND('General price list'!$J820="F4",'General price list'!$AB820+0&gt;0),1,0)</f>
        <v>0</v>
      </c>
      <c r="AY820" s="304">
        <f t="shared" si="1858"/>
        <v>1</v>
      </c>
      <c r="AZ820" s="304">
        <f t="shared" si="1859"/>
        <v>0</v>
      </c>
    </row>
    <row r="821" spans="1:52" ht="15" customHeight="1">
      <c r="A821" s="773" t="str">
        <f>Kat.!C819</f>
        <v xml:space="preserve">                                                               Baterie 39ran, 20+25+30mm šikmý+V+W moždíř-1.4G</v>
      </c>
      <c r="B821" s="774"/>
      <c r="C821" s="774"/>
      <c r="D821" s="774"/>
      <c r="E821" s="774"/>
      <c r="F821" s="774"/>
      <c r="G821" s="774"/>
      <c r="H821" s="774"/>
      <c r="I821" s="774"/>
      <c r="J821" s="774"/>
      <c r="K821" s="774"/>
      <c r="L821" s="774"/>
      <c r="M821" s="774"/>
      <c r="N821" s="774"/>
      <c r="O821" s="774"/>
      <c r="P821" s="774"/>
      <c r="Q821" s="774"/>
      <c r="R821" s="774"/>
      <c r="S821" s="774"/>
      <c r="T821" s="774"/>
      <c r="U821" s="774"/>
      <c r="V821" s="774"/>
      <c r="W821" s="774"/>
      <c r="X821" s="774"/>
      <c r="Y821" s="774"/>
      <c r="Z821" s="774"/>
      <c r="AA821" s="774" t="str">
        <f>IFERROR(IF(VLOOKUP(C821,[4]List1!$A:$D,4,FALSE)=0,"",VLOOKUP(C821,[4]List1!$A:$D,4,FALSE)),"")</f>
        <v/>
      </c>
      <c r="AB821" s="774"/>
      <c r="AC821" s="775" t="str">
        <f>IFERROR(IF(VLOOKUP(C821,[1]List1!$A:$D,2,FALSE)="VYPRODÁNO",$V$9,IF(VLOOKUP(C821,[1]List1!$A:$D,2,FALSE)="DOCHÁZÍ",$V$3,VLOOKUP(C821,[1]List1!$A:$D,2,FALSE))),"OFFLINE!")</f>
        <v>OFFLINE!</v>
      </c>
      <c r="AD821" s="774"/>
      <c r="AE821" s="774"/>
      <c r="AF821" s="774"/>
      <c r="AG821" s="774"/>
      <c r="AH821" s="774"/>
      <c r="AI821" s="774"/>
      <c r="AJ821" s="774"/>
      <c r="AK821" s="774"/>
      <c r="AL821" s="774"/>
      <c r="AM821" s="774"/>
      <c r="AN821" s="774"/>
      <c r="AO821" s="380"/>
      <c r="AP821" s="322" t="str">
        <f t="shared" si="1852"/>
        <v/>
      </c>
      <c r="AQ821" s="323" t="str">
        <f>IF(AC821=$V$3,IF(VLOOKUP(C821,[1]List1!$A:$E,5,FALSE)=0,1,VLOOKUP(C821,[1]List1!$A:$E,5,FALSE)),"")</f>
        <v/>
      </c>
      <c r="AR821" s="304" t="str">
        <f t="shared" si="1853"/>
        <v/>
      </c>
      <c r="AS821" s="423" t="str">
        <f t="shared" si="1854"/>
        <v/>
      </c>
      <c r="AT821" s="304" t="str">
        <f t="shared" si="1855"/>
        <v/>
      </c>
      <c r="AU821" s="342" t="e">
        <f t="shared" si="1856"/>
        <v>#N/A</v>
      </c>
      <c r="AV821" s="304" t="e">
        <f t="shared" si="1857"/>
        <v>#N/A</v>
      </c>
      <c r="AX821" s="304">
        <f>IF(AND('General price list'!$J821="F4",'General price list'!$AB821+0&gt;0),1,0)</f>
        <v>0</v>
      </c>
      <c r="AY821" s="304">
        <f t="shared" si="1858"/>
        <v>0</v>
      </c>
      <c r="AZ821" s="304">
        <f t="shared" si="1859"/>
        <v>0</v>
      </c>
    </row>
    <row r="822" spans="1:52" ht="15" customHeight="1">
      <c r="A822" s="725" t="str">
        <f>Kat.!C820</f>
        <v>×</v>
      </c>
      <c r="B822" s="741">
        <f>IF(AND('General price list'!$J822="F4",$AI$1=FALSE),0,IF(AC822="SKLADEM",1,IF(AC822=$V$3,1,0)))</f>
        <v>1</v>
      </c>
      <c r="C822" s="727" t="s">
        <v>2587</v>
      </c>
      <c r="D822" s="728" t="s">
        <v>12854</v>
      </c>
      <c r="E822" s="729" t="s">
        <v>435</v>
      </c>
      <c r="F822" s="725">
        <f>IFERROR(ROUND(IF($AL$3=2,VLOOKUP(C822,[2]List1!$A:$D,2,FALSE)*1.08,VLOOKUP(C822,[2]List1!$A:$D,2,FALSE)),0),"NEUVEDENO!")</f>
        <v>671</v>
      </c>
      <c r="G822" s="730">
        <f>(F822)*$B$19</f>
        <v>671</v>
      </c>
      <c r="H822" s="731">
        <f>G822/$F$19</f>
        <v>27.266558033882053</v>
      </c>
      <c r="I822" s="742">
        <v>8</v>
      </c>
      <c r="J822" s="729" t="s">
        <v>46</v>
      </c>
      <c r="K822" s="729"/>
      <c r="L822" s="729" t="s">
        <v>14378</v>
      </c>
      <c r="M822" s="729" t="s">
        <v>25</v>
      </c>
      <c r="N822" s="729">
        <f>IFERROR(VLOOKUP(C822,[3]List1!$A:$D,4,FALSE),"N/A!")</f>
        <v>0.103092</v>
      </c>
      <c r="O822" s="729">
        <f>IFERROR(VLOOKUP(C822,[3]List1!$A:$D,3,FALSE),"N/A!")</f>
        <v>3920</v>
      </c>
      <c r="P822" s="729">
        <f>IFERROR(VLOOKUP(C822,[3]List1!$A:$D,2,FALSE),"N/A!")</f>
        <v>20200</v>
      </c>
      <c r="Q822" s="729" t="s">
        <v>14259</v>
      </c>
      <c r="R822" s="729" t="s">
        <v>24</v>
      </c>
      <c r="S822" s="729" t="str">
        <f>IF($W$17=$AF$1,"design",IFERROR(VLOOKUP("design",Jazyky_ceník!$A:$Q,MATCH($W$17,Jazyky_ceník!$A$1:$Q$1,0),FALSE),"!!!"))</f>
        <v>design</v>
      </c>
      <c r="T822" s="729">
        <v>30</v>
      </c>
      <c r="U822" s="729" t="s">
        <v>13822</v>
      </c>
      <c r="V822" s="729" t="s">
        <v>13824</v>
      </c>
      <c r="W822" s="729" t="str">
        <f>IFERROR(VLOOKUP('General price list'!$C822,Popisy!A:P,MATCH($W$17,Popisy!$A$7:$P$7,0),FALSE),"---------------")</f>
        <v>6 různobarevných efektů</v>
      </c>
      <c r="X822" s="729" t="str">
        <f>IF(AB822&lt;0.0001,"",AB822)</f>
        <v/>
      </c>
      <c r="Y822" s="729" t="str">
        <f>IF($AL$3=2,IF(OR(AB822&lt;&gt;"",AB822&lt;&gt;0),AU822,""),IF(C822="","",IF(AB822&lt;0.0001,"",IF(B822=0,"",IF(AQ822&lt;AB822,"",AB822)))))</f>
        <v/>
      </c>
      <c r="Z822" s="729" t="str">
        <f>HYPERLINK("https://www.klasekpyrotechnics.cz/c39mpt14")</f>
        <v>https://www.klasekpyrotechnics.cz/c39mpt14</v>
      </c>
      <c r="AA822" s="729">
        <f>IFERROR(IF(VLOOKUP(C822,[4]List1!$A:$D,4,FALSE)=0,"",VLOOKUP(C822,[4]List1!$A:$D,4,FALSE)),"")</f>
        <v>8</v>
      </c>
      <c r="AB822" s="720"/>
      <c r="AC822" s="743" t="str">
        <f>IFERROR(IF(VLOOKUP(C822,[1]List1!$A:$D,2,FALSE)="VYPRODÁNO",$V$9,IF(VLOOKUP(C822,[1]List1!$A:$D,2,FALSE)="DOCHÁZÍ",$V$3,VLOOKUP(C822,[1]List1!$A:$D,2,FALSE))),"OFFLINE!")</f>
        <v>SKLADEM</v>
      </c>
      <c r="AD822" s="744" t="str">
        <f ca="1">IF(AP822="NE",$V$10,IF(AC822=$V$3,IF(AQ822&lt;1,$V$8,$V$2&amp;" "&amp;AQ822&amp;" "&amp;$V$1),IF(AC822="SKLADEM",$V$6,IFERROR(IF(OR(AC822-TODAY()&gt;45,VLOOKUP(C822,[1]List1!$A:$E,4,FALSE)=0),AC822,DAY(AC822)&amp;"."&amp;MONTH(AC822)&amp;"."&amp;YEAR(AC822)&amp;" "&amp;$V$4&amp;VLOOKUP(C822,[1]List1!$A:$E,4,FALSE)&amp;" "&amp;$V$1),AC822))))</f>
        <v>SKLADEM</v>
      </c>
      <c r="AE822" s="729" t="str">
        <f t="shared" ref="AE822" ca="1" si="1986">IFERROR(IF(AV822&lt;&gt;"",AV822,AD822),AD822)</f>
        <v>SKLADEM</v>
      </c>
      <c r="AF822" s="735">
        <f t="shared" ref="AF822" si="1987">IFERROR(IF(AB822=Y822,G822*I822*Y822,0),0)</f>
        <v>0</v>
      </c>
      <c r="AG822" s="735">
        <f t="shared" ref="AG822" si="1988">IF($W$17=$AF$8,AH822*1.23,AF822*1.21)</f>
        <v>0</v>
      </c>
      <c r="AH822" s="736">
        <f t="shared" ref="AH822" si="1989">IFERROR(IF(Y822=AB822,H822*I822*Y822,0),0)</f>
        <v>0</v>
      </c>
      <c r="AI822" s="729">
        <f t="shared" ref="AI822" si="1990">IFERROR(IF(Y822=AB822,(P822*Y822)/1000,1),0)</f>
        <v>0</v>
      </c>
      <c r="AJ822" s="729">
        <f t="shared" ref="AJ822" si="1991">IFERROR(IF(Y822=AB822,N822*Y822,0.1),0)</f>
        <v>0</v>
      </c>
      <c r="AK822" s="729" t="str">
        <f t="shared" ref="AK822" si="1992">IFERROR(IF(Y822=AB822,IF(M822="1.1G",(O822/1000)*Y822,""),""),0)</f>
        <v/>
      </c>
      <c r="AL822" s="729" t="str">
        <f t="shared" ref="AL822" si="1993">IFERROR(IF(Y822=AB822,IF(M822="1.3G",(O822/1000)*AB822,""),""),0)</f>
        <v/>
      </c>
      <c r="AM822" s="729">
        <f t="shared" ref="AM822" si="1994">IFERROR(IF(Y822=AB822,IF(M822="1.4G",(O822/1000)*AB822,""),""),0)</f>
        <v>0</v>
      </c>
      <c r="AN822" s="729">
        <f t="shared" ref="AN822" si="1995">SUM(AK822:AM822)</f>
        <v>0</v>
      </c>
      <c r="AO822" s="380"/>
      <c r="AP822" s="322" t="str">
        <f t="shared" si="1852"/>
        <v/>
      </c>
      <c r="AQ822" s="323" t="str">
        <f>IF(AC822=$V$3,IF(VLOOKUP(C822,[1]List1!$A:$E,5,FALSE)=0,1,VLOOKUP(C822,[1]List1!$A:$E,5,FALSE)),"")</f>
        <v/>
      </c>
      <c r="AR822" s="304" t="str">
        <f t="shared" si="1853"/>
        <v/>
      </c>
      <c r="AS822" s="423" t="str">
        <f t="shared" si="1854"/>
        <v/>
      </c>
      <c r="AT822" s="304" t="str">
        <f t="shared" si="1855"/>
        <v/>
      </c>
      <c r="AU822" s="342" t="e">
        <f t="shared" si="1856"/>
        <v>#N/A</v>
      </c>
      <c r="AV822" s="304" t="e">
        <f t="shared" si="1857"/>
        <v>#N/A</v>
      </c>
      <c r="AX822" s="304">
        <f>IF(AND('General price list'!$J822="F4",'General price list'!$AB822+0&gt;0),1,0)</f>
        <v>0</v>
      </c>
      <c r="AY822" s="304">
        <f t="shared" si="1858"/>
        <v>1</v>
      </c>
      <c r="AZ822" s="304">
        <f t="shared" si="1859"/>
        <v>0</v>
      </c>
    </row>
    <row r="823" spans="1:52" ht="15" customHeight="1">
      <c r="A823" s="773" t="str">
        <f>Kat.!C821</f>
        <v xml:space="preserve">                                                               Baterie + Fontána 40ran, 20+25+30mm moždíř-1.3G</v>
      </c>
      <c r="B823" s="774"/>
      <c r="C823" s="774"/>
      <c r="D823" s="774"/>
      <c r="E823" s="774"/>
      <c r="F823" s="774"/>
      <c r="G823" s="774"/>
      <c r="H823" s="774"/>
      <c r="I823" s="774"/>
      <c r="J823" s="774"/>
      <c r="K823" s="774"/>
      <c r="L823" s="774"/>
      <c r="M823" s="774"/>
      <c r="N823" s="774"/>
      <c r="O823" s="774"/>
      <c r="P823" s="774"/>
      <c r="Q823" s="774"/>
      <c r="R823" s="774"/>
      <c r="S823" s="774"/>
      <c r="T823" s="774"/>
      <c r="U823" s="774"/>
      <c r="V823" s="774"/>
      <c r="W823" s="774"/>
      <c r="X823" s="774"/>
      <c r="Y823" s="774"/>
      <c r="Z823" s="774"/>
      <c r="AA823" s="774" t="str">
        <f>IFERROR(IF(VLOOKUP(C823,[4]List1!$A:$D,4,FALSE)=0,"",VLOOKUP(C823,[4]List1!$A:$D,4,FALSE)),"")</f>
        <v/>
      </c>
      <c r="AB823" s="774"/>
      <c r="AC823" s="775" t="str">
        <f>IFERROR(IF(VLOOKUP(C823,[1]List1!$A:$D,2,FALSE)="VYPRODÁNO",$V$9,IF(VLOOKUP(C823,[1]List1!$A:$D,2,FALSE)="DOCHÁZÍ",$V$3,VLOOKUP(C823,[1]List1!$A:$D,2,FALSE))),"OFFLINE!")</f>
        <v>OFFLINE!</v>
      </c>
      <c r="AD823" s="774"/>
      <c r="AE823" s="774"/>
      <c r="AF823" s="774"/>
      <c r="AG823" s="774"/>
      <c r="AH823" s="774"/>
      <c r="AI823" s="774"/>
      <c r="AJ823" s="774"/>
      <c r="AK823" s="774"/>
      <c r="AL823" s="774"/>
      <c r="AM823" s="774"/>
      <c r="AN823" s="774"/>
      <c r="AO823" s="380"/>
      <c r="AP823" s="322" t="str">
        <f t="shared" si="1852"/>
        <v/>
      </c>
      <c r="AQ823" s="323" t="str">
        <f>IF(AC823=$V$3,IF(VLOOKUP(C823,[1]List1!$A:$E,5,FALSE)=0,1,VLOOKUP(C823,[1]List1!$A:$E,5,FALSE)),"")</f>
        <v/>
      </c>
      <c r="AR823" s="304" t="str">
        <f t="shared" si="1853"/>
        <v/>
      </c>
      <c r="AS823" s="423" t="str">
        <f t="shared" si="1854"/>
        <v/>
      </c>
      <c r="AT823" s="304" t="str">
        <f t="shared" si="1855"/>
        <v/>
      </c>
      <c r="AU823" s="342" t="e">
        <f t="shared" si="1856"/>
        <v>#N/A</v>
      </c>
      <c r="AV823" s="304" t="e">
        <f t="shared" si="1857"/>
        <v>#N/A</v>
      </c>
      <c r="AX823" s="304">
        <f>IF(AND('General price list'!$J823="F4",'General price list'!$AB823+0&gt;0),1,0)</f>
        <v>0</v>
      </c>
      <c r="AY823" s="304">
        <f t="shared" si="1858"/>
        <v>0</v>
      </c>
      <c r="AZ823" s="304">
        <f t="shared" si="1859"/>
        <v>0</v>
      </c>
    </row>
    <row r="824" spans="1:52" ht="15" customHeight="1">
      <c r="A824" s="725" t="str">
        <f>Kat.!C822</f>
        <v/>
      </c>
      <c r="B824" s="741">
        <f>IF(AND('General price list'!$J824="F4",$AI$1=FALSE),0,IF(AC824="SKLADEM",1,IF(AC824=$V$3,1,0)))</f>
        <v>1</v>
      </c>
      <c r="C824" s="727" t="s">
        <v>1650</v>
      </c>
      <c r="D824" s="728" t="s">
        <v>1651</v>
      </c>
      <c r="E824" s="729" t="s">
        <v>435</v>
      </c>
      <c r="F824" s="725">
        <f>IFERROR(ROUND(IF($AL$3=2,VLOOKUP(C824,[2]List1!$A:$D,2,FALSE)*1.08,VLOOKUP(C824,[2]List1!$A:$D,2,FALSE)),0),"NEUVEDENO!")</f>
        <v>681</v>
      </c>
      <c r="G824" s="730">
        <f>(F824)*$B$19</f>
        <v>681</v>
      </c>
      <c r="H824" s="731">
        <f>G824/$F$19</f>
        <v>27.672915083567329</v>
      </c>
      <c r="I824" s="742">
        <v>8</v>
      </c>
      <c r="J824" s="729" t="s">
        <v>137</v>
      </c>
      <c r="K824" s="729"/>
      <c r="L824" s="729" t="s">
        <v>24</v>
      </c>
      <c r="M824" s="729" t="s">
        <v>138</v>
      </c>
      <c r="N824" s="729">
        <f>IFERROR(VLOOKUP(C824,[3]List1!$A:$D,4,FALSE),"N/A!")</f>
        <v>6.4713000000000007E-2</v>
      </c>
      <c r="O824" s="729">
        <f>IFERROR(VLOOKUP(C824,[3]List1!$A:$D,3,FALSE),"N/A!")</f>
        <v>6864</v>
      </c>
      <c r="P824" s="729">
        <f>IFERROR(VLOOKUP(C824,[3]List1!$A:$D,2,FALSE),"N/A!")</f>
        <v>29200</v>
      </c>
      <c r="Q824" s="729" t="s">
        <v>1283</v>
      </c>
      <c r="R824" s="729" t="s">
        <v>24</v>
      </c>
      <c r="S824" s="729" t="str">
        <f>IF($W$17=$AF$1,"červená fólie",IFERROR(VLOOKUP("červená fólie",Jazyky_ceník!$A:$Q,MATCH($W$17,Jazyky_ceník!$A$1:$Q$1,0),FALSE),"!!!"))</f>
        <v>červená fólie</v>
      </c>
      <c r="T824" s="729">
        <v>80</v>
      </c>
      <c r="U824" s="729" t="s">
        <v>13825</v>
      </c>
      <c r="V824" s="729" t="s">
        <v>13826</v>
      </c>
      <c r="W824" s="729" t="str">
        <f>IFERROR(VLOOKUP('General price list'!$C824,Popisy!A:P,MATCH($W$17,Popisy!$A$7:$P$7,0),FALSE),"---------------")</f>
        <v>stříbrná práskající fontána+8 různobarevných efektů</v>
      </c>
      <c r="X824" s="729" t="str">
        <f>IF(AB824&lt;0.0001,"",AB824)</f>
        <v/>
      </c>
      <c r="Y824" s="729" t="str">
        <f>IF($AL$3=2,IF(OR(AB824&lt;&gt;"",AB824&lt;&gt;0),AU824,""),IF(C824="","",IF(AB824&lt;0.0001,"",IF(B824=0,"",IF(AQ824&lt;AB824,"",AB824)))))</f>
        <v/>
      </c>
      <c r="Z824" s="729" t="str">
        <f>HYPERLINK("https://www.klasekpyrotechnics.cz/c40fmh")</f>
        <v>https://www.klasekpyrotechnics.cz/c40fmh</v>
      </c>
      <c r="AA824" s="729">
        <f>IFERROR(IF(VLOOKUP(C824,[4]List1!$A:$D,4,FALSE)=0,"",VLOOKUP(C824,[4]List1!$A:$D,4,FALSE)),"")</f>
        <v>16</v>
      </c>
      <c r="AB824" s="720"/>
      <c r="AC824" s="743" t="str">
        <f>IFERROR(IF(VLOOKUP(C824,[1]List1!$A:$D,2,FALSE)="VYPRODÁNO",$V$9,IF(VLOOKUP(C824,[1]List1!$A:$D,2,FALSE)="DOCHÁZÍ",$V$3,VLOOKUP(C824,[1]List1!$A:$D,2,FALSE))),"OFFLINE!")</f>
        <v>SKLADEM</v>
      </c>
      <c r="AD824" s="744" t="str">
        <f ca="1">IF(AP824="NE",$V$10,IF(AC824=$V$3,IF(AQ824&lt;1,$V$8,$V$2&amp;" "&amp;AQ824&amp;" "&amp;$V$1),IF(AC824="SKLADEM",$V$6,IFERROR(IF(OR(AC824-TODAY()&gt;45,VLOOKUP(C824,[1]List1!$A:$E,4,FALSE)=0),AC824,DAY(AC824)&amp;"."&amp;MONTH(AC824)&amp;"."&amp;YEAR(AC824)&amp;" "&amp;$V$4&amp;VLOOKUP(C824,[1]List1!$A:$E,4,FALSE)&amp;" "&amp;$V$1),AC824))))</f>
        <v>SKLADEM</v>
      </c>
      <c r="AE824" s="729" t="str">
        <f t="shared" ref="AE824" ca="1" si="1996">IFERROR(IF(AV824&lt;&gt;"",AV824,AD824),AD824)</f>
        <v>SKLADEM</v>
      </c>
      <c r="AF824" s="735">
        <f t="shared" ref="AF824" si="1997">IFERROR(IF(AB824=Y824,G824*I824*Y824,0),0)</f>
        <v>0</v>
      </c>
      <c r="AG824" s="735">
        <f t="shared" ref="AG824" si="1998">IF($W$17=$AF$8,AH824*1.23,AF824*1.21)</f>
        <v>0</v>
      </c>
      <c r="AH824" s="736">
        <f t="shared" ref="AH824" si="1999">IFERROR(IF(Y824=AB824,H824*I824*Y824,0),0)</f>
        <v>0</v>
      </c>
      <c r="AI824" s="729">
        <f t="shared" ref="AI824" si="2000">IFERROR(IF(Y824=AB824,(P824*Y824)/1000,1),0)</f>
        <v>0</v>
      </c>
      <c r="AJ824" s="729">
        <f t="shared" ref="AJ824" si="2001">IFERROR(IF(Y824=AB824,N824*Y824,0.1),0)</f>
        <v>0</v>
      </c>
      <c r="AK824" s="729" t="str">
        <f t="shared" ref="AK824" si="2002">IFERROR(IF(Y824=AB824,IF(M824="1.1G",(O824/1000)*Y824,""),""),0)</f>
        <v/>
      </c>
      <c r="AL824" s="729">
        <f t="shared" ref="AL824" si="2003">IFERROR(IF(Y824=AB824,IF(M824="1.3G",(O824/1000)*AB824,""),""),0)</f>
        <v>0</v>
      </c>
      <c r="AM824" s="729" t="str">
        <f t="shared" ref="AM824" si="2004">IFERROR(IF(Y824=AB824,IF(M824="1.4G",(O824/1000)*AB824,""),""),0)</f>
        <v/>
      </c>
      <c r="AN824" s="729">
        <f t="shared" ref="AN824" si="2005">SUM(AK824:AM824)</f>
        <v>0</v>
      </c>
      <c r="AO824" s="380"/>
      <c r="AP824" s="322" t="str">
        <f t="shared" si="1852"/>
        <v/>
      </c>
      <c r="AQ824" s="323" t="str">
        <f>IF(AC824=$V$3,IF(VLOOKUP(C824,[1]List1!$A:$E,5,FALSE)=0,1,VLOOKUP(C824,[1]List1!$A:$E,5,FALSE)),"")</f>
        <v/>
      </c>
      <c r="AR824" s="304" t="str">
        <f t="shared" si="1853"/>
        <v/>
      </c>
      <c r="AS824" s="423" t="str">
        <f t="shared" si="1854"/>
        <v/>
      </c>
      <c r="AT824" s="304" t="str">
        <f t="shared" si="1855"/>
        <v/>
      </c>
      <c r="AU824" s="342" t="e">
        <f t="shared" si="1856"/>
        <v>#N/A</v>
      </c>
      <c r="AV824" s="304" t="e">
        <f t="shared" si="1857"/>
        <v>#N/A</v>
      </c>
      <c r="AX824" s="304">
        <f>IF(AND('General price list'!$J824="F4",'General price list'!$AB824+0&gt;0),1,0)</f>
        <v>0</v>
      </c>
      <c r="AY824" s="304">
        <f t="shared" si="1858"/>
        <v>1</v>
      </c>
      <c r="AZ824" s="304">
        <f t="shared" si="1859"/>
        <v>0</v>
      </c>
    </row>
    <row r="825" spans="1:52" ht="15" customHeight="1">
      <c r="A825" s="773" t="str">
        <f>Kat.!C823</f>
        <v xml:space="preserve">                                                               Baterie 41ran, 20+25+30mm rovný+šikmý+S moždíř+V moždíř-1.3G</v>
      </c>
      <c r="B825" s="774"/>
      <c r="C825" s="774"/>
      <c r="D825" s="774"/>
      <c r="E825" s="774"/>
      <c r="F825" s="774"/>
      <c r="G825" s="774"/>
      <c r="H825" s="774"/>
      <c r="I825" s="774"/>
      <c r="J825" s="774"/>
      <c r="K825" s="774"/>
      <c r="L825" s="774"/>
      <c r="M825" s="774"/>
      <c r="N825" s="774"/>
      <c r="O825" s="774"/>
      <c r="P825" s="774"/>
      <c r="Q825" s="774"/>
      <c r="R825" s="774"/>
      <c r="S825" s="774"/>
      <c r="T825" s="774"/>
      <c r="U825" s="774"/>
      <c r="V825" s="774"/>
      <c r="W825" s="774"/>
      <c r="X825" s="774"/>
      <c r="Y825" s="774"/>
      <c r="Z825" s="774"/>
      <c r="AA825" s="774" t="str">
        <f>IFERROR(IF(VLOOKUP(C825,[4]List1!$A:$D,4,FALSE)=0,"",VLOOKUP(C825,[4]List1!$A:$D,4,FALSE)),"")</f>
        <v/>
      </c>
      <c r="AB825" s="774"/>
      <c r="AC825" s="775" t="str">
        <f>IFERROR(IF(VLOOKUP(C825,[1]List1!$A:$D,2,FALSE)="VYPRODÁNO",$V$9,IF(VLOOKUP(C825,[1]List1!$A:$D,2,FALSE)="DOCHÁZÍ",$V$3,VLOOKUP(C825,[1]List1!$A:$D,2,FALSE))),"OFFLINE!")</f>
        <v>OFFLINE!</v>
      </c>
      <c r="AD825" s="774"/>
      <c r="AE825" s="774"/>
      <c r="AF825" s="774"/>
      <c r="AG825" s="774"/>
      <c r="AH825" s="774"/>
      <c r="AI825" s="774"/>
      <c r="AJ825" s="774"/>
      <c r="AK825" s="774"/>
      <c r="AL825" s="774"/>
      <c r="AM825" s="774"/>
      <c r="AN825" s="774"/>
      <c r="AO825" s="380"/>
      <c r="AP825" s="322" t="str">
        <f t="shared" si="1852"/>
        <v/>
      </c>
      <c r="AQ825" s="323" t="str">
        <f>IF(AC825=$V$3,IF(VLOOKUP(C825,[1]List1!$A:$E,5,FALSE)=0,1,VLOOKUP(C825,[1]List1!$A:$E,5,FALSE)),"")</f>
        <v/>
      </c>
      <c r="AR825" s="304" t="str">
        <f t="shared" si="1853"/>
        <v/>
      </c>
      <c r="AS825" s="423" t="str">
        <f t="shared" si="1854"/>
        <v/>
      </c>
      <c r="AT825" s="304" t="str">
        <f t="shared" si="1855"/>
        <v/>
      </c>
      <c r="AU825" s="342" t="e">
        <f t="shared" si="1856"/>
        <v>#N/A</v>
      </c>
      <c r="AV825" s="304" t="e">
        <f t="shared" si="1857"/>
        <v>#N/A</v>
      </c>
      <c r="AX825" s="304">
        <f>IF(AND('General price list'!$J825="F4",'General price list'!$AB825+0&gt;0),1,0)</f>
        <v>0</v>
      </c>
      <c r="AY825" s="304">
        <f t="shared" si="1858"/>
        <v>0</v>
      </c>
      <c r="AZ825" s="304">
        <f t="shared" si="1859"/>
        <v>0</v>
      </c>
    </row>
    <row r="826" spans="1:52" ht="15" customHeight="1">
      <c r="A826" s="725" t="str">
        <f>Kat.!C824</f>
        <v>×</v>
      </c>
      <c r="B826" s="741">
        <f>IF(AND('General price list'!$J826="F4",$AI$1=FALSE),0,IF(AC826="SKLADEM",1,IF(AC826=$V$3,1,0)))</f>
        <v>1</v>
      </c>
      <c r="C826" s="727" t="s">
        <v>1652</v>
      </c>
      <c r="D826" s="728" t="s">
        <v>12855</v>
      </c>
      <c r="E826" s="729" t="s">
        <v>1077</v>
      </c>
      <c r="F826" s="725">
        <f>IFERROR(ROUND(IF($AL$3=2,VLOOKUP(C826,[2]List1!$A:$D,2,FALSE)*1.08,VLOOKUP(C826,[2]List1!$A:$D,2,FALSE)),0),"NEUVEDENO!")</f>
        <v>699</v>
      </c>
      <c r="G826" s="730">
        <f>(F826)*$B$19</f>
        <v>699</v>
      </c>
      <c r="H826" s="731">
        <f>G826/$F$19</f>
        <v>28.404357773000825</v>
      </c>
      <c r="I826" s="742">
        <v>6</v>
      </c>
      <c r="J826" s="729" t="s">
        <v>46</v>
      </c>
      <c r="K826" s="729" t="s">
        <v>12771</v>
      </c>
      <c r="L826" s="729" t="s">
        <v>24</v>
      </c>
      <c r="M826" s="729" t="s">
        <v>138</v>
      </c>
      <c r="N826" s="729">
        <f>IFERROR(VLOOKUP(C826,[3]List1!$A:$D,4,FALSE),"N/A!")</f>
        <v>7.6933124999999991E-2</v>
      </c>
      <c r="O826" s="729">
        <f>IFERROR(VLOOKUP(C826,[3]List1!$A:$D,3,FALSE),"N/A!")</f>
        <v>3000</v>
      </c>
      <c r="P826" s="729">
        <f>IFERROR(VLOOKUP(C826,[3]List1!$A:$D,2,FALSE),"N/A!")</f>
        <v>19800</v>
      </c>
      <c r="Q826" s="729" t="s">
        <v>11856</v>
      </c>
      <c r="R826" s="729" t="s">
        <v>24</v>
      </c>
      <c r="S826" s="729" t="str">
        <f>IF($W$17=$AF$1,"design",IFERROR(VLOOKUP("design",Jazyky_ceník!$A:$Q,MATCH($W$17,Jazyky_ceník!$A$1:$Q$1,0),FALSE),"!!!"))</f>
        <v>design</v>
      </c>
      <c r="T826" s="729">
        <v>30</v>
      </c>
      <c r="U826" s="729" t="s">
        <v>13827</v>
      </c>
      <c r="V826" s="729" t="s">
        <v>13828</v>
      </c>
      <c r="W826" s="729" t="str">
        <f>IFERROR(VLOOKUP('General price list'!$C826,Popisy!A:P,MATCH($W$17,Popisy!$A$7:$P$7,0),FALSE),"---------------")</f>
        <v>7 různobarevných efektů se salvou titanium salute na závěr</v>
      </c>
      <c r="X826" s="729" t="str">
        <f>IF(AB826&lt;0.0001,"",AB826)</f>
        <v/>
      </c>
      <c r="Y826" s="729" t="str">
        <f>IF($AL$3=2,IF(OR(AB826&lt;&gt;"",AB826&lt;&gt;0),AU826,""),IF(C826="","",IF(AB826&lt;0.0001,"",IF(B826=0,"",IF(AQ826&lt;AB826,"",AB826)))))</f>
        <v/>
      </c>
      <c r="Z826" s="729" t="str">
        <f>HYPERLINK("https://www.klasekpyrotechnics.cz/c41msig")</f>
        <v>https://www.klasekpyrotechnics.cz/c41msig</v>
      </c>
      <c r="AA826" s="729">
        <f>IFERROR(IF(VLOOKUP(C826,[4]List1!$A:$D,4,FALSE)=0,"",VLOOKUP(C826,[4]List1!$A:$D,4,FALSE)),"")</f>
        <v>14</v>
      </c>
      <c r="AB826" s="720"/>
      <c r="AC826" s="743" t="str">
        <f>IFERROR(IF(VLOOKUP(C826,[1]List1!$A:$D,2,FALSE)="VYPRODÁNO",$V$9,IF(VLOOKUP(C826,[1]List1!$A:$D,2,FALSE)="DOCHÁZÍ",$V$3,VLOOKUP(C826,[1]List1!$A:$D,2,FALSE))),"OFFLINE!")</f>
        <v>SKLADEM</v>
      </c>
      <c r="AD826" s="744" t="str">
        <f ca="1">IF(AP826="NE",$V$10,IF(AC826=$V$3,IF(AQ826&lt;1,$V$8,$V$2&amp;" "&amp;AQ826&amp;" "&amp;$V$1),IF(AC826="SKLADEM",$V$6,IFERROR(IF(OR(AC826-TODAY()&gt;45,VLOOKUP(C826,[1]List1!$A:$E,4,FALSE)=0),AC826,DAY(AC826)&amp;"."&amp;MONTH(AC826)&amp;"."&amp;YEAR(AC826)&amp;" "&amp;$V$4&amp;VLOOKUP(C826,[1]List1!$A:$E,4,FALSE)&amp;" "&amp;$V$1),AC826))))</f>
        <v>SKLADEM</v>
      </c>
      <c r="AE826" s="729" t="str">
        <f t="shared" ref="AE826" ca="1" si="2006">IFERROR(IF(AV826&lt;&gt;"",AV826,AD826),AD826)</f>
        <v>SKLADEM</v>
      </c>
      <c r="AF826" s="735">
        <f t="shared" ref="AF826" si="2007">IFERROR(IF(AB826=Y826,G826*I826*Y826,0),0)</f>
        <v>0</v>
      </c>
      <c r="AG826" s="735">
        <f t="shared" ref="AG826" si="2008">IF($W$17=$AF$8,AH826*1.23,AF826*1.21)</f>
        <v>0</v>
      </c>
      <c r="AH826" s="736">
        <f t="shared" ref="AH826" si="2009">IFERROR(IF(Y826=AB826,H826*I826*Y826,0),0)</f>
        <v>0</v>
      </c>
      <c r="AI826" s="729">
        <f t="shared" ref="AI826" si="2010">IFERROR(IF(Y826=AB826,(P826*Y826)/1000,1),0)</f>
        <v>0</v>
      </c>
      <c r="AJ826" s="729">
        <f t="shared" ref="AJ826" si="2011">IFERROR(IF(Y826=AB826,N826*Y826,0.1),0)</f>
        <v>0</v>
      </c>
      <c r="AK826" s="729" t="str">
        <f t="shared" ref="AK826" si="2012">IFERROR(IF(Y826=AB826,IF(M826="1.1G",(O826/1000)*Y826,""),""),0)</f>
        <v/>
      </c>
      <c r="AL826" s="729">
        <f t="shared" ref="AL826" si="2013">IFERROR(IF(Y826=AB826,IF(M826="1.3G",(O826/1000)*AB826,""),""),0)</f>
        <v>0</v>
      </c>
      <c r="AM826" s="729" t="str">
        <f t="shared" ref="AM826" si="2014">IFERROR(IF(Y826=AB826,IF(M826="1.4G",(O826/1000)*AB826,""),""),0)</f>
        <v/>
      </c>
      <c r="AN826" s="729">
        <f t="shared" ref="AN826" si="2015">SUM(AK826:AM826)</f>
        <v>0</v>
      </c>
      <c r="AO826" s="380"/>
      <c r="AP826" s="322" t="str">
        <f t="shared" si="1852"/>
        <v/>
      </c>
      <c r="AQ826" s="323" t="str">
        <f>IF(AC826=$V$3,IF(VLOOKUP(C826,[1]List1!$A:$E,5,FALSE)=0,1,VLOOKUP(C826,[1]List1!$A:$E,5,FALSE)),"")</f>
        <v/>
      </c>
      <c r="AR826" s="304" t="str">
        <f t="shared" si="1853"/>
        <v/>
      </c>
      <c r="AS826" s="423" t="str">
        <f t="shared" si="1854"/>
        <v/>
      </c>
      <c r="AT826" s="304" t="str">
        <f t="shared" si="1855"/>
        <v/>
      </c>
      <c r="AU826" s="342" t="e">
        <f t="shared" si="1856"/>
        <v>#N/A</v>
      </c>
      <c r="AV826" s="304" t="e">
        <f t="shared" si="1857"/>
        <v>#N/A</v>
      </c>
      <c r="AX826" s="304">
        <f>IF(AND('General price list'!$J826="F4",'General price list'!$AB826+0&gt;0),1,0)</f>
        <v>0</v>
      </c>
      <c r="AY826" s="304">
        <f t="shared" si="1858"/>
        <v>1</v>
      </c>
      <c r="AZ826" s="304">
        <f t="shared" si="1859"/>
        <v>0</v>
      </c>
    </row>
    <row r="827" spans="1:52" ht="15" customHeight="1">
      <c r="A827" s="773" t="str">
        <f>Kat.!C825</f>
        <v xml:space="preserve">                                                               Baterie 50ran, 20+25+30mm rovný+šikmý+S moždíř-1.3G</v>
      </c>
      <c r="B827" s="774"/>
      <c r="C827" s="774"/>
      <c r="D827" s="774"/>
      <c r="E827" s="774"/>
      <c r="F827" s="774"/>
      <c r="G827" s="774"/>
      <c r="H827" s="774"/>
      <c r="I827" s="774"/>
      <c r="J827" s="774"/>
      <c r="K827" s="774"/>
      <c r="L827" s="774"/>
      <c r="M827" s="774"/>
      <c r="N827" s="774"/>
      <c r="O827" s="774"/>
      <c r="P827" s="774"/>
      <c r="Q827" s="774"/>
      <c r="R827" s="774"/>
      <c r="S827" s="774"/>
      <c r="T827" s="774"/>
      <c r="U827" s="774"/>
      <c r="V827" s="774"/>
      <c r="W827" s="774"/>
      <c r="X827" s="774"/>
      <c r="Y827" s="774"/>
      <c r="Z827" s="774"/>
      <c r="AA827" s="774" t="str">
        <f>IFERROR(IF(VLOOKUP(C827,[4]List1!$A:$D,4,FALSE)=0,"",VLOOKUP(C827,[4]List1!$A:$D,4,FALSE)),"")</f>
        <v/>
      </c>
      <c r="AB827" s="774"/>
      <c r="AC827" s="775" t="str">
        <f>IFERROR(IF(VLOOKUP(C827,[1]List1!$A:$D,2,FALSE)="VYPRODÁNO",$V$9,IF(VLOOKUP(C827,[1]List1!$A:$D,2,FALSE)="DOCHÁZÍ",$V$3,VLOOKUP(C827,[1]List1!$A:$D,2,FALSE))),"OFFLINE!")</f>
        <v>OFFLINE!</v>
      </c>
      <c r="AD827" s="774"/>
      <c r="AE827" s="774"/>
      <c r="AF827" s="774"/>
      <c r="AG827" s="774"/>
      <c r="AH827" s="774"/>
      <c r="AI827" s="774"/>
      <c r="AJ827" s="774"/>
      <c r="AK827" s="774"/>
      <c r="AL827" s="774"/>
      <c r="AM827" s="774"/>
      <c r="AN827" s="774"/>
      <c r="AO827" s="380"/>
      <c r="AP827" s="322" t="str">
        <f t="shared" si="1852"/>
        <v/>
      </c>
      <c r="AQ827" s="323" t="str">
        <f>IF(AC827=$V$3,IF(VLOOKUP(C827,[1]List1!$A:$E,5,FALSE)=0,1,VLOOKUP(C827,[1]List1!$A:$E,5,FALSE)),"")</f>
        <v/>
      </c>
      <c r="AR827" s="304" t="str">
        <f t="shared" si="1853"/>
        <v/>
      </c>
      <c r="AS827" s="423" t="str">
        <f t="shared" si="1854"/>
        <v/>
      </c>
      <c r="AT827" s="304" t="str">
        <f t="shared" si="1855"/>
        <v/>
      </c>
      <c r="AU827" s="342" t="e">
        <f t="shared" si="1856"/>
        <v>#N/A</v>
      </c>
      <c r="AV827" s="304" t="e">
        <f t="shared" si="1857"/>
        <v>#N/A</v>
      </c>
      <c r="AX827" s="304">
        <f>IF(AND('General price list'!$J827="F4",'General price list'!$AB827+0&gt;0),1,0)</f>
        <v>0</v>
      </c>
      <c r="AY827" s="304">
        <f t="shared" si="1858"/>
        <v>0</v>
      </c>
      <c r="AZ827" s="304">
        <f t="shared" si="1859"/>
        <v>0</v>
      </c>
    </row>
    <row r="828" spans="1:52" ht="15" customHeight="1">
      <c r="A828" s="725" t="str">
        <f>Kat.!C826</f>
        <v/>
      </c>
      <c r="B828" s="741">
        <f>IF(AND('General price list'!$J828="F4",$AI$1=FALSE),0,IF(AC828="SKLADEM",1,IF(AC828=$V$3,1,0)))</f>
        <v>1</v>
      </c>
      <c r="C828" s="727" t="s">
        <v>1667</v>
      </c>
      <c r="D828" s="728" t="s">
        <v>1668</v>
      </c>
      <c r="E828" s="729" t="s">
        <v>1077</v>
      </c>
      <c r="F828" s="725">
        <f>IFERROR(ROUND(IF($AL$3=2,VLOOKUP(C828,[2]List1!$A:$D,2,FALSE)*1.08,VLOOKUP(C828,[2]List1!$A:$D,2,FALSE)),0),"NEUVEDENO!")</f>
        <v>795</v>
      </c>
      <c r="G828" s="730">
        <f t="shared" ref="G828:G829" si="2016">(F828)*$B$19</f>
        <v>795</v>
      </c>
      <c r="H828" s="731">
        <f t="shared" ref="H828:H829" si="2017">G828/$F$19</f>
        <v>32.305385449979482</v>
      </c>
      <c r="I828" s="742">
        <v>6</v>
      </c>
      <c r="J828" s="729" t="s">
        <v>46</v>
      </c>
      <c r="K828" s="729"/>
      <c r="L828" s="729" t="s">
        <v>24</v>
      </c>
      <c r="M828" s="729" t="s">
        <v>138</v>
      </c>
      <c r="N828" s="729">
        <f>IFERROR(VLOOKUP(C828,[3]List1!$A:$D,4,FALSE),"N/A!")</f>
        <v>6.9599999999999995E-2</v>
      </c>
      <c r="O828" s="729">
        <f>IFERROR(VLOOKUP(C828,[3]List1!$A:$D,3,FALSE),"N/A!")</f>
        <v>2970</v>
      </c>
      <c r="P828" s="729">
        <f>IFERROR(VLOOKUP(C828,[3]List1!$A:$D,2,FALSE),"N/A!")</f>
        <v>23500</v>
      </c>
      <c r="Q828" s="729" t="s">
        <v>14261</v>
      </c>
      <c r="R828" s="729" t="s">
        <v>24</v>
      </c>
      <c r="S828" s="729" t="str">
        <f>IF($W$17=$AF$1,"design",IFERROR(VLOOKUP("design",Jazyky_ceník!$A:$Q,MATCH($W$17,Jazyky_ceník!$A$1:$Q$1,0),FALSE),"!!!"))</f>
        <v>design</v>
      </c>
      <c r="T828" s="729">
        <v>40</v>
      </c>
      <c r="U828" s="729" t="s">
        <v>13822</v>
      </c>
      <c r="V828" s="729" t="s">
        <v>13823</v>
      </c>
      <c r="W828" s="729" t="str">
        <f>IFERROR(VLOOKUP('General price list'!$C828,Popisy!A:P,MATCH($W$17,Popisy!$A$7:$P$7,0),FALSE),"---------------")</f>
        <v>7 různobarevných efektů</v>
      </c>
      <c r="X828" s="729" t="str">
        <f t="shared" ref="X828:X829" si="2018">IF(AB828&lt;0.0001,"",AB828)</f>
        <v/>
      </c>
      <c r="Y828" s="729" t="str">
        <f t="shared" ref="Y828:Y829" si="2019">IF($AL$3=2,IF(OR(AB828&lt;&gt;"",AB828&lt;&gt;0),AU828,""),IF(C828="","",IF(AB828&lt;0.0001,"",IF(B828=0,"",IF(AQ828&lt;AB828,"",AB828)))))</f>
        <v/>
      </c>
      <c r="Z828" s="729" t="str">
        <f>HYPERLINK("https://www.klasekpyrotechnics.cz/c50mo")</f>
        <v>https://www.klasekpyrotechnics.cz/c50mo</v>
      </c>
      <c r="AA828" s="729">
        <f>IFERROR(IF(VLOOKUP(C828,[4]List1!$A:$D,4,FALSE)=0,"",VLOOKUP(C828,[4]List1!$A:$D,4,FALSE)),"")</f>
        <v>16</v>
      </c>
      <c r="AB828" s="720"/>
      <c r="AC828" s="743" t="str">
        <f>IFERROR(IF(VLOOKUP(C828,[1]List1!$A:$D,2,FALSE)="VYPRODÁNO",$V$9,IF(VLOOKUP(C828,[1]List1!$A:$D,2,FALSE)="DOCHÁZÍ",$V$3,VLOOKUP(C828,[1]List1!$A:$D,2,FALSE))),"OFFLINE!")</f>
        <v>DOCHÁZÍ</v>
      </c>
      <c r="AD828" s="744" t="str">
        <f ca="1">IF(AP828="NE",$V$10,IF(AC828=$V$3,IF(AQ828&lt;1,$V$8,$V$2&amp;" "&amp;AQ828&amp;" "&amp;$V$1),IF(AC828="SKLADEM",$V$6,IFERROR(IF(OR(AC828-TODAY()&gt;45,VLOOKUP(C828,[1]List1!$A:$E,4,FALSE)=0),AC828,DAY(AC828)&amp;"."&amp;MONTH(AC828)&amp;"."&amp;YEAR(AC828)&amp;" "&amp;$V$4&amp;VLOOKUP(C828,[1]List1!$A:$E,4,FALSE)&amp;" "&amp;$V$1),AC828))))</f>
        <v>POSLEDNÍCH 4 VK</v>
      </c>
      <c r="AE828" s="729" t="str">
        <f t="shared" ref="AE828:AE829" ca="1" si="2020">IFERROR(IF(AV828&lt;&gt;"",AV828,AD828),AD828)</f>
        <v>POSLEDNÍCH 4 VK</v>
      </c>
      <c r="AF828" s="735">
        <f t="shared" ref="AF828:AF829" si="2021">IFERROR(IF(AB828=Y828,G828*I828*Y828,0),0)</f>
        <v>0</v>
      </c>
      <c r="AG828" s="735">
        <f t="shared" ref="AG828:AG829" si="2022">IF($W$17=$AF$8,AH828*1.23,AF828*1.21)</f>
        <v>0</v>
      </c>
      <c r="AH828" s="736">
        <f t="shared" ref="AH828:AH829" si="2023">IFERROR(IF(Y828=AB828,H828*I828*Y828,0),0)</f>
        <v>0</v>
      </c>
      <c r="AI828" s="729">
        <f t="shared" ref="AI828:AI829" si="2024">IFERROR(IF(Y828=AB828,(P828*Y828)/1000,1),0)</f>
        <v>0</v>
      </c>
      <c r="AJ828" s="729">
        <f t="shared" ref="AJ828:AJ829" si="2025">IFERROR(IF(Y828=AB828,N828*Y828,0.1),0)</f>
        <v>0</v>
      </c>
      <c r="AK828" s="729" t="str">
        <f t="shared" ref="AK828:AK829" si="2026">IFERROR(IF(Y828=AB828,IF(M828="1.1G",(O828/1000)*Y828,""),""),0)</f>
        <v/>
      </c>
      <c r="AL828" s="729">
        <f t="shared" ref="AL828:AL829" si="2027">IFERROR(IF(Y828=AB828,IF(M828="1.3G",(O828/1000)*AB828,""),""),0)</f>
        <v>0</v>
      </c>
      <c r="AM828" s="729" t="str">
        <f t="shared" ref="AM828:AM829" si="2028">IFERROR(IF(Y828=AB828,IF(M828="1.4G",(O828/1000)*AB828,""),""),0)</f>
        <v/>
      </c>
      <c r="AN828" s="729">
        <f t="shared" ref="AN828:AN829" si="2029">SUM(AK828:AM828)</f>
        <v>0</v>
      </c>
      <c r="AO828" s="380"/>
      <c r="AP828" s="322" t="str">
        <f t="shared" si="1852"/>
        <v/>
      </c>
      <c r="AQ828" s="323">
        <f>IF(AC828=$V$3,IF(VLOOKUP(C828,[1]List1!$A:$E,5,FALSE)=0,1,VLOOKUP(C828,[1]List1!$A:$E,5,FALSE)),"")</f>
        <v>4</v>
      </c>
      <c r="AR828" s="304" t="str">
        <f t="shared" si="1853"/>
        <v/>
      </c>
      <c r="AS828" s="423" t="str">
        <f t="shared" si="1854"/>
        <v/>
      </c>
      <c r="AT828" s="304" t="str">
        <f t="shared" si="1855"/>
        <v/>
      </c>
      <c r="AU828" s="342" t="e">
        <f t="shared" si="1856"/>
        <v>#N/A</v>
      </c>
      <c r="AV828" s="304" t="e">
        <f t="shared" si="1857"/>
        <v>#N/A</v>
      </c>
      <c r="AX828" s="304">
        <f>IF(AND('General price list'!$J828="F4",'General price list'!$AB828+0&gt;0),1,0)</f>
        <v>0</v>
      </c>
      <c r="AY828" s="304">
        <f t="shared" si="1858"/>
        <v>1</v>
      </c>
      <c r="AZ828" s="304">
        <f t="shared" si="1859"/>
        <v>0</v>
      </c>
    </row>
    <row r="829" spans="1:52" ht="15" customHeight="1">
      <c r="A829" s="712" t="str">
        <f>Kat.!C827</f>
        <v/>
      </c>
      <c r="B829" s="745">
        <f>IF(AND('General price list'!$J829="F4",$AI$1=FALSE),0,IF(AC829="SKLADEM",1,IF(AC829=$V$3,1,0)))</f>
        <v>1</v>
      </c>
      <c r="C829" s="714" t="s">
        <v>1669</v>
      </c>
      <c r="D829" s="715" t="s">
        <v>1670</v>
      </c>
      <c r="E829" s="716" t="s">
        <v>1077</v>
      </c>
      <c r="F829" s="712">
        <f>IFERROR(ROUND(IF($AL$3=2,VLOOKUP(C829,[2]List1!$A:$D,2,FALSE)*1.08,VLOOKUP(C829,[2]List1!$A:$D,2,FALSE)),0),"NEUVEDENO!")</f>
        <v>795</v>
      </c>
      <c r="G829" s="717">
        <f t="shared" si="2016"/>
        <v>795</v>
      </c>
      <c r="H829" s="718">
        <f t="shared" si="2017"/>
        <v>32.305385449979482</v>
      </c>
      <c r="I829" s="746">
        <v>6</v>
      </c>
      <c r="J829" s="716" t="s">
        <v>46</v>
      </c>
      <c r="K829" s="716"/>
      <c r="L829" s="716" t="s">
        <v>24</v>
      </c>
      <c r="M829" s="716" t="s">
        <v>138</v>
      </c>
      <c r="N829" s="716">
        <f>IFERROR(VLOOKUP(C829,[3]List1!$A:$D,4,FALSE),"N/A!")</f>
        <v>6.9599999999999995E-2</v>
      </c>
      <c r="O829" s="716">
        <f>IFERROR(VLOOKUP(C829,[3]List1!$A:$D,3,FALSE),"N/A!")</f>
        <v>2970</v>
      </c>
      <c r="P829" s="716">
        <f>IFERROR(VLOOKUP(C829,[3]List1!$A:$D,2,FALSE),"N/A!")</f>
        <v>23500</v>
      </c>
      <c r="Q829" s="716" t="s">
        <v>14261</v>
      </c>
      <c r="R829" s="716" t="s">
        <v>24</v>
      </c>
      <c r="S829" s="716" t="str">
        <f>IF($W$17=$AF$1,"červená fólie",IFERROR(VLOOKUP("červená fólie",Jazyky_ceník!$A:$Q,MATCH($W$17,Jazyky_ceník!$A$1:$Q$1,0),FALSE),"!!!"))</f>
        <v>červená fólie</v>
      </c>
      <c r="T829" s="716">
        <v>40</v>
      </c>
      <c r="U829" s="716" t="s">
        <v>13822</v>
      </c>
      <c r="V829" s="716" t="s">
        <v>13823</v>
      </c>
      <c r="W829" s="716" t="str">
        <f>IFERROR(VLOOKUP('General price list'!$C829,Popisy!A:P,MATCH($W$17,Popisy!$A$7:$P$7,0),FALSE),"---------------")</f>
        <v>7 různobarevných efektů</v>
      </c>
      <c r="X829" s="716" t="str">
        <f t="shared" si="2018"/>
        <v/>
      </c>
      <c r="Y829" s="716" t="str">
        <f t="shared" si="2019"/>
        <v/>
      </c>
      <c r="Z829" s="716" t="str">
        <f>HYPERLINK("https://www.klasekpyrotechnics.cz/c50mch")</f>
        <v>https://www.klasekpyrotechnics.cz/c50mch</v>
      </c>
      <c r="AA829" s="716">
        <f>IFERROR(IF(VLOOKUP(C829,[4]List1!$A:$D,4,FALSE)=0,"",VLOOKUP(C829,[4]List1!$A:$D,4,FALSE)),"")</f>
        <v>16</v>
      </c>
      <c r="AB829" s="720"/>
      <c r="AC829" s="747" t="str">
        <f>IFERROR(IF(VLOOKUP(C829,[1]List1!$A:$D,2,FALSE)="VYPRODÁNO",$V$9,IF(VLOOKUP(C829,[1]List1!$A:$D,2,FALSE)="DOCHÁZÍ",$V$3,VLOOKUP(C829,[1]List1!$A:$D,2,FALSE))),"OFFLINE!")</f>
        <v>SKLADEM</v>
      </c>
      <c r="AD829" s="748" t="str">
        <f ca="1">IF(AP829="NE",$V$10,IF(AC829=$V$3,IF(AQ829&lt;1,$V$8,$V$2&amp;" "&amp;AQ829&amp;" "&amp;$V$1),IF(AC829="SKLADEM",$V$6,IFERROR(IF(OR(AC829-TODAY()&gt;45,VLOOKUP(C829,[1]List1!$A:$E,4,FALSE)=0),AC829,DAY(AC829)&amp;"."&amp;MONTH(AC829)&amp;"."&amp;YEAR(AC829)&amp;" "&amp;$V$4&amp;VLOOKUP(C829,[1]List1!$A:$E,4,FALSE)&amp;" "&amp;$V$1),AC829))))</f>
        <v>SKLADEM</v>
      </c>
      <c r="AE829" s="716" t="str">
        <f t="shared" ca="1" si="2020"/>
        <v>SKLADEM</v>
      </c>
      <c r="AF829" s="723">
        <f t="shared" si="2021"/>
        <v>0</v>
      </c>
      <c r="AG829" s="723">
        <f t="shared" si="2022"/>
        <v>0</v>
      </c>
      <c r="AH829" s="724">
        <f t="shared" si="2023"/>
        <v>0</v>
      </c>
      <c r="AI829" s="716">
        <f t="shared" si="2024"/>
        <v>0</v>
      </c>
      <c r="AJ829" s="716">
        <f t="shared" si="2025"/>
        <v>0</v>
      </c>
      <c r="AK829" s="716" t="str">
        <f t="shared" si="2026"/>
        <v/>
      </c>
      <c r="AL829" s="716">
        <f t="shared" si="2027"/>
        <v>0</v>
      </c>
      <c r="AM829" s="716" t="str">
        <f t="shared" si="2028"/>
        <v/>
      </c>
      <c r="AN829" s="716">
        <f t="shared" si="2029"/>
        <v>0</v>
      </c>
      <c r="AO829" s="380"/>
      <c r="AP829" s="322" t="str">
        <f t="shared" si="1852"/>
        <v/>
      </c>
      <c r="AQ829" s="323" t="str">
        <f>IF(AC829=$V$3,IF(VLOOKUP(C829,[1]List1!$A:$E,5,FALSE)=0,1,VLOOKUP(C829,[1]List1!$A:$E,5,FALSE)),"")</f>
        <v/>
      </c>
      <c r="AR829" s="304" t="str">
        <f t="shared" si="1853"/>
        <v/>
      </c>
      <c r="AS829" s="423" t="str">
        <f t="shared" si="1854"/>
        <v/>
      </c>
      <c r="AT829" s="304" t="str">
        <f t="shared" si="1855"/>
        <v/>
      </c>
      <c r="AU829" s="342" t="e">
        <f t="shared" si="1856"/>
        <v>#N/A</v>
      </c>
      <c r="AV829" s="304" t="e">
        <f t="shared" si="1857"/>
        <v>#N/A</v>
      </c>
      <c r="AX829" s="304">
        <f>IF(AND('General price list'!$J829="F4",'General price list'!$AB829+0&gt;0),1,0)</f>
        <v>0</v>
      </c>
      <c r="AY829" s="304">
        <f t="shared" si="1858"/>
        <v>1</v>
      </c>
      <c r="AZ829" s="304">
        <f t="shared" si="1859"/>
        <v>0</v>
      </c>
    </row>
    <row r="830" spans="1:52" ht="15" customHeight="1">
      <c r="A830" s="773" t="str">
        <f>Kat.!C828</f>
        <v xml:space="preserve">                                                               Baterie 50ran, 20+25+30mm rovný+šikmý+S moždíř-1.4G</v>
      </c>
      <c r="B830" s="774"/>
      <c r="C830" s="774"/>
      <c r="D830" s="774"/>
      <c r="E830" s="774"/>
      <c r="F830" s="774"/>
      <c r="G830" s="774"/>
      <c r="H830" s="774"/>
      <c r="I830" s="774"/>
      <c r="J830" s="774"/>
      <c r="K830" s="774"/>
      <c r="L830" s="774"/>
      <c r="M830" s="774"/>
      <c r="N830" s="774"/>
      <c r="O830" s="774"/>
      <c r="P830" s="774"/>
      <c r="Q830" s="774"/>
      <c r="R830" s="774"/>
      <c r="S830" s="774"/>
      <c r="T830" s="774"/>
      <c r="U830" s="774"/>
      <c r="V830" s="774"/>
      <c r="W830" s="774"/>
      <c r="X830" s="774"/>
      <c r="Y830" s="774"/>
      <c r="Z830" s="774"/>
      <c r="AA830" s="774" t="str">
        <f>IFERROR(IF(VLOOKUP(C830,[4]List1!$A:$D,4,FALSE)=0,"",VLOOKUP(C830,[4]List1!$A:$D,4,FALSE)),"")</f>
        <v/>
      </c>
      <c r="AB830" s="774"/>
      <c r="AC830" s="775" t="str">
        <f>IFERROR(IF(VLOOKUP(C830,[1]List1!$A:$D,2,FALSE)="VYPRODÁNO",$V$9,IF(VLOOKUP(C830,[1]List1!$A:$D,2,FALSE)="DOCHÁZÍ",$V$3,VLOOKUP(C830,[1]List1!$A:$D,2,FALSE))),"OFFLINE!")</f>
        <v>OFFLINE!</v>
      </c>
      <c r="AD830" s="774"/>
      <c r="AE830" s="774"/>
      <c r="AF830" s="774"/>
      <c r="AG830" s="774"/>
      <c r="AH830" s="774"/>
      <c r="AI830" s="774"/>
      <c r="AJ830" s="774"/>
      <c r="AK830" s="774"/>
      <c r="AL830" s="774"/>
      <c r="AM830" s="774"/>
      <c r="AN830" s="774"/>
      <c r="AO830" s="380"/>
      <c r="AP830" s="322" t="str">
        <f t="shared" si="1852"/>
        <v/>
      </c>
      <c r="AQ830" s="323" t="str">
        <f>IF(AC830=$V$3,IF(VLOOKUP(C830,[1]List1!$A:$E,5,FALSE)=0,1,VLOOKUP(C830,[1]List1!$A:$E,5,FALSE)),"")</f>
        <v/>
      </c>
      <c r="AR830" s="304" t="str">
        <f t="shared" si="1853"/>
        <v/>
      </c>
      <c r="AS830" s="423" t="str">
        <f t="shared" si="1854"/>
        <v/>
      </c>
      <c r="AT830" s="304" t="str">
        <f t="shared" si="1855"/>
        <v/>
      </c>
      <c r="AU830" s="342" t="e">
        <f t="shared" si="1856"/>
        <v>#N/A</v>
      </c>
      <c r="AV830" s="304" t="e">
        <f t="shared" si="1857"/>
        <v>#N/A</v>
      </c>
      <c r="AX830" s="304">
        <f>IF(AND('General price list'!$J830="F4",'General price list'!$AB830+0&gt;0),1,0)</f>
        <v>0</v>
      </c>
      <c r="AY830" s="304">
        <f t="shared" si="1858"/>
        <v>0</v>
      </c>
      <c r="AZ830" s="304">
        <f t="shared" si="1859"/>
        <v>0</v>
      </c>
    </row>
    <row r="831" spans="1:52" ht="15" customHeight="1">
      <c r="A831" s="712" t="str">
        <f>Kat.!C829</f>
        <v>×</v>
      </c>
      <c r="B831" s="713">
        <f>IF(AND('General price list'!$J831="F4",$AI$1=FALSE),0,IF(AC831="SKLADEM",1,IF(AC831=$V$3,1,0)))</f>
        <v>1</v>
      </c>
      <c r="C831" s="714" t="s">
        <v>1671</v>
      </c>
      <c r="D831" s="715" t="s">
        <v>1668</v>
      </c>
      <c r="E831" s="716" t="s">
        <v>1077</v>
      </c>
      <c r="F831" s="712">
        <f>IFERROR(ROUND(IF($AL$3=2,VLOOKUP(C831,[2]List1!$A:$D,2,FALSE)*1.08,VLOOKUP(C831,[2]List1!$A:$D,2,FALSE)),0),"NEUVEDENO!")</f>
        <v>795</v>
      </c>
      <c r="G831" s="717">
        <f>(F831)*$B$19</f>
        <v>795</v>
      </c>
      <c r="H831" s="718">
        <f>G831/$F$19</f>
        <v>32.305385449979482</v>
      </c>
      <c r="I831" s="719">
        <v>6</v>
      </c>
      <c r="J831" s="716" t="s">
        <v>46</v>
      </c>
      <c r="K831" s="716"/>
      <c r="L831" s="716" t="s">
        <v>14378</v>
      </c>
      <c r="M831" s="716" t="s">
        <v>25</v>
      </c>
      <c r="N831" s="716">
        <f>IFERROR(VLOOKUP(C831,[3]List1!$A:$D,4,FALSE),"N/A!")</f>
        <v>6.9599999999999995E-2</v>
      </c>
      <c r="O831" s="716">
        <f>IFERROR(VLOOKUP(C831,[3]List1!$A:$D,3,FALSE),"N/A!")</f>
        <v>2970</v>
      </c>
      <c r="P831" s="716">
        <f>IFERROR(VLOOKUP(C831,[3]List1!$A:$D,2,FALSE),"N/A!")</f>
        <v>23500</v>
      </c>
      <c r="Q831" s="716" t="s">
        <v>14260</v>
      </c>
      <c r="R831" s="716" t="s">
        <v>24</v>
      </c>
      <c r="S831" s="716" t="str">
        <f>IF($W$17=$AF$1,"design",IFERROR(VLOOKUP("design",Jazyky_ceník!$A:$Q,MATCH($W$17,Jazyky_ceník!$A$1:$Q$1,0),FALSE),"!!!"))</f>
        <v>design</v>
      </c>
      <c r="T831" s="716">
        <v>40</v>
      </c>
      <c r="U831" s="716" t="s">
        <v>13822</v>
      </c>
      <c r="V831" s="716" t="s">
        <v>13824</v>
      </c>
      <c r="W831" s="716" t="str">
        <f>IFERROR(VLOOKUP('General price list'!$C831,Popisy!A:P,MATCH($W$17,Popisy!$A$7:$P$7,0),FALSE),"---------------")</f>
        <v>7 různobarevných efektů</v>
      </c>
      <c r="X831" s="716" t="str">
        <f>IF(AB831&lt;0.0001,"",AB831)</f>
        <v/>
      </c>
      <c r="Y831" s="716" t="str">
        <f>IF($AL$3=2,IF(OR(AB831&lt;&gt;"",AB831&lt;&gt;0),AU831,""),IF(C831="","",IF(AB831&lt;0.0001,"",IF(B831=0,"",IF(AQ831&lt;AB831,"",AB831)))))</f>
        <v/>
      </c>
      <c r="Z831" s="716" t="str">
        <f>HYPERLINK("https://www.klasekpyrotechnics.cz/c50mo14")</f>
        <v>https://www.klasekpyrotechnics.cz/c50mo14</v>
      </c>
      <c r="AA831" s="716">
        <f>IFERROR(IF(VLOOKUP(C831,[4]List1!$A:$D,4,FALSE)=0,"",VLOOKUP(C831,[4]List1!$A:$D,4,FALSE)),"")</f>
        <v>16</v>
      </c>
      <c r="AB831" s="720"/>
      <c r="AC831" s="721" t="str">
        <f>IFERROR(IF(VLOOKUP(C831,[1]List1!$A:$D,2,FALSE)="VYPRODÁNO",$V$9,IF(VLOOKUP(C831,[1]List1!$A:$D,2,FALSE)="DOCHÁZÍ",$V$3,VLOOKUP(C831,[1]List1!$A:$D,2,FALSE))),"OFFLINE!")</f>
        <v>SKLADEM</v>
      </c>
      <c r="AD831" s="722" t="str">
        <f ca="1">IF(AP831="NE",$V$10,IF(AC831=$V$3,IF(AQ831&lt;1,$V$8,$V$2&amp;" "&amp;AQ831&amp;" "&amp;$V$1),IF(AC831="SKLADEM",$V$6,IFERROR(IF(OR(AC831-TODAY()&gt;45,VLOOKUP(C831,[1]List1!$A:$E,4,FALSE)=0),AC831,DAY(AC831)&amp;"."&amp;MONTH(AC831)&amp;"."&amp;YEAR(AC831)&amp;" "&amp;$V$4&amp;VLOOKUP(C831,[1]List1!$A:$E,4,FALSE)&amp;" "&amp;$V$1),AC831))))</f>
        <v>SKLADEM</v>
      </c>
      <c r="AE831" s="716" t="str">
        <f t="shared" ref="AE831" ca="1" si="2030">IFERROR(IF(AV831&lt;&gt;"",AV831,AD831),AD831)</f>
        <v>SKLADEM</v>
      </c>
      <c r="AF831" s="723">
        <f t="shared" ref="AF831" si="2031">IFERROR(IF(AB831=Y831,G831*I831*Y831,0),0)</f>
        <v>0</v>
      </c>
      <c r="AG831" s="723">
        <f t="shared" ref="AG831" si="2032">IF($W$17=$AF$8,AH831*1.23,AF831*1.21)</f>
        <v>0</v>
      </c>
      <c r="AH831" s="724">
        <f t="shared" ref="AH831" si="2033">IFERROR(IF(Y831=AB831,H831*I831*Y831,0),0)</f>
        <v>0</v>
      </c>
      <c r="AI831" s="716">
        <f t="shared" ref="AI831" si="2034">IFERROR(IF(Y831=AB831,(P831*Y831)/1000,1),0)</f>
        <v>0</v>
      </c>
      <c r="AJ831" s="716">
        <f t="shared" ref="AJ831" si="2035">IFERROR(IF(Y831=AB831,N831*Y831,0.1),0)</f>
        <v>0</v>
      </c>
      <c r="AK831" s="716" t="str">
        <f t="shared" ref="AK831" si="2036">IFERROR(IF(Y831=AB831,IF(M831="1.1G",(O831/1000)*Y831,""),""),0)</f>
        <v/>
      </c>
      <c r="AL831" s="716" t="str">
        <f t="shared" ref="AL831" si="2037">IFERROR(IF(Y831=AB831,IF(M831="1.3G",(O831/1000)*AB831,""),""),0)</f>
        <v/>
      </c>
      <c r="AM831" s="716">
        <f t="shared" ref="AM831" si="2038">IFERROR(IF(Y831=AB831,IF(M831="1.4G",(O831/1000)*AB831,""),""),0)</f>
        <v>0</v>
      </c>
      <c r="AN831" s="716">
        <f t="shared" ref="AN831" si="2039">SUM(AK831:AM831)</f>
        <v>0</v>
      </c>
      <c r="AO831" s="380"/>
      <c r="AP831" s="322" t="str">
        <f t="shared" si="1852"/>
        <v/>
      </c>
      <c r="AQ831" s="323" t="str">
        <f>IF(AC831=$V$3,IF(VLOOKUP(C831,[1]List1!$A:$E,5,FALSE)=0,1,VLOOKUP(C831,[1]List1!$A:$E,5,FALSE)),"")</f>
        <v/>
      </c>
      <c r="AR831" s="304" t="str">
        <f t="shared" si="1853"/>
        <v/>
      </c>
      <c r="AS831" s="423" t="str">
        <f t="shared" si="1854"/>
        <v/>
      </c>
      <c r="AT831" s="304" t="str">
        <f t="shared" si="1855"/>
        <v/>
      </c>
      <c r="AU831" s="342" t="e">
        <f t="shared" si="1856"/>
        <v>#N/A</v>
      </c>
      <c r="AV831" s="304" t="e">
        <f t="shared" si="1857"/>
        <v>#N/A</v>
      </c>
      <c r="AX831" s="304">
        <f>IF(AND('General price list'!$J831="F4",'General price list'!$AB831+0&gt;0),1,0)</f>
        <v>0</v>
      </c>
      <c r="AY831" s="304">
        <f t="shared" si="1858"/>
        <v>1</v>
      </c>
      <c r="AZ831" s="304">
        <f t="shared" si="1859"/>
        <v>0</v>
      </c>
    </row>
    <row r="832" spans="1:52" ht="15" customHeight="1">
      <c r="A832" s="773" t="str">
        <f>Kat.!C830</f>
        <v xml:space="preserve">                                                               Baterie 64ran, 20+25mm moždíř-1.3G</v>
      </c>
      <c r="B832" s="774"/>
      <c r="C832" s="774"/>
      <c r="D832" s="774"/>
      <c r="E832" s="774"/>
      <c r="F832" s="774"/>
      <c r="G832" s="774"/>
      <c r="H832" s="774"/>
      <c r="I832" s="774"/>
      <c r="J832" s="774"/>
      <c r="K832" s="774"/>
      <c r="L832" s="774"/>
      <c r="M832" s="774"/>
      <c r="N832" s="774"/>
      <c r="O832" s="774"/>
      <c r="P832" s="774"/>
      <c r="Q832" s="774"/>
      <c r="R832" s="774"/>
      <c r="S832" s="774"/>
      <c r="T832" s="774"/>
      <c r="U832" s="774"/>
      <c r="V832" s="774"/>
      <c r="W832" s="774"/>
      <c r="X832" s="774"/>
      <c r="Y832" s="774"/>
      <c r="Z832" s="774"/>
      <c r="AA832" s="774" t="str">
        <f>IFERROR(IF(VLOOKUP(C832,[4]List1!$A:$D,4,FALSE)=0,"",VLOOKUP(C832,[4]List1!$A:$D,4,FALSE)),"")</f>
        <v/>
      </c>
      <c r="AB832" s="774"/>
      <c r="AC832" s="775" t="str">
        <f>IFERROR(IF(VLOOKUP(C832,[1]List1!$A:$D,2,FALSE)="VYPRODÁNO",$V$9,IF(VLOOKUP(C832,[1]List1!$A:$D,2,FALSE)="DOCHÁZÍ",$V$3,VLOOKUP(C832,[1]List1!$A:$D,2,FALSE))),"OFFLINE!")</f>
        <v>OFFLINE!</v>
      </c>
      <c r="AD832" s="774"/>
      <c r="AE832" s="774"/>
      <c r="AF832" s="774"/>
      <c r="AG832" s="774"/>
      <c r="AH832" s="774"/>
      <c r="AI832" s="774"/>
      <c r="AJ832" s="774"/>
      <c r="AK832" s="774"/>
      <c r="AL832" s="774"/>
      <c r="AM832" s="774"/>
      <c r="AN832" s="774"/>
      <c r="AO832" s="380"/>
      <c r="AP832" s="322" t="str">
        <f t="shared" si="1852"/>
        <v/>
      </c>
      <c r="AQ832" s="323" t="str">
        <f>IF(AC832=$V$3,IF(VLOOKUP(C832,[1]List1!$A:$E,5,FALSE)=0,1,VLOOKUP(C832,[1]List1!$A:$E,5,FALSE)),"")</f>
        <v/>
      </c>
      <c r="AR832" s="304" t="str">
        <f t="shared" si="1853"/>
        <v/>
      </c>
      <c r="AS832" s="423" t="str">
        <f t="shared" si="1854"/>
        <v/>
      </c>
      <c r="AT832" s="304" t="str">
        <f t="shared" si="1855"/>
        <v/>
      </c>
      <c r="AU832" s="342" t="e">
        <f t="shared" si="1856"/>
        <v>#N/A</v>
      </c>
      <c r="AV832" s="304" t="e">
        <f t="shared" si="1857"/>
        <v>#N/A</v>
      </c>
      <c r="AX832" s="304">
        <f>IF(AND('General price list'!$J832="F4",'General price list'!$AB832+0&gt;0),1,0)</f>
        <v>0</v>
      </c>
      <c r="AY832" s="304">
        <f t="shared" si="1858"/>
        <v>0</v>
      </c>
      <c r="AZ832" s="304">
        <f t="shared" si="1859"/>
        <v>0</v>
      </c>
    </row>
    <row r="833" spans="1:52" ht="15" customHeight="1">
      <c r="A833" s="712" t="str">
        <f>Kat.!C831</f>
        <v/>
      </c>
      <c r="B833" s="713">
        <f>IF(AND('General price list'!$J833="F4",$AI$1=FALSE),0,IF(AC833="SKLADEM",1,IF(AC833=$V$3,1,0)))</f>
        <v>1</v>
      </c>
      <c r="C833" s="714" t="s">
        <v>1678</v>
      </c>
      <c r="D833" s="715" t="s">
        <v>1676</v>
      </c>
      <c r="E833" s="716" t="s">
        <v>1074</v>
      </c>
      <c r="F833" s="712">
        <f>IFERROR(ROUND(IF($AL$3=2,VLOOKUP(C833,[2]List1!$A:$D,2,FALSE)*1.08,VLOOKUP(C833,[2]List1!$A:$D,2,FALSE)),0),"NEUVEDENO!")</f>
        <v>753</v>
      </c>
      <c r="G833" s="717">
        <f t="shared" ref="G833:G834" si="2040">(F833)*$B$19</f>
        <v>753</v>
      </c>
      <c r="H833" s="718">
        <f t="shared" ref="H833:H834" si="2041">G833/$F$19</f>
        <v>30.598685841301318</v>
      </c>
      <c r="I833" s="719">
        <v>4</v>
      </c>
      <c r="J833" s="716" t="s">
        <v>46</v>
      </c>
      <c r="K833" s="716"/>
      <c r="L833" s="716" t="s">
        <v>24</v>
      </c>
      <c r="M833" s="716" t="s">
        <v>138</v>
      </c>
      <c r="N833" s="716">
        <f>IFERROR(VLOOKUP(C833,[3]List1!$A:$D,4,FALSE),"N/A!")</f>
        <v>3.2400000000000005E-2</v>
      </c>
      <c r="O833" s="716">
        <f>IFERROR(VLOOKUP(C833,[3]List1!$A:$D,3,FALSE),"N/A!")</f>
        <v>1980</v>
      </c>
      <c r="P833" s="716">
        <f>IFERROR(VLOOKUP(C833,[3]List1!$A:$D,2,FALSE),"N/A!")</f>
        <v>15000</v>
      </c>
      <c r="Q833" s="716" t="s">
        <v>2800</v>
      </c>
      <c r="R833" s="716" t="s">
        <v>24</v>
      </c>
      <c r="S833" s="716" t="str">
        <f>IF($W$17=$AF$1,"červená fólie",IFERROR(VLOOKUP("červená fólie",Jazyky_ceník!$A:$Q,MATCH($W$17,Jazyky_ceník!$A$1:$Q$1,0),FALSE),"!!!"))</f>
        <v>červená fólie</v>
      </c>
      <c r="T833" s="716">
        <v>60</v>
      </c>
      <c r="U833" s="716" t="s">
        <v>13829</v>
      </c>
      <c r="V833" s="716" t="s">
        <v>13830</v>
      </c>
      <c r="W833" s="716" t="str">
        <f>IFERROR(VLOOKUP('General price list'!$C833,Popisy!A:P,MATCH($W$17,Popisy!$A$7:$P$7,0),FALSE),"---------------")</f>
        <v>9 různobarevných efektů</v>
      </c>
      <c r="X833" s="716" t="str">
        <f t="shared" ref="X833:X834" si="2042">IF(AB833&lt;0.0001,"",AB833)</f>
        <v/>
      </c>
      <c r="Y833" s="716" t="str">
        <f t="shared" ref="Y833:Y834" si="2043">IF($AL$3=2,IF(OR(AB833&lt;&gt;"",AB833&lt;&gt;0),AU833,""),IF(C833="","",IF(AB833&lt;0.0001,"",IF(B833=0,"",IF(AQ833&lt;AB833,"",AB833)))))</f>
        <v/>
      </c>
      <c r="Z833" s="716" t="str">
        <f>HYPERLINK("https://www.klasekpyrotechnics.cz/c64mt")</f>
        <v>https://www.klasekpyrotechnics.cz/c64mt</v>
      </c>
      <c r="AA833" s="716">
        <f>IFERROR(IF(VLOOKUP(C833,[4]List1!$A:$D,4,FALSE)=0,"",VLOOKUP(C833,[4]List1!$A:$D,4,FALSE)),"")</f>
        <v>36</v>
      </c>
      <c r="AB833" s="720"/>
      <c r="AC833" s="721" t="str">
        <f>IFERROR(IF(VLOOKUP(C833,[1]List1!$A:$D,2,FALSE)="VYPRODÁNO",$V$9,IF(VLOOKUP(C833,[1]List1!$A:$D,2,FALSE)="DOCHÁZÍ",$V$3,VLOOKUP(C833,[1]List1!$A:$D,2,FALSE))),"OFFLINE!")</f>
        <v>SKLADEM</v>
      </c>
      <c r="AD833" s="722" t="str">
        <f ca="1">IF(AP833="NE",$V$10,IF(AC833=$V$3,IF(AQ833&lt;1,$V$8,$V$2&amp;" "&amp;AQ833&amp;" "&amp;$V$1),IF(AC833="SKLADEM",$V$6,IFERROR(IF(OR(AC833-TODAY()&gt;45,VLOOKUP(C833,[1]List1!$A:$E,4,FALSE)=0),AC833,DAY(AC833)&amp;"."&amp;MONTH(AC833)&amp;"."&amp;YEAR(AC833)&amp;" "&amp;$V$4&amp;VLOOKUP(C833,[1]List1!$A:$E,4,FALSE)&amp;" "&amp;$V$1),AC833))))</f>
        <v>SKLADEM</v>
      </c>
      <c r="AE833" s="716" t="str">
        <f t="shared" ref="AE833:AE834" ca="1" si="2044">IFERROR(IF(AV833&lt;&gt;"",AV833,AD833),AD833)</f>
        <v>SKLADEM</v>
      </c>
      <c r="AF833" s="723">
        <f t="shared" ref="AF833:AF834" si="2045">IFERROR(IF(AB833=Y833,G833*I833*Y833,0),0)</f>
        <v>0</v>
      </c>
      <c r="AG833" s="723">
        <f t="shared" ref="AG833:AG834" si="2046">IF($W$17=$AF$8,AH833*1.23,AF833*1.21)</f>
        <v>0</v>
      </c>
      <c r="AH833" s="724">
        <f t="shared" ref="AH833:AH834" si="2047">IFERROR(IF(Y833=AB833,H833*I833*Y833,0),0)</f>
        <v>0</v>
      </c>
      <c r="AI833" s="716">
        <f t="shared" ref="AI833:AI834" si="2048">IFERROR(IF(Y833=AB833,(P833*Y833)/1000,1),0)</f>
        <v>0</v>
      </c>
      <c r="AJ833" s="716">
        <f t="shared" ref="AJ833:AJ834" si="2049">IFERROR(IF(Y833=AB833,N833*Y833,0.1),0)</f>
        <v>0</v>
      </c>
      <c r="AK833" s="716" t="str">
        <f t="shared" ref="AK833:AK834" si="2050">IFERROR(IF(Y833=AB833,IF(M833="1.1G",(O833/1000)*Y833,""),""),0)</f>
        <v/>
      </c>
      <c r="AL833" s="716">
        <f t="shared" ref="AL833:AL834" si="2051">IFERROR(IF(Y833=AB833,IF(M833="1.3G",(O833/1000)*AB833,""),""),0)</f>
        <v>0</v>
      </c>
      <c r="AM833" s="716" t="str">
        <f t="shared" ref="AM833:AM834" si="2052">IFERROR(IF(Y833=AB833,IF(M833="1.4G",(O833/1000)*AB833,""),""),0)</f>
        <v/>
      </c>
      <c r="AN833" s="716">
        <f t="shared" ref="AN833:AN834" si="2053">SUM(AK833:AM833)</f>
        <v>0</v>
      </c>
      <c r="AO833" s="380"/>
      <c r="AP833" s="322" t="str">
        <f t="shared" si="1852"/>
        <v/>
      </c>
      <c r="AQ833" s="323" t="str">
        <f>IF(AC833=$V$3,IF(VLOOKUP(C833,[1]List1!$A:$E,5,FALSE)=0,1,VLOOKUP(C833,[1]List1!$A:$E,5,FALSE)),"")</f>
        <v/>
      </c>
      <c r="AR833" s="304" t="str">
        <f t="shared" si="1853"/>
        <v/>
      </c>
      <c r="AS833" s="423" t="str">
        <f t="shared" si="1854"/>
        <v/>
      </c>
      <c r="AT833" s="304" t="str">
        <f t="shared" si="1855"/>
        <v/>
      </c>
      <c r="AU833" s="342" t="e">
        <f t="shared" si="1856"/>
        <v>#N/A</v>
      </c>
      <c r="AV833" s="304" t="e">
        <f t="shared" si="1857"/>
        <v>#N/A</v>
      </c>
      <c r="AX833" s="304">
        <f>IF(AND('General price list'!$J833="F4",'General price list'!$AB833+0&gt;0),1,0)</f>
        <v>0</v>
      </c>
      <c r="AY833" s="304">
        <f t="shared" si="1858"/>
        <v>1</v>
      </c>
      <c r="AZ833" s="304">
        <f t="shared" si="1859"/>
        <v>0</v>
      </c>
    </row>
    <row r="834" spans="1:52" ht="15" customHeight="1">
      <c r="A834" s="725" t="str">
        <f>Kat.!C832</f>
        <v/>
      </c>
      <c r="B834" s="726">
        <f>IF(AND('General price list'!$J834="F4",$AI$1=FALSE),0,IF(AC834="SKLADEM",1,IF(AC834=$V$3,1,0)))</f>
        <v>1</v>
      </c>
      <c r="C834" s="727" t="s">
        <v>1679</v>
      </c>
      <c r="D834" s="728" t="s">
        <v>1677</v>
      </c>
      <c r="E834" s="729" t="s">
        <v>1074</v>
      </c>
      <c r="F834" s="725">
        <f>IFERROR(ROUND(IF($AL$3=2,VLOOKUP(C834,[2]List1!$A:$D,2,FALSE)*1.08,VLOOKUP(C834,[2]List1!$A:$D,2,FALSE)),0),"NEUVEDENO!")</f>
        <v>753</v>
      </c>
      <c r="G834" s="730">
        <f t="shared" si="2040"/>
        <v>753</v>
      </c>
      <c r="H834" s="731">
        <f t="shared" si="2041"/>
        <v>30.598685841301318</v>
      </c>
      <c r="I834" s="732">
        <v>4</v>
      </c>
      <c r="J834" s="729" t="s">
        <v>46</v>
      </c>
      <c r="K834" s="729"/>
      <c r="L834" s="729" t="s">
        <v>24</v>
      </c>
      <c r="M834" s="729" t="s">
        <v>138</v>
      </c>
      <c r="N834" s="729">
        <f>IFERROR(VLOOKUP(C834,[3]List1!$A:$D,4,FALSE),"N/A!")</f>
        <v>3.2400000000000005E-2</v>
      </c>
      <c r="O834" s="729">
        <f>IFERROR(VLOOKUP(C834,[3]List1!$A:$D,3,FALSE),"N/A!")</f>
        <v>1980</v>
      </c>
      <c r="P834" s="729">
        <f>IFERROR(VLOOKUP(C834,[3]List1!$A:$D,2,FALSE),"N/A!")</f>
        <v>15000</v>
      </c>
      <c r="Q834" s="729" t="s">
        <v>14262</v>
      </c>
      <c r="R834" s="729" t="s">
        <v>24</v>
      </c>
      <c r="S834" s="729" t="str">
        <f>IF($W$17=$AF$1,"design",IFERROR(VLOOKUP("design",Jazyky_ceník!$A:$Q,MATCH($W$17,Jazyky_ceník!$A$1:$Q$1,0),FALSE),"!!!"))</f>
        <v>design</v>
      </c>
      <c r="T834" s="729">
        <v>60</v>
      </c>
      <c r="U834" s="729" t="s">
        <v>13829</v>
      </c>
      <c r="V834" s="729" t="s">
        <v>13830</v>
      </c>
      <c r="W834" s="729" t="str">
        <f>IFERROR(VLOOKUP('General price list'!$C834,Popisy!A:P,MATCH($W$17,Popisy!$A$7:$P$7,0),FALSE),"---------------")</f>
        <v>9 různobarevných efektů</v>
      </c>
      <c r="X834" s="729" t="str">
        <f t="shared" si="2042"/>
        <v/>
      </c>
      <c r="Y834" s="729" t="str">
        <f t="shared" si="2043"/>
        <v/>
      </c>
      <c r="Z834" s="729" t="str">
        <f>HYPERLINK("https://www.klasekpyrotechnics.cz/c64mp")</f>
        <v>https://www.klasekpyrotechnics.cz/c64mp</v>
      </c>
      <c r="AA834" s="729">
        <f>IFERROR(IF(VLOOKUP(C834,[4]List1!$A:$D,4,FALSE)=0,"",VLOOKUP(C834,[4]List1!$A:$D,4,FALSE)),"")</f>
        <v>36</v>
      </c>
      <c r="AB834" s="720"/>
      <c r="AC834" s="733" t="str">
        <f>IFERROR(IF(VLOOKUP(C834,[1]List1!$A:$D,2,FALSE)="VYPRODÁNO",$V$9,IF(VLOOKUP(C834,[1]List1!$A:$D,2,FALSE)="DOCHÁZÍ",$V$3,VLOOKUP(C834,[1]List1!$A:$D,2,FALSE))),"OFFLINE!")</f>
        <v>SKLADEM</v>
      </c>
      <c r="AD834" s="734" t="str">
        <f ca="1">IF(AP834="NE",$V$10,IF(AC834=$V$3,IF(AQ834&lt;1,$V$8,$V$2&amp;" "&amp;AQ834&amp;" "&amp;$V$1),IF(AC834="SKLADEM",$V$6,IFERROR(IF(OR(AC834-TODAY()&gt;45,VLOOKUP(C834,[1]List1!$A:$E,4,FALSE)=0),AC834,DAY(AC834)&amp;"."&amp;MONTH(AC834)&amp;"."&amp;YEAR(AC834)&amp;" "&amp;$V$4&amp;VLOOKUP(C834,[1]List1!$A:$E,4,FALSE)&amp;" "&amp;$V$1),AC834))))</f>
        <v>SKLADEM</v>
      </c>
      <c r="AE834" s="729" t="str">
        <f t="shared" ca="1" si="2044"/>
        <v>SKLADEM</v>
      </c>
      <c r="AF834" s="735">
        <f t="shared" si="2045"/>
        <v>0</v>
      </c>
      <c r="AG834" s="735">
        <f t="shared" si="2046"/>
        <v>0</v>
      </c>
      <c r="AH834" s="736">
        <f t="shared" si="2047"/>
        <v>0</v>
      </c>
      <c r="AI834" s="729">
        <f t="shared" si="2048"/>
        <v>0</v>
      </c>
      <c r="AJ834" s="729">
        <f t="shared" si="2049"/>
        <v>0</v>
      </c>
      <c r="AK834" s="729" t="str">
        <f t="shared" si="2050"/>
        <v/>
      </c>
      <c r="AL834" s="729">
        <f t="shared" si="2051"/>
        <v>0</v>
      </c>
      <c r="AM834" s="729" t="str">
        <f t="shared" si="2052"/>
        <v/>
      </c>
      <c r="AN834" s="729">
        <f t="shared" si="2053"/>
        <v>0</v>
      </c>
      <c r="AO834" s="380"/>
      <c r="AP834" s="322" t="str">
        <f t="shared" si="1852"/>
        <v/>
      </c>
      <c r="AQ834" s="323" t="str">
        <f>IF(AC834=$V$3,IF(VLOOKUP(C834,[1]List1!$A:$E,5,FALSE)=0,1,VLOOKUP(C834,[1]List1!$A:$E,5,FALSE)),"")</f>
        <v/>
      </c>
      <c r="AR834" s="304" t="str">
        <f t="shared" si="1853"/>
        <v/>
      </c>
      <c r="AS834" s="423" t="str">
        <f t="shared" si="1854"/>
        <v/>
      </c>
      <c r="AT834" s="304" t="str">
        <f t="shared" si="1855"/>
        <v/>
      </c>
      <c r="AU834" s="342" t="e">
        <f t="shared" si="1856"/>
        <v>#N/A</v>
      </c>
      <c r="AV834" s="304" t="e">
        <f t="shared" si="1857"/>
        <v>#N/A</v>
      </c>
      <c r="AX834" s="304">
        <f>IF(AND('General price list'!$J834="F4",'General price list'!$AB834+0&gt;0),1,0)</f>
        <v>0</v>
      </c>
      <c r="AY834" s="304">
        <f t="shared" si="1858"/>
        <v>1</v>
      </c>
      <c r="AZ834" s="304">
        <f t="shared" si="1859"/>
        <v>0</v>
      </c>
    </row>
    <row r="835" spans="1:52" ht="15" customHeight="1">
      <c r="A835" s="773" t="str">
        <f>Kat.!C833</f>
        <v xml:space="preserve">                                                               Baterie 64ran, 20+25mm moždíř-1.4G</v>
      </c>
      <c r="B835" s="774"/>
      <c r="C835" s="774"/>
      <c r="D835" s="774"/>
      <c r="E835" s="774"/>
      <c r="F835" s="774"/>
      <c r="G835" s="774"/>
      <c r="H835" s="774"/>
      <c r="I835" s="774"/>
      <c r="J835" s="774"/>
      <c r="K835" s="774"/>
      <c r="L835" s="774"/>
      <c r="M835" s="774"/>
      <c r="N835" s="774"/>
      <c r="O835" s="774"/>
      <c r="P835" s="774"/>
      <c r="Q835" s="774"/>
      <c r="R835" s="774"/>
      <c r="S835" s="774"/>
      <c r="T835" s="774"/>
      <c r="U835" s="774"/>
      <c r="V835" s="774"/>
      <c r="W835" s="774"/>
      <c r="X835" s="774"/>
      <c r="Y835" s="774"/>
      <c r="Z835" s="774"/>
      <c r="AA835" s="774" t="str">
        <f>IFERROR(IF(VLOOKUP(C835,[4]List1!$A:$D,4,FALSE)=0,"",VLOOKUP(C835,[4]List1!$A:$D,4,FALSE)),"")</f>
        <v/>
      </c>
      <c r="AB835" s="774"/>
      <c r="AC835" s="775" t="str">
        <f>IFERROR(IF(VLOOKUP(C835,[1]List1!$A:$D,2,FALSE)="VYPRODÁNO",$V$9,IF(VLOOKUP(C835,[1]List1!$A:$D,2,FALSE)="DOCHÁZÍ",$V$3,VLOOKUP(C835,[1]List1!$A:$D,2,FALSE))),"OFFLINE!")</f>
        <v>OFFLINE!</v>
      </c>
      <c r="AD835" s="774"/>
      <c r="AE835" s="774"/>
      <c r="AF835" s="774"/>
      <c r="AG835" s="774"/>
      <c r="AH835" s="774"/>
      <c r="AI835" s="774"/>
      <c r="AJ835" s="774"/>
      <c r="AK835" s="774"/>
      <c r="AL835" s="774"/>
      <c r="AM835" s="774"/>
      <c r="AN835" s="774"/>
      <c r="AO835" s="380"/>
      <c r="AP835" s="322" t="str">
        <f t="shared" si="1852"/>
        <v/>
      </c>
      <c r="AQ835" s="323" t="str">
        <f>IF(AC835=$V$3,IF(VLOOKUP(C835,[1]List1!$A:$E,5,FALSE)=0,1,VLOOKUP(C835,[1]List1!$A:$E,5,FALSE)),"")</f>
        <v/>
      </c>
      <c r="AR835" s="304" t="str">
        <f t="shared" si="1853"/>
        <v/>
      </c>
      <c r="AS835" s="423" t="str">
        <f t="shared" si="1854"/>
        <v/>
      </c>
      <c r="AT835" s="304" t="str">
        <f t="shared" si="1855"/>
        <v/>
      </c>
      <c r="AU835" s="342" t="e">
        <f t="shared" si="1856"/>
        <v>#N/A</v>
      </c>
      <c r="AV835" s="304" t="e">
        <f t="shared" si="1857"/>
        <v>#N/A</v>
      </c>
      <c r="AX835" s="304">
        <f>IF(AND('General price list'!$J835="F4",'General price list'!$AB835+0&gt;0),1,0)</f>
        <v>0</v>
      </c>
      <c r="AY835" s="304">
        <f t="shared" si="1858"/>
        <v>0</v>
      </c>
      <c r="AZ835" s="304">
        <f t="shared" si="1859"/>
        <v>0</v>
      </c>
    </row>
    <row r="836" spans="1:52" ht="15" customHeight="1">
      <c r="A836" s="725" t="str">
        <f>Kat.!C834</f>
        <v>×</v>
      </c>
      <c r="B836" s="741">
        <f>IF(AND('General price list'!$J836="F4",$AI$1=FALSE),0,IF(AC836="SKLADEM",1,IF(AC836=$V$3,1,0)))</f>
        <v>1</v>
      </c>
      <c r="C836" s="727" t="s">
        <v>1680</v>
      </c>
      <c r="D836" s="728" t="s">
        <v>1676</v>
      </c>
      <c r="E836" s="729" t="s">
        <v>1074</v>
      </c>
      <c r="F836" s="725">
        <f>IFERROR(ROUND(IF($AL$3=2,VLOOKUP(C836,[2]List1!$A:$D,2,FALSE)*1.08,VLOOKUP(C836,[2]List1!$A:$D,2,FALSE)),0),"NEUVEDENO!")</f>
        <v>753</v>
      </c>
      <c r="G836" s="730">
        <f>(F836)*$B$19</f>
        <v>753</v>
      </c>
      <c r="H836" s="731">
        <f>G836/$F$19</f>
        <v>30.598685841301318</v>
      </c>
      <c r="I836" s="742">
        <v>4</v>
      </c>
      <c r="J836" s="729" t="s">
        <v>46</v>
      </c>
      <c r="K836" s="729"/>
      <c r="L836" s="729" t="s">
        <v>14378</v>
      </c>
      <c r="M836" s="729" t="s">
        <v>25</v>
      </c>
      <c r="N836" s="729">
        <f>IFERROR(VLOOKUP(C836,[3]List1!$A:$D,4,FALSE),"N/A!")</f>
        <v>3.2400000000000005E-2</v>
      </c>
      <c r="O836" s="729">
        <f>IFERROR(VLOOKUP(C836,[3]List1!$A:$D,3,FALSE),"N/A!")</f>
        <v>1980</v>
      </c>
      <c r="P836" s="729">
        <f>IFERROR(VLOOKUP(C836,[3]List1!$A:$D,2,FALSE),"N/A!")</f>
        <v>15000</v>
      </c>
      <c r="Q836" s="729" t="s">
        <v>14263</v>
      </c>
      <c r="R836" s="729" t="s">
        <v>24</v>
      </c>
      <c r="S836" s="729" t="str">
        <f>IF($W$17=$AF$1,"červená fólie",IFERROR(VLOOKUP("červená fólie",Jazyky_ceník!$A:$Q,MATCH($W$17,Jazyky_ceník!$A$1:$Q$1,0),FALSE),"!!!"))</f>
        <v>červená fólie</v>
      </c>
      <c r="T836" s="729">
        <v>60</v>
      </c>
      <c r="U836" s="729" t="s">
        <v>13829</v>
      </c>
      <c r="V836" s="729" t="s">
        <v>13831</v>
      </c>
      <c r="W836" s="729" t="str">
        <f>IFERROR(VLOOKUP('General price list'!$C836,Popisy!A:P,MATCH($W$17,Popisy!$A$7:$P$7,0),FALSE),"---------------")</f>
        <v>9 různobarevných efektů</v>
      </c>
      <c r="X836" s="729" t="str">
        <f>IF(AB836&lt;0.0001,"",AB836)</f>
        <v/>
      </c>
      <c r="Y836" s="729" t="str">
        <f>IF($AL$3=2,IF(OR(AB836&lt;&gt;"",AB836&lt;&gt;0),AU836,""),IF(C836="","",IF(AB836&lt;0.0001,"",IF(B836=0,"",IF(AQ836&lt;AB836,"",AB836)))))</f>
        <v/>
      </c>
      <c r="Z836" s="729" t="str">
        <f>HYPERLINK("https://www.klasekpyrotechnics.cz/c64mt14")</f>
        <v>https://www.klasekpyrotechnics.cz/c64mt14</v>
      </c>
      <c r="AA836" s="729">
        <f>IFERROR(IF(VLOOKUP(C836,[4]List1!$A:$D,4,FALSE)=0,"",VLOOKUP(C836,[4]List1!$A:$D,4,FALSE)),"")</f>
        <v>36</v>
      </c>
      <c r="AB836" s="720"/>
      <c r="AC836" s="743" t="str">
        <f>IFERROR(IF(VLOOKUP(C836,[1]List1!$A:$D,2,FALSE)="VYPRODÁNO",$V$9,IF(VLOOKUP(C836,[1]List1!$A:$D,2,FALSE)="DOCHÁZÍ",$V$3,VLOOKUP(C836,[1]List1!$A:$D,2,FALSE))),"OFFLINE!")</f>
        <v>SKLADEM</v>
      </c>
      <c r="AD836" s="744" t="str">
        <f ca="1">IF(AP836="NE",$V$10,IF(AC836=$V$3,IF(AQ836&lt;1,$V$8,$V$2&amp;" "&amp;AQ836&amp;" "&amp;$V$1),IF(AC836="SKLADEM",$V$6,IFERROR(IF(OR(AC836-TODAY()&gt;45,VLOOKUP(C836,[1]List1!$A:$E,4,FALSE)=0),AC836,DAY(AC836)&amp;"."&amp;MONTH(AC836)&amp;"."&amp;YEAR(AC836)&amp;" "&amp;$V$4&amp;VLOOKUP(C836,[1]List1!$A:$E,4,FALSE)&amp;" "&amp;$V$1),AC836))))</f>
        <v>SKLADEM</v>
      </c>
      <c r="AE836" s="729" t="str">
        <f t="shared" ref="AE836" ca="1" si="2054">IFERROR(IF(AV836&lt;&gt;"",AV836,AD836),AD836)</f>
        <v>SKLADEM</v>
      </c>
      <c r="AF836" s="735">
        <f t="shared" ref="AF836" si="2055">IFERROR(IF(AB836=Y836,G836*I836*Y836,0),0)</f>
        <v>0</v>
      </c>
      <c r="AG836" s="735">
        <f t="shared" ref="AG836" si="2056">IF($W$17=$AF$8,AH836*1.23,AF836*1.21)</f>
        <v>0</v>
      </c>
      <c r="AH836" s="736">
        <f t="shared" ref="AH836" si="2057">IFERROR(IF(Y836=AB836,H836*I836*Y836,0),0)</f>
        <v>0</v>
      </c>
      <c r="AI836" s="729">
        <f t="shared" ref="AI836" si="2058">IFERROR(IF(Y836=AB836,(P836*Y836)/1000,1),0)</f>
        <v>0</v>
      </c>
      <c r="AJ836" s="729">
        <f t="shared" ref="AJ836" si="2059">IFERROR(IF(Y836=AB836,N836*Y836,0.1),0)</f>
        <v>0</v>
      </c>
      <c r="AK836" s="729" t="str">
        <f t="shared" ref="AK836" si="2060">IFERROR(IF(Y836=AB836,IF(M836="1.1G",(O836/1000)*Y836,""),""),0)</f>
        <v/>
      </c>
      <c r="AL836" s="729" t="str">
        <f t="shared" ref="AL836" si="2061">IFERROR(IF(Y836=AB836,IF(M836="1.3G",(O836/1000)*AB836,""),""),0)</f>
        <v/>
      </c>
      <c r="AM836" s="729">
        <f t="shared" ref="AM836" si="2062">IFERROR(IF(Y836=AB836,IF(M836="1.4G",(O836/1000)*AB836,""),""),0)</f>
        <v>0</v>
      </c>
      <c r="AN836" s="729">
        <f t="shared" ref="AN836" si="2063">SUM(AK836:AM836)</f>
        <v>0</v>
      </c>
      <c r="AO836" s="380"/>
      <c r="AP836" s="322" t="str">
        <f t="shared" si="1852"/>
        <v/>
      </c>
      <c r="AQ836" s="323" t="str">
        <f>IF(AC836=$V$3,IF(VLOOKUP(C836,[1]List1!$A:$E,5,FALSE)=0,1,VLOOKUP(C836,[1]List1!$A:$E,5,FALSE)),"")</f>
        <v/>
      </c>
      <c r="AR836" s="304" t="str">
        <f t="shared" si="1853"/>
        <v/>
      </c>
      <c r="AS836" s="423" t="str">
        <f t="shared" si="1854"/>
        <v/>
      </c>
      <c r="AT836" s="304" t="str">
        <f t="shared" si="1855"/>
        <v/>
      </c>
      <c r="AU836" s="342" t="e">
        <f t="shared" si="1856"/>
        <v>#N/A</v>
      </c>
      <c r="AV836" s="304" t="e">
        <f t="shared" si="1857"/>
        <v>#N/A</v>
      </c>
      <c r="AX836" s="304">
        <f>IF(AND('General price list'!$J836="F4",'General price list'!$AB836+0&gt;0),1,0)</f>
        <v>0</v>
      </c>
      <c r="AY836" s="304">
        <f t="shared" si="1858"/>
        <v>1</v>
      </c>
      <c r="AZ836" s="304">
        <f t="shared" si="1859"/>
        <v>0</v>
      </c>
    </row>
    <row r="837" spans="1:52" ht="15" customHeight="1">
      <c r="A837" s="773" t="str">
        <f>Kat.!C835</f>
        <v xml:space="preserve">                                                               Baterie 68ran, 20+25+30mm moždíř(všechny směry)-1.3G</v>
      </c>
      <c r="B837" s="774"/>
      <c r="C837" s="774"/>
      <c r="D837" s="774"/>
      <c r="E837" s="774"/>
      <c r="F837" s="774"/>
      <c r="G837" s="774"/>
      <c r="H837" s="774"/>
      <c r="I837" s="774"/>
      <c r="J837" s="774"/>
      <c r="K837" s="774"/>
      <c r="L837" s="774"/>
      <c r="M837" s="774"/>
      <c r="N837" s="774"/>
      <c r="O837" s="774"/>
      <c r="P837" s="774"/>
      <c r="Q837" s="774"/>
      <c r="R837" s="774"/>
      <c r="S837" s="774"/>
      <c r="T837" s="774"/>
      <c r="U837" s="774"/>
      <c r="V837" s="774"/>
      <c r="W837" s="774"/>
      <c r="X837" s="774"/>
      <c r="Y837" s="774"/>
      <c r="Z837" s="774"/>
      <c r="AA837" s="774" t="str">
        <f>IFERROR(IF(VLOOKUP(C837,[4]List1!$A:$D,4,FALSE)=0,"",VLOOKUP(C837,[4]List1!$A:$D,4,FALSE)),"")</f>
        <v/>
      </c>
      <c r="AB837" s="774"/>
      <c r="AC837" s="775" t="str">
        <f>IFERROR(IF(VLOOKUP(C837,[1]List1!$A:$D,2,FALSE)="VYPRODÁNO",$V$9,IF(VLOOKUP(C837,[1]List1!$A:$D,2,FALSE)="DOCHÁZÍ",$V$3,VLOOKUP(C837,[1]List1!$A:$D,2,FALSE))),"OFFLINE!")</f>
        <v>OFFLINE!</v>
      </c>
      <c r="AD837" s="774"/>
      <c r="AE837" s="774"/>
      <c r="AF837" s="774"/>
      <c r="AG837" s="774"/>
      <c r="AH837" s="774"/>
      <c r="AI837" s="774"/>
      <c r="AJ837" s="774"/>
      <c r="AK837" s="774"/>
      <c r="AL837" s="774"/>
      <c r="AM837" s="774"/>
      <c r="AN837" s="774"/>
      <c r="AO837" s="380"/>
      <c r="AP837" s="322" t="str">
        <f t="shared" si="1852"/>
        <v/>
      </c>
      <c r="AQ837" s="323" t="str">
        <f>IF(AC837=$V$3,IF(VLOOKUP(C837,[1]List1!$A:$E,5,FALSE)=0,1,VLOOKUP(C837,[1]List1!$A:$E,5,FALSE)),"")</f>
        <v/>
      </c>
      <c r="AR837" s="304" t="str">
        <f t="shared" si="1853"/>
        <v/>
      </c>
      <c r="AS837" s="423" t="str">
        <f t="shared" si="1854"/>
        <v/>
      </c>
      <c r="AT837" s="304" t="str">
        <f t="shared" si="1855"/>
        <v/>
      </c>
      <c r="AU837" s="342" t="e">
        <f t="shared" si="1856"/>
        <v>#N/A</v>
      </c>
      <c r="AV837" s="304" t="e">
        <f t="shared" si="1857"/>
        <v>#N/A</v>
      </c>
      <c r="AX837" s="304">
        <f>IF(AND('General price list'!$J837="F4",'General price list'!$AB837+0&gt;0),1,0)</f>
        <v>0</v>
      </c>
      <c r="AY837" s="304">
        <f t="shared" si="1858"/>
        <v>0</v>
      </c>
      <c r="AZ837" s="304">
        <f t="shared" si="1859"/>
        <v>0</v>
      </c>
    </row>
    <row r="838" spans="1:52" ht="15" customHeight="1">
      <c r="A838" s="725" t="str">
        <f>Kat.!C836</f>
        <v/>
      </c>
      <c r="B838" s="741">
        <f>IF(AND('General price list'!$J838="F4",$AI$1=FALSE),0,IF(AC838="SKLADEM",1,IF(AC838=$V$3,1,0)))</f>
        <v>1</v>
      </c>
      <c r="C838" s="727" t="s">
        <v>2588</v>
      </c>
      <c r="D838" s="728" t="s">
        <v>12856</v>
      </c>
      <c r="E838" s="729" t="s">
        <v>1077</v>
      </c>
      <c r="F838" s="725">
        <f>IFERROR(ROUND(IF($AL$3=2,VLOOKUP(C838,[2]List1!$A:$D,2,FALSE)*1.08,VLOOKUP(C838,[2]List1!$A:$D,2,FALSE)),0),"NEUVEDENO!")</f>
        <v>961</v>
      </c>
      <c r="G838" s="730">
        <f t="shared" ref="G838:G839" si="2064">(F838)*$B$19</f>
        <v>961</v>
      </c>
      <c r="H838" s="731">
        <f t="shared" ref="H838:H839" si="2065">G838/$F$19</f>
        <v>39.050912474755073</v>
      </c>
      <c r="I838" s="742">
        <v>6</v>
      </c>
      <c r="J838" s="729" t="s">
        <v>46</v>
      </c>
      <c r="K838" s="729"/>
      <c r="L838" s="729" t="s">
        <v>24</v>
      </c>
      <c r="M838" s="729" t="s">
        <v>138</v>
      </c>
      <c r="N838" s="729">
        <f>IFERROR(VLOOKUP(C838,[3]List1!$A:$D,4,FALSE),"N/A!")</f>
        <v>9.3311999999999992E-2</v>
      </c>
      <c r="O838" s="729">
        <f>IFERROR(VLOOKUP(C838,[3]List1!$A:$D,3,FALSE),"N/A!")</f>
        <v>3000</v>
      </c>
      <c r="P838" s="729">
        <f>IFERROR(VLOOKUP(C838,[3]List1!$A:$D,2,FALSE),"N/A!")</f>
        <v>28000</v>
      </c>
      <c r="Q838" s="729" t="s">
        <v>14264</v>
      </c>
      <c r="R838" s="729" t="s">
        <v>24</v>
      </c>
      <c r="S838" s="729" t="str">
        <f>IF($W$17=$AF$1,"design",IFERROR(VLOOKUP("design",Jazyky_ceník!$A:$Q,MATCH($W$17,Jazyky_ceník!$A$1:$Q$1,0),FALSE),"!!!"))</f>
        <v>design</v>
      </c>
      <c r="T838" s="729">
        <v>45</v>
      </c>
      <c r="U838" s="729" t="s">
        <v>13822</v>
      </c>
      <c r="V838" s="729" t="s">
        <v>13832</v>
      </c>
      <c r="W838" s="729" t="str">
        <f>IFERROR(VLOOKUP('General price list'!$C838,Popisy!A:P,MATCH($W$17,Popisy!$A$7:$P$7,0),FALSE),"---------------")</f>
        <v>14 různobarevných efektů</v>
      </c>
      <c r="X838" s="729" t="str">
        <f t="shared" ref="X838:X839" si="2066">IF(AB838&lt;0.0001,"",AB838)</f>
        <v/>
      </c>
      <c r="Y838" s="729" t="str">
        <f t="shared" ref="Y838:Y839" si="2067">IF($AL$3=2,IF(OR(AB838&lt;&gt;"",AB838&lt;&gt;0),AU838,""),IF(C838="","",IF(AB838&lt;0.0001,"",IF(B838=0,"",IF(AQ838&lt;AB838,"",AB838)))))</f>
        <v/>
      </c>
      <c r="Z838" s="729" t="str">
        <f>HYPERLINK("https://www.klasekpyrotechnics.cz/c68xmpt")</f>
        <v>https://www.klasekpyrotechnics.cz/c68xmpt</v>
      </c>
      <c r="AA838" s="729">
        <f>IFERROR(IF(VLOOKUP(C838,[4]List1!$A:$D,4,FALSE)=0,"",VLOOKUP(C838,[4]List1!$A:$D,4,FALSE)),"")</f>
        <v>15</v>
      </c>
      <c r="AB838" s="720"/>
      <c r="AC838" s="743" t="str">
        <f>IFERROR(IF(VLOOKUP(C838,[1]List1!$A:$D,2,FALSE)="VYPRODÁNO",$V$9,IF(VLOOKUP(C838,[1]List1!$A:$D,2,FALSE)="DOCHÁZÍ",$V$3,VLOOKUP(C838,[1]List1!$A:$D,2,FALSE))),"OFFLINE!")</f>
        <v>SKLADEM</v>
      </c>
      <c r="AD838" s="744" t="str">
        <f ca="1">IF(AP838="NE",$V$10,IF(AC838=$V$3,IF(AQ838&lt;1,$V$8,$V$2&amp;" "&amp;AQ838&amp;" "&amp;$V$1),IF(AC838="SKLADEM",$V$6,IFERROR(IF(OR(AC838-TODAY()&gt;45,VLOOKUP(C838,[1]List1!$A:$E,4,FALSE)=0),AC838,DAY(AC838)&amp;"."&amp;MONTH(AC838)&amp;"."&amp;YEAR(AC838)&amp;" "&amp;$V$4&amp;VLOOKUP(C838,[1]List1!$A:$E,4,FALSE)&amp;" "&amp;$V$1),AC838))))</f>
        <v>SKLADEM</v>
      </c>
      <c r="AE838" s="729" t="str">
        <f t="shared" ref="AE838:AE839" ca="1" si="2068">IFERROR(IF(AV838&lt;&gt;"",AV838,AD838),AD838)</f>
        <v>SKLADEM</v>
      </c>
      <c r="AF838" s="735">
        <f t="shared" ref="AF838:AF839" si="2069">IFERROR(IF(AB838=Y838,G838*I838*Y838,0),0)</f>
        <v>0</v>
      </c>
      <c r="AG838" s="735">
        <f t="shared" ref="AG838:AG839" si="2070">IF($W$17=$AF$8,AH838*1.23,AF838*1.21)</f>
        <v>0</v>
      </c>
      <c r="AH838" s="736">
        <f t="shared" ref="AH838:AH839" si="2071">IFERROR(IF(Y838=AB838,H838*I838*Y838,0),0)</f>
        <v>0</v>
      </c>
      <c r="AI838" s="729">
        <f t="shared" ref="AI838:AI839" si="2072">IFERROR(IF(Y838=AB838,(P838*Y838)/1000,1),0)</f>
        <v>0</v>
      </c>
      <c r="AJ838" s="729">
        <f t="shared" ref="AJ838:AJ839" si="2073">IFERROR(IF(Y838=AB838,N838*Y838,0.1),0)</f>
        <v>0</v>
      </c>
      <c r="AK838" s="729" t="str">
        <f t="shared" ref="AK838:AK839" si="2074">IFERROR(IF(Y838=AB838,IF(M838="1.1G",(O838/1000)*Y838,""),""),0)</f>
        <v/>
      </c>
      <c r="AL838" s="729">
        <f t="shared" ref="AL838:AL839" si="2075">IFERROR(IF(Y838=AB838,IF(M838="1.3G",(O838/1000)*AB838,""),""),0)</f>
        <v>0</v>
      </c>
      <c r="AM838" s="729" t="str">
        <f t="shared" ref="AM838:AM839" si="2076">IFERROR(IF(Y838=AB838,IF(M838="1.4G",(O838/1000)*AB838,""),""),0)</f>
        <v/>
      </c>
      <c r="AN838" s="729">
        <f t="shared" ref="AN838:AN839" si="2077">SUM(AK838:AM838)</f>
        <v>0</v>
      </c>
      <c r="AO838" s="380"/>
      <c r="AP838" s="322" t="str">
        <f t="shared" si="1852"/>
        <v/>
      </c>
      <c r="AQ838" s="323" t="str">
        <f>IF(AC838=$V$3,IF(VLOOKUP(C838,[1]List1!$A:$E,5,FALSE)=0,1,VLOOKUP(C838,[1]List1!$A:$E,5,FALSE)),"")</f>
        <v/>
      </c>
      <c r="AR838" s="304" t="str">
        <f t="shared" si="1853"/>
        <v/>
      </c>
      <c r="AS838" s="423" t="str">
        <f t="shared" si="1854"/>
        <v/>
      </c>
      <c r="AT838" s="304" t="str">
        <f t="shared" si="1855"/>
        <v/>
      </c>
      <c r="AU838" s="342" t="e">
        <f t="shared" si="1856"/>
        <v>#N/A</v>
      </c>
      <c r="AV838" s="304" t="e">
        <f t="shared" si="1857"/>
        <v>#N/A</v>
      </c>
      <c r="AX838" s="304">
        <f>IF(AND('General price list'!$J838="F4",'General price list'!$AB838+0&gt;0),1,0)</f>
        <v>0</v>
      </c>
      <c r="AY838" s="304">
        <f t="shared" si="1858"/>
        <v>1</v>
      </c>
      <c r="AZ838" s="304">
        <f t="shared" si="1859"/>
        <v>0</v>
      </c>
    </row>
    <row r="839" spans="1:52" ht="15" customHeight="1">
      <c r="A839" s="712" t="str">
        <f>Kat.!C837</f>
        <v/>
      </c>
      <c r="B839" s="745">
        <f>IF(AND('General price list'!$J839="F4",$AI$1=FALSE),0,IF(AC839="SKLADEM",1,IF(AC839=$V$3,1,0)))</f>
        <v>1</v>
      </c>
      <c r="C839" s="714" t="s">
        <v>2589</v>
      </c>
      <c r="D839" s="715" t="s">
        <v>2590</v>
      </c>
      <c r="E839" s="716" t="s">
        <v>1077</v>
      </c>
      <c r="F839" s="712">
        <f>IFERROR(ROUND(IF($AL$3=2,VLOOKUP(C839,[2]List1!$A:$D,2,FALSE)*1.08,VLOOKUP(C839,[2]List1!$A:$D,2,FALSE)),0),"NEUVEDENO!")</f>
        <v>961</v>
      </c>
      <c r="G839" s="717">
        <f t="shared" si="2064"/>
        <v>961</v>
      </c>
      <c r="H839" s="718">
        <f t="shared" si="2065"/>
        <v>39.050912474755073</v>
      </c>
      <c r="I839" s="746">
        <v>6</v>
      </c>
      <c r="J839" s="716" t="s">
        <v>46</v>
      </c>
      <c r="K839" s="716"/>
      <c r="L839" s="716" t="s">
        <v>24</v>
      </c>
      <c r="M839" s="716" t="s">
        <v>138</v>
      </c>
      <c r="N839" s="716">
        <f>IFERROR(VLOOKUP(C839,[3]List1!$A:$D,4,FALSE),"N/A!")</f>
        <v>8.6526000000000006E-2</v>
      </c>
      <c r="O839" s="716">
        <f>IFERROR(VLOOKUP(C839,[3]List1!$A:$D,3,FALSE),"N/A!")</f>
        <v>3000</v>
      </c>
      <c r="P839" s="716">
        <f>IFERROR(VLOOKUP(C839,[3]List1!$A:$D,2,FALSE),"N/A!")</f>
        <v>28000</v>
      </c>
      <c r="Q839" s="716" t="s">
        <v>14264</v>
      </c>
      <c r="R839" s="716" t="s">
        <v>24</v>
      </c>
      <c r="S839" s="716" t="str">
        <f>IF($W$17=$AF$1,"design",IFERROR(VLOOKUP("design",Jazyky_ceník!$A:$Q,MATCH($W$17,Jazyky_ceník!$A$1:$Q$1,0),FALSE),"!!!"))</f>
        <v>design</v>
      </c>
      <c r="T839" s="716">
        <v>45</v>
      </c>
      <c r="U839" s="716" t="s">
        <v>13822</v>
      </c>
      <c r="V839" s="716" t="s">
        <v>13832</v>
      </c>
      <c r="W839" s="716" t="str">
        <f>IFERROR(VLOOKUP('General price list'!$C839,Popisy!A:P,MATCH($W$17,Popisy!$A$7:$P$7,0),FALSE),"---------------")</f>
        <v>14 různobarevných efektů</v>
      </c>
      <c r="X839" s="716" t="str">
        <f t="shared" si="2066"/>
        <v/>
      </c>
      <c r="Y839" s="716" t="str">
        <f t="shared" si="2067"/>
        <v/>
      </c>
      <c r="Z839" s="716" t="str">
        <f>HYPERLINK("https://www.klasekpyrotechnics.cz/c68xmcs")</f>
        <v>https://www.klasekpyrotechnics.cz/c68xmcs</v>
      </c>
      <c r="AA839" s="716">
        <f>IFERROR(IF(VLOOKUP(C839,[4]List1!$A:$D,4,FALSE)=0,"",VLOOKUP(C839,[4]List1!$A:$D,4,FALSE)),"")</f>
        <v>15</v>
      </c>
      <c r="AB839" s="720"/>
      <c r="AC839" s="747" t="str">
        <f>IFERROR(IF(VLOOKUP(C839,[1]List1!$A:$D,2,FALSE)="VYPRODÁNO",$V$9,IF(VLOOKUP(C839,[1]List1!$A:$D,2,FALSE)="DOCHÁZÍ",$V$3,VLOOKUP(C839,[1]List1!$A:$D,2,FALSE))),"OFFLINE!")</f>
        <v>DOCHÁZÍ</v>
      </c>
      <c r="AD839" s="748" t="str">
        <f ca="1">IF(AP839="NE",$V$10,IF(AC839=$V$3,IF(AQ839&lt;1,$V$8,$V$2&amp;" "&amp;AQ839&amp;" "&amp;$V$1),IF(AC839="SKLADEM",$V$6,IFERROR(IF(OR(AC839-TODAY()&gt;45,VLOOKUP(C839,[1]List1!$A:$E,4,FALSE)=0),AC839,DAY(AC839)&amp;"."&amp;MONTH(AC839)&amp;"."&amp;YEAR(AC839)&amp;" "&amp;$V$4&amp;VLOOKUP(C839,[1]List1!$A:$E,4,FALSE)&amp;" "&amp;$V$1),AC839))))</f>
        <v>POSLEDNÍCH 24 VK</v>
      </c>
      <c r="AE839" s="716" t="str">
        <f t="shared" ca="1" si="2068"/>
        <v>POSLEDNÍCH 24 VK</v>
      </c>
      <c r="AF839" s="723">
        <f t="shared" si="2069"/>
        <v>0</v>
      </c>
      <c r="AG839" s="723">
        <f t="shared" si="2070"/>
        <v>0</v>
      </c>
      <c r="AH839" s="724">
        <f t="shared" si="2071"/>
        <v>0</v>
      </c>
      <c r="AI839" s="716">
        <f t="shared" si="2072"/>
        <v>0</v>
      </c>
      <c r="AJ839" s="716">
        <f t="shared" si="2073"/>
        <v>0</v>
      </c>
      <c r="AK839" s="716" t="str">
        <f t="shared" si="2074"/>
        <v/>
      </c>
      <c r="AL839" s="716">
        <f t="shared" si="2075"/>
        <v>0</v>
      </c>
      <c r="AM839" s="716" t="str">
        <f t="shared" si="2076"/>
        <v/>
      </c>
      <c r="AN839" s="716">
        <f t="shared" si="2077"/>
        <v>0</v>
      </c>
      <c r="AO839" s="380"/>
      <c r="AP839" s="322" t="str">
        <f t="shared" si="1852"/>
        <v/>
      </c>
      <c r="AQ839" s="323">
        <f>IF(AC839=$V$3,IF(VLOOKUP(C839,[1]List1!$A:$E,5,FALSE)=0,1,VLOOKUP(C839,[1]List1!$A:$E,5,FALSE)),"")</f>
        <v>24</v>
      </c>
      <c r="AR839" s="304" t="str">
        <f t="shared" si="1853"/>
        <v/>
      </c>
      <c r="AS839" s="423" t="str">
        <f t="shared" si="1854"/>
        <v/>
      </c>
      <c r="AT839" s="304" t="str">
        <f t="shared" si="1855"/>
        <v/>
      </c>
      <c r="AU839" s="342" t="e">
        <f t="shared" si="1856"/>
        <v>#N/A</v>
      </c>
      <c r="AV839" s="304" t="e">
        <f t="shared" si="1857"/>
        <v>#N/A</v>
      </c>
      <c r="AX839" s="304">
        <f>IF(AND('General price list'!$J839="F4",'General price list'!$AB839+0&gt;0),1,0)</f>
        <v>0</v>
      </c>
      <c r="AY839" s="304">
        <f t="shared" si="1858"/>
        <v>1</v>
      </c>
      <c r="AZ839" s="304">
        <f t="shared" si="1859"/>
        <v>0</v>
      </c>
    </row>
    <row r="840" spans="1:52" ht="15" customHeight="1">
      <c r="A840" s="773" t="str">
        <f>Kat.!C838</f>
        <v xml:space="preserve">                                                               Baterie 68ran, 20+25+30mm moždíř(všechny směry)-1.4G</v>
      </c>
      <c r="B840" s="774"/>
      <c r="C840" s="774"/>
      <c r="D840" s="774"/>
      <c r="E840" s="774"/>
      <c r="F840" s="774"/>
      <c r="G840" s="774"/>
      <c r="H840" s="774"/>
      <c r="I840" s="774"/>
      <c r="J840" s="774"/>
      <c r="K840" s="774"/>
      <c r="L840" s="774"/>
      <c r="M840" s="774"/>
      <c r="N840" s="774"/>
      <c r="O840" s="774"/>
      <c r="P840" s="774"/>
      <c r="Q840" s="774"/>
      <c r="R840" s="774"/>
      <c r="S840" s="774"/>
      <c r="T840" s="774"/>
      <c r="U840" s="774"/>
      <c r="V840" s="774"/>
      <c r="W840" s="774"/>
      <c r="X840" s="774"/>
      <c r="Y840" s="774"/>
      <c r="Z840" s="774"/>
      <c r="AA840" s="774" t="str">
        <f>IFERROR(IF(VLOOKUP(C840,[4]List1!$A:$D,4,FALSE)=0,"",VLOOKUP(C840,[4]List1!$A:$D,4,FALSE)),"")</f>
        <v/>
      </c>
      <c r="AB840" s="774"/>
      <c r="AC840" s="775" t="str">
        <f>IFERROR(IF(VLOOKUP(C840,[1]List1!$A:$D,2,FALSE)="VYPRODÁNO",$V$9,IF(VLOOKUP(C840,[1]List1!$A:$D,2,FALSE)="DOCHÁZÍ",$V$3,VLOOKUP(C840,[1]List1!$A:$D,2,FALSE))),"OFFLINE!")</f>
        <v>OFFLINE!</v>
      </c>
      <c r="AD840" s="774"/>
      <c r="AE840" s="774"/>
      <c r="AF840" s="774"/>
      <c r="AG840" s="774"/>
      <c r="AH840" s="774"/>
      <c r="AI840" s="774"/>
      <c r="AJ840" s="774"/>
      <c r="AK840" s="774"/>
      <c r="AL840" s="774"/>
      <c r="AM840" s="774"/>
      <c r="AN840" s="774"/>
      <c r="AO840" s="380"/>
      <c r="AP840" s="322" t="str">
        <f t="shared" si="1852"/>
        <v/>
      </c>
      <c r="AQ840" s="323" t="str">
        <f>IF(AC840=$V$3,IF(VLOOKUP(C840,[1]List1!$A:$E,5,FALSE)=0,1,VLOOKUP(C840,[1]List1!$A:$E,5,FALSE)),"")</f>
        <v/>
      </c>
      <c r="AR840" s="304" t="str">
        <f t="shared" si="1853"/>
        <v/>
      </c>
      <c r="AS840" s="423" t="str">
        <f t="shared" si="1854"/>
        <v/>
      </c>
      <c r="AT840" s="304" t="str">
        <f t="shared" si="1855"/>
        <v/>
      </c>
      <c r="AU840" s="342" t="e">
        <f t="shared" si="1856"/>
        <v>#N/A</v>
      </c>
      <c r="AV840" s="304" t="e">
        <f t="shared" si="1857"/>
        <v>#N/A</v>
      </c>
      <c r="AX840" s="304">
        <f>IF(AND('General price list'!$J840="F4",'General price list'!$AB840+0&gt;0),1,0)</f>
        <v>0</v>
      </c>
      <c r="AY840" s="304">
        <f t="shared" si="1858"/>
        <v>0</v>
      </c>
      <c r="AZ840" s="304">
        <f t="shared" si="1859"/>
        <v>0</v>
      </c>
    </row>
    <row r="841" spans="1:52" ht="15" customHeight="1">
      <c r="A841" s="712" t="str">
        <f>Kat.!C839</f>
        <v/>
      </c>
      <c r="B841" s="713">
        <f>IF(AND('General price list'!$J841="F4",$AI$1=FALSE),0,IF(AC841="SKLADEM",1,IF(AC841=$V$3,1,0)))</f>
        <v>1</v>
      </c>
      <c r="C841" s="714" t="s">
        <v>2591</v>
      </c>
      <c r="D841" s="715" t="s">
        <v>12856</v>
      </c>
      <c r="E841" s="716" t="s">
        <v>1077</v>
      </c>
      <c r="F841" s="712">
        <f>IFERROR(ROUND(IF($AL$3=2,VLOOKUP(C841,[2]List1!$A:$D,2,FALSE)*1.08,VLOOKUP(C841,[2]List1!$A:$D,2,FALSE)),0),"NEUVEDENO!")</f>
        <v>961</v>
      </c>
      <c r="G841" s="717">
        <f t="shared" ref="G841:G842" si="2078">(F841)*$B$19</f>
        <v>961</v>
      </c>
      <c r="H841" s="718">
        <f t="shared" ref="H841:H842" si="2079">G841/$F$19</f>
        <v>39.050912474755073</v>
      </c>
      <c r="I841" s="719">
        <v>6</v>
      </c>
      <c r="J841" s="716" t="s">
        <v>46</v>
      </c>
      <c r="K841" s="716"/>
      <c r="L841" s="716" t="s">
        <v>14378</v>
      </c>
      <c r="M841" s="716" t="s">
        <v>25</v>
      </c>
      <c r="N841" s="716">
        <f>IFERROR(VLOOKUP(C841,[3]List1!$A:$D,4,FALSE),"N/A!")</f>
        <v>8.6526000000000006E-2</v>
      </c>
      <c r="O841" s="716">
        <f>IFERROR(VLOOKUP(C841,[3]List1!$A:$D,3,FALSE),"N/A!")</f>
        <v>3000</v>
      </c>
      <c r="P841" s="716">
        <f>IFERROR(VLOOKUP(C841,[3]List1!$A:$D,2,FALSE),"N/A!")</f>
        <v>28000</v>
      </c>
      <c r="Q841" s="716" t="s">
        <v>14265</v>
      </c>
      <c r="R841" s="716" t="s">
        <v>24</v>
      </c>
      <c r="S841" s="716" t="str">
        <f>IF($W$17=$AF$1,"design",IFERROR(VLOOKUP("design",Jazyky_ceník!$A:$Q,MATCH($W$17,Jazyky_ceník!$A$1:$Q$1,0),FALSE),"!!!"))</f>
        <v>design</v>
      </c>
      <c r="T841" s="716">
        <v>45</v>
      </c>
      <c r="U841" s="716" t="s">
        <v>13822</v>
      </c>
      <c r="V841" s="716" t="s">
        <v>13833</v>
      </c>
      <c r="W841" s="716" t="str">
        <f>IFERROR(VLOOKUP('General price list'!$C841,Popisy!A:P,MATCH($W$17,Popisy!$A$7:$P$7,0),FALSE),"---------------")</f>
        <v>14 různobarevných efektů</v>
      </c>
      <c r="X841" s="716" t="str">
        <f t="shared" ref="X841:X842" si="2080">IF(AB841&lt;0.0001,"",AB841)</f>
        <v/>
      </c>
      <c r="Y841" s="716" t="str">
        <f t="shared" ref="Y841:Y842" si="2081">IF($AL$3=2,IF(OR(AB841&lt;&gt;"",AB841&lt;&gt;0),AU841,""),IF(C841="","",IF(AB841&lt;0.0001,"",IF(B841=0,"",IF(AQ841&lt;AB841,"",AB841)))))</f>
        <v/>
      </c>
      <c r="Z841" s="716" t="str">
        <f>HYPERLINK("https://www.klasekpyrotechnics.cz/c68xmpt14")</f>
        <v>https://www.klasekpyrotechnics.cz/c68xmpt14</v>
      </c>
      <c r="AA841" s="716">
        <f>IFERROR(IF(VLOOKUP(C841,[4]List1!$A:$D,4,FALSE)=0,"",VLOOKUP(C841,[4]List1!$A:$D,4,FALSE)),"")</f>
        <v>15</v>
      </c>
      <c r="AB841" s="720"/>
      <c r="AC841" s="721" t="str">
        <f>IFERROR(IF(VLOOKUP(C841,[1]List1!$A:$D,2,FALSE)="VYPRODÁNO",$V$9,IF(VLOOKUP(C841,[1]List1!$A:$D,2,FALSE)="DOCHÁZÍ",$V$3,VLOOKUP(C841,[1]List1!$A:$D,2,FALSE))),"OFFLINE!")</f>
        <v>DOCHÁZÍ</v>
      </c>
      <c r="AD841" s="722" t="str">
        <f ca="1">IF(AP841="NE",$V$10,IF(AC841=$V$3,IF(AQ841&lt;1,$V$8,$V$2&amp;" "&amp;AQ841&amp;" "&amp;$V$1),IF(AC841="SKLADEM",$V$6,IFERROR(IF(OR(AC841-TODAY()&gt;45,VLOOKUP(C841,[1]List1!$A:$E,4,FALSE)=0),AC841,DAY(AC841)&amp;"."&amp;MONTH(AC841)&amp;"."&amp;YEAR(AC841)&amp;" "&amp;$V$4&amp;VLOOKUP(C841,[1]List1!$A:$E,4,FALSE)&amp;" "&amp;$V$1),AC841))))</f>
        <v>POSLEDNÍCH 4 VK</v>
      </c>
      <c r="AE841" s="716" t="str">
        <f t="shared" ref="AE841:AE842" ca="1" si="2082">IFERROR(IF(AV841&lt;&gt;"",AV841,AD841),AD841)</f>
        <v>POSLEDNÍCH 4 VK</v>
      </c>
      <c r="AF841" s="723">
        <f t="shared" ref="AF841:AF842" si="2083">IFERROR(IF(AB841=Y841,G841*I841*Y841,0),0)</f>
        <v>0</v>
      </c>
      <c r="AG841" s="723">
        <f t="shared" ref="AG841:AG842" si="2084">IF($W$17=$AF$8,AH841*1.23,AF841*1.21)</f>
        <v>0</v>
      </c>
      <c r="AH841" s="724">
        <f t="shared" ref="AH841:AH842" si="2085">IFERROR(IF(Y841=AB841,H841*I841*Y841,0),0)</f>
        <v>0</v>
      </c>
      <c r="AI841" s="716">
        <f t="shared" ref="AI841:AI842" si="2086">IFERROR(IF(Y841=AB841,(P841*Y841)/1000,1),0)</f>
        <v>0</v>
      </c>
      <c r="AJ841" s="716">
        <f t="shared" ref="AJ841:AJ842" si="2087">IFERROR(IF(Y841=AB841,N841*Y841,0.1),0)</f>
        <v>0</v>
      </c>
      <c r="AK841" s="716" t="str">
        <f t="shared" ref="AK841:AK842" si="2088">IFERROR(IF(Y841=AB841,IF(M841="1.1G",(O841/1000)*Y841,""),""),0)</f>
        <v/>
      </c>
      <c r="AL841" s="716" t="str">
        <f t="shared" ref="AL841:AL842" si="2089">IFERROR(IF(Y841=AB841,IF(M841="1.3G",(O841/1000)*AB841,""),""),0)</f>
        <v/>
      </c>
      <c r="AM841" s="716">
        <f t="shared" ref="AM841:AM842" si="2090">IFERROR(IF(Y841=AB841,IF(M841="1.4G",(O841/1000)*AB841,""),""),0)</f>
        <v>0</v>
      </c>
      <c r="AN841" s="716">
        <f t="shared" ref="AN841:AN842" si="2091">SUM(AK841:AM841)</f>
        <v>0</v>
      </c>
      <c r="AO841" s="380"/>
      <c r="AP841" s="322" t="str">
        <f t="shared" si="1852"/>
        <v/>
      </c>
      <c r="AQ841" s="323">
        <f>IF(AC841=$V$3,IF(VLOOKUP(C841,[1]List1!$A:$E,5,FALSE)=0,1,VLOOKUP(C841,[1]List1!$A:$E,5,FALSE)),"")</f>
        <v>4</v>
      </c>
      <c r="AR841" s="304" t="str">
        <f t="shared" si="1853"/>
        <v/>
      </c>
      <c r="AS841" s="423" t="str">
        <f t="shared" si="1854"/>
        <v/>
      </c>
      <c r="AT841" s="304" t="str">
        <f t="shared" si="1855"/>
        <v/>
      </c>
      <c r="AU841" s="342" t="e">
        <f t="shared" si="1856"/>
        <v>#N/A</v>
      </c>
      <c r="AV841" s="304" t="e">
        <f t="shared" si="1857"/>
        <v>#N/A</v>
      </c>
      <c r="AX841" s="304">
        <f>IF(AND('General price list'!$J841="F4",'General price list'!$AB841+0&gt;0),1,0)</f>
        <v>0</v>
      </c>
      <c r="AY841" s="304">
        <f t="shared" si="1858"/>
        <v>1</v>
      </c>
      <c r="AZ841" s="304">
        <f t="shared" si="1859"/>
        <v>0</v>
      </c>
    </row>
    <row r="842" spans="1:52" ht="15" customHeight="1">
      <c r="A842" s="725" t="str">
        <f>Kat.!C840</f>
        <v>×</v>
      </c>
      <c r="B842" s="726">
        <f>IF(AND('General price list'!$J842="F4",$AI$1=FALSE),0,IF(AC842="SKLADEM",1,IF(AC842=$V$3,1,0)))</f>
        <v>1</v>
      </c>
      <c r="C842" s="727" t="s">
        <v>2592</v>
      </c>
      <c r="D842" s="728" t="s">
        <v>2590</v>
      </c>
      <c r="E842" s="729" t="s">
        <v>1077</v>
      </c>
      <c r="F842" s="725">
        <f>IFERROR(ROUND(IF($AL$3=2,VLOOKUP(C842,[2]List1!$A:$D,2,FALSE)*1.08,VLOOKUP(C842,[2]List1!$A:$D,2,FALSE)),0),"NEUVEDENO!")</f>
        <v>961</v>
      </c>
      <c r="G842" s="730">
        <f t="shared" si="2078"/>
        <v>961</v>
      </c>
      <c r="H842" s="731">
        <f t="shared" si="2079"/>
        <v>39.050912474755073</v>
      </c>
      <c r="I842" s="732">
        <v>6</v>
      </c>
      <c r="J842" s="729" t="s">
        <v>46</v>
      </c>
      <c r="K842" s="729"/>
      <c r="L842" s="729" t="s">
        <v>14378</v>
      </c>
      <c r="M842" s="729" t="s">
        <v>25</v>
      </c>
      <c r="N842" s="729">
        <f>IFERROR(VLOOKUP(C842,[3]List1!$A:$D,4,FALSE),"N/A!")</f>
        <v>8.6526000000000006E-2</v>
      </c>
      <c r="O842" s="729">
        <f>IFERROR(VLOOKUP(C842,[3]List1!$A:$D,3,FALSE),"N/A!")</f>
        <v>3000</v>
      </c>
      <c r="P842" s="729">
        <f>IFERROR(VLOOKUP(C842,[3]List1!$A:$D,2,FALSE),"N/A!")</f>
        <v>28000</v>
      </c>
      <c r="Q842" s="729" t="s">
        <v>14265</v>
      </c>
      <c r="R842" s="729" t="s">
        <v>24</v>
      </c>
      <c r="S842" s="729" t="str">
        <f>IF($W$17=$AF$1,"design",IFERROR(VLOOKUP("design",Jazyky_ceník!$A:$Q,MATCH($W$17,Jazyky_ceník!$A$1:$Q$1,0),FALSE),"!!!"))</f>
        <v>design</v>
      </c>
      <c r="T842" s="729">
        <v>45</v>
      </c>
      <c r="U842" s="729" t="s">
        <v>13822</v>
      </c>
      <c r="V842" s="729" t="s">
        <v>13824</v>
      </c>
      <c r="W842" s="729" t="str">
        <f>IFERROR(VLOOKUP('General price list'!$C842,Popisy!A:P,MATCH($W$17,Popisy!$A$7:$P$7,0),FALSE),"---------------")</f>
        <v>14 různobarevných efektů</v>
      </c>
      <c r="X842" s="729" t="str">
        <f t="shared" si="2080"/>
        <v/>
      </c>
      <c r="Y842" s="729" t="str">
        <f t="shared" si="2081"/>
        <v/>
      </c>
      <c r="Z842" s="729" t="str">
        <f>HYPERLINK("https://www.klasekpyrotechnics.cz/c68xmcs14")</f>
        <v>https://www.klasekpyrotechnics.cz/c68xmcs14</v>
      </c>
      <c r="AA842" s="729">
        <f>IFERROR(IF(VLOOKUP(C842,[4]List1!$A:$D,4,FALSE)=0,"",VLOOKUP(C842,[4]List1!$A:$D,4,FALSE)),"")</f>
        <v>15</v>
      </c>
      <c r="AB842" s="720"/>
      <c r="AC842" s="733" t="str">
        <f>IFERROR(IF(VLOOKUP(C842,[1]List1!$A:$D,2,FALSE)="VYPRODÁNO",$V$9,IF(VLOOKUP(C842,[1]List1!$A:$D,2,FALSE)="DOCHÁZÍ",$V$3,VLOOKUP(C842,[1]List1!$A:$D,2,FALSE))),"OFFLINE!")</f>
        <v>SKLADEM</v>
      </c>
      <c r="AD842" s="734" t="str">
        <f ca="1">IF(AP842="NE",$V$10,IF(AC842=$V$3,IF(AQ842&lt;1,$V$8,$V$2&amp;" "&amp;AQ842&amp;" "&amp;$V$1),IF(AC842="SKLADEM",$V$6,IFERROR(IF(OR(AC842-TODAY()&gt;45,VLOOKUP(C842,[1]List1!$A:$E,4,FALSE)=0),AC842,DAY(AC842)&amp;"."&amp;MONTH(AC842)&amp;"."&amp;YEAR(AC842)&amp;" "&amp;$V$4&amp;VLOOKUP(C842,[1]List1!$A:$E,4,FALSE)&amp;" "&amp;$V$1),AC842))))</f>
        <v>SKLADEM</v>
      </c>
      <c r="AE842" s="729" t="str">
        <f t="shared" ca="1" si="2082"/>
        <v>SKLADEM</v>
      </c>
      <c r="AF842" s="735">
        <f t="shared" si="2083"/>
        <v>0</v>
      </c>
      <c r="AG842" s="735">
        <f t="shared" si="2084"/>
        <v>0</v>
      </c>
      <c r="AH842" s="736">
        <f t="shared" si="2085"/>
        <v>0</v>
      </c>
      <c r="AI842" s="729">
        <f t="shared" si="2086"/>
        <v>0</v>
      </c>
      <c r="AJ842" s="729">
        <f t="shared" si="2087"/>
        <v>0</v>
      </c>
      <c r="AK842" s="729" t="str">
        <f t="shared" si="2088"/>
        <v/>
      </c>
      <c r="AL842" s="729" t="str">
        <f t="shared" si="2089"/>
        <v/>
      </c>
      <c r="AM842" s="729">
        <f t="shared" si="2090"/>
        <v>0</v>
      </c>
      <c r="AN842" s="729">
        <f t="shared" si="2091"/>
        <v>0</v>
      </c>
      <c r="AO842" s="380"/>
      <c r="AP842" s="322" t="str">
        <f t="shared" si="1852"/>
        <v/>
      </c>
      <c r="AQ842" s="323" t="str">
        <f>IF(AC842=$V$3,IF(VLOOKUP(C842,[1]List1!$A:$E,5,FALSE)=0,1,VLOOKUP(C842,[1]List1!$A:$E,5,FALSE)),"")</f>
        <v/>
      </c>
      <c r="AR842" s="304" t="str">
        <f t="shared" si="1853"/>
        <v/>
      </c>
      <c r="AS842" s="423" t="str">
        <f t="shared" si="1854"/>
        <v/>
      </c>
      <c r="AT842" s="304" t="str">
        <f t="shared" si="1855"/>
        <v/>
      </c>
      <c r="AU842" s="342" t="e">
        <f t="shared" si="1856"/>
        <v>#N/A</v>
      </c>
      <c r="AV842" s="304" t="e">
        <f t="shared" si="1857"/>
        <v>#N/A</v>
      </c>
      <c r="AX842" s="304">
        <f>IF(AND('General price list'!$J842="F4",'General price list'!$AB842+0&gt;0),1,0)</f>
        <v>0</v>
      </c>
      <c r="AY842" s="304">
        <f t="shared" si="1858"/>
        <v>1</v>
      </c>
      <c r="AZ842" s="304">
        <f t="shared" si="1859"/>
        <v>0</v>
      </c>
    </row>
    <row r="843" spans="1:52" ht="15" customHeight="1">
      <c r="A843" s="773" t="str">
        <f>Kat.!C841</f>
        <v xml:space="preserve">                                                               Baterie 100ran, 20+25+30mm rovný+šikmý+S moždíř-1.3G</v>
      </c>
      <c r="B843" s="774"/>
      <c r="C843" s="774"/>
      <c r="D843" s="774"/>
      <c r="E843" s="774"/>
      <c r="F843" s="774"/>
      <c r="G843" s="774"/>
      <c r="H843" s="774"/>
      <c r="I843" s="774"/>
      <c r="J843" s="774"/>
      <c r="K843" s="774"/>
      <c r="L843" s="774"/>
      <c r="M843" s="774"/>
      <c r="N843" s="774"/>
      <c r="O843" s="774"/>
      <c r="P843" s="774"/>
      <c r="Q843" s="774"/>
      <c r="R843" s="774"/>
      <c r="S843" s="774"/>
      <c r="T843" s="774"/>
      <c r="U843" s="774"/>
      <c r="V843" s="774"/>
      <c r="W843" s="774"/>
      <c r="X843" s="774"/>
      <c r="Y843" s="774"/>
      <c r="Z843" s="774"/>
      <c r="AA843" s="774" t="str">
        <f>IFERROR(IF(VLOOKUP(C843,[4]List1!$A:$D,4,FALSE)=0,"",VLOOKUP(C843,[4]List1!$A:$D,4,FALSE)),"")</f>
        <v/>
      </c>
      <c r="AB843" s="774"/>
      <c r="AC843" s="775" t="str">
        <f>IFERROR(IF(VLOOKUP(C843,[1]List1!$A:$D,2,FALSE)="VYPRODÁNO",$V$9,IF(VLOOKUP(C843,[1]List1!$A:$D,2,FALSE)="DOCHÁZÍ",$V$3,VLOOKUP(C843,[1]List1!$A:$D,2,FALSE))),"OFFLINE!")</f>
        <v>OFFLINE!</v>
      </c>
      <c r="AD843" s="774"/>
      <c r="AE843" s="774"/>
      <c r="AF843" s="774"/>
      <c r="AG843" s="774"/>
      <c r="AH843" s="774"/>
      <c r="AI843" s="774"/>
      <c r="AJ843" s="774"/>
      <c r="AK843" s="774"/>
      <c r="AL843" s="774"/>
      <c r="AM843" s="774"/>
      <c r="AN843" s="774"/>
      <c r="AO843" s="380"/>
      <c r="AP843" s="322" t="str">
        <f t="shared" si="1852"/>
        <v/>
      </c>
      <c r="AQ843" s="323" t="str">
        <f>IF(AC843=$V$3,IF(VLOOKUP(C843,[1]List1!$A:$E,5,FALSE)=0,1,VLOOKUP(C843,[1]List1!$A:$E,5,FALSE)),"")</f>
        <v/>
      </c>
      <c r="AR843" s="304" t="str">
        <f t="shared" si="1853"/>
        <v/>
      </c>
      <c r="AS843" s="423" t="str">
        <f t="shared" si="1854"/>
        <v/>
      </c>
      <c r="AT843" s="304" t="str">
        <f t="shared" si="1855"/>
        <v/>
      </c>
      <c r="AU843" s="342" t="e">
        <f t="shared" si="1856"/>
        <v>#N/A</v>
      </c>
      <c r="AV843" s="304" t="e">
        <f t="shared" si="1857"/>
        <v>#N/A</v>
      </c>
      <c r="AX843" s="304">
        <f>IF(AND('General price list'!$J843="F4",'General price list'!$AB843+0&gt;0),1,0)</f>
        <v>0</v>
      </c>
      <c r="AY843" s="304">
        <f t="shared" si="1858"/>
        <v>0</v>
      </c>
      <c r="AZ843" s="304">
        <f t="shared" si="1859"/>
        <v>0</v>
      </c>
    </row>
    <row r="844" spans="1:52" ht="15" customHeight="1">
      <c r="A844" s="725" t="str">
        <f>Kat.!C842</f>
        <v/>
      </c>
      <c r="B844" s="741">
        <f>IF(AND('General price list'!$J844="F4",$AI$1=FALSE),0,IF(AC844="SKLADEM",1,IF(AC844=$V$3,1,0)))</f>
        <v>1</v>
      </c>
      <c r="C844" s="727" t="s">
        <v>2593</v>
      </c>
      <c r="D844" s="728" t="s">
        <v>12857</v>
      </c>
      <c r="E844" s="729" t="s">
        <v>1078</v>
      </c>
      <c r="F844" s="725">
        <f>IFERROR(ROUND(IF($AL$3=2,VLOOKUP(C844,[2]List1!$A:$D,2,FALSE)*1.08,VLOOKUP(C844,[2]List1!$A:$D,2,FALSE)),0),"NEUVEDENO!")</f>
        <v>1684</v>
      </c>
      <c r="G844" s="730">
        <f t="shared" ref="G844:G845" si="2092">(F844)*$B$19</f>
        <v>1684</v>
      </c>
      <c r="H844" s="731">
        <f t="shared" ref="H844:H845" si="2093">G844/$F$19</f>
        <v>68.430527167000562</v>
      </c>
      <c r="I844" s="742">
        <v>2</v>
      </c>
      <c r="J844" s="729" t="s">
        <v>137</v>
      </c>
      <c r="K844" s="729" t="s">
        <v>12734</v>
      </c>
      <c r="L844" s="729" t="s">
        <v>24</v>
      </c>
      <c r="M844" s="729" t="s">
        <v>138</v>
      </c>
      <c r="N844" s="729">
        <f>IFERROR(VLOOKUP(C844,[3]List1!$A:$D,4,FALSE),"N/A!")</f>
        <v>5.6250000000000001E-2</v>
      </c>
      <c r="O844" s="729">
        <f>IFERROR(VLOOKUP(C844,[3]List1!$A:$D,3,FALSE),"N/A!")</f>
        <v>1996</v>
      </c>
      <c r="P844" s="729">
        <f>IFERROR(VLOOKUP(C844,[3]List1!$A:$D,2,FALSE),"N/A!")</f>
        <v>15900</v>
      </c>
      <c r="Q844" s="729" t="s">
        <v>14266</v>
      </c>
      <c r="R844" s="729" t="s">
        <v>24</v>
      </c>
      <c r="S844" s="729" t="str">
        <f>IF($W$17=$AF$1,"design",IFERROR(VLOOKUP("design",Jazyky_ceník!$A:$Q,MATCH($W$17,Jazyky_ceník!$A$1:$Q$1,0),FALSE),"!!!"))</f>
        <v>design</v>
      </c>
      <c r="T844" s="729">
        <v>70</v>
      </c>
      <c r="U844" s="729" t="s">
        <v>13822</v>
      </c>
      <c r="V844" s="729" t="s">
        <v>13832</v>
      </c>
      <c r="W844" s="729" t="str">
        <f>IFERROR(VLOOKUP('General price list'!$C844,Popisy!A:P,MATCH($W$17,Popisy!$A$7:$P$7,0),FALSE),"---------------")</f>
        <v>14 různobarevných efektů</v>
      </c>
      <c r="X844" s="729" t="str">
        <f t="shared" ref="X844:X845" si="2094">IF(AB844&lt;0.0001,"",AB844)</f>
        <v/>
      </c>
      <c r="Y844" s="729" t="str">
        <f t="shared" ref="Y844:Y845" si="2095">IF($AL$3=2,IF(OR(AB844&lt;&gt;"",AB844&lt;&gt;0),AU844,""),IF(C844="","",IF(AB844&lt;0.0001,"",IF(B844=0,"",IF(AQ844&lt;AB844,"",AB844)))))</f>
        <v/>
      </c>
      <c r="Z844" s="729" t="str">
        <f>HYPERLINK("https://www.klasekpyrotechnics.cz/c100mpt")</f>
        <v>https://www.klasekpyrotechnics.cz/c100mpt</v>
      </c>
      <c r="AA844" s="729">
        <f>IFERROR(IF(VLOOKUP(C844,[4]List1!$A:$D,4,FALSE)=0,"",VLOOKUP(C844,[4]List1!$A:$D,4,FALSE)),"")</f>
        <v>16</v>
      </c>
      <c r="AB844" s="720"/>
      <c r="AC844" s="743" t="str">
        <f>IFERROR(IF(VLOOKUP(C844,[1]List1!$A:$D,2,FALSE)="VYPRODÁNO",$V$9,IF(VLOOKUP(C844,[1]List1!$A:$D,2,FALSE)="DOCHÁZÍ",$V$3,VLOOKUP(C844,[1]List1!$A:$D,2,FALSE))),"OFFLINE!")</f>
        <v>SKLADEM</v>
      </c>
      <c r="AD844" s="744" t="str">
        <f ca="1">IF(AP844="NE",$V$10,IF(AC844=$V$3,IF(AQ844&lt;1,$V$8,$V$2&amp;" "&amp;AQ844&amp;" "&amp;$V$1),IF(AC844="SKLADEM",$V$6,IFERROR(IF(OR(AC844-TODAY()&gt;45,VLOOKUP(C844,[1]List1!$A:$E,4,FALSE)=0),AC844,DAY(AC844)&amp;"."&amp;MONTH(AC844)&amp;"."&amp;YEAR(AC844)&amp;" "&amp;$V$4&amp;VLOOKUP(C844,[1]List1!$A:$E,4,FALSE)&amp;" "&amp;$V$1),AC844))))</f>
        <v>SKLADEM</v>
      </c>
      <c r="AE844" s="729" t="str">
        <f t="shared" ref="AE844:AE845" ca="1" si="2096">IFERROR(IF(AV844&lt;&gt;"",AV844,AD844),AD844)</f>
        <v>SKLADEM</v>
      </c>
      <c r="AF844" s="735">
        <f t="shared" ref="AF844:AF845" si="2097">IFERROR(IF(AB844=Y844,G844*I844*Y844,0),0)</f>
        <v>0</v>
      </c>
      <c r="AG844" s="735">
        <f t="shared" ref="AG844:AG845" si="2098">IF($W$17=$AF$8,AH844*1.23,AF844*1.21)</f>
        <v>0</v>
      </c>
      <c r="AH844" s="736">
        <f t="shared" ref="AH844:AH845" si="2099">IFERROR(IF(Y844=AB844,H844*I844*Y844,0),0)</f>
        <v>0</v>
      </c>
      <c r="AI844" s="729">
        <f t="shared" ref="AI844:AI845" si="2100">IFERROR(IF(Y844=AB844,(P844*Y844)/1000,1),0)</f>
        <v>0</v>
      </c>
      <c r="AJ844" s="729">
        <f t="shared" ref="AJ844:AJ845" si="2101">IFERROR(IF(Y844=AB844,N844*Y844,0.1),0)</f>
        <v>0</v>
      </c>
      <c r="AK844" s="729" t="str">
        <f t="shared" ref="AK844:AK845" si="2102">IFERROR(IF(Y844=AB844,IF(M844="1.1G",(O844/1000)*Y844,""),""),0)</f>
        <v/>
      </c>
      <c r="AL844" s="729">
        <f t="shared" ref="AL844:AL845" si="2103">IFERROR(IF(Y844=AB844,IF(M844="1.3G",(O844/1000)*AB844,""),""),0)</f>
        <v>0</v>
      </c>
      <c r="AM844" s="729" t="str">
        <f t="shared" ref="AM844:AM845" si="2104">IFERROR(IF(Y844=AB844,IF(M844="1.4G",(O844/1000)*AB844,""),""),0)</f>
        <v/>
      </c>
      <c r="AN844" s="729">
        <f t="shared" ref="AN844:AN845" si="2105">SUM(AK844:AM844)</f>
        <v>0</v>
      </c>
      <c r="AO844" s="380"/>
      <c r="AP844" s="322" t="str">
        <f t="shared" si="1852"/>
        <v/>
      </c>
      <c r="AQ844" s="323" t="str">
        <f>IF(AC844=$V$3,IF(VLOOKUP(C844,[1]List1!$A:$E,5,FALSE)=0,1,VLOOKUP(C844,[1]List1!$A:$E,5,FALSE)),"")</f>
        <v/>
      </c>
      <c r="AR844" s="304" t="str">
        <f t="shared" si="1853"/>
        <v/>
      </c>
      <c r="AS844" s="423" t="str">
        <f t="shared" si="1854"/>
        <v/>
      </c>
      <c r="AT844" s="304" t="str">
        <f t="shared" si="1855"/>
        <v/>
      </c>
      <c r="AU844" s="342" t="e">
        <f t="shared" si="1856"/>
        <v>#N/A</v>
      </c>
      <c r="AV844" s="304" t="e">
        <f t="shared" si="1857"/>
        <v>#N/A</v>
      </c>
      <c r="AX844" s="304">
        <f>IF(AND('General price list'!$J844="F4",'General price list'!$AB844+0&gt;0),1,0)</f>
        <v>0</v>
      </c>
      <c r="AY844" s="304">
        <f t="shared" si="1858"/>
        <v>1</v>
      </c>
      <c r="AZ844" s="304">
        <f t="shared" si="1859"/>
        <v>0</v>
      </c>
    </row>
    <row r="845" spans="1:52" ht="15" customHeight="1">
      <c r="A845" s="712" t="str">
        <f>Kat.!C843</f>
        <v/>
      </c>
      <c r="B845" s="745">
        <f>IF(AND('General price list'!$J845="F4",$AI$1=FALSE),0,IF(AC845="SKLADEM",1,IF(AC845=$V$3,1,0)))</f>
        <v>1</v>
      </c>
      <c r="C845" s="714" t="s">
        <v>1688</v>
      </c>
      <c r="D845" s="715" t="s">
        <v>1689</v>
      </c>
      <c r="E845" s="716" t="s">
        <v>1078</v>
      </c>
      <c r="F845" s="712">
        <f>IFERROR(ROUND(IF($AL$3=2,VLOOKUP(C845,[2]List1!$A:$D,2,FALSE)*1.08,VLOOKUP(C845,[2]List1!$A:$D,2,FALSE)),0),"NEUVEDENO!")</f>
        <v>1684</v>
      </c>
      <c r="G845" s="717">
        <f t="shared" si="2092"/>
        <v>1684</v>
      </c>
      <c r="H845" s="718">
        <f t="shared" si="2093"/>
        <v>68.430527167000562</v>
      </c>
      <c r="I845" s="746">
        <v>2</v>
      </c>
      <c r="J845" s="716" t="s">
        <v>137</v>
      </c>
      <c r="K845" s="716"/>
      <c r="L845" s="716" t="s">
        <v>24</v>
      </c>
      <c r="M845" s="716" t="s">
        <v>138</v>
      </c>
      <c r="N845" s="716">
        <f>IFERROR(VLOOKUP(C845,[3]List1!$A:$D,4,FALSE),"N/A!")</f>
        <v>5.6250000000000001E-2</v>
      </c>
      <c r="O845" s="716">
        <f>IFERROR(VLOOKUP(C845,[3]List1!$A:$D,3,FALSE),"N/A!")</f>
        <v>1976</v>
      </c>
      <c r="P845" s="716">
        <f>IFERROR(VLOOKUP(C845,[3]List1!$A:$D,2,FALSE),"N/A!")</f>
        <v>15900</v>
      </c>
      <c r="Q845" s="716" t="s">
        <v>14267</v>
      </c>
      <c r="R845" s="716" t="s">
        <v>24</v>
      </c>
      <c r="S845" s="716" t="str">
        <f>IF($W$17=$AF$1,"design",IFERROR(VLOOKUP("design",Jazyky_ceník!$A:$Q,MATCH($W$17,Jazyky_ceník!$A$1:$Q$1,0),FALSE),"!!!"))</f>
        <v>design</v>
      </c>
      <c r="T845" s="716">
        <v>80</v>
      </c>
      <c r="U845" s="716" t="s">
        <v>13822</v>
      </c>
      <c r="V845" s="716" t="s">
        <v>13823</v>
      </c>
      <c r="W845" s="716" t="str">
        <f>IFERROR(VLOOKUP('General price list'!$C845,Popisy!A:P,MATCH($W$17,Popisy!$A$7:$P$7,0),FALSE),"---------------")</f>
        <v>14 různobarevných efektů</v>
      </c>
      <c r="X845" s="716" t="str">
        <f t="shared" si="2094"/>
        <v/>
      </c>
      <c r="Y845" s="716" t="str">
        <f t="shared" si="2095"/>
        <v/>
      </c>
      <c r="Z845" s="716" t="str">
        <f>HYPERLINK("https://www.klasekpyrotechnics.cz/c100mn")</f>
        <v>https://www.klasekpyrotechnics.cz/c100mn</v>
      </c>
      <c r="AA845" s="716">
        <f>IFERROR(IF(VLOOKUP(C845,[4]List1!$A:$D,4,FALSE)=0,"",VLOOKUP(C845,[4]List1!$A:$D,4,FALSE)),"")</f>
        <v>16</v>
      </c>
      <c r="AB845" s="720"/>
      <c r="AC845" s="747" t="str">
        <f>IFERROR(IF(VLOOKUP(C845,[1]List1!$A:$D,2,FALSE)="VYPRODÁNO",$V$9,IF(VLOOKUP(C845,[1]List1!$A:$D,2,FALSE)="DOCHÁZÍ",$V$3,VLOOKUP(C845,[1]List1!$A:$D,2,FALSE))),"OFFLINE!")</f>
        <v>SKLADEM</v>
      </c>
      <c r="AD845" s="748" t="str">
        <f ca="1">IF(AP845="NE",$V$10,IF(AC845=$V$3,IF(AQ845&lt;1,$V$8,$V$2&amp;" "&amp;AQ845&amp;" "&amp;$V$1),IF(AC845="SKLADEM",$V$6,IFERROR(IF(OR(AC845-TODAY()&gt;45,VLOOKUP(C845,[1]List1!$A:$E,4,FALSE)=0),AC845,DAY(AC845)&amp;"."&amp;MONTH(AC845)&amp;"."&amp;YEAR(AC845)&amp;" "&amp;$V$4&amp;VLOOKUP(C845,[1]List1!$A:$E,4,FALSE)&amp;" "&amp;$V$1),AC845))))</f>
        <v>SKLADEM</v>
      </c>
      <c r="AE845" s="716" t="str">
        <f t="shared" ca="1" si="2096"/>
        <v>SKLADEM</v>
      </c>
      <c r="AF845" s="723">
        <f t="shared" si="2097"/>
        <v>0</v>
      </c>
      <c r="AG845" s="723">
        <f t="shared" si="2098"/>
        <v>0</v>
      </c>
      <c r="AH845" s="724">
        <f t="shared" si="2099"/>
        <v>0</v>
      </c>
      <c r="AI845" s="716">
        <f t="shared" si="2100"/>
        <v>0</v>
      </c>
      <c r="AJ845" s="716">
        <f t="shared" si="2101"/>
        <v>0</v>
      </c>
      <c r="AK845" s="716" t="str">
        <f t="shared" si="2102"/>
        <v/>
      </c>
      <c r="AL845" s="716">
        <f t="shared" si="2103"/>
        <v>0</v>
      </c>
      <c r="AM845" s="716" t="str">
        <f t="shared" si="2104"/>
        <v/>
      </c>
      <c r="AN845" s="716">
        <f t="shared" si="2105"/>
        <v>0</v>
      </c>
      <c r="AO845" s="380"/>
      <c r="AP845" s="322" t="str">
        <f t="shared" si="1852"/>
        <v/>
      </c>
      <c r="AQ845" s="323" t="str">
        <f>IF(AC845=$V$3,IF(VLOOKUP(C845,[1]List1!$A:$E,5,FALSE)=0,1,VLOOKUP(C845,[1]List1!$A:$E,5,FALSE)),"")</f>
        <v/>
      </c>
      <c r="AR845" s="304" t="str">
        <f t="shared" si="1853"/>
        <v/>
      </c>
      <c r="AS845" s="423" t="str">
        <f t="shared" si="1854"/>
        <v/>
      </c>
      <c r="AT845" s="304" t="str">
        <f t="shared" si="1855"/>
        <v/>
      </c>
      <c r="AU845" s="342" t="e">
        <f t="shared" si="1856"/>
        <v>#N/A</v>
      </c>
      <c r="AV845" s="304" t="e">
        <f t="shared" si="1857"/>
        <v>#N/A</v>
      </c>
      <c r="AX845" s="304">
        <f>IF(AND('General price list'!$J845="F4",'General price list'!$AB845+0&gt;0),1,0)</f>
        <v>0</v>
      </c>
      <c r="AY845" s="304">
        <f t="shared" si="1858"/>
        <v>1</v>
      </c>
      <c r="AZ845" s="304">
        <f t="shared" si="1859"/>
        <v>0</v>
      </c>
    </row>
    <row r="846" spans="1:52" ht="15" customHeight="1">
      <c r="A846" s="773" t="str">
        <f>Kat.!C844</f>
        <v xml:space="preserve">                                                               Baterie 106ran, 20+25+30mm rovný+šikmý+S moždíř-1.3G</v>
      </c>
      <c r="B846" s="774"/>
      <c r="C846" s="774"/>
      <c r="D846" s="774"/>
      <c r="E846" s="774"/>
      <c r="F846" s="774"/>
      <c r="G846" s="774"/>
      <c r="H846" s="774"/>
      <c r="I846" s="774"/>
      <c r="J846" s="774"/>
      <c r="K846" s="774"/>
      <c r="L846" s="774"/>
      <c r="M846" s="774"/>
      <c r="N846" s="774"/>
      <c r="O846" s="774"/>
      <c r="P846" s="774"/>
      <c r="Q846" s="774"/>
      <c r="R846" s="774"/>
      <c r="S846" s="774"/>
      <c r="T846" s="774"/>
      <c r="U846" s="774"/>
      <c r="V846" s="774"/>
      <c r="W846" s="774"/>
      <c r="X846" s="774"/>
      <c r="Y846" s="774"/>
      <c r="Z846" s="774"/>
      <c r="AA846" s="774" t="str">
        <f>IFERROR(IF(VLOOKUP(C846,[4]List1!$A:$D,4,FALSE)=0,"",VLOOKUP(C846,[4]List1!$A:$D,4,FALSE)),"")</f>
        <v/>
      </c>
      <c r="AB846" s="774"/>
      <c r="AC846" s="775" t="str">
        <f>IFERROR(IF(VLOOKUP(C846,[1]List1!$A:$D,2,FALSE)="VYPRODÁNO",$V$9,IF(VLOOKUP(C846,[1]List1!$A:$D,2,FALSE)="DOCHÁZÍ",$V$3,VLOOKUP(C846,[1]List1!$A:$D,2,FALSE))),"OFFLINE!")</f>
        <v>OFFLINE!</v>
      </c>
      <c r="AD846" s="774"/>
      <c r="AE846" s="774"/>
      <c r="AF846" s="774"/>
      <c r="AG846" s="774"/>
      <c r="AH846" s="774"/>
      <c r="AI846" s="774"/>
      <c r="AJ846" s="774"/>
      <c r="AK846" s="774"/>
      <c r="AL846" s="774"/>
      <c r="AM846" s="774"/>
      <c r="AN846" s="774"/>
      <c r="AO846" s="380"/>
      <c r="AP846" s="322" t="str">
        <f t="shared" si="1852"/>
        <v/>
      </c>
      <c r="AQ846" s="323" t="str">
        <f>IF(AC846=$V$3,IF(VLOOKUP(C846,[1]List1!$A:$E,5,FALSE)=0,1,VLOOKUP(C846,[1]List1!$A:$E,5,FALSE)),"")</f>
        <v/>
      </c>
      <c r="AR846" s="304" t="str">
        <f t="shared" si="1853"/>
        <v/>
      </c>
      <c r="AS846" s="423" t="str">
        <f t="shared" si="1854"/>
        <v/>
      </c>
      <c r="AT846" s="304" t="str">
        <f t="shared" si="1855"/>
        <v/>
      </c>
      <c r="AU846" s="342" t="e">
        <f t="shared" si="1856"/>
        <v>#N/A</v>
      </c>
      <c r="AV846" s="304" t="e">
        <f t="shared" si="1857"/>
        <v>#N/A</v>
      </c>
      <c r="AX846" s="304">
        <f>IF(AND('General price list'!$J846="F4",'General price list'!$AB846+0&gt;0),1,0)</f>
        <v>0</v>
      </c>
      <c r="AY846" s="304">
        <f t="shared" si="1858"/>
        <v>0</v>
      </c>
      <c r="AZ846" s="304">
        <f t="shared" si="1859"/>
        <v>0</v>
      </c>
    </row>
    <row r="847" spans="1:52" ht="15" customHeight="1">
      <c r="A847" s="712" t="str">
        <f>Kat.!C845</f>
        <v/>
      </c>
      <c r="B847" s="713">
        <f>IF(AND('General price list'!$J847="F4",$AI$1=FALSE),0,IF(AC847="SKLADEM",1,IF(AC847=$V$3,1,0)))</f>
        <v>1</v>
      </c>
      <c r="C847" s="714" t="s">
        <v>1690</v>
      </c>
      <c r="D847" s="715" t="s">
        <v>1691</v>
      </c>
      <c r="E847" s="716" t="s">
        <v>1078</v>
      </c>
      <c r="F847" s="712">
        <f>IFERROR(ROUND(IF($AL$3=2,VLOOKUP(C847,[2]List1!$A:$D,2,FALSE)*1.08,VLOOKUP(C847,[2]List1!$A:$D,2,FALSE)),0),"NEUVEDENO!")</f>
        <v>1698</v>
      </c>
      <c r="G847" s="717">
        <f t="shared" ref="G847:G848" si="2106">(F847)*$B$19</f>
        <v>1698</v>
      </c>
      <c r="H847" s="718">
        <f t="shared" ref="H847:H848" si="2107">G847/$F$19</f>
        <v>68.99942703655995</v>
      </c>
      <c r="I847" s="719">
        <v>2</v>
      </c>
      <c r="J847" s="716" t="s">
        <v>137</v>
      </c>
      <c r="K847" s="716"/>
      <c r="L847" s="716" t="s">
        <v>24</v>
      </c>
      <c r="M847" s="716" t="s">
        <v>138</v>
      </c>
      <c r="N847" s="716">
        <f>IFERROR(VLOOKUP(C847,[3]List1!$A:$D,4,FALSE),"N/A!")</f>
        <v>4.6068749999999999E-2</v>
      </c>
      <c r="O847" s="716">
        <f>IFERROR(VLOOKUP(C847,[3]List1!$A:$D,3,FALSE),"N/A!")</f>
        <v>1990</v>
      </c>
      <c r="P847" s="716">
        <f>IFERROR(VLOOKUP(C847,[3]List1!$A:$D,2,FALSE),"N/A!")</f>
        <v>16000</v>
      </c>
      <c r="Q847" s="716" t="s">
        <v>14266</v>
      </c>
      <c r="R847" s="716" t="s">
        <v>24</v>
      </c>
      <c r="S847" s="716" t="str">
        <f>IF($W$17=$AF$1,"design",IFERROR(VLOOKUP("design",Jazyky_ceník!$A:$Q,MATCH($W$17,Jazyky_ceník!$A$1:$Q$1,0),FALSE),"!!!"))</f>
        <v>design</v>
      </c>
      <c r="T847" s="716">
        <v>80</v>
      </c>
      <c r="U847" s="716" t="s">
        <v>13822</v>
      </c>
      <c r="V847" s="716" t="s">
        <v>13823</v>
      </c>
      <c r="W847" s="716" t="str">
        <f>IFERROR(VLOOKUP('General price list'!$C847,Popisy!A:P,MATCH($W$17,Popisy!$A$7:$P$7,0),FALSE),"---------------")</f>
        <v>13 různobarevných efektů</v>
      </c>
      <c r="X847" s="716" t="str">
        <f t="shared" ref="X847:X848" si="2108">IF(AB847&lt;0.0001,"",AB847)</f>
        <v/>
      </c>
      <c r="Y847" s="716" t="str">
        <f t="shared" ref="Y847:Y848" si="2109">IF($AL$3=2,IF(OR(AB847&lt;&gt;"",AB847&lt;&gt;0),AU847,""),IF(C847="","",IF(AB847&lt;0.0001,"",IF(B847=0,"",IF(AQ847&lt;AB847,"",AB847)))))</f>
        <v/>
      </c>
      <c r="Z847" s="716" t="str">
        <f>HYPERLINK("https://www.klasekpyrotechnics.cz/c106mh")</f>
        <v>https://www.klasekpyrotechnics.cz/c106mh</v>
      </c>
      <c r="AA847" s="716">
        <f>IFERROR(IF(VLOOKUP(C847,[4]List1!$A:$D,4,FALSE)=0,"",VLOOKUP(C847,[4]List1!$A:$D,4,FALSE)),"")</f>
        <v>24</v>
      </c>
      <c r="AB847" s="720"/>
      <c r="AC847" s="721" t="str">
        <f>IFERROR(IF(VLOOKUP(C847,[1]List1!$A:$D,2,FALSE)="VYPRODÁNO",$V$9,IF(VLOOKUP(C847,[1]List1!$A:$D,2,FALSE)="DOCHÁZÍ",$V$3,VLOOKUP(C847,[1]List1!$A:$D,2,FALSE))),"OFFLINE!")</f>
        <v>SKLADEM</v>
      </c>
      <c r="AD847" s="722" t="str">
        <f ca="1">IF(AP847="NE",$V$10,IF(AC847=$V$3,IF(AQ847&lt;1,$V$8,$V$2&amp;" "&amp;AQ847&amp;" "&amp;$V$1),IF(AC847="SKLADEM",$V$6,IFERROR(IF(OR(AC847-TODAY()&gt;45,VLOOKUP(C847,[1]List1!$A:$E,4,FALSE)=0),AC847,DAY(AC847)&amp;"."&amp;MONTH(AC847)&amp;"."&amp;YEAR(AC847)&amp;" "&amp;$V$4&amp;VLOOKUP(C847,[1]List1!$A:$E,4,FALSE)&amp;" "&amp;$V$1),AC847))))</f>
        <v>SKLADEM</v>
      </c>
      <c r="AE847" s="716" t="str">
        <f t="shared" ref="AE847:AE848" ca="1" si="2110">IFERROR(IF(AV847&lt;&gt;"",AV847,AD847),AD847)</f>
        <v>SKLADEM</v>
      </c>
      <c r="AF847" s="723">
        <f t="shared" ref="AF847:AF848" si="2111">IFERROR(IF(AB847=Y847,G847*I847*Y847,0),0)</f>
        <v>0</v>
      </c>
      <c r="AG847" s="723">
        <f t="shared" ref="AG847:AG848" si="2112">IF($W$17=$AF$8,AH847*1.23,AF847*1.21)</f>
        <v>0</v>
      </c>
      <c r="AH847" s="724">
        <f t="shared" ref="AH847:AH848" si="2113">IFERROR(IF(Y847=AB847,H847*I847*Y847,0),0)</f>
        <v>0</v>
      </c>
      <c r="AI847" s="716">
        <f t="shared" ref="AI847:AI848" si="2114">IFERROR(IF(Y847=AB847,(P847*Y847)/1000,1),0)</f>
        <v>0</v>
      </c>
      <c r="AJ847" s="716">
        <f t="shared" ref="AJ847:AJ848" si="2115">IFERROR(IF(Y847=AB847,N847*Y847,0.1),0)</f>
        <v>0</v>
      </c>
      <c r="AK847" s="716" t="str">
        <f t="shared" ref="AK847:AK848" si="2116">IFERROR(IF(Y847=AB847,IF(M847="1.1G",(O847/1000)*Y847,""),""),0)</f>
        <v/>
      </c>
      <c r="AL847" s="716">
        <f t="shared" ref="AL847:AL848" si="2117">IFERROR(IF(Y847=AB847,IF(M847="1.3G",(O847/1000)*AB847,""),""),0)</f>
        <v>0</v>
      </c>
      <c r="AM847" s="716" t="str">
        <f t="shared" ref="AM847:AM848" si="2118">IFERROR(IF(Y847=AB847,IF(M847="1.4G",(O847/1000)*AB847,""),""),0)</f>
        <v/>
      </c>
      <c r="AN847" s="716">
        <f t="shared" ref="AN847:AN848" si="2119">SUM(AK847:AM847)</f>
        <v>0</v>
      </c>
      <c r="AO847" s="380"/>
      <c r="AP847" s="322" t="str">
        <f t="shared" si="1852"/>
        <v/>
      </c>
      <c r="AQ847" s="323" t="str">
        <f>IF(AC847=$V$3,IF(VLOOKUP(C847,[1]List1!$A:$E,5,FALSE)=0,1,VLOOKUP(C847,[1]List1!$A:$E,5,FALSE)),"")</f>
        <v/>
      </c>
      <c r="AR847" s="304" t="str">
        <f t="shared" si="1853"/>
        <v/>
      </c>
      <c r="AS847" s="423" t="str">
        <f t="shared" si="1854"/>
        <v/>
      </c>
      <c r="AT847" s="304" t="str">
        <f t="shared" si="1855"/>
        <v/>
      </c>
      <c r="AU847" s="342" t="e">
        <f t="shared" si="1856"/>
        <v>#N/A</v>
      </c>
      <c r="AV847" s="304" t="e">
        <f t="shared" si="1857"/>
        <v>#N/A</v>
      </c>
      <c r="AX847" s="304">
        <f>IF(AND('General price list'!$J847="F4",'General price list'!$AB847+0&gt;0),1,0)</f>
        <v>0</v>
      </c>
      <c r="AY847" s="304">
        <f t="shared" si="1858"/>
        <v>1</v>
      </c>
      <c r="AZ847" s="304">
        <f t="shared" si="1859"/>
        <v>0</v>
      </c>
    </row>
    <row r="848" spans="1:52" ht="15" customHeight="1">
      <c r="A848" s="725" t="str">
        <f>Kat.!C846</f>
        <v/>
      </c>
      <c r="B848" s="726">
        <f>IF(AND('General price list'!$J848="F4",$AI$1=FALSE),0,IF(AC848="SKLADEM",1,IF(AC848=$V$3,1,0)))</f>
        <v>1</v>
      </c>
      <c r="C848" s="727" t="s">
        <v>1692</v>
      </c>
      <c r="D848" s="728" t="s">
        <v>1693</v>
      </c>
      <c r="E848" s="729" t="s">
        <v>1078</v>
      </c>
      <c r="F848" s="725">
        <f>IFERROR(ROUND(IF($AL$3=2,VLOOKUP(C848,[2]List1!$A:$D,2,FALSE)*1.08,VLOOKUP(C848,[2]List1!$A:$D,2,FALSE)),0),"NEUVEDENO!")</f>
        <v>1698</v>
      </c>
      <c r="G848" s="730">
        <f t="shared" si="2106"/>
        <v>1698</v>
      </c>
      <c r="H848" s="731">
        <f t="shared" si="2107"/>
        <v>68.99942703655995</v>
      </c>
      <c r="I848" s="732">
        <v>2</v>
      </c>
      <c r="J848" s="729" t="s">
        <v>137</v>
      </c>
      <c r="K848" s="729"/>
      <c r="L848" s="729" t="s">
        <v>24</v>
      </c>
      <c r="M848" s="729" t="s">
        <v>138</v>
      </c>
      <c r="N848" s="729">
        <f>IFERROR(VLOOKUP(C848,[3]List1!$A:$D,4,FALSE),"N/A!")</f>
        <v>4.6068749999999999E-2</v>
      </c>
      <c r="O848" s="729">
        <f>IFERROR(VLOOKUP(C848,[3]List1!$A:$D,3,FALSE),"N/A!")</f>
        <v>1990</v>
      </c>
      <c r="P848" s="729">
        <f>IFERROR(VLOOKUP(C848,[3]List1!$A:$D,2,FALSE),"N/A!")</f>
        <v>16000</v>
      </c>
      <c r="Q848" s="729" t="s">
        <v>14266</v>
      </c>
      <c r="R848" s="729" t="s">
        <v>24</v>
      </c>
      <c r="S848" s="729" t="str">
        <f>IF($W$17=$AF$1,"červená fólie",IFERROR(VLOOKUP("červená fólie",Jazyky_ceník!$A:$Q,MATCH($W$17,Jazyky_ceník!$A$1:$Q$1,0),FALSE),"!!!"))</f>
        <v>červená fólie</v>
      </c>
      <c r="T848" s="729">
        <v>80</v>
      </c>
      <c r="U848" s="729" t="s">
        <v>13822</v>
      </c>
      <c r="V848" s="729" t="s">
        <v>13823</v>
      </c>
      <c r="W848" s="729" t="str">
        <f>IFERROR(VLOOKUP('General price list'!$C848,Popisy!A:P,MATCH($W$17,Popisy!$A$7:$P$7,0),FALSE),"---------------")</f>
        <v>13 různobarevných efektů</v>
      </c>
      <c r="X848" s="729" t="str">
        <f t="shared" si="2108"/>
        <v/>
      </c>
      <c r="Y848" s="729" t="str">
        <f t="shared" si="2109"/>
        <v/>
      </c>
      <c r="Z848" s="729" t="str">
        <f>HYPERLINK("https://www.klasekpyrotechnics.cz/c106mb")</f>
        <v>https://www.klasekpyrotechnics.cz/c106mb</v>
      </c>
      <c r="AA848" s="729">
        <f>IFERROR(IF(VLOOKUP(C848,[4]List1!$A:$D,4,FALSE)=0,"",VLOOKUP(C848,[4]List1!$A:$D,4,FALSE)),"")</f>
        <v>24</v>
      </c>
      <c r="AB848" s="720"/>
      <c r="AC848" s="733" t="str">
        <f>IFERROR(IF(VLOOKUP(C848,[1]List1!$A:$D,2,FALSE)="VYPRODÁNO",$V$9,IF(VLOOKUP(C848,[1]List1!$A:$D,2,FALSE)="DOCHÁZÍ",$V$3,VLOOKUP(C848,[1]List1!$A:$D,2,FALSE))),"OFFLINE!")</f>
        <v>SKLADEM</v>
      </c>
      <c r="AD848" s="734" t="str">
        <f ca="1">IF(AP848="NE",$V$10,IF(AC848=$V$3,IF(AQ848&lt;1,$V$8,$V$2&amp;" "&amp;AQ848&amp;" "&amp;$V$1),IF(AC848="SKLADEM",$V$6,IFERROR(IF(OR(AC848-TODAY()&gt;45,VLOOKUP(C848,[1]List1!$A:$E,4,FALSE)=0),AC848,DAY(AC848)&amp;"."&amp;MONTH(AC848)&amp;"."&amp;YEAR(AC848)&amp;" "&amp;$V$4&amp;VLOOKUP(C848,[1]List1!$A:$E,4,FALSE)&amp;" "&amp;$V$1),AC848))))</f>
        <v>SKLADEM</v>
      </c>
      <c r="AE848" s="729" t="str">
        <f t="shared" ca="1" si="2110"/>
        <v>SKLADEM</v>
      </c>
      <c r="AF848" s="735">
        <f t="shared" si="2111"/>
        <v>0</v>
      </c>
      <c r="AG848" s="735">
        <f t="shared" si="2112"/>
        <v>0</v>
      </c>
      <c r="AH848" s="736">
        <f t="shared" si="2113"/>
        <v>0</v>
      </c>
      <c r="AI848" s="729">
        <f t="shared" si="2114"/>
        <v>0</v>
      </c>
      <c r="AJ848" s="729">
        <f t="shared" si="2115"/>
        <v>0</v>
      </c>
      <c r="AK848" s="729" t="str">
        <f t="shared" si="2116"/>
        <v/>
      </c>
      <c r="AL848" s="729">
        <f t="shared" si="2117"/>
        <v>0</v>
      </c>
      <c r="AM848" s="729" t="str">
        <f t="shared" si="2118"/>
        <v/>
      </c>
      <c r="AN848" s="729">
        <f t="shared" si="2119"/>
        <v>0</v>
      </c>
      <c r="AO848" s="380"/>
      <c r="AP848" s="322" t="str">
        <f t="shared" si="1852"/>
        <v/>
      </c>
      <c r="AQ848" s="323" t="str">
        <f>IF(AC848=$V$3,IF(VLOOKUP(C848,[1]List1!$A:$E,5,FALSE)=0,1,VLOOKUP(C848,[1]List1!$A:$E,5,FALSE)),"")</f>
        <v/>
      </c>
      <c r="AR848" s="304" t="str">
        <f t="shared" si="1853"/>
        <v/>
      </c>
      <c r="AS848" s="423" t="str">
        <f t="shared" si="1854"/>
        <v/>
      </c>
      <c r="AT848" s="304" t="str">
        <f t="shared" si="1855"/>
        <v/>
      </c>
      <c r="AU848" s="342" t="e">
        <f t="shared" si="1856"/>
        <v>#N/A</v>
      </c>
      <c r="AV848" s="304" t="e">
        <f t="shared" si="1857"/>
        <v>#N/A</v>
      </c>
      <c r="AX848" s="304">
        <f>IF(AND('General price list'!$J848="F4",'General price list'!$AB848+0&gt;0),1,0)</f>
        <v>0</v>
      </c>
      <c r="AY848" s="304">
        <f t="shared" si="1858"/>
        <v>1</v>
      </c>
      <c r="AZ848" s="304">
        <f t="shared" si="1859"/>
        <v>0</v>
      </c>
    </row>
    <row r="849" spans="1:52" ht="15" customHeight="1">
      <c r="A849" s="773" t="str">
        <f>Kat.!C847</f>
        <v xml:space="preserve">                                                               Baterie 109ran, 20+25+30mm moždíř-1.3G</v>
      </c>
      <c r="B849" s="774"/>
      <c r="C849" s="774"/>
      <c r="D849" s="774"/>
      <c r="E849" s="774"/>
      <c r="F849" s="774"/>
      <c r="G849" s="774"/>
      <c r="H849" s="774"/>
      <c r="I849" s="774"/>
      <c r="J849" s="774"/>
      <c r="K849" s="774"/>
      <c r="L849" s="774"/>
      <c r="M849" s="774"/>
      <c r="N849" s="774"/>
      <c r="O849" s="774"/>
      <c r="P849" s="774"/>
      <c r="Q849" s="774"/>
      <c r="R849" s="774"/>
      <c r="S849" s="774"/>
      <c r="T849" s="774"/>
      <c r="U849" s="774"/>
      <c r="V849" s="774"/>
      <c r="W849" s="774"/>
      <c r="X849" s="774"/>
      <c r="Y849" s="774"/>
      <c r="Z849" s="774"/>
      <c r="AA849" s="774" t="str">
        <f>IFERROR(IF(VLOOKUP(C849,[4]List1!$A:$D,4,FALSE)=0,"",VLOOKUP(C849,[4]List1!$A:$D,4,FALSE)),"")</f>
        <v/>
      </c>
      <c r="AB849" s="774"/>
      <c r="AC849" s="775" t="str">
        <f>IFERROR(IF(VLOOKUP(C849,[1]List1!$A:$D,2,FALSE)="VYPRODÁNO",$V$9,IF(VLOOKUP(C849,[1]List1!$A:$D,2,FALSE)="DOCHÁZÍ",$V$3,VLOOKUP(C849,[1]List1!$A:$D,2,FALSE))),"OFFLINE!")</f>
        <v>OFFLINE!</v>
      </c>
      <c r="AD849" s="774"/>
      <c r="AE849" s="774"/>
      <c r="AF849" s="774"/>
      <c r="AG849" s="774"/>
      <c r="AH849" s="774"/>
      <c r="AI849" s="774"/>
      <c r="AJ849" s="774"/>
      <c r="AK849" s="774"/>
      <c r="AL849" s="774"/>
      <c r="AM849" s="774"/>
      <c r="AN849" s="774"/>
      <c r="AO849" s="380"/>
      <c r="AP849" s="322" t="str">
        <f t="shared" si="1852"/>
        <v/>
      </c>
      <c r="AQ849" s="323" t="str">
        <f>IF(AC849=$V$3,IF(VLOOKUP(C849,[1]List1!$A:$E,5,FALSE)=0,1,VLOOKUP(C849,[1]List1!$A:$E,5,FALSE)),"")</f>
        <v/>
      </c>
      <c r="AR849" s="304" t="str">
        <f t="shared" si="1853"/>
        <v/>
      </c>
      <c r="AS849" s="423" t="str">
        <f t="shared" si="1854"/>
        <v/>
      </c>
      <c r="AT849" s="304" t="str">
        <f t="shared" si="1855"/>
        <v/>
      </c>
      <c r="AU849" s="342" t="e">
        <f t="shared" si="1856"/>
        <v>#N/A</v>
      </c>
      <c r="AV849" s="304" t="e">
        <f t="shared" si="1857"/>
        <v>#N/A</v>
      </c>
      <c r="AX849" s="304">
        <f>IF(AND('General price list'!$J849="F4",'General price list'!$AB849+0&gt;0),1,0)</f>
        <v>0</v>
      </c>
      <c r="AY849" s="304">
        <f t="shared" si="1858"/>
        <v>0</v>
      </c>
      <c r="AZ849" s="304">
        <f t="shared" si="1859"/>
        <v>0</v>
      </c>
    </row>
    <row r="850" spans="1:52" ht="15" customHeight="1">
      <c r="A850" s="725" t="str">
        <f>Kat.!C848</f>
        <v/>
      </c>
      <c r="B850" s="741">
        <f>IF(AND('General price list'!$J850="F4",$AI$1=FALSE),0,IF(AC850="SKLADEM",1,IF(AC850=$V$3,1,0)))</f>
        <v>1</v>
      </c>
      <c r="C850" s="727" t="s">
        <v>1694</v>
      </c>
      <c r="D850" s="728" t="s">
        <v>1695</v>
      </c>
      <c r="E850" s="729" t="s">
        <v>1078</v>
      </c>
      <c r="F850" s="725">
        <f>IFERROR(ROUND(IF($AL$3=2,VLOOKUP(C850,[2]List1!$A:$D,2,FALSE)*1.08,VLOOKUP(C850,[2]List1!$A:$D,2,FALSE)),0),"NEUVEDENO!")</f>
        <v>1550</v>
      </c>
      <c r="G850" s="730">
        <f t="shared" ref="G850:G851" si="2120">(F850)*$B$19</f>
        <v>1550</v>
      </c>
      <c r="H850" s="731">
        <f t="shared" ref="H850:H851" si="2121">G850/$F$19</f>
        <v>62.985342701217853</v>
      </c>
      <c r="I850" s="742">
        <v>2</v>
      </c>
      <c r="J850" s="729" t="s">
        <v>137</v>
      </c>
      <c r="K850" s="729"/>
      <c r="L850" s="729" t="s">
        <v>24</v>
      </c>
      <c r="M850" s="729" t="s">
        <v>138</v>
      </c>
      <c r="N850" s="729">
        <f>IFERROR(VLOOKUP(C850,[3]List1!$A:$D,4,FALSE),"N/A!")</f>
        <v>3.7976249999999996E-2</v>
      </c>
      <c r="O850" s="729">
        <f>IFERROR(VLOOKUP(C850,[3]List1!$A:$D,3,FALSE),"N/A!")</f>
        <v>1996</v>
      </c>
      <c r="P850" s="729">
        <f>IFERROR(VLOOKUP(C850,[3]List1!$A:$D,2,FALSE),"N/A!")</f>
        <v>14500</v>
      </c>
      <c r="Q850" s="729" t="s">
        <v>14268</v>
      </c>
      <c r="R850" s="729" t="s">
        <v>24</v>
      </c>
      <c r="S850" s="729" t="str">
        <f>IF($W$17=$AF$1,"design",IFERROR(VLOOKUP("design",Jazyky_ceník!$A:$Q,MATCH($W$17,Jazyky_ceník!$A$1:$Q$1,0),FALSE),"!!!"))</f>
        <v>design</v>
      </c>
      <c r="T850" s="729">
        <v>80</v>
      </c>
      <c r="U850" s="729" t="s">
        <v>13825</v>
      </c>
      <c r="V850" s="729" t="s">
        <v>13826</v>
      </c>
      <c r="W850" s="729" t="str">
        <f>IFERROR(VLOOKUP('General price list'!$C850,Popisy!A:P,MATCH($W$17,Popisy!$A$7:$P$7,0),FALSE),"---------------")</f>
        <v>16 různobarevných efektů</v>
      </c>
      <c r="X850" s="729" t="str">
        <f t="shared" ref="X850:X851" si="2122">IF(AB850&lt;0.0001,"",AB850)</f>
        <v/>
      </c>
      <c r="Y850" s="729" t="str">
        <f t="shared" ref="Y850:Y851" si="2123">IF($AL$3=2,IF(OR(AB850&lt;&gt;"",AB850&lt;&gt;0),AU850,""),IF(C850="","",IF(AB850&lt;0.0001,"",IF(B850=0,"",IF(AQ850&lt;AB850,"",AB850)))))</f>
        <v/>
      </c>
      <c r="Z850" s="729" t="str">
        <f>HYPERLINK("https://www.klasekpyrotechnics.cz/c109mg")</f>
        <v>https://www.klasekpyrotechnics.cz/c109mg</v>
      </c>
      <c r="AA850" s="729">
        <f>IFERROR(IF(VLOOKUP(C850,[4]List1!$A:$D,4,FALSE)=0,"",VLOOKUP(C850,[4]List1!$A:$D,4,FALSE)),"")</f>
        <v>30</v>
      </c>
      <c r="AB850" s="720"/>
      <c r="AC850" s="743" t="str">
        <f>IFERROR(IF(VLOOKUP(C850,[1]List1!$A:$D,2,FALSE)="VYPRODÁNO",$V$9,IF(VLOOKUP(C850,[1]List1!$A:$D,2,FALSE)="DOCHÁZÍ",$V$3,VLOOKUP(C850,[1]List1!$A:$D,2,FALSE))),"OFFLINE!")</f>
        <v>SKLADEM</v>
      </c>
      <c r="AD850" s="744" t="str">
        <f ca="1">IF(AP850="NE",$V$10,IF(AC850=$V$3,IF(AQ850&lt;1,$V$8,$V$2&amp;" "&amp;AQ850&amp;" "&amp;$V$1),IF(AC850="SKLADEM",$V$6,IFERROR(IF(OR(AC850-TODAY()&gt;45,VLOOKUP(C850,[1]List1!$A:$E,4,FALSE)=0),AC850,DAY(AC850)&amp;"."&amp;MONTH(AC850)&amp;"."&amp;YEAR(AC850)&amp;" "&amp;$V$4&amp;VLOOKUP(C850,[1]List1!$A:$E,4,FALSE)&amp;" "&amp;$V$1),AC850))))</f>
        <v>SKLADEM</v>
      </c>
      <c r="AE850" s="729" t="str">
        <f t="shared" ref="AE850:AE851" ca="1" si="2124">IFERROR(IF(AV850&lt;&gt;"",AV850,AD850),AD850)</f>
        <v>SKLADEM</v>
      </c>
      <c r="AF850" s="735">
        <f t="shared" ref="AF850:AF851" si="2125">IFERROR(IF(AB850=Y850,G850*I850*Y850,0),0)</f>
        <v>0</v>
      </c>
      <c r="AG850" s="735">
        <f t="shared" ref="AG850:AG851" si="2126">IF($W$17=$AF$8,AH850*1.23,AF850*1.21)</f>
        <v>0</v>
      </c>
      <c r="AH850" s="736">
        <f t="shared" ref="AH850:AH851" si="2127">IFERROR(IF(Y850=AB850,H850*I850*Y850,0),0)</f>
        <v>0</v>
      </c>
      <c r="AI850" s="729">
        <f t="shared" ref="AI850:AI851" si="2128">IFERROR(IF(Y850=AB850,(P850*Y850)/1000,1),0)</f>
        <v>0</v>
      </c>
      <c r="AJ850" s="729">
        <f t="shared" ref="AJ850:AJ851" si="2129">IFERROR(IF(Y850=AB850,N850*Y850,0.1),0)</f>
        <v>0</v>
      </c>
      <c r="AK850" s="729" t="str">
        <f t="shared" ref="AK850:AK851" si="2130">IFERROR(IF(Y850=AB850,IF(M850="1.1G",(O850/1000)*Y850,""),""),0)</f>
        <v/>
      </c>
      <c r="AL850" s="729">
        <f t="shared" ref="AL850:AL851" si="2131">IFERROR(IF(Y850=AB850,IF(M850="1.3G",(O850/1000)*AB850,""),""),0)</f>
        <v>0</v>
      </c>
      <c r="AM850" s="729" t="str">
        <f t="shared" ref="AM850:AM851" si="2132">IFERROR(IF(Y850=AB850,IF(M850="1.4G",(O850/1000)*AB850,""),""),0)</f>
        <v/>
      </c>
      <c r="AN850" s="729">
        <f t="shared" ref="AN850:AN851" si="2133">SUM(AK850:AM850)</f>
        <v>0</v>
      </c>
      <c r="AO850" s="380"/>
      <c r="AP850" s="322" t="str">
        <f t="shared" ref="AP850:AP851" si="2134">IF($AL$3=1,IF(Y850=AB850,"","NE"),IF(AR850=$V$10,"NE",""))</f>
        <v/>
      </c>
      <c r="AQ850" s="323" t="str">
        <f>IF(AC850=$V$3,IF(VLOOKUP(C850,[1]List1!$A:$E,5,FALSE)=0,1,VLOOKUP(C850,[1]List1!$A:$E,5,FALSE)),"")</f>
        <v/>
      </c>
      <c r="AR850" s="304" t="str">
        <f t="shared" ref="AR850:AR851" si="2135">IF($AL$3=1,"",IF(OR(AB850&lt;&gt;"",AB850&lt;&gt;0),IF(OR(AC850=$V$6,AC850=$V$3,AC850=$V$9),$V$10,""),""))</f>
        <v/>
      </c>
      <c r="AS850" s="423" t="str">
        <f t="shared" ref="AS850:AS851" si="2136">IF(AT850&lt;&gt;"","X","")</f>
        <v/>
      </c>
      <c r="AT850" s="304" t="str">
        <f t="shared" ref="AT850:AT851" si="2137">IF(AND($AL$3=2,AR850="",AB850&lt;&gt;""),AD850,"")</f>
        <v/>
      </c>
      <c r="AU850" s="342" t="e">
        <f t="shared" ref="AU850:AU851" si="2138">IF(AT850=$AS$21,AB850,"")</f>
        <v>#N/A</v>
      </c>
      <c r="AV850" s="304" t="e">
        <f t="shared" ref="AV850:AV851" si="2139">IF(OR(AB850="",AND(AT850&lt;&gt;"",AU850&lt;&gt;"")),"",$V$10)</f>
        <v>#N/A</v>
      </c>
      <c r="AX850" s="304">
        <f>IF(AND('General price list'!$J850="F4",'General price list'!$AB850+0&gt;0),1,0)</f>
        <v>0</v>
      </c>
      <c r="AY850" s="304">
        <f t="shared" ref="AY850:AY851" si="2140">IFERROR(FIND(VLOOKUP($AC$7,$AD$1:$AE$12,2,FALSE),Q850,1),0)</f>
        <v>1</v>
      </c>
      <c r="AZ850" s="304">
        <f t="shared" ref="AZ850:AZ851" si="2141">IFERROR(FIND(VLOOKUP($AC$7,$AD$1:$AE$12,2,FALSE),R850,1),0)</f>
        <v>0</v>
      </c>
    </row>
    <row r="851" spans="1:52" ht="15" customHeight="1">
      <c r="A851" s="712" t="str">
        <f>Kat.!C849</f>
        <v/>
      </c>
      <c r="B851" s="745">
        <f>IF(AND('General price list'!$J851="F4",$AI$1=FALSE),0,IF(AC851="SKLADEM",1,IF(AC851=$V$3,1,0)))</f>
        <v>1</v>
      </c>
      <c r="C851" s="714" t="s">
        <v>1696</v>
      </c>
      <c r="D851" s="715" t="s">
        <v>1697</v>
      </c>
      <c r="E851" s="716" t="s">
        <v>1078</v>
      </c>
      <c r="F851" s="712">
        <f>IFERROR(ROUND(IF($AL$3=2,VLOOKUP(C851,[2]List1!$A:$D,2,FALSE)*1.08,VLOOKUP(C851,[2]List1!$A:$D,2,FALSE)),0),"NEUVEDENO!")</f>
        <v>1550</v>
      </c>
      <c r="G851" s="717">
        <f t="shared" si="2120"/>
        <v>1550</v>
      </c>
      <c r="H851" s="718">
        <f t="shared" si="2121"/>
        <v>62.985342701217853</v>
      </c>
      <c r="I851" s="746">
        <v>2</v>
      </c>
      <c r="J851" s="716" t="s">
        <v>137</v>
      </c>
      <c r="K851" s="716"/>
      <c r="L851" s="716" t="s">
        <v>24</v>
      </c>
      <c r="M851" s="716" t="s">
        <v>138</v>
      </c>
      <c r="N851" s="716">
        <f>IFERROR(VLOOKUP(C851,[3]List1!$A:$D,4,FALSE),"N/A!")</f>
        <v>3.7976249999999996E-2</v>
      </c>
      <c r="O851" s="716">
        <f>IFERROR(VLOOKUP(C851,[3]List1!$A:$D,3,FALSE),"N/A!")</f>
        <v>1996</v>
      </c>
      <c r="P851" s="716">
        <f>IFERROR(VLOOKUP(C851,[3]List1!$A:$D,2,FALSE),"N/A!")</f>
        <v>14500</v>
      </c>
      <c r="Q851" s="716" t="s">
        <v>14268</v>
      </c>
      <c r="R851" s="716" t="s">
        <v>24</v>
      </c>
      <c r="S851" s="716" t="str">
        <f>IF($W$17=$AF$1,"design",IFERROR(VLOOKUP("design",Jazyky_ceník!$A:$Q,MATCH($W$17,Jazyky_ceník!$A$1:$Q$1,0),FALSE),"!!!"))</f>
        <v>design</v>
      </c>
      <c r="T851" s="716">
        <v>80</v>
      </c>
      <c r="U851" s="716" t="s">
        <v>13825</v>
      </c>
      <c r="V851" s="716" t="s">
        <v>13826</v>
      </c>
      <c r="W851" s="716" t="str">
        <f>IFERROR(VLOOKUP('General price list'!$C851,Popisy!A:P,MATCH($W$17,Popisy!$A$7:$P$7,0),FALSE),"---------------")</f>
        <v>16 různobarevných efektů</v>
      </c>
      <c r="X851" s="716" t="str">
        <f t="shared" si="2122"/>
        <v/>
      </c>
      <c r="Y851" s="716" t="str">
        <f t="shared" si="2123"/>
        <v/>
      </c>
      <c r="Z851" s="716" t="str">
        <f>HYPERLINK("https://www.klasekpyrotechnics.cz/c109mm")</f>
        <v>https://www.klasekpyrotechnics.cz/c109mm</v>
      </c>
      <c r="AA851" s="716">
        <f>IFERROR(IF(VLOOKUP(C851,[4]List1!$A:$D,4,FALSE)=0,"",VLOOKUP(C851,[4]List1!$A:$D,4,FALSE)),"")</f>
        <v>30</v>
      </c>
      <c r="AB851" s="720"/>
      <c r="AC851" s="747" t="str">
        <f>IFERROR(IF(VLOOKUP(C851,[1]List1!$A:$D,2,FALSE)="VYPRODÁNO",$V$9,IF(VLOOKUP(C851,[1]List1!$A:$D,2,FALSE)="DOCHÁZÍ",$V$3,VLOOKUP(C851,[1]List1!$A:$D,2,FALSE))),"OFFLINE!")</f>
        <v>SKLADEM</v>
      </c>
      <c r="AD851" s="748" t="str">
        <f ca="1">IF(AP851="NE",$V$10,IF(AC851=$V$3,IF(AQ851&lt;1,$V$8,$V$2&amp;" "&amp;AQ851&amp;" "&amp;$V$1),IF(AC851="SKLADEM",$V$6,IFERROR(IF(OR(AC851-TODAY()&gt;45,VLOOKUP(C851,[1]List1!$A:$E,4,FALSE)=0),AC851,DAY(AC851)&amp;"."&amp;MONTH(AC851)&amp;"."&amp;YEAR(AC851)&amp;" "&amp;$V$4&amp;VLOOKUP(C851,[1]List1!$A:$E,4,FALSE)&amp;" "&amp;$V$1),AC851))))</f>
        <v>SKLADEM</v>
      </c>
      <c r="AE851" s="716" t="str">
        <f t="shared" ca="1" si="2124"/>
        <v>SKLADEM</v>
      </c>
      <c r="AF851" s="723">
        <f t="shared" si="2125"/>
        <v>0</v>
      </c>
      <c r="AG851" s="723">
        <f t="shared" si="2126"/>
        <v>0</v>
      </c>
      <c r="AH851" s="724">
        <f t="shared" si="2127"/>
        <v>0</v>
      </c>
      <c r="AI851" s="716">
        <f t="shared" si="2128"/>
        <v>0</v>
      </c>
      <c r="AJ851" s="716">
        <f t="shared" si="2129"/>
        <v>0</v>
      </c>
      <c r="AK851" s="716" t="str">
        <f t="shared" si="2130"/>
        <v/>
      </c>
      <c r="AL851" s="716">
        <f t="shared" si="2131"/>
        <v>0</v>
      </c>
      <c r="AM851" s="716" t="str">
        <f t="shared" si="2132"/>
        <v/>
      </c>
      <c r="AN851" s="716">
        <f t="shared" si="2133"/>
        <v>0</v>
      </c>
      <c r="AO851" s="380"/>
      <c r="AP851" s="322" t="str">
        <f t="shared" si="2134"/>
        <v/>
      </c>
      <c r="AQ851" s="323" t="str">
        <f>IF(AC851=$V$3,IF(VLOOKUP(C851,[1]List1!$A:$E,5,FALSE)=0,1,VLOOKUP(C851,[1]List1!$A:$E,5,FALSE)),"")</f>
        <v/>
      </c>
      <c r="AR851" s="304" t="str">
        <f t="shared" si="2135"/>
        <v/>
      </c>
      <c r="AS851" s="423" t="str">
        <f t="shared" si="2136"/>
        <v/>
      </c>
      <c r="AT851" s="304" t="str">
        <f t="shared" si="2137"/>
        <v/>
      </c>
      <c r="AU851" s="342" t="e">
        <f t="shared" si="2138"/>
        <v>#N/A</v>
      </c>
      <c r="AV851" s="304" t="e">
        <f t="shared" si="2139"/>
        <v>#N/A</v>
      </c>
      <c r="AX851" s="304">
        <f>IF(AND('General price list'!$J851="F4",'General price list'!$AB851+0&gt;0),1,0)</f>
        <v>0</v>
      </c>
      <c r="AY851" s="304">
        <f t="shared" si="2140"/>
        <v>1</v>
      </c>
      <c r="AZ851" s="304">
        <f t="shared" si="2141"/>
        <v>0</v>
      </c>
    </row>
    <row r="852" spans="1:52" ht="15" customHeight="1">
      <c r="A852" s="773" t="str">
        <f>Kat.!C850</f>
        <v xml:space="preserve">                                                               Složený ohňostroj multikaliber F2 - 1.4G</v>
      </c>
      <c r="B852" s="774"/>
      <c r="C852" s="774"/>
      <c r="D852" s="774"/>
      <c r="E852" s="774"/>
      <c r="F852" s="774"/>
      <c r="G852" s="774"/>
      <c r="H852" s="774"/>
      <c r="I852" s="774"/>
      <c r="J852" s="774"/>
      <c r="K852" s="774"/>
      <c r="L852" s="774"/>
      <c r="M852" s="774"/>
      <c r="N852" s="774"/>
      <c r="O852" s="774"/>
      <c r="P852" s="774"/>
      <c r="Q852" s="774"/>
      <c r="R852" s="774"/>
      <c r="S852" s="774"/>
      <c r="T852" s="774"/>
      <c r="U852" s="774"/>
      <c r="V852" s="774"/>
      <c r="W852" s="774"/>
      <c r="X852" s="774"/>
      <c r="Y852" s="774"/>
      <c r="Z852" s="774"/>
      <c r="AA852" s="774" t="str">
        <f>IFERROR(IF(VLOOKUP(C852,[4]List1!$A:$D,4,FALSE)=0,"",VLOOKUP(C852,[4]List1!$A:$D,4,FALSE)),"")</f>
        <v/>
      </c>
      <c r="AB852" s="774"/>
      <c r="AC852" s="775" t="str">
        <f>IFERROR(IF(VLOOKUP(C852,[1]List1!$A:$D,2,FALSE)="VYPRODÁNO",$V$9,IF(VLOOKUP(C852,[1]List1!$A:$D,2,FALSE)="DOCHÁZÍ",$V$3,VLOOKUP(C852,[1]List1!$A:$D,2,FALSE))),"OFFLINE!")</f>
        <v>OFFLINE!</v>
      </c>
      <c r="AD852" s="774"/>
      <c r="AE852" s="774"/>
      <c r="AF852" s="774"/>
      <c r="AG852" s="774"/>
      <c r="AH852" s="774"/>
      <c r="AI852" s="774"/>
      <c r="AJ852" s="774"/>
      <c r="AK852" s="774"/>
      <c r="AL852" s="774"/>
      <c r="AM852" s="774"/>
      <c r="AN852" s="774"/>
      <c r="AO852" s="380"/>
      <c r="AP852" s="322" t="str">
        <f t="shared" ref="AP852:AP913" si="2142">IF($AL$3=1,IF(Y852=AB852,"","NE"),IF(AR852=$V$10,"NE",""))</f>
        <v/>
      </c>
      <c r="AQ852" s="323" t="str">
        <f>IF(AC852=$V$3,IF(VLOOKUP(C852,[1]List1!$A:$E,5,FALSE)=0,1,VLOOKUP(C852,[1]List1!$A:$E,5,FALSE)),"")</f>
        <v/>
      </c>
      <c r="AR852" s="304" t="str">
        <f t="shared" ref="AR852:AR913" si="2143">IF($AL$3=1,"",IF(OR(AB852&lt;&gt;"",AB852&lt;&gt;0),IF(OR(AC852=$V$6,AC852=$V$3,AC852=$V$9),$V$10,""),""))</f>
        <v/>
      </c>
      <c r="AS852" s="423" t="str">
        <f t="shared" ref="AS852:AS913" si="2144">IF(AT852&lt;&gt;"","X","")</f>
        <v/>
      </c>
      <c r="AT852" s="304" t="str">
        <f t="shared" ref="AT852:AT913" si="2145">IF(AND($AL$3=2,AR852="",AB852&lt;&gt;""),AD852,"")</f>
        <v/>
      </c>
      <c r="AU852" s="342" t="e">
        <f t="shared" ref="AU852:AU913" si="2146">IF(AT852=$AS$21,AB852,"")</f>
        <v>#N/A</v>
      </c>
      <c r="AV852" s="304" t="e">
        <f t="shared" ref="AV852:AV913" si="2147">IF(OR(AB852="",AND(AT852&lt;&gt;"",AU852&lt;&gt;"")),"",$V$10)</f>
        <v>#N/A</v>
      </c>
      <c r="AX852" s="304">
        <f>IF(AND('General price list'!$J852="F4",'General price list'!$AB852+0&gt;0),1,0)</f>
        <v>0</v>
      </c>
      <c r="AY852" s="304">
        <f t="shared" ref="AY852:AY913" si="2148">IFERROR(FIND(VLOOKUP($AC$7,$AD$1:$AE$12,2,FALSE),Q852,1),0)</f>
        <v>0</v>
      </c>
      <c r="AZ852" s="304">
        <f t="shared" ref="AZ852:AZ913" si="2149">IFERROR(FIND(VLOOKUP($AC$7,$AD$1:$AE$12,2,FALSE),R852,1),0)</f>
        <v>0</v>
      </c>
    </row>
    <row r="853" spans="1:52" ht="15" customHeight="1">
      <c r="A853" s="712" t="str">
        <f>Kat.!C851</f>
        <v/>
      </c>
      <c r="B853" s="713">
        <f>IF(AND('General price list'!$J853="F4",$AI$1=FALSE),0,IF(AC853="SKLADEM",1,IF(AC853=$V$3,1,0)))</f>
        <v>1</v>
      </c>
      <c r="C853" s="714" t="s">
        <v>5488</v>
      </c>
      <c r="D853" s="715" t="s">
        <v>5489</v>
      </c>
      <c r="E853" s="716" t="s">
        <v>136</v>
      </c>
      <c r="F853" s="712">
        <f>IFERROR(ROUND(IF($AL$3=2,VLOOKUP(C853,[2]List1!$A:$D,2,FALSE)*1.08,VLOOKUP(C853,[2]List1!$A:$D,2,FALSE)),0),"NEUVEDENO!")</f>
        <v>1854</v>
      </c>
      <c r="G853" s="717">
        <f t="shared" ref="G853:G863" si="2150">(F853)*$B$19</f>
        <v>1854</v>
      </c>
      <c r="H853" s="718">
        <f t="shared" ref="H853:H863" si="2151">G853/$F$19</f>
        <v>75.338597011650265</v>
      </c>
      <c r="I853" s="719">
        <v>1</v>
      </c>
      <c r="J853" s="716" t="s">
        <v>46</v>
      </c>
      <c r="K853" s="716"/>
      <c r="L853" s="716" t="s">
        <v>14378</v>
      </c>
      <c r="M853" s="716" t="s">
        <v>25</v>
      </c>
      <c r="N853" s="716">
        <f>IFERROR(VLOOKUP(C853,[3]List1!$A:$D,4,FALSE),"N/A!")</f>
        <v>2.3039999999999998E-2</v>
      </c>
      <c r="O853" s="716">
        <f>IFERROR(VLOOKUP(C853,[3]List1!$A:$D,3,FALSE),"N/A!")</f>
        <v>1000</v>
      </c>
      <c r="P853" s="716">
        <f>IFERROR(VLOOKUP(C853,[3]List1!$A:$D,2,FALSE),"N/A!")</f>
        <v>7700</v>
      </c>
      <c r="Q853" s="716" t="s">
        <v>632</v>
      </c>
      <c r="R853" s="716" t="s">
        <v>24</v>
      </c>
      <c r="S853" s="716" t="str">
        <f>IF($W$17=$AF$1,"červená fólie",IFERROR(VLOOKUP("červená fólie",Jazyky_ceník!$A:$Q,MATCH($W$17,Jazyky_ceník!$A$1:$Q$1,0),FALSE),"!!!"))</f>
        <v>červená fólie</v>
      </c>
      <c r="T853" s="716">
        <v>55</v>
      </c>
      <c r="U853" s="716" t="s">
        <v>13822</v>
      </c>
      <c r="V853" s="716" t="s">
        <v>13824</v>
      </c>
      <c r="W853" s="716" t="str">
        <f>IFERROR(VLOOKUP('General price list'!$C853,Popisy!A:P,MATCH($W$17,Popisy!$A$7:$P$7,0),FALSE),"---------------")</f>
        <v>14 různobarevných efektů</v>
      </c>
      <c r="X853" s="716" t="str">
        <f t="shared" ref="X853:X863" si="2152">IF(AB853&lt;0.0001,"",AB853)</f>
        <v/>
      </c>
      <c r="Y853" s="716" t="str">
        <f t="shared" ref="Y853:Y863" si="2153">IF($AL$3=2,IF(OR(AB853&lt;&gt;"",AB853&lt;&gt;0),AU853,""),IF(C853="","",IF(AB853&lt;0.0001,"",IF(B853=0,"",IF(AQ853&lt;AB853,"",AB853)))))</f>
        <v/>
      </c>
      <c r="Z853" s="716" t="str">
        <f>HYPERLINK("https://www.klasekpyrotechnics.cz/c100mts-c14")</f>
        <v>https://www.klasekpyrotechnics.cz/c100mts-c14</v>
      </c>
      <c r="AA853" s="716">
        <f>IFERROR(IF(VLOOKUP(C853,[4]List1!$A:$D,4,FALSE)=0,"",VLOOKUP(C853,[4]List1!$A:$D,4,FALSE)),"")</f>
        <v>60</v>
      </c>
      <c r="AB853" s="720"/>
      <c r="AC853" s="721" t="str">
        <f>IFERROR(IF(VLOOKUP(C853,[1]List1!$A:$D,2,FALSE)="VYPRODÁNO",$V$9,IF(VLOOKUP(C853,[1]List1!$A:$D,2,FALSE)="DOCHÁZÍ",$V$3,VLOOKUP(C853,[1]List1!$A:$D,2,FALSE))),"OFFLINE!")</f>
        <v>SKLADEM</v>
      </c>
      <c r="AD853" s="722" t="str">
        <f ca="1">IF(AP853="NE",$V$10,IF(AC853=$V$3,IF(AQ853&lt;1,$V$8,$V$2&amp;" "&amp;AQ853&amp;" "&amp;$V$1),IF(AC853="SKLADEM",$V$6,IFERROR(IF(OR(AC853-TODAY()&gt;45,VLOOKUP(C853,[1]List1!$A:$E,4,FALSE)=0),AC853,DAY(AC853)&amp;"."&amp;MONTH(AC853)&amp;"."&amp;YEAR(AC853)&amp;" "&amp;$V$4&amp;VLOOKUP(C853,[1]List1!$A:$E,4,FALSE)&amp;" "&amp;$V$1),AC853))))</f>
        <v>SKLADEM</v>
      </c>
      <c r="AE853" s="716" t="str">
        <f t="shared" ref="AE853:AE863" ca="1" si="2154">IFERROR(IF(AV853&lt;&gt;"",AV853,AD853),AD853)</f>
        <v>SKLADEM</v>
      </c>
      <c r="AF853" s="723">
        <f t="shared" ref="AF853:AF863" si="2155">IFERROR(IF(AB853=Y853,G853*I853*Y853,0),0)</f>
        <v>0</v>
      </c>
      <c r="AG853" s="723">
        <f t="shared" ref="AG853:AG863" si="2156">IF($W$17=$AF$8,AH853*1.23,AF853*1.21)</f>
        <v>0</v>
      </c>
      <c r="AH853" s="724">
        <f t="shared" ref="AH853:AH863" si="2157">IFERROR(IF(Y853=AB853,H853*I853*Y853,0),0)</f>
        <v>0</v>
      </c>
      <c r="AI853" s="716">
        <f t="shared" ref="AI853:AI863" si="2158">IFERROR(IF(Y853=AB853,(P853*Y853)/1000,1),0)</f>
        <v>0</v>
      </c>
      <c r="AJ853" s="716">
        <f t="shared" ref="AJ853:AJ863" si="2159">IFERROR(IF(Y853=AB853,N853*Y853,0.1),0)</f>
        <v>0</v>
      </c>
      <c r="AK853" s="716" t="str">
        <f t="shared" ref="AK853:AK863" si="2160">IFERROR(IF(Y853=AB853,IF(M853="1.1G",(O853/1000)*Y853,""),""),0)</f>
        <v/>
      </c>
      <c r="AL853" s="716" t="str">
        <f t="shared" ref="AL853:AL863" si="2161">IFERROR(IF(Y853=AB853,IF(M853="1.3G",(O853/1000)*AB853,""),""),0)</f>
        <v/>
      </c>
      <c r="AM853" s="716">
        <f t="shared" ref="AM853:AM863" si="2162">IFERROR(IF(Y853=AB853,IF(M853="1.4G",(O853/1000)*AB853,""),""),0)</f>
        <v>0</v>
      </c>
      <c r="AN853" s="716">
        <f t="shared" ref="AN853:AN863" si="2163">SUM(AK853:AM853)</f>
        <v>0</v>
      </c>
      <c r="AO853" s="380"/>
      <c r="AP853" s="322" t="str">
        <f t="shared" si="2142"/>
        <v/>
      </c>
      <c r="AQ853" s="323" t="str">
        <f>IF(AC853=$V$3,IF(VLOOKUP(C853,[1]List1!$A:$E,5,FALSE)=0,1,VLOOKUP(C853,[1]List1!$A:$E,5,FALSE)),"")</f>
        <v/>
      </c>
      <c r="AR853" s="304" t="str">
        <f t="shared" si="2143"/>
        <v/>
      </c>
      <c r="AS853" s="423" t="str">
        <f t="shared" si="2144"/>
        <v/>
      </c>
      <c r="AT853" s="304" t="str">
        <f t="shared" si="2145"/>
        <v/>
      </c>
      <c r="AU853" s="342" t="e">
        <f t="shared" si="2146"/>
        <v>#N/A</v>
      </c>
      <c r="AV853" s="304" t="e">
        <f t="shared" si="2147"/>
        <v>#N/A</v>
      </c>
      <c r="AX853" s="304">
        <f>IF(AND('General price list'!$J853="F4",'General price list'!$AB853+0&gt;0),1,0)</f>
        <v>0</v>
      </c>
      <c r="AY853" s="304">
        <f t="shared" si="2148"/>
        <v>1</v>
      </c>
      <c r="AZ853" s="304">
        <f t="shared" si="2149"/>
        <v>0</v>
      </c>
    </row>
    <row r="854" spans="1:52" ht="15" customHeight="1">
      <c r="A854" s="725" t="str">
        <f>Kat.!C852</f>
        <v/>
      </c>
      <c r="B854" s="726">
        <f>IF(AND('General price list'!$J854="F4",$AI$1=FALSE),0,IF(AC854="SKLADEM",1,IF(AC854=$V$3,1,0)))</f>
        <v>1</v>
      </c>
      <c r="C854" s="727" t="s">
        <v>5490</v>
      </c>
      <c r="D854" s="728" t="s">
        <v>12857</v>
      </c>
      <c r="E854" s="729" t="s">
        <v>136</v>
      </c>
      <c r="F854" s="725">
        <f>IFERROR(ROUND(IF($AL$3=2,VLOOKUP(C854,[2]List1!$A:$D,2,FALSE)*1.08,VLOOKUP(C854,[2]List1!$A:$D,2,FALSE)),0),"NEUVEDENO!")</f>
        <v>1854</v>
      </c>
      <c r="G854" s="730">
        <f t="shared" si="2150"/>
        <v>1854</v>
      </c>
      <c r="H854" s="731">
        <f t="shared" si="2151"/>
        <v>75.338597011650265</v>
      </c>
      <c r="I854" s="732">
        <v>1</v>
      </c>
      <c r="J854" s="729" t="s">
        <v>46</v>
      </c>
      <c r="K854" s="729"/>
      <c r="L854" s="729" t="s">
        <v>14378</v>
      </c>
      <c r="M854" s="729" t="s">
        <v>25</v>
      </c>
      <c r="N854" s="729">
        <f>IFERROR(VLOOKUP(C854,[3]List1!$A:$D,4,FALSE),"N/A!")</f>
        <v>2.3039999999999998E-2</v>
      </c>
      <c r="O854" s="729">
        <f>IFERROR(VLOOKUP(C854,[3]List1!$A:$D,3,FALSE),"N/A!")</f>
        <v>1000</v>
      </c>
      <c r="P854" s="729">
        <f>IFERROR(VLOOKUP(C854,[3]List1!$A:$D,2,FALSE),"N/A!")</f>
        <v>7700</v>
      </c>
      <c r="Q854" s="729" t="s">
        <v>632</v>
      </c>
      <c r="R854" s="729" t="s">
        <v>24</v>
      </c>
      <c r="S854" s="729" t="str">
        <f>IF($W$17=$AF$1,"červená fólie",IFERROR(VLOOKUP("červená fólie",Jazyky_ceník!$A:$Q,MATCH($W$17,Jazyky_ceník!$A$1:$Q$1,0),FALSE),"!!!"))</f>
        <v>červená fólie</v>
      </c>
      <c r="T854" s="729">
        <v>65</v>
      </c>
      <c r="U854" s="729" t="s">
        <v>13822</v>
      </c>
      <c r="V854" s="729" t="s">
        <v>13824</v>
      </c>
      <c r="W854" s="729" t="str">
        <f>IFERROR(VLOOKUP('General price list'!$C854,Popisy!A:P,MATCH($W$17,Popisy!$A$7:$P$7,0),FALSE),"---------------")</f>
        <v>14 různobarevných efektů</v>
      </c>
      <c r="X854" s="729" t="str">
        <f t="shared" si="2152"/>
        <v/>
      </c>
      <c r="Y854" s="729" t="str">
        <f t="shared" si="2153"/>
        <v/>
      </c>
      <c r="Z854" s="729" t="str">
        <f>HYPERLINK("https://www.klasekpyrotechnics.cz/c100mpt-c14")</f>
        <v>https://www.klasekpyrotechnics.cz/c100mpt-c14</v>
      </c>
      <c r="AA854" s="729">
        <f>IFERROR(IF(VLOOKUP(C854,[4]List1!$A:$D,4,FALSE)=0,"",VLOOKUP(C854,[4]List1!$A:$D,4,FALSE)),"")</f>
        <v>60</v>
      </c>
      <c r="AB854" s="720"/>
      <c r="AC854" s="733" t="str">
        <f>IFERROR(IF(VLOOKUP(C854,[1]List1!$A:$D,2,FALSE)="VYPRODÁNO",$V$9,IF(VLOOKUP(C854,[1]List1!$A:$D,2,FALSE)="DOCHÁZÍ",$V$3,VLOOKUP(C854,[1]List1!$A:$D,2,FALSE))),"OFFLINE!")</f>
        <v>SKLADEM</v>
      </c>
      <c r="AD854" s="734" t="str">
        <f ca="1">IF(AP854="NE",$V$10,IF(AC854=$V$3,IF(AQ854&lt;1,$V$8,$V$2&amp;" "&amp;AQ854&amp;" "&amp;$V$1),IF(AC854="SKLADEM",$V$6,IFERROR(IF(OR(AC854-TODAY()&gt;45,VLOOKUP(C854,[1]List1!$A:$E,4,FALSE)=0),AC854,DAY(AC854)&amp;"."&amp;MONTH(AC854)&amp;"."&amp;YEAR(AC854)&amp;" "&amp;$V$4&amp;VLOOKUP(C854,[1]List1!$A:$E,4,FALSE)&amp;" "&amp;$V$1),AC854))))</f>
        <v>SKLADEM</v>
      </c>
      <c r="AE854" s="729" t="str">
        <f t="shared" ca="1" si="2154"/>
        <v>SKLADEM</v>
      </c>
      <c r="AF854" s="735">
        <f t="shared" si="2155"/>
        <v>0</v>
      </c>
      <c r="AG854" s="735">
        <f t="shared" si="2156"/>
        <v>0</v>
      </c>
      <c r="AH854" s="736">
        <f t="shared" si="2157"/>
        <v>0</v>
      </c>
      <c r="AI854" s="729">
        <f t="shared" si="2158"/>
        <v>0</v>
      </c>
      <c r="AJ854" s="729">
        <f t="shared" si="2159"/>
        <v>0</v>
      </c>
      <c r="AK854" s="729" t="str">
        <f t="shared" si="2160"/>
        <v/>
      </c>
      <c r="AL854" s="729" t="str">
        <f t="shared" si="2161"/>
        <v/>
      </c>
      <c r="AM854" s="729">
        <f t="shared" si="2162"/>
        <v>0</v>
      </c>
      <c r="AN854" s="729">
        <f t="shared" si="2163"/>
        <v>0</v>
      </c>
      <c r="AO854" s="380"/>
      <c r="AP854" s="322" t="str">
        <f t="shared" si="2142"/>
        <v/>
      </c>
      <c r="AQ854" s="323" t="str">
        <f>IF(AC854=$V$3,IF(VLOOKUP(C854,[1]List1!$A:$E,5,FALSE)=0,1,VLOOKUP(C854,[1]List1!$A:$E,5,FALSE)),"")</f>
        <v/>
      </c>
      <c r="AR854" s="304" t="str">
        <f t="shared" si="2143"/>
        <v/>
      </c>
      <c r="AS854" s="423" t="str">
        <f t="shared" si="2144"/>
        <v/>
      </c>
      <c r="AT854" s="304" t="str">
        <f t="shared" si="2145"/>
        <v/>
      </c>
      <c r="AU854" s="342" t="e">
        <f t="shared" si="2146"/>
        <v>#N/A</v>
      </c>
      <c r="AV854" s="304" t="e">
        <f t="shared" si="2147"/>
        <v>#N/A</v>
      </c>
      <c r="AX854" s="304">
        <f>IF(AND('General price list'!$J854="F4",'General price list'!$AB854+0&gt;0),1,0)</f>
        <v>0</v>
      </c>
      <c r="AY854" s="304">
        <f t="shared" si="2148"/>
        <v>1</v>
      </c>
      <c r="AZ854" s="304">
        <f t="shared" si="2149"/>
        <v>0</v>
      </c>
    </row>
    <row r="855" spans="1:52" ht="15" customHeight="1">
      <c r="A855" s="712" t="str">
        <f>Kat.!C853</f>
        <v/>
      </c>
      <c r="B855" s="737">
        <f>IF(AND('General price list'!$J855="F4",$AI$1=FALSE),0,IF(AC855="SKLADEM",1,IF(AC855=$V$3,1,0)))</f>
        <v>1</v>
      </c>
      <c r="C855" s="714" t="s">
        <v>1698</v>
      </c>
      <c r="D855" s="715" t="s">
        <v>1699</v>
      </c>
      <c r="E855" s="716" t="s">
        <v>136</v>
      </c>
      <c r="F855" s="712">
        <f>IFERROR(ROUND(IF($AL$3=2,VLOOKUP(C855,[2]List1!$A:$D,2,FALSE)*1.08,VLOOKUP(C855,[2]List1!$A:$D,2,FALSE)),0),"NEUVEDENO!")</f>
        <v>1912</v>
      </c>
      <c r="G855" s="717">
        <f t="shared" si="2150"/>
        <v>1912</v>
      </c>
      <c r="H855" s="718">
        <f t="shared" si="2151"/>
        <v>77.695467899824862</v>
      </c>
      <c r="I855" s="738">
        <v>1</v>
      </c>
      <c r="J855" s="716" t="s">
        <v>46</v>
      </c>
      <c r="K855" s="716"/>
      <c r="L855" s="716" t="s">
        <v>14378</v>
      </c>
      <c r="M855" s="716" t="s">
        <v>25</v>
      </c>
      <c r="N855" s="716">
        <f>IFERROR(VLOOKUP(C855,[3]List1!$A:$D,4,FALSE),"N/A!")</f>
        <v>1.8926249999999999E-2</v>
      </c>
      <c r="O855" s="716">
        <f>IFERROR(VLOOKUP(C855,[3]List1!$A:$D,3,FALSE),"N/A!")</f>
        <v>990</v>
      </c>
      <c r="P855" s="716">
        <f>IFERROR(VLOOKUP(C855,[3]List1!$A:$D,2,FALSE),"N/A!")</f>
        <v>8000</v>
      </c>
      <c r="Q855" s="716" t="s">
        <v>14269</v>
      </c>
      <c r="R855" s="716" t="s">
        <v>24</v>
      </c>
      <c r="S855" s="716" t="str">
        <f>IF($W$17=$AF$1,"červená fólie",IFERROR(VLOOKUP("červená fólie",Jazyky_ceník!$A:$Q,MATCH($W$17,Jazyky_ceník!$A$1:$Q$1,0),FALSE),"!!!"))</f>
        <v>červená fólie</v>
      </c>
      <c r="T855" s="716">
        <v>100</v>
      </c>
      <c r="U855" s="716" t="s">
        <v>13829</v>
      </c>
      <c r="V855" s="716" t="s">
        <v>13831</v>
      </c>
      <c r="W855" s="716" t="str">
        <f>IFERROR(VLOOKUP('General price list'!$C855,Popisy!A:P,MATCH($W$17,Popisy!$A$7:$P$7,0),FALSE),"---------------")</f>
        <v>18 různobarevných efektů</v>
      </c>
      <c r="X855" s="716" t="str">
        <f t="shared" si="2152"/>
        <v/>
      </c>
      <c r="Y855" s="716" t="str">
        <f t="shared" si="2153"/>
        <v/>
      </c>
      <c r="Z855" s="716" t="str">
        <f>HYPERLINK("https://www.klasekpyrotechnics.cz/c128ms-c14")</f>
        <v>https://www.klasekpyrotechnics.cz/c128ms-c14</v>
      </c>
      <c r="AA855" s="716">
        <f>IFERROR(IF(VLOOKUP(C855,[4]List1!$A:$D,4,FALSE)=0,"",VLOOKUP(C855,[4]List1!$A:$D,4,FALSE)),"")</f>
        <v>63</v>
      </c>
      <c r="AB855" s="720"/>
      <c r="AC855" s="739" t="str">
        <f>IFERROR(IF(VLOOKUP(C855,[1]List1!$A:$D,2,FALSE)="VYPRODÁNO",$V$9,IF(VLOOKUP(C855,[1]List1!$A:$D,2,FALSE)="DOCHÁZÍ",$V$3,VLOOKUP(C855,[1]List1!$A:$D,2,FALSE))),"OFFLINE!")</f>
        <v>SKLADEM</v>
      </c>
      <c r="AD855" s="740" t="str">
        <f ca="1">IF(AP855="NE",$V$10,IF(AC855=$V$3,IF(AQ855&lt;1,$V$8,$V$2&amp;" "&amp;AQ855&amp;" "&amp;$V$1),IF(AC855="SKLADEM",$V$6,IFERROR(IF(OR(AC855-TODAY()&gt;45,VLOOKUP(C855,[1]List1!$A:$E,4,FALSE)=0),AC855,DAY(AC855)&amp;"."&amp;MONTH(AC855)&amp;"."&amp;YEAR(AC855)&amp;" "&amp;$V$4&amp;VLOOKUP(C855,[1]List1!$A:$E,4,FALSE)&amp;" "&amp;$V$1),AC855))))</f>
        <v>SKLADEM</v>
      </c>
      <c r="AE855" s="716" t="str">
        <f t="shared" ca="1" si="2154"/>
        <v>SKLADEM</v>
      </c>
      <c r="AF855" s="723">
        <f t="shared" si="2155"/>
        <v>0</v>
      </c>
      <c r="AG855" s="723">
        <f t="shared" si="2156"/>
        <v>0</v>
      </c>
      <c r="AH855" s="724">
        <f t="shared" si="2157"/>
        <v>0</v>
      </c>
      <c r="AI855" s="716">
        <f t="shared" si="2158"/>
        <v>0</v>
      </c>
      <c r="AJ855" s="716">
        <f t="shared" si="2159"/>
        <v>0</v>
      </c>
      <c r="AK855" s="716" t="str">
        <f t="shared" si="2160"/>
        <v/>
      </c>
      <c r="AL855" s="716" t="str">
        <f t="shared" si="2161"/>
        <v/>
      </c>
      <c r="AM855" s="716">
        <f t="shared" si="2162"/>
        <v>0</v>
      </c>
      <c r="AN855" s="716">
        <f t="shared" si="2163"/>
        <v>0</v>
      </c>
      <c r="AO855" s="380"/>
      <c r="AP855" s="322" t="str">
        <f t="shared" si="2142"/>
        <v/>
      </c>
      <c r="AQ855" s="323" t="str">
        <f>IF(AC855=$V$3,IF(VLOOKUP(C855,[1]List1!$A:$E,5,FALSE)=0,1,VLOOKUP(C855,[1]List1!$A:$E,5,FALSE)),"")</f>
        <v/>
      </c>
      <c r="AR855" s="304" t="str">
        <f t="shared" si="2143"/>
        <v/>
      </c>
      <c r="AS855" s="423" t="str">
        <f t="shared" si="2144"/>
        <v/>
      </c>
      <c r="AT855" s="304" t="str">
        <f t="shared" si="2145"/>
        <v/>
      </c>
      <c r="AU855" s="342" t="e">
        <f t="shared" si="2146"/>
        <v>#N/A</v>
      </c>
      <c r="AV855" s="304" t="e">
        <f t="shared" si="2147"/>
        <v>#N/A</v>
      </c>
      <c r="AX855" s="304">
        <f>IF(AND('General price list'!$J855="F4",'General price list'!$AB855+0&gt;0),1,0)</f>
        <v>0</v>
      </c>
      <c r="AY855" s="304">
        <f t="shared" si="2148"/>
        <v>1</v>
      </c>
      <c r="AZ855" s="304">
        <f t="shared" si="2149"/>
        <v>0</v>
      </c>
    </row>
    <row r="856" spans="1:52" ht="15" customHeight="1">
      <c r="A856" s="725" t="str">
        <f>Kat.!C854</f>
        <v/>
      </c>
      <c r="B856" s="726">
        <f>IF(AND('General price list'!$J856="F4",$AI$1=FALSE),0,IF(AC856="SKLADEM",1,IF(AC856=$V$3,1,0)))</f>
        <v>1</v>
      </c>
      <c r="C856" s="727" t="s">
        <v>2594</v>
      </c>
      <c r="D856" s="728" t="s">
        <v>2595</v>
      </c>
      <c r="E856" s="729" t="s">
        <v>136</v>
      </c>
      <c r="F856" s="725">
        <f>IFERROR(ROUND(IF($AL$3=2,VLOOKUP(C856,[2]List1!$A:$D,2,FALSE)*1.08,VLOOKUP(C856,[2]List1!$A:$D,2,FALSE)),0),"NEUVEDENO!")</f>
        <v>2830</v>
      </c>
      <c r="G856" s="730">
        <f t="shared" si="2150"/>
        <v>2830</v>
      </c>
      <c r="H856" s="731">
        <f t="shared" si="2151"/>
        <v>114.99904506093324</v>
      </c>
      <c r="I856" s="732">
        <v>1</v>
      </c>
      <c r="J856" s="729" t="s">
        <v>46</v>
      </c>
      <c r="K856" s="729"/>
      <c r="L856" s="729" t="s">
        <v>14378</v>
      </c>
      <c r="M856" s="729" t="s">
        <v>25</v>
      </c>
      <c r="N856" s="729">
        <f>IFERROR(VLOOKUP(C856,[3]List1!$A:$D,4,FALSE),"N/A!")</f>
        <v>3.9199999999999999E-2</v>
      </c>
      <c r="O856" s="729">
        <f>IFERROR(VLOOKUP(C856,[3]List1!$A:$D,3,FALSE),"N/A!")</f>
        <v>2000</v>
      </c>
      <c r="P856" s="729">
        <f>IFERROR(VLOOKUP(C856,[3]List1!$A:$D,2,FALSE),"N/A!")</f>
        <v>13500</v>
      </c>
      <c r="Q856" s="729" t="s">
        <v>14270</v>
      </c>
      <c r="R856" s="729" t="s">
        <v>24</v>
      </c>
      <c r="S856" s="729" t="str">
        <f>IF($W$17=$AF$1,"červená fólie",IFERROR(VLOOKUP("červená fólie",Jazyky_ceník!$A:$Q,MATCH($W$17,Jazyky_ceník!$A$1:$Q$1,0),FALSE),"!!!"))</f>
        <v>červená fólie</v>
      </c>
      <c r="T856" s="729">
        <v>105</v>
      </c>
      <c r="U856" s="729" t="s">
        <v>13822</v>
      </c>
      <c r="V856" s="729" t="s">
        <v>13833</v>
      </c>
      <c r="W856" s="729" t="str">
        <f>IFERROR(VLOOKUP('General price list'!$C856,Popisy!A:P,MATCH($W$17,Popisy!$A$7:$P$7,0),FALSE),"---------------")</f>
        <v>24 různobarevných efektů</v>
      </c>
      <c r="X856" s="729" t="str">
        <f t="shared" si="2152"/>
        <v/>
      </c>
      <c r="Y856" s="729" t="str">
        <f t="shared" si="2153"/>
        <v/>
      </c>
      <c r="Z856" s="729" t="str">
        <f>HYPERLINK("https://www.klasekpyrotechnics.cz/c132xmpt-c14")</f>
        <v>https://www.klasekpyrotechnics.cz/c132xmpt-c14</v>
      </c>
      <c r="AA856" s="729">
        <f>IFERROR(IF(VLOOKUP(C856,[4]List1!$A:$D,4,FALSE)=0,"",VLOOKUP(C856,[4]List1!$A:$D,4,FALSE)),"")</f>
        <v>32</v>
      </c>
      <c r="AB856" s="720"/>
      <c r="AC856" s="733" t="str">
        <f>IFERROR(IF(VLOOKUP(C856,[1]List1!$A:$D,2,FALSE)="VYPRODÁNO",$V$9,IF(VLOOKUP(C856,[1]List1!$A:$D,2,FALSE)="DOCHÁZÍ",$V$3,VLOOKUP(C856,[1]List1!$A:$D,2,FALSE))),"OFFLINE!")</f>
        <v>SKLADEM</v>
      </c>
      <c r="AD856" s="734" t="str">
        <f ca="1">IF(AP856="NE",$V$10,IF(AC856=$V$3,IF(AQ856&lt;1,$V$8,$V$2&amp;" "&amp;AQ856&amp;" "&amp;$V$1),IF(AC856="SKLADEM",$V$6,IFERROR(IF(OR(AC856-TODAY()&gt;45,VLOOKUP(C856,[1]List1!$A:$E,4,FALSE)=0),AC856,DAY(AC856)&amp;"."&amp;MONTH(AC856)&amp;"."&amp;YEAR(AC856)&amp;" "&amp;$V$4&amp;VLOOKUP(C856,[1]List1!$A:$E,4,FALSE)&amp;" "&amp;$V$1),AC856))))</f>
        <v>SKLADEM</v>
      </c>
      <c r="AE856" s="729" t="str">
        <f t="shared" ca="1" si="2154"/>
        <v>SKLADEM</v>
      </c>
      <c r="AF856" s="735">
        <f t="shared" si="2155"/>
        <v>0</v>
      </c>
      <c r="AG856" s="735">
        <f t="shared" si="2156"/>
        <v>0</v>
      </c>
      <c r="AH856" s="736">
        <f t="shared" si="2157"/>
        <v>0</v>
      </c>
      <c r="AI856" s="729">
        <f t="shared" si="2158"/>
        <v>0</v>
      </c>
      <c r="AJ856" s="729">
        <f t="shared" si="2159"/>
        <v>0</v>
      </c>
      <c r="AK856" s="729" t="str">
        <f t="shared" si="2160"/>
        <v/>
      </c>
      <c r="AL856" s="729" t="str">
        <f t="shared" si="2161"/>
        <v/>
      </c>
      <c r="AM856" s="729">
        <f t="shared" si="2162"/>
        <v>0</v>
      </c>
      <c r="AN856" s="729">
        <f t="shared" si="2163"/>
        <v>0</v>
      </c>
      <c r="AO856" s="380"/>
      <c r="AP856" s="322" t="str">
        <f t="shared" si="2142"/>
        <v/>
      </c>
      <c r="AQ856" s="323" t="str">
        <f>IF(AC856=$V$3,IF(VLOOKUP(C856,[1]List1!$A:$E,5,FALSE)=0,1,VLOOKUP(C856,[1]List1!$A:$E,5,FALSE)),"")</f>
        <v/>
      </c>
      <c r="AR856" s="304" t="str">
        <f t="shared" si="2143"/>
        <v/>
      </c>
      <c r="AS856" s="423" t="str">
        <f t="shared" si="2144"/>
        <v/>
      </c>
      <c r="AT856" s="304" t="str">
        <f t="shared" si="2145"/>
        <v/>
      </c>
      <c r="AU856" s="342" t="e">
        <f t="shared" si="2146"/>
        <v>#N/A</v>
      </c>
      <c r="AV856" s="304" t="e">
        <f t="shared" si="2147"/>
        <v>#N/A</v>
      </c>
      <c r="AX856" s="304">
        <f>IF(AND('General price list'!$J856="F4",'General price list'!$AB856+0&gt;0),1,0)</f>
        <v>0</v>
      </c>
      <c r="AY856" s="304">
        <f t="shared" si="2148"/>
        <v>1</v>
      </c>
      <c r="AZ856" s="304">
        <f t="shared" si="2149"/>
        <v>0</v>
      </c>
    </row>
    <row r="857" spans="1:52" ht="15" customHeight="1">
      <c r="A857" s="712" t="str">
        <f>Kat.!C855</f>
        <v/>
      </c>
      <c r="B857" s="737">
        <f>IF(AND('General price list'!$J857="F4",$AI$1=FALSE),0,IF(AC857="SKLADEM",1,IF(AC857=$V$3,1,0)))</f>
        <v>1</v>
      </c>
      <c r="C857" s="714" t="s">
        <v>5491</v>
      </c>
      <c r="D857" s="715" t="s">
        <v>5492</v>
      </c>
      <c r="E857" s="716" t="s">
        <v>136</v>
      </c>
      <c r="F857" s="712">
        <f>IFERROR(ROUND(IF($AL$3=2,VLOOKUP(C857,[2]List1!$A:$D,2,FALSE)*1.08,VLOOKUP(C857,[2]List1!$A:$D,2,FALSE)),0),"NEUVEDENO!")</f>
        <v>2255</v>
      </c>
      <c r="G857" s="717">
        <f t="shared" si="2150"/>
        <v>2255</v>
      </c>
      <c r="H857" s="718">
        <f t="shared" si="2151"/>
        <v>91.633514704029849</v>
      </c>
      <c r="I857" s="738">
        <v>1</v>
      </c>
      <c r="J857" s="716" t="s">
        <v>46</v>
      </c>
      <c r="K857" s="716" t="s">
        <v>12734</v>
      </c>
      <c r="L857" s="716" t="s">
        <v>14378</v>
      </c>
      <c r="M857" s="716" t="s">
        <v>25</v>
      </c>
      <c r="N857" s="716">
        <f>IFERROR(VLOOKUP(C857,[3]List1!$A:$D,4,FALSE),"N/A!")</f>
        <v>3.2543999999999997E-2</v>
      </c>
      <c r="O857" s="716">
        <f>IFERROR(VLOOKUP(C857,[3]List1!$A:$D,3,FALSE),"N/A!")</f>
        <v>1000</v>
      </c>
      <c r="P857" s="716">
        <f>IFERROR(VLOOKUP(C857,[3]List1!$A:$D,2,FALSE),"N/A!")</f>
        <v>9500</v>
      </c>
      <c r="Q857" s="716" t="s">
        <v>14101</v>
      </c>
      <c r="R857" s="716" t="s">
        <v>24</v>
      </c>
      <c r="S857" s="716" t="str">
        <f>IF($W$17=$AF$1,"červená fólie",IFERROR(VLOOKUP("červená fólie",Jazyky_ceník!$A:$Q,MATCH($W$17,Jazyky_ceník!$A$1:$Q$1,0),FALSE),"!!!"))</f>
        <v>červená fólie</v>
      </c>
      <c r="T857" s="716">
        <v>70</v>
      </c>
      <c r="U857" s="716" t="s">
        <v>13822</v>
      </c>
      <c r="V857" s="716" t="s">
        <v>13833</v>
      </c>
      <c r="W857" s="716" t="str">
        <f>IFERROR(VLOOKUP('General price list'!$C857,Popisy!A:P,MATCH($W$17,Popisy!$A$7:$P$7,0),FALSE),"---------------")</f>
        <v>28 různobarevných efektů</v>
      </c>
      <c r="X857" s="716" t="str">
        <f t="shared" si="2152"/>
        <v/>
      </c>
      <c r="Y857" s="716" t="str">
        <f t="shared" si="2153"/>
        <v/>
      </c>
      <c r="Z857" s="716" t="str">
        <f>HYPERLINK("https://www.klasekpyrotechnics.cz/c136xmts-c14")</f>
        <v>https://www.klasekpyrotechnics.cz/c136xmts-c14</v>
      </c>
      <c r="AA857" s="716">
        <f>IFERROR(IF(VLOOKUP(C857,[4]List1!$A:$D,4,FALSE)=0,"",VLOOKUP(C857,[4]List1!$A:$D,4,FALSE)),"")</f>
        <v>32</v>
      </c>
      <c r="AB857" s="720"/>
      <c r="AC857" s="739" t="str">
        <f>IFERROR(IF(VLOOKUP(C857,[1]List1!$A:$D,2,FALSE)="VYPRODÁNO",$V$9,IF(VLOOKUP(C857,[1]List1!$A:$D,2,FALSE)="DOCHÁZÍ",$V$3,VLOOKUP(C857,[1]List1!$A:$D,2,FALSE))),"OFFLINE!")</f>
        <v>SKLADEM</v>
      </c>
      <c r="AD857" s="740" t="str">
        <f ca="1">IF(AP857="NE",$V$10,IF(AC857=$V$3,IF(AQ857&lt;1,$V$8,$V$2&amp;" "&amp;AQ857&amp;" "&amp;$V$1),IF(AC857="SKLADEM",$V$6,IFERROR(IF(OR(AC857-TODAY()&gt;45,VLOOKUP(C857,[1]List1!$A:$E,4,FALSE)=0),AC857,DAY(AC857)&amp;"."&amp;MONTH(AC857)&amp;"."&amp;YEAR(AC857)&amp;" "&amp;$V$4&amp;VLOOKUP(C857,[1]List1!$A:$E,4,FALSE)&amp;" "&amp;$V$1),AC857))))</f>
        <v>SKLADEM</v>
      </c>
      <c r="AE857" s="716" t="str">
        <f t="shared" ca="1" si="2154"/>
        <v>SKLADEM</v>
      </c>
      <c r="AF857" s="723">
        <f t="shared" si="2155"/>
        <v>0</v>
      </c>
      <c r="AG857" s="723">
        <f t="shared" si="2156"/>
        <v>0</v>
      </c>
      <c r="AH857" s="724">
        <f t="shared" si="2157"/>
        <v>0</v>
      </c>
      <c r="AI857" s="716">
        <f t="shared" si="2158"/>
        <v>0</v>
      </c>
      <c r="AJ857" s="716">
        <f t="shared" si="2159"/>
        <v>0</v>
      </c>
      <c r="AK857" s="716" t="str">
        <f t="shared" si="2160"/>
        <v/>
      </c>
      <c r="AL857" s="716" t="str">
        <f t="shared" si="2161"/>
        <v/>
      </c>
      <c r="AM857" s="716">
        <f t="shared" si="2162"/>
        <v>0</v>
      </c>
      <c r="AN857" s="716">
        <f t="shared" si="2163"/>
        <v>0</v>
      </c>
      <c r="AO857" s="380"/>
      <c r="AP857" s="322" t="str">
        <f t="shared" si="2142"/>
        <v/>
      </c>
      <c r="AQ857" s="323" t="str">
        <f>IF(AC857=$V$3,IF(VLOOKUP(C857,[1]List1!$A:$E,5,FALSE)=0,1,VLOOKUP(C857,[1]List1!$A:$E,5,FALSE)),"")</f>
        <v/>
      </c>
      <c r="AR857" s="304" t="str">
        <f t="shared" si="2143"/>
        <v/>
      </c>
      <c r="AS857" s="423" t="str">
        <f t="shared" si="2144"/>
        <v/>
      </c>
      <c r="AT857" s="304" t="str">
        <f t="shared" si="2145"/>
        <v/>
      </c>
      <c r="AU857" s="342" t="e">
        <f t="shared" si="2146"/>
        <v>#N/A</v>
      </c>
      <c r="AV857" s="304" t="e">
        <f t="shared" si="2147"/>
        <v>#N/A</v>
      </c>
      <c r="AX857" s="304">
        <f>IF(AND('General price list'!$J857="F4",'General price list'!$AB857+0&gt;0),1,0)</f>
        <v>0</v>
      </c>
      <c r="AY857" s="304">
        <f t="shared" si="2148"/>
        <v>1</v>
      </c>
      <c r="AZ857" s="304">
        <f t="shared" si="2149"/>
        <v>0</v>
      </c>
    </row>
    <row r="858" spans="1:52" ht="15" customHeight="1">
      <c r="A858" s="725" t="str">
        <f>Kat.!C856</f>
        <v/>
      </c>
      <c r="B858" s="726">
        <f>IF(AND('General price list'!$J858="F4",$AI$1=FALSE),0,IF(AC858="SKLADEM",1,IF(AC858=$V$3,1,0)))</f>
        <v>1</v>
      </c>
      <c r="C858" s="727" t="s">
        <v>5493</v>
      </c>
      <c r="D858" s="728" t="s">
        <v>5494</v>
      </c>
      <c r="E858" s="729" t="s">
        <v>136</v>
      </c>
      <c r="F858" s="725">
        <f>IFERROR(ROUND(IF($AL$3=2,VLOOKUP(C858,[2]List1!$A:$D,2,FALSE)*1.08,VLOOKUP(C858,[2]List1!$A:$D,2,FALSE)),0),"NEUVEDENO!")</f>
        <v>2255</v>
      </c>
      <c r="G858" s="730">
        <f t="shared" si="2150"/>
        <v>2255</v>
      </c>
      <c r="H858" s="731">
        <f t="shared" si="2151"/>
        <v>91.633514704029849</v>
      </c>
      <c r="I858" s="732">
        <v>1</v>
      </c>
      <c r="J858" s="729" t="s">
        <v>46</v>
      </c>
      <c r="K858" s="729" t="s">
        <v>12734</v>
      </c>
      <c r="L858" s="729" t="s">
        <v>14378</v>
      </c>
      <c r="M858" s="729" t="s">
        <v>25</v>
      </c>
      <c r="N858" s="729">
        <f>IFERROR(VLOOKUP(C858,[3]List1!$A:$D,4,FALSE),"N/A!")</f>
        <v>3.2543999999999997E-2</v>
      </c>
      <c r="O858" s="729">
        <f>IFERROR(VLOOKUP(C858,[3]List1!$A:$D,3,FALSE),"N/A!")</f>
        <v>1000</v>
      </c>
      <c r="P858" s="729">
        <f>IFERROR(VLOOKUP(C858,[3]List1!$A:$D,2,FALSE),"N/A!")</f>
        <v>9500</v>
      </c>
      <c r="Q858" s="729" t="s">
        <v>14190</v>
      </c>
      <c r="R858" s="729" t="s">
        <v>24</v>
      </c>
      <c r="S858" s="729" t="str">
        <f>IF($W$17=$AF$1,"červená fólie",IFERROR(VLOOKUP("červená fólie",Jazyky_ceník!$A:$Q,MATCH($W$17,Jazyky_ceník!$A$1:$Q$1,0),FALSE),"!!!"))</f>
        <v>červená fólie</v>
      </c>
      <c r="T858" s="729">
        <v>90</v>
      </c>
      <c r="U858" s="729" t="s">
        <v>13822</v>
      </c>
      <c r="V858" s="729" t="s">
        <v>13833</v>
      </c>
      <c r="W858" s="729" t="str">
        <f>IFERROR(VLOOKUP('General price list'!$C858,Popisy!A:P,MATCH($W$17,Popisy!$A$7:$P$7,0),FALSE),"---------------")</f>
        <v>28 různobarevných efektů</v>
      </c>
      <c r="X858" s="729" t="str">
        <f t="shared" si="2152"/>
        <v/>
      </c>
      <c r="Y858" s="729" t="str">
        <f t="shared" si="2153"/>
        <v/>
      </c>
      <c r="Z858" s="729" t="str">
        <f>HYPERLINK("https://www.klasekpyrotechnics.cz/c136xmk-c14")</f>
        <v>https://www.klasekpyrotechnics.cz/c136xmk-c14</v>
      </c>
      <c r="AA858" s="729">
        <f>IFERROR(IF(VLOOKUP(C858,[4]List1!$A:$D,4,FALSE)=0,"",VLOOKUP(C858,[4]List1!$A:$D,4,FALSE)),"")</f>
        <v>32</v>
      </c>
      <c r="AB858" s="720"/>
      <c r="AC858" s="733" t="str">
        <f>IFERROR(IF(VLOOKUP(C858,[1]List1!$A:$D,2,FALSE)="VYPRODÁNO",$V$9,IF(VLOOKUP(C858,[1]List1!$A:$D,2,FALSE)="DOCHÁZÍ",$V$3,VLOOKUP(C858,[1]List1!$A:$D,2,FALSE))),"OFFLINE!")</f>
        <v>SKLADEM</v>
      </c>
      <c r="AD858" s="734" t="str">
        <f ca="1">IF(AP858="NE",$V$10,IF(AC858=$V$3,IF(AQ858&lt;1,$V$8,$V$2&amp;" "&amp;AQ858&amp;" "&amp;$V$1),IF(AC858="SKLADEM",$V$6,IFERROR(IF(OR(AC858-TODAY()&gt;45,VLOOKUP(C858,[1]List1!$A:$E,4,FALSE)=0),AC858,DAY(AC858)&amp;"."&amp;MONTH(AC858)&amp;"."&amp;YEAR(AC858)&amp;" "&amp;$V$4&amp;VLOOKUP(C858,[1]List1!$A:$E,4,FALSE)&amp;" "&amp;$V$1),AC858))))</f>
        <v>SKLADEM</v>
      </c>
      <c r="AE858" s="729" t="str">
        <f t="shared" ca="1" si="2154"/>
        <v>SKLADEM</v>
      </c>
      <c r="AF858" s="735">
        <f t="shared" si="2155"/>
        <v>0</v>
      </c>
      <c r="AG858" s="735">
        <f t="shared" si="2156"/>
        <v>0</v>
      </c>
      <c r="AH858" s="736">
        <f t="shared" si="2157"/>
        <v>0</v>
      </c>
      <c r="AI858" s="729">
        <f t="shared" si="2158"/>
        <v>0</v>
      </c>
      <c r="AJ858" s="729">
        <f t="shared" si="2159"/>
        <v>0</v>
      </c>
      <c r="AK858" s="729" t="str">
        <f t="shared" si="2160"/>
        <v/>
      </c>
      <c r="AL858" s="729" t="str">
        <f t="shared" si="2161"/>
        <v/>
      </c>
      <c r="AM858" s="729">
        <f t="shared" si="2162"/>
        <v>0</v>
      </c>
      <c r="AN858" s="729">
        <f t="shared" si="2163"/>
        <v>0</v>
      </c>
      <c r="AO858" s="380"/>
      <c r="AP858" s="322" t="str">
        <f t="shared" si="2142"/>
        <v/>
      </c>
      <c r="AQ858" s="323" t="str">
        <f>IF(AC858=$V$3,IF(VLOOKUP(C858,[1]List1!$A:$E,5,FALSE)=0,1,VLOOKUP(C858,[1]List1!$A:$E,5,FALSE)),"")</f>
        <v/>
      </c>
      <c r="AR858" s="304" t="str">
        <f t="shared" si="2143"/>
        <v/>
      </c>
      <c r="AS858" s="423" t="str">
        <f t="shared" si="2144"/>
        <v/>
      </c>
      <c r="AT858" s="304" t="str">
        <f t="shared" si="2145"/>
        <v/>
      </c>
      <c r="AU858" s="342" t="e">
        <f t="shared" si="2146"/>
        <v>#N/A</v>
      </c>
      <c r="AV858" s="304" t="e">
        <f t="shared" si="2147"/>
        <v>#N/A</v>
      </c>
      <c r="AX858" s="304">
        <f>IF(AND('General price list'!$J858="F4",'General price list'!$AB858+0&gt;0),1,0)</f>
        <v>0</v>
      </c>
      <c r="AY858" s="304">
        <f t="shared" si="2148"/>
        <v>1</v>
      </c>
      <c r="AZ858" s="304">
        <f t="shared" si="2149"/>
        <v>0</v>
      </c>
    </row>
    <row r="859" spans="1:52" ht="15" customHeight="1">
      <c r="A859" s="712" t="str">
        <f>Kat.!C857</f>
        <v/>
      </c>
      <c r="B859" s="737">
        <f>IF(AND('General price list'!$J859="F4",$AI$1=FALSE),0,IF(AC859="SKLADEM",1,IF(AC859=$V$3,1,0)))</f>
        <v>1</v>
      </c>
      <c r="C859" s="714" t="s">
        <v>1700</v>
      </c>
      <c r="D859" s="715" t="s">
        <v>12375</v>
      </c>
      <c r="E859" s="716" t="s">
        <v>136</v>
      </c>
      <c r="F859" s="712">
        <f>IFERROR(ROUND(IF($AL$3=2,VLOOKUP(C859,[2]List1!$A:$D,2,FALSE)*1.08,VLOOKUP(C859,[2]List1!$A:$D,2,FALSE)),0),"NEUVEDENO!")</f>
        <v>2957</v>
      </c>
      <c r="G859" s="717">
        <f t="shared" si="2150"/>
        <v>2957</v>
      </c>
      <c r="H859" s="718">
        <f t="shared" si="2151"/>
        <v>120.15977959193626</v>
      </c>
      <c r="I859" s="738">
        <v>1</v>
      </c>
      <c r="J859" s="716" t="s">
        <v>46</v>
      </c>
      <c r="K859" s="716"/>
      <c r="L859" s="716" t="s">
        <v>14378</v>
      </c>
      <c r="M859" s="716" t="s">
        <v>25</v>
      </c>
      <c r="N859" s="716">
        <f>IFERROR(VLOOKUP(C859,[3]List1!$A:$D,4,FALSE),"N/A!")</f>
        <v>3.5751999999999999E-2</v>
      </c>
      <c r="O859" s="716">
        <f>IFERROR(VLOOKUP(C859,[3]List1!$A:$D,3,FALSE),"N/A!")</f>
        <v>1485</v>
      </c>
      <c r="P859" s="716">
        <f>IFERROR(VLOOKUP(C859,[3]List1!$A:$D,2,FALSE),"N/A!")</f>
        <v>11500</v>
      </c>
      <c r="Q859" s="716" t="s">
        <v>12732</v>
      </c>
      <c r="R859" s="716" t="s">
        <v>24</v>
      </c>
      <c r="S859" s="716" t="str">
        <f>IF($W$17=$AF$1,"červená fólie",IFERROR(VLOOKUP("červená fólie",Jazyky_ceník!$A:$Q,MATCH($W$17,Jazyky_ceník!$A$1:$Q$1,0),FALSE),"!!!"))</f>
        <v>červená fólie</v>
      </c>
      <c r="T859" s="716">
        <v>100</v>
      </c>
      <c r="U859" s="716" t="s">
        <v>13822</v>
      </c>
      <c r="V859" s="716" t="s">
        <v>13824</v>
      </c>
      <c r="W859" s="716" t="str">
        <f>IFERROR(VLOOKUP('General price list'!$C859,Popisy!A:P,MATCH($W$17,Popisy!$A$7:$P$7,0),FALSE),"---------------")</f>
        <v>21 různobarevných efektů</v>
      </c>
      <c r="X859" s="716" t="str">
        <f t="shared" si="2152"/>
        <v/>
      </c>
      <c r="Y859" s="716" t="str">
        <f t="shared" si="2153"/>
        <v/>
      </c>
      <c r="Z859" s="716" t="str">
        <f>HYPERLINK("https://www.klasekpyrotechnics.cz/c150mf-c14")</f>
        <v>https://www.klasekpyrotechnics.cz/c150mf-c14</v>
      </c>
      <c r="AA859" s="716">
        <f>IFERROR(IF(VLOOKUP(C859,[4]List1!$A:$D,4,FALSE)=0,"",VLOOKUP(C859,[4]List1!$A:$D,4,FALSE)),"")</f>
        <v>32</v>
      </c>
      <c r="AB859" s="720"/>
      <c r="AC859" s="739" t="str">
        <f>IFERROR(IF(VLOOKUP(C859,[1]List1!$A:$D,2,FALSE)="VYPRODÁNO",$V$9,IF(VLOOKUP(C859,[1]List1!$A:$D,2,FALSE)="DOCHÁZÍ",$V$3,VLOOKUP(C859,[1]List1!$A:$D,2,FALSE))),"OFFLINE!")</f>
        <v>SKLADEM</v>
      </c>
      <c r="AD859" s="740" t="str">
        <f ca="1">IF(AP859="NE",$V$10,IF(AC859=$V$3,IF(AQ859&lt;1,$V$8,$V$2&amp;" "&amp;AQ859&amp;" "&amp;$V$1),IF(AC859="SKLADEM",$V$6,IFERROR(IF(OR(AC859-TODAY()&gt;45,VLOOKUP(C859,[1]List1!$A:$E,4,FALSE)=0),AC859,DAY(AC859)&amp;"."&amp;MONTH(AC859)&amp;"."&amp;YEAR(AC859)&amp;" "&amp;$V$4&amp;VLOOKUP(C859,[1]List1!$A:$E,4,FALSE)&amp;" "&amp;$V$1),AC859))))</f>
        <v>SKLADEM</v>
      </c>
      <c r="AE859" s="716" t="str">
        <f t="shared" ca="1" si="2154"/>
        <v>SKLADEM</v>
      </c>
      <c r="AF859" s="723">
        <f t="shared" si="2155"/>
        <v>0</v>
      </c>
      <c r="AG859" s="723">
        <f t="shared" si="2156"/>
        <v>0</v>
      </c>
      <c r="AH859" s="724">
        <f t="shared" si="2157"/>
        <v>0</v>
      </c>
      <c r="AI859" s="716">
        <f t="shared" si="2158"/>
        <v>0</v>
      </c>
      <c r="AJ859" s="716">
        <f t="shared" si="2159"/>
        <v>0</v>
      </c>
      <c r="AK859" s="716" t="str">
        <f t="shared" si="2160"/>
        <v/>
      </c>
      <c r="AL859" s="716" t="str">
        <f t="shared" si="2161"/>
        <v/>
      </c>
      <c r="AM859" s="716">
        <f t="shared" si="2162"/>
        <v>0</v>
      </c>
      <c r="AN859" s="716">
        <f t="shared" si="2163"/>
        <v>0</v>
      </c>
      <c r="AO859" s="380"/>
      <c r="AP859" s="322" t="str">
        <f t="shared" si="2142"/>
        <v/>
      </c>
      <c r="AQ859" s="323" t="str">
        <f>IF(AC859=$V$3,IF(VLOOKUP(C859,[1]List1!$A:$E,5,FALSE)=0,1,VLOOKUP(C859,[1]List1!$A:$E,5,FALSE)),"")</f>
        <v/>
      </c>
      <c r="AR859" s="304" t="str">
        <f t="shared" si="2143"/>
        <v/>
      </c>
      <c r="AS859" s="423" t="str">
        <f t="shared" si="2144"/>
        <v/>
      </c>
      <c r="AT859" s="304" t="str">
        <f t="shared" si="2145"/>
        <v/>
      </c>
      <c r="AU859" s="342" t="e">
        <f t="shared" si="2146"/>
        <v>#N/A</v>
      </c>
      <c r="AV859" s="304" t="e">
        <f t="shared" si="2147"/>
        <v>#N/A</v>
      </c>
      <c r="AX859" s="304">
        <f>IF(AND('General price list'!$J859="F4",'General price list'!$AB859+0&gt;0),1,0)</f>
        <v>0</v>
      </c>
      <c r="AY859" s="304">
        <f t="shared" si="2148"/>
        <v>1</v>
      </c>
      <c r="AZ859" s="304">
        <f t="shared" si="2149"/>
        <v>0</v>
      </c>
    </row>
    <row r="860" spans="1:52" ht="15" customHeight="1">
      <c r="A860" s="725" t="str">
        <f>Kat.!C858</f>
        <v/>
      </c>
      <c r="B860" s="726">
        <f>IF(AND('General price list'!$J860="F4",$AI$1=FALSE),0,IF(AC860="SKLADEM",1,IF(AC860=$V$3,1,0)))</f>
        <v>0</v>
      </c>
      <c r="C860" s="727" t="s">
        <v>1706</v>
      </c>
      <c r="D860" s="728" t="s">
        <v>12376</v>
      </c>
      <c r="E860" s="729" t="s">
        <v>136</v>
      </c>
      <c r="F860" s="725">
        <f>IFERROR(ROUND(IF($AL$3=2,VLOOKUP(C860,[2]List1!$A:$D,2,FALSE)*1.08,VLOOKUP(C860,[2]List1!$A:$D,2,FALSE)),0),"NEUVEDENO!")</f>
        <v>3885</v>
      </c>
      <c r="G860" s="730">
        <f t="shared" si="2150"/>
        <v>3885</v>
      </c>
      <c r="H860" s="731">
        <f t="shared" si="2151"/>
        <v>157.8697138027299</v>
      </c>
      <c r="I860" s="732">
        <v>1</v>
      </c>
      <c r="J860" s="729" t="s">
        <v>46</v>
      </c>
      <c r="K860" s="729"/>
      <c r="L860" s="729" t="s">
        <v>14378</v>
      </c>
      <c r="M860" s="729" t="s">
        <v>25</v>
      </c>
      <c r="N860" s="729">
        <f>IFERROR(VLOOKUP(C860,[3]List1!$A:$D,4,FALSE),"N/A!")</f>
        <v>4.7887999999999993E-2</v>
      </c>
      <c r="O860" s="729">
        <f>IFERROR(VLOOKUP(C860,[3]List1!$A:$D,3,FALSE),"N/A!")</f>
        <v>1980</v>
      </c>
      <c r="P860" s="729">
        <f>IFERROR(VLOOKUP(C860,[3]List1!$A:$D,2,FALSE),"N/A!")</f>
        <v>15800</v>
      </c>
      <c r="Q860" s="729" t="s">
        <v>12732</v>
      </c>
      <c r="R860" s="729" t="s">
        <v>24</v>
      </c>
      <c r="S860" s="729" t="str">
        <f>IF($W$17=$AF$1,"červená fólie",IFERROR(VLOOKUP("červená fólie",Jazyky_ceník!$A:$Q,MATCH($W$17,Jazyky_ceník!$A$1:$Q$1,0),FALSE),"!!!"))</f>
        <v>červená fólie</v>
      </c>
      <c r="T860" s="729">
        <v>150</v>
      </c>
      <c r="U860" s="729" t="s">
        <v>13822</v>
      </c>
      <c r="V860" s="729" t="s">
        <v>13824</v>
      </c>
      <c r="W860" s="729" t="str">
        <f>IFERROR(VLOOKUP('General price list'!$C860,Popisy!A:P,MATCH($W$17,Popisy!$A$7:$P$7,0),FALSE),"---------------")</f>
        <v>14 různobarevných efektů</v>
      </c>
      <c r="X860" s="729" t="str">
        <f t="shared" si="2152"/>
        <v/>
      </c>
      <c r="Y860" s="729" t="str">
        <f t="shared" si="2153"/>
        <v/>
      </c>
      <c r="Z860" s="729" t="str">
        <f>HYPERLINK("https://www.klasekpyrotechnics.cz/c200mf-c14")</f>
        <v>https://www.klasekpyrotechnics.cz/c200mf-c14</v>
      </c>
      <c r="AA860" s="729">
        <f>IFERROR(IF(VLOOKUP(C860,[4]List1!$A:$D,4,FALSE)=0,"",VLOOKUP(C860,[4]List1!$A:$D,4,FALSE)),"")</f>
        <v>24</v>
      </c>
      <c r="AB860" s="720"/>
      <c r="AC860" s="733" t="str">
        <f>IFERROR(IF(VLOOKUP(C860,[1]List1!$A:$D,2,FALSE)="VYPRODÁNO",$V$9,IF(VLOOKUP(C860,[1]List1!$A:$D,2,FALSE)="DOCHÁZÍ",$V$3,VLOOKUP(C860,[1]List1!$A:$D,2,FALSE))),"OFFLINE!")</f>
        <v>30.09.2024</v>
      </c>
      <c r="AD860" s="734" t="str">
        <f ca="1">IF(AP860="NE",$V$10,IF(AC860=$V$3,IF(AQ860&lt;1,$V$8,$V$2&amp;" "&amp;AQ860&amp;" "&amp;$V$1),IF(AC860="SKLADEM",$V$6,IFERROR(IF(OR(AC860-TODAY()&gt;45,VLOOKUP(C860,[1]List1!$A:$E,4,FALSE)=0),AC860,DAY(AC860)&amp;"."&amp;MONTH(AC860)&amp;"."&amp;YEAR(AC860)&amp;" "&amp;$V$4&amp;VLOOKUP(C860,[1]List1!$A:$E,4,FALSE)&amp;" "&amp;$V$1),AC860))))</f>
        <v>30.09.2024</v>
      </c>
      <c r="AE860" s="729" t="str">
        <f t="shared" ca="1" si="2154"/>
        <v>30.09.2024</v>
      </c>
      <c r="AF860" s="735">
        <f t="shared" si="2155"/>
        <v>0</v>
      </c>
      <c r="AG860" s="735">
        <f t="shared" si="2156"/>
        <v>0</v>
      </c>
      <c r="AH860" s="736">
        <f t="shared" si="2157"/>
        <v>0</v>
      </c>
      <c r="AI860" s="729">
        <f t="shared" si="2158"/>
        <v>0</v>
      </c>
      <c r="AJ860" s="729">
        <f t="shared" si="2159"/>
        <v>0</v>
      </c>
      <c r="AK860" s="729" t="str">
        <f t="shared" si="2160"/>
        <v/>
      </c>
      <c r="AL860" s="729" t="str">
        <f t="shared" si="2161"/>
        <v/>
      </c>
      <c r="AM860" s="729">
        <f t="shared" si="2162"/>
        <v>0</v>
      </c>
      <c r="AN860" s="729">
        <f t="shared" si="2163"/>
        <v>0</v>
      </c>
      <c r="AO860" s="380"/>
      <c r="AP860" s="322" t="str">
        <f t="shared" si="2142"/>
        <v/>
      </c>
      <c r="AQ860" s="323" t="str">
        <f>IF(AC860=$V$3,IF(VLOOKUP(C860,[1]List1!$A:$E,5,FALSE)=0,1,VLOOKUP(C860,[1]List1!$A:$E,5,FALSE)),"")</f>
        <v/>
      </c>
      <c r="AR860" s="304" t="str">
        <f t="shared" si="2143"/>
        <v/>
      </c>
      <c r="AS860" s="423" t="str">
        <f t="shared" si="2144"/>
        <v/>
      </c>
      <c r="AT860" s="304" t="str">
        <f t="shared" si="2145"/>
        <v/>
      </c>
      <c r="AU860" s="342" t="e">
        <f t="shared" si="2146"/>
        <v>#N/A</v>
      </c>
      <c r="AV860" s="304" t="e">
        <f t="shared" si="2147"/>
        <v>#N/A</v>
      </c>
      <c r="AX860" s="304">
        <f>IF(AND('General price list'!$J860="F4",'General price list'!$AB860+0&gt;0),1,0)</f>
        <v>0</v>
      </c>
      <c r="AY860" s="304">
        <f t="shared" si="2148"/>
        <v>1</v>
      </c>
      <c r="AZ860" s="304">
        <f t="shared" si="2149"/>
        <v>0</v>
      </c>
    </row>
    <row r="861" spans="1:52" ht="15" customHeight="1">
      <c r="A861" s="712" t="str">
        <f>Kat.!C859</f>
        <v/>
      </c>
      <c r="B861" s="737">
        <f>IF(AND('General price list'!$J861="F4",$AI$1=FALSE),0,IF(AC861="SKLADEM",1,IF(AC861=$V$3,1,0)))</f>
        <v>0</v>
      </c>
      <c r="C861" s="714" t="s">
        <v>2596</v>
      </c>
      <c r="D861" s="715" t="s">
        <v>2597</v>
      </c>
      <c r="E861" s="716" t="s">
        <v>136</v>
      </c>
      <c r="F861" s="712">
        <f>IFERROR(ROUND(IF($AL$3=2,VLOOKUP(C861,[2]List1!$A:$D,2,FALSE)*1.08,VLOOKUP(C861,[2]List1!$A:$D,2,FALSE)),0),"NEUVEDENO!")</f>
        <v>3459</v>
      </c>
      <c r="G861" s="717">
        <f t="shared" si="2150"/>
        <v>3459</v>
      </c>
      <c r="H861" s="718">
        <f t="shared" si="2151"/>
        <v>140.55890348613713</v>
      </c>
      <c r="I861" s="738">
        <v>1</v>
      </c>
      <c r="J861" s="716" t="s">
        <v>46</v>
      </c>
      <c r="K861" s="716">
        <v>5</v>
      </c>
      <c r="L861" s="716" t="s">
        <v>14378</v>
      </c>
      <c r="M861" s="716" t="s">
        <v>25</v>
      </c>
      <c r="N861" s="716">
        <f>IFERROR(VLOOKUP(C861,[3]List1!$A:$D,4,FALSE),"N/A!")</f>
        <v>4.9148749999999998E-2</v>
      </c>
      <c r="O861" s="716">
        <f>IFERROR(VLOOKUP(C861,[3]List1!$A:$D,3,FALSE),"N/A!")</f>
        <v>1500</v>
      </c>
      <c r="P861" s="716">
        <f>IFERROR(VLOOKUP(C861,[3]List1!$A:$D,2,FALSE),"N/A!")</f>
        <v>17000</v>
      </c>
      <c r="Q861" s="716" t="s">
        <v>14190</v>
      </c>
      <c r="R861" s="716" t="s">
        <v>24</v>
      </c>
      <c r="S861" s="716" t="str">
        <f>IF($W$17=$AF$1,"červená fólie",IFERROR(VLOOKUP("červená fólie",Jazyky_ceník!$A:$Q,MATCH($W$17,Jazyky_ceník!$A$1:$Q$1,0),FALSE),"!!!"))</f>
        <v>červená fólie</v>
      </c>
      <c r="T861" s="716">
        <v>100</v>
      </c>
      <c r="U861" s="716" t="s">
        <v>13822</v>
      </c>
      <c r="V861" s="716" t="s">
        <v>13833</v>
      </c>
      <c r="W861" s="716" t="str">
        <f>IFERROR(VLOOKUP('General price list'!$C861,Popisy!A:P,MATCH($W$17,Popisy!$A$7:$P$7,0),FALSE),"---------------")</f>
        <v>42 různobarevných efektů</v>
      </c>
      <c r="X861" s="716" t="str">
        <f t="shared" si="2152"/>
        <v/>
      </c>
      <c r="Y861" s="716" t="str">
        <f t="shared" si="2153"/>
        <v/>
      </c>
      <c r="Z861" s="716" t="str">
        <f>HYPERLINK("https://www.klasekpyrotechnics.cz/c204xmpt-c14")</f>
        <v>https://www.klasekpyrotechnics.cz/c204xmpt-c14</v>
      </c>
      <c r="AA861" s="716">
        <f>IFERROR(IF(VLOOKUP(C861,[4]List1!$A:$D,4,FALSE)=0,"",VLOOKUP(C861,[4]List1!$A:$D,4,FALSE)),"")</f>
        <v>21</v>
      </c>
      <c r="AB861" s="720"/>
      <c r="AC861" s="739" t="str">
        <f>IFERROR(IF(VLOOKUP(C861,[1]List1!$A:$D,2,FALSE)="VYPRODÁNO",$V$9,IF(VLOOKUP(C861,[1]List1!$A:$D,2,FALSE)="DOCHÁZÍ",$V$3,VLOOKUP(C861,[1]List1!$A:$D,2,FALSE))),"OFFLINE!")</f>
        <v>15.09.2024</v>
      </c>
      <c r="AD861" s="740" t="str">
        <f ca="1">IF(AP861="NE",$V$10,IF(AC861=$V$3,IF(AQ861&lt;1,$V$8,$V$2&amp;" "&amp;AQ861&amp;" "&amp;$V$1),IF(AC861="SKLADEM",$V$6,IFERROR(IF(OR(AC861-TODAY()&gt;45,VLOOKUP(C861,[1]List1!$A:$E,4,FALSE)=0),AC861,DAY(AC861)&amp;"."&amp;MONTH(AC861)&amp;"."&amp;YEAR(AC861)&amp;" "&amp;$V$4&amp;VLOOKUP(C861,[1]List1!$A:$E,4,FALSE)&amp;" "&amp;$V$1),AC861))))</f>
        <v>15.09.2024</v>
      </c>
      <c r="AE861" s="716" t="str">
        <f t="shared" ca="1" si="2154"/>
        <v>15.09.2024</v>
      </c>
      <c r="AF861" s="723">
        <f t="shared" si="2155"/>
        <v>0</v>
      </c>
      <c r="AG861" s="723">
        <f t="shared" si="2156"/>
        <v>0</v>
      </c>
      <c r="AH861" s="724">
        <f t="shared" si="2157"/>
        <v>0</v>
      </c>
      <c r="AI861" s="716">
        <f t="shared" si="2158"/>
        <v>0</v>
      </c>
      <c r="AJ861" s="716">
        <f t="shared" si="2159"/>
        <v>0</v>
      </c>
      <c r="AK861" s="716" t="str">
        <f t="shared" si="2160"/>
        <v/>
      </c>
      <c r="AL861" s="716" t="str">
        <f t="shared" si="2161"/>
        <v/>
      </c>
      <c r="AM861" s="716">
        <f t="shared" si="2162"/>
        <v>0</v>
      </c>
      <c r="AN861" s="716">
        <f t="shared" si="2163"/>
        <v>0</v>
      </c>
      <c r="AO861" s="380"/>
      <c r="AP861" s="322" t="str">
        <f t="shared" si="2142"/>
        <v/>
      </c>
      <c r="AQ861" s="323" t="str">
        <f>IF(AC861=$V$3,IF(VLOOKUP(C861,[1]List1!$A:$E,5,FALSE)=0,1,VLOOKUP(C861,[1]List1!$A:$E,5,FALSE)),"")</f>
        <v/>
      </c>
      <c r="AR861" s="304" t="str">
        <f t="shared" si="2143"/>
        <v/>
      </c>
      <c r="AS861" s="423" t="str">
        <f t="shared" si="2144"/>
        <v/>
      </c>
      <c r="AT861" s="304" t="str">
        <f t="shared" si="2145"/>
        <v/>
      </c>
      <c r="AU861" s="342" t="e">
        <f t="shared" si="2146"/>
        <v>#N/A</v>
      </c>
      <c r="AV861" s="304" t="e">
        <f t="shared" si="2147"/>
        <v>#N/A</v>
      </c>
      <c r="AX861" s="304">
        <f>IF(AND('General price list'!$J861="F4",'General price list'!$AB861+0&gt;0),1,0)</f>
        <v>0</v>
      </c>
      <c r="AY861" s="304">
        <f t="shared" si="2148"/>
        <v>1</v>
      </c>
      <c r="AZ861" s="304">
        <f t="shared" si="2149"/>
        <v>0</v>
      </c>
    </row>
    <row r="862" spans="1:52" ht="15" customHeight="1">
      <c r="A862" s="725" t="str">
        <f>Kat.!C860</f>
        <v/>
      </c>
      <c r="B862" s="726">
        <f>IF(AND('General price list'!$J862="F4",$AI$1=FALSE),0,IF(AC862="SKLADEM",1,IF(AC862=$V$3,1,0)))</f>
        <v>1</v>
      </c>
      <c r="C862" s="727" t="s">
        <v>2598</v>
      </c>
      <c r="D862" s="728" t="s">
        <v>2599</v>
      </c>
      <c r="E862" s="729" t="s">
        <v>136</v>
      </c>
      <c r="F862" s="725">
        <f>IFERROR(ROUND(IF($AL$3=2,VLOOKUP(C862,[2]List1!$A:$D,2,FALSE)*1.08,VLOOKUP(C862,[2]List1!$A:$D,2,FALSE)),0),"NEUVEDENO!")</f>
        <v>3639</v>
      </c>
      <c r="G862" s="730">
        <f t="shared" si="2150"/>
        <v>3639</v>
      </c>
      <c r="H862" s="731">
        <f t="shared" si="2151"/>
        <v>147.87333038047211</v>
      </c>
      <c r="I862" s="732">
        <v>1</v>
      </c>
      <c r="J862" s="729" t="s">
        <v>46</v>
      </c>
      <c r="K862" s="729"/>
      <c r="L862" s="729"/>
      <c r="M862" s="729" t="s">
        <v>25</v>
      </c>
      <c r="N862" s="729">
        <f>IFERROR(VLOOKUP(C862,[3]List1!$A:$D,4,FALSE),"N/A!")</f>
        <v>4.3296000000000001E-2</v>
      </c>
      <c r="O862" s="729">
        <f>IFERROR(VLOOKUP(C862,[3]List1!$A:$D,3,FALSE),"N/A!")</f>
        <v>1963</v>
      </c>
      <c r="P862" s="729">
        <f>IFERROR(VLOOKUP(C862,[3]List1!$A:$D,2,FALSE),"N/A!")</f>
        <v>13500</v>
      </c>
      <c r="Q862" s="729" t="s">
        <v>12732</v>
      </c>
      <c r="R862" s="729" t="s">
        <v>24</v>
      </c>
      <c r="S862" s="729" t="str">
        <f>IF($W$17=$AF$1,"červená fólie",IFERROR(VLOOKUP("červená fólie",Jazyky_ceník!$A:$Q,MATCH($W$17,Jazyky_ceník!$A$1:$Q$1,0),FALSE),"!!!"))</f>
        <v>červená fólie</v>
      </c>
      <c r="T862" s="729">
        <v>90</v>
      </c>
      <c r="U862" s="729" t="s">
        <v>13822</v>
      </c>
      <c r="V862" s="729" t="s">
        <v>13824</v>
      </c>
      <c r="W862" s="729" t="str">
        <f>IFERROR(VLOOKUP('General price list'!$C862,Popisy!A:P,MATCH($W$17,Popisy!$A$7:$P$7,0),FALSE),"---------------")</f>
        <v>19 různobarevných efektů</v>
      </c>
      <c r="X862" s="729" t="str">
        <f t="shared" si="2152"/>
        <v/>
      </c>
      <c r="Y862" s="729" t="str">
        <f t="shared" si="2153"/>
        <v/>
      </c>
      <c r="Z862" s="729" t="str">
        <f>HYPERLINK("https://www.klasekpyrotechnics.cz/c216xmfs-c14")</f>
        <v>https://www.klasekpyrotechnics.cz/c216xmfs-c14</v>
      </c>
      <c r="AA862" s="729">
        <f>IFERROR(IF(VLOOKUP(C862,[4]List1!$A:$D,4,FALSE)=0,"",VLOOKUP(C862,[4]List1!$A:$D,4,FALSE)),"")</f>
        <v>32</v>
      </c>
      <c r="AB862" s="720"/>
      <c r="AC862" s="733" t="str">
        <f>IFERROR(IF(VLOOKUP(C862,[1]List1!$A:$D,2,FALSE)="VYPRODÁNO",$V$9,IF(VLOOKUP(C862,[1]List1!$A:$D,2,FALSE)="DOCHÁZÍ",$V$3,VLOOKUP(C862,[1]List1!$A:$D,2,FALSE))),"OFFLINE!")</f>
        <v>DOCHÁZÍ</v>
      </c>
      <c r="AD862" s="734" t="str">
        <f ca="1">IF(AP862="NE",$V$10,IF(AC862=$V$3,IF(AQ862&lt;1,$V$8,$V$2&amp;" "&amp;AQ862&amp;" "&amp;$V$1),IF(AC862="SKLADEM",$V$6,IFERROR(IF(OR(AC862-TODAY()&gt;45,VLOOKUP(C862,[1]List1!$A:$E,4,FALSE)=0),AC862,DAY(AC862)&amp;"."&amp;MONTH(AC862)&amp;"."&amp;YEAR(AC862)&amp;" "&amp;$V$4&amp;VLOOKUP(C862,[1]List1!$A:$E,4,FALSE)&amp;" "&amp;$V$1),AC862))))</f>
        <v>POSLEDNÍCH 9 VK</v>
      </c>
      <c r="AE862" s="729" t="str">
        <f t="shared" ca="1" si="2154"/>
        <v>POSLEDNÍCH 9 VK</v>
      </c>
      <c r="AF862" s="735">
        <f t="shared" si="2155"/>
        <v>0</v>
      </c>
      <c r="AG862" s="735">
        <f t="shared" si="2156"/>
        <v>0</v>
      </c>
      <c r="AH862" s="736">
        <f t="shared" si="2157"/>
        <v>0</v>
      </c>
      <c r="AI862" s="729">
        <f t="shared" si="2158"/>
        <v>0</v>
      </c>
      <c r="AJ862" s="729">
        <f t="shared" si="2159"/>
        <v>0</v>
      </c>
      <c r="AK862" s="729" t="str">
        <f t="shared" si="2160"/>
        <v/>
      </c>
      <c r="AL862" s="729" t="str">
        <f t="shared" si="2161"/>
        <v/>
      </c>
      <c r="AM862" s="729">
        <f t="shared" si="2162"/>
        <v>0</v>
      </c>
      <c r="AN862" s="729">
        <f t="shared" si="2163"/>
        <v>0</v>
      </c>
      <c r="AO862" s="380"/>
      <c r="AP862" s="322" t="str">
        <f t="shared" si="2142"/>
        <v/>
      </c>
      <c r="AQ862" s="323">
        <f>IF(AC862=$V$3,IF(VLOOKUP(C862,[1]List1!$A:$E,5,FALSE)=0,1,VLOOKUP(C862,[1]List1!$A:$E,5,FALSE)),"")</f>
        <v>9</v>
      </c>
      <c r="AR862" s="304" t="str">
        <f t="shared" si="2143"/>
        <v/>
      </c>
      <c r="AS862" s="423" t="str">
        <f t="shared" si="2144"/>
        <v/>
      </c>
      <c r="AT862" s="304" t="str">
        <f t="shared" si="2145"/>
        <v/>
      </c>
      <c r="AU862" s="342" t="e">
        <f t="shared" si="2146"/>
        <v>#N/A</v>
      </c>
      <c r="AV862" s="304" t="e">
        <f t="shared" si="2147"/>
        <v>#N/A</v>
      </c>
      <c r="AX862" s="304">
        <f>IF(AND('General price list'!$J862="F4",'General price list'!$AB862+0&gt;0),1,0)</f>
        <v>0</v>
      </c>
      <c r="AY862" s="304">
        <f t="shared" si="2148"/>
        <v>1</v>
      </c>
      <c r="AZ862" s="304">
        <f t="shared" si="2149"/>
        <v>0</v>
      </c>
    </row>
    <row r="863" spans="1:52" ht="15" customHeight="1">
      <c r="A863" s="712" t="str">
        <f>Kat.!C861</f>
        <v/>
      </c>
      <c r="B863" s="737">
        <f>IF(AND('General price list'!$J863="F4",$AI$1=FALSE),0,IF(AC863="SKLADEM",1,IF(AC863=$V$3,1,0)))</f>
        <v>1</v>
      </c>
      <c r="C863" s="714" t="s">
        <v>2600</v>
      </c>
      <c r="D863" s="715" t="s">
        <v>2601</v>
      </c>
      <c r="E863" s="716" t="s">
        <v>136</v>
      </c>
      <c r="F863" s="712">
        <f>IFERROR(ROUND(IF($AL$3=2,VLOOKUP(C863,[2]List1!$A:$D,2,FALSE)*1.08,VLOOKUP(C863,[2]List1!$A:$D,2,FALSE)),0),"NEUVEDENO!")</f>
        <v>4381</v>
      </c>
      <c r="G863" s="717">
        <f t="shared" si="2150"/>
        <v>4381</v>
      </c>
      <c r="H863" s="718">
        <f t="shared" si="2151"/>
        <v>178.02502346711964</v>
      </c>
      <c r="I863" s="738">
        <v>1</v>
      </c>
      <c r="J863" s="716" t="s">
        <v>46</v>
      </c>
      <c r="K863" s="716"/>
      <c r="L863" s="716" t="s">
        <v>14378</v>
      </c>
      <c r="M863" s="716" t="s">
        <v>25</v>
      </c>
      <c r="N863" s="716">
        <f>IFERROR(VLOOKUP(C863,[3]List1!$A:$D,4,FALSE),"N/A!")</f>
        <v>5.2136000000000009E-2</v>
      </c>
      <c r="O863" s="716">
        <f>IFERROR(VLOOKUP(C863,[3]List1!$A:$D,3,FALSE),"N/A!")</f>
        <v>2000</v>
      </c>
      <c r="P863" s="716">
        <f>IFERROR(VLOOKUP(C863,[3]List1!$A:$D,2,FALSE),"N/A!")</f>
        <v>17000</v>
      </c>
      <c r="Q863" s="716" t="s">
        <v>14196</v>
      </c>
      <c r="R863" s="716" t="s">
        <v>24</v>
      </c>
      <c r="S863" s="716" t="str">
        <f>IF($W$17=$AF$1,"červená fólie",IFERROR(VLOOKUP("červená fólie",Jazyky_ceník!$A:$Q,MATCH($W$17,Jazyky_ceník!$A$1:$Q$1,0),FALSE),"!!!"))</f>
        <v>červená fólie</v>
      </c>
      <c r="T863" s="716">
        <v>130</v>
      </c>
      <c r="U863" s="716" t="s">
        <v>13822</v>
      </c>
      <c r="V863" s="716" t="s">
        <v>13833</v>
      </c>
      <c r="W863" s="716" t="str">
        <f>IFERROR(VLOOKUP('General price list'!$C863,Popisy!A:P,MATCH($W$17,Popisy!$A$7:$P$7,0),FALSE),"---------------")</f>
        <v>34 různobarevných efektů</v>
      </c>
      <c r="X863" s="716" t="str">
        <f t="shared" si="2152"/>
        <v/>
      </c>
      <c r="Y863" s="716" t="str">
        <f t="shared" si="2153"/>
        <v/>
      </c>
      <c r="Z863" s="716" t="str">
        <f>HYPERLINK("https://www.klasekpyrotechnics.cz/c223xmk-c14")</f>
        <v>https://www.klasekpyrotechnics.cz/c223xmk-c14</v>
      </c>
      <c r="AA863" s="716">
        <f>IFERROR(IF(VLOOKUP(C863,[4]List1!$A:$D,4,FALSE)=0,"",VLOOKUP(C863,[4]List1!$A:$D,4,FALSE)),"")</f>
        <v>18</v>
      </c>
      <c r="AB863" s="720"/>
      <c r="AC863" s="739" t="str">
        <f>IFERROR(IF(VLOOKUP(C863,[1]List1!$A:$D,2,FALSE)="VYPRODÁNO",$V$9,IF(VLOOKUP(C863,[1]List1!$A:$D,2,FALSE)="DOCHÁZÍ",$V$3,VLOOKUP(C863,[1]List1!$A:$D,2,FALSE))),"OFFLINE!")</f>
        <v>SKLADEM</v>
      </c>
      <c r="AD863" s="740" t="str">
        <f ca="1">IF(AP863="NE",$V$10,IF(AC863=$V$3,IF(AQ863&lt;1,$V$8,$V$2&amp;" "&amp;AQ863&amp;" "&amp;$V$1),IF(AC863="SKLADEM",$V$6,IFERROR(IF(OR(AC863-TODAY()&gt;45,VLOOKUP(C863,[1]List1!$A:$E,4,FALSE)=0),AC863,DAY(AC863)&amp;"."&amp;MONTH(AC863)&amp;"."&amp;YEAR(AC863)&amp;" "&amp;$V$4&amp;VLOOKUP(C863,[1]List1!$A:$E,4,FALSE)&amp;" "&amp;$V$1),AC863))))</f>
        <v>SKLADEM</v>
      </c>
      <c r="AE863" s="716" t="str">
        <f t="shared" ca="1" si="2154"/>
        <v>SKLADEM</v>
      </c>
      <c r="AF863" s="723">
        <f t="shared" si="2155"/>
        <v>0</v>
      </c>
      <c r="AG863" s="723">
        <f t="shared" si="2156"/>
        <v>0</v>
      </c>
      <c r="AH863" s="724">
        <f t="shared" si="2157"/>
        <v>0</v>
      </c>
      <c r="AI863" s="716">
        <f t="shared" si="2158"/>
        <v>0</v>
      </c>
      <c r="AJ863" s="716">
        <f t="shared" si="2159"/>
        <v>0</v>
      </c>
      <c r="AK863" s="716" t="str">
        <f t="shared" si="2160"/>
        <v/>
      </c>
      <c r="AL863" s="716" t="str">
        <f t="shared" si="2161"/>
        <v/>
      </c>
      <c r="AM863" s="716">
        <f t="shared" si="2162"/>
        <v>0</v>
      </c>
      <c r="AN863" s="716">
        <f t="shared" si="2163"/>
        <v>0</v>
      </c>
      <c r="AO863" s="380"/>
      <c r="AP863" s="322" t="str">
        <f t="shared" si="2142"/>
        <v/>
      </c>
      <c r="AQ863" s="323" t="str">
        <f>IF(AC863=$V$3,IF(VLOOKUP(C863,[1]List1!$A:$E,5,FALSE)=0,1,VLOOKUP(C863,[1]List1!$A:$E,5,FALSE)),"")</f>
        <v/>
      </c>
      <c r="AR863" s="304" t="str">
        <f t="shared" si="2143"/>
        <v/>
      </c>
      <c r="AS863" s="423" t="str">
        <f t="shared" si="2144"/>
        <v/>
      </c>
      <c r="AT863" s="304" t="str">
        <f t="shared" si="2145"/>
        <v/>
      </c>
      <c r="AU863" s="342" t="e">
        <f t="shared" si="2146"/>
        <v>#N/A</v>
      </c>
      <c r="AV863" s="304" t="e">
        <f t="shared" si="2147"/>
        <v>#N/A</v>
      </c>
      <c r="AX863" s="304">
        <f>IF(AND('General price list'!$J863="F4",'General price list'!$AB863+0&gt;0),1,0)</f>
        <v>0</v>
      </c>
      <c r="AY863" s="304">
        <f t="shared" si="2148"/>
        <v>1</v>
      </c>
      <c r="AZ863" s="304">
        <f t="shared" si="2149"/>
        <v>0</v>
      </c>
    </row>
    <row r="864" spans="1:52" ht="15" customHeight="1">
      <c r="A864" s="773" t="str">
        <f>Kat.!C862</f>
        <v xml:space="preserve">                                                               Složený ohňostroj(s ochraným obalem) multikaliber F2 - 1.4G</v>
      </c>
      <c r="B864" s="774"/>
      <c r="C864" s="774"/>
      <c r="D864" s="774"/>
      <c r="E864" s="774"/>
      <c r="F864" s="774"/>
      <c r="G864" s="774"/>
      <c r="H864" s="774"/>
      <c r="I864" s="774"/>
      <c r="J864" s="774"/>
      <c r="K864" s="774"/>
      <c r="L864" s="774"/>
      <c r="M864" s="774"/>
      <c r="N864" s="774"/>
      <c r="O864" s="774"/>
      <c r="P864" s="774"/>
      <c r="Q864" s="774"/>
      <c r="R864" s="774"/>
      <c r="S864" s="774"/>
      <c r="T864" s="774"/>
      <c r="U864" s="774"/>
      <c r="V864" s="774"/>
      <c r="W864" s="774"/>
      <c r="X864" s="774"/>
      <c r="Y864" s="774"/>
      <c r="Z864" s="774"/>
      <c r="AA864" s="774" t="str">
        <f>IFERROR(IF(VLOOKUP(C864,[4]List1!$A:$D,4,FALSE)=0,"",VLOOKUP(C864,[4]List1!$A:$D,4,FALSE)),"")</f>
        <v/>
      </c>
      <c r="AB864" s="774"/>
      <c r="AC864" s="775" t="str">
        <f>IFERROR(IF(VLOOKUP(C864,[1]List1!$A:$D,2,FALSE)="VYPRODÁNO",$V$9,IF(VLOOKUP(C864,[1]List1!$A:$D,2,FALSE)="DOCHÁZÍ",$V$3,VLOOKUP(C864,[1]List1!$A:$D,2,FALSE))),"OFFLINE!")</f>
        <v>OFFLINE!</v>
      </c>
      <c r="AD864" s="774"/>
      <c r="AE864" s="774"/>
      <c r="AF864" s="774"/>
      <c r="AG864" s="774"/>
      <c r="AH864" s="774"/>
      <c r="AI864" s="774"/>
      <c r="AJ864" s="774"/>
      <c r="AK864" s="774"/>
      <c r="AL864" s="774"/>
      <c r="AM864" s="774"/>
      <c r="AN864" s="774"/>
      <c r="AO864" s="380"/>
      <c r="AP864" s="322" t="str">
        <f t="shared" si="2142"/>
        <v/>
      </c>
      <c r="AQ864" s="323" t="str">
        <f>IF(AC864=$V$3,IF(VLOOKUP(C864,[1]List1!$A:$E,5,FALSE)=0,1,VLOOKUP(C864,[1]List1!$A:$E,5,FALSE)),"")</f>
        <v/>
      </c>
      <c r="AR864" s="304" t="str">
        <f t="shared" si="2143"/>
        <v/>
      </c>
      <c r="AS864" s="423" t="str">
        <f t="shared" si="2144"/>
        <v/>
      </c>
      <c r="AT864" s="304" t="str">
        <f t="shared" si="2145"/>
        <v/>
      </c>
      <c r="AU864" s="342" t="e">
        <f t="shared" si="2146"/>
        <v>#N/A</v>
      </c>
      <c r="AV864" s="304" t="e">
        <f t="shared" si="2147"/>
        <v>#N/A</v>
      </c>
      <c r="AX864" s="304">
        <f>IF(AND('General price list'!$J864="F4",'General price list'!$AB864+0&gt;0),1,0)</f>
        <v>0</v>
      </c>
      <c r="AY864" s="304">
        <f t="shared" si="2148"/>
        <v>0</v>
      </c>
      <c r="AZ864" s="304">
        <f t="shared" si="2149"/>
        <v>0</v>
      </c>
    </row>
    <row r="865" spans="1:52" ht="15" customHeight="1">
      <c r="A865" s="712" t="str">
        <f>Kat.!C863</f>
        <v/>
      </c>
      <c r="B865" s="713">
        <f>IF(AND('General price list'!$J865="F4",$AI$1=FALSE),0,IF(AC865="SKLADEM",1,IF(AC865=$V$3,1,0)))</f>
        <v>1</v>
      </c>
      <c r="C865" s="714" t="s">
        <v>5511</v>
      </c>
      <c r="D865" s="715" t="s">
        <v>5489</v>
      </c>
      <c r="E865" s="716" t="s">
        <v>136</v>
      </c>
      <c r="F865" s="712">
        <f>IFERROR(ROUND(IF($AL$3=2,VLOOKUP(C865,[2]List1!$A:$D,2,FALSE)*1.08,VLOOKUP(C865,[2]List1!$A:$D,2,FALSE)),0),"NEUVEDENO!")</f>
        <v>2077</v>
      </c>
      <c r="G865" s="717">
        <f t="shared" ref="G865:G875" si="2164">(F865)*$B$19</f>
        <v>2077</v>
      </c>
      <c r="H865" s="718">
        <f t="shared" ref="H865:H875" si="2165">G865/$F$19</f>
        <v>84.400359219631923</v>
      </c>
      <c r="I865" s="719">
        <v>1</v>
      </c>
      <c r="J865" s="716" t="s">
        <v>46</v>
      </c>
      <c r="K865" s="716">
        <v>6</v>
      </c>
      <c r="L865" s="716" t="s">
        <v>24</v>
      </c>
      <c r="M865" s="716" t="s">
        <v>25</v>
      </c>
      <c r="N865" s="716">
        <f>IFERROR(VLOOKUP(C865,[3]List1!$A:$D,4,FALSE),"N/A!")</f>
        <v>2.3039999999999998E-2</v>
      </c>
      <c r="O865" s="716">
        <f>IFERROR(VLOOKUP(C865,[3]List1!$A:$D,3,FALSE),"N/A!")</f>
        <v>1000</v>
      </c>
      <c r="P865" s="716">
        <f>IFERROR(VLOOKUP(C865,[3]List1!$A:$D,2,FALSE),"N/A!")</f>
        <v>7700</v>
      </c>
      <c r="Q865" s="716" t="s">
        <v>14179</v>
      </c>
      <c r="R865" s="716" t="s">
        <v>24</v>
      </c>
      <c r="S865" s="716" t="str">
        <f>IF($W$17=$AF$1,"červená fólie",IFERROR(VLOOKUP("červená fólie",Jazyky_ceník!$A:$Q,MATCH($W$17,Jazyky_ceník!$A$1:$Q$1,0),FALSE),"!!!"))</f>
        <v>červená fólie</v>
      </c>
      <c r="T865" s="716">
        <v>55</v>
      </c>
      <c r="U865" s="716" t="s">
        <v>13822</v>
      </c>
      <c r="V865" s="716" t="s">
        <v>13824</v>
      </c>
      <c r="W865" s="716" t="str">
        <f>IFERROR(VLOOKUP('General price list'!$C865,Popisy!A:P,MATCH($W$17,Popisy!$A$7:$P$7,0),FALSE),"---------------")</f>
        <v>14 různobarevných efektů</v>
      </c>
      <c r="X865" s="716" t="str">
        <f t="shared" ref="X865:X875" si="2166">IF(AB865&lt;0.0001,"",AB865)</f>
        <v/>
      </c>
      <c r="Y865" s="716" t="str">
        <f t="shared" ref="Y865:Y875" si="2167">IF($AL$3=2,IF(OR(AB865&lt;&gt;"",AB865&lt;&gt;0),AU865,""),IF(C865="","",IF(AB865&lt;0.0001,"",IF(B865=0,"",IF(AQ865&lt;AB865,"",AB865)))))</f>
        <v/>
      </c>
      <c r="Z865" s="716" t="str">
        <f>HYPERLINK("https://www.klasekpyrotechnics.cz/c100mts-c14_t")</f>
        <v>https://www.klasekpyrotechnics.cz/c100mts-c14_t</v>
      </c>
      <c r="AA865" s="716">
        <f>IFERROR(IF(VLOOKUP(C865,[4]List1!$A:$D,4,FALSE)=0,"",VLOOKUP(C865,[4]List1!$A:$D,4,FALSE)),"")</f>
        <v>60</v>
      </c>
      <c r="AB865" s="720"/>
      <c r="AC865" s="721" t="str">
        <f>IFERROR(IF(VLOOKUP(C865,[1]List1!$A:$D,2,FALSE)="VYPRODÁNO",$V$9,IF(VLOOKUP(C865,[1]List1!$A:$D,2,FALSE)="DOCHÁZÍ",$V$3,VLOOKUP(C865,[1]List1!$A:$D,2,FALSE))),"OFFLINE!")</f>
        <v>SKLADEM</v>
      </c>
      <c r="AD865" s="722" t="str">
        <f ca="1">IF(AP865="NE",$V$10,IF(AC865=$V$3,IF(AQ865&lt;1,$V$8,$V$2&amp;" "&amp;AQ865&amp;" "&amp;$V$1),IF(AC865="SKLADEM",$V$6,IFERROR(IF(OR(AC865-TODAY()&gt;45,VLOOKUP(C865,[1]List1!$A:$E,4,FALSE)=0),AC865,DAY(AC865)&amp;"."&amp;MONTH(AC865)&amp;"."&amp;YEAR(AC865)&amp;" "&amp;$V$4&amp;VLOOKUP(C865,[1]List1!$A:$E,4,FALSE)&amp;" "&amp;$V$1),AC865))))</f>
        <v>SKLADEM</v>
      </c>
      <c r="AE865" s="716" t="str">
        <f t="shared" ref="AE865:AE875" ca="1" si="2168">IFERROR(IF(AV865&lt;&gt;"",AV865,AD865),AD865)</f>
        <v>SKLADEM</v>
      </c>
      <c r="AF865" s="723">
        <f t="shared" ref="AF865:AF875" si="2169">IFERROR(IF(AB865=Y865,G865*I865*Y865,0),0)</f>
        <v>0</v>
      </c>
      <c r="AG865" s="723">
        <f t="shared" ref="AG865:AG875" si="2170">IF($W$17=$AF$8,AH865*1.23,AF865*1.21)</f>
        <v>0</v>
      </c>
      <c r="AH865" s="724">
        <f t="shared" ref="AH865:AH875" si="2171">IFERROR(IF(Y865=AB865,H865*I865*Y865,0),0)</f>
        <v>0</v>
      </c>
      <c r="AI865" s="716">
        <f t="shared" ref="AI865:AI875" si="2172">IFERROR(IF(Y865=AB865,(P865*Y865)/1000,1),0)</f>
        <v>0</v>
      </c>
      <c r="AJ865" s="716">
        <f t="shared" ref="AJ865:AJ875" si="2173">IFERROR(IF(Y865=AB865,N865*Y865,0.1),0)</f>
        <v>0</v>
      </c>
      <c r="AK865" s="716" t="str">
        <f t="shared" ref="AK865:AK875" si="2174">IFERROR(IF(Y865=AB865,IF(M865="1.1G",(O865/1000)*Y865,""),""),0)</f>
        <v/>
      </c>
      <c r="AL865" s="716" t="str">
        <f t="shared" ref="AL865:AL875" si="2175">IFERROR(IF(Y865=AB865,IF(M865="1.3G",(O865/1000)*AB865,""),""),0)</f>
        <v/>
      </c>
      <c r="AM865" s="716">
        <f t="shared" ref="AM865:AM875" si="2176">IFERROR(IF(Y865=AB865,IF(M865="1.4G",(O865/1000)*AB865,""),""),0)</f>
        <v>0</v>
      </c>
      <c r="AN865" s="716">
        <f t="shared" ref="AN865:AN875" si="2177">SUM(AK865:AM865)</f>
        <v>0</v>
      </c>
      <c r="AO865" s="380"/>
      <c r="AP865" s="322" t="str">
        <f t="shared" si="2142"/>
        <v/>
      </c>
      <c r="AQ865" s="323" t="str">
        <f>IF(AC865=$V$3,IF(VLOOKUP(C865,[1]List1!$A:$E,5,FALSE)=0,1,VLOOKUP(C865,[1]List1!$A:$E,5,FALSE)),"")</f>
        <v/>
      </c>
      <c r="AR865" s="304" t="str">
        <f t="shared" si="2143"/>
        <v/>
      </c>
      <c r="AS865" s="423" t="str">
        <f t="shared" si="2144"/>
        <v/>
      </c>
      <c r="AT865" s="304" t="str">
        <f t="shared" si="2145"/>
        <v/>
      </c>
      <c r="AU865" s="342" t="e">
        <f t="shared" si="2146"/>
        <v>#N/A</v>
      </c>
      <c r="AV865" s="304" t="e">
        <f t="shared" si="2147"/>
        <v>#N/A</v>
      </c>
      <c r="AX865" s="304">
        <f>IF(AND('General price list'!$J865="F4",'General price list'!$AB865+0&gt;0),1,0)</f>
        <v>0</v>
      </c>
      <c r="AY865" s="304">
        <f t="shared" si="2148"/>
        <v>1</v>
      </c>
      <c r="AZ865" s="304">
        <f t="shared" si="2149"/>
        <v>0</v>
      </c>
    </row>
    <row r="866" spans="1:52" ht="15" customHeight="1">
      <c r="A866" s="725" t="str">
        <f>Kat.!C864</f>
        <v/>
      </c>
      <c r="B866" s="726">
        <f>IF(AND('General price list'!$J866="F4",$AI$1=FALSE),0,IF(AC866="SKLADEM",1,IF(AC866=$V$3,1,0)))</f>
        <v>1</v>
      </c>
      <c r="C866" s="727" t="s">
        <v>5512</v>
      </c>
      <c r="D866" s="728" t="s">
        <v>12857</v>
      </c>
      <c r="E866" s="729" t="s">
        <v>136</v>
      </c>
      <c r="F866" s="725">
        <f>IFERROR(ROUND(IF($AL$3=2,VLOOKUP(C866,[2]List1!$A:$D,2,FALSE)*1.08,VLOOKUP(C866,[2]List1!$A:$D,2,FALSE)),0),"NEUVEDENO!")</f>
        <v>2077</v>
      </c>
      <c r="G866" s="730">
        <f t="shared" si="2164"/>
        <v>2077</v>
      </c>
      <c r="H866" s="731">
        <f t="shared" si="2165"/>
        <v>84.400359219631923</v>
      </c>
      <c r="I866" s="732">
        <v>1</v>
      </c>
      <c r="J866" s="729" t="s">
        <v>46</v>
      </c>
      <c r="K866" s="729">
        <v>6</v>
      </c>
      <c r="L866" s="729" t="s">
        <v>24</v>
      </c>
      <c r="M866" s="729" t="s">
        <v>25</v>
      </c>
      <c r="N866" s="729">
        <f>IFERROR(VLOOKUP(C866,[3]List1!$A:$D,4,FALSE),"N/A!")</f>
        <v>2.3039999999999998E-2</v>
      </c>
      <c r="O866" s="729">
        <f>IFERROR(VLOOKUP(C866,[3]List1!$A:$D,3,FALSE),"N/A!")</f>
        <v>1000</v>
      </c>
      <c r="P866" s="729">
        <f>IFERROR(VLOOKUP(C866,[3]List1!$A:$D,2,FALSE),"N/A!")</f>
        <v>7700</v>
      </c>
      <c r="Q866" s="729" t="s">
        <v>14179</v>
      </c>
      <c r="R866" s="729" t="s">
        <v>24</v>
      </c>
      <c r="S866" s="729" t="str">
        <f>IF($W$17=$AF$1,"červená fólie",IFERROR(VLOOKUP("červená fólie",Jazyky_ceník!$A:$Q,MATCH($W$17,Jazyky_ceník!$A$1:$Q$1,0),FALSE),"!!!"))</f>
        <v>červená fólie</v>
      </c>
      <c r="T866" s="729">
        <v>65</v>
      </c>
      <c r="U866" s="729" t="s">
        <v>13822</v>
      </c>
      <c r="V866" s="729" t="s">
        <v>13824</v>
      </c>
      <c r="W866" s="729" t="str">
        <f>IFERROR(VLOOKUP('General price list'!$C866,Popisy!A:P,MATCH($W$17,Popisy!$A$7:$P$7,0),FALSE),"---------------")</f>
        <v>14 různobarevných efektů</v>
      </c>
      <c r="X866" s="729" t="str">
        <f t="shared" si="2166"/>
        <v/>
      </c>
      <c r="Y866" s="729" t="str">
        <f t="shared" si="2167"/>
        <v/>
      </c>
      <c r="Z866" s="729" t="str">
        <f>HYPERLINK("https://www.klasekpyrotechnics.cz/c100mpt-c14_t")</f>
        <v>https://www.klasekpyrotechnics.cz/c100mpt-c14_t</v>
      </c>
      <c r="AA866" s="729">
        <f>IFERROR(IF(VLOOKUP(C866,[4]List1!$A:$D,4,FALSE)=0,"",VLOOKUP(C866,[4]List1!$A:$D,4,FALSE)),"")</f>
        <v>60</v>
      </c>
      <c r="AB866" s="720"/>
      <c r="AC866" s="733" t="str">
        <f>IFERROR(IF(VLOOKUP(C866,[1]List1!$A:$D,2,FALSE)="VYPRODÁNO",$V$9,IF(VLOOKUP(C866,[1]List1!$A:$D,2,FALSE)="DOCHÁZÍ",$V$3,VLOOKUP(C866,[1]List1!$A:$D,2,FALSE))),"OFFLINE!")</f>
        <v>SKLADEM</v>
      </c>
      <c r="AD866" s="734" t="str">
        <f ca="1">IF(AP866="NE",$V$10,IF(AC866=$V$3,IF(AQ866&lt;1,$V$8,$V$2&amp;" "&amp;AQ866&amp;" "&amp;$V$1),IF(AC866="SKLADEM",$V$6,IFERROR(IF(OR(AC866-TODAY()&gt;45,VLOOKUP(C866,[1]List1!$A:$E,4,FALSE)=0),AC866,DAY(AC866)&amp;"."&amp;MONTH(AC866)&amp;"."&amp;YEAR(AC866)&amp;" "&amp;$V$4&amp;VLOOKUP(C866,[1]List1!$A:$E,4,FALSE)&amp;" "&amp;$V$1),AC866))))</f>
        <v>SKLADEM</v>
      </c>
      <c r="AE866" s="729" t="str">
        <f t="shared" ca="1" si="2168"/>
        <v>SKLADEM</v>
      </c>
      <c r="AF866" s="735">
        <f t="shared" si="2169"/>
        <v>0</v>
      </c>
      <c r="AG866" s="735">
        <f t="shared" si="2170"/>
        <v>0</v>
      </c>
      <c r="AH866" s="736">
        <f t="shared" si="2171"/>
        <v>0</v>
      </c>
      <c r="AI866" s="729">
        <f t="shared" si="2172"/>
        <v>0</v>
      </c>
      <c r="AJ866" s="729">
        <f t="shared" si="2173"/>
        <v>0</v>
      </c>
      <c r="AK866" s="729" t="str">
        <f t="shared" si="2174"/>
        <v/>
      </c>
      <c r="AL866" s="729" t="str">
        <f t="shared" si="2175"/>
        <v/>
      </c>
      <c r="AM866" s="729">
        <f t="shared" si="2176"/>
        <v>0</v>
      </c>
      <c r="AN866" s="729">
        <f t="shared" si="2177"/>
        <v>0</v>
      </c>
      <c r="AO866" s="380"/>
      <c r="AP866" s="322" t="str">
        <f t="shared" si="2142"/>
        <v/>
      </c>
      <c r="AQ866" s="323" t="str">
        <f>IF(AC866=$V$3,IF(VLOOKUP(C866,[1]List1!$A:$E,5,FALSE)=0,1,VLOOKUP(C866,[1]List1!$A:$E,5,FALSE)),"")</f>
        <v/>
      </c>
      <c r="AR866" s="304" t="str">
        <f t="shared" si="2143"/>
        <v/>
      </c>
      <c r="AS866" s="423" t="str">
        <f t="shared" si="2144"/>
        <v/>
      </c>
      <c r="AT866" s="304" t="str">
        <f t="shared" si="2145"/>
        <v/>
      </c>
      <c r="AU866" s="342" t="e">
        <f t="shared" si="2146"/>
        <v>#N/A</v>
      </c>
      <c r="AV866" s="304" t="e">
        <f t="shared" si="2147"/>
        <v>#N/A</v>
      </c>
      <c r="AX866" s="304">
        <f>IF(AND('General price list'!$J866="F4",'General price list'!$AB866+0&gt;0),1,0)</f>
        <v>0</v>
      </c>
      <c r="AY866" s="304">
        <f t="shared" si="2148"/>
        <v>1</v>
      </c>
      <c r="AZ866" s="304">
        <f t="shared" si="2149"/>
        <v>0</v>
      </c>
    </row>
    <row r="867" spans="1:52" ht="15" customHeight="1">
      <c r="A867" s="712" t="str">
        <f>Kat.!C865</f>
        <v/>
      </c>
      <c r="B867" s="737">
        <f>IF(AND('General price list'!$J867="F4",$AI$1=FALSE),0,IF(AC867="SKLADEM",1,IF(AC867=$V$3,1,0)))</f>
        <v>1</v>
      </c>
      <c r="C867" s="714" t="s">
        <v>5513</v>
      </c>
      <c r="D867" s="715" t="s">
        <v>1699</v>
      </c>
      <c r="E867" s="716" t="s">
        <v>136</v>
      </c>
      <c r="F867" s="712">
        <f>IFERROR(ROUND(IF($AL$3=2,VLOOKUP(C867,[2]List1!$A:$D,2,FALSE)*1.08,VLOOKUP(C867,[2]List1!$A:$D,2,FALSE)),0),"NEUVEDENO!")</f>
        <v>2142</v>
      </c>
      <c r="G867" s="717">
        <f t="shared" si="2164"/>
        <v>2142</v>
      </c>
      <c r="H867" s="718">
        <f t="shared" si="2165"/>
        <v>87.041680042586222</v>
      </c>
      <c r="I867" s="738">
        <v>1</v>
      </c>
      <c r="J867" s="716" t="s">
        <v>46</v>
      </c>
      <c r="K867" s="716">
        <v>6</v>
      </c>
      <c r="L867" s="716" t="s">
        <v>24</v>
      </c>
      <c r="M867" s="716" t="s">
        <v>25</v>
      </c>
      <c r="N867" s="716">
        <f>IFERROR(VLOOKUP(C867,[3]List1!$A:$D,4,FALSE),"N/A!")</f>
        <v>1.8926249999999999E-2</v>
      </c>
      <c r="O867" s="716">
        <f>IFERROR(VLOOKUP(C867,[3]List1!$A:$D,3,FALSE),"N/A!")</f>
        <v>990</v>
      </c>
      <c r="P867" s="716">
        <f>IFERROR(VLOOKUP(C867,[3]List1!$A:$D,2,FALSE),"N/A!")</f>
        <v>8000</v>
      </c>
      <c r="Q867" s="716" t="s">
        <v>14272</v>
      </c>
      <c r="R867" s="716" t="s">
        <v>24</v>
      </c>
      <c r="S867" s="716" t="str">
        <f>IF($W$17=$AF$1,"červená fólie",IFERROR(VLOOKUP("červená fólie",Jazyky_ceník!$A:$Q,MATCH($W$17,Jazyky_ceník!$A$1:$Q$1,0),FALSE),"!!!"))</f>
        <v>červená fólie</v>
      </c>
      <c r="T867" s="716">
        <v>100</v>
      </c>
      <c r="U867" s="716" t="s">
        <v>13829</v>
      </c>
      <c r="V867" s="716" t="s">
        <v>13831</v>
      </c>
      <c r="W867" s="716" t="str">
        <f>IFERROR(VLOOKUP('General price list'!$C867,Popisy!A:P,MATCH($W$17,Popisy!$A$7:$P$7,0),FALSE),"---------------")</f>
        <v>18 různobarevných efektů</v>
      </c>
      <c r="X867" s="716" t="str">
        <f t="shared" si="2166"/>
        <v/>
      </c>
      <c r="Y867" s="716" t="str">
        <f t="shared" si="2167"/>
        <v/>
      </c>
      <c r="Z867" s="716" t="str">
        <f>HYPERLINK("https://www.klasekpyrotechnics.cz/c128ms-c14_t")</f>
        <v>https://www.klasekpyrotechnics.cz/c128ms-c14_t</v>
      </c>
      <c r="AA867" s="716">
        <f>IFERROR(IF(VLOOKUP(C867,[4]List1!$A:$D,4,FALSE)=0,"",VLOOKUP(C867,[4]List1!$A:$D,4,FALSE)),"")</f>
        <v>63</v>
      </c>
      <c r="AB867" s="720"/>
      <c r="AC867" s="739" t="str">
        <f>IFERROR(IF(VLOOKUP(C867,[1]List1!$A:$D,2,FALSE)="VYPRODÁNO",$V$9,IF(VLOOKUP(C867,[1]List1!$A:$D,2,FALSE)="DOCHÁZÍ",$V$3,VLOOKUP(C867,[1]List1!$A:$D,2,FALSE))),"OFFLINE!")</f>
        <v>SKLADEM</v>
      </c>
      <c r="AD867" s="740" t="str">
        <f ca="1">IF(AP867="NE",$V$10,IF(AC867=$V$3,IF(AQ867&lt;1,$V$8,$V$2&amp;" "&amp;AQ867&amp;" "&amp;$V$1),IF(AC867="SKLADEM",$V$6,IFERROR(IF(OR(AC867-TODAY()&gt;45,VLOOKUP(C867,[1]List1!$A:$E,4,FALSE)=0),AC867,DAY(AC867)&amp;"."&amp;MONTH(AC867)&amp;"."&amp;YEAR(AC867)&amp;" "&amp;$V$4&amp;VLOOKUP(C867,[1]List1!$A:$E,4,FALSE)&amp;" "&amp;$V$1),AC867))))</f>
        <v>SKLADEM</v>
      </c>
      <c r="AE867" s="716" t="str">
        <f t="shared" ca="1" si="2168"/>
        <v>SKLADEM</v>
      </c>
      <c r="AF867" s="723">
        <f t="shared" si="2169"/>
        <v>0</v>
      </c>
      <c r="AG867" s="723">
        <f t="shared" si="2170"/>
        <v>0</v>
      </c>
      <c r="AH867" s="724">
        <f t="shared" si="2171"/>
        <v>0</v>
      </c>
      <c r="AI867" s="716">
        <f t="shared" si="2172"/>
        <v>0</v>
      </c>
      <c r="AJ867" s="716">
        <f t="shared" si="2173"/>
        <v>0</v>
      </c>
      <c r="AK867" s="716" t="str">
        <f t="shared" si="2174"/>
        <v/>
      </c>
      <c r="AL867" s="716" t="str">
        <f t="shared" si="2175"/>
        <v/>
      </c>
      <c r="AM867" s="716">
        <f t="shared" si="2176"/>
        <v>0</v>
      </c>
      <c r="AN867" s="716">
        <f t="shared" si="2177"/>
        <v>0</v>
      </c>
      <c r="AO867" s="380"/>
      <c r="AP867" s="322" t="str">
        <f t="shared" si="2142"/>
        <v/>
      </c>
      <c r="AQ867" s="323" t="str">
        <f>IF(AC867=$V$3,IF(VLOOKUP(C867,[1]List1!$A:$E,5,FALSE)=0,1,VLOOKUP(C867,[1]List1!$A:$E,5,FALSE)),"")</f>
        <v/>
      </c>
      <c r="AR867" s="304" t="str">
        <f t="shared" si="2143"/>
        <v/>
      </c>
      <c r="AS867" s="423" t="str">
        <f t="shared" si="2144"/>
        <v/>
      </c>
      <c r="AT867" s="304" t="str">
        <f t="shared" si="2145"/>
        <v/>
      </c>
      <c r="AU867" s="342" t="e">
        <f t="shared" si="2146"/>
        <v>#N/A</v>
      </c>
      <c r="AV867" s="304" t="e">
        <f t="shared" si="2147"/>
        <v>#N/A</v>
      </c>
      <c r="AX867" s="304">
        <f>IF(AND('General price list'!$J867="F4",'General price list'!$AB867+0&gt;0),1,0)</f>
        <v>0</v>
      </c>
      <c r="AY867" s="304">
        <f t="shared" si="2148"/>
        <v>1</v>
      </c>
      <c r="AZ867" s="304">
        <f t="shared" si="2149"/>
        <v>0</v>
      </c>
    </row>
    <row r="868" spans="1:52" ht="15" customHeight="1">
      <c r="A868" s="725" t="str">
        <f>Kat.!C866</f>
        <v/>
      </c>
      <c r="B868" s="726">
        <f>IF(AND('General price list'!$J868="F4",$AI$1=FALSE),0,IF(AC868="SKLADEM",1,IF(AC868=$V$3,1,0)))</f>
        <v>1</v>
      </c>
      <c r="C868" s="727" t="s">
        <v>2766</v>
      </c>
      <c r="D868" s="728" t="s">
        <v>2595</v>
      </c>
      <c r="E868" s="729" t="s">
        <v>136</v>
      </c>
      <c r="F868" s="725">
        <f>IFERROR(ROUND(IF($AL$3=2,VLOOKUP(C868,[2]List1!$A:$D,2,FALSE)*1.08,VLOOKUP(C868,[2]List1!$A:$D,2,FALSE)),0),"NEUVEDENO!")</f>
        <v>3170</v>
      </c>
      <c r="G868" s="730">
        <f t="shared" si="2164"/>
        <v>3170</v>
      </c>
      <c r="H868" s="731">
        <f t="shared" si="2165"/>
        <v>128.81518475023265</v>
      </c>
      <c r="I868" s="732">
        <v>1</v>
      </c>
      <c r="J868" s="729" t="s">
        <v>46</v>
      </c>
      <c r="K868" s="729">
        <v>6</v>
      </c>
      <c r="L868" s="729" t="s">
        <v>24</v>
      </c>
      <c r="M868" s="729" t="s">
        <v>25</v>
      </c>
      <c r="N868" s="729">
        <f>IFERROR(VLOOKUP(C868,[3]List1!$A:$D,4,FALSE),"N/A!")</f>
        <v>3.9199999999999999E-2</v>
      </c>
      <c r="O868" s="729">
        <f>IFERROR(VLOOKUP(C868,[3]List1!$A:$D,3,FALSE),"N/A!")</f>
        <v>2000</v>
      </c>
      <c r="P868" s="729">
        <f>IFERROR(VLOOKUP(C868,[3]List1!$A:$D,2,FALSE),"N/A!")</f>
        <v>13500</v>
      </c>
      <c r="Q868" s="729" t="s">
        <v>14270</v>
      </c>
      <c r="R868" s="729" t="s">
        <v>24</v>
      </c>
      <c r="S868" s="729" t="str">
        <f>IF($W$17=$AF$1,"červená fólie",IFERROR(VLOOKUP("červená fólie",Jazyky_ceník!$A:$Q,MATCH($W$17,Jazyky_ceník!$A$1:$Q$1,0),FALSE),"!!!"))</f>
        <v>červená fólie</v>
      </c>
      <c r="T868" s="729">
        <v>105</v>
      </c>
      <c r="U868" s="729" t="s">
        <v>13822</v>
      </c>
      <c r="V868" s="729" t="s">
        <v>13833</v>
      </c>
      <c r="W868" s="729" t="str">
        <f>IFERROR(VLOOKUP('General price list'!$C868,Popisy!A:P,MATCH($W$17,Popisy!$A$7:$P$7,0),FALSE),"---------------")</f>
        <v>24 různobarevných efektů</v>
      </c>
      <c r="X868" s="729" t="str">
        <f t="shared" si="2166"/>
        <v/>
      </c>
      <c r="Y868" s="729" t="str">
        <f t="shared" si="2167"/>
        <v/>
      </c>
      <c r="Z868" s="729" t="str">
        <f>HYPERLINK("https://www.klasekpyrotechnics.cz/c132xmpt-c14_t")</f>
        <v>https://www.klasekpyrotechnics.cz/c132xmpt-c14_t</v>
      </c>
      <c r="AA868" s="729">
        <f>IFERROR(IF(VLOOKUP(C868,[4]List1!$A:$D,4,FALSE)=0,"",VLOOKUP(C868,[4]List1!$A:$D,4,FALSE)),"")</f>
        <v>32</v>
      </c>
      <c r="AB868" s="720"/>
      <c r="AC868" s="733" t="str">
        <f>IFERROR(IF(VLOOKUP(C868,[1]List1!$A:$D,2,FALSE)="VYPRODÁNO",$V$9,IF(VLOOKUP(C868,[1]List1!$A:$D,2,FALSE)="DOCHÁZÍ",$V$3,VLOOKUP(C868,[1]List1!$A:$D,2,FALSE))),"OFFLINE!")</f>
        <v>SKLADEM</v>
      </c>
      <c r="AD868" s="734" t="str">
        <f ca="1">IF(AP868="NE",$V$10,IF(AC868=$V$3,IF(AQ868&lt;1,$V$8,$V$2&amp;" "&amp;AQ868&amp;" "&amp;$V$1),IF(AC868="SKLADEM",$V$6,IFERROR(IF(OR(AC868-TODAY()&gt;45,VLOOKUP(C868,[1]List1!$A:$E,4,FALSE)=0),AC868,DAY(AC868)&amp;"."&amp;MONTH(AC868)&amp;"."&amp;YEAR(AC868)&amp;" "&amp;$V$4&amp;VLOOKUP(C868,[1]List1!$A:$E,4,FALSE)&amp;" "&amp;$V$1),AC868))))</f>
        <v>SKLADEM</v>
      </c>
      <c r="AE868" s="729" t="str">
        <f t="shared" ca="1" si="2168"/>
        <v>SKLADEM</v>
      </c>
      <c r="AF868" s="735">
        <f t="shared" si="2169"/>
        <v>0</v>
      </c>
      <c r="AG868" s="735">
        <f t="shared" si="2170"/>
        <v>0</v>
      </c>
      <c r="AH868" s="736">
        <f t="shared" si="2171"/>
        <v>0</v>
      </c>
      <c r="AI868" s="729">
        <f t="shared" si="2172"/>
        <v>0</v>
      </c>
      <c r="AJ868" s="729">
        <f t="shared" si="2173"/>
        <v>0</v>
      </c>
      <c r="AK868" s="729" t="str">
        <f t="shared" si="2174"/>
        <v/>
      </c>
      <c r="AL868" s="729" t="str">
        <f t="shared" si="2175"/>
        <v/>
      </c>
      <c r="AM868" s="729">
        <f t="shared" si="2176"/>
        <v>0</v>
      </c>
      <c r="AN868" s="729">
        <f t="shared" si="2177"/>
        <v>0</v>
      </c>
      <c r="AO868" s="380"/>
      <c r="AP868" s="322" t="str">
        <f t="shared" si="2142"/>
        <v/>
      </c>
      <c r="AQ868" s="323" t="str">
        <f>IF(AC868=$V$3,IF(VLOOKUP(C868,[1]List1!$A:$E,5,FALSE)=0,1,VLOOKUP(C868,[1]List1!$A:$E,5,FALSE)),"")</f>
        <v/>
      </c>
      <c r="AR868" s="304" t="str">
        <f t="shared" si="2143"/>
        <v/>
      </c>
      <c r="AS868" s="423" t="str">
        <f t="shared" si="2144"/>
        <v/>
      </c>
      <c r="AT868" s="304" t="str">
        <f t="shared" si="2145"/>
        <v/>
      </c>
      <c r="AU868" s="342" t="e">
        <f t="shared" si="2146"/>
        <v>#N/A</v>
      </c>
      <c r="AV868" s="304" t="e">
        <f t="shared" si="2147"/>
        <v>#N/A</v>
      </c>
      <c r="AX868" s="304">
        <f>IF(AND('General price list'!$J868="F4",'General price list'!$AB868+0&gt;0),1,0)</f>
        <v>0</v>
      </c>
      <c r="AY868" s="304">
        <f t="shared" si="2148"/>
        <v>1</v>
      </c>
      <c r="AZ868" s="304">
        <f t="shared" si="2149"/>
        <v>0</v>
      </c>
    </row>
    <row r="869" spans="1:52" ht="15" customHeight="1">
      <c r="A869" s="712" t="str">
        <f>Kat.!C867</f>
        <v/>
      </c>
      <c r="B869" s="737">
        <f>IF(AND('General price list'!$J869="F4",$AI$1=FALSE),0,IF(AC869="SKLADEM",1,IF(AC869=$V$3,1,0)))</f>
        <v>1</v>
      </c>
      <c r="C869" s="714" t="s">
        <v>5514</v>
      </c>
      <c r="D869" s="715" t="s">
        <v>5492</v>
      </c>
      <c r="E869" s="716" t="s">
        <v>136</v>
      </c>
      <c r="F869" s="712">
        <f>IFERROR(ROUND(IF($AL$3=2,VLOOKUP(C869,[2]List1!$A:$D,2,FALSE)*1.08,VLOOKUP(C869,[2]List1!$A:$D,2,FALSE)),0),"NEUVEDENO!")</f>
        <v>2526</v>
      </c>
      <c r="G869" s="717">
        <f t="shared" si="2164"/>
        <v>2526</v>
      </c>
      <c r="H869" s="718">
        <f t="shared" si="2165"/>
        <v>102.64579075050084</v>
      </c>
      <c r="I869" s="738">
        <v>1</v>
      </c>
      <c r="J869" s="716" t="s">
        <v>46</v>
      </c>
      <c r="K869" s="716">
        <v>6</v>
      </c>
      <c r="L869" s="716" t="s">
        <v>24</v>
      </c>
      <c r="M869" s="716" t="s">
        <v>25</v>
      </c>
      <c r="N869" s="716">
        <f>IFERROR(VLOOKUP(C869,[3]List1!$A:$D,4,FALSE),"N/A!")</f>
        <v>3.2543999999999997E-2</v>
      </c>
      <c r="O869" s="716">
        <f>IFERROR(VLOOKUP(C869,[3]List1!$A:$D,3,FALSE),"N/A!")</f>
        <v>1000</v>
      </c>
      <c r="P869" s="716">
        <f>IFERROR(VLOOKUP(C869,[3]List1!$A:$D,2,FALSE),"N/A!")</f>
        <v>9500</v>
      </c>
      <c r="Q869" s="716" t="s">
        <v>14271</v>
      </c>
      <c r="R869" s="716" t="s">
        <v>24</v>
      </c>
      <c r="S869" s="716" t="str">
        <f>IF($W$17=$AF$1,"červená fólie",IFERROR(VLOOKUP("červená fólie",Jazyky_ceník!$A:$Q,MATCH($W$17,Jazyky_ceník!$A$1:$Q$1,0),FALSE),"!!!"))</f>
        <v>červená fólie</v>
      </c>
      <c r="T869" s="716">
        <v>70</v>
      </c>
      <c r="U869" s="716" t="s">
        <v>13822</v>
      </c>
      <c r="V869" s="716" t="s">
        <v>13833</v>
      </c>
      <c r="W869" s="716" t="str">
        <f>IFERROR(VLOOKUP('General price list'!$C869,Popisy!A:P,MATCH($W$17,Popisy!$A$7:$P$7,0),FALSE),"---------------")</f>
        <v>28 různobarevných efektů</v>
      </c>
      <c r="X869" s="716" t="str">
        <f t="shared" si="2166"/>
        <v/>
      </c>
      <c r="Y869" s="716" t="str">
        <f t="shared" si="2167"/>
        <v/>
      </c>
      <c r="Z869" s="716" t="str">
        <f>HYPERLINK("https://www.klasekpyrotechnics.cz/c136xmts-c14_t")</f>
        <v>https://www.klasekpyrotechnics.cz/c136xmts-c14_t</v>
      </c>
      <c r="AA869" s="716">
        <f>IFERROR(IF(VLOOKUP(C869,[4]List1!$A:$D,4,FALSE)=0,"",VLOOKUP(C869,[4]List1!$A:$D,4,FALSE)),"")</f>
        <v>32</v>
      </c>
      <c r="AB869" s="720"/>
      <c r="AC869" s="739" t="str">
        <f>IFERROR(IF(VLOOKUP(C869,[1]List1!$A:$D,2,FALSE)="VYPRODÁNO",$V$9,IF(VLOOKUP(C869,[1]List1!$A:$D,2,FALSE)="DOCHÁZÍ",$V$3,VLOOKUP(C869,[1]List1!$A:$D,2,FALSE))),"OFFLINE!")</f>
        <v>SKLADEM</v>
      </c>
      <c r="AD869" s="740" t="str">
        <f ca="1">IF(AP869="NE",$V$10,IF(AC869=$V$3,IF(AQ869&lt;1,$V$8,$V$2&amp;" "&amp;AQ869&amp;" "&amp;$V$1),IF(AC869="SKLADEM",$V$6,IFERROR(IF(OR(AC869-TODAY()&gt;45,VLOOKUP(C869,[1]List1!$A:$E,4,FALSE)=0),AC869,DAY(AC869)&amp;"."&amp;MONTH(AC869)&amp;"."&amp;YEAR(AC869)&amp;" "&amp;$V$4&amp;VLOOKUP(C869,[1]List1!$A:$E,4,FALSE)&amp;" "&amp;$V$1),AC869))))</f>
        <v>SKLADEM</v>
      </c>
      <c r="AE869" s="716" t="str">
        <f t="shared" ca="1" si="2168"/>
        <v>SKLADEM</v>
      </c>
      <c r="AF869" s="723">
        <f t="shared" si="2169"/>
        <v>0</v>
      </c>
      <c r="AG869" s="723">
        <f t="shared" si="2170"/>
        <v>0</v>
      </c>
      <c r="AH869" s="724">
        <f t="shared" si="2171"/>
        <v>0</v>
      </c>
      <c r="AI869" s="716">
        <f t="shared" si="2172"/>
        <v>0</v>
      </c>
      <c r="AJ869" s="716">
        <f t="shared" si="2173"/>
        <v>0</v>
      </c>
      <c r="AK869" s="716" t="str">
        <f t="shared" si="2174"/>
        <v/>
      </c>
      <c r="AL869" s="716" t="str">
        <f t="shared" si="2175"/>
        <v/>
      </c>
      <c r="AM869" s="716">
        <f t="shared" si="2176"/>
        <v>0</v>
      </c>
      <c r="AN869" s="716">
        <f t="shared" si="2177"/>
        <v>0</v>
      </c>
      <c r="AO869" s="380"/>
      <c r="AP869" s="322" t="str">
        <f t="shared" si="2142"/>
        <v/>
      </c>
      <c r="AQ869" s="323" t="str">
        <f>IF(AC869=$V$3,IF(VLOOKUP(C869,[1]List1!$A:$E,5,FALSE)=0,1,VLOOKUP(C869,[1]List1!$A:$E,5,FALSE)),"")</f>
        <v/>
      </c>
      <c r="AR869" s="304" t="str">
        <f t="shared" si="2143"/>
        <v/>
      </c>
      <c r="AS869" s="423" t="str">
        <f t="shared" si="2144"/>
        <v/>
      </c>
      <c r="AT869" s="304" t="str">
        <f t="shared" si="2145"/>
        <v/>
      </c>
      <c r="AU869" s="342" t="e">
        <f t="shared" si="2146"/>
        <v>#N/A</v>
      </c>
      <c r="AV869" s="304" t="e">
        <f t="shared" si="2147"/>
        <v>#N/A</v>
      </c>
      <c r="AX869" s="304">
        <f>IF(AND('General price list'!$J869="F4",'General price list'!$AB869+0&gt;0),1,0)</f>
        <v>0</v>
      </c>
      <c r="AY869" s="304">
        <f t="shared" si="2148"/>
        <v>1</v>
      </c>
      <c r="AZ869" s="304">
        <f t="shared" si="2149"/>
        <v>0</v>
      </c>
    </row>
    <row r="870" spans="1:52" ht="15" customHeight="1">
      <c r="A870" s="725" t="str">
        <f>Kat.!C868</f>
        <v/>
      </c>
      <c r="B870" s="726">
        <f>IF(AND('General price list'!$J870="F4",$AI$1=FALSE),0,IF(AC870="SKLADEM",1,IF(AC870=$V$3,1,0)))</f>
        <v>1</v>
      </c>
      <c r="C870" s="727" t="s">
        <v>5515</v>
      </c>
      <c r="D870" s="728" t="s">
        <v>5494</v>
      </c>
      <c r="E870" s="729" t="s">
        <v>136</v>
      </c>
      <c r="F870" s="725">
        <f>IFERROR(ROUND(IF($AL$3=2,VLOOKUP(C870,[2]List1!$A:$D,2,FALSE)*1.08,VLOOKUP(C870,[2]List1!$A:$D,2,FALSE)),0),"NEUVEDENO!")</f>
        <v>2526</v>
      </c>
      <c r="G870" s="730">
        <f t="shared" si="2164"/>
        <v>2526</v>
      </c>
      <c r="H870" s="731">
        <f t="shared" si="2165"/>
        <v>102.64579075050084</v>
      </c>
      <c r="I870" s="732">
        <v>1</v>
      </c>
      <c r="J870" s="729" t="s">
        <v>46</v>
      </c>
      <c r="K870" s="729">
        <v>6</v>
      </c>
      <c r="L870" s="729" t="s">
        <v>24</v>
      </c>
      <c r="M870" s="729" t="s">
        <v>25</v>
      </c>
      <c r="N870" s="729">
        <f>IFERROR(VLOOKUP(C870,[3]List1!$A:$D,4,FALSE),"N/A!")</f>
        <v>3.2543999999999997E-2</v>
      </c>
      <c r="O870" s="729">
        <f>IFERROR(VLOOKUP(C870,[3]List1!$A:$D,3,FALSE),"N/A!")</f>
        <v>1000</v>
      </c>
      <c r="P870" s="729">
        <f>IFERROR(VLOOKUP(C870,[3]List1!$A:$D,2,FALSE),"N/A!")</f>
        <v>9500</v>
      </c>
      <c r="Q870" s="729" t="s">
        <v>14271</v>
      </c>
      <c r="R870" s="729" t="s">
        <v>24</v>
      </c>
      <c r="S870" s="729" t="str">
        <f>IF($W$17=$AF$1,"červená fólie",IFERROR(VLOOKUP("červená fólie",Jazyky_ceník!$A:$Q,MATCH($W$17,Jazyky_ceník!$A$1:$Q$1,0),FALSE),"!!!"))</f>
        <v>červená fólie</v>
      </c>
      <c r="T870" s="729">
        <v>90</v>
      </c>
      <c r="U870" s="729" t="s">
        <v>13822</v>
      </c>
      <c r="V870" s="729" t="s">
        <v>13833</v>
      </c>
      <c r="W870" s="729" t="str">
        <f>IFERROR(VLOOKUP('General price list'!$C870,Popisy!A:P,MATCH($W$17,Popisy!$A$7:$P$7,0),FALSE),"---------------")</f>
        <v>28 různobarevných efektů</v>
      </c>
      <c r="X870" s="729" t="str">
        <f t="shared" si="2166"/>
        <v/>
      </c>
      <c r="Y870" s="729" t="str">
        <f t="shared" si="2167"/>
        <v/>
      </c>
      <c r="Z870" s="729" t="str">
        <f>HYPERLINK("https://www.klasekpyrotechnics.cz/c136xmk-c14_t")</f>
        <v>https://www.klasekpyrotechnics.cz/c136xmk-c14_t</v>
      </c>
      <c r="AA870" s="729">
        <f>IFERROR(IF(VLOOKUP(C870,[4]List1!$A:$D,4,FALSE)=0,"",VLOOKUP(C870,[4]List1!$A:$D,4,FALSE)),"")</f>
        <v>32</v>
      </c>
      <c r="AB870" s="720"/>
      <c r="AC870" s="733" t="str">
        <f>IFERROR(IF(VLOOKUP(C870,[1]List1!$A:$D,2,FALSE)="VYPRODÁNO",$V$9,IF(VLOOKUP(C870,[1]List1!$A:$D,2,FALSE)="DOCHÁZÍ",$V$3,VLOOKUP(C870,[1]List1!$A:$D,2,FALSE))),"OFFLINE!")</f>
        <v>SKLADEM</v>
      </c>
      <c r="AD870" s="734" t="str">
        <f ca="1">IF(AP870="NE",$V$10,IF(AC870=$V$3,IF(AQ870&lt;1,$V$8,$V$2&amp;" "&amp;AQ870&amp;" "&amp;$V$1),IF(AC870="SKLADEM",$V$6,IFERROR(IF(OR(AC870-TODAY()&gt;45,VLOOKUP(C870,[1]List1!$A:$E,4,FALSE)=0),AC870,DAY(AC870)&amp;"."&amp;MONTH(AC870)&amp;"."&amp;YEAR(AC870)&amp;" "&amp;$V$4&amp;VLOOKUP(C870,[1]List1!$A:$E,4,FALSE)&amp;" "&amp;$V$1),AC870))))</f>
        <v>SKLADEM</v>
      </c>
      <c r="AE870" s="729" t="str">
        <f t="shared" ca="1" si="2168"/>
        <v>SKLADEM</v>
      </c>
      <c r="AF870" s="735">
        <f t="shared" si="2169"/>
        <v>0</v>
      </c>
      <c r="AG870" s="735">
        <f t="shared" si="2170"/>
        <v>0</v>
      </c>
      <c r="AH870" s="736">
        <f t="shared" si="2171"/>
        <v>0</v>
      </c>
      <c r="AI870" s="729">
        <f t="shared" si="2172"/>
        <v>0</v>
      </c>
      <c r="AJ870" s="729">
        <f t="shared" si="2173"/>
        <v>0</v>
      </c>
      <c r="AK870" s="729" t="str">
        <f t="shared" si="2174"/>
        <v/>
      </c>
      <c r="AL870" s="729" t="str">
        <f t="shared" si="2175"/>
        <v/>
      </c>
      <c r="AM870" s="729">
        <f t="shared" si="2176"/>
        <v>0</v>
      </c>
      <c r="AN870" s="729">
        <f t="shared" si="2177"/>
        <v>0</v>
      </c>
      <c r="AO870" s="380"/>
      <c r="AP870" s="322" t="str">
        <f t="shared" si="2142"/>
        <v/>
      </c>
      <c r="AQ870" s="323" t="str">
        <f>IF(AC870=$V$3,IF(VLOOKUP(C870,[1]List1!$A:$E,5,FALSE)=0,1,VLOOKUP(C870,[1]List1!$A:$E,5,FALSE)),"")</f>
        <v/>
      </c>
      <c r="AR870" s="304" t="str">
        <f t="shared" si="2143"/>
        <v/>
      </c>
      <c r="AS870" s="423" t="str">
        <f t="shared" si="2144"/>
        <v/>
      </c>
      <c r="AT870" s="304" t="str">
        <f t="shared" si="2145"/>
        <v/>
      </c>
      <c r="AU870" s="342" t="e">
        <f t="shared" si="2146"/>
        <v>#N/A</v>
      </c>
      <c r="AV870" s="304" t="e">
        <f t="shared" si="2147"/>
        <v>#N/A</v>
      </c>
      <c r="AX870" s="304">
        <f>IF(AND('General price list'!$J870="F4",'General price list'!$AB870+0&gt;0),1,0)</f>
        <v>0</v>
      </c>
      <c r="AY870" s="304">
        <f t="shared" si="2148"/>
        <v>1</v>
      </c>
      <c r="AZ870" s="304">
        <f t="shared" si="2149"/>
        <v>0</v>
      </c>
    </row>
    <row r="871" spans="1:52" ht="15" customHeight="1">
      <c r="A871" s="712" t="str">
        <f>Kat.!C869</f>
        <v/>
      </c>
      <c r="B871" s="737">
        <f>IF(AND('General price list'!$J871="F4",$AI$1=FALSE),0,IF(AC871="SKLADEM",1,IF(AC871=$V$3,1,0)))</f>
        <v>1</v>
      </c>
      <c r="C871" s="714" t="s">
        <v>5516</v>
      </c>
      <c r="D871" s="715" t="s">
        <v>1701</v>
      </c>
      <c r="E871" s="716" t="s">
        <v>136</v>
      </c>
      <c r="F871" s="712">
        <f>IFERROR(ROUND(IF($AL$3=2,VLOOKUP(C871,[2]List1!$A:$D,2,FALSE)*1.08,VLOOKUP(C871,[2]List1!$A:$D,2,FALSE)),0),"NEUVEDENO!")</f>
        <v>3312</v>
      </c>
      <c r="G871" s="717">
        <f t="shared" si="2164"/>
        <v>3312</v>
      </c>
      <c r="H871" s="718">
        <f t="shared" si="2165"/>
        <v>134.58545485576357</v>
      </c>
      <c r="I871" s="738">
        <v>1</v>
      </c>
      <c r="J871" s="716" t="s">
        <v>46</v>
      </c>
      <c r="K871" s="716">
        <v>6</v>
      </c>
      <c r="L871" s="716" t="s">
        <v>24</v>
      </c>
      <c r="M871" s="716" t="s">
        <v>25</v>
      </c>
      <c r="N871" s="716">
        <f>IFERROR(VLOOKUP(C871,[3]List1!$A:$D,4,FALSE),"N/A!")</f>
        <v>3.5751999999999999E-2</v>
      </c>
      <c r="O871" s="716">
        <f>IFERROR(VLOOKUP(C871,[3]List1!$A:$D,3,FALSE),"N/A!")</f>
        <v>1485</v>
      </c>
      <c r="P871" s="716">
        <f>IFERROR(VLOOKUP(C871,[3]List1!$A:$D,2,FALSE),"N/A!")</f>
        <v>11500</v>
      </c>
      <c r="Q871" s="716" t="s">
        <v>1702</v>
      </c>
      <c r="R871" s="716" t="s">
        <v>24</v>
      </c>
      <c r="S871" s="716" t="str">
        <f>IF($W$17=$AF$1,"červená fólie",IFERROR(VLOOKUP("červená fólie",Jazyky_ceník!$A:$Q,MATCH($W$17,Jazyky_ceník!$A$1:$Q$1,0),FALSE),"!!!"))</f>
        <v>červená fólie</v>
      </c>
      <c r="T871" s="716">
        <v>100</v>
      </c>
      <c r="U871" s="716" t="s">
        <v>13822</v>
      </c>
      <c r="V871" s="716" t="s">
        <v>13824</v>
      </c>
      <c r="W871" s="716" t="str">
        <f>IFERROR(VLOOKUP('General price list'!$C871,Popisy!A:P,MATCH($W$17,Popisy!$A$7:$P$7,0),FALSE),"---------------")</f>
        <v>21 různobarevných efektů</v>
      </c>
      <c r="X871" s="716" t="str">
        <f t="shared" si="2166"/>
        <v/>
      </c>
      <c r="Y871" s="716" t="str">
        <f t="shared" si="2167"/>
        <v/>
      </c>
      <c r="Z871" s="716" t="str">
        <f>HYPERLINK("https://www.klasekpyrotechnics.cz/c150mf-c14_t")</f>
        <v>https://www.klasekpyrotechnics.cz/c150mf-c14_t</v>
      </c>
      <c r="AA871" s="716">
        <f>IFERROR(IF(VLOOKUP(C871,[4]List1!$A:$D,4,FALSE)=0,"",VLOOKUP(C871,[4]List1!$A:$D,4,FALSE)),"")</f>
        <v>32</v>
      </c>
      <c r="AB871" s="720"/>
      <c r="AC871" s="739" t="str">
        <f>IFERROR(IF(VLOOKUP(C871,[1]List1!$A:$D,2,FALSE)="VYPRODÁNO",$V$9,IF(VLOOKUP(C871,[1]List1!$A:$D,2,FALSE)="DOCHÁZÍ",$V$3,VLOOKUP(C871,[1]List1!$A:$D,2,FALSE))),"OFFLINE!")</f>
        <v>SKLADEM</v>
      </c>
      <c r="AD871" s="740" t="str">
        <f ca="1">IF(AP871="NE",$V$10,IF(AC871=$V$3,IF(AQ871&lt;1,$V$8,$V$2&amp;" "&amp;AQ871&amp;" "&amp;$V$1),IF(AC871="SKLADEM",$V$6,IFERROR(IF(OR(AC871-TODAY()&gt;45,VLOOKUP(C871,[1]List1!$A:$E,4,FALSE)=0),AC871,DAY(AC871)&amp;"."&amp;MONTH(AC871)&amp;"."&amp;YEAR(AC871)&amp;" "&amp;$V$4&amp;VLOOKUP(C871,[1]List1!$A:$E,4,FALSE)&amp;" "&amp;$V$1),AC871))))</f>
        <v>SKLADEM</v>
      </c>
      <c r="AE871" s="716" t="str">
        <f t="shared" ca="1" si="2168"/>
        <v>SKLADEM</v>
      </c>
      <c r="AF871" s="723">
        <f t="shared" si="2169"/>
        <v>0</v>
      </c>
      <c r="AG871" s="723">
        <f t="shared" si="2170"/>
        <v>0</v>
      </c>
      <c r="AH871" s="724">
        <f t="shared" si="2171"/>
        <v>0</v>
      </c>
      <c r="AI871" s="716">
        <f t="shared" si="2172"/>
        <v>0</v>
      </c>
      <c r="AJ871" s="716">
        <f t="shared" si="2173"/>
        <v>0</v>
      </c>
      <c r="AK871" s="716" t="str">
        <f t="shared" si="2174"/>
        <v/>
      </c>
      <c r="AL871" s="716" t="str">
        <f t="shared" si="2175"/>
        <v/>
      </c>
      <c r="AM871" s="716">
        <f t="shared" si="2176"/>
        <v>0</v>
      </c>
      <c r="AN871" s="716">
        <f t="shared" si="2177"/>
        <v>0</v>
      </c>
      <c r="AO871" s="380"/>
      <c r="AP871" s="322" t="str">
        <f t="shared" si="2142"/>
        <v/>
      </c>
      <c r="AQ871" s="323" t="str">
        <f>IF(AC871=$V$3,IF(VLOOKUP(C871,[1]List1!$A:$E,5,FALSE)=0,1,VLOOKUP(C871,[1]List1!$A:$E,5,FALSE)),"")</f>
        <v/>
      </c>
      <c r="AR871" s="304" t="str">
        <f t="shared" si="2143"/>
        <v/>
      </c>
      <c r="AS871" s="423" t="str">
        <f t="shared" si="2144"/>
        <v/>
      </c>
      <c r="AT871" s="304" t="str">
        <f t="shared" si="2145"/>
        <v/>
      </c>
      <c r="AU871" s="342" t="e">
        <f t="shared" si="2146"/>
        <v>#N/A</v>
      </c>
      <c r="AV871" s="304" t="e">
        <f t="shared" si="2147"/>
        <v>#N/A</v>
      </c>
      <c r="AX871" s="304">
        <f>IF(AND('General price list'!$J871="F4",'General price list'!$AB871+0&gt;0),1,0)</f>
        <v>0</v>
      </c>
      <c r="AY871" s="304">
        <f t="shared" si="2148"/>
        <v>1</v>
      </c>
      <c r="AZ871" s="304">
        <f t="shared" si="2149"/>
        <v>0</v>
      </c>
    </row>
    <row r="872" spans="1:52" ht="15" customHeight="1">
      <c r="A872" s="725" t="str">
        <f>Kat.!C870</f>
        <v/>
      </c>
      <c r="B872" s="726">
        <f>IF(AND('General price list'!$J872="F4",$AI$1=FALSE),0,IF(AC872="SKLADEM",1,IF(AC872=$V$3,1,0)))</f>
        <v>0</v>
      </c>
      <c r="C872" s="727" t="s">
        <v>2767</v>
      </c>
      <c r="D872" s="728" t="s">
        <v>1589</v>
      </c>
      <c r="E872" s="729" t="s">
        <v>136</v>
      </c>
      <c r="F872" s="725">
        <f>IFERROR(ROUND(IF($AL$3=2,VLOOKUP(C872,[2]List1!$A:$D,2,FALSE)*1.08,VLOOKUP(C872,[2]List1!$A:$D,2,FALSE)),0),"NEUVEDENO!")</f>
        <v>4352</v>
      </c>
      <c r="G872" s="730">
        <f t="shared" si="2164"/>
        <v>4352</v>
      </c>
      <c r="H872" s="731">
        <f t="shared" si="2165"/>
        <v>176.84658802303233</v>
      </c>
      <c r="I872" s="732">
        <v>1</v>
      </c>
      <c r="J872" s="729" t="s">
        <v>46</v>
      </c>
      <c r="K872" s="729">
        <v>6</v>
      </c>
      <c r="L872" s="729" t="s">
        <v>24</v>
      </c>
      <c r="M872" s="729" t="s">
        <v>25</v>
      </c>
      <c r="N872" s="729">
        <f>IFERROR(VLOOKUP(C872,[3]List1!$A:$D,4,FALSE),"N/A!")</f>
        <v>4.7887999999999993E-2</v>
      </c>
      <c r="O872" s="729">
        <f>IFERROR(VLOOKUP(C872,[3]List1!$A:$D,3,FALSE),"N/A!")</f>
        <v>1980</v>
      </c>
      <c r="P872" s="729">
        <f>IFERROR(VLOOKUP(C872,[3]List1!$A:$D,2,FALSE),"N/A!")</f>
        <v>15800</v>
      </c>
      <c r="Q872" s="729" t="s">
        <v>11325</v>
      </c>
      <c r="R872" s="729" t="s">
        <v>24</v>
      </c>
      <c r="S872" s="729" t="str">
        <f>IF($W$17=$AF$1,"červená fólie",IFERROR(VLOOKUP("červená fólie",Jazyky_ceník!$A:$Q,MATCH($W$17,Jazyky_ceník!$A$1:$Q$1,0),FALSE),"!!!"))</f>
        <v>červená fólie</v>
      </c>
      <c r="T872" s="729">
        <v>150</v>
      </c>
      <c r="U872" s="729" t="s">
        <v>13822</v>
      </c>
      <c r="V872" s="729" t="s">
        <v>13824</v>
      </c>
      <c r="W872" s="729" t="str">
        <f>IFERROR(VLOOKUP('General price list'!$C872,Popisy!A:P,MATCH($W$17,Popisy!$A$7:$P$7,0),FALSE),"---------------")</f>
        <v>14 různobarevných efektů</v>
      </c>
      <c r="X872" s="729" t="str">
        <f t="shared" si="2166"/>
        <v/>
      </c>
      <c r="Y872" s="729" t="str">
        <f t="shared" si="2167"/>
        <v/>
      </c>
      <c r="Z872" s="729" t="str">
        <f>HYPERLINK("https://www.klasekpyrotechnics.cz/c200mf-c14_t")</f>
        <v>https://www.klasekpyrotechnics.cz/c200mf-c14_t</v>
      </c>
      <c r="AA872" s="729">
        <f>IFERROR(IF(VLOOKUP(C872,[4]List1!$A:$D,4,FALSE)=0,"",VLOOKUP(C872,[4]List1!$A:$D,4,FALSE)),"")</f>
        <v>24</v>
      </c>
      <c r="AB872" s="720"/>
      <c r="AC872" s="733" t="str">
        <f>IFERROR(IF(VLOOKUP(C872,[1]List1!$A:$D,2,FALSE)="VYPRODÁNO",$V$9,IF(VLOOKUP(C872,[1]List1!$A:$D,2,FALSE)="DOCHÁZÍ",$V$3,VLOOKUP(C872,[1]List1!$A:$D,2,FALSE))),"OFFLINE!")</f>
        <v>30.09.2024</v>
      </c>
      <c r="AD872" s="734" t="str">
        <f ca="1">IF(AP872="NE",$V$10,IF(AC872=$V$3,IF(AQ872&lt;1,$V$8,$V$2&amp;" "&amp;AQ872&amp;" "&amp;$V$1),IF(AC872="SKLADEM",$V$6,IFERROR(IF(OR(AC872-TODAY()&gt;45,VLOOKUP(C872,[1]List1!$A:$E,4,FALSE)=0),AC872,DAY(AC872)&amp;"."&amp;MONTH(AC872)&amp;"."&amp;YEAR(AC872)&amp;" "&amp;$V$4&amp;VLOOKUP(C872,[1]List1!$A:$E,4,FALSE)&amp;" "&amp;$V$1),AC872))))</f>
        <v>30.09.2024</v>
      </c>
      <c r="AE872" s="729" t="str">
        <f t="shared" ca="1" si="2168"/>
        <v>30.09.2024</v>
      </c>
      <c r="AF872" s="735">
        <f t="shared" si="2169"/>
        <v>0</v>
      </c>
      <c r="AG872" s="735">
        <f t="shared" si="2170"/>
        <v>0</v>
      </c>
      <c r="AH872" s="736">
        <f t="shared" si="2171"/>
        <v>0</v>
      </c>
      <c r="AI872" s="729">
        <f t="shared" si="2172"/>
        <v>0</v>
      </c>
      <c r="AJ872" s="729">
        <f t="shared" si="2173"/>
        <v>0</v>
      </c>
      <c r="AK872" s="729" t="str">
        <f t="shared" si="2174"/>
        <v/>
      </c>
      <c r="AL872" s="729" t="str">
        <f t="shared" si="2175"/>
        <v/>
      </c>
      <c r="AM872" s="729">
        <f t="shared" si="2176"/>
        <v>0</v>
      </c>
      <c r="AN872" s="729">
        <f t="shared" si="2177"/>
        <v>0</v>
      </c>
      <c r="AO872" s="380"/>
      <c r="AP872" s="322" t="str">
        <f t="shared" si="2142"/>
        <v/>
      </c>
      <c r="AQ872" s="323" t="str">
        <f>IF(AC872=$V$3,IF(VLOOKUP(C872,[1]List1!$A:$E,5,FALSE)=0,1,VLOOKUP(C872,[1]List1!$A:$E,5,FALSE)),"")</f>
        <v/>
      </c>
      <c r="AR872" s="304" t="str">
        <f t="shared" si="2143"/>
        <v/>
      </c>
      <c r="AS872" s="423" t="str">
        <f t="shared" si="2144"/>
        <v/>
      </c>
      <c r="AT872" s="304" t="str">
        <f t="shared" si="2145"/>
        <v/>
      </c>
      <c r="AU872" s="342" t="e">
        <f t="shared" si="2146"/>
        <v>#N/A</v>
      </c>
      <c r="AV872" s="304" t="e">
        <f t="shared" si="2147"/>
        <v>#N/A</v>
      </c>
      <c r="AX872" s="304">
        <f>IF(AND('General price list'!$J872="F4",'General price list'!$AB872+0&gt;0),1,0)</f>
        <v>0</v>
      </c>
      <c r="AY872" s="304">
        <f t="shared" si="2148"/>
        <v>1</v>
      </c>
      <c r="AZ872" s="304">
        <f t="shared" si="2149"/>
        <v>0</v>
      </c>
    </row>
    <row r="873" spans="1:52" ht="15" customHeight="1">
      <c r="A873" s="712" t="str">
        <f>Kat.!C871</f>
        <v/>
      </c>
      <c r="B873" s="737">
        <f>IF(AND('General price list'!$J873="F4",$AI$1=FALSE),0,IF(AC873="SKLADEM",1,IF(AC873=$V$3,1,0)))</f>
        <v>0</v>
      </c>
      <c r="C873" s="714" t="s">
        <v>2768</v>
      </c>
      <c r="D873" s="715" t="s">
        <v>2597</v>
      </c>
      <c r="E873" s="716" t="s">
        <v>136</v>
      </c>
      <c r="F873" s="712">
        <f>IFERROR(ROUND(IF($AL$3=2,VLOOKUP(C873,[2]List1!$A:$D,2,FALSE)*1.08,VLOOKUP(C873,[2]List1!$A:$D,2,FALSE)),0),"NEUVEDENO!")</f>
        <v>3875</v>
      </c>
      <c r="G873" s="717">
        <f t="shared" si="2164"/>
        <v>3875</v>
      </c>
      <c r="H873" s="718">
        <f t="shared" si="2165"/>
        <v>157.46335675304465</v>
      </c>
      <c r="I873" s="738">
        <v>1</v>
      </c>
      <c r="J873" s="716" t="s">
        <v>46</v>
      </c>
      <c r="K873" s="716">
        <v>6</v>
      </c>
      <c r="L873" s="716" t="s">
        <v>24</v>
      </c>
      <c r="M873" s="716" t="s">
        <v>25</v>
      </c>
      <c r="N873" s="716">
        <f>IFERROR(VLOOKUP(C873,[3]List1!$A:$D,4,FALSE),"N/A!")</f>
        <v>4.9148749999999998E-2</v>
      </c>
      <c r="O873" s="716">
        <f>IFERROR(VLOOKUP(C873,[3]List1!$A:$D,3,FALSE),"N/A!")</f>
        <v>1500</v>
      </c>
      <c r="P873" s="716">
        <f>IFERROR(VLOOKUP(C873,[3]List1!$A:$D,2,FALSE),"N/A!")</f>
        <v>17000</v>
      </c>
      <c r="Q873" s="716" t="s">
        <v>14273</v>
      </c>
      <c r="R873" s="716" t="s">
        <v>24</v>
      </c>
      <c r="S873" s="716" t="str">
        <f>IF($W$17=$AF$1,"červená fólie",IFERROR(VLOOKUP("červená fólie",Jazyky_ceník!$A:$Q,MATCH($W$17,Jazyky_ceník!$A$1:$Q$1,0),FALSE),"!!!"))</f>
        <v>červená fólie</v>
      </c>
      <c r="T873" s="716">
        <v>100</v>
      </c>
      <c r="U873" s="716" t="s">
        <v>13822</v>
      </c>
      <c r="V873" s="716" t="s">
        <v>13833</v>
      </c>
      <c r="W873" s="716" t="str">
        <f>IFERROR(VLOOKUP('General price list'!$C873,Popisy!A:P,MATCH($W$17,Popisy!$A$7:$P$7,0),FALSE),"---------------")</f>
        <v>42 různobarevných efektů</v>
      </c>
      <c r="X873" s="716" t="str">
        <f t="shared" si="2166"/>
        <v/>
      </c>
      <c r="Y873" s="716" t="str">
        <f t="shared" si="2167"/>
        <v/>
      </c>
      <c r="Z873" s="716" t="str">
        <f>HYPERLINK("https://www.klasekpyrotechnics.cz/c204xmpt-c14_t")</f>
        <v>https://www.klasekpyrotechnics.cz/c204xmpt-c14_t</v>
      </c>
      <c r="AA873" s="716">
        <f>IFERROR(IF(VLOOKUP(C873,[4]List1!$A:$D,4,FALSE)=0,"",VLOOKUP(C873,[4]List1!$A:$D,4,FALSE)),"")</f>
        <v>21</v>
      </c>
      <c r="AB873" s="720"/>
      <c r="AC873" s="739" t="str">
        <f>IFERROR(IF(VLOOKUP(C873,[1]List1!$A:$D,2,FALSE)="VYPRODÁNO",$V$9,IF(VLOOKUP(C873,[1]List1!$A:$D,2,FALSE)="DOCHÁZÍ",$V$3,VLOOKUP(C873,[1]List1!$A:$D,2,FALSE))),"OFFLINE!")</f>
        <v>15.09.2024</v>
      </c>
      <c r="AD873" s="740" t="str">
        <f ca="1">IF(AP873="NE",$V$10,IF(AC873=$V$3,IF(AQ873&lt;1,$V$8,$V$2&amp;" "&amp;AQ873&amp;" "&amp;$V$1),IF(AC873="SKLADEM",$V$6,IFERROR(IF(OR(AC873-TODAY()&gt;45,VLOOKUP(C873,[1]List1!$A:$E,4,FALSE)=0),AC873,DAY(AC873)&amp;"."&amp;MONTH(AC873)&amp;"."&amp;YEAR(AC873)&amp;" "&amp;$V$4&amp;VLOOKUP(C873,[1]List1!$A:$E,4,FALSE)&amp;" "&amp;$V$1),AC873))))</f>
        <v>15.09.2024</v>
      </c>
      <c r="AE873" s="716" t="str">
        <f t="shared" ca="1" si="2168"/>
        <v>15.09.2024</v>
      </c>
      <c r="AF873" s="723">
        <f t="shared" si="2169"/>
        <v>0</v>
      </c>
      <c r="AG873" s="723">
        <f t="shared" si="2170"/>
        <v>0</v>
      </c>
      <c r="AH873" s="724">
        <f t="shared" si="2171"/>
        <v>0</v>
      </c>
      <c r="AI873" s="716">
        <f t="shared" si="2172"/>
        <v>0</v>
      </c>
      <c r="AJ873" s="716">
        <f t="shared" si="2173"/>
        <v>0</v>
      </c>
      <c r="AK873" s="716" t="str">
        <f t="shared" si="2174"/>
        <v/>
      </c>
      <c r="AL873" s="716" t="str">
        <f t="shared" si="2175"/>
        <v/>
      </c>
      <c r="AM873" s="716">
        <f t="shared" si="2176"/>
        <v>0</v>
      </c>
      <c r="AN873" s="716">
        <f t="shared" si="2177"/>
        <v>0</v>
      </c>
      <c r="AO873" s="380"/>
      <c r="AP873" s="322" t="str">
        <f t="shared" si="2142"/>
        <v/>
      </c>
      <c r="AQ873" s="323" t="str">
        <f>IF(AC873=$V$3,IF(VLOOKUP(C873,[1]List1!$A:$E,5,FALSE)=0,1,VLOOKUP(C873,[1]List1!$A:$E,5,FALSE)),"")</f>
        <v/>
      </c>
      <c r="AR873" s="304" t="str">
        <f t="shared" si="2143"/>
        <v/>
      </c>
      <c r="AS873" s="423" t="str">
        <f t="shared" si="2144"/>
        <v/>
      </c>
      <c r="AT873" s="304" t="str">
        <f t="shared" si="2145"/>
        <v/>
      </c>
      <c r="AU873" s="342" t="e">
        <f t="shared" si="2146"/>
        <v>#N/A</v>
      </c>
      <c r="AV873" s="304" t="e">
        <f t="shared" si="2147"/>
        <v>#N/A</v>
      </c>
      <c r="AX873" s="304">
        <f>IF(AND('General price list'!$J873="F4",'General price list'!$AB873+0&gt;0),1,0)</f>
        <v>0</v>
      </c>
      <c r="AY873" s="304">
        <f t="shared" si="2148"/>
        <v>1</v>
      </c>
      <c r="AZ873" s="304">
        <f t="shared" si="2149"/>
        <v>0</v>
      </c>
    </row>
    <row r="874" spans="1:52" ht="15" customHeight="1">
      <c r="A874" s="725" t="str">
        <f>Kat.!C872</f>
        <v/>
      </c>
      <c r="B874" s="726">
        <f>IF(AND('General price list'!$J874="F4",$AI$1=FALSE),0,IF(AC874="SKLADEM",1,IF(AC874=$V$3,1,0)))</f>
        <v>1</v>
      </c>
      <c r="C874" s="727" t="s">
        <v>2769</v>
      </c>
      <c r="D874" s="728" t="s">
        <v>2599</v>
      </c>
      <c r="E874" s="729" t="s">
        <v>136</v>
      </c>
      <c r="F874" s="725">
        <f>IFERROR(ROUND(IF($AL$3=2,VLOOKUP(C874,[2]List1!$A:$D,2,FALSE)*1.08,VLOOKUP(C874,[2]List1!$A:$D,2,FALSE)),0),"NEUVEDENO!")</f>
        <v>4076</v>
      </c>
      <c r="G874" s="730">
        <f t="shared" si="2164"/>
        <v>4076</v>
      </c>
      <c r="H874" s="731">
        <f t="shared" si="2165"/>
        <v>165.63113345171871</v>
      </c>
      <c r="I874" s="732">
        <v>1</v>
      </c>
      <c r="J874" s="729" t="s">
        <v>46</v>
      </c>
      <c r="K874" s="729">
        <v>6</v>
      </c>
      <c r="L874" s="729" t="s">
        <v>24</v>
      </c>
      <c r="M874" s="729" t="s">
        <v>25</v>
      </c>
      <c r="N874" s="729">
        <f>IFERROR(VLOOKUP(C874,[3]List1!$A:$D,4,FALSE),"N/A!")</f>
        <v>4.3296000000000001E-2</v>
      </c>
      <c r="O874" s="729">
        <f>IFERROR(VLOOKUP(C874,[3]List1!$A:$D,3,FALSE),"N/A!")</f>
        <v>1963</v>
      </c>
      <c r="P874" s="729">
        <f>IFERROR(VLOOKUP(C874,[3]List1!$A:$D,2,FALSE),"N/A!")</f>
        <v>13500</v>
      </c>
      <c r="Q874" s="729" t="s">
        <v>12732</v>
      </c>
      <c r="R874" s="729" t="s">
        <v>24</v>
      </c>
      <c r="S874" s="729" t="str">
        <f>IF($W$17=$AF$1,"červená fólie",IFERROR(VLOOKUP("červená fólie",Jazyky_ceník!$A:$Q,MATCH($W$17,Jazyky_ceník!$A$1:$Q$1,0),FALSE),"!!!"))</f>
        <v>červená fólie</v>
      </c>
      <c r="T874" s="729">
        <v>90</v>
      </c>
      <c r="U874" s="729" t="s">
        <v>13822</v>
      </c>
      <c r="V874" s="729" t="s">
        <v>13824</v>
      </c>
      <c r="W874" s="729" t="str">
        <f>IFERROR(VLOOKUP('General price list'!$C874,Popisy!A:P,MATCH($W$17,Popisy!$A$7:$P$7,0),FALSE),"---------------")</f>
        <v>19 různobarevných efektů</v>
      </c>
      <c r="X874" s="729" t="str">
        <f t="shared" si="2166"/>
        <v/>
      </c>
      <c r="Y874" s="729" t="str">
        <f t="shared" si="2167"/>
        <v/>
      </c>
      <c r="Z874" s="729" t="str">
        <f>HYPERLINK("https://www.klasekpyrotechnics.cz/c216xmfs-c14_t")</f>
        <v>https://www.klasekpyrotechnics.cz/c216xmfs-c14_t</v>
      </c>
      <c r="AA874" s="729">
        <f>IFERROR(IF(VLOOKUP(C874,[4]List1!$A:$D,4,FALSE)=0,"",VLOOKUP(C874,[4]List1!$A:$D,4,FALSE)),"")</f>
        <v>32</v>
      </c>
      <c r="AB874" s="720"/>
      <c r="AC874" s="733" t="str">
        <f>IFERROR(IF(VLOOKUP(C874,[1]List1!$A:$D,2,FALSE)="VYPRODÁNO",$V$9,IF(VLOOKUP(C874,[1]List1!$A:$D,2,FALSE)="DOCHÁZÍ",$V$3,VLOOKUP(C874,[1]List1!$A:$D,2,FALSE))),"OFFLINE!")</f>
        <v>DOCHÁZÍ</v>
      </c>
      <c r="AD874" s="734" t="str">
        <f ca="1">IF(AP874="NE",$V$10,IF(AC874=$V$3,IF(AQ874&lt;1,$V$8,$V$2&amp;" "&amp;AQ874&amp;" "&amp;$V$1),IF(AC874="SKLADEM",$V$6,IFERROR(IF(OR(AC874-TODAY()&gt;45,VLOOKUP(C874,[1]List1!$A:$E,4,FALSE)=0),AC874,DAY(AC874)&amp;"."&amp;MONTH(AC874)&amp;"."&amp;YEAR(AC874)&amp;" "&amp;$V$4&amp;VLOOKUP(C874,[1]List1!$A:$E,4,FALSE)&amp;" "&amp;$V$1),AC874))))</f>
        <v>POSLEDNÍCH 9 VK</v>
      </c>
      <c r="AE874" s="729" t="str">
        <f t="shared" ca="1" si="2168"/>
        <v>POSLEDNÍCH 9 VK</v>
      </c>
      <c r="AF874" s="735">
        <f t="shared" si="2169"/>
        <v>0</v>
      </c>
      <c r="AG874" s="735">
        <f t="shared" si="2170"/>
        <v>0</v>
      </c>
      <c r="AH874" s="736">
        <f t="shared" si="2171"/>
        <v>0</v>
      </c>
      <c r="AI874" s="729">
        <f t="shared" si="2172"/>
        <v>0</v>
      </c>
      <c r="AJ874" s="729">
        <f t="shared" si="2173"/>
        <v>0</v>
      </c>
      <c r="AK874" s="729" t="str">
        <f t="shared" si="2174"/>
        <v/>
      </c>
      <c r="AL874" s="729" t="str">
        <f t="shared" si="2175"/>
        <v/>
      </c>
      <c r="AM874" s="729">
        <f t="shared" si="2176"/>
        <v>0</v>
      </c>
      <c r="AN874" s="729">
        <f t="shared" si="2177"/>
        <v>0</v>
      </c>
      <c r="AO874" s="380"/>
      <c r="AP874" s="322" t="str">
        <f t="shared" si="2142"/>
        <v/>
      </c>
      <c r="AQ874" s="323">
        <f>IF(AC874=$V$3,IF(VLOOKUP(C874,[1]List1!$A:$E,5,FALSE)=0,1,VLOOKUP(C874,[1]List1!$A:$E,5,FALSE)),"")</f>
        <v>9</v>
      </c>
      <c r="AR874" s="304" t="str">
        <f t="shared" si="2143"/>
        <v/>
      </c>
      <c r="AS874" s="423" t="str">
        <f t="shared" si="2144"/>
        <v/>
      </c>
      <c r="AT874" s="304" t="str">
        <f t="shared" si="2145"/>
        <v/>
      </c>
      <c r="AU874" s="342" t="e">
        <f t="shared" si="2146"/>
        <v>#N/A</v>
      </c>
      <c r="AV874" s="304" t="e">
        <f t="shared" si="2147"/>
        <v>#N/A</v>
      </c>
      <c r="AX874" s="304">
        <f>IF(AND('General price list'!$J874="F4",'General price list'!$AB874+0&gt;0),1,0)</f>
        <v>0</v>
      </c>
      <c r="AY874" s="304">
        <f t="shared" si="2148"/>
        <v>1</v>
      </c>
      <c r="AZ874" s="304">
        <f t="shared" si="2149"/>
        <v>0</v>
      </c>
    </row>
    <row r="875" spans="1:52" ht="15" customHeight="1">
      <c r="A875" s="712" t="str">
        <f>Kat.!C873</f>
        <v/>
      </c>
      <c r="B875" s="737">
        <f>IF(AND('General price list'!$J875="F4",$AI$1=FALSE),0,IF(AC875="SKLADEM",1,IF(AC875=$V$3,1,0)))</f>
        <v>1</v>
      </c>
      <c r="C875" s="714" t="s">
        <v>2770</v>
      </c>
      <c r="D875" s="715" t="s">
        <v>2601</v>
      </c>
      <c r="E875" s="716" t="s">
        <v>136</v>
      </c>
      <c r="F875" s="712">
        <f>IFERROR(ROUND(IF($AL$3=2,VLOOKUP(C875,[2]List1!$A:$D,2,FALSE)*1.08,VLOOKUP(C875,[2]List1!$A:$D,2,FALSE)),0),"NEUVEDENO!")</f>
        <v>4907</v>
      </c>
      <c r="G875" s="717">
        <f t="shared" si="2164"/>
        <v>4907</v>
      </c>
      <c r="H875" s="718">
        <f t="shared" si="2165"/>
        <v>199.39940428056516</v>
      </c>
      <c r="I875" s="738">
        <v>1</v>
      </c>
      <c r="J875" s="716" t="s">
        <v>46</v>
      </c>
      <c r="K875" s="716">
        <v>6</v>
      </c>
      <c r="L875" s="716" t="s">
        <v>24</v>
      </c>
      <c r="M875" s="716" t="s">
        <v>25</v>
      </c>
      <c r="N875" s="716">
        <f>IFERROR(VLOOKUP(C875,[3]List1!$A:$D,4,FALSE),"N/A!")</f>
        <v>5.2136000000000009E-2</v>
      </c>
      <c r="O875" s="716">
        <f>IFERROR(VLOOKUP(C875,[3]List1!$A:$D,3,FALSE),"N/A!")</f>
        <v>2000</v>
      </c>
      <c r="P875" s="716">
        <f>IFERROR(VLOOKUP(C875,[3]List1!$A:$D,2,FALSE),"N/A!")</f>
        <v>17000</v>
      </c>
      <c r="Q875" s="716" t="s">
        <v>14274</v>
      </c>
      <c r="R875" s="716" t="s">
        <v>24</v>
      </c>
      <c r="S875" s="716" t="str">
        <f>IF($W$17=$AF$1,"červená fólie",IFERROR(VLOOKUP("červená fólie",Jazyky_ceník!$A:$Q,MATCH($W$17,Jazyky_ceník!$A$1:$Q$1,0),FALSE),"!!!"))</f>
        <v>červená fólie</v>
      </c>
      <c r="T875" s="716">
        <v>130</v>
      </c>
      <c r="U875" s="716" t="s">
        <v>13822</v>
      </c>
      <c r="V875" s="716" t="s">
        <v>13833</v>
      </c>
      <c r="W875" s="716" t="str">
        <f>IFERROR(VLOOKUP('General price list'!$C875,Popisy!A:P,MATCH($W$17,Popisy!$A$7:$P$7,0),FALSE),"---------------")</f>
        <v>34 různobarevných efektů</v>
      </c>
      <c r="X875" s="716" t="str">
        <f t="shared" si="2166"/>
        <v/>
      </c>
      <c r="Y875" s="716" t="str">
        <f t="shared" si="2167"/>
        <v/>
      </c>
      <c r="Z875" s="716" t="str">
        <f>HYPERLINK("https://www.klasekpyrotechnics.cz/c223xmk-c14_t")</f>
        <v>https://www.klasekpyrotechnics.cz/c223xmk-c14_t</v>
      </c>
      <c r="AA875" s="716">
        <f>IFERROR(IF(VLOOKUP(C875,[4]List1!$A:$D,4,FALSE)=0,"",VLOOKUP(C875,[4]List1!$A:$D,4,FALSE)),"")</f>
        <v>18</v>
      </c>
      <c r="AB875" s="720"/>
      <c r="AC875" s="739" t="str">
        <f>IFERROR(IF(VLOOKUP(C875,[1]List1!$A:$D,2,FALSE)="VYPRODÁNO",$V$9,IF(VLOOKUP(C875,[1]List1!$A:$D,2,FALSE)="DOCHÁZÍ",$V$3,VLOOKUP(C875,[1]List1!$A:$D,2,FALSE))),"OFFLINE!")</f>
        <v>SKLADEM</v>
      </c>
      <c r="AD875" s="740" t="str">
        <f ca="1">IF(AP875="NE",$V$10,IF(AC875=$V$3,IF(AQ875&lt;1,$V$8,$V$2&amp;" "&amp;AQ875&amp;" "&amp;$V$1),IF(AC875="SKLADEM",$V$6,IFERROR(IF(OR(AC875-TODAY()&gt;45,VLOOKUP(C875,[1]List1!$A:$E,4,FALSE)=0),AC875,DAY(AC875)&amp;"."&amp;MONTH(AC875)&amp;"."&amp;YEAR(AC875)&amp;" "&amp;$V$4&amp;VLOOKUP(C875,[1]List1!$A:$E,4,FALSE)&amp;" "&amp;$V$1),AC875))))</f>
        <v>SKLADEM</v>
      </c>
      <c r="AE875" s="716" t="str">
        <f t="shared" ca="1" si="2168"/>
        <v>SKLADEM</v>
      </c>
      <c r="AF875" s="723">
        <f t="shared" si="2169"/>
        <v>0</v>
      </c>
      <c r="AG875" s="723">
        <f t="shared" si="2170"/>
        <v>0</v>
      </c>
      <c r="AH875" s="724">
        <f t="shared" si="2171"/>
        <v>0</v>
      </c>
      <c r="AI875" s="716">
        <f t="shared" si="2172"/>
        <v>0</v>
      </c>
      <c r="AJ875" s="716">
        <f t="shared" si="2173"/>
        <v>0</v>
      </c>
      <c r="AK875" s="716" t="str">
        <f t="shared" si="2174"/>
        <v/>
      </c>
      <c r="AL875" s="716" t="str">
        <f t="shared" si="2175"/>
        <v/>
      </c>
      <c r="AM875" s="716">
        <f t="shared" si="2176"/>
        <v>0</v>
      </c>
      <c r="AN875" s="716">
        <f t="shared" si="2177"/>
        <v>0</v>
      </c>
      <c r="AO875" s="380"/>
      <c r="AP875" s="322" t="str">
        <f t="shared" si="2142"/>
        <v/>
      </c>
      <c r="AQ875" s="323" t="str">
        <f>IF(AC875=$V$3,IF(VLOOKUP(C875,[1]List1!$A:$E,5,FALSE)=0,1,VLOOKUP(C875,[1]List1!$A:$E,5,FALSE)),"")</f>
        <v/>
      </c>
      <c r="AR875" s="304" t="str">
        <f t="shared" si="2143"/>
        <v/>
      </c>
      <c r="AS875" s="423" t="str">
        <f t="shared" si="2144"/>
        <v/>
      </c>
      <c r="AT875" s="304" t="str">
        <f t="shared" si="2145"/>
        <v/>
      </c>
      <c r="AU875" s="342" t="e">
        <f t="shared" si="2146"/>
        <v>#N/A</v>
      </c>
      <c r="AV875" s="304" t="e">
        <f t="shared" si="2147"/>
        <v>#N/A</v>
      </c>
      <c r="AX875" s="304">
        <f>IF(AND('General price list'!$J875="F4",'General price list'!$AB875+0&gt;0),1,0)</f>
        <v>0</v>
      </c>
      <c r="AY875" s="304">
        <f t="shared" si="2148"/>
        <v>1</v>
      </c>
      <c r="AZ875" s="304">
        <f t="shared" si="2149"/>
        <v>0</v>
      </c>
    </row>
    <row r="876" spans="1:52" ht="15" customHeight="1">
      <c r="A876" s="773" t="str">
        <f>Kat.!C874</f>
        <v xml:space="preserve">                                                               Složený ohňostroj, multikaliber F2 - 1.3G</v>
      </c>
      <c r="B876" s="774"/>
      <c r="C876" s="774"/>
      <c r="D876" s="774"/>
      <c r="E876" s="774"/>
      <c r="F876" s="774"/>
      <c r="G876" s="774"/>
      <c r="H876" s="774"/>
      <c r="I876" s="774"/>
      <c r="J876" s="774"/>
      <c r="K876" s="774"/>
      <c r="L876" s="774"/>
      <c r="M876" s="774"/>
      <c r="N876" s="774"/>
      <c r="O876" s="774"/>
      <c r="P876" s="774"/>
      <c r="Q876" s="774"/>
      <c r="R876" s="774"/>
      <c r="S876" s="774"/>
      <c r="T876" s="774"/>
      <c r="U876" s="774"/>
      <c r="V876" s="774"/>
      <c r="W876" s="774"/>
      <c r="X876" s="774"/>
      <c r="Y876" s="774"/>
      <c r="Z876" s="774"/>
      <c r="AA876" s="774" t="str">
        <f>IFERROR(IF(VLOOKUP(C876,[4]List1!$A:$D,4,FALSE)=0,"",VLOOKUP(C876,[4]List1!$A:$D,4,FALSE)),"")</f>
        <v/>
      </c>
      <c r="AB876" s="774"/>
      <c r="AC876" s="775" t="str">
        <f>IFERROR(IF(VLOOKUP(C876,[1]List1!$A:$D,2,FALSE)="VYPRODÁNO",$V$9,IF(VLOOKUP(C876,[1]List1!$A:$D,2,FALSE)="DOCHÁZÍ",$V$3,VLOOKUP(C876,[1]List1!$A:$D,2,FALSE))),"OFFLINE!")</f>
        <v>OFFLINE!</v>
      </c>
      <c r="AD876" s="774"/>
      <c r="AE876" s="774"/>
      <c r="AF876" s="774"/>
      <c r="AG876" s="774"/>
      <c r="AH876" s="774"/>
      <c r="AI876" s="774"/>
      <c r="AJ876" s="774"/>
      <c r="AK876" s="774"/>
      <c r="AL876" s="774"/>
      <c r="AM876" s="774"/>
      <c r="AN876" s="774"/>
      <c r="AO876" s="380"/>
      <c r="AP876" s="322" t="str">
        <f t="shared" si="2142"/>
        <v/>
      </c>
      <c r="AQ876" s="323" t="str">
        <f>IF(AC876=$V$3,IF(VLOOKUP(C876,[1]List1!$A:$E,5,FALSE)=0,1,VLOOKUP(C876,[1]List1!$A:$E,5,FALSE)),"")</f>
        <v/>
      </c>
      <c r="AR876" s="304" t="str">
        <f t="shared" si="2143"/>
        <v/>
      </c>
      <c r="AS876" s="423" t="str">
        <f t="shared" si="2144"/>
        <v/>
      </c>
      <c r="AT876" s="304" t="str">
        <f t="shared" si="2145"/>
        <v/>
      </c>
      <c r="AU876" s="342" t="e">
        <f t="shared" si="2146"/>
        <v>#N/A</v>
      </c>
      <c r="AV876" s="304" t="e">
        <f t="shared" si="2147"/>
        <v>#N/A</v>
      </c>
      <c r="AX876" s="304">
        <f>IF(AND('General price list'!$J876="F4",'General price list'!$AB876+0&gt;0),1,0)</f>
        <v>0</v>
      </c>
      <c r="AY876" s="304">
        <f t="shared" si="2148"/>
        <v>0</v>
      </c>
      <c r="AZ876" s="304">
        <f t="shared" si="2149"/>
        <v>0</v>
      </c>
    </row>
    <row r="877" spans="1:52" ht="15" customHeight="1">
      <c r="A877" s="712" t="str">
        <f>Kat.!C875</f>
        <v/>
      </c>
      <c r="B877" s="713">
        <f>IF(AND('General price list'!$J877="F4",$AI$1=FALSE),0,IF(AC877="SKLADEM",1,IF(AC877=$V$3,1,0)))</f>
        <v>1</v>
      </c>
      <c r="C877" s="714" t="s">
        <v>2602</v>
      </c>
      <c r="D877" s="715" t="s">
        <v>2595</v>
      </c>
      <c r="E877" s="716" t="s">
        <v>136</v>
      </c>
      <c r="F877" s="712">
        <f>IFERROR(ROUND(IF($AL$3=2,VLOOKUP(C877,[2]List1!$A:$D,2,FALSE)*1.08,VLOOKUP(C877,[2]List1!$A:$D,2,FALSE)),0),"NEUVEDENO!")</f>
        <v>2830</v>
      </c>
      <c r="G877" s="717">
        <f t="shared" ref="G877:G883" si="2178">(F877)*$B$19</f>
        <v>2830</v>
      </c>
      <c r="H877" s="718">
        <f t="shared" ref="H877:H883" si="2179">G877/$F$19</f>
        <v>114.99904506093324</v>
      </c>
      <c r="I877" s="719">
        <v>1</v>
      </c>
      <c r="J877" s="716" t="s">
        <v>46</v>
      </c>
      <c r="K877" s="716"/>
      <c r="L877" s="716" t="s">
        <v>24</v>
      </c>
      <c r="M877" s="716" t="s">
        <v>138</v>
      </c>
      <c r="N877" s="716">
        <f>IFERROR(VLOOKUP(C877,[3]List1!$A:$D,4,FALSE),"N/A!")</f>
        <v>3.9199999999999999E-2</v>
      </c>
      <c r="O877" s="716">
        <f>IFERROR(VLOOKUP(C877,[3]List1!$A:$D,3,FALSE),"N/A!")</f>
        <v>2000</v>
      </c>
      <c r="P877" s="716">
        <f>IFERROR(VLOOKUP(C877,[3]List1!$A:$D,2,FALSE),"N/A!")</f>
        <v>13500</v>
      </c>
      <c r="Q877" s="716" t="s">
        <v>14275</v>
      </c>
      <c r="R877" s="716" t="s">
        <v>24</v>
      </c>
      <c r="S877" s="716" t="str">
        <f>IF($W$17=$AF$1,"červená fólie",IFERROR(VLOOKUP("červená fólie",Jazyky_ceník!$A:$Q,MATCH($W$17,Jazyky_ceník!$A$1:$Q$1,0),FALSE),"!!!"))</f>
        <v>červená fólie</v>
      </c>
      <c r="T877" s="716">
        <v>105</v>
      </c>
      <c r="U877" s="716" t="s">
        <v>13822</v>
      </c>
      <c r="V877" s="716" t="s">
        <v>13832</v>
      </c>
      <c r="W877" s="716" t="str">
        <f>IFERROR(VLOOKUP('General price list'!$C877,Popisy!A:P,MATCH($W$17,Popisy!$A$7:$P$7,0),FALSE),"---------------")</f>
        <v>20 různobarevných efektů</v>
      </c>
      <c r="X877" s="716" t="str">
        <f t="shared" ref="X877:X883" si="2180">IF(AB877&lt;0.0001,"",AB877)</f>
        <v/>
      </c>
      <c r="Y877" s="716" t="str">
        <f t="shared" ref="Y877:Y883" si="2181">IF($AL$3=2,IF(OR(AB877&lt;&gt;"",AB877&lt;&gt;0),AU877,""),IF(C877="","",IF(AB877&lt;0.0001,"",IF(B877=0,"",IF(AQ877&lt;AB877,"",AB877)))))</f>
        <v/>
      </c>
      <c r="Z877" s="716" t="str">
        <f>HYPERLINK("https://www.klasekpyrotechnics.cz/c132xmpt-c")</f>
        <v>https://www.klasekpyrotechnics.cz/c132xmpt-c</v>
      </c>
      <c r="AA877" s="716">
        <f>IFERROR(IF(VLOOKUP(C877,[4]List1!$A:$D,4,FALSE)=0,"",VLOOKUP(C877,[4]List1!$A:$D,4,FALSE)),"")</f>
        <v>32</v>
      </c>
      <c r="AB877" s="720"/>
      <c r="AC877" s="721" t="str">
        <f>IFERROR(IF(VLOOKUP(C877,[1]List1!$A:$D,2,FALSE)="VYPRODÁNO",$V$9,IF(VLOOKUP(C877,[1]List1!$A:$D,2,FALSE)="DOCHÁZÍ",$V$3,VLOOKUP(C877,[1]List1!$A:$D,2,FALSE))),"OFFLINE!")</f>
        <v>SKLADEM</v>
      </c>
      <c r="AD877" s="722" t="str">
        <f ca="1">IF(AP877="NE",$V$10,IF(AC877=$V$3,IF(AQ877&lt;1,$V$8,$V$2&amp;" "&amp;AQ877&amp;" "&amp;$V$1),IF(AC877="SKLADEM",$V$6,IFERROR(IF(OR(AC877-TODAY()&gt;45,VLOOKUP(C877,[1]List1!$A:$E,4,FALSE)=0),AC877,DAY(AC877)&amp;"."&amp;MONTH(AC877)&amp;"."&amp;YEAR(AC877)&amp;" "&amp;$V$4&amp;VLOOKUP(C877,[1]List1!$A:$E,4,FALSE)&amp;" "&amp;$V$1),AC877))))</f>
        <v>SKLADEM</v>
      </c>
      <c r="AE877" s="716" t="str">
        <f t="shared" ref="AE877:AE883" ca="1" si="2182">IFERROR(IF(AV877&lt;&gt;"",AV877,AD877),AD877)</f>
        <v>SKLADEM</v>
      </c>
      <c r="AF877" s="723">
        <f t="shared" ref="AF877:AF883" si="2183">IFERROR(IF(AB877=Y877,G877*I877*Y877,0),0)</f>
        <v>0</v>
      </c>
      <c r="AG877" s="723">
        <f t="shared" ref="AG877:AG883" si="2184">IF($W$17=$AF$8,AH877*1.23,AF877*1.21)</f>
        <v>0</v>
      </c>
      <c r="AH877" s="724">
        <f t="shared" ref="AH877:AH883" si="2185">IFERROR(IF(Y877=AB877,H877*I877*Y877,0),0)</f>
        <v>0</v>
      </c>
      <c r="AI877" s="716">
        <f t="shared" ref="AI877:AI883" si="2186">IFERROR(IF(Y877=AB877,(P877*Y877)/1000,1),0)</f>
        <v>0</v>
      </c>
      <c r="AJ877" s="716">
        <f t="shared" ref="AJ877:AJ883" si="2187">IFERROR(IF(Y877=AB877,N877*Y877,0.1),0)</f>
        <v>0</v>
      </c>
      <c r="AK877" s="716" t="str">
        <f t="shared" ref="AK877:AK883" si="2188">IFERROR(IF(Y877=AB877,IF(M877="1.1G",(O877/1000)*Y877,""),""),0)</f>
        <v/>
      </c>
      <c r="AL877" s="716">
        <f t="shared" ref="AL877:AL883" si="2189">IFERROR(IF(Y877=AB877,IF(M877="1.3G",(O877/1000)*AB877,""),""),0)</f>
        <v>0</v>
      </c>
      <c r="AM877" s="716" t="str">
        <f t="shared" ref="AM877:AM883" si="2190">IFERROR(IF(Y877=AB877,IF(M877="1.4G",(O877/1000)*AB877,""),""),0)</f>
        <v/>
      </c>
      <c r="AN877" s="716">
        <f t="shared" ref="AN877:AN883" si="2191">SUM(AK877:AM877)</f>
        <v>0</v>
      </c>
      <c r="AO877" s="380"/>
      <c r="AP877" s="322" t="str">
        <f t="shared" si="2142"/>
        <v/>
      </c>
      <c r="AQ877" s="323" t="str">
        <f>IF(AC877=$V$3,IF(VLOOKUP(C877,[1]List1!$A:$E,5,FALSE)=0,1,VLOOKUP(C877,[1]List1!$A:$E,5,FALSE)),"")</f>
        <v/>
      </c>
      <c r="AR877" s="304" t="str">
        <f t="shared" si="2143"/>
        <v/>
      </c>
      <c r="AS877" s="423" t="str">
        <f t="shared" si="2144"/>
        <v/>
      </c>
      <c r="AT877" s="304" t="str">
        <f t="shared" si="2145"/>
        <v/>
      </c>
      <c r="AU877" s="342" t="e">
        <f t="shared" si="2146"/>
        <v>#N/A</v>
      </c>
      <c r="AV877" s="304" t="e">
        <f t="shared" si="2147"/>
        <v>#N/A</v>
      </c>
      <c r="AX877" s="304">
        <f>IF(AND('General price list'!$J877="F4",'General price list'!$AB877+0&gt;0),1,0)</f>
        <v>0</v>
      </c>
      <c r="AY877" s="304">
        <f t="shared" si="2148"/>
        <v>1</v>
      </c>
      <c r="AZ877" s="304">
        <f t="shared" si="2149"/>
        <v>0</v>
      </c>
    </row>
    <row r="878" spans="1:52" ht="15" customHeight="1">
      <c r="A878" s="725" t="str">
        <f>Kat.!C876</f>
        <v/>
      </c>
      <c r="B878" s="726">
        <f>IF(AND('General price list'!$J878="F4",$AI$1=FALSE),0,IF(AC878="SKLADEM",1,IF(AC878=$V$3,1,0)))</f>
        <v>0</v>
      </c>
      <c r="C878" s="727" t="s">
        <v>2603</v>
      </c>
      <c r="D878" s="728" t="s">
        <v>2604</v>
      </c>
      <c r="E878" s="729" t="s">
        <v>136</v>
      </c>
      <c r="F878" s="725">
        <f>IFERROR(ROUND(IF($AL$3=2,VLOOKUP(C878,[2]List1!$A:$D,2,FALSE)*1.08,VLOOKUP(C878,[2]List1!$A:$D,2,FALSE)),0),"NEUVEDENO!")</f>
        <v>2957</v>
      </c>
      <c r="G878" s="730">
        <f t="shared" si="2178"/>
        <v>2957</v>
      </c>
      <c r="H878" s="731">
        <f t="shared" si="2179"/>
        <v>120.15977959193626</v>
      </c>
      <c r="I878" s="732">
        <v>1</v>
      </c>
      <c r="J878" s="729" t="s">
        <v>46</v>
      </c>
      <c r="K878" s="729"/>
      <c r="L878" s="729" t="s">
        <v>24</v>
      </c>
      <c r="M878" s="729" t="s">
        <v>138</v>
      </c>
      <c r="N878" s="729">
        <f>IFERROR(VLOOKUP(C878,[3]List1!$A:$D,4,FALSE),"N/A!")</f>
        <v>3.5751999999999999E-2</v>
      </c>
      <c r="O878" s="729">
        <f>IFERROR(VLOOKUP(C878,[3]List1!$A:$D,3,FALSE),"N/A!")</f>
        <v>1498</v>
      </c>
      <c r="P878" s="729">
        <f>IFERROR(VLOOKUP(C878,[3]List1!$A:$D,2,FALSE),"N/A!")</f>
        <v>11700</v>
      </c>
      <c r="Q878" s="729" t="s">
        <v>14276</v>
      </c>
      <c r="R878" s="729" t="s">
        <v>24</v>
      </c>
      <c r="S878" s="729" t="str">
        <f>IF($W$17=$AF$1,"červená fólie",IFERROR(VLOOKUP("červená fólie",Jazyky_ceník!$A:$Q,MATCH($W$17,Jazyky_ceník!$A$1:$Q$1,0),FALSE),"!!!"))</f>
        <v>červená fólie</v>
      </c>
      <c r="T878" s="729">
        <v>90</v>
      </c>
      <c r="U878" s="729" t="s">
        <v>13822</v>
      </c>
      <c r="V878" s="729" t="s">
        <v>13832</v>
      </c>
      <c r="W878" s="729" t="str">
        <f>IFERROR(VLOOKUP('General price list'!$C878,Popisy!A:P,MATCH($W$17,Popisy!$A$7:$P$7,0),FALSE),"---------------")</f>
        <v>14 různobarevných efektů</v>
      </c>
      <c r="X878" s="729" t="str">
        <f t="shared" si="2180"/>
        <v/>
      </c>
      <c r="Y878" s="729" t="str">
        <f t="shared" si="2181"/>
        <v/>
      </c>
      <c r="Z878" s="729" t="str">
        <f>HYPERLINK("https://www.klasekpyrotechnics.cz/c150mpt-c")</f>
        <v>https://www.klasekpyrotechnics.cz/c150mpt-c</v>
      </c>
      <c r="AA878" s="729">
        <f>IFERROR(IF(VLOOKUP(C878,[4]List1!$A:$D,4,FALSE)=0,"",VLOOKUP(C878,[4]List1!$A:$D,4,FALSE)),"")</f>
        <v>32</v>
      </c>
      <c r="AB878" s="720"/>
      <c r="AC878" s="733" t="str">
        <f>IFERROR(IF(VLOOKUP(C878,[1]List1!$A:$D,2,FALSE)="VYPRODÁNO",$V$9,IF(VLOOKUP(C878,[1]List1!$A:$D,2,FALSE)="DOCHÁZÍ",$V$3,VLOOKUP(C878,[1]List1!$A:$D,2,FALSE))),"OFFLINE!")</f>
        <v>15.05.2024</v>
      </c>
      <c r="AD878" s="734" t="str">
        <f ca="1">IF(AP878="NE",$V$10,IF(AC878=$V$3,IF(AQ878&lt;1,$V$8,$V$2&amp;" "&amp;AQ878&amp;" "&amp;$V$1),IF(AC878="SKLADEM",$V$6,IFERROR(IF(OR(AC878-TODAY()&gt;45,VLOOKUP(C878,[1]List1!$A:$E,4,FALSE)=0),AC878,DAY(AC878)&amp;"."&amp;MONTH(AC878)&amp;"."&amp;YEAR(AC878)&amp;" "&amp;$V$4&amp;VLOOKUP(C878,[1]List1!$A:$E,4,FALSE)&amp;" "&amp;$V$1),AC878))))</f>
        <v>15.05.2024</v>
      </c>
      <c r="AE878" s="729" t="str">
        <f t="shared" ca="1" si="2182"/>
        <v>15.05.2024</v>
      </c>
      <c r="AF878" s="735">
        <f t="shared" si="2183"/>
        <v>0</v>
      </c>
      <c r="AG878" s="735">
        <f t="shared" si="2184"/>
        <v>0</v>
      </c>
      <c r="AH878" s="736">
        <f t="shared" si="2185"/>
        <v>0</v>
      </c>
      <c r="AI878" s="729">
        <f t="shared" si="2186"/>
        <v>0</v>
      </c>
      <c r="AJ878" s="729">
        <f t="shared" si="2187"/>
        <v>0</v>
      </c>
      <c r="AK878" s="729" t="str">
        <f t="shared" si="2188"/>
        <v/>
      </c>
      <c r="AL878" s="729">
        <f t="shared" si="2189"/>
        <v>0</v>
      </c>
      <c r="AM878" s="729" t="str">
        <f t="shared" si="2190"/>
        <v/>
      </c>
      <c r="AN878" s="729">
        <f t="shared" si="2191"/>
        <v>0</v>
      </c>
      <c r="AO878" s="380"/>
      <c r="AP878" s="322" t="str">
        <f t="shared" si="2142"/>
        <v/>
      </c>
      <c r="AQ878" s="323" t="str">
        <f>IF(AC878=$V$3,IF(VLOOKUP(C878,[1]List1!$A:$E,5,FALSE)=0,1,VLOOKUP(C878,[1]List1!$A:$E,5,FALSE)),"")</f>
        <v/>
      </c>
      <c r="AR878" s="304" t="str">
        <f t="shared" si="2143"/>
        <v/>
      </c>
      <c r="AS878" s="423" t="str">
        <f t="shared" si="2144"/>
        <v/>
      </c>
      <c r="AT878" s="304" t="str">
        <f t="shared" si="2145"/>
        <v/>
      </c>
      <c r="AU878" s="342" t="e">
        <f t="shared" si="2146"/>
        <v>#N/A</v>
      </c>
      <c r="AV878" s="304" t="e">
        <f t="shared" si="2147"/>
        <v>#N/A</v>
      </c>
      <c r="AX878" s="304">
        <f>IF(AND('General price list'!$J878="F4",'General price list'!$AB878+0&gt;0),1,0)</f>
        <v>0</v>
      </c>
      <c r="AY878" s="304">
        <f t="shared" si="2148"/>
        <v>1</v>
      </c>
      <c r="AZ878" s="304">
        <f t="shared" si="2149"/>
        <v>0</v>
      </c>
    </row>
    <row r="879" spans="1:52" ht="15" customHeight="1">
      <c r="A879" s="712" t="str">
        <f>Kat.!C877</f>
        <v/>
      </c>
      <c r="B879" s="737">
        <f>IF(AND('General price list'!$J879="F4",$AI$1=FALSE),0,IF(AC879="SKLADEM",1,IF(AC879=$V$3,1,0)))</f>
        <v>1</v>
      </c>
      <c r="C879" s="714" t="s">
        <v>1707</v>
      </c>
      <c r="D879" s="715" t="s">
        <v>1701</v>
      </c>
      <c r="E879" s="716" t="s">
        <v>136</v>
      </c>
      <c r="F879" s="712">
        <f>IFERROR(ROUND(IF($AL$3=2,VLOOKUP(C879,[2]List1!$A:$D,2,FALSE)*1.08,VLOOKUP(C879,[2]List1!$A:$D,2,FALSE)),0),"NEUVEDENO!")</f>
        <v>2957</v>
      </c>
      <c r="G879" s="717">
        <f t="shared" si="2178"/>
        <v>2957</v>
      </c>
      <c r="H879" s="718">
        <f t="shared" si="2179"/>
        <v>120.15977959193626</v>
      </c>
      <c r="I879" s="738">
        <v>1</v>
      </c>
      <c r="J879" s="716" t="s">
        <v>46</v>
      </c>
      <c r="K879" s="716"/>
      <c r="L879" s="716" t="s">
        <v>24</v>
      </c>
      <c r="M879" s="716" t="s">
        <v>138</v>
      </c>
      <c r="N879" s="716">
        <f>IFERROR(VLOOKUP(C879,[3]List1!$A:$D,4,FALSE),"N/A!")</f>
        <v>3.5751999999999999E-2</v>
      </c>
      <c r="O879" s="716">
        <f>IFERROR(VLOOKUP(C879,[3]List1!$A:$D,3,FALSE),"N/A!")</f>
        <v>1485</v>
      </c>
      <c r="P879" s="716">
        <f>IFERROR(VLOOKUP(C879,[3]List1!$A:$D,2,FALSE),"N/A!")</f>
        <v>11700</v>
      </c>
      <c r="Q879" s="716" t="s">
        <v>14097</v>
      </c>
      <c r="R879" s="716" t="s">
        <v>24</v>
      </c>
      <c r="S879" s="716" t="str">
        <f>IF($W$17=$AF$1,"červená fólie",IFERROR(VLOOKUP("červená fólie",Jazyky_ceník!$A:$Q,MATCH($W$17,Jazyky_ceník!$A$1:$Q$1,0),FALSE),"!!!"))</f>
        <v>červená fólie</v>
      </c>
      <c r="T879" s="716">
        <v>100</v>
      </c>
      <c r="U879" s="716" t="s">
        <v>13822</v>
      </c>
      <c r="V879" s="716" t="s">
        <v>13823</v>
      </c>
      <c r="W879" s="716" t="str">
        <f>IFERROR(VLOOKUP('General price list'!$C879,Popisy!A:P,MATCH($W$17,Popisy!$A$7:$P$7,0),FALSE),"---------------")</f>
        <v>14 různobarevných efektů</v>
      </c>
      <c r="X879" s="716" t="str">
        <f t="shared" si="2180"/>
        <v/>
      </c>
      <c r="Y879" s="716" t="str">
        <f t="shared" si="2181"/>
        <v/>
      </c>
      <c r="Z879" s="716" t="str">
        <f>HYPERLINK("https://www.klasekpyrotechnics.cz/c150mf-c")</f>
        <v>https://www.klasekpyrotechnics.cz/c150mf-c</v>
      </c>
      <c r="AA879" s="716">
        <f>IFERROR(IF(VLOOKUP(C879,[4]List1!$A:$D,4,FALSE)=0,"",VLOOKUP(C879,[4]List1!$A:$D,4,FALSE)),"")</f>
        <v>32</v>
      </c>
      <c r="AB879" s="720"/>
      <c r="AC879" s="739" t="str">
        <f>IFERROR(IF(VLOOKUP(C879,[1]List1!$A:$D,2,FALSE)="VYPRODÁNO",$V$9,IF(VLOOKUP(C879,[1]List1!$A:$D,2,FALSE)="DOCHÁZÍ",$V$3,VLOOKUP(C879,[1]List1!$A:$D,2,FALSE))),"OFFLINE!")</f>
        <v>DOCHÁZÍ</v>
      </c>
      <c r="AD879" s="740" t="str">
        <f ca="1">IF(AP879="NE",$V$10,IF(AC879=$V$3,IF(AQ879&lt;1,$V$8,$V$2&amp;" "&amp;AQ879&amp;" "&amp;$V$1),IF(AC879="SKLADEM",$V$6,IFERROR(IF(OR(AC879-TODAY()&gt;45,VLOOKUP(C879,[1]List1!$A:$E,4,FALSE)=0),AC879,DAY(AC879)&amp;"."&amp;MONTH(AC879)&amp;"."&amp;YEAR(AC879)&amp;" "&amp;$V$4&amp;VLOOKUP(C879,[1]List1!$A:$E,4,FALSE)&amp;" "&amp;$V$1),AC879))))</f>
        <v>POSLEDNÍCH 1 VK</v>
      </c>
      <c r="AE879" s="716" t="str">
        <f t="shared" ca="1" si="2182"/>
        <v>POSLEDNÍCH 1 VK</v>
      </c>
      <c r="AF879" s="723">
        <f t="shared" si="2183"/>
        <v>0</v>
      </c>
      <c r="AG879" s="723">
        <f t="shared" si="2184"/>
        <v>0</v>
      </c>
      <c r="AH879" s="724">
        <f t="shared" si="2185"/>
        <v>0</v>
      </c>
      <c r="AI879" s="716">
        <f t="shared" si="2186"/>
        <v>0</v>
      </c>
      <c r="AJ879" s="716">
        <f t="shared" si="2187"/>
        <v>0</v>
      </c>
      <c r="AK879" s="716" t="str">
        <f t="shared" si="2188"/>
        <v/>
      </c>
      <c r="AL879" s="716">
        <f t="shared" si="2189"/>
        <v>0</v>
      </c>
      <c r="AM879" s="716" t="str">
        <f t="shared" si="2190"/>
        <v/>
      </c>
      <c r="AN879" s="716">
        <f t="shared" si="2191"/>
        <v>0</v>
      </c>
      <c r="AO879" s="380"/>
      <c r="AP879" s="322" t="str">
        <f t="shared" si="2142"/>
        <v/>
      </c>
      <c r="AQ879" s="323">
        <f>IF(AC879=$V$3,IF(VLOOKUP(C879,[1]List1!$A:$E,5,FALSE)=0,1,VLOOKUP(C879,[1]List1!$A:$E,5,FALSE)),"")</f>
        <v>1</v>
      </c>
      <c r="AR879" s="304" t="str">
        <f t="shared" si="2143"/>
        <v/>
      </c>
      <c r="AS879" s="423" t="str">
        <f t="shared" si="2144"/>
        <v/>
      </c>
      <c r="AT879" s="304" t="str">
        <f t="shared" si="2145"/>
        <v/>
      </c>
      <c r="AU879" s="342" t="e">
        <f t="shared" si="2146"/>
        <v>#N/A</v>
      </c>
      <c r="AV879" s="304" t="e">
        <f t="shared" si="2147"/>
        <v>#N/A</v>
      </c>
      <c r="AX879" s="304">
        <f>IF(AND('General price list'!$J879="F4",'General price list'!$AB879+0&gt;0),1,0)</f>
        <v>0</v>
      </c>
      <c r="AY879" s="304">
        <f t="shared" si="2148"/>
        <v>1</v>
      </c>
      <c r="AZ879" s="304">
        <f t="shared" si="2149"/>
        <v>0</v>
      </c>
    </row>
    <row r="880" spans="1:52" ht="15" customHeight="1">
      <c r="A880" s="725" t="str">
        <f>Kat.!C878</f>
        <v/>
      </c>
      <c r="B880" s="726">
        <f>IF(AND('General price list'!$J880="F4",$AI$1=FALSE),0,IF(AC880="SKLADEM",1,IF(AC880=$V$3,1,0)))</f>
        <v>1</v>
      </c>
      <c r="C880" s="727" t="s">
        <v>1708</v>
      </c>
      <c r="D880" s="728" t="s">
        <v>1589</v>
      </c>
      <c r="E880" s="729" t="s">
        <v>136</v>
      </c>
      <c r="F880" s="725">
        <f>IFERROR(ROUND(IF($AL$3=2,VLOOKUP(C880,[2]List1!$A:$D,2,FALSE)*1.08,VLOOKUP(C880,[2]List1!$A:$D,2,FALSE)),0),"NEUVEDENO!")</f>
        <v>3885</v>
      </c>
      <c r="G880" s="730">
        <f t="shared" si="2178"/>
        <v>3885</v>
      </c>
      <c r="H880" s="731">
        <f t="shared" si="2179"/>
        <v>157.8697138027299</v>
      </c>
      <c r="I880" s="732">
        <v>1</v>
      </c>
      <c r="J880" s="729" t="s">
        <v>46</v>
      </c>
      <c r="K880" s="729"/>
      <c r="L880" s="729" t="s">
        <v>24</v>
      </c>
      <c r="M880" s="729" t="s">
        <v>138</v>
      </c>
      <c r="N880" s="729">
        <f>IFERROR(VLOOKUP(C880,[3]List1!$A:$D,4,FALSE),"N/A!")</f>
        <v>4.7887999999999993E-2</v>
      </c>
      <c r="O880" s="729">
        <f>IFERROR(VLOOKUP(C880,[3]List1!$A:$D,3,FALSE),"N/A!")</f>
        <v>1980</v>
      </c>
      <c r="P880" s="729">
        <f>IFERROR(VLOOKUP(C880,[3]List1!$A:$D,2,FALSE),"N/A!")</f>
        <v>15600</v>
      </c>
      <c r="Q880" s="729" t="s">
        <v>14277</v>
      </c>
      <c r="R880" s="729" t="s">
        <v>24</v>
      </c>
      <c r="S880" s="729" t="str">
        <f>IF($W$17=$AF$1,"červená fólie",IFERROR(VLOOKUP("červená fólie",Jazyky_ceník!$A:$Q,MATCH($W$17,Jazyky_ceník!$A$1:$Q$1,0),FALSE),"!!!"))</f>
        <v>červená fólie</v>
      </c>
      <c r="T880" s="729">
        <v>150</v>
      </c>
      <c r="U880" s="729" t="s">
        <v>13822</v>
      </c>
      <c r="V880" s="729" t="s">
        <v>13823</v>
      </c>
      <c r="W880" s="729" t="str">
        <f>IFERROR(VLOOKUP('General price list'!$C880,Popisy!A:P,MATCH($W$17,Popisy!$A$7:$P$7,0),FALSE),"---------------")</f>
        <v>14 různobarevných efektů</v>
      </c>
      <c r="X880" s="729" t="str">
        <f t="shared" si="2180"/>
        <v/>
      </c>
      <c r="Y880" s="729" t="str">
        <f t="shared" si="2181"/>
        <v/>
      </c>
      <c r="Z880" s="729" t="str">
        <f>HYPERLINK("https://www.klasekpyrotechnics.cz/c200mf-c")</f>
        <v>https://www.klasekpyrotechnics.cz/c200mf-c</v>
      </c>
      <c r="AA880" s="729">
        <f>IFERROR(IF(VLOOKUP(C880,[4]List1!$A:$D,4,FALSE)=0,"",VLOOKUP(C880,[4]List1!$A:$D,4,FALSE)),"")</f>
        <v>24</v>
      </c>
      <c r="AB880" s="720"/>
      <c r="AC880" s="733" t="str">
        <f>IFERROR(IF(VLOOKUP(C880,[1]List1!$A:$D,2,FALSE)="VYPRODÁNO",$V$9,IF(VLOOKUP(C880,[1]List1!$A:$D,2,FALSE)="DOCHÁZÍ",$V$3,VLOOKUP(C880,[1]List1!$A:$D,2,FALSE))),"OFFLINE!")</f>
        <v>SKLADEM</v>
      </c>
      <c r="AD880" s="734" t="str">
        <f ca="1">IF(AP880="NE",$V$10,IF(AC880=$V$3,IF(AQ880&lt;1,$V$8,$V$2&amp;" "&amp;AQ880&amp;" "&amp;$V$1),IF(AC880="SKLADEM",$V$6,IFERROR(IF(OR(AC880-TODAY()&gt;45,VLOOKUP(C880,[1]List1!$A:$E,4,FALSE)=0),AC880,DAY(AC880)&amp;"."&amp;MONTH(AC880)&amp;"."&amp;YEAR(AC880)&amp;" "&amp;$V$4&amp;VLOOKUP(C880,[1]List1!$A:$E,4,FALSE)&amp;" "&amp;$V$1),AC880))))</f>
        <v>SKLADEM</v>
      </c>
      <c r="AE880" s="729" t="str">
        <f t="shared" ca="1" si="2182"/>
        <v>SKLADEM</v>
      </c>
      <c r="AF880" s="735">
        <f t="shared" si="2183"/>
        <v>0</v>
      </c>
      <c r="AG880" s="735">
        <f t="shared" si="2184"/>
        <v>0</v>
      </c>
      <c r="AH880" s="736">
        <f t="shared" si="2185"/>
        <v>0</v>
      </c>
      <c r="AI880" s="729">
        <f t="shared" si="2186"/>
        <v>0</v>
      </c>
      <c r="AJ880" s="729">
        <f t="shared" si="2187"/>
        <v>0</v>
      </c>
      <c r="AK880" s="729" t="str">
        <f t="shared" si="2188"/>
        <v/>
      </c>
      <c r="AL880" s="729">
        <f t="shared" si="2189"/>
        <v>0</v>
      </c>
      <c r="AM880" s="729" t="str">
        <f t="shared" si="2190"/>
        <v/>
      </c>
      <c r="AN880" s="729">
        <f t="shared" si="2191"/>
        <v>0</v>
      </c>
      <c r="AO880" s="380"/>
      <c r="AP880" s="322" t="str">
        <f t="shared" si="2142"/>
        <v/>
      </c>
      <c r="AQ880" s="323" t="str">
        <f>IF(AC880=$V$3,IF(VLOOKUP(C880,[1]List1!$A:$E,5,FALSE)=0,1,VLOOKUP(C880,[1]List1!$A:$E,5,FALSE)),"")</f>
        <v/>
      </c>
      <c r="AR880" s="304" t="str">
        <f t="shared" si="2143"/>
        <v/>
      </c>
      <c r="AS880" s="423" t="str">
        <f t="shared" si="2144"/>
        <v/>
      </c>
      <c r="AT880" s="304" t="str">
        <f t="shared" si="2145"/>
        <v/>
      </c>
      <c r="AU880" s="342" t="e">
        <f t="shared" si="2146"/>
        <v>#N/A</v>
      </c>
      <c r="AV880" s="304" t="e">
        <f t="shared" si="2147"/>
        <v>#N/A</v>
      </c>
      <c r="AX880" s="304">
        <f>IF(AND('General price list'!$J880="F4",'General price list'!$AB880+0&gt;0),1,0)</f>
        <v>0</v>
      </c>
      <c r="AY880" s="304">
        <f t="shared" si="2148"/>
        <v>1</v>
      </c>
      <c r="AZ880" s="304">
        <f t="shared" si="2149"/>
        <v>0</v>
      </c>
    </row>
    <row r="881" spans="1:52" ht="15" customHeight="1">
      <c r="A881" s="712" t="str">
        <f>Kat.!C879</f>
        <v/>
      </c>
      <c r="B881" s="737">
        <f>IF(AND('General price list'!$J881="F4",$AI$1=FALSE),0,IF(AC881="SKLADEM",1,IF(AC881=$V$3,1,0)))</f>
        <v>1</v>
      </c>
      <c r="C881" s="714" t="s">
        <v>2605</v>
      </c>
      <c r="D881" s="715" t="s">
        <v>2597</v>
      </c>
      <c r="E881" s="716" t="s">
        <v>136</v>
      </c>
      <c r="F881" s="712">
        <f>IFERROR(ROUND(IF($AL$3=2,VLOOKUP(C881,[2]List1!$A:$D,2,FALSE)*1.08,VLOOKUP(C881,[2]List1!$A:$D,2,FALSE)),0),"NEUVEDENO!")</f>
        <v>3459</v>
      </c>
      <c r="G881" s="717">
        <f t="shared" si="2178"/>
        <v>3459</v>
      </c>
      <c r="H881" s="718">
        <f t="shared" si="2179"/>
        <v>140.55890348613713</v>
      </c>
      <c r="I881" s="738">
        <v>1</v>
      </c>
      <c r="J881" s="716" t="s">
        <v>46</v>
      </c>
      <c r="K881" s="716"/>
      <c r="L881" s="716" t="s">
        <v>24</v>
      </c>
      <c r="M881" s="716" t="s">
        <v>138</v>
      </c>
      <c r="N881" s="716">
        <f>IFERROR(VLOOKUP(C881,[3]List1!$A:$D,4,FALSE),"N/A!")</f>
        <v>4.9148749999999998E-2</v>
      </c>
      <c r="O881" s="716">
        <f>IFERROR(VLOOKUP(C881,[3]List1!$A:$D,3,FALSE),"N/A!")</f>
        <v>1500</v>
      </c>
      <c r="P881" s="716">
        <f>IFERROR(VLOOKUP(C881,[3]List1!$A:$D,2,FALSE),"N/A!")</f>
        <v>17000</v>
      </c>
      <c r="Q881" s="716" t="s">
        <v>14278</v>
      </c>
      <c r="R881" s="716" t="s">
        <v>24</v>
      </c>
      <c r="S881" s="716" t="str">
        <f>IF($W$17=$AF$1,"červená fólie",IFERROR(VLOOKUP("červená fólie",Jazyky_ceník!$A:$Q,MATCH($W$17,Jazyky_ceník!$A$1:$Q$1,0),FALSE),"!!!"))</f>
        <v>červená fólie</v>
      </c>
      <c r="T881" s="716">
        <v>100</v>
      </c>
      <c r="U881" s="716" t="s">
        <v>13822</v>
      </c>
      <c r="V881" s="716" t="s">
        <v>13832</v>
      </c>
      <c r="W881" s="716" t="str">
        <f>IFERROR(VLOOKUP('General price list'!$C881,Popisy!A:P,MATCH($W$17,Popisy!$A$7:$P$7,0),FALSE),"---------------")</f>
        <v>42 různobarevných efektů</v>
      </c>
      <c r="X881" s="716" t="str">
        <f t="shared" si="2180"/>
        <v/>
      </c>
      <c r="Y881" s="716" t="str">
        <f t="shared" si="2181"/>
        <v/>
      </c>
      <c r="Z881" s="716" t="str">
        <f>HYPERLINK("https://www.klasekpyrotechnics.cz/c204xmpt-c")</f>
        <v>https://www.klasekpyrotechnics.cz/c204xmpt-c</v>
      </c>
      <c r="AA881" s="716">
        <f>IFERROR(IF(VLOOKUP(C881,[4]List1!$A:$D,4,FALSE)=0,"",VLOOKUP(C881,[4]List1!$A:$D,4,FALSE)),"")</f>
        <v>21</v>
      </c>
      <c r="AB881" s="720"/>
      <c r="AC881" s="739" t="str">
        <f>IFERROR(IF(VLOOKUP(C881,[1]List1!$A:$D,2,FALSE)="VYPRODÁNO",$V$9,IF(VLOOKUP(C881,[1]List1!$A:$D,2,FALSE)="DOCHÁZÍ",$V$3,VLOOKUP(C881,[1]List1!$A:$D,2,FALSE))),"OFFLINE!")</f>
        <v>SKLADEM</v>
      </c>
      <c r="AD881" s="740" t="str">
        <f ca="1">IF(AP881="NE",$V$10,IF(AC881=$V$3,IF(AQ881&lt;1,$V$8,$V$2&amp;" "&amp;AQ881&amp;" "&amp;$V$1),IF(AC881="SKLADEM",$V$6,IFERROR(IF(OR(AC881-TODAY()&gt;45,VLOOKUP(C881,[1]List1!$A:$E,4,FALSE)=0),AC881,DAY(AC881)&amp;"."&amp;MONTH(AC881)&amp;"."&amp;YEAR(AC881)&amp;" "&amp;$V$4&amp;VLOOKUP(C881,[1]List1!$A:$E,4,FALSE)&amp;" "&amp;$V$1),AC881))))</f>
        <v>SKLADEM</v>
      </c>
      <c r="AE881" s="716" t="str">
        <f t="shared" ca="1" si="2182"/>
        <v>SKLADEM</v>
      </c>
      <c r="AF881" s="723">
        <f t="shared" si="2183"/>
        <v>0</v>
      </c>
      <c r="AG881" s="723">
        <f t="shared" si="2184"/>
        <v>0</v>
      </c>
      <c r="AH881" s="724">
        <f t="shared" si="2185"/>
        <v>0</v>
      </c>
      <c r="AI881" s="716">
        <f t="shared" si="2186"/>
        <v>0</v>
      </c>
      <c r="AJ881" s="716">
        <f t="shared" si="2187"/>
        <v>0</v>
      </c>
      <c r="AK881" s="716" t="str">
        <f t="shared" si="2188"/>
        <v/>
      </c>
      <c r="AL881" s="716">
        <f t="shared" si="2189"/>
        <v>0</v>
      </c>
      <c r="AM881" s="716" t="str">
        <f t="shared" si="2190"/>
        <v/>
      </c>
      <c r="AN881" s="716">
        <f t="shared" si="2191"/>
        <v>0</v>
      </c>
      <c r="AO881" s="380"/>
      <c r="AP881" s="322" t="str">
        <f t="shared" si="2142"/>
        <v/>
      </c>
      <c r="AQ881" s="323" t="str">
        <f>IF(AC881=$V$3,IF(VLOOKUP(C881,[1]List1!$A:$E,5,FALSE)=0,1,VLOOKUP(C881,[1]List1!$A:$E,5,FALSE)),"")</f>
        <v/>
      </c>
      <c r="AR881" s="304" t="str">
        <f t="shared" si="2143"/>
        <v/>
      </c>
      <c r="AS881" s="423" t="str">
        <f t="shared" si="2144"/>
        <v/>
      </c>
      <c r="AT881" s="304" t="str">
        <f t="shared" si="2145"/>
        <v/>
      </c>
      <c r="AU881" s="342" t="e">
        <f t="shared" si="2146"/>
        <v>#N/A</v>
      </c>
      <c r="AV881" s="304" t="e">
        <f t="shared" si="2147"/>
        <v>#N/A</v>
      </c>
      <c r="AX881" s="304">
        <f>IF(AND('General price list'!$J881="F4",'General price list'!$AB881+0&gt;0),1,0)</f>
        <v>0</v>
      </c>
      <c r="AY881" s="304">
        <f t="shared" si="2148"/>
        <v>1</v>
      </c>
      <c r="AZ881" s="304">
        <f t="shared" si="2149"/>
        <v>0</v>
      </c>
    </row>
    <row r="882" spans="1:52" ht="15" customHeight="1">
      <c r="A882" s="725" t="str">
        <f>Kat.!C880</f>
        <v/>
      </c>
      <c r="B882" s="726">
        <f>IF(AND('General price list'!$J882="F4",$AI$1=FALSE),0,IF(AC882="SKLADEM",1,IF(AC882=$V$3,1,0)))</f>
        <v>1</v>
      </c>
      <c r="C882" s="727" t="s">
        <v>2606</v>
      </c>
      <c r="D882" s="728" t="s">
        <v>2599</v>
      </c>
      <c r="E882" s="729" t="s">
        <v>136</v>
      </c>
      <c r="F882" s="725">
        <f>IFERROR(ROUND(IF($AL$3=2,VLOOKUP(C882,[2]List1!$A:$D,2,FALSE)*1.08,VLOOKUP(C882,[2]List1!$A:$D,2,FALSE)),0),"NEUVEDENO!")</f>
        <v>3639</v>
      </c>
      <c r="G882" s="730">
        <f t="shared" si="2178"/>
        <v>3639</v>
      </c>
      <c r="H882" s="731">
        <f t="shared" si="2179"/>
        <v>147.87333038047211</v>
      </c>
      <c r="I882" s="732">
        <v>1</v>
      </c>
      <c r="J882" s="729" t="s">
        <v>46</v>
      </c>
      <c r="K882" s="729"/>
      <c r="L882" s="729" t="s">
        <v>24</v>
      </c>
      <c r="M882" s="729" t="s">
        <v>138</v>
      </c>
      <c r="N882" s="729">
        <f>IFERROR(VLOOKUP(C882,[3]List1!$A:$D,4,FALSE),"N/A!")</f>
        <v>4.3296000000000001E-2</v>
      </c>
      <c r="O882" s="729">
        <f>IFERROR(VLOOKUP(C882,[3]List1!$A:$D,3,FALSE),"N/A!")</f>
        <v>1963</v>
      </c>
      <c r="P882" s="729">
        <f>IFERROR(VLOOKUP(C882,[3]List1!$A:$D,2,FALSE),"N/A!")</f>
        <v>13500</v>
      </c>
      <c r="Q882" s="729" t="s">
        <v>14097</v>
      </c>
      <c r="R882" s="729" t="s">
        <v>24</v>
      </c>
      <c r="S882" s="729" t="str">
        <f>IF($W$17=$AF$1,"červená fólie",IFERROR(VLOOKUP("červená fólie",Jazyky_ceník!$A:$Q,MATCH($W$17,Jazyky_ceník!$A$1:$Q$1,0),FALSE),"!!!"))</f>
        <v>červená fólie</v>
      </c>
      <c r="T882" s="729">
        <v>90</v>
      </c>
      <c r="U882" s="729" t="s">
        <v>13822</v>
      </c>
      <c r="V882" s="729" t="s">
        <v>13823</v>
      </c>
      <c r="W882" s="729" t="str">
        <f>IFERROR(VLOOKUP('General price list'!$C882,Popisy!A:P,MATCH($W$17,Popisy!$A$7:$P$7,0),FALSE),"---------------")</f>
        <v>19 různobarevných efektů</v>
      </c>
      <c r="X882" s="729" t="str">
        <f t="shared" si="2180"/>
        <v/>
      </c>
      <c r="Y882" s="729" t="str">
        <f t="shared" si="2181"/>
        <v/>
      </c>
      <c r="Z882" s="729" t="str">
        <f>HYPERLINK("https://www.klasekpyrotechnics.cz/c216xmfs-c")</f>
        <v>https://www.klasekpyrotechnics.cz/c216xmfs-c</v>
      </c>
      <c r="AA882" s="729">
        <f>IFERROR(IF(VLOOKUP(C882,[4]List1!$A:$D,4,FALSE)=0,"",VLOOKUP(C882,[4]List1!$A:$D,4,FALSE)),"")</f>
        <v>32</v>
      </c>
      <c r="AB882" s="720"/>
      <c r="AC882" s="733" t="str">
        <f>IFERROR(IF(VLOOKUP(C882,[1]List1!$A:$D,2,FALSE)="VYPRODÁNO",$V$9,IF(VLOOKUP(C882,[1]List1!$A:$D,2,FALSE)="DOCHÁZÍ",$V$3,VLOOKUP(C882,[1]List1!$A:$D,2,FALSE))),"OFFLINE!")</f>
        <v>SKLADEM</v>
      </c>
      <c r="AD882" s="734" t="str">
        <f ca="1">IF(AP882="NE",$V$10,IF(AC882=$V$3,IF(AQ882&lt;1,$V$8,$V$2&amp;" "&amp;AQ882&amp;" "&amp;$V$1),IF(AC882="SKLADEM",$V$6,IFERROR(IF(OR(AC882-TODAY()&gt;45,VLOOKUP(C882,[1]List1!$A:$E,4,FALSE)=0),AC882,DAY(AC882)&amp;"."&amp;MONTH(AC882)&amp;"."&amp;YEAR(AC882)&amp;" "&amp;$V$4&amp;VLOOKUP(C882,[1]List1!$A:$E,4,FALSE)&amp;" "&amp;$V$1),AC882))))</f>
        <v>SKLADEM</v>
      </c>
      <c r="AE882" s="729" t="str">
        <f t="shared" ca="1" si="2182"/>
        <v>SKLADEM</v>
      </c>
      <c r="AF882" s="735">
        <f t="shared" si="2183"/>
        <v>0</v>
      </c>
      <c r="AG882" s="735">
        <f t="shared" si="2184"/>
        <v>0</v>
      </c>
      <c r="AH882" s="736">
        <f t="shared" si="2185"/>
        <v>0</v>
      </c>
      <c r="AI882" s="729">
        <f t="shared" si="2186"/>
        <v>0</v>
      </c>
      <c r="AJ882" s="729">
        <f t="shared" si="2187"/>
        <v>0</v>
      </c>
      <c r="AK882" s="729" t="str">
        <f t="shared" si="2188"/>
        <v/>
      </c>
      <c r="AL882" s="729">
        <f t="shared" si="2189"/>
        <v>0</v>
      </c>
      <c r="AM882" s="729" t="str">
        <f t="shared" si="2190"/>
        <v/>
      </c>
      <c r="AN882" s="729">
        <f t="shared" si="2191"/>
        <v>0</v>
      </c>
      <c r="AO882" s="380"/>
      <c r="AP882" s="322" t="str">
        <f t="shared" si="2142"/>
        <v/>
      </c>
      <c r="AQ882" s="323" t="str">
        <f>IF(AC882=$V$3,IF(VLOOKUP(C882,[1]List1!$A:$E,5,FALSE)=0,1,VLOOKUP(C882,[1]List1!$A:$E,5,FALSE)),"")</f>
        <v/>
      </c>
      <c r="AR882" s="304" t="str">
        <f t="shared" si="2143"/>
        <v/>
      </c>
      <c r="AS882" s="423" t="str">
        <f t="shared" si="2144"/>
        <v/>
      </c>
      <c r="AT882" s="304" t="str">
        <f t="shared" si="2145"/>
        <v/>
      </c>
      <c r="AU882" s="342" t="e">
        <f t="shared" si="2146"/>
        <v>#N/A</v>
      </c>
      <c r="AV882" s="304" t="e">
        <f t="shared" si="2147"/>
        <v>#N/A</v>
      </c>
      <c r="AX882" s="304">
        <f>IF(AND('General price list'!$J882="F4",'General price list'!$AB882+0&gt;0),1,0)</f>
        <v>0</v>
      </c>
      <c r="AY882" s="304">
        <f t="shared" si="2148"/>
        <v>1</v>
      </c>
      <c r="AZ882" s="304">
        <f t="shared" si="2149"/>
        <v>0</v>
      </c>
    </row>
    <row r="883" spans="1:52" ht="15" customHeight="1">
      <c r="A883" s="712" t="str">
        <f>Kat.!C881</f>
        <v/>
      </c>
      <c r="B883" s="737">
        <f>IF(AND('General price list'!$J883="F4",$AI$1=FALSE),0,IF(AC883="SKLADEM",1,IF(AC883=$V$3,1,0)))</f>
        <v>0</v>
      </c>
      <c r="C883" s="714" t="s">
        <v>2607</v>
      </c>
      <c r="D883" s="715" t="s">
        <v>2601</v>
      </c>
      <c r="E883" s="716" t="s">
        <v>136</v>
      </c>
      <c r="F883" s="712">
        <f>IFERROR(ROUND(IF($AL$3=2,VLOOKUP(C883,[2]List1!$A:$D,2,FALSE)*1.08,VLOOKUP(C883,[2]List1!$A:$D,2,FALSE)),0),"NEUVEDENO!")</f>
        <v>4381</v>
      </c>
      <c r="G883" s="717">
        <f t="shared" si="2178"/>
        <v>4381</v>
      </c>
      <c r="H883" s="718">
        <f t="shared" si="2179"/>
        <v>178.02502346711964</v>
      </c>
      <c r="I883" s="738">
        <v>1</v>
      </c>
      <c r="J883" s="716" t="s">
        <v>46</v>
      </c>
      <c r="K883" s="716" t="s">
        <v>12734</v>
      </c>
      <c r="L883" s="716" t="s">
        <v>24</v>
      </c>
      <c r="M883" s="716" t="s">
        <v>138</v>
      </c>
      <c r="N883" s="716">
        <f>IFERROR(VLOOKUP(C883,[3]List1!$A:$D,4,FALSE),"N/A!")</f>
        <v>5.2136000000000009E-2</v>
      </c>
      <c r="O883" s="716">
        <f>IFERROR(VLOOKUP(C883,[3]List1!$A:$D,3,FALSE),"N/A!")</f>
        <v>2000</v>
      </c>
      <c r="P883" s="716">
        <f>IFERROR(VLOOKUP(C883,[3]List1!$A:$D,2,FALSE),"N/A!")</f>
        <v>17000</v>
      </c>
      <c r="Q883" s="716" t="s">
        <v>14196</v>
      </c>
      <c r="R883" s="716" t="s">
        <v>24</v>
      </c>
      <c r="S883" s="716" t="str">
        <f>IF($W$17=$AF$1,"červená fólie",IFERROR(VLOOKUP("červená fólie",Jazyky_ceník!$A:$Q,MATCH($W$17,Jazyky_ceník!$A$1:$Q$1,0),FALSE),"!!!"))</f>
        <v>červená fólie</v>
      </c>
      <c r="T883" s="716">
        <v>130</v>
      </c>
      <c r="U883" s="716" t="s">
        <v>13822</v>
      </c>
      <c r="V883" s="716" t="s">
        <v>13823</v>
      </c>
      <c r="W883" s="716" t="str">
        <f>IFERROR(VLOOKUP('General price list'!$C883,Popisy!A:P,MATCH($W$17,Popisy!$A$7:$P$7,0),FALSE),"---------------")</f>
        <v>34 různobarevných efektů</v>
      </c>
      <c r="X883" s="716" t="str">
        <f t="shared" si="2180"/>
        <v/>
      </c>
      <c r="Y883" s="716" t="str">
        <f t="shared" si="2181"/>
        <v/>
      </c>
      <c r="Z883" s="716" t="str">
        <f>HYPERLINK("https://www.klasekpyrotechnics.cz/c223xmk-c")</f>
        <v>https://www.klasekpyrotechnics.cz/c223xmk-c</v>
      </c>
      <c r="AA883" s="716">
        <f>IFERROR(IF(VLOOKUP(C883,[4]List1!$A:$D,4,FALSE)=0,"",VLOOKUP(C883,[4]List1!$A:$D,4,FALSE)),"")</f>
        <v>18</v>
      </c>
      <c r="AB883" s="720"/>
      <c r="AC883" s="739" t="str">
        <f>IFERROR(IF(VLOOKUP(C883,[1]List1!$A:$D,2,FALSE)="VYPRODÁNO",$V$9,IF(VLOOKUP(C883,[1]List1!$A:$D,2,FALSE)="DOCHÁZÍ",$V$3,VLOOKUP(C883,[1]List1!$A:$D,2,FALSE))),"OFFLINE!")</f>
        <v>20.06.2024</v>
      </c>
      <c r="AD883" s="740" t="str">
        <f ca="1">IF(AP883="NE",$V$10,IF(AC883=$V$3,IF(AQ883&lt;1,$V$8,$V$2&amp;" "&amp;AQ883&amp;" "&amp;$V$1),IF(AC883="SKLADEM",$V$6,IFERROR(IF(OR(AC883-TODAY()&gt;45,VLOOKUP(C883,[1]List1!$A:$E,4,FALSE)=0),AC883,DAY(AC883)&amp;"."&amp;MONTH(AC883)&amp;"."&amp;YEAR(AC883)&amp;" "&amp;$V$4&amp;VLOOKUP(C883,[1]List1!$A:$E,4,FALSE)&amp;" "&amp;$V$1),AC883))))</f>
        <v>20.06.2024</v>
      </c>
      <c r="AE883" s="716" t="str">
        <f t="shared" ca="1" si="2182"/>
        <v>20.06.2024</v>
      </c>
      <c r="AF883" s="723">
        <f t="shared" si="2183"/>
        <v>0</v>
      </c>
      <c r="AG883" s="723">
        <f t="shared" si="2184"/>
        <v>0</v>
      </c>
      <c r="AH883" s="724">
        <f t="shared" si="2185"/>
        <v>0</v>
      </c>
      <c r="AI883" s="716">
        <f t="shared" si="2186"/>
        <v>0</v>
      </c>
      <c r="AJ883" s="716">
        <f t="shared" si="2187"/>
        <v>0</v>
      </c>
      <c r="AK883" s="716" t="str">
        <f t="shared" si="2188"/>
        <v/>
      </c>
      <c r="AL883" s="716">
        <f t="shared" si="2189"/>
        <v>0</v>
      </c>
      <c r="AM883" s="716" t="str">
        <f t="shared" si="2190"/>
        <v/>
      </c>
      <c r="AN883" s="716">
        <f t="shared" si="2191"/>
        <v>0</v>
      </c>
      <c r="AO883" s="380"/>
      <c r="AP883" s="322" t="str">
        <f t="shared" si="2142"/>
        <v/>
      </c>
      <c r="AQ883" s="323" t="str">
        <f>IF(AC883=$V$3,IF(VLOOKUP(C883,[1]List1!$A:$E,5,FALSE)=0,1,VLOOKUP(C883,[1]List1!$A:$E,5,FALSE)),"")</f>
        <v/>
      </c>
      <c r="AR883" s="304" t="str">
        <f t="shared" si="2143"/>
        <v/>
      </c>
      <c r="AS883" s="423" t="str">
        <f t="shared" si="2144"/>
        <v/>
      </c>
      <c r="AT883" s="304" t="str">
        <f t="shared" si="2145"/>
        <v/>
      </c>
      <c r="AU883" s="342" t="e">
        <f t="shared" si="2146"/>
        <v>#N/A</v>
      </c>
      <c r="AV883" s="304" t="e">
        <f t="shared" si="2147"/>
        <v>#N/A</v>
      </c>
      <c r="AX883" s="304">
        <f>IF(AND('General price list'!$J883="F4",'General price list'!$AB883+0&gt;0),1,0)</f>
        <v>0</v>
      </c>
      <c r="AY883" s="304">
        <f t="shared" si="2148"/>
        <v>1</v>
      </c>
      <c r="AZ883" s="304">
        <f t="shared" si="2149"/>
        <v>0</v>
      </c>
    </row>
    <row r="884" spans="1:52" ht="15" customHeight="1">
      <c r="A884" s="773" t="str">
        <f>Kat.!C882</f>
        <v xml:space="preserve">                                                               Složený ohňostroj(s ochraným obalem), multikaliber F2 - 1.3G</v>
      </c>
      <c r="B884" s="774"/>
      <c r="C884" s="774"/>
      <c r="D884" s="774"/>
      <c r="E884" s="774"/>
      <c r="F884" s="774"/>
      <c r="G884" s="774"/>
      <c r="H884" s="774"/>
      <c r="I884" s="774"/>
      <c r="J884" s="774"/>
      <c r="K884" s="774"/>
      <c r="L884" s="774"/>
      <c r="M884" s="774"/>
      <c r="N884" s="774"/>
      <c r="O884" s="774"/>
      <c r="P884" s="774"/>
      <c r="Q884" s="774"/>
      <c r="R884" s="774"/>
      <c r="S884" s="774"/>
      <c r="T884" s="774"/>
      <c r="U884" s="774"/>
      <c r="V884" s="774"/>
      <c r="W884" s="774"/>
      <c r="X884" s="774"/>
      <c r="Y884" s="774"/>
      <c r="Z884" s="774"/>
      <c r="AA884" s="774" t="str">
        <f>IFERROR(IF(VLOOKUP(C884,[4]List1!$A:$D,4,FALSE)=0,"",VLOOKUP(C884,[4]List1!$A:$D,4,FALSE)),"")</f>
        <v/>
      </c>
      <c r="AB884" s="774"/>
      <c r="AC884" s="775" t="str">
        <f>IFERROR(IF(VLOOKUP(C884,[1]List1!$A:$D,2,FALSE)="VYPRODÁNO",$V$9,IF(VLOOKUP(C884,[1]List1!$A:$D,2,FALSE)="DOCHÁZÍ",$V$3,VLOOKUP(C884,[1]List1!$A:$D,2,FALSE))),"OFFLINE!")</f>
        <v>OFFLINE!</v>
      </c>
      <c r="AD884" s="774"/>
      <c r="AE884" s="774"/>
      <c r="AF884" s="774"/>
      <c r="AG884" s="774"/>
      <c r="AH884" s="774"/>
      <c r="AI884" s="774"/>
      <c r="AJ884" s="774"/>
      <c r="AK884" s="774"/>
      <c r="AL884" s="774"/>
      <c r="AM884" s="774"/>
      <c r="AN884" s="774"/>
      <c r="AO884" s="380"/>
      <c r="AP884" s="322" t="str">
        <f t="shared" si="2142"/>
        <v/>
      </c>
      <c r="AQ884" s="323" t="str">
        <f>IF(AC884=$V$3,IF(VLOOKUP(C884,[1]List1!$A:$E,5,FALSE)=0,1,VLOOKUP(C884,[1]List1!$A:$E,5,FALSE)),"")</f>
        <v/>
      </c>
      <c r="AR884" s="304" t="str">
        <f t="shared" si="2143"/>
        <v/>
      </c>
      <c r="AS884" s="423" t="str">
        <f t="shared" si="2144"/>
        <v/>
      </c>
      <c r="AT884" s="304" t="str">
        <f t="shared" si="2145"/>
        <v/>
      </c>
      <c r="AU884" s="342" t="e">
        <f t="shared" si="2146"/>
        <v>#N/A</v>
      </c>
      <c r="AV884" s="304" t="e">
        <f t="shared" si="2147"/>
        <v>#N/A</v>
      </c>
      <c r="AX884" s="304">
        <f>IF(AND('General price list'!$J884="F4",'General price list'!$AB884+0&gt;0),1,0)</f>
        <v>0</v>
      </c>
      <c r="AY884" s="304">
        <f t="shared" si="2148"/>
        <v>0</v>
      </c>
      <c r="AZ884" s="304">
        <f t="shared" si="2149"/>
        <v>0</v>
      </c>
    </row>
    <row r="885" spans="1:52" ht="15" customHeight="1">
      <c r="A885" s="712" t="str">
        <f>Kat.!C883</f>
        <v/>
      </c>
      <c r="B885" s="713">
        <f>IF(AND('General price list'!$J885="F4",$AI$1=FALSE),0,IF(AC885="SKLADEM",1,IF(AC885=$V$3,1,0)))</f>
        <v>1</v>
      </c>
      <c r="C885" s="714" t="s">
        <v>2771</v>
      </c>
      <c r="D885" s="715" t="s">
        <v>2595</v>
      </c>
      <c r="E885" s="716" t="s">
        <v>136</v>
      </c>
      <c r="F885" s="712">
        <f>IFERROR(ROUND(IF($AL$3=2,VLOOKUP(C885,[2]List1!$A:$D,2,FALSE)*1.08,VLOOKUP(C885,[2]List1!$A:$D,2,FALSE)),0),"NEUVEDENO!")</f>
        <v>3170</v>
      </c>
      <c r="G885" s="717">
        <f t="shared" ref="G885:G891" si="2192">(F885)*$B$19</f>
        <v>3170</v>
      </c>
      <c r="H885" s="718">
        <f t="shared" ref="H885:H891" si="2193">G885/$F$19</f>
        <v>128.81518475023265</v>
      </c>
      <c r="I885" s="719">
        <v>1</v>
      </c>
      <c r="J885" s="716" t="s">
        <v>46</v>
      </c>
      <c r="K885" s="716">
        <v>6</v>
      </c>
      <c r="L885" s="716" t="s">
        <v>24</v>
      </c>
      <c r="M885" s="716" t="s">
        <v>138</v>
      </c>
      <c r="N885" s="716">
        <f>IFERROR(VLOOKUP(C885,[3]List1!$A:$D,4,FALSE),"N/A!")</f>
        <v>3.9199999999999999E-2</v>
      </c>
      <c r="O885" s="716">
        <f>IFERROR(VLOOKUP(C885,[3]List1!$A:$D,3,FALSE),"N/A!")</f>
        <v>2000</v>
      </c>
      <c r="P885" s="716">
        <f>IFERROR(VLOOKUP(C885,[3]List1!$A:$D,2,FALSE),"N/A!")</f>
        <v>13500</v>
      </c>
      <c r="Q885" s="716" t="s">
        <v>14275</v>
      </c>
      <c r="R885" s="716" t="s">
        <v>24</v>
      </c>
      <c r="S885" s="716" t="str">
        <f>IF($W$17=$AF$1,"červená fólie",IFERROR(VLOOKUP("červená fólie",Jazyky_ceník!$A:$Q,MATCH($W$17,Jazyky_ceník!$A$1:$Q$1,0),FALSE),"!!!"))</f>
        <v>červená fólie</v>
      </c>
      <c r="T885" s="716">
        <v>105</v>
      </c>
      <c r="U885" s="716" t="s">
        <v>13822</v>
      </c>
      <c r="V885" s="716" t="s">
        <v>13832</v>
      </c>
      <c r="W885" s="716" t="str">
        <f>IFERROR(VLOOKUP('General price list'!$C885,Popisy!A:P,MATCH($W$17,Popisy!$A$7:$P$7,0),FALSE),"---------------")</f>
        <v>20 různobarevných efektů</v>
      </c>
      <c r="X885" s="716" t="str">
        <f t="shared" ref="X885:X891" si="2194">IF(AB885&lt;0.0001,"",AB885)</f>
        <v/>
      </c>
      <c r="Y885" s="716" t="str">
        <f t="shared" ref="Y885:Y891" si="2195">IF($AL$3=2,IF(OR(AB885&lt;&gt;"",AB885&lt;&gt;0),AU885,""),IF(C885="","",IF(AB885&lt;0.0001,"",IF(B885=0,"",IF(AQ885&lt;AB885,"",AB885)))))</f>
        <v/>
      </c>
      <c r="Z885" s="716" t="str">
        <f>HYPERLINK("https://www.klasekpyrotechnics.cz/c132xmpt-c_t")</f>
        <v>https://www.klasekpyrotechnics.cz/c132xmpt-c_t</v>
      </c>
      <c r="AA885" s="716">
        <f>IFERROR(IF(VLOOKUP(C885,[4]List1!$A:$D,4,FALSE)=0,"",VLOOKUP(C885,[4]List1!$A:$D,4,FALSE)),"")</f>
        <v>32</v>
      </c>
      <c r="AB885" s="720"/>
      <c r="AC885" s="721" t="str">
        <f>IFERROR(IF(VLOOKUP(C885,[1]List1!$A:$D,2,FALSE)="VYPRODÁNO",$V$9,IF(VLOOKUP(C885,[1]List1!$A:$D,2,FALSE)="DOCHÁZÍ",$V$3,VLOOKUP(C885,[1]List1!$A:$D,2,FALSE))),"OFFLINE!")</f>
        <v>SKLADEM</v>
      </c>
      <c r="AD885" s="722" t="str">
        <f ca="1">IF(AP885="NE",$V$10,IF(AC885=$V$3,IF(AQ885&lt;1,$V$8,$V$2&amp;" "&amp;AQ885&amp;" "&amp;$V$1),IF(AC885="SKLADEM",$V$6,IFERROR(IF(OR(AC885-TODAY()&gt;45,VLOOKUP(C885,[1]List1!$A:$E,4,FALSE)=0),AC885,DAY(AC885)&amp;"."&amp;MONTH(AC885)&amp;"."&amp;YEAR(AC885)&amp;" "&amp;$V$4&amp;VLOOKUP(C885,[1]List1!$A:$E,4,FALSE)&amp;" "&amp;$V$1),AC885))))</f>
        <v>SKLADEM</v>
      </c>
      <c r="AE885" s="716" t="str">
        <f t="shared" ref="AE885:AE891" ca="1" si="2196">IFERROR(IF(AV885&lt;&gt;"",AV885,AD885),AD885)</f>
        <v>SKLADEM</v>
      </c>
      <c r="AF885" s="723">
        <f t="shared" ref="AF885:AF891" si="2197">IFERROR(IF(AB885=Y885,G885*I885*Y885,0),0)</f>
        <v>0</v>
      </c>
      <c r="AG885" s="723">
        <f t="shared" ref="AG885:AG891" si="2198">IF($W$17=$AF$8,AH885*1.23,AF885*1.21)</f>
        <v>0</v>
      </c>
      <c r="AH885" s="724">
        <f t="shared" ref="AH885:AH891" si="2199">IFERROR(IF(Y885=AB885,H885*I885*Y885,0),0)</f>
        <v>0</v>
      </c>
      <c r="AI885" s="716">
        <f t="shared" ref="AI885:AI891" si="2200">IFERROR(IF(Y885=AB885,(P885*Y885)/1000,1),0)</f>
        <v>0</v>
      </c>
      <c r="AJ885" s="716">
        <f t="shared" ref="AJ885:AJ891" si="2201">IFERROR(IF(Y885=AB885,N885*Y885,0.1),0)</f>
        <v>0</v>
      </c>
      <c r="AK885" s="716" t="str">
        <f t="shared" ref="AK885:AK891" si="2202">IFERROR(IF(Y885=AB885,IF(M885="1.1G",(O885/1000)*Y885,""),""),0)</f>
        <v/>
      </c>
      <c r="AL885" s="716">
        <f t="shared" ref="AL885:AL891" si="2203">IFERROR(IF(Y885=AB885,IF(M885="1.3G",(O885/1000)*AB885,""),""),0)</f>
        <v>0</v>
      </c>
      <c r="AM885" s="716" t="str">
        <f t="shared" ref="AM885:AM891" si="2204">IFERROR(IF(Y885=AB885,IF(M885="1.4G",(O885/1000)*AB885,""),""),0)</f>
        <v/>
      </c>
      <c r="AN885" s="716">
        <f t="shared" ref="AN885:AN891" si="2205">SUM(AK885:AM885)</f>
        <v>0</v>
      </c>
      <c r="AO885" s="380"/>
      <c r="AP885" s="322" t="str">
        <f t="shared" si="2142"/>
        <v/>
      </c>
      <c r="AQ885" s="323" t="str">
        <f>IF(AC885=$V$3,IF(VLOOKUP(C885,[1]List1!$A:$E,5,FALSE)=0,1,VLOOKUP(C885,[1]List1!$A:$E,5,FALSE)),"")</f>
        <v/>
      </c>
      <c r="AR885" s="304" t="str">
        <f t="shared" si="2143"/>
        <v/>
      </c>
      <c r="AS885" s="423" t="str">
        <f t="shared" si="2144"/>
        <v/>
      </c>
      <c r="AT885" s="304" t="str">
        <f t="shared" si="2145"/>
        <v/>
      </c>
      <c r="AU885" s="342" t="e">
        <f t="shared" si="2146"/>
        <v>#N/A</v>
      </c>
      <c r="AV885" s="304" t="e">
        <f t="shared" si="2147"/>
        <v>#N/A</v>
      </c>
      <c r="AX885" s="304">
        <f>IF(AND('General price list'!$J885="F4",'General price list'!$AB885+0&gt;0),1,0)</f>
        <v>0</v>
      </c>
      <c r="AY885" s="304">
        <f t="shared" si="2148"/>
        <v>1</v>
      </c>
      <c r="AZ885" s="304">
        <f t="shared" si="2149"/>
        <v>0</v>
      </c>
    </row>
    <row r="886" spans="1:52" ht="15" customHeight="1">
      <c r="A886" s="725" t="str">
        <f>Kat.!C884</f>
        <v/>
      </c>
      <c r="B886" s="726">
        <f>IF(AND('General price list'!$J886="F4",$AI$1=FALSE),0,IF(AC886="SKLADEM",1,IF(AC886=$V$3,1,0)))</f>
        <v>0</v>
      </c>
      <c r="C886" s="727" t="s">
        <v>2772</v>
      </c>
      <c r="D886" s="728" t="s">
        <v>2604</v>
      </c>
      <c r="E886" s="729" t="s">
        <v>136</v>
      </c>
      <c r="F886" s="725">
        <f>IFERROR(ROUND(IF($AL$3=2,VLOOKUP(C886,[2]List1!$A:$D,2,FALSE)*1.08,VLOOKUP(C886,[2]List1!$A:$D,2,FALSE)),0),"NEUVEDENO!")</f>
        <v>3312</v>
      </c>
      <c r="G886" s="730">
        <f t="shared" si="2192"/>
        <v>3312</v>
      </c>
      <c r="H886" s="731">
        <f t="shared" si="2193"/>
        <v>134.58545485576357</v>
      </c>
      <c r="I886" s="732">
        <v>1</v>
      </c>
      <c r="J886" s="729" t="s">
        <v>46</v>
      </c>
      <c r="K886" s="729">
        <v>6</v>
      </c>
      <c r="L886" s="729" t="s">
        <v>24</v>
      </c>
      <c r="M886" s="729" t="s">
        <v>138</v>
      </c>
      <c r="N886" s="729">
        <f>IFERROR(VLOOKUP(C886,[3]List1!$A:$D,4,FALSE),"N/A!")</f>
        <v>3.5751999999999999E-2</v>
      </c>
      <c r="O886" s="729">
        <f>IFERROR(VLOOKUP(C886,[3]List1!$A:$D,3,FALSE),"N/A!")</f>
        <v>1498</v>
      </c>
      <c r="P886" s="729">
        <f>IFERROR(VLOOKUP(C886,[3]List1!$A:$D,2,FALSE),"N/A!")</f>
        <v>11700</v>
      </c>
      <c r="Q886" s="729" t="s">
        <v>12732</v>
      </c>
      <c r="R886" s="729" t="s">
        <v>24</v>
      </c>
      <c r="S886" s="729" t="str">
        <f>IF($W$17=$AF$1,"červená fólie",IFERROR(VLOOKUP("červená fólie",Jazyky_ceník!$A:$Q,MATCH($W$17,Jazyky_ceník!$A$1:$Q$1,0),FALSE),"!!!"))</f>
        <v>červená fólie</v>
      </c>
      <c r="T886" s="729">
        <v>90</v>
      </c>
      <c r="U886" s="729" t="s">
        <v>13822</v>
      </c>
      <c r="V886" s="729" t="s">
        <v>13832</v>
      </c>
      <c r="W886" s="729" t="str">
        <f>IFERROR(VLOOKUP('General price list'!$C886,Popisy!A:P,MATCH($W$17,Popisy!$A$7:$P$7,0),FALSE),"---------------")</f>
        <v>14 různobarevných efektů</v>
      </c>
      <c r="X886" s="729" t="str">
        <f t="shared" si="2194"/>
        <v/>
      </c>
      <c r="Y886" s="729" t="str">
        <f t="shared" si="2195"/>
        <v/>
      </c>
      <c r="Z886" s="729" t="str">
        <f>HYPERLINK("https://www.klasekpyrotechnics.cz/c150mpt-c_t")</f>
        <v>https://www.klasekpyrotechnics.cz/c150mpt-c_t</v>
      </c>
      <c r="AA886" s="729">
        <f>IFERROR(IF(VLOOKUP(C886,[4]List1!$A:$D,4,FALSE)=0,"",VLOOKUP(C886,[4]List1!$A:$D,4,FALSE)),"")</f>
        <v>32</v>
      </c>
      <c r="AB886" s="720"/>
      <c r="AC886" s="733" t="str">
        <f>IFERROR(IF(VLOOKUP(C886,[1]List1!$A:$D,2,FALSE)="VYPRODÁNO",$V$9,IF(VLOOKUP(C886,[1]List1!$A:$D,2,FALSE)="DOCHÁZÍ",$V$3,VLOOKUP(C886,[1]List1!$A:$D,2,FALSE))),"OFFLINE!")</f>
        <v>15.05.2024</v>
      </c>
      <c r="AD886" s="734" t="str">
        <f ca="1">IF(AP886="NE",$V$10,IF(AC886=$V$3,IF(AQ886&lt;1,$V$8,$V$2&amp;" "&amp;AQ886&amp;" "&amp;$V$1),IF(AC886="SKLADEM",$V$6,IFERROR(IF(OR(AC886-TODAY()&gt;45,VLOOKUP(C886,[1]List1!$A:$E,4,FALSE)=0),AC886,DAY(AC886)&amp;"."&amp;MONTH(AC886)&amp;"."&amp;YEAR(AC886)&amp;" "&amp;$V$4&amp;VLOOKUP(C886,[1]List1!$A:$E,4,FALSE)&amp;" "&amp;$V$1),AC886))))</f>
        <v>15.05.2024</v>
      </c>
      <c r="AE886" s="729" t="str">
        <f t="shared" ca="1" si="2196"/>
        <v>15.05.2024</v>
      </c>
      <c r="AF886" s="735">
        <f t="shared" si="2197"/>
        <v>0</v>
      </c>
      <c r="AG886" s="735">
        <f t="shared" si="2198"/>
        <v>0</v>
      </c>
      <c r="AH886" s="736">
        <f t="shared" si="2199"/>
        <v>0</v>
      </c>
      <c r="AI886" s="729">
        <f t="shared" si="2200"/>
        <v>0</v>
      </c>
      <c r="AJ886" s="729">
        <f t="shared" si="2201"/>
        <v>0</v>
      </c>
      <c r="AK886" s="729" t="str">
        <f t="shared" si="2202"/>
        <v/>
      </c>
      <c r="AL886" s="729">
        <f t="shared" si="2203"/>
        <v>0</v>
      </c>
      <c r="AM886" s="729" t="str">
        <f t="shared" si="2204"/>
        <v/>
      </c>
      <c r="AN886" s="729">
        <f t="shared" si="2205"/>
        <v>0</v>
      </c>
      <c r="AO886" s="380"/>
      <c r="AP886" s="322" t="str">
        <f t="shared" si="2142"/>
        <v/>
      </c>
      <c r="AQ886" s="323" t="str">
        <f>IF(AC886=$V$3,IF(VLOOKUP(C886,[1]List1!$A:$E,5,FALSE)=0,1,VLOOKUP(C886,[1]List1!$A:$E,5,FALSE)),"")</f>
        <v/>
      </c>
      <c r="AR886" s="304" t="str">
        <f t="shared" si="2143"/>
        <v/>
      </c>
      <c r="AS886" s="423" t="str">
        <f t="shared" si="2144"/>
        <v/>
      </c>
      <c r="AT886" s="304" t="str">
        <f t="shared" si="2145"/>
        <v/>
      </c>
      <c r="AU886" s="342" t="e">
        <f t="shared" si="2146"/>
        <v>#N/A</v>
      </c>
      <c r="AV886" s="304" t="e">
        <f t="shared" si="2147"/>
        <v>#N/A</v>
      </c>
      <c r="AX886" s="304">
        <f>IF(AND('General price list'!$J886="F4",'General price list'!$AB886+0&gt;0),1,0)</f>
        <v>0</v>
      </c>
      <c r="AY886" s="304">
        <f t="shared" si="2148"/>
        <v>1</v>
      </c>
      <c r="AZ886" s="304">
        <f t="shared" si="2149"/>
        <v>0</v>
      </c>
    </row>
    <row r="887" spans="1:52" ht="15" customHeight="1">
      <c r="A887" s="712" t="str">
        <f>Kat.!C885</f>
        <v/>
      </c>
      <c r="B887" s="737">
        <f>IF(AND('General price list'!$J887="F4",$AI$1=FALSE),0,IF(AC887="SKLADEM",1,IF(AC887=$V$3,1,0)))</f>
        <v>1</v>
      </c>
      <c r="C887" s="714" t="s">
        <v>2654</v>
      </c>
      <c r="D887" s="715" t="s">
        <v>1701</v>
      </c>
      <c r="E887" s="716" t="s">
        <v>136</v>
      </c>
      <c r="F887" s="712">
        <f>IFERROR(ROUND(IF($AL$3=2,VLOOKUP(C887,[2]List1!$A:$D,2,FALSE)*1.08,VLOOKUP(C887,[2]List1!$A:$D,2,FALSE)),0),"NEUVEDENO!")</f>
        <v>3312</v>
      </c>
      <c r="G887" s="717">
        <f t="shared" si="2192"/>
        <v>3312</v>
      </c>
      <c r="H887" s="718">
        <f t="shared" si="2193"/>
        <v>134.58545485576357</v>
      </c>
      <c r="I887" s="738">
        <v>1</v>
      </c>
      <c r="J887" s="716" t="s">
        <v>46</v>
      </c>
      <c r="K887" s="716">
        <v>6</v>
      </c>
      <c r="L887" s="716" t="s">
        <v>24</v>
      </c>
      <c r="M887" s="716" t="s">
        <v>138</v>
      </c>
      <c r="N887" s="716">
        <f>IFERROR(VLOOKUP(C887,[3]List1!$A:$D,4,FALSE),"N/A!")</f>
        <v>3.5751999999999999E-2</v>
      </c>
      <c r="O887" s="716">
        <f>IFERROR(VLOOKUP(C887,[3]List1!$A:$D,3,FALSE),"N/A!")</f>
        <v>1485</v>
      </c>
      <c r="P887" s="716">
        <f>IFERROR(VLOOKUP(C887,[3]List1!$A:$D,2,FALSE),"N/A!")</f>
        <v>11700</v>
      </c>
      <c r="Q887" s="716" t="s">
        <v>14097</v>
      </c>
      <c r="R887" s="716" t="s">
        <v>24</v>
      </c>
      <c r="S887" s="716" t="str">
        <f>IF($W$17=$AF$1,"červená fólie",IFERROR(VLOOKUP("červená fólie",Jazyky_ceník!$A:$Q,MATCH($W$17,Jazyky_ceník!$A$1:$Q$1,0),FALSE),"!!!"))</f>
        <v>červená fólie</v>
      </c>
      <c r="T887" s="716">
        <v>100</v>
      </c>
      <c r="U887" s="716" t="s">
        <v>13822</v>
      </c>
      <c r="V887" s="716" t="s">
        <v>13823</v>
      </c>
      <c r="W887" s="716" t="str">
        <f>IFERROR(VLOOKUP('General price list'!$C887,Popisy!A:P,MATCH($W$17,Popisy!$A$7:$P$7,0),FALSE),"---------------")</f>
        <v>14 různobarevných efektů</v>
      </c>
      <c r="X887" s="716" t="str">
        <f t="shared" si="2194"/>
        <v/>
      </c>
      <c r="Y887" s="716" t="str">
        <f t="shared" si="2195"/>
        <v/>
      </c>
      <c r="Z887" s="716" t="str">
        <f>HYPERLINK("https://www.klasekpyrotechnics.cz/c150mf-c_t")</f>
        <v>https://www.klasekpyrotechnics.cz/c150mf-c_t</v>
      </c>
      <c r="AA887" s="716">
        <f>IFERROR(IF(VLOOKUP(C887,[4]List1!$A:$D,4,FALSE)=0,"",VLOOKUP(C887,[4]List1!$A:$D,4,FALSE)),"")</f>
        <v>32</v>
      </c>
      <c r="AB887" s="720"/>
      <c r="AC887" s="739" t="str">
        <f>IFERROR(IF(VLOOKUP(C887,[1]List1!$A:$D,2,FALSE)="VYPRODÁNO",$V$9,IF(VLOOKUP(C887,[1]List1!$A:$D,2,FALSE)="DOCHÁZÍ",$V$3,VLOOKUP(C887,[1]List1!$A:$D,2,FALSE))),"OFFLINE!")</f>
        <v>DOCHÁZÍ</v>
      </c>
      <c r="AD887" s="740" t="str">
        <f ca="1">IF(AP887="NE",$V$10,IF(AC887=$V$3,IF(AQ887&lt;1,$V$8,$V$2&amp;" "&amp;AQ887&amp;" "&amp;$V$1),IF(AC887="SKLADEM",$V$6,IFERROR(IF(OR(AC887-TODAY()&gt;45,VLOOKUP(C887,[1]List1!$A:$E,4,FALSE)=0),AC887,DAY(AC887)&amp;"."&amp;MONTH(AC887)&amp;"."&amp;YEAR(AC887)&amp;" "&amp;$V$4&amp;VLOOKUP(C887,[1]List1!$A:$E,4,FALSE)&amp;" "&amp;$V$1),AC887))))</f>
        <v>POSLEDNÍCH 1 VK</v>
      </c>
      <c r="AE887" s="716" t="str">
        <f t="shared" ca="1" si="2196"/>
        <v>POSLEDNÍCH 1 VK</v>
      </c>
      <c r="AF887" s="723">
        <f t="shared" si="2197"/>
        <v>0</v>
      </c>
      <c r="AG887" s="723">
        <f t="shared" si="2198"/>
        <v>0</v>
      </c>
      <c r="AH887" s="724">
        <f t="shared" si="2199"/>
        <v>0</v>
      </c>
      <c r="AI887" s="716">
        <f t="shared" si="2200"/>
        <v>0</v>
      </c>
      <c r="AJ887" s="716">
        <f t="shared" si="2201"/>
        <v>0</v>
      </c>
      <c r="AK887" s="716" t="str">
        <f t="shared" si="2202"/>
        <v/>
      </c>
      <c r="AL887" s="716">
        <f t="shared" si="2203"/>
        <v>0</v>
      </c>
      <c r="AM887" s="716" t="str">
        <f t="shared" si="2204"/>
        <v/>
      </c>
      <c r="AN887" s="716">
        <f t="shared" si="2205"/>
        <v>0</v>
      </c>
      <c r="AO887" s="380"/>
      <c r="AP887" s="322" t="str">
        <f t="shared" si="2142"/>
        <v/>
      </c>
      <c r="AQ887" s="323">
        <f>IF(AC887=$V$3,IF(VLOOKUP(C887,[1]List1!$A:$E,5,FALSE)=0,1,VLOOKUP(C887,[1]List1!$A:$E,5,FALSE)),"")</f>
        <v>1</v>
      </c>
      <c r="AR887" s="304" t="str">
        <f t="shared" si="2143"/>
        <v/>
      </c>
      <c r="AS887" s="423" t="str">
        <f t="shared" si="2144"/>
        <v/>
      </c>
      <c r="AT887" s="304" t="str">
        <f t="shared" si="2145"/>
        <v/>
      </c>
      <c r="AU887" s="342" t="e">
        <f t="shared" si="2146"/>
        <v>#N/A</v>
      </c>
      <c r="AV887" s="304" t="e">
        <f t="shared" si="2147"/>
        <v>#N/A</v>
      </c>
      <c r="AX887" s="304">
        <f>IF(AND('General price list'!$J887="F4",'General price list'!$AB887+0&gt;0),1,0)</f>
        <v>0</v>
      </c>
      <c r="AY887" s="304">
        <f t="shared" si="2148"/>
        <v>1</v>
      </c>
      <c r="AZ887" s="304">
        <f t="shared" si="2149"/>
        <v>0</v>
      </c>
    </row>
    <row r="888" spans="1:52" ht="15" customHeight="1">
      <c r="A888" s="725" t="str">
        <f>Kat.!C886</f>
        <v/>
      </c>
      <c r="B888" s="726">
        <f>IF(AND('General price list'!$J888="F4",$AI$1=FALSE),0,IF(AC888="SKLADEM",1,IF(AC888=$V$3,1,0)))</f>
        <v>1</v>
      </c>
      <c r="C888" s="727" t="s">
        <v>2773</v>
      </c>
      <c r="D888" s="728" t="s">
        <v>1589</v>
      </c>
      <c r="E888" s="729" t="s">
        <v>136</v>
      </c>
      <c r="F888" s="725">
        <f>IFERROR(ROUND(IF($AL$3=2,VLOOKUP(C888,[2]List1!$A:$D,2,FALSE)*1.08,VLOOKUP(C888,[2]List1!$A:$D,2,FALSE)),0),"NEUVEDENO!")</f>
        <v>4352</v>
      </c>
      <c r="G888" s="730">
        <f t="shared" si="2192"/>
        <v>4352</v>
      </c>
      <c r="H888" s="731">
        <f t="shared" si="2193"/>
        <v>176.84658802303233</v>
      </c>
      <c r="I888" s="732">
        <v>1</v>
      </c>
      <c r="J888" s="729" t="s">
        <v>46</v>
      </c>
      <c r="K888" s="729">
        <v>6</v>
      </c>
      <c r="L888" s="729" t="s">
        <v>24</v>
      </c>
      <c r="M888" s="729" t="s">
        <v>138</v>
      </c>
      <c r="N888" s="729">
        <f>IFERROR(VLOOKUP(C888,[3]List1!$A:$D,4,FALSE),"N/A!")</f>
        <v>4.7887999999999993E-2</v>
      </c>
      <c r="O888" s="729">
        <f>IFERROR(VLOOKUP(C888,[3]List1!$A:$D,3,FALSE),"N/A!")</f>
        <v>1980</v>
      </c>
      <c r="P888" s="729">
        <f>IFERROR(VLOOKUP(C888,[3]List1!$A:$D,2,FALSE),"N/A!")</f>
        <v>15600</v>
      </c>
      <c r="Q888" s="729" t="s">
        <v>14277</v>
      </c>
      <c r="R888" s="729" t="s">
        <v>24</v>
      </c>
      <c r="S888" s="729" t="str">
        <f>IF($W$17=$AF$1,"červená fólie",IFERROR(VLOOKUP("červená fólie",Jazyky_ceník!$A:$Q,MATCH($W$17,Jazyky_ceník!$A$1:$Q$1,0),FALSE),"!!!"))</f>
        <v>červená fólie</v>
      </c>
      <c r="T888" s="729">
        <v>150</v>
      </c>
      <c r="U888" s="729" t="s">
        <v>13822</v>
      </c>
      <c r="V888" s="729" t="s">
        <v>13823</v>
      </c>
      <c r="W888" s="729" t="str">
        <f>IFERROR(VLOOKUP('General price list'!$C888,Popisy!A:P,MATCH($W$17,Popisy!$A$7:$P$7,0),FALSE),"---------------")</f>
        <v>14 různobarevných efektů</v>
      </c>
      <c r="X888" s="729" t="str">
        <f t="shared" si="2194"/>
        <v/>
      </c>
      <c r="Y888" s="729" t="str">
        <f t="shared" si="2195"/>
        <v/>
      </c>
      <c r="Z888" s="729" t="str">
        <f>HYPERLINK("https://www.klasekpyrotechnics.cz/c200mf-c_t")</f>
        <v>https://www.klasekpyrotechnics.cz/c200mf-c_t</v>
      </c>
      <c r="AA888" s="729">
        <f>IFERROR(IF(VLOOKUP(C888,[4]List1!$A:$D,4,FALSE)=0,"",VLOOKUP(C888,[4]List1!$A:$D,4,FALSE)),"")</f>
        <v>24</v>
      </c>
      <c r="AB888" s="720"/>
      <c r="AC888" s="733" t="str">
        <f>IFERROR(IF(VLOOKUP(C888,[1]List1!$A:$D,2,FALSE)="VYPRODÁNO",$V$9,IF(VLOOKUP(C888,[1]List1!$A:$D,2,FALSE)="DOCHÁZÍ",$V$3,VLOOKUP(C888,[1]List1!$A:$D,2,FALSE))),"OFFLINE!")</f>
        <v>SKLADEM</v>
      </c>
      <c r="AD888" s="734" t="str">
        <f ca="1">IF(AP888="NE",$V$10,IF(AC888=$V$3,IF(AQ888&lt;1,$V$8,$V$2&amp;" "&amp;AQ888&amp;" "&amp;$V$1),IF(AC888="SKLADEM",$V$6,IFERROR(IF(OR(AC888-TODAY()&gt;45,VLOOKUP(C888,[1]List1!$A:$E,4,FALSE)=0),AC888,DAY(AC888)&amp;"."&amp;MONTH(AC888)&amp;"."&amp;YEAR(AC888)&amp;" "&amp;$V$4&amp;VLOOKUP(C888,[1]List1!$A:$E,4,FALSE)&amp;" "&amp;$V$1),AC888))))</f>
        <v>SKLADEM</v>
      </c>
      <c r="AE888" s="729" t="str">
        <f t="shared" ca="1" si="2196"/>
        <v>SKLADEM</v>
      </c>
      <c r="AF888" s="735">
        <f t="shared" si="2197"/>
        <v>0</v>
      </c>
      <c r="AG888" s="735">
        <f t="shared" si="2198"/>
        <v>0</v>
      </c>
      <c r="AH888" s="736">
        <f t="shared" si="2199"/>
        <v>0</v>
      </c>
      <c r="AI888" s="729">
        <f t="shared" si="2200"/>
        <v>0</v>
      </c>
      <c r="AJ888" s="729">
        <f t="shared" si="2201"/>
        <v>0</v>
      </c>
      <c r="AK888" s="729" t="str">
        <f t="shared" si="2202"/>
        <v/>
      </c>
      <c r="AL888" s="729">
        <f t="shared" si="2203"/>
        <v>0</v>
      </c>
      <c r="AM888" s="729" t="str">
        <f t="shared" si="2204"/>
        <v/>
      </c>
      <c r="AN888" s="729">
        <f t="shared" si="2205"/>
        <v>0</v>
      </c>
      <c r="AO888" s="380"/>
      <c r="AP888" s="322" t="str">
        <f t="shared" si="2142"/>
        <v/>
      </c>
      <c r="AQ888" s="323" t="str">
        <f>IF(AC888=$V$3,IF(VLOOKUP(C888,[1]List1!$A:$E,5,FALSE)=0,1,VLOOKUP(C888,[1]List1!$A:$E,5,FALSE)),"")</f>
        <v/>
      </c>
      <c r="AR888" s="304" t="str">
        <f t="shared" si="2143"/>
        <v/>
      </c>
      <c r="AS888" s="423" t="str">
        <f t="shared" si="2144"/>
        <v/>
      </c>
      <c r="AT888" s="304" t="str">
        <f t="shared" si="2145"/>
        <v/>
      </c>
      <c r="AU888" s="342" t="e">
        <f t="shared" si="2146"/>
        <v>#N/A</v>
      </c>
      <c r="AV888" s="304" t="e">
        <f t="shared" si="2147"/>
        <v>#N/A</v>
      </c>
      <c r="AX888" s="304">
        <f>IF(AND('General price list'!$J888="F4",'General price list'!$AB888+0&gt;0),1,0)</f>
        <v>0</v>
      </c>
      <c r="AY888" s="304">
        <f t="shared" si="2148"/>
        <v>1</v>
      </c>
      <c r="AZ888" s="304">
        <f t="shared" si="2149"/>
        <v>0</v>
      </c>
    </row>
    <row r="889" spans="1:52" ht="15" customHeight="1">
      <c r="A889" s="712" t="str">
        <f>Kat.!C887</f>
        <v/>
      </c>
      <c r="B889" s="737">
        <f>IF(AND('General price list'!$J889="F4",$AI$1=FALSE),0,IF(AC889="SKLADEM",1,IF(AC889=$V$3,1,0)))</f>
        <v>1</v>
      </c>
      <c r="C889" s="714" t="s">
        <v>2774</v>
      </c>
      <c r="D889" s="715" t="s">
        <v>2597</v>
      </c>
      <c r="E889" s="716" t="s">
        <v>136</v>
      </c>
      <c r="F889" s="712">
        <f>IFERROR(ROUND(IF($AL$3=2,VLOOKUP(C889,[2]List1!$A:$D,2,FALSE)*1.08,VLOOKUP(C889,[2]List1!$A:$D,2,FALSE)),0),"NEUVEDENO!")</f>
        <v>3875</v>
      </c>
      <c r="G889" s="717">
        <f t="shared" si="2192"/>
        <v>3875</v>
      </c>
      <c r="H889" s="718">
        <f t="shared" si="2193"/>
        <v>157.46335675304465</v>
      </c>
      <c r="I889" s="738">
        <v>1</v>
      </c>
      <c r="J889" s="716" t="s">
        <v>46</v>
      </c>
      <c r="K889" s="716">
        <v>6</v>
      </c>
      <c r="L889" s="716" t="s">
        <v>24</v>
      </c>
      <c r="M889" s="716" t="s">
        <v>138</v>
      </c>
      <c r="N889" s="716">
        <f>IFERROR(VLOOKUP(C889,[3]List1!$A:$D,4,FALSE),"N/A!")</f>
        <v>4.9148749999999998E-2</v>
      </c>
      <c r="O889" s="716">
        <f>IFERROR(VLOOKUP(C889,[3]List1!$A:$D,3,FALSE),"N/A!")</f>
        <v>1500</v>
      </c>
      <c r="P889" s="716">
        <f>IFERROR(VLOOKUP(C889,[3]List1!$A:$D,2,FALSE),"N/A!")</f>
        <v>17000</v>
      </c>
      <c r="Q889" s="716" t="s">
        <v>14278</v>
      </c>
      <c r="R889" s="716" t="s">
        <v>24</v>
      </c>
      <c r="S889" s="716" t="str">
        <f>IF($W$17=$AF$1,"červená fólie",IFERROR(VLOOKUP("červená fólie",Jazyky_ceník!$A:$Q,MATCH($W$17,Jazyky_ceník!$A$1:$Q$1,0),FALSE),"!!!"))</f>
        <v>červená fólie</v>
      </c>
      <c r="T889" s="716">
        <v>100</v>
      </c>
      <c r="U889" s="716" t="s">
        <v>13822</v>
      </c>
      <c r="V889" s="716" t="s">
        <v>13832</v>
      </c>
      <c r="W889" s="716" t="str">
        <f>IFERROR(VLOOKUP('General price list'!$C889,Popisy!A:P,MATCH($W$17,Popisy!$A$7:$P$7,0),FALSE),"---------------")</f>
        <v>42 různobarevných efektů</v>
      </c>
      <c r="X889" s="716" t="str">
        <f t="shared" si="2194"/>
        <v/>
      </c>
      <c r="Y889" s="716" t="str">
        <f t="shared" si="2195"/>
        <v/>
      </c>
      <c r="Z889" s="716" t="str">
        <f>HYPERLINK("https://www.klasekpyrotechnics.cz/c204xmpt-c_t")</f>
        <v>https://www.klasekpyrotechnics.cz/c204xmpt-c_t</v>
      </c>
      <c r="AA889" s="716">
        <f>IFERROR(IF(VLOOKUP(C889,[4]List1!$A:$D,4,FALSE)=0,"",VLOOKUP(C889,[4]List1!$A:$D,4,FALSE)),"")</f>
        <v>21</v>
      </c>
      <c r="AB889" s="720"/>
      <c r="AC889" s="739" t="str">
        <f>IFERROR(IF(VLOOKUP(C889,[1]List1!$A:$D,2,FALSE)="VYPRODÁNO",$V$9,IF(VLOOKUP(C889,[1]List1!$A:$D,2,FALSE)="DOCHÁZÍ",$V$3,VLOOKUP(C889,[1]List1!$A:$D,2,FALSE))),"OFFLINE!")</f>
        <v>SKLADEM</v>
      </c>
      <c r="AD889" s="740" t="str">
        <f ca="1">IF(AP889="NE",$V$10,IF(AC889=$V$3,IF(AQ889&lt;1,$V$8,$V$2&amp;" "&amp;AQ889&amp;" "&amp;$V$1),IF(AC889="SKLADEM",$V$6,IFERROR(IF(OR(AC889-TODAY()&gt;45,VLOOKUP(C889,[1]List1!$A:$E,4,FALSE)=0),AC889,DAY(AC889)&amp;"."&amp;MONTH(AC889)&amp;"."&amp;YEAR(AC889)&amp;" "&amp;$V$4&amp;VLOOKUP(C889,[1]List1!$A:$E,4,FALSE)&amp;" "&amp;$V$1),AC889))))</f>
        <v>SKLADEM</v>
      </c>
      <c r="AE889" s="716" t="str">
        <f t="shared" ca="1" si="2196"/>
        <v>SKLADEM</v>
      </c>
      <c r="AF889" s="723">
        <f t="shared" si="2197"/>
        <v>0</v>
      </c>
      <c r="AG889" s="723">
        <f t="shared" si="2198"/>
        <v>0</v>
      </c>
      <c r="AH889" s="724">
        <f t="shared" si="2199"/>
        <v>0</v>
      </c>
      <c r="AI889" s="716">
        <f t="shared" si="2200"/>
        <v>0</v>
      </c>
      <c r="AJ889" s="716">
        <f t="shared" si="2201"/>
        <v>0</v>
      </c>
      <c r="AK889" s="716" t="str">
        <f t="shared" si="2202"/>
        <v/>
      </c>
      <c r="AL889" s="716">
        <f t="shared" si="2203"/>
        <v>0</v>
      </c>
      <c r="AM889" s="716" t="str">
        <f t="shared" si="2204"/>
        <v/>
      </c>
      <c r="AN889" s="716">
        <f t="shared" si="2205"/>
        <v>0</v>
      </c>
      <c r="AO889" s="380"/>
      <c r="AP889" s="322" t="str">
        <f t="shared" si="2142"/>
        <v/>
      </c>
      <c r="AQ889" s="323" t="str">
        <f>IF(AC889=$V$3,IF(VLOOKUP(C889,[1]List1!$A:$E,5,FALSE)=0,1,VLOOKUP(C889,[1]List1!$A:$E,5,FALSE)),"")</f>
        <v/>
      </c>
      <c r="AR889" s="304" t="str">
        <f t="shared" si="2143"/>
        <v/>
      </c>
      <c r="AS889" s="423" t="str">
        <f t="shared" si="2144"/>
        <v/>
      </c>
      <c r="AT889" s="304" t="str">
        <f t="shared" si="2145"/>
        <v/>
      </c>
      <c r="AU889" s="342" t="e">
        <f t="shared" si="2146"/>
        <v>#N/A</v>
      </c>
      <c r="AV889" s="304" t="e">
        <f t="shared" si="2147"/>
        <v>#N/A</v>
      </c>
      <c r="AX889" s="304">
        <f>IF(AND('General price list'!$J889="F4",'General price list'!$AB889+0&gt;0),1,0)</f>
        <v>0</v>
      </c>
      <c r="AY889" s="304">
        <f t="shared" si="2148"/>
        <v>1</v>
      </c>
      <c r="AZ889" s="304">
        <f t="shared" si="2149"/>
        <v>0</v>
      </c>
    </row>
    <row r="890" spans="1:52" ht="15" customHeight="1">
      <c r="A890" s="725" t="str">
        <f>Kat.!C888</f>
        <v/>
      </c>
      <c r="B890" s="726">
        <f>IF(AND('General price list'!$J890="F4",$AI$1=FALSE),0,IF(AC890="SKLADEM",1,IF(AC890=$V$3,1,0)))</f>
        <v>1</v>
      </c>
      <c r="C890" s="727" t="s">
        <v>2775</v>
      </c>
      <c r="D890" s="728" t="s">
        <v>2599</v>
      </c>
      <c r="E890" s="729" t="s">
        <v>136</v>
      </c>
      <c r="F890" s="725">
        <f>IFERROR(ROUND(IF($AL$3=2,VLOOKUP(C890,[2]List1!$A:$D,2,FALSE)*1.08,VLOOKUP(C890,[2]List1!$A:$D,2,FALSE)),0),"NEUVEDENO!")</f>
        <v>4076</v>
      </c>
      <c r="G890" s="730">
        <f t="shared" si="2192"/>
        <v>4076</v>
      </c>
      <c r="H890" s="731">
        <f t="shared" si="2193"/>
        <v>165.63113345171871</v>
      </c>
      <c r="I890" s="732">
        <v>1</v>
      </c>
      <c r="J890" s="729" t="s">
        <v>46</v>
      </c>
      <c r="K890" s="729">
        <v>6</v>
      </c>
      <c r="L890" s="729" t="s">
        <v>24</v>
      </c>
      <c r="M890" s="729" t="s">
        <v>138</v>
      </c>
      <c r="N890" s="729">
        <f>IFERROR(VLOOKUP(C890,[3]List1!$A:$D,4,FALSE),"N/A!")</f>
        <v>4.3296000000000001E-2</v>
      </c>
      <c r="O890" s="729">
        <f>IFERROR(VLOOKUP(C890,[3]List1!$A:$D,3,FALSE),"N/A!")</f>
        <v>1963</v>
      </c>
      <c r="P890" s="729">
        <f>IFERROR(VLOOKUP(C890,[3]List1!$A:$D,2,FALSE),"N/A!")</f>
        <v>13500</v>
      </c>
      <c r="Q890" s="729" t="s">
        <v>12732</v>
      </c>
      <c r="R890" s="729" t="s">
        <v>24</v>
      </c>
      <c r="S890" s="729" t="str">
        <f>IF($W$17=$AF$1,"červená fólie",IFERROR(VLOOKUP("červená fólie",Jazyky_ceník!$A:$Q,MATCH($W$17,Jazyky_ceník!$A$1:$Q$1,0),FALSE),"!!!"))</f>
        <v>červená fólie</v>
      </c>
      <c r="T890" s="729">
        <v>90</v>
      </c>
      <c r="U890" s="729" t="s">
        <v>13822</v>
      </c>
      <c r="V890" s="729" t="s">
        <v>13823</v>
      </c>
      <c r="W890" s="729" t="str">
        <f>IFERROR(VLOOKUP('General price list'!$C890,Popisy!A:P,MATCH($W$17,Popisy!$A$7:$P$7,0),FALSE),"---------------")</f>
        <v>19 různobarevných efektů</v>
      </c>
      <c r="X890" s="729" t="str">
        <f t="shared" si="2194"/>
        <v/>
      </c>
      <c r="Y890" s="729" t="str">
        <f t="shared" si="2195"/>
        <v/>
      </c>
      <c r="Z890" s="729" t="str">
        <f>HYPERLINK("https://www.klasekpyrotechnics.cz/c216xmfs-c_t")</f>
        <v>https://www.klasekpyrotechnics.cz/c216xmfs-c_t</v>
      </c>
      <c r="AA890" s="729">
        <f>IFERROR(IF(VLOOKUP(C890,[4]List1!$A:$D,4,FALSE)=0,"",VLOOKUP(C890,[4]List1!$A:$D,4,FALSE)),"")</f>
        <v>32</v>
      </c>
      <c r="AB890" s="720"/>
      <c r="AC890" s="733" t="str">
        <f>IFERROR(IF(VLOOKUP(C890,[1]List1!$A:$D,2,FALSE)="VYPRODÁNO",$V$9,IF(VLOOKUP(C890,[1]List1!$A:$D,2,FALSE)="DOCHÁZÍ",$V$3,VLOOKUP(C890,[1]List1!$A:$D,2,FALSE))),"OFFLINE!")</f>
        <v>SKLADEM</v>
      </c>
      <c r="AD890" s="734" t="str">
        <f ca="1">IF(AP890="NE",$V$10,IF(AC890=$V$3,IF(AQ890&lt;1,$V$8,$V$2&amp;" "&amp;AQ890&amp;" "&amp;$V$1),IF(AC890="SKLADEM",$V$6,IFERROR(IF(OR(AC890-TODAY()&gt;45,VLOOKUP(C890,[1]List1!$A:$E,4,FALSE)=0),AC890,DAY(AC890)&amp;"."&amp;MONTH(AC890)&amp;"."&amp;YEAR(AC890)&amp;" "&amp;$V$4&amp;VLOOKUP(C890,[1]List1!$A:$E,4,FALSE)&amp;" "&amp;$V$1),AC890))))</f>
        <v>SKLADEM</v>
      </c>
      <c r="AE890" s="729" t="str">
        <f t="shared" ca="1" si="2196"/>
        <v>SKLADEM</v>
      </c>
      <c r="AF890" s="735">
        <f t="shared" si="2197"/>
        <v>0</v>
      </c>
      <c r="AG890" s="735">
        <f t="shared" si="2198"/>
        <v>0</v>
      </c>
      <c r="AH890" s="736">
        <f t="shared" si="2199"/>
        <v>0</v>
      </c>
      <c r="AI890" s="729">
        <f t="shared" si="2200"/>
        <v>0</v>
      </c>
      <c r="AJ890" s="729">
        <f t="shared" si="2201"/>
        <v>0</v>
      </c>
      <c r="AK890" s="729" t="str">
        <f t="shared" si="2202"/>
        <v/>
      </c>
      <c r="AL890" s="729">
        <f t="shared" si="2203"/>
        <v>0</v>
      </c>
      <c r="AM890" s="729" t="str">
        <f t="shared" si="2204"/>
        <v/>
      </c>
      <c r="AN890" s="729">
        <f t="shared" si="2205"/>
        <v>0</v>
      </c>
      <c r="AO890" s="380"/>
      <c r="AP890" s="322" t="str">
        <f t="shared" si="2142"/>
        <v/>
      </c>
      <c r="AQ890" s="323" t="str">
        <f>IF(AC890=$V$3,IF(VLOOKUP(C890,[1]List1!$A:$E,5,FALSE)=0,1,VLOOKUP(C890,[1]List1!$A:$E,5,FALSE)),"")</f>
        <v/>
      </c>
      <c r="AR890" s="304" t="str">
        <f t="shared" si="2143"/>
        <v/>
      </c>
      <c r="AS890" s="423" t="str">
        <f t="shared" si="2144"/>
        <v/>
      </c>
      <c r="AT890" s="304" t="str">
        <f t="shared" si="2145"/>
        <v/>
      </c>
      <c r="AU890" s="342" t="e">
        <f t="shared" si="2146"/>
        <v>#N/A</v>
      </c>
      <c r="AV890" s="304" t="e">
        <f t="shared" si="2147"/>
        <v>#N/A</v>
      </c>
      <c r="AX890" s="304">
        <f>IF(AND('General price list'!$J890="F4",'General price list'!$AB890+0&gt;0),1,0)</f>
        <v>0</v>
      </c>
      <c r="AY890" s="304">
        <f t="shared" si="2148"/>
        <v>1</v>
      </c>
      <c r="AZ890" s="304">
        <f t="shared" si="2149"/>
        <v>0</v>
      </c>
    </row>
    <row r="891" spans="1:52" ht="15" customHeight="1">
      <c r="A891" s="712" t="str">
        <f>Kat.!C889</f>
        <v/>
      </c>
      <c r="B891" s="737">
        <f>IF(AND('General price list'!$J891="F4",$AI$1=FALSE),0,IF(AC891="SKLADEM",1,IF(AC891=$V$3,1,0)))</f>
        <v>0</v>
      </c>
      <c r="C891" s="714" t="s">
        <v>2776</v>
      </c>
      <c r="D891" s="715" t="s">
        <v>2601</v>
      </c>
      <c r="E891" s="716" t="s">
        <v>136</v>
      </c>
      <c r="F891" s="712">
        <f>IFERROR(ROUND(IF($AL$3=2,VLOOKUP(C891,[2]List1!$A:$D,2,FALSE)*1.08,VLOOKUP(C891,[2]List1!$A:$D,2,FALSE)),0),"NEUVEDENO!")</f>
        <v>4907</v>
      </c>
      <c r="G891" s="717">
        <f t="shared" si="2192"/>
        <v>4907</v>
      </c>
      <c r="H891" s="718">
        <f t="shared" si="2193"/>
        <v>199.39940428056516</v>
      </c>
      <c r="I891" s="738">
        <v>1</v>
      </c>
      <c r="J891" s="716" t="s">
        <v>46</v>
      </c>
      <c r="K891" s="716">
        <v>6</v>
      </c>
      <c r="L891" s="716" t="s">
        <v>24</v>
      </c>
      <c r="M891" s="716" t="s">
        <v>138</v>
      </c>
      <c r="N891" s="716">
        <f>IFERROR(VLOOKUP(C891,[3]List1!$A:$D,4,FALSE),"N/A!")</f>
        <v>5.2136000000000009E-2</v>
      </c>
      <c r="O891" s="716">
        <f>IFERROR(VLOOKUP(C891,[3]List1!$A:$D,3,FALSE),"N/A!")</f>
        <v>2000</v>
      </c>
      <c r="P891" s="716">
        <f>IFERROR(VLOOKUP(C891,[3]List1!$A:$D,2,FALSE),"N/A!")</f>
        <v>17000</v>
      </c>
      <c r="Q891" s="716" t="s">
        <v>14279</v>
      </c>
      <c r="R891" s="716" t="s">
        <v>24</v>
      </c>
      <c r="S891" s="716" t="str">
        <f>IF($W$17=$AF$1,"červená fólie",IFERROR(VLOOKUP("červená fólie",Jazyky_ceník!$A:$Q,MATCH($W$17,Jazyky_ceník!$A$1:$Q$1,0),FALSE),"!!!"))</f>
        <v>červená fólie</v>
      </c>
      <c r="T891" s="716">
        <v>130</v>
      </c>
      <c r="U891" s="716" t="s">
        <v>13822</v>
      </c>
      <c r="V891" s="716" t="s">
        <v>13823</v>
      </c>
      <c r="W891" s="716" t="str">
        <f>IFERROR(VLOOKUP('General price list'!$C891,Popisy!A:P,MATCH($W$17,Popisy!$A$7:$P$7,0),FALSE),"---------------")</f>
        <v>34 různobarevných efektů</v>
      </c>
      <c r="X891" s="716" t="str">
        <f t="shared" si="2194"/>
        <v/>
      </c>
      <c r="Y891" s="716" t="str">
        <f t="shared" si="2195"/>
        <v/>
      </c>
      <c r="Z891" s="716" t="str">
        <f>HYPERLINK("https://www.klasekpyrotechnics.cz/c223xmk-c_t")</f>
        <v>https://www.klasekpyrotechnics.cz/c223xmk-c_t</v>
      </c>
      <c r="AA891" s="716">
        <f>IFERROR(IF(VLOOKUP(C891,[4]List1!$A:$D,4,FALSE)=0,"",VLOOKUP(C891,[4]List1!$A:$D,4,FALSE)),"")</f>
        <v>18</v>
      </c>
      <c r="AB891" s="720"/>
      <c r="AC891" s="739" t="str">
        <f>IFERROR(IF(VLOOKUP(C891,[1]List1!$A:$D,2,FALSE)="VYPRODÁNO",$V$9,IF(VLOOKUP(C891,[1]List1!$A:$D,2,FALSE)="DOCHÁZÍ",$V$3,VLOOKUP(C891,[1]List1!$A:$D,2,FALSE))),"OFFLINE!")</f>
        <v>20.06.2024</v>
      </c>
      <c r="AD891" s="740" t="str">
        <f ca="1">IF(AP891="NE",$V$10,IF(AC891=$V$3,IF(AQ891&lt;1,$V$8,$V$2&amp;" "&amp;AQ891&amp;" "&amp;$V$1),IF(AC891="SKLADEM",$V$6,IFERROR(IF(OR(AC891-TODAY()&gt;45,VLOOKUP(C891,[1]List1!$A:$E,4,FALSE)=0),AC891,DAY(AC891)&amp;"."&amp;MONTH(AC891)&amp;"."&amp;YEAR(AC891)&amp;" "&amp;$V$4&amp;VLOOKUP(C891,[1]List1!$A:$E,4,FALSE)&amp;" "&amp;$V$1),AC891))))</f>
        <v>20.06.2024</v>
      </c>
      <c r="AE891" s="716" t="str">
        <f t="shared" ca="1" si="2196"/>
        <v>20.06.2024</v>
      </c>
      <c r="AF891" s="723">
        <f t="shared" si="2197"/>
        <v>0</v>
      </c>
      <c r="AG891" s="723">
        <f t="shared" si="2198"/>
        <v>0</v>
      </c>
      <c r="AH891" s="724">
        <f t="shared" si="2199"/>
        <v>0</v>
      </c>
      <c r="AI891" s="716">
        <f t="shared" si="2200"/>
        <v>0</v>
      </c>
      <c r="AJ891" s="716">
        <f t="shared" si="2201"/>
        <v>0</v>
      </c>
      <c r="AK891" s="716" t="str">
        <f t="shared" si="2202"/>
        <v/>
      </c>
      <c r="AL891" s="716">
        <f t="shared" si="2203"/>
        <v>0</v>
      </c>
      <c r="AM891" s="716" t="str">
        <f t="shared" si="2204"/>
        <v/>
      </c>
      <c r="AN891" s="716">
        <f t="shared" si="2205"/>
        <v>0</v>
      </c>
      <c r="AO891" s="380"/>
      <c r="AP891" s="322" t="str">
        <f t="shared" si="2142"/>
        <v/>
      </c>
      <c r="AQ891" s="323" t="str">
        <f>IF(AC891=$V$3,IF(VLOOKUP(C891,[1]List1!$A:$E,5,FALSE)=0,1,VLOOKUP(C891,[1]List1!$A:$E,5,FALSE)),"")</f>
        <v/>
      </c>
      <c r="AR891" s="304" t="str">
        <f t="shared" si="2143"/>
        <v/>
      </c>
      <c r="AS891" s="423" t="str">
        <f t="shared" si="2144"/>
        <v/>
      </c>
      <c r="AT891" s="304" t="str">
        <f t="shared" si="2145"/>
        <v/>
      </c>
      <c r="AU891" s="342" t="e">
        <f t="shared" si="2146"/>
        <v>#N/A</v>
      </c>
      <c r="AV891" s="304" t="e">
        <f t="shared" si="2147"/>
        <v>#N/A</v>
      </c>
      <c r="AX891" s="304">
        <f>IF(AND('General price list'!$J891="F4",'General price list'!$AB891+0&gt;0),1,0)</f>
        <v>0</v>
      </c>
      <c r="AY891" s="304">
        <f t="shared" si="2148"/>
        <v>1</v>
      </c>
      <c r="AZ891" s="304">
        <f t="shared" si="2149"/>
        <v>0</v>
      </c>
    </row>
    <row r="892" spans="1:52" ht="15" customHeight="1">
      <c r="A892" s="773" t="str">
        <f>Kat.!C890</f>
        <v xml:space="preserve">                                                               Složený ohňostroj, multikaliber(20-30mm) F3 - 1.3G</v>
      </c>
      <c r="B892" s="774"/>
      <c r="C892" s="774"/>
      <c r="D892" s="774"/>
      <c r="E892" s="774"/>
      <c r="F892" s="774"/>
      <c r="G892" s="774"/>
      <c r="H892" s="774"/>
      <c r="I892" s="774"/>
      <c r="J892" s="774"/>
      <c r="K892" s="774"/>
      <c r="L892" s="774"/>
      <c r="M892" s="774"/>
      <c r="N892" s="774"/>
      <c r="O892" s="774"/>
      <c r="P892" s="774"/>
      <c r="Q892" s="774"/>
      <c r="R892" s="774"/>
      <c r="S892" s="774"/>
      <c r="T892" s="774"/>
      <c r="U892" s="774"/>
      <c r="V892" s="774"/>
      <c r="W892" s="774"/>
      <c r="X892" s="774"/>
      <c r="Y892" s="774"/>
      <c r="Z892" s="774"/>
      <c r="AA892" s="774" t="str">
        <f>IFERROR(IF(VLOOKUP(C892,[4]List1!$A:$D,4,FALSE)=0,"",VLOOKUP(C892,[4]List1!$A:$D,4,FALSE)),"")</f>
        <v/>
      </c>
      <c r="AB892" s="774"/>
      <c r="AC892" s="775" t="str">
        <f>IFERROR(IF(VLOOKUP(C892,[1]List1!$A:$D,2,FALSE)="VYPRODÁNO",$V$9,IF(VLOOKUP(C892,[1]List1!$A:$D,2,FALSE)="DOCHÁZÍ",$V$3,VLOOKUP(C892,[1]List1!$A:$D,2,FALSE))),"OFFLINE!")</f>
        <v>OFFLINE!</v>
      </c>
      <c r="AD892" s="774"/>
      <c r="AE892" s="774"/>
      <c r="AF892" s="774"/>
      <c r="AG892" s="774"/>
      <c r="AH892" s="774"/>
      <c r="AI892" s="774"/>
      <c r="AJ892" s="774"/>
      <c r="AK892" s="774"/>
      <c r="AL892" s="774"/>
      <c r="AM892" s="774"/>
      <c r="AN892" s="774"/>
      <c r="AO892" s="380"/>
      <c r="AP892" s="322" t="str">
        <f t="shared" si="2142"/>
        <v/>
      </c>
      <c r="AQ892" s="323" t="str">
        <f>IF(AC892=$V$3,IF(VLOOKUP(C892,[1]List1!$A:$E,5,FALSE)=0,1,VLOOKUP(C892,[1]List1!$A:$E,5,FALSE)),"")</f>
        <v/>
      </c>
      <c r="AR892" s="304" t="str">
        <f t="shared" si="2143"/>
        <v/>
      </c>
      <c r="AS892" s="423" t="str">
        <f t="shared" si="2144"/>
        <v/>
      </c>
      <c r="AT892" s="304" t="str">
        <f t="shared" si="2145"/>
        <v/>
      </c>
      <c r="AU892" s="342" t="e">
        <f t="shared" si="2146"/>
        <v>#N/A</v>
      </c>
      <c r="AV892" s="304" t="e">
        <f t="shared" si="2147"/>
        <v>#N/A</v>
      </c>
      <c r="AX892" s="304">
        <f>IF(AND('General price list'!$J892="F4",'General price list'!$AB892+0&gt;0),1,0)</f>
        <v>0</v>
      </c>
      <c r="AY892" s="304">
        <f t="shared" si="2148"/>
        <v>0</v>
      </c>
      <c r="AZ892" s="304">
        <f t="shared" si="2149"/>
        <v>0</v>
      </c>
    </row>
    <row r="893" spans="1:52" ht="15" customHeight="1">
      <c r="A893" s="712" t="str">
        <f>Kat.!C891</f>
        <v/>
      </c>
      <c r="B893" s="713">
        <f>IF(AND('General price list'!$J893="F4",$AI$1=FALSE),0,IF(AC893="SKLADEM",1,IF(AC893=$V$3,1,0)))</f>
        <v>0</v>
      </c>
      <c r="C893" s="714" t="s">
        <v>1711</v>
      </c>
      <c r="D893" s="715" t="s">
        <v>12377</v>
      </c>
      <c r="E893" s="716" t="s">
        <v>136</v>
      </c>
      <c r="F893" s="712">
        <f>IFERROR(ROUND(IF($AL$3=2,VLOOKUP(C893,[2]List1!$A:$D,2,FALSE)*1.08,VLOOKUP(C893,[2]List1!$A:$D,2,FALSE)),0),"NEUVEDENO!")</f>
        <v>3643</v>
      </c>
      <c r="G893" s="717">
        <f t="shared" ref="G893:G898" si="2206">(F893)*$B$19</f>
        <v>3643</v>
      </c>
      <c r="H893" s="718">
        <f t="shared" ref="H893:H898" si="2207">G893/$F$19</f>
        <v>148.03587320034623</v>
      </c>
      <c r="I893" s="719">
        <v>1</v>
      </c>
      <c r="J893" s="716" t="s">
        <v>137</v>
      </c>
      <c r="K893" s="716"/>
      <c r="L893" s="716" t="s">
        <v>24</v>
      </c>
      <c r="M893" s="716" t="s">
        <v>138</v>
      </c>
      <c r="N893" s="716">
        <f>IFERROR(VLOOKUP(C893,[3]List1!$A:$D,4,FALSE),"N/A!")</f>
        <v>4.7774999999999998E-2</v>
      </c>
      <c r="O893" s="716">
        <f>IFERROR(VLOOKUP(C893,[3]List1!$A:$D,3,FALSE),"N/A!")</f>
        <v>1990</v>
      </c>
      <c r="P893" s="716">
        <f>IFERROR(VLOOKUP(C893,[3]List1!$A:$D,2,FALSE),"N/A!")</f>
        <v>17800</v>
      </c>
      <c r="Q893" s="716" t="s">
        <v>14280</v>
      </c>
      <c r="R893" s="716" t="s">
        <v>24</v>
      </c>
      <c r="S893" s="716" t="str">
        <f>IF($W$17=$AF$1,"červená fólie",IFERROR(VLOOKUP("červená fólie",Jazyky_ceník!$A:$Q,MATCH($W$17,Jazyky_ceník!$A$1:$Q$1,0),FALSE),"!!!"))</f>
        <v>červená fólie</v>
      </c>
      <c r="T893" s="716">
        <v>160</v>
      </c>
      <c r="U893" s="716" t="s">
        <v>13822</v>
      </c>
      <c r="V893" s="716" t="s">
        <v>13823</v>
      </c>
      <c r="W893" s="716" t="str">
        <f>IFERROR(VLOOKUP('General price list'!$C893,Popisy!A:P,MATCH($W$17,Popisy!$A$7:$P$7,0),FALSE),"---------------")</f>
        <v>24 různobarevných efektů</v>
      </c>
      <c r="X893" s="716" t="str">
        <f t="shared" ref="X893:X898" si="2208">IF(AB893&lt;0.0001,"",AB893)</f>
        <v/>
      </c>
      <c r="Y893" s="716" t="str">
        <f t="shared" ref="Y893:Y898" si="2209">IF($AL$3=2,IF(OR(AB893&lt;&gt;"",AB893&lt;&gt;0),AU893,""),IF(C893="","",IF(AB893&lt;0.0001,"",IF(B893=0,"",IF(AQ893&lt;AB893,"",AB893)))))</f>
        <v/>
      </c>
      <c r="Z893" s="716" t="str">
        <f>HYPERLINK("https://www.klasekpyrotechnics.cz/c212mf-c")</f>
        <v>https://www.klasekpyrotechnics.cz/c212mf-c</v>
      </c>
      <c r="AA893" s="716">
        <f>IFERROR(IF(VLOOKUP(C893,[4]List1!$A:$D,4,FALSE)=0,"",VLOOKUP(C893,[4]List1!$A:$D,4,FALSE)),"")</f>
        <v>24</v>
      </c>
      <c r="AB893" s="720"/>
      <c r="AC893" s="721" t="str">
        <f>IFERROR(IF(VLOOKUP(C893,[1]List1!$A:$D,2,FALSE)="VYPRODÁNO",$V$9,IF(VLOOKUP(C893,[1]List1!$A:$D,2,FALSE)="DOCHÁZÍ",$V$3,VLOOKUP(C893,[1]List1!$A:$D,2,FALSE))),"OFFLINE!")</f>
        <v>15.05.2024</v>
      </c>
      <c r="AD893" s="722" t="str">
        <f ca="1">IF(AP893="NE",$V$10,IF(AC893=$V$3,IF(AQ893&lt;1,$V$8,$V$2&amp;" "&amp;AQ893&amp;" "&amp;$V$1),IF(AC893="SKLADEM",$V$6,IFERROR(IF(OR(AC893-TODAY()&gt;45,VLOOKUP(C893,[1]List1!$A:$E,4,FALSE)=0),AC893,DAY(AC893)&amp;"."&amp;MONTH(AC893)&amp;"."&amp;YEAR(AC893)&amp;" "&amp;$V$4&amp;VLOOKUP(C893,[1]List1!$A:$E,4,FALSE)&amp;" "&amp;$V$1),AC893))))</f>
        <v>15.05.2024</v>
      </c>
      <c r="AE893" s="716" t="str">
        <f t="shared" ref="AE893:AE898" ca="1" si="2210">IFERROR(IF(AV893&lt;&gt;"",AV893,AD893),AD893)</f>
        <v>15.05.2024</v>
      </c>
      <c r="AF893" s="723">
        <f t="shared" ref="AF893:AF898" si="2211">IFERROR(IF(AB893=Y893,G893*I893*Y893,0),0)</f>
        <v>0</v>
      </c>
      <c r="AG893" s="723">
        <f t="shared" ref="AG893:AG898" si="2212">IF($W$17=$AF$8,AH893*1.23,AF893*1.21)</f>
        <v>0</v>
      </c>
      <c r="AH893" s="724">
        <f t="shared" ref="AH893:AH898" si="2213">IFERROR(IF(Y893=AB893,H893*I893*Y893,0),0)</f>
        <v>0</v>
      </c>
      <c r="AI893" s="716">
        <f t="shared" ref="AI893:AI898" si="2214">IFERROR(IF(Y893=AB893,(P893*Y893)/1000,1),0)</f>
        <v>0</v>
      </c>
      <c r="AJ893" s="716">
        <f t="shared" ref="AJ893:AJ898" si="2215">IFERROR(IF(Y893=AB893,N893*Y893,0.1),0)</f>
        <v>0</v>
      </c>
      <c r="AK893" s="716" t="str">
        <f t="shared" ref="AK893:AK898" si="2216">IFERROR(IF(Y893=AB893,IF(M893="1.1G",(O893/1000)*Y893,""),""),0)</f>
        <v/>
      </c>
      <c r="AL893" s="716">
        <f t="shared" ref="AL893:AL898" si="2217">IFERROR(IF(Y893=AB893,IF(M893="1.3G",(O893/1000)*AB893,""),""),0)</f>
        <v>0</v>
      </c>
      <c r="AM893" s="716" t="str">
        <f t="shared" ref="AM893:AM898" si="2218">IFERROR(IF(Y893=AB893,IF(M893="1.4G",(O893/1000)*AB893,""),""),0)</f>
        <v/>
      </c>
      <c r="AN893" s="716">
        <f t="shared" ref="AN893:AN898" si="2219">SUM(AK893:AM893)</f>
        <v>0</v>
      </c>
      <c r="AO893" s="380"/>
      <c r="AP893" s="322" t="str">
        <f t="shared" si="2142"/>
        <v/>
      </c>
      <c r="AQ893" s="323" t="str">
        <f>IF(AC893=$V$3,IF(VLOOKUP(C893,[1]List1!$A:$E,5,FALSE)=0,1,VLOOKUP(C893,[1]List1!$A:$E,5,FALSE)),"")</f>
        <v/>
      </c>
      <c r="AR893" s="304" t="str">
        <f t="shared" si="2143"/>
        <v/>
      </c>
      <c r="AS893" s="423" t="str">
        <f t="shared" si="2144"/>
        <v/>
      </c>
      <c r="AT893" s="304" t="str">
        <f t="shared" si="2145"/>
        <v/>
      </c>
      <c r="AU893" s="342" t="e">
        <f t="shared" si="2146"/>
        <v>#N/A</v>
      </c>
      <c r="AV893" s="304" t="e">
        <f t="shared" si="2147"/>
        <v>#N/A</v>
      </c>
      <c r="AX893" s="304">
        <f>IF(AND('General price list'!$J893="F4",'General price list'!$AB893+0&gt;0),1,0)</f>
        <v>0</v>
      </c>
      <c r="AY893" s="304">
        <f t="shared" si="2148"/>
        <v>1</v>
      </c>
      <c r="AZ893" s="304">
        <f t="shared" si="2149"/>
        <v>0</v>
      </c>
    </row>
    <row r="894" spans="1:52" ht="15" customHeight="1">
      <c r="A894" s="725" t="str">
        <f>Kat.!C892</f>
        <v/>
      </c>
      <c r="B894" s="726">
        <f>IF(AND('General price list'!$J894="F4",$AI$1=FALSE),0,IF(AC894="SKLADEM",1,IF(AC894=$V$3,1,0)))</f>
        <v>0</v>
      </c>
      <c r="C894" s="727" t="s">
        <v>2608</v>
      </c>
      <c r="D894" s="728" t="s">
        <v>2609</v>
      </c>
      <c r="E894" s="729" t="s">
        <v>136</v>
      </c>
      <c r="F894" s="725">
        <f>IFERROR(ROUND(IF($AL$3=2,VLOOKUP(C894,[2]List1!$A:$D,2,FALSE)*1.08,VLOOKUP(C894,[2]List1!$A:$D,2,FALSE)),0),"NEUVEDENO!")</f>
        <v>6307</v>
      </c>
      <c r="G894" s="730">
        <f t="shared" si="2206"/>
        <v>6307</v>
      </c>
      <c r="H894" s="731">
        <f t="shared" si="2207"/>
        <v>256.28939123650389</v>
      </c>
      <c r="I894" s="732">
        <v>1</v>
      </c>
      <c r="J894" s="729" t="s">
        <v>137</v>
      </c>
      <c r="K894" s="729"/>
      <c r="L894" s="729" t="s">
        <v>24</v>
      </c>
      <c r="M894" s="729" t="s">
        <v>138</v>
      </c>
      <c r="N894" s="729">
        <f>IFERROR(VLOOKUP(C894,[3]List1!$A:$D,4,FALSE),"N/A!")</f>
        <v>9.3761499999999998E-2</v>
      </c>
      <c r="O894" s="729">
        <f>IFERROR(VLOOKUP(C894,[3]List1!$A:$D,3,FALSE),"N/A!")</f>
        <v>4000</v>
      </c>
      <c r="P894" s="729">
        <f>IFERROR(VLOOKUP(C894,[3]List1!$A:$D,2,FALSE),"N/A!")</f>
        <v>30000</v>
      </c>
      <c r="Q894" s="729" t="s">
        <v>14243</v>
      </c>
      <c r="R894" s="729" t="s">
        <v>24</v>
      </c>
      <c r="S894" s="729" t="str">
        <f>IF($W$17=$AF$1,"červená fólie",IFERROR(VLOOKUP("červená fólie",Jazyky_ceník!$A:$Q,MATCH($W$17,Jazyky_ceník!$A$1:$Q$1,0),FALSE),"!!!"))</f>
        <v>červená fólie</v>
      </c>
      <c r="T894" s="729">
        <v>110</v>
      </c>
      <c r="U894" s="729" t="s">
        <v>13834</v>
      </c>
      <c r="V894" s="729" t="s">
        <v>13835</v>
      </c>
      <c r="W894" s="729" t="str">
        <f>IFERROR(VLOOKUP('General price list'!$C894,Popisy!A:P,MATCH($W$17,Popisy!$A$7:$P$7,0),FALSE),"---------------")</f>
        <v>24 různobarevných efektů</v>
      </c>
      <c r="X894" s="729" t="str">
        <f t="shared" si="2208"/>
        <v/>
      </c>
      <c r="Y894" s="729" t="str">
        <f t="shared" si="2209"/>
        <v/>
      </c>
      <c r="Z894" s="729" t="str">
        <f>HYPERLINK("https://www.klasekpyrotechnics.cz/c219xmpt-c")</f>
        <v>https://www.klasekpyrotechnics.cz/c219xmpt-c</v>
      </c>
      <c r="AA894" s="729">
        <f>IFERROR(IF(VLOOKUP(C894,[4]List1!$A:$D,4,FALSE)=0,"",VLOOKUP(C894,[4]List1!$A:$D,4,FALSE)),"")</f>
        <v>12</v>
      </c>
      <c r="AB894" s="720"/>
      <c r="AC894" s="733" t="str">
        <f>IFERROR(IF(VLOOKUP(C894,[1]List1!$A:$D,2,FALSE)="VYPRODÁNO",$V$9,IF(VLOOKUP(C894,[1]List1!$A:$D,2,FALSE)="DOCHÁZÍ",$V$3,VLOOKUP(C894,[1]List1!$A:$D,2,FALSE))),"OFFLINE!")</f>
        <v>15.08.2024</v>
      </c>
      <c r="AD894" s="734" t="str">
        <f ca="1">IF(AP894="NE",$V$10,IF(AC894=$V$3,IF(AQ894&lt;1,$V$8,$V$2&amp;" "&amp;AQ894&amp;" "&amp;$V$1),IF(AC894="SKLADEM",$V$6,IFERROR(IF(OR(AC894-TODAY()&gt;45,VLOOKUP(C894,[1]List1!$A:$E,4,FALSE)=0),AC894,DAY(AC894)&amp;"."&amp;MONTH(AC894)&amp;"."&amp;YEAR(AC894)&amp;" "&amp;$V$4&amp;VLOOKUP(C894,[1]List1!$A:$E,4,FALSE)&amp;" "&amp;$V$1),AC894))))</f>
        <v>15.08.2024</v>
      </c>
      <c r="AE894" s="729" t="str">
        <f t="shared" ca="1" si="2210"/>
        <v>15.08.2024</v>
      </c>
      <c r="AF894" s="735">
        <f t="shared" si="2211"/>
        <v>0</v>
      </c>
      <c r="AG894" s="735">
        <f t="shared" si="2212"/>
        <v>0</v>
      </c>
      <c r="AH894" s="736">
        <f t="shared" si="2213"/>
        <v>0</v>
      </c>
      <c r="AI894" s="729">
        <f t="shared" si="2214"/>
        <v>0</v>
      </c>
      <c r="AJ894" s="729">
        <f t="shared" si="2215"/>
        <v>0</v>
      </c>
      <c r="AK894" s="729" t="str">
        <f t="shared" si="2216"/>
        <v/>
      </c>
      <c r="AL894" s="729">
        <f t="shared" si="2217"/>
        <v>0</v>
      </c>
      <c r="AM894" s="729" t="str">
        <f t="shared" si="2218"/>
        <v/>
      </c>
      <c r="AN894" s="729">
        <f t="shared" si="2219"/>
        <v>0</v>
      </c>
      <c r="AO894" s="380"/>
      <c r="AP894" s="322" t="str">
        <f t="shared" si="2142"/>
        <v/>
      </c>
      <c r="AQ894" s="323" t="str">
        <f>IF(AC894=$V$3,IF(VLOOKUP(C894,[1]List1!$A:$E,5,FALSE)=0,1,VLOOKUP(C894,[1]List1!$A:$E,5,FALSE)),"")</f>
        <v/>
      </c>
      <c r="AR894" s="304" t="str">
        <f t="shared" si="2143"/>
        <v/>
      </c>
      <c r="AS894" s="423" t="str">
        <f t="shared" si="2144"/>
        <v/>
      </c>
      <c r="AT894" s="304" t="str">
        <f t="shared" si="2145"/>
        <v/>
      </c>
      <c r="AU894" s="342" t="e">
        <f t="shared" si="2146"/>
        <v>#N/A</v>
      </c>
      <c r="AV894" s="304" t="e">
        <f t="shared" si="2147"/>
        <v>#N/A</v>
      </c>
      <c r="AX894" s="304">
        <f>IF(AND('General price list'!$J894="F4",'General price list'!$AB894+0&gt;0),1,0)</f>
        <v>0</v>
      </c>
      <c r="AY894" s="304">
        <f t="shared" si="2148"/>
        <v>1</v>
      </c>
      <c r="AZ894" s="304">
        <f t="shared" si="2149"/>
        <v>0</v>
      </c>
    </row>
    <row r="895" spans="1:52" ht="15" customHeight="1">
      <c r="A895" s="712" t="str">
        <f>Kat.!C893</f>
        <v/>
      </c>
      <c r="B895" s="737">
        <f>IF(AND('General price list'!$J895="F4",$AI$1=FALSE),0,IF(AC895="SKLADEM",1,IF(AC895=$V$3,1,0)))</f>
        <v>1</v>
      </c>
      <c r="C895" s="714" t="s">
        <v>1712</v>
      </c>
      <c r="D895" s="715" t="s">
        <v>5523</v>
      </c>
      <c r="E895" s="716" t="s">
        <v>136</v>
      </c>
      <c r="F895" s="712">
        <f>IFERROR(ROUND(IF($AL$3=2,VLOOKUP(C895,[2]List1!$A:$D,2,FALSE)*1.08,VLOOKUP(C895,[2]List1!$A:$D,2,FALSE)),0),"NEUVEDENO!")</f>
        <v>3568</v>
      </c>
      <c r="G895" s="717">
        <f t="shared" si="2206"/>
        <v>3568</v>
      </c>
      <c r="H895" s="718">
        <f t="shared" si="2207"/>
        <v>144.98819532770665</v>
      </c>
      <c r="I895" s="738">
        <v>1</v>
      </c>
      <c r="J895" s="716" t="s">
        <v>137</v>
      </c>
      <c r="K895" s="716"/>
      <c r="L895" s="716" t="s">
        <v>24</v>
      </c>
      <c r="M895" s="716" t="s">
        <v>138</v>
      </c>
      <c r="N895" s="716">
        <f>IFERROR(VLOOKUP(C895,[3]List1!$A:$D,4,FALSE),"N/A!")</f>
        <v>5.1920000000000001E-2</v>
      </c>
      <c r="O895" s="716">
        <f>IFERROR(VLOOKUP(C895,[3]List1!$A:$D,3,FALSE),"N/A!")</f>
        <v>1994</v>
      </c>
      <c r="P895" s="716">
        <f>IFERROR(VLOOKUP(C895,[3]List1!$A:$D,2,FALSE),"N/A!")</f>
        <v>15000</v>
      </c>
      <c r="Q895" s="716" t="s">
        <v>12733</v>
      </c>
      <c r="R895" s="716" t="s">
        <v>24</v>
      </c>
      <c r="S895" s="716" t="str">
        <f>IF($W$17=$AF$1,"červená fólie",IFERROR(VLOOKUP("červená fólie",Jazyky_ceník!$A:$Q,MATCH($W$17,Jazyky_ceník!$A$1:$Q$1,0),FALSE),"!!!"))</f>
        <v>červená fólie</v>
      </c>
      <c r="T895" s="716">
        <v>120</v>
      </c>
      <c r="U895" s="716" t="s">
        <v>13829</v>
      </c>
      <c r="V895" s="716" t="s">
        <v>13830</v>
      </c>
      <c r="W895" s="716" t="str">
        <f>IFERROR(VLOOKUP('General price list'!$C895,Popisy!A:P,MATCH($W$17,Popisy!$A$7:$P$7,0),FALSE),"---------------")</f>
        <v>22 různobarevných efektů</v>
      </c>
      <c r="X895" s="716" t="str">
        <f t="shared" si="2208"/>
        <v/>
      </c>
      <c r="Y895" s="716" t="str">
        <f t="shared" si="2209"/>
        <v/>
      </c>
      <c r="Z895" s="716" t="str">
        <f>HYPERLINK("https://www.klasekpyrotechnics.cz/c223mf-c")</f>
        <v>https://www.klasekpyrotechnics.cz/c223mf-c</v>
      </c>
      <c r="AA895" s="716">
        <f>IFERROR(IF(VLOOKUP(C895,[4]List1!$A:$D,4,FALSE)=0,"",VLOOKUP(C895,[4]List1!$A:$D,4,FALSE)),"")</f>
        <v>24</v>
      </c>
      <c r="AB895" s="720"/>
      <c r="AC895" s="739" t="str">
        <f>IFERROR(IF(VLOOKUP(C895,[1]List1!$A:$D,2,FALSE)="VYPRODÁNO",$V$9,IF(VLOOKUP(C895,[1]List1!$A:$D,2,FALSE)="DOCHÁZÍ",$V$3,VLOOKUP(C895,[1]List1!$A:$D,2,FALSE))),"OFFLINE!")</f>
        <v>SKLADEM</v>
      </c>
      <c r="AD895" s="740" t="str">
        <f ca="1">IF(AP895="NE",$V$10,IF(AC895=$V$3,IF(AQ895&lt;1,$V$8,$V$2&amp;" "&amp;AQ895&amp;" "&amp;$V$1),IF(AC895="SKLADEM",$V$6,IFERROR(IF(OR(AC895-TODAY()&gt;45,VLOOKUP(C895,[1]List1!$A:$E,4,FALSE)=0),AC895,DAY(AC895)&amp;"."&amp;MONTH(AC895)&amp;"."&amp;YEAR(AC895)&amp;" "&amp;$V$4&amp;VLOOKUP(C895,[1]List1!$A:$E,4,FALSE)&amp;" "&amp;$V$1),AC895))))</f>
        <v>SKLADEM</v>
      </c>
      <c r="AE895" s="716" t="str">
        <f t="shared" ca="1" si="2210"/>
        <v>SKLADEM</v>
      </c>
      <c r="AF895" s="723">
        <f t="shared" si="2211"/>
        <v>0</v>
      </c>
      <c r="AG895" s="723">
        <f t="shared" si="2212"/>
        <v>0</v>
      </c>
      <c r="AH895" s="724">
        <f t="shared" si="2213"/>
        <v>0</v>
      </c>
      <c r="AI895" s="716">
        <f t="shared" si="2214"/>
        <v>0</v>
      </c>
      <c r="AJ895" s="716">
        <f t="shared" si="2215"/>
        <v>0</v>
      </c>
      <c r="AK895" s="716" t="str">
        <f t="shared" si="2216"/>
        <v/>
      </c>
      <c r="AL895" s="716">
        <f t="shared" si="2217"/>
        <v>0</v>
      </c>
      <c r="AM895" s="716" t="str">
        <f t="shared" si="2218"/>
        <v/>
      </c>
      <c r="AN895" s="716">
        <f t="shared" si="2219"/>
        <v>0</v>
      </c>
      <c r="AO895" s="380"/>
      <c r="AP895" s="322" t="str">
        <f t="shared" si="2142"/>
        <v/>
      </c>
      <c r="AQ895" s="323" t="str">
        <f>IF(AC895=$V$3,IF(VLOOKUP(C895,[1]List1!$A:$E,5,FALSE)=0,1,VLOOKUP(C895,[1]List1!$A:$E,5,FALSE)),"")</f>
        <v/>
      </c>
      <c r="AR895" s="304" t="str">
        <f t="shared" si="2143"/>
        <v/>
      </c>
      <c r="AS895" s="423" t="str">
        <f t="shared" si="2144"/>
        <v/>
      </c>
      <c r="AT895" s="304" t="str">
        <f t="shared" si="2145"/>
        <v/>
      </c>
      <c r="AU895" s="342" t="e">
        <f t="shared" si="2146"/>
        <v>#N/A</v>
      </c>
      <c r="AV895" s="304" t="e">
        <f t="shared" si="2147"/>
        <v>#N/A</v>
      </c>
      <c r="AX895" s="304">
        <f>IF(AND('General price list'!$J895="F4",'General price list'!$AB895+0&gt;0),1,0)</f>
        <v>0</v>
      </c>
      <c r="AY895" s="304">
        <f t="shared" si="2148"/>
        <v>1</v>
      </c>
      <c r="AZ895" s="304">
        <f t="shared" si="2149"/>
        <v>0</v>
      </c>
    </row>
    <row r="896" spans="1:52" ht="15" customHeight="1">
      <c r="A896" s="725" t="str">
        <f>Kat.!C894</f>
        <v/>
      </c>
      <c r="B896" s="726">
        <f>IF(AND('General price list'!$J896="F4",$AI$1=FALSE),0,IF(AC896="SKLADEM",1,IF(AC896=$V$3,1,0)))</f>
        <v>1</v>
      </c>
      <c r="C896" s="727" t="s">
        <v>2610</v>
      </c>
      <c r="D896" s="728" t="s">
        <v>14610</v>
      </c>
      <c r="E896" s="729" t="s">
        <v>136</v>
      </c>
      <c r="F896" s="725">
        <f>IFERROR(ROUND(IF($AL$3=2,VLOOKUP(C896,[2]List1!$A:$D,2,FALSE)*1.08,VLOOKUP(C896,[2]List1!$A:$D,2,FALSE)),0),"NEUVEDENO!")</f>
        <v>6524</v>
      </c>
      <c r="G896" s="730">
        <f t="shared" si="2206"/>
        <v>6524</v>
      </c>
      <c r="H896" s="731">
        <f t="shared" si="2207"/>
        <v>265.10733921467437</v>
      </c>
      <c r="I896" s="732">
        <v>1</v>
      </c>
      <c r="J896" s="729" t="s">
        <v>137</v>
      </c>
      <c r="K896" s="729"/>
      <c r="L896" s="729" t="s">
        <v>24</v>
      </c>
      <c r="M896" s="729" t="s">
        <v>138</v>
      </c>
      <c r="N896" s="729">
        <f>IFERROR(VLOOKUP(C896,[3]List1!$A:$D,4,FALSE),"N/A!")</f>
        <v>8.9033000000000001E-2</v>
      </c>
      <c r="O896" s="729">
        <f>IFERROR(VLOOKUP(C896,[3]List1!$A:$D,3,FALSE),"N/A!")</f>
        <v>4000</v>
      </c>
      <c r="P896" s="729">
        <f>IFERROR(VLOOKUP(C896,[3]List1!$A:$D,2,FALSE),"N/A!")</f>
        <v>26300</v>
      </c>
      <c r="Q896" s="729" t="s">
        <v>14281</v>
      </c>
      <c r="R896" s="729" t="s">
        <v>24</v>
      </c>
      <c r="S896" s="729" t="str">
        <f>IF($W$17=$AF$1,"červená fólie",IFERROR(VLOOKUP("červená fólie",Jazyky_ceník!$A:$Q,MATCH($W$17,Jazyky_ceník!$A$1:$Q$1,0),FALSE),"!!!"))</f>
        <v>červená fólie</v>
      </c>
      <c r="T896" s="729">
        <v>90</v>
      </c>
      <c r="U896" s="729" t="s">
        <v>13834</v>
      </c>
      <c r="V896" s="729" t="s">
        <v>13835</v>
      </c>
      <c r="W896" s="729" t="str">
        <f>IFERROR(VLOOKUP('General price list'!$C896,Popisy!A:P,MATCH($W$17,Popisy!$A$7:$P$7,0),FALSE),"---------------")</f>
        <v>26 různobarevných efektů</v>
      </c>
      <c r="X896" s="729" t="str">
        <f t="shared" si="2208"/>
        <v/>
      </c>
      <c r="Y896" s="729" t="str">
        <f t="shared" si="2209"/>
        <v/>
      </c>
      <c r="Z896" s="729" t="str">
        <f>HYPERLINK("https://www.klasekpyrotechnics.cz/c253xmpt-c")</f>
        <v>https://www.klasekpyrotechnics.cz/c253xmpt-c</v>
      </c>
      <c r="AA896" s="729">
        <f>IFERROR(IF(VLOOKUP(C896,[4]List1!$A:$D,4,FALSE)=0,"",VLOOKUP(C896,[4]List1!$A:$D,4,FALSE)),"")</f>
        <v>12</v>
      </c>
      <c r="AB896" s="720"/>
      <c r="AC896" s="733" t="str">
        <f>IFERROR(IF(VLOOKUP(C896,[1]List1!$A:$D,2,FALSE)="VYPRODÁNO",$V$9,IF(VLOOKUP(C896,[1]List1!$A:$D,2,FALSE)="DOCHÁZÍ",$V$3,VLOOKUP(C896,[1]List1!$A:$D,2,FALSE))),"OFFLINE!")</f>
        <v>SKLADEM</v>
      </c>
      <c r="AD896" s="734" t="str">
        <f ca="1">IF(AP896="NE",$V$10,IF(AC896=$V$3,IF(AQ896&lt;1,$V$8,$V$2&amp;" "&amp;AQ896&amp;" "&amp;$V$1),IF(AC896="SKLADEM",$V$6,IFERROR(IF(OR(AC896-TODAY()&gt;45,VLOOKUP(C896,[1]List1!$A:$E,4,FALSE)=0),AC896,DAY(AC896)&amp;"."&amp;MONTH(AC896)&amp;"."&amp;YEAR(AC896)&amp;" "&amp;$V$4&amp;VLOOKUP(C896,[1]List1!$A:$E,4,FALSE)&amp;" "&amp;$V$1),AC896))))</f>
        <v>SKLADEM</v>
      </c>
      <c r="AE896" s="729" t="str">
        <f t="shared" ca="1" si="2210"/>
        <v>SKLADEM</v>
      </c>
      <c r="AF896" s="735">
        <f t="shared" si="2211"/>
        <v>0</v>
      </c>
      <c r="AG896" s="735">
        <f t="shared" si="2212"/>
        <v>0</v>
      </c>
      <c r="AH896" s="736">
        <f t="shared" si="2213"/>
        <v>0</v>
      </c>
      <c r="AI896" s="729">
        <f t="shared" si="2214"/>
        <v>0</v>
      </c>
      <c r="AJ896" s="729">
        <f t="shared" si="2215"/>
        <v>0</v>
      </c>
      <c r="AK896" s="729" t="str">
        <f t="shared" si="2216"/>
        <v/>
      </c>
      <c r="AL896" s="729">
        <f t="shared" si="2217"/>
        <v>0</v>
      </c>
      <c r="AM896" s="729" t="str">
        <f t="shared" si="2218"/>
        <v/>
      </c>
      <c r="AN896" s="729">
        <f t="shared" si="2219"/>
        <v>0</v>
      </c>
      <c r="AO896" s="380"/>
      <c r="AP896" s="322" t="str">
        <f t="shared" si="2142"/>
        <v/>
      </c>
      <c r="AQ896" s="323" t="str">
        <f>IF(AC896=$V$3,IF(VLOOKUP(C896,[1]List1!$A:$E,5,FALSE)=0,1,VLOOKUP(C896,[1]List1!$A:$E,5,FALSE)),"")</f>
        <v/>
      </c>
      <c r="AR896" s="304" t="str">
        <f t="shared" si="2143"/>
        <v/>
      </c>
      <c r="AS896" s="423" t="str">
        <f t="shared" si="2144"/>
        <v/>
      </c>
      <c r="AT896" s="304" t="str">
        <f t="shared" si="2145"/>
        <v/>
      </c>
      <c r="AU896" s="342" t="e">
        <f t="shared" si="2146"/>
        <v>#N/A</v>
      </c>
      <c r="AV896" s="304" t="e">
        <f t="shared" si="2147"/>
        <v>#N/A</v>
      </c>
      <c r="AX896" s="304">
        <f>IF(AND('General price list'!$J896="F4",'General price list'!$AB896+0&gt;0),1,0)</f>
        <v>0</v>
      </c>
      <c r="AY896" s="304">
        <f t="shared" si="2148"/>
        <v>1</v>
      </c>
      <c r="AZ896" s="304">
        <f t="shared" si="2149"/>
        <v>0</v>
      </c>
    </row>
    <row r="897" spans="1:52" ht="15" customHeight="1">
      <c r="A897" s="712" t="str">
        <f>Kat.!C895</f>
        <v/>
      </c>
      <c r="B897" s="737">
        <f>IF(AND('General price list'!$J897="F4",$AI$1=FALSE),0,IF(AC897="SKLADEM",1,IF(AC897=$V$3,1,0)))</f>
        <v>1</v>
      </c>
      <c r="C897" s="714" t="s">
        <v>2612</v>
      </c>
      <c r="D897" s="715" t="s">
        <v>2613</v>
      </c>
      <c r="E897" s="716" t="s">
        <v>136</v>
      </c>
      <c r="F897" s="712">
        <f>IFERROR(ROUND(IF($AL$3=2,VLOOKUP(C897,[2]List1!$A:$D,2,FALSE)*1.08,VLOOKUP(C897,[2]List1!$A:$D,2,FALSE)),0),"NEUVEDENO!")</f>
        <v>10732</v>
      </c>
      <c r="G897" s="717">
        <f t="shared" si="2206"/>
        <v>10732</v>
      </c>
      <c r="H897" s="718">
        <f t="shared" si="2207"/>
        <v>436.10238572223875</v>
      </c>
      <c r="I897" s="738">
        <v>1</v>
      </c>
      <c r="J897" s="716" t="s">
        <v>137</v>
      </c>
      <c r="K897" s="716" t="s">
        <v>12734</v>
      </c>
      <c r="L897" s="716" t="s">
        <v>24</v>
      </c>
      <c r="M897" s="716" t="s">
        <v>138</v>
      </c>
      <c r="N897" s="716">
        <f>IFERROR(VLOOKUP(C897,[3]List1!$A:$D,4,FALSE),"N/A!")</f>
        <v>0.13455075</v>
      </c>
      <c r="O897" s="716">
        <f>IFERROR(VLOOKUP(C897,[3]List1!$A:$D,3,FALSE),"N/A!")</f>
        <v>4000</v>
      </c>
      <c r="P897" s="716">
        <f>IFERROR(VLOOKUP(C897,[3]List1!$A:$D,2,FALSE),"N/A!")</f>
        <v>39500</v>
      </c>
      <c r="Q897" s="716" t="s">
        <v>14347</v>
      </c>
      <c r="R897" s="716" t="s">
        <v>24</v>
      </c>
      <c r="S897" s="716" t="str">
        <f>IF($W$17=$AF$1,"červená fólie",IFERROR(VLOOKUP("červená fólie",Jazyky_ceník!$A:$Q,MATCH($W$17,Jazyky_ceník!$A$1:$Q$1,0),FALSE),"!!!"))</f>
        <v>červená fólie</v>
      </c>
      <c r="T897" s="716">
        <v>180</v>
      </c>
      <c r="U897" s="716" t="s">
        <v>13822</v>
      </c>
      <c r="V897" s="716" t="s">
        <v>13823</v>
      </c>
      <c r="W897" s="716" t="str">
        <f>IFERROR(VLOOKUP('General price list'!$C897,Popisy!A:P,MATCH($W$17,Popisy!$A$7:$P$7,0),FALSE),"---------------")</f>
        <v>33 různobarevných efektů</v>
      </c>
      <c r="X897" s="716" t="str">
        <f t="shared" si="2208"/>
        <v/>
      </c>
      <c r="Y897" s="716" t="str">
        <f t="shared" si="2209"/>
        <v/>
      </c>
      <c r="Z897" s="716" t="str">
        <f>HYPERLINK("https://www.klasekpyrotechnics.cz/c379xmk-c")</f>
        <v>https://www.klasekpyrotechnics.cz/c379xmk-c</v>
      </c>
      <c r="AA897" s="716">
        <f>IFERROR(IF(VLOOKUP(C897,[4]List1!$A:$D,4,FALSE)=0,"",VLOOKUP(C897,[4]List1!$A:$D,4,FALSE)),"")</f>
        <v>12</v>
      </c>
      <c r="AB897" s="720"/>
      <c r="AC897" s="739" t="str">
        <f>IFERROR(IF(VLOOKUP(C897,[1]List1!$A:$D,2,FALSE)="VYPRODÁNO",$V$9,IF(VLOOKUP(C897,[1]List1!$A:$D,2,FALSE)="DOCHÁZÍ",$V$3,VLOOKUP(C897,[1]List1!$A:$D,2,FALSE))),"OFFLINE!")</f>
        <v>SKLADEM</v>
      </c>
      <c r="AD897" s="740" t="str">
        <f ca="1">IF(AP897="NE",$V$10,IF(AC897=$V$3,IF(AQ897&lt;1,$V$8,$V$2&amp;" "&amp;AQ897&amp;" "&amp;$V$1),IF(AC897="SKLADEM",$V$6,IFERROR(IF(OR(AC897-TODAY()&gt;45,VLOOKUP(C897,[1]List1!$A:$E,4,FALSE)=0),AC897,DAY(AC897)&amp;"."&amp;MONTH(AC897)&amp;"."&amp;YEAR(AC897)&amp;" "&amp;$V$4&amp;VLOOKUP(C897,[1]List1!$A:$E,4,FALSE)&amp;" "&amp;$V$1),AC897))))</f>
        <v>SKLADEM</v>
      </c>
      <c r="AE897" s="716" t="str">
        <f t="shared" ca="1" si="2210"/>
        <v>SKLADEM</v>
      </c>
      <c r="AF897" s="723">
        <f t="shared" si="2211"/>
        <v>0</v>
      </c>
      <c r="AG897" s="723">
        <f t="shared" si="2212"/>
        <v>0</v>
      </c>
      <c r="AH897" s="724">
        <f t="shared" si="2213"/>
        <v>0</v>
      </c>
      <c r="AI897" s="716">
        <f t="shared" si="2214"/>
        <v>0</v>
      </c>
      <c r="AJ897" s="716">
        <f t="shared" si="2215"/>
        <v>0</v>
      </c>
      <c r="AK897" s="716" t="str">
        <f t="shared" si="2216"/>
        <v/>
      </c>
      <c r="AL897" s="716">
        <f t="shared" si="2217"/>
        <v>0</v>
      </c>
      <c r="AM897" s="716" t="str">
        <f t="shared" si="2218"/>
        <v/>
      </c>
      <c r="AN897" s="716">
        <f t="shared" si="2219"/>
        <v>0</v>
      </c>
      <c r="AO897" s="380"/>
      <c r="AP897" s="322" t="str">
        <f t="shared" si="2142"/>
        <v/>
      </c>
      <c r="AQ897" s="323" t="str">
        <f>IF(AC897=$V$3,IF(VLOOKUP(C897,[1]List1!$A:$E,5,FALSE)=0,1,VLOOKUP(C897,[1]List1!$A:$E,5,FALSE)),"")</f>
        <v/>
      </c>
      <c r="AR897" s="304" t="str">
        <f t="shared" si="2143"/>
        <v/>
      </c>
      <c r="AS897" s="423" t="str">
        <f t="shared" si="2144"/>
        <v/>
      </c>
      <c r="AT897" s="304" t="str">
        <f t="shared" si="2145"/>
        <v/>
      </c>
      <c r="AU897" s="342" t="e">
        <f t="shared" si="2146"/>
        <v>#N/A</v>
      </c>
      <c r="AV897" s="304" t="e">
        <f t="shared" si="2147"/>
        <v>#N/A</v>
      </c>
      <c r="AX897" s="304">
        <f>IF(AND('General price list'!$J897="F4",'General price list'!$AB897+0&gt;0),1,0)</f>
        <v>0</v>
      </c>
      <c r="AY897" s="304">
        <f t="shared" si="2148"/>
        <v>1</v>
      </c>
      <c r="AZ897" s="304">
        <f t="shared" si="2149"/>
        <v>0</v>
      </c>
    </row>
    <row r="898" spans="1:52" ht="15" customHeight="1">
      <c r="A898" s="725" t="str">
        <f>Kat.!C896</f>
        <v/>
      </c>
      <c r="B898" s="726">
        <f>IF(AND('General price list'!$J898="F4",$AI$1=FALSE),0,IF(AC898="SKLADEM",1,IF(AC898=$V$3,1,0)))</f>
        <v>0</v>
      </c>
      <c r="C898" s="727" t="s">
        <v>1714</v>
      </c>
      <c r="D898" s="728" t="s">
        <v>1715</v>
      </c>
      <c r="E898" s="729" t="s">
        <v>136</v>
      </c>
      <c r="F898" s="725">
        <f>IFERROR(ROUND(IF($AL$3=2,VLOOKUP(C898,[2]List1!$A:$D,2,FALSE)*1.08,VLOOKUP(C898,[2]List1!$A:$D,2,FALSE)),0),"NEUVEDENO!")</f>
        <v>6779</v>
      </c>
      <c r="G898" s="730">
        <f t="shared" si="2206"/>
        <v>6779</v>
      </c>
      <c r="H898" s="731">
        <f t="shared" si="2207"/>
        <v>275.46944398164891</v>
      </c>
      <c r="I898" s="732">
        <v>1</v>
      </c>
      <c r="J898" s="729" t="s">
        <v>137</v>
      </c>
      <c r="K898" s="729"/>
      <c r="L898" s="729" t="s">
        <v>24</v>
      </c>
      <c r="M898" s="729" t="s">
        <v>138</v>
      </c>
      <c r="N898" s="729">
        <f>IFERROR(VLOOKUP(C898,[3]List1!$A:$D,4,FALSE),"N/A!")</f>
        <v>0.10292000000000001</v>
      </c>
      <c r="O898" s="729">
        <f>IFERROR(VLOOKUP(C898,[3]List1!$A:$D,3,FALSE),"N/A!")</f>
        <v>3988</v>
      </c>
      <c r="P898" s="729">
        <f>IFERROR(VLOOKUP(C898,[3]List1!$A:$D,2,FALSE),"N/A!")</f>
        <v>34000</v>
      </c>
      <c r="Q898" s="729" t="s">
        <v>14282</v>
      </c>
      <c r="R898" s="729" t="s">
        <v>24</v>
      </c>
      <c r="S898" s="729" t="str">
        <f>IF($W$17=$AF$1,"červená fólie",IFERROR(VLOOKUP("červená fólie",Jazyky_ceník!$A:$Q,MATCH($W$17,Jazyky_ceník!$A$1:$Q$1,0),FALSE),"!!!"))</f>
        <v>červená fólie</v>
      </c>
      <c r="T898" s="729">
        <v>230</v>
      </c>
      <c r="U898" s="729" t="s">
        <v>13829</v>
      </c>
      <c r="V898" s="729" t="s">
        <v>13830</v>
      </c>
      <c r="W898" s="729" t="str">
        <f>IFERROR(VLOOKUP('General price list'!$C898,Popisy!A:P,MATCH($W$17,Popisy!$A$7:$P$7,0),FALSE),"---------------")</f>
        <v>22 různobarevných efektů</v>
      </c>
      <c r="X898" s="729" t="str">
        <f t="shared" si="2208"/>
        <v/>
      </c>
      <c r="Y898" s="729" t="str">
        <f t="shared" si="2209"/>
        <v/>
      </c>
      <c r="Z898" s="729" t="str">
        <f>HYPERLINK("https://www.klasekpyrotechnics.cz/c446mm-c")</f>
        <v>https://www.klasekpyrotechnics.cz/c446mm-c</v>
      </c>
      <c r="AA898" s="729">
        <f>IFERROR(IF(VLOOKUP(C898,[4]List1!$A:$D,4,FALSE)=0,"",VLOOKUP(C898,[4]List1!$A:$D,4,FALSE)),"")</f>
        <v>8</v>
      </c>
      <c r="AB898" s="720"/>
      <c r="AC898" s="733" t="str">
        <f>IFERROR(IF(VLOOKUP(C898,[1]List1!$A:$D,2,FALSE)="VYPRODÁNO",$V$9,IF(VLOOKUP(C898,[1]List1!$A:$D,2,FALSE)="DOCHÁZÍ",$V$3,VLOOKUP(C898,[1]List1!$A:$D,2,FALSE))),"OFFLINE!")</f>
        <v>15.05.2024</v>
      </c>
      <c r="AD898" s="734" t="str">
        <f ca="1">IF(AP898="NE",$V$10,IF(AC898=$V$3,IF(AQ898&lt;1,$V$8,$V$2&amp;" "&amp;AQ898&amp;" "&amp;$V$1),IF(AC898="SKLADEM",$V$6,IFERROR(IF(OR(AC898-TODAY()&gt;45,VLOOKUP(C898,[1]List1!$A:$E,4,FALSE)=0),AC898,DAY(AC898)&amp;"."&amp;MONTH(AC898)&amp;"."&amp;YEAR(AC898)&amp;" "&amp;$V$4&amp;VLOOKUP(C898,[1]List1!$A:$E,4,FALSE)&amp;" "&amp;$V$1),AC898))))</f>
        <v>15.05.2024</v>
      </c>
      <c r="AE898" s="729" t="str">
        <f t="shared" ca="1" si="2210"/>
        <v>15.05.2024</v>
      </c>
      <c r="AF898" s="735">
        <f t="shared" si="2211"/>
        <v>0</v>
      </c>
      <c r="AG898" s="735">
        <f t="shared" si="2212"/>
        <v>0</v>
      </c>
      <c r="AH898" s="736">
        <f t="shared" si="2213"/>
        <v>0</v>
      </c>
      <c r="AI898" s="729">
        <f t="shared" si="2214"/>
        <v>0</v>
      </c>
      <c r="AJ898" s="729">
        <f t="shared" si="2215"/>
        <v>0</v>
      </c>
      <c r="AK898" s="729" t="str">
        <f t="shared" si="2216"/>
        <v/>
      </c>
      <c r="AL898" s="729">
        <f t="shared" si="2217"/>
        <v>0</v>
      </c>
      <c r="AM898" s="729" t="str">
        <f t="shared" si="2218"/>
        <v/>
      </c>
      <c r="AN898" s="729">
        <f t="shared" si="2219"/>
        <v>0</v>
      </c>
      <c r="AO898" s="380"/>
      <c r="AP898" s="322" t="str">
        <f t="shared" si="2142"/>
        <v/>
      </c>
      <c r="AQ898" s="323" t="str">
        <f>IF(AC898=$V$3,IF(VLOOKUP(C898,[1]List1!$A:$E,5,FALSE)=0,1,VLOOKUP(C898,[1]List1!$A:$E,5,FALSE)),"")</f>
        <v/>
      </c>
      <c r="AR898" s="304" t="str">
        <f t="shared" si="2143"/>
        <v/>
      </c>
      <c r="AS898" s="423" t="str">
        <f t="shared" si="2144"/>
        <v/>
      </c>
      <c r="AT898" s="304" t="str">
        <f t="shared" si="2145"/>
        <v/>
      </c>
      <c r="AU898" s="342" t="e">
        <f t="shared" si="2146"/>
        <v>#N/A</v>
      </c>
      <c r="AV898" s="304" t="e">
        <f t="shared" si="2147"/>
        <v>#N/A</v>
      </c>
      <c r="AX898" s="304">
        <f>IF(AND('General price list'!$J898="F4",'General price list'!$AB898+0&gt;0),1,0)</f>
        <v>0</v>
      </c>
      <c r="AY898" s="304">
        <f t="shared" si="2148"/>
        <v>1</v>
      </c>
      <c r="AZ898" s="304">
        <f t="shared" si="2149"/>
        <v>0</v>
      </c>
    </row>
    <row r="899" spans="1:52" ht="15" customHeight="1">
      <c r="A899" s="773" t="str">
        <f>Kat.!C897</f>
        <v xml:space="preserve">                                                               Složený ohňostroj(s ochraným obalem) multikaliber(20-30mm) F3 - 1.3G</v>
      </c>
      <c r="B899" s="774"/>
      <c r="C899" s="774"/>
      <c r="D899" s="774"/>
      <c r="E899" s="774"/>
      <c r="F899" s="774"/>
      <c r="G899" s="774"/>
      <c r="H899" s="774"/>
      <c r="I899" s="774"/>
      <c r="J899" s="774"/>
      <c r="K899" s="774"/>
      <c r="L899" s="774"/>
      <c r="M899" s="774"/>
      <c r="N899" s="774"/>
      <c r="O899" s="774"/>
      <c r="P899" s="774"/>
      <c r="Q899" s="774"/>
      <c r="R899" s="774"/>
      <c r="S899" s="774"/>
      <c r="T899" s="774"/>
      <c r="U899" s="774"/>
      <c r="V899" s="774"/>
      <c r="W899" s="774"/>
      <c r="X899" s="774"/>
      <c r="Y899" s="774"/>
      <c r="Z899" s="774"/>
      <c r="AA899" s="774" t="str">
        <f>IFERROR(IF(VLOOKUP(C899,[4]List1!$A:$D,4,FALSE)=0,"",VLOOKUP(C899,[4]List1!$A:$D,4,FALSE)),"")</f>
        <v/>
      </c>
      <c r="AB899" s="774"/>
      <c r="AC899" s="775" t="str">
        <f>IFERROR(IF(VLOOKUP(C899,[1]List1!$A:$D,2,FALSE)="VYPRODÁNO",$V$9,IF(VLOOKUP(C899,[1]List1!$A:$D,2,FALSE)="DOCHÁZÍ",$V$3,VLOOKUP(C899,[1]List1!$A:$D,2,FALSE))),"OFFLINE!")</f>
        <v>OFFLINE!</v>
      </c>
      <c r="AD899" s="774"/>
      <c r="AE899" s="774"/>
      <c r="AF899" s="774"/>
      <c r="AG899" s="774"/>
      <c r="AH899" s="774"/>
      <c r="AI899" s="774"/>
      <c r="AJ899" s="774"/>
      <c r="AK899" s="774"/>
      <c r="AL899" s="774"/>
      <c r="AM899" s="774"/>
      <c r="AN899" s="774"/>
      <c r="AO899" s="380"/>
      <c r="AP899" s="322" t="str">
        <f t="shared" si="2142"/>
        <v/>
      </c>
      <c r="AQ899" s="323" t="str">
        <f>IF(AC899=$V$3,IF(VLOOKUP(C899,[1]List1!$A:$E,5,FALSE)=0,1,VLOOKUP(C899,[1]List1!$A:$E,5,FALSE)),"")</f>
        <v/>
      </c>
      <c r="AR899" s="304" t="str">
        <f t="shared" si="2143"/>
        <v/>
      </c>
      <c r="AS899" s="423" t="str">
        <f t="shared" si="2144"/>
        <v/>
      </c>
      <c r="AT899" s="304" t="str">
        <f t="shared" si="2145"/>
        <v/>
      </c>
      <c r="AU899" s="342" t="e">
        <f t="shared" si="2146"/>
        <v>#N/A</v>
      </c>
      <c r="AV899" s="304" t="e">
        <f t="shared" si="2147"/>
        <v>#N/A</v>
      </c>
      <c r="AX899" s="304">
        <f>IF(AND('General price list'!$J899="F4",'General price list'!$AB899+0&gt;0),1,0)</f>
        <v>0</v>
      </c>
      <c r="AY899" s="304">
        <f t="shared" si="2148"/>
        <v>0</v>
      </c>
      <c r="AZ899" s="304">
        <f t="shared" si="2149"/>
        <v>0</v>
      </c>
    </row>
    <row r="900" spans="1:52" ht="15" customHeight="1">
      <c r="A900" s="725" t="str">
        <f>Kat.!C898</f>
        <v/>
      </c>
      <c r="B900" s="741">
        <f>IF(AND('General price list'!$J900="F4",$AI$1=FALSE),0,IF(AC900="SKLADEM",1,IF(AC900=$V$3,1,0)))</f>
        <v>0</v>
      </c>
      <c r="C900" s="727" t="s">
        <v>2777</v>
      </c>
      <c r="D900" s="728" t="s">
        <v>1709</v>
      </c>
      <c r="E900" s="729" t="s">
        <v>136</v>
      </c>
      <c r="F900" s="725">
        <f>IFERROR(ROUND(IF($AL$3=2,VLOOKUP(C900,[2]List1!$A:$D,2,FALSE)*1.08,VLOOKUP(C900,[2]List1!$A:$D,2,FALSE)),0),"NEUVEDENO!")</f>
        <v>4081</v>
      </c>
      <c r="G900" s="730">
        <f t="shared" ref="G900:G905" si="2220">(F900)*$B$19</f>
        <v>4081</v>
      </c>
      <c r="H900" s="731">
        <f t="shared" ref="H900:H905" si="2221">G900/$F$19</f>
        <v>165.83431197656134</v>
      </c>
      <c r="I900" s="742">
        <v>1</v>
      </c>
      <c r="J900" s="729" t="s">
        <v>137</v>
      </c>
      <c r="K900" s="729">
        <v>6</v>
      </c>
      <c r="L900" s="729" t="s">
        <v>24</v>
      </c>
      <c r="M900" s="729" t="s">
        <v>138</v>
      </c>
      <c r="N900" s="729">
        <f>IFERROR(VLOOKUP(C900,[3]List1!$A:$D,4,FALSE),"N/A!")</f>
        <v>4.7774999999999998E-2</v>
      </c>
      <c r="O900" s="729">
        <f>IFERROR(VLOOKUP(C900,[3]List1!$A:$D,3,FALSE),"N/A!")</f>
        <v>1990</v>
      </c>
      <c r="P900" s="729">
        <f>IFERROR(VLOOKUP(C900,[3]List1!$A:$D,2,FALSE),"N/A!")</f>
        <v>17800</v>
      </c>
      <c r="Q900" s="729" t="s">
        <v>2801</v>
      </c>
      <c r="R900" s="729" t="s">
        <v>24</v>
      </c>
      <c r="S900" s="729" t="str">
        <f>IF($W$17=$AF$1,"červená fólie",IFERROR(VLOOKUP("červená fólie",Jazyky_ceník!$A:$Q,MATCH($W$17,Jazyky_ceník!$A$1:$Q$1,0),FALSE),"!!!"))</f>
        <v>červená fólie</v>
      </c>
      <c r="T900" s="729">
        <v>160</v>
      </c>
      <c r="U900" s="729" t="s">
        <v>13822</v>
      </c>
      <c r="V900" s="729" t="s">
        <v>13823</v>
      </c>
      <c r="W900" s="729" t="str">
        <f>IFERROR(VLOOKUP('General price list'!$C900,Popisy!A:P,MATCH($W$17,Popisy!$A$7:$P$7,0),FALSE),"---------------")</f>
        <v>24 různobarevných efektů</v>
      </c>
      <c r="X900" s="729" t="str">
        <f t="shared" ref="X900:X905" si="2222">IF(AB900&lt;0.0001,"",AB900)</f>
        <v/>
      </c>
      <c r="Y900" s="729" t="str">
        <f t="shared" ref="Y900:Y905" si="2223">IF($AL$3=2,IF(OR(AB900&lt;&gt;"",AB900&lt;&gt;0),AU900,""),IF(C900="","",IF(AB900&lt;0.0001,"",IF(B900=0,"",IF(AQ900&lt;AB900,"",AB900)))))</f>
        <v/>
      </c>
      <c r="Z900" s="729" t="str">
        <f>HYPERLINK("https://www.klasekpyrotechnics.cz/c212mf-c_t")</f>
        <v>https://www.klasekpyrotechnics.cz/c212mf-c_t</v>
      </c>
      <c r="AA900" s="729">
        <f>IFERROR(IF(VLOOKUP(C900,[4]List1!$A:$D,4,FALSE)=0,"",VLOOKUP(C900,[4]List1!$A:$D,4,FALSE)),"")</f>
        <v>24</v>
      </c>
      <c r="AB900" s="720"/>
      <c r="AC900" s="743" t="str">
        <f>IFERROR(IF(VLOOKUP(C900,[1]List1!$A:$D,2,FALSE)="VYPRODÁNO",$V$9,IF(VLOOKUP(C900,[1]List1!$A:$D,2,FALSE)="DOCHÁZÍ",$V$3,VLOOKUP(C900,[1]List1!$A:$D,2,FALSE))),"OFFLINE!")</f>
        <v>15.05.2024</v>
      </c>
      <c r="AD900" s="744" t="str">
        <f ca="1">IF(AP900="NE",$V$10,IF(AC900=$V$3,IF(AQ900&lt;1,$V$8,$V$2&amp;" "&amp;AQ900&amp;" "&amp;$V$1),IF(AC900="SKLADEM",$V$6,IFERROR(IF(OR(AC900-TODAY()&gt;45,VLOOKUP(C900,[1]List1!$A:$E,4,FALSE)=0),AC900,DAY(AC900)&amp;"."&amp;MONTH(AC900)&amp;"."&amp;YEAR(AC900)&amp;" "&amp;$V$4&amp;VLOOKUP(C900,[1]List1!$A:$E,4,FALSE)&amp;" "&amp;$V$1),AC900))))</f>
        <v>15.05.2024</v>
      </c>
      <c r="AE900" s="729" t="str">
        <f t="shared" ref="AE900:AE905" ca="1" si="2224">IFERROR(IF(AV900&lt;&gt;"",AV900,AD900),AD900)</f>
        <v>15.05.2024</v>
      </c>
      <c r="AF900" s="735">
        <f t="shared" ref="AF900:AF905" si="2225">IFERROR(IF(AB900=Y900,G900*I900*Y900,0),0)</f>
        <v>0</v>
      </c>
      <c r="AG900" s="735">
        <f t="shared" ref="AG900:AG905" si="2226">IF($W$17=$AF$8,AH900*1.23,AF900*1.21)</f>
        <v>0</v>
      </c>
      <c r="AH900" s="736">
        <f t="shared" ref="AH900:AH905" si="2227">IFERROR(IF(Y900=AB900,H900*I900*Y900,0),0)</f>
        <v>0</v>
      </c>
      <c r="AI900" s="729">
        <f t="shared" ref="AI900:AI905" si="2228">IFERROR(IF(Y900=AB900,(P900*Y900)/1000,1),0)</f>
        <v>0</v>
      </c>
      <c r="AJ900" s="729">
        <f t="shared" ref="AJ900:AJ905" si="2229">IFERROR(IF(Y900=AB900,N900*Y900,0.1),0)</f>
        <v>0</v>
      </c>
      <c r="AK900" s="729" t="str">
        <f t="shared" ref="AK900:AK905" si="2230">IFERROR(IF(Y900=AB900,IF(M900="1.1G",(O900/1000)*Y900,""),""),0)</f>
        <v/>
      </c>
      <c r="AL900" s="729">
        <f t="shared" ref="AL900:AL905" si="2231">IFERROR(IF(Y900=AB900,IF(M900="1.3G",(O900/1000)*AB900,""),""),0)</f>
        <v>0</v>
      </c>
      <c r="AM900" s="729" t="str">
        <f t="shared" ref="AM900:AM905" si="2232">IFERROR(IF(Y900=AB900,IF(M900="1.4G",(O900/1000)*AB900,""),""),0)</f>
        <v/>
      </c>
      <c r="AN900" s="729">
        <f t="shared" ref="AN900:AN905" si="2233">SUM(AK900:AM900)</f>
        <v>0</v>
      </c>
      <c r="AO900" s="380"/>
      <c r="AP900" s="322" t="str">
        <f t="shared" si="2142"/>
        <v/>
      </c>
      <c r="AQ900" s="323" t="str">
        <f>IF(AC900=$V$3,IF(VLOOKUP(C900,[1]List1!$A:$E,5,FALSE)=0,1,VLOOKUP(C900,[1]List1!$A:$E,5,FALSE)),"")</f>
        <v/>
      </c>
      <c r="AR900" s="304" t="str">
        <f t="shared" si="2143"/>
        <v/>
      </c>
      <c r="AS900" s="423" t="str">
        <f t="shared" si="2144"/>
        <v/>
      </c>
      <c r="AT900" s="304" t="str">
        <f t="shared" si="2145"/>
        <v/>
      </c>
      <c r="AU900" s="342" t="e">
        <f t="shared" si="2146"/>
        <v>#N/A</v>
      </c>
      <c r="AV900" s="304" t="e">
        <f t="shared" si="2147"/>
        <v>#N/A</v>
      </c>
      <c r="AX900" s="304">
        <f>IF(AND('General price list'!$J900="F4",'General price list'!$AB900+0&gt;0),1,0)</f>
        <v>0</v>
      </c>
      <c r="AY900" s="304">
        <f t="shared" si="2148"/>
        <v>1</v>
      </c>
      <c r="AZ900" s="304">
        <f t="shared" si="2149"/>
        <v>0</v>
      </c>
    </row>
    <row r="901" spans="1:52" ht="15" customHeight="1">
      <c r="A901" s="712" t="str">
        <f>Kat.!C899</f>
        <v/>
      </c>
      <c r="B901" s="745">
        <f>IF(AND('General price list'!$J901="F4",$AI$1=FALSE),0,IF(AC901="SKLADEM",1,IF(AC901=$V$3,1,0)))</f>
        <v>0</v>
      </c>
      <c r="C901" s="714" t="s">
        <v>2778</v>
      </c>
      <c r="D901" s="715" t="s">
        <v>2609</v>
      </c>
      <c r="E901" s="716" t="s">
        <v>136</v>
      </c>
      <c r="F901" s="712">
        <f>IFERROR(ROUND(IF($AL$3=2,VLOOKUP(C901,[2]List1!$A:$D,2,FALSE)*1.08,VLOOKUP(C901,[2]List1!$A:$D,2,FALSE)),0),"NEUVEDENO!")</f>
        <v>7064</v>
      </c>
      <c r="G901" s="717">
        <f t="shared" si="2220"/>
        <v>7064</v>
      </c>
      <c r="H901" s="718">
        <f t="shared" si="2221"/>
        <v>287.05061989767933</v>
      </c>
      <c r="I901" s="746">
        <v>1</v>
      </c>
      <c r="J901" s="716" t="s">
        <v>137</v>
      </c>
      <c r="K901" s="716">
        <v>6</v>
      </c>
      <c r="L901" s="716" t="s">
        <v>24</v>
      </c>
      <c r="M901" s="716" t="s">
        <v>138</v>
      </c>
      <c r="N901" s="716">
        <f>IFERROR(VLOOKUP(C901,[3]List1!$A:$D,4,FALSE),"N/A!")</f>
        <v>9.3761499999999998E-2</v>
      </c>
      <c r="O901" s="716">
        <f>IFERROR(VLOOKUP(C901,[3]List1!$A:$D,3,FALSE),"N/A!")</f>
        <v>4000</v>
      </c>
      <c r="P901" s="716">
        <f>IFERROR(VLOOKUP(C901,[3]List1!$A:$D,2,FALSE),"N/A!")</f>
        <v>30000</v>
      </c>
      <c r="Q901" s="716" t="s">
        <v>14283</v>
      </c>
      <c r="R901" s="716" t="s">
        <v>24</v>
      </c>
      <c r="S901" s="716" t="str">
        <f>IF($W$17=$AF$1,"červená fólie",IFERROR(VLOOKUP("červená fólie",Jazyky_ceník!$A:$Q,MATCH($W$17,Jazyky_ceník!$A$1:$Q$1,0),FALSE),"!!!"))</f>
        <v>červená fólie</v>
      </c>
      <c r="T901" s="716">
        <v>110</v>
      </c>
      <c r="U901" s="716" t="s">
        <v>13834</v>
      </c>
      <c r="V901" s="716" t="s">
        <v>13835</v>
      </c>
      <c r="W901" s="716" t="str">
        <f>IFERROR(VLOOKUP('General price list'!$C901,Popisy!A:P,MATCH($W$17,Popisy!$A$7:$P$7,0),FALSE),"---------------")</f>
        <v>24 různobarevných efektů</v>
      </c>
      <c r="X901" s="716" t="str">
        <f t="shared" si="2222"/>
        <v/>
      </c>
      <c r="Y901" s="716" t="str">
        <f t="shared" si="2223"/>
        <v/>
      </c>
      <c r="Z901" s="716" t="str">
        <f>HYPERLINK("https://www.klasekpyrotechnics.cz/c219xmpt-c_t")</f>
        <v>https://www.klasekpyrotechnics.cz/c219xmpt-c_t</v>
      </c>
      <c r="AA901" s="716">
        <f>IFERROR(IF(VLOOKUP(C901,[4]List1!$A:$D,4,FALSE)=0,"",VLOOKUP(C901,[4]List1!$A:$D,4,FALSE)),"")</f>
        <v>12</v>
      </c>
      <c r="AB901" s="720"/>
      <c r="AC901" s="747" t="str">
        <f>IFERROR(IF(VLOOKUP(C901,[1]List1!$A:$D,2,FALSE)="VYPRODÁNO",$V$9,IF(VLOOKUP(C901,[1]List1!$A:$D,2,FALSE)="DOCHÁZÍ",$V$3,VLOOKUP(C901,[1]List1!$A:$D,2,FALSE))),"OFFLINE!")</f>
        <v>15.08.2024</v>
      </c>
      <c r="AD901" s="748" t="str">
        <f ca="1">IF(AP901="NE",$V$10,IF(AC901=$V$3,IF(AQ901&lt;1,$V$8,$V$2&amp;" "&amp;AQ901&amp;" "&amp;$V$1),IF(AC901="SKLADEM",$V$6,IFERROR(IF(OR(AC901-TODAY()&gt;45,VLOOKUP(C901,[1]List1!$A:$E,4,FALSE)=0),AC901,DAY(AC901)&amp;"."&amp;MONTH(AC901)&amp;"."&amp;YEAR(AC901)&amp;" "&amp;$V$4&amp;VLOOKUP(C901,[1]List1!$A:$E,4,FALSE)&amp;" "&amp;$V$1),AC901))))</f>
        <v>15.08.2024</v>
      </c>
      <c r="AE901" s="716" t="str">
        <f t="shared" ca="1" si="2224"/>
        <v>15.08.2024</v>
      </c>
      <c r="AF901" s="723">
        <f t="shared" si="2225"/>
        <v>0</v>
      </c>
      <c r="AG901" s="723">
        <f t="shared" si="2226"/>
        <v>0</v>
      </c>
      <c r="AH901" s="724">
        <f t="shared" si="2227"/>
        <v>0</v>
      </c>
      <c r="AI901" s="716">
        <f t="shared" si="2228"/>
        <v>0</v>
      </c>
      <c r="AJ901" s="716">
        <f t="shared" si="2229"/>
        <v>0</v>
      </c>
      <c r="AK901" s="716" t="str">
        <f t="shared" si="2230"/>
        <v/>
      </c>
      <c r="AL901" s="716">
        <f t="shared" si="2231"/>
        <v>0</v>
      </c>
      <c r="AM901" s="716" t="str">
        <f t="shared" si="2232"/>
        <v/>
      </c>
      <c r="AN901" s="716">
        <f t="shared" si="2233"/>
        <v>0</v>
      </c>
      <c r="AO901" s="380"/>
      <c r="AP901" s="322" t="str">
        <f t="shared" si="2142"/>
        <v/>
      </c>
      <c r="AQ901" s="323" t="str">
        <f>IF(AC901=$V$3,IF(VLOOKUP(C901,[1]List1!$A:$E,5,FALSE)=0,1,VLOOKUP(C901,[1]List1!$A:$E,5,FALSE)),"")</f>
        <v/>
      </c>
      <c r="AR901" s="304" t="str">
        <f t="shared" si="2143"/>
        <v/>
      </c>
      <c r="AS901" s="423" t="str">
        <f t="shared" si="2144"/>
        <v/>
      </c>
      <c r="AT901" s="304" t="str">
        <f t="shared" si="2145"/>
        <v/>
      </c>
      <c r="AU901" s="342" t="e">
        <f t="shared" si="2146"/>
        <v>#N/A</v>
      </c>
      <c r="AV901" s="304" t="e">
        <f t="shared" si="2147"/>
        <v>#N/A</v>
      </c>
      <c r="AX901" s="304">
        <f>IF(AND('General price list'!$J901="F4",'General price list'!$AB901+0&gt;0),1,0)</f>
        <v>0</v>
      </c>
      <c r="AY901" s="304">
        <f t="shared" si="2148"/>
        <v>1</v>
      </c>
      <c r="AZ901" s="304">
        <f t="shared" si="2149"/>
        <v>0</v>
      </c>
    </row>
    <row r="902" spans="1:52" ht="15" customHeight="1">
      <c r="A902" s="725" t="str">
        <f>Kat.!C900</f>
        <v/>
      </c>
      <c r="B902" s="749">
        <f>IF(AND('General price list'!$J902="F4",$AI$1=FALSE),0,IF(AC902="SKLADEM",1,IF(AC902=$V$3,1,0)))</f>
        <v>1</v>
      </c>
      <c r="C902" s="727" t="s">
        <v>5525</v>
      </c>
      <c r="D902" s="728" t="s">
        <v>1710</v>
      </c>
      <c r="E902" s="729" t="s">
        <v>136</v>
      </c>
      <c r="F902" s="725">
        <f>IFERROR(ROUND(IF($AL$3=2,VLOOKUP(C902,[2]List1!$A:$D,2,FALSE)*1.08,VLOOKUP(C902,[2]List1!$A:$D,2,FALSE)),0),"NEUVEDENO!")</f>
        <v>3997</v>
      </c>
      <c r="G902" s="730">
        <f t="shared" si="2220"/>
        <v>3997</v>
      </c>
      <c r="H902" s="731">
        <f t="shared" si="2221"/>
        <v>162.42091275920501</v>
      </c>
      <c r="I902" s="750">
        <v>1</v>
      </c>
      <c r="J902" s="729" t="s">
        <v>137</v>
      </c>
      <c r="K902" s="729">
        <v>6</v>
      </c>
      <c r="L902" s="729" t="s">
        <v>24</v>
      </c>
      <c r="M902" s="729" t="s">
        <v>138</v>
      </c>
      <c r="N902" s="729">
        <f>IFERROR(VLOOKUP(C902,[3]List1!$A:$D,4,FALSE),"N/A!")</f>
        <v>5.1920000000000001E-2</v>
      </c>
      <c r="O902" s="729">
        <f>IFERROR(VLOOKUP(C902,[3]List1!$A:$D,3,FALSE),"N/A!")</f>
        <v>1994</v>
      </c>
      <c r="P902" s="729">
        <f>IFERROR(VLOOKUP(C902,[3]List1!$A:$D,2,FALSE),"N/A!")</f>
        <v>15000</v>
      </c>
      <c r="Q902" s="729" t="s">
        <v>11326</v>
      </c>
      <c r="R902" s="729" t="s">
        <v>24</v>
      </c>
      <c r="S902" s="729" t="str">
        <f>IF($W$17=$AF$1,"červená fólie",IFERROR(VLOOKUP("červená fólie",Jazyky_ceník!$A:$Q,MATCH($W$17,Jazyky_ceník!$A$1:$Q$1,0),FALSE),"!!!"))</f>
        <v>červená fólie</v>
      </c>
      <c r="T902" s="729">
        <v>120</v>
      </c>
      <c r="U902" s="729" t="s">
        <v>13829</v>
      </c>
      <c r="V902" s="729" t="s">
        <v>13830</v>
      </c>
      <c r="W902" s="729" t="str">
        <f>IFERROR(VLOOKUP('General price list'!$C902,Popisy!A:P,MATCH($W$17,Popisy!$A$7:$P$7,0),FALSE),"---------------")</f>
        <v>22 různobarevných efektů</v>
      </c>
      <c r="X902" s="729" t="str">
        <f t="shared" si="2222"/>
        <v/>
      </c>
      <c r="Y902" s="729" t="str">
        <f t="shared" si="2223"/>
        <v/>
      </c>
      <c r="Z902" s="729" t="str">
        <f>HYPERLINK("https://www.klasekpyrotechnics.cz/c223mf-c_t")</f>
        <v>https://www.klasekpyrotechnics.cz/c223mf-c_t</v>
      </c>
      <c r="AA902" s="729">
        <f>IFERROR(IF(VLOOKUP(C902,[4]List1!$A:$D,4,FALSE)=0,"",VLOOKUP(C902,[4]List1!$A:$D,4,FALSE)),"")</f>
        <v>24</v>
      </c>
      <c r="AB902" s="720"/>
      <c r="AC902" s="751" t="str">
        <f>IFERROR(IF(VLOOKUP(C902,[1]List1!$A:$D,2,FALSE)="VYPRODÁNO",$V$9,IF(VLOOKUP(C902,[1]List1!$A:$D,2,FALSE)="DOCHÁZÍ",$V$3,VLOOKUP(C902,[1]List1!$A:$D,2,FALSE))),"OFFLINE!")</f>
        <v>SKLADEM</v>
      </c>
      <c r="AD902" s="752" t="str">
        <f ca="1">IF(AP902="NE",$V$10,IF(AC902=$V$3,IF(AQ902&lt;1,$V$8,$V$2&amp;" "&amp;AQ902&amp;" "&amp;$V$1),IF(AC902="SKLADEM",$V$6,IFERROR(IF(OR(AC902-TODAY()&gt;45,VLOOKUP(C902,[1]List1!$A:$E,4,FALSE)=0),AC902,DAY(AC902)&amp;"."&amp;MONTH(AC902)&amp;"."&amp;YEAR(AC902)&amp;" "&amp;$V$4&amp;VLOOKUP(C902,[1]List1!$A:$E,4,FALSE)&amp;" "&amp;$V$1),AC902))))</f>
        <v>SKLADEM</v>
      </c>
      <c r="AE902" s="729" t="str">
        <f t="shared" ca="1" si="2224"/>
        <v>SKLADEM</v>
      </c>
      <c r="AF902" s="735">
        <f t="shared" si="2225"/>
        <v>0</v>
      </c>
      <c r="AG902" s="735">
        <f t="shared" si="2226"/>
        <v>0</v>
      </c>
      <c r="AH902" s="736">
        <f t="shared" si="2227"/>
        <v>0</v>
      </c>
      <c r="AI902" s="729">
        <f t="shared" si="2228"/>
        <v>0</v>
      </c>
      <c r="AJ902" s="729">
        <f t="shared" si="2229"/>
        <v>0</v>
      </c>
      <c r="AK902" s="729" t="str">
        <f t="shared" si="2230"/>
        <v/>
      </c>
      <c r="AL902" s="729">
        <f t="shared" si="2231"/>
        <v>0</v>
      </c>
      <c r="AM902" s="729" t="str">
        <f t="shared" si="2232"/>
        <v/>
      </c>
      <c r="AN902" s="729">
        <f t="shared" si="2233"/>
        <v>0</v>
      </c>
      <c r="AO902" s="380"/>
      <c r="AP902" s="322" t="str">
        <f t="shared" si="2142"/>
        <v/>
      </c>
      <c r="AQ902" s="323" t="str">
        <f>IF(AC902=$V$3,IF(VLOOKUP(C902,[1]List1!$A:$E,5,FALSE)=0,1,VLOOKUP(C902,[1]List1!$A:$E,5,FALSE)),"")</f>
        <v/>
      </c>
      <c r="AR902" s="304" t="str">
        <f t="shared" si="2143"/>
        <v/>
      </c>
      <c r="AS902" s="423" t="str">
        <f t="shared" si="2144"/>
        <v/>
      </c>
      <c r="AT902" s="304" t="str">
        <f t="shared" si="2145"/>
        <v/>
      </c>
      <c r="AU902" s="342" t="e">
        <f t="shared" si="2146"/>
        <v>#N/A</v>
      </c>
      <c r="AV902" s="304" t="e">
        <f t="shared" si="2147"/>
        <v>#N/A</v>
      </c>
      <c r="AX902" s="304">
        <f>IF(AND('General price list'!$J902="F4",'General price list'!$AB902+0&gt;0),1,0)</f>
        <v>0</v>
      </c>
      <c r="AY902" s="304">
        <f t="shared" si="2148"/>
        <v>1</v>
      </c>
      <c r="AZ902" s="304">
        <f t="shared" si="2149"/>
        <v>0</v>
      </c>
    </row>
    <row r="903" spans="1:52" ht="15" customHeight="1">
      <c r="A903" s="712" t="str">
        <f>Kat.!C901</f>
        <v/>
      </c>
      <c r="B903" s="745">
        <f>IF(AND('General price list'!$J903="F4",$AI$1=FALSE),0,IF(AC903="SKLADEM",1,IF(AC903=$V$3,1,0)))</f>
        <v>1</v>
      </c>
      <c r="C903" s="714" t="s">
        <v>2779</v>
      </c>
      <c r="D903" s="715" t="s">
        <v>2611</v>
      </c>
      <c r="E903" s="716" t="s">
        <v>136</v>
      </c>
      <c r="F903" s="712">
        <f>IFERROR(ROUND(IF($AL$3=2,VLOOKUP(C903,[2]List1!$A:$D,2,FALSE)*1.08,VLOOKUP(C903,[2]List1!$A:$D,2,FALSE)),0),"NEUVEDENO!")</f>
        <v>7307</v>
      </c>
      <c r="G903" s="717">
        <f t="shared" si="2220"/>
        <v>7307</v>
      </c>
      <c r="H903" s="718">
        <f t="shared" si="2221"/>
        <v>296.92509620503154</v>
      </c>
      <c r="I903" s="746">
        <v>1</v>
      </c>
      <c r="J903" s="716" t="s">
        <v>137</v>
      </c>
      <c r="K903" s="716">
        <v>6</v>
      </c>
      <c r="L903" s="716" t="s">
        <v>24</v>
      </c>
      <c r="M903" s="716" t="s">
        <v>138</v>
      </c>
      <c r="N903" s="716">
        <f>IFERROR(VLOOKUP(C903,[3]List1!$A:$D,4,FALSE),"N/A!")</f>
        <v>8.6112000000000008E-2</v>
      </c>
      <c r="O903" s="716">
        <f>IFERROR(VLOOKUP(C903,[3]List1!$A:$D,3,FALSE),"N/A!")</f>
        <v>4000</v>
      </c>
      <c r="P903" s="716">
        <f>IFERROR(VLOOKUP(C903,[3]List1!$A:$D,2,FALSE),"N/A!")</f>
        <v>26300</v>
      </c>
      <c r="Q903" s="716" t="s">
        <v>14281</v>
      </c>
      <c r="R903" s="716" t="s">
        <v>24</v>
      </c>
      <c r="S903" s="716" t="str">
        <f>IF($W$17=$AF$1,"červená fólie",IFERROR(VLOOKUP("červená fólie",Jazyky_ceník!$A:$Q,MATCH($W$17,Jazyky_ceník!$A$1:$Q$1,0),FALSE),"!!!"))</f>
        <v>červená fólie</v>
      </c>
      <c r="T903" s="716">
        <v>90</v>
      </c>
      <c r="U903" s="716" t="s">
        <v>13834</v>
      </c>
      <c r="V903" s="716" t="s">
        <v>13835</v>
      </c>
      <c r="W903" s="716" t="str">
        <f>IFERROR(VLOOKUP('General price list'!$C903,Popisy!A:P,MATCH($W$17,Popisy!$A$7:$P$7,0),FALSE),"---------------")</f>
        <v>26 různobarevných efektů</v>
      </c>
      <c r="X903" s="716" t="str">
        <f t="shared" si="2222"/>
        <v/>
      </c>
      <c r="Y903" s="716" t="str">
        <f t="shared" si="2223"/>
        <v/>
      </c>
      <c r="Z903" s="716" t="str">
        <f>HYPERLINK("https://www.klasekpyrotechnics.cz/c253xmpt-c_t")</f>
        <v>https://www.klasekpyrotechnics.cz/c253xmpt-c_t</v>
      </c>
      <c r="AA903" s="716">
        <f>IFERROR(IF(VLOOKUP(C903,[4]List1!$A:$D,4,FALSE)=0,"",VLOOKUP(C903,[4]List1!$A:$D,4,FALSE)),"")</f>
        <v>12</v>
      </c>
      <c r="AB903" s="720"/>
      <c r="AC903" s="747" t="str">
        <f>IFERROR(IF(VLOOKUP(C903,[1]List1!$A:$D,2,FALSE)="VYPRODÁNO",$V$9,IF(VLOOKUP(C903,[1]List1!$A:$D,2,FALSE)="DOCHÁZÍ",$V$3,VLOOKUP(C903,[1]List1!$A:$D,2,FALSE))),"OFFLINE!")</f>
        <v>SKLADEM</v>
      </c>
      <c r="AD903" s="748" t="str">
        <f ca="1">IF(AP903="NE",$V$10,IF(AC903=$V$3,IF(AQ903&lt;1,$V$8,$V$2&amp;" "&amp;AQ903&amp;" "&amp;$V$1),IF(AC903="SKLADEM",$V$6,IFERROR(IF(OR(AC903-TODAY()&gt;45,VLOOKUP(C903,[1]List1!$A:$E,4,FALSE)=0),AC903,DAY(AC903)&amp;"."&amp;MONTH(AC903)&amp;"."&amp;YEAR(AC903)&amp;" "&amp;$V$4&amp;VLOOKUP(C903,[1]List1!$A:$E,4,FALSE)&amp;" "&amp;$V$1),AC903))))</f>
        <v>SKLADEM</v>
      </c>
      <c r="AE903" s="716" t="str">
        <f t="shared" ca="1" si="2224"/>
        <v>SKLADEM</v>
      </c>
      <c r="AF903" s="723">
        <f t="shared" si="2225"/>
        <v>0</v>
      </c>
      <c r="AG903" s="723">
        <f t="shared" si="2226"/>
        <v>0</v>
      </c>
      <c r="AH903" s="724">
        <f t="shared" si="2227"/>
        <v>0</v>
      </c>
      <c r="AI903" s="716">
        <f t="shared" si="2228"/>
        <v>0</v>
      </c>
      <c r="AJ903" s="716">
        <f t="shared" si="2229"/>
        <v>0</v>
      </c>
      <c r="AK903" s="716" t="str">
        <f t="shared" si="2230"/>
        <v/>
      </c>
      <c r="AL903" s="716">
        <f t="shared" si="2231"/>
        <v>0</v>
      </c>
      <c r="AM903" s="716" t="str">
        <f t="shared" si="2232"/>
        <v/>
      </c>
      <c r="AN903" s="716">
        <f t="shared" si="2233"/>
        <v>0</v>
      </c>
      <c r="AO903" s="380"/>
      <c r="AP903" s="322" t="str">
        <f t="shared" si="2142"/>
        <v/>
      </c>
      <c r="AQ903" s="323" t="str">
        <f>IF(AC903=$V$3,IF(VLOOKUP(C903,[1]List1!$A:$E,5,FALSE)=0,1,VLOOKUP(C903,[1]List1!$A:$E,5,FALSE)),"")</f>
        <v/>
      </c>
      <c r="AR903" s="304" t="str">
        <f t="shared" si="2143"/>
        <v/>
      </c>
      <c r="AS903" s="423" t="str">
        <f t="shared" si="2144"/>
        <v/>
      </c>
      <c r="AT903" s="304" t="str">
        <f t="shared" si="2145"/>
        <v/>
      </c>
      <c r="AU903" s="342" t="e">
        <f t="shared" si="2146"/>
        <v>#N/A</v>
      </c>
      <c r="AV903" s="304" t="e">
        <f t="shared" si="2147"/>
        <v>#N/A</v>
      </c>
      <c r="AX903" s="304">
        <f>IF(AND('General price list'!$J903="F4",'General price list'!$AB903+0&gt;0),1,0)</f>
        <v>0</v>
      </c>
      <c r="AY903" s="304">
        <f t="shared" si="2148"/>
        <v>1</v>
      </c>
      <c r="AZ903" s="304">
        <f t="shared" si="2149"/>
        <v>0</v>
      </c>
    </row>
    <row r="904" spans="1:52" ht="15" customHeight="1">
      <c r="A904" s="725" t="str">
        <f>Kat.!C902</f>
        <v/>
      </c>
      <c r="B904" s="749">
        <f>IF(AND('General price list'!$J904="F4",$AI$1=FALSE),0,IF(AC904="SKLADEM",1,IF(AC904=$V$3,1,0)))</f>
        <v>1</v>
      </c>
      <c r="C904" s="727" t="s">
        <v>2780</v>
      </c>
      <c r="D904" s="728" t="s">
        <v>2613</v>
      </c>
      <c r="E904" s="729" t="s">
        <v>136</v>
      </c>
      <c r="F904" s="725">
        <f>IFERROR(ROUND(IF($AL$3=2,VLOOKUP(C904,[2]List1!$A:$D,2,FALSE)*1.08,VLOOKUP(C904,[2]List1!$A:$D,2,FALSE)),0),"NEUVEDENO!")</f>
        <v>12020</v>
      </c>
      <c r="G904" s="730">
        <f t="shared" si="2220"/>
        <v>12020</v>
      </c>
      <c r="H904" s="731">
        <f t="shared" si="2221"/>
        <v>488.44117372170234</v>
      </c>
      <c r="I904" s="750">
        <v>1</v>
      </c>
      <c r="J904" s="729" t="s">
        <v>137</v>
      </c>
      <c r="K904" s="729">
        <v>6</v>
      </c>
      <c r="L904" s="729" t="s">
        <v>24</v>
      </c>
      <c r="M904" s="729" t="s">
        <v>138</v>
      </c>
      <c r="N904" s="729">
        <f>IFERROR(VLOOKUP(C904,[3]List1!$A:$D,4,FALSE),"N/A!")</f>
        <v>0.13455075</v>
      </c>
      <c r="O904" s="729">
        <f>IFERROR(VLOOKUP(C904,[3]List1!$A:$D,3,FALSE),"N/A!")</f>
        <v>4000</v>
      </c>
      <c r="P904" s="729">
        <f>IFERROR(VLOOKUP(C904,[3]List1!$A:$D,2,FALSE),"N/A!")</f>
        <v>39500</v>
      </c>
      <c r="Q904" s="729" t="s">
        <v>11854</v>
      </c>
      <c r="R904" s="729" t="s">
        <v>24</v>
      </c>
      <c r="S904" s="729" t="str">
        <f>IF($W$17=$AF$1,"červená fólie",IFERROR(VLOOKUP("červená fólie",Jazyky_ceník!$A:$Q,MATCH($W$17,Jazyky_ceník!$A$1:$Q$1,0),FALSE),"!!!"))</f>
        <v>červená fólie</v>
      </c>
      <c r="T904" s="729">
        <v>180</v>
      </c>
      <c r="U904" s="729" t="s">
        <v>13822</v>
      </c>
      <c r="V904" s="729" t="s">
        <v>13823</v>
      </c>
      <c r="W904" s="729" t="str">
        <f>IFERROR(VLOOKUP('General price list'!$C904,Popisy!A:P,MATCH($W$17,Popisy!$A$7:$P$7,0),FALSE),"---------------")</f>
        <v>33 různobarevných efektů</v>
      </c>
      <c r="X904" s="729" t="str">
        <f t="shared" si="2222"/>
        <v/>
      </c>
      <c r="Y904" s="729" t="str">
        <f t="shared" si="2223"/>
        <v/>
      </c>
      <c r="Z904" s="729" t="str">
        <f>HYPERLINK("https://www.klasekpyrotechnics.cz/c379xmk-c_t")</f>
        <v>https://www.klasekpyrotechnics.cz/c379xmk-c_t</v>
      </c>
      <c r="AA904" s="729">
        <f>IFERROR(IF(VLOOKUP(C904,[4]List1!$A:$D,4,FALSE)=0,"",VLOOKUP(C904,[4]List1!$A:$D,4,FALSE)),"")</f>
        <v>12</v>
      </c>
      <c r="AB904" s="720"/>
      <c r="AC904" s="751" t="str">
        <f>IFERROR(IF(VLOOKUP(C904,[1]List1!$A:$D,2,FALSE)="VYPRODÁNO",$V$9,IF(VLOOKUP(C904,[1]List1!$A:$D,2,FALSE)="DOCHÁZÍ",$V$3,VLOOKUP(C904,[1]List1!$A:$D,2,FALSE))),"OFFLINE!")</f>
        <v>SKLADEM</v>
      </c>
      <c r="AD904" s="752" t="str">
        <f ca="1">IF(AP904="NE",$V$10,IF(AC904=$V$3,IF(AQ904&lt;1,$V$8,$V$2&amp;" "&amp;AQ904&amp;" "&amp;$V$1),IF(AC904="SKLADEM",$V$6,IFERROR(IF(OR(AC904-TODAY()&gt;45,VLOOKUP(C904,[1]List1!$A:$E,4,FALSE)=0),AC904,DAY(AC904)&amp;"."&amp;MONTH(AC904)&amp;"."&amp;YEAR(AC904)&amp;" "&amp;$V$4&amp;VLOOKUP(C904,[1]List1!$A:$E,4,FALSE)&amp;" "&amp;$V$1),AC904))))</f>
        <v>SKLADEM</v>
      </c>
      <c r="AE904" s="729" t="str">
        <f t="shared" ca="1" si="2224"/>
        <v>SKLADEM</v>
      </c>
      <c r="AF904" s="735">
        <f t="shared" si="2225"/>
        <v>0</v>
      </c>
      <c r="AG904" s="735">
        <f t="shared" si="2226"/>
        <v>0</v>
      </c>
      <c r="AH904" s="736">
        <f t="shared" si="2227"/>
        <v>0</v>
      </c>
      <c r="AI904" s="729">
        <f t="shared" si="2228"/>
        <v>0</v>
      </c>
      <c r="AJ904" s="729">
        <f t="shared" si="2229"/>
        <v>0</v>
      </c>
      <c r="AK904" s="729" t="str">
        <f t="shared" si="2230"/>
        <v/>
      </c>
      <c r="AL904" s="729">
        <f t="shared" si="2231"/>
        <v>0</v>
      </c>
      <c r="AM904" s="729" t="str">
        <f t="shared" si="2232"/>
        <v/>
      </c>
      <c r="AN904" s="729">
        <f t="shared" si="2233"/>
        <v>0</v>
      </c>
      <c r="AO904" s="380"/>
      <c r="AP904" s="322" t="str">
        <f t="shared" si="2142"/>
        <v/>
      </c>
      <c r="AQ904" s="323" t="str">
        <f>IF(AC904=$V$3,IF(VLOOKUP(C904,[1]List1!$A:$E,5,FALSE)=0,1,VLOOKUP(C904,[1]List1!$A:$E,5,FALSE)),"")</f>
        <v/>
      </c>
      <c r="AR904" s="304" t="str">
        <f t="shared" si="2143"/>
        <v/>
      </c>
      <c r="AS904" s="423" t="str">
        <f t="shared" si="2144"/>
        <v/>
      </c>
      <c r="AT904" s="304" t="str">
        <f t="shared" si="2145"/>
        <v/>
      </c>
      <c r="AU904" s="342" t="e">
        <f t="shared" si="2146"/>
        <v>#N/A</v>
      </c>
      <c r="AV904" s="304" t="e">
        <f t="shared" si="2147"/>
        <v>#N/A</v>
      </c>
      <c r="AX904" s="304">
        <f>IF(AND('General price list'!$J904="F4",'General price list'!$AB904+0&gt;0),1,0)</f>
        <v>0</v>
      </c>
      <c r="AY904" s="304">
        <f t="shared" si="2148"/>
        <v>1</v>
      </c>
      <c r="AZ904" s="304">
        <f t="shared" si="2149"/>
        <v>0</v>
      </c>
    </row>
    <row r="905" spans="1:52" ht="15" customHeight="1">
      <c r="A905" s="712" t="str">
        <f>Kat.!C903</f>
        <v/>
      </c>
      <c r="B905" s="745">
        <f>IF(AND('General price list'!$J905="F4",$AI$1=FALSE),0,IF(AC905="SKLADEM",1,IF(AC905=$V$3,1,0)))</f>
        <v>0</v>
      </c>
      <c r="C905" s="714" t="s">
        <v>5529</v>
      </c>
      <c r="D905" s="715" t="s">
        <v>1715</v>
      </c>
      <c r="E905" s="716" t="s">
        <v>136</v>
      </c>
      <c r="F905" s="712">
        <f>IFERROR(ROUND(IF($AL$3=2,VLOOKUP(C905,[2]List1!$A:$D,2,FALSE)*1.08,VLOOKUP(C905,[2]List1!$A:$D,2,FALSE)),0),"NEUVEDENO!")</f>
        <v>7593</v>
      </c>
      <c r="G905" s="717">
        <f t="shared" si="2220"/>
        <v>7593</v>
      </c>
      <c r="H905" s="718">
        <f t="shared" si="2221"/>
        <v>308.54690782603046</v>
      </c>
      <c r="I905" s="746">
        <v>1</v>
      </c>
      <c r="J905" s="716" t="s">
        <v>137</v>
      </c>
      <c r="K905" s="716">
        <v>6</v>
      </c>
      <c r="L905" s="716" t="s">
        <v>24</v>
      </c>
      <c r="M905" s="716" t="s">
        <v>138</v>
      </c>
      <c r="N905" s="716">
        <f>IFERROR(VLOOKUP(C905,[3]List1!$A:$D,4,FALSE),"N/A!")</f>
        <v>0.10292000000000001</v>
      </c>
      <c r="O905" s="716">
        <f>IFERROR(VLOOKUP(C905,[3]List1!$A:$D,3,FALSE),"N/A!")</f>
        <v>3988</v>
      </c>
      <c r="P905" s="716">
        <f>IFERROR(VLOOKUP(C905,[3]List1!$A:$D,2,FALSE),"N/A!")</f>
        <v>34000</v>
      </c>
      <c r="Q905" s="716" t="s">
        <v>11857</v>
      </c>
      <c r="R905" s="716" t="s">
        <v>24</v>
      </c>
      <c r="S905" s="716" t="str">
        <f>IF($W$17=$AF$1,"červená fólie",IFERROR(VLOOKUP("červená fólie",Jazyky_ceník!$A:$Q,MATCH($W$17,Jazyky_ceník!$A$1:$Q$1,0),FALSE),"!!!"))</f>
        <v>červená fólie</v>
      </c>
      <c r="T905" s="716">
        <v>230</v>
      </c>
      <c r="U905" s="716" t="s">
        <v>13829</v>
      </c>
      <c r="V905" s="716" t="s">
        <v>13830</v>
      </c>
      <c r="W905" s="716" t="str">
        <f>IFERROR(VLOOKUP('General price list'!$C905,Popisy!A:P,MATCH($W$17,Popisy!$A$7:$P$7,0),FALSE),"---------------")</f>
        <v>22 různobarevných efektů</v>
      </c>
      <c r="X905" s="716" t="str">
        <f t="shared" si="2222"/>
        <v/>
      </c>
      <c r="Y905" s="716" t="str">
        <f t="shared" si="2223"/>
        <v/>
      </c>
      <c r="Z905" s="716" t="str">
        <f>HYPERLINK("https://www.klasekpyrotechnics.cz/c446mm-c_t")</f>
        <v>https://www.klasekpyrotechnics.cz/c446mm-c_t</v>
      </c>
      <c r="AA905" s="716">
        <f>IFERROR(IF(VLOOKUP(C905,[4]List1!$A:$D,4,FALSE)=0,"",VLOOKUP(C905,[4]List1!$A:$D,4,FALSE)),"")</f>
        <v>8</v>
      </c>
      <c r="AB905" s="720"/>
      <c r="AC905" s="747" t="str">
        <f>IFERROR(IF(VLOOKUP(C905,[1]List1!$A:$D,2,FALSE)="VYPRODÁNO",$V$9,IF(VLOOKUP(C905,[1]List1!$A:$D,2,FALSE)="DOCHÁZÍ",$V$3,VLOOKUP(C905,[1]List1!$A:$D,2,FALSE))),"OFFLINE!")</f>
        <v>15.05.2024</v>
      </c>
      <c r="AD905" s="748" t="str">
        <f ca="1">IF(AP905="NE",$V$10,IF(AC905=$V$3,IF(AQ905&lt;1,$V$8,$V$2&amp;" "&amp;AQ905&amp;" "&amp;$V$1),IF(AC905="SKLADEM",$V$6,IFERROR(IF(OR(AC905-TODAY()&gt;45,VLOOKUP(C905,[1]List1!$A:$E,4,FALSE)=0),AC905,DAY(AC905)&amp;"."&amp;MONTH(AC905)&amp;"."&amp;YEAR(AC905)&amp;" "&amp;$V$4&amp;VLOOKUP(C905,[1]List1!$A:$E,4,FALSE)&amp;" "&amp;$V$1),AC905))))</f>
        <v>15.05.2024</v>
      </c>
      <c r="AE905" s="716" t="str">
        <f t="shared" ca="1" si="2224"/>
        <v>15.05.2024</v>
      </c>
      <c r="AF905" s="723">
        <f t="shared" si="2225"/>
        <v>0</v>
      </c>
      <c r="AG905" s="723">
        <f t="shared" si="2226"/>
        <v>0</v>
      </c>
      <c r="AH905" s="724">
        <f t="shared" si="2227"/>
        <v>0</v>
      </c>
      <c r="AI905" s="716">
        <f t="shared" si="2228"/>
        <v>0</v>
      </c>
      <c r="AJ905" s="716">
        <f t="shared" si="2229"/>
        <v>0</v>
      </c>
      <c r="AK905" s="716" t="str">
        <f t="shared" si="2230"/>
        <v/>
      </c>
      <c r="AL905" s="716">
        <f t="shared" si="2231"/>
        <v>0</v>
      </c>
      <c r="AM905" s="716" t="str">
        <f t="shared" si="2232"/>
        <v/>
      </c>
      <c r="AN905" s="716">
        <f t="shared" si="2233"/>
        <v>0</v>
      </c>
      <c r="AO905" s="380"/>
      <c r="AP905" s="322" t="str">
        <f t="shared" si="2142"/>
        <v/>
      </c>
      <c r="AQ905" s="323" t="str">
        <f>IF(AC905=$V$3,IF(VLOOKUP(C905,[1]List1!$A:$E,5,FALSE)=0,1,VLOOKUP(C905,[1]List1!$A:$E,5,FALSE)),"")</f>
        <v/>
      </c>
      <c r="AR905" s="304" t="str">
        <f t="shared" si="2143"/>
        <v/>
      </c>
      <c r="AS905" s="423" t="str">
        <f t="shared" si="2144"/>
        <v/>
      </c>
      <c r="AT905" s="304" t="str">
        <f t="shared" si="2145"/>
        <v/>
      </c>
      <c r="AU905" s="342" t="e">
        <f t="shared" si="2146"/>
        <v>#N/A</v>
      </c>
      <c r="AV905" s="304" t="e">
        <f t="shared" si="2147"/>
        <v>#N/A</v>
      </c>
      <c r="AX905" s="304">
        <f>IF(AND('General price list'!$J905="F4",'General price list'!$AB905+0&gt;0),1,0)</f>
        <v>0</v>
      </c>
      <c r="AY905" s="304">
        <f t="shared" si="2148"/>
        <v>1</v>
      </c>
      <c r="AZ905" s="304">
        <f t="shared" si="2149"/>
        <v>0</v>
      </c>
    </row>
    <row r="906" spans="1:52" ht="15" customHeight="1">
      <c r="A906" s="773" t="str">
        <f>Kat.!C904</f>
        <v xml:space="preserve">                                                               Multikaliberní kompakty nad 30mm</v>
      </c>
      <c r="B906" s="774"/>
      <c r="C906" s="774"/>
      <c r="D906" s="774"/>
      <c r="E906" s="774"/>
      <c r="F906" s="774"/>
      <c r="G906" s="774"/>
      <c r="H906" s="774"/>
      <c r="I906" s="774"/>
      <c r="J906" s="774"/>
      <c r="K906" s="774"/>
      <c r="L906" s="774"/>
      <c r="M906" s="774"/>
      <c r="N906" s="774"/>
      <c r="O906" s="774"/>
      <c r="P906" s="774"/>
      <c r="Q906" s="774"/>
      <c r="R906" s="774"/>
      <c r="S906" s="774"/>
      <c r="T906" s="774"/>
      <c r="U906" s="774"/>
      <c r="V906" s="774"/>
      <c r="W906" s="774"/>
      <c r="X906" s="774"/>
      <c r="Y906" s="774"/>
      <c r="Z906" s="774"/>
      <c r="AA906" s="774" t="str">
        <f>IFERROR(IF(VLOOKUP(C906,[4]List1!$A:$D,4,FALSE)=0,"",VLOOKUP(C906,[4]List1!$A:$D,4,FALSE)),"")</f>
        <v/>
      </c>
      <c r="AB906" s="774"/>
      <c r="AC906" s="775" t="str">
        <f>IFERROR(IF(VLOOKUP(C906,[1]List1!$A:$D,2,FALSE)="VYPRODÁNO",$V$9,IF(VLOOKUP(C906,[1]List1!$A:$D,2,FALSE)="DOCHÁZÍ",$V$3,VLOOKUP(C906,[1]List1!$A:$D,2,FALSE))),"OFFLINE!")</f>
        <v>OFFLINE!</v>
      </c>
      <c r="AD906" s="774"/>
      <c r="AE906" s="774"/>
      <c r="AF906" s="774"/>
      <c r="AG906" s="774"/>
      <c r="AH906" s="774"/>
      <c r="AI906" s="774"/>
      <c r="AJ906" s="774"/>
      <c r="AK906" s="774"/>
      <c r="AL906" s="774"/>
      <c r="AM906" s="774"/>
      <c r="AN906" s="774"/>
      <c r="AO906" s="380"/>
      <c r="AP906" s="322" t="str">
        <f t="shared" si="2142"/>
        <v/>
      </c>
      <c r="AQ906" s="323" t="str">
        <f>IF(AC906=$V$3,IF(VLOOKUP(C906,[1]List1!$A:$E,5,FALSE)=0,1,VLOOKUP(C906,[1]List1!$A:$E,5,FALSE)),"")</f>
        <v/>
      </c>
      <c r="AR906" s="304" t="str">
        <f t="shared" si="2143"/>
        <v/>
      </c>
      <c r="AS906" s="423" t="str">
        <f t="shared" si="2144"/>
        <v/>
      </c>
      <c r="AT906" s="304" t="str">
        <f t="shared" si="2145"/>
        <v/>
      </c>
      <c r="AU906" s="342" t="e">
        <f t="shared" si="2146"/>
        <v>#N/A</v>
      </c>
      <c r="AV906" s="304" t="e">
        <f t="shared" si="2147"/>
        <v>#N/A</v>
      </c>
      <c r="AX906" s="304">
        <f>IF(AND('General price list'!$J906="F4",'General price list'!$AB906+0&gt;0),1,0)</f>
        <v>0</v>
      </c>
      <c r="AY906" s="304">
        <f t="shared" si="2148"/>
        <v>0</v>
      </c>
      <c r="AZ906" s="304">
        <f t="shared" si="2149"/>
        <v>0</v>
      </c>
    </row>
    <row r="907" spans="1:52" ht="15" customHeight="1">
      <c r="A907" s="773" t="str">
        <f>Kat.!C905</f>
        <v xml:space="preserve">                                                               Baterie 23ran, 30+50mm moždíř-1.3G</v>
      </c>
      <c r="B907" s="774"/>
      <c r="C907" s="774"/>
      <c r="D907" s="774"/>
      <c r="E907" s="774"/>
      <c r="F907" s="774"/>
      <c r="G907" s="774"/>
      <c r="H907" s="774"/>
      <c r="I907" s="774"/>
      <c r="J907" s="774"/>
      <c r="K907" s="774"/>
      <c r="L907" s="774"/>
      <c r="M907" s="774"/>
      <c r="N907" s="774"/>
      <c r="O907" s="774"/>
      <c r="P907" s="774"/>
      <c r="Q907" s="774"/>
      <c r="R907" s="774"/>
      <c r="S907" s="774"/>
      <c r="T907" s="774"/>
      <c r="U907" s="774"/>
      <c r="V907" s="774"/>
      <c r="W907" s="774"/>
      <c r="X907" s="774"/>
      <c r="Y907" s="774"/>
      <c r="Z907" s="774"/>
      <c r="AA907" s="774" t="str">
        <f>IFERROR(IF(VLOOKUP(C907,[4]List1!$A:$D,4,FALSE)=0,"",VLOOKUP(C907,[4]List1!$A:$D,4,FALSE)),"")</f>
        <v/>
      </c>
      <c r="AB907" s="774"/>
      <c r="AC907" s="775" t="str">
        <f>IFERROR(IF(VLOOKUP(C907,[1]List1!$A:$D,2,FALSE)="VYPRODÁNO",$V$9,IF(VLOOKUP(C907,[1]List1!$A:$D,2,FALSE)="DOCHÁZÍ",$V$3,VLOOKUP(C907,[1]List1!$A:$D,2,FALSE))),"OFFLINE!")</f>
        <v>OFFLINE!</v>
      </c>
      <c r="AD907" s="774"/>
      <c r="AE907" s="774"/>
      <c r="AF907" s="774"/>
      <c r="AG907" s="774"/>
      <c r="AH907" s="774"/>
      <c r="AI907" s="774"/>
      <c r="AJ907" s="774"/>
      <c r="AK907" s="774"/>
      <c r="AL907" s="774"/>
      <c r="AM907" s="774"/>
      <c r="AN907" s="774"/>
      <c r="AO907" s="380"/>
      <c r="AP907" s="322" t="str">
        <f t="shared" si="2142"/>
        <v/>
      </c>
      <c r="AQ907" s="323" t="str">
        <f>IF(AC907=$V$3,IF(VLOOKUP(C907,[1]List1!$A:$E,5,FALSE)=0,1,VLOOKUP(C907,[1]List1!$A:$E,5,FALSE)),"")</f>
        <v/>
      </c>
      <c r="AR907" s="304" t="str">
        <f t="shared" si="2143"/>
        <v/>
      </c>
      <c r="AS907" s="423" t="str">
        <f t="shared" si="2144"/>
        <v/>
      </c>
      <c r="AT907" s="304" t="str">
        <f t="shared" si="2145"/>
        <v/>
      </c>
      <c r="AU907" s="342" t="e">
        <f t="shared" si="2146"/>
        <v>#N/A</v>
      </c>
      <c r="AV907" s="304" t="e">
        <f t="shared" si="2147"/>
        <v>#N/A</v>
      </c>
      <c r="AX907" s="304">
        <f>IF(AND('General price list'!$J907="F4",'General price list'!$AB907+0&gt;0),1,0)</f>
        <v>0</v>
      </c>
      <c r="AY907" s="304">
        <f t="shared" si="2148"/>
        <v>0</v>
      </c>
      <c r="AZ907" s="304">
        <f t="shared" si="2149"/>
        <v>0</v>
      </c>
    </row>
    <row r="908" spans="1:52" ht="15" customHeight="1">
      <c r="A908" s="725" t="str">
        <f>Kat.!C906</f>
        <v/>
      </c>
      <c r="B908" s="741">
        <f>IF(AND('General price list'!$J908="F4",$AI$1=FALSE),0,IF(AC908="SKLADEM",1,IF(AC908=$V$3,1,0)))</f>
        <v>1</v>
      </c>
      <c r="C908" s="727" t="s">
        <v>1642</v>
      </c>
      <c r="D908" s="728" t="s">
        <v>1643</v>
      </c>
      <c r="E908" s="729" t="s">
        <v>1077</v>
      </c>
      <c r="F908" s="725">
        <f>IFERROR(ROUND(IF($AL$3=2,VLOOKUP(C908,[2]List1!$A:$D,2,FALSE)*1.08,VLOOKUP(C908,[2]List1!$A:$D,2,FALSE)),0),"NEUVEDENO!")</f>
        <v>766</v>
      </c>
      <c r="G908" s="730">
        <f>(F908)*$B$19</f>
        <v>766</v>
      </c>
      <c r="H908" s="731">
        <f>G908/$F$19</f>
        <v>31.12695000589218</v>
      </c>
      <c r="I908" s="742">
        <v>6</v>
      </c>
      <c r="J908" s="729" t="s">
        <v>137</v>
      </c>
      <c r="K908" s="729"/>
      <c r="L908" s="729" t="s">
        <v>24</v>
      </c>
      <c r="M908" s="729" t="s">
        <v>138</v>
      </c>
      <c r="N908" s="729">
        <f>IFERROR(VLOOKUP(C908,[3]List1!$A:$D,4,FALSE),"N/A!")</f>
        <v>6.6283124999999998E-2</v>
      </c>
      <c r="O908" s="729">
        <f>IFERROR(VLOOKUP(C908,[3]List1!$A:$D,3,FALSE),"N/A!")</f>
        <v>3180</v>
      </c>
      <c r="P908" s="729">
        <f>IFERROR(VLOOKUP(C908,[3]List1!$A:$D,2,FALSE),"N/A!")</f>
        <v>25500</v>
      </c>
      <c r="Q908" s="729" t="s">
        <v>14284</v>
      </c>
      <c r="R908" s="729" t="s">
        <v>24</v>
      </c>
      <c r="S908" s="729" t="str">
        <f>IF($W$17=$AF$1,"design",IFERROR(VLOOKUP("design",Jazyky_ceník!$A:$Q,MATCH($W$17,Jazyky_ceník!$A$1:$Q$1,0),FALSE),"!!!"))</f>
        <v>design</v>
      </c>
      <c r="T908" s="729">
        <v>35</v>
      </c>
      <c r="U908" s="729" t="s">
        <v>13836</v>
      </c>
      <c r="V908" s="729" t="s">
        <v>13837</v>
      </c>
      <c r="W908" s="729" t="str">
        <f>IFERROR(VLOOKUP('General price list'!$C908,Popisy!A:P,MATCH($W$17,Popisy!$A$7:$P$7,0),FALSE),"---------------")</f>
        <v>7 různobarevných efektů</v>
      </c>
      <c r="X908" s="729" t="str">
        <f>IF(AB908&lt;0.0001,"",AB908)</f>
        <v/>
      </c>
      <c r="Y908" s="729" t="str">
        <f>IF($AL$3=2,IF(OR(AB908&lt;&gt;"",AB908&lt;&gt;0),AU908,""),IF(C908="","",IF(AB908&lt;0.0001,"",IF(B908=0,"",IF(AQ908&lt;AB908,"",AB908)))))</f>
        <v/>
      </c>
      <c r="Z908" s="729" t="str">
        <f>HYPERLINK("https://www.klasekpyrotechnics.cz/c23mo")</f>
        <v>https://www.klasekpyrotechnics.cz/c23mo</v>
      </c>
      <c r="AA908" s="729">
        <f>IFERROR(IF(VLOOKUP(C908,[4]List1!$A:$D,4,FALSE)=0,"",VLOOKUP(C908,[4]List1!$A:$D,4,FALSE)),"")</f>
        <v>12</v>
      </c>
      <c r="AB908" s="720"/>
      <c r="AC908" s="743" t="str">
        <f>IFERROR(IF(VLOOKUP(C908,[1]List1!$A:$D,2,FALSE)="VYPRODÁNO",$V$9,IF(VLOOKUP(C908,[1]List1!$A:$D,2,FALSE)="DOCHÁZÍ",$V$3,VLOOKUP(C908,[1]List1!$A:$D,2,FALSE))),"OFFLINE!")</f>
        <v>SKLADEM</v>
      </c>
      <c r="AD908" s="744" t="str">
        <f ca="1">IF(AP908="NE",$V$10,IF(AC908=$V$3,IF(AQ908&lt;1,$V$8,$V$2&amp;" "&amp;AQ908&amp;" "&amp;$V$1),IF(AC908="SKLADEM",$V$6,IFERROR(IF(OR(AC908-TODAY()&gt;45,VLOOKUP(C908,[1]List1!$A:$E,4,FALSE)=0),AC908,DAY(AC908)&amp;"."&amp;MONTH(AC908)&amp;"."&amp;YEAR(AC908)&amp;" "&amp;$V$4&amp;VLOOKUP(C908,[1]List1!$A:$E,4,FALSE)&amp;" "&amp;$V$1),AC908))))</f>
        <v>SKLADEM</v>
      </c>
      <c r="AE908" s="729" t="str">
        <f t="shared" ref="AE908" ca="1" si="2234">IFERROR(IF(AV908&lt;&gt;"",AV908,AD908),AD908)</f>
        <v>SKLADEM</v>
      </c>
      <c r="AF908" s="735">
        <f t="shared" ref="AF908" si="2235">IFERROR(IF(AB908=Y908,G908*I908*Y908,0),0)</f>
        <v>0</v>
      </c>
      <c r="AG908" s="735">
        <f t="shared" ref="AG908" si="2236">IF($W$17=$AF$8,AH908*1.23,AF908*1.21)</f>
        <v>0</v>
      </c>
      <c r="AH908" s="736">
        <f t="shared" ref="AH908" si="2237">IFERROR(IF(Y908=AB908,H908*I908*Y908,0),0)</f>
        <v>0</v>
      </c>
      <c r="AI908" s="729">
        <f t="shared" ref="AI908" si="2238">IFERROR(IF(Y908=AB908,(P908*Y908)/1000,1),0)</f>
        <v>0</v>
      </c>
      <c r="AJ908" s="729">
        <f t="shared" ref="AJ908" si="2239">IFERROR(IF(Y908=AB908,N908*Y908,0.1),0)</f>
        <v>0</v>
      </c>
      <c r="AK908" s="729" t="str">
        <f t="shared" ref="AK908" si="2240">IFERROR(IF(Y908=AB908,IF(M908="1.1G",(O908/1000)*Y908,""),""),0)</f>
        <v/>
      </c>
      <c r="AL908" s="729">
        <f t="shared" ref="AL908" si="2241">IFERROR(IF(Y908=AB908,IF(M908="1.3G",(O908/1000)*AB908,""),""),0)</f>
        <v>0</v>
      </c>
      <c r="AM908" s="729" t="str">
        <f t="shared" ref="AM908" si="2242">IFERROR(IF(Y908=AB908,IF(M908="1.4G",(O908/1000)*AB908,""),""),0)</f>
        <v/>
      </c>
      <c r="AN908" s="729">
        <f t="shared" ref="AN908" si="2243">SUM(AK908:AM908)</f>
        <v>0</v>
      </c>
      <c r="AO908" s="380"/>
      <c r="AP908" s="322" t="str">
        <f t="shared" si="2142"/>
        <v/>
      </c>
      <c r="AQ908" s="305" t="str">
        <f>IF(AC908=$V$3,IF(VLOOKUP(C908,[1]List1!$A:$E,5,FALSE)=0,1,VLOOKUP(C908,[1]List1!$A:$E,5,FALSE)),"")</f>
        <v/>
      </c>
      <c r="AR908" s="304" t="str">
        <f t="shared" si="2143"/>
        <v/>
      </c>
      <c r="AS908" s="423" t="str">
        <f t="shared" si="2144"/>
        <v/>
      </c>
      <c r="AT908" s="304" t="str">
        <f t="shared" si="2145"/>
        <v/>
      </c>
      <c r="AU908" s="342" t="e">
        <f t="shared" si="2146"/>
        <v>#N/A</v>
      </c>
      <c r="AV908" s="304" t="e">
        <f t="shared" si="2147"/>
        <v>#N/A</v>
      </c>
      <c r="AX908" s="304">
        <f>IF(AND('General price list'!$J908="F4",'General price list'!$AB908+0&gt;0),1,0)</f>
        <v>0</v>
      </c>
      <c r="AY908" s="304">
        <f t="shared" si="2148"/>
        <v>1</v>
      </c>
      <c r="AZ908" s="304">
        <f t="shared" si="2149"/>
        <v>0</v>
      </c>
    </row>
    <row r="909" spans="1:52" ht="15" customHeight="1">
      <c r="A909" s="773" t="str">
        <f>Kat.!C907</f>
        <v xml:space="preserve">                                                               Baterie 24ran, 20+24+30+40mm moždíř-1.3G</v>
      </c>
      <c r="B909" s="774"/>
      <c r="C909" s="774"/>
      <c r="D909" s="774"/>
      <c r="E909" s="774"/>
      <c r="F909" s="774"/>
      <c r="G909" s="774"/>
      <c r="H909" s="774"/>
      <c r="I909" s="774"/>
      <c r="J909" s="774"/>
      <c r="K909" s="774"/>
      <c r="L909" s="774"/>
      <c r="M909" s="774"/>
      <c r="N909" s="774"/>
      <c r="O909" s="774"/>
      <c r="P909" s="774"/>
      <c r="Q909" s="774"/>
      <c r="R909" s="774"/>
      <c r="S909" s="774"/>
      <c r="T909" s="774"/>
      <c r="U909" s="774"/>
      <c r="V909" s="774"/>
      <c r="W909" s="774"/>
      <c r="X909" s="774"/>
      <c r="Y909" s="774"/>
      <c r="Z909" s="774"/>
      <c r="AA909" s="774" t="str">
        <f>IFERROR(IF(VLOOKUP(C909,[4]List1!$A:$D,4,FALSE)=0,"",VLOOKUP(C909,[4]List1!$A:$D,4,FALSE)),"")</f>
        <v/>
      </c>
      <c r="AB909" s="774"/>
      <c r="AC909" s="775" t="str">
        <f>IFERROR(IF(VLOOKUP(C909,[1]List1!$A:$D,2,FALSE)="VYPRODÁNO",$V$9,IF(VLOOKUP(C909,[1]List1!$A:$D,2,FALSE)="DOCHÁZÍ",$V$3,VLOOKUP(C909,[1]List1!$A:$D,2,FALSE))),"OFFLINE!")</f>
        <v>OFFLINE!</v>
      </c>
      <c r="AD909" s="774"/>
      <c r="AE909" s="774"/>
      <c r="AF909" s="774"/>
      <c r="AG909" s="774"/>
      <c r="AH909" s="774"/>
      <c r="AI909" s="774"/>
      <c r="AJ909" s="774"/>
      <c r="AK909" s="774"/>
      <c r="AL909" s="774"/>
      <c r="AM909" s="774"/>
      <c r="AN909" s="774"/>
      <c r="AO909" s="380"/>
      <c r="AP909" s="322" t="str">
        <f t="shared" si="2142"/>
        <v/>
      </c>
      <c r="AQ909" s="323" t="str">
        <f>IF(AC909=$V$3,IF(VLOOKUP(C909,[1]List1!$A:$E,5,FALSE)=0,1,VLOOKUP(C909,[1]List1!$A:$E,5,FALSE)),"")</f>
        <v/>
      </c>
      <c r="AR909" s="304" t="str">
        <f t="shared" si="2143"/>
        <v/>
      </c>
      <c r="AS909" s="423" t="str">
        <f t="shared" si="2144"/>
        <v/>
      </c>
      <c r="AT909" s="304" t="str">
        <f t="shared" si="2145"/>
        <v/>
      </c>
      <c r="AU909" s="342" t="e">
        <f t="shared" si="2146"/>
        <v>#N/A</v>
      </c>
      <c r="AV909" s="304" t="e">
        <f t="shared" si="2147"/>
        <v>#N/A</v>
      </c>
      <c r="AX909" s="304">
        <f>IF(AND('General price list'!$J909="F4",'General price list'!$AB909+0&gt;0),1,0)</f>
        <v>0</v>
      </c>
      <c r="AY909" s="304">
        <f t="shared" si="2148"/>
        <v>0</v>
      </c>
      <c r="AZ909" s="304">
        <f t="shared" si="2149"/>
        <v>0</v>
      </c>
    </row>
    <row r="910" spans="1:52" ht="15" customHeight="1">
      <c r="A910" s="725" t="str">
        <f>Kat.!C908</f>
        <v/>
      </c>
      <c r="B910" s="741">
        <f>IF(AND('General price list'!$J910="F4",$AI$1=FALSE),0,IF(AC910="SKLADEM",1,IF(AC910=$V$3,1,0)))</f>
        <v>0</v>
      </c>
      <c r="C910" s="727" t="s">
        <v>1644</v>
      </c>
      <c r="D910" s="728" t="s">
        <v>1645</v>
      </c>
      <c r="E910" s="729" t="s">
        <v>435</v>
      </c>
      <c r="F910" s="725">
        <f>IFERROR(ROUND(IF($AL$3=2,VLOOKUP(C910,[2]List1!$A:$D,2,FALSE)*1.08,VLOOKUP(C910,[2]List1!$A:$D,2,FALSE)),0),"NEUVEDENO!")</f>
        <v>565</v>
      </c>
      <c r="G910" s="730">
        <f>(F910)*$B$19</f>
        <v>565</v>
      </c>
      <c r="H910" s="731">
        <f>G910/$F$19</f>
        <v>22.959173307218123</v>
      </c>
      <c r="I910" s="742">
        <v>8</v>
      </c>
      <c r="J910" s="729" t="s">
        <v>137</v>
      </c>
      <c r="K910" s="729"/>
      <c r="L910" s="729" t="s">
        <v>24</v>
      </c>
      <c r="M910" s="729" t="s">
        <v>138</v>
      </c>
      <c r="N910" s="729">
        <f>IFERROR(VLOOKUP(C910,[3]List1!$A:$D,4,FALSE),"N/A!")</f>
        <v>4.9202999999999997E-2</v>
      </c>
      <c r="O910" s="729">
        <f>IFERROR(VLOOKUP(C910,[3]List1!$A:$D,3,FALSE),"N/A!")</f>
        <v>2856</v>
      </c>
      <c r="P910" s="729">
        <f>IFERROR(VLOOKUP(C910,[3]List1!$A:$D,2,FALSE),"N/A!")</f>
        <v>20156</v>
      </c>
      <c r="Q910" s="729" t="s">
        <v>1283</v>
      </c>
      <c r="R910" s="729" t="s">
        <v>24</v>
      </c>
      <c r="S910" s="729" t="str">
        <f>IF($W$17=$AF$1,"červená fólie",IFERROR(VLOOKUP("červená fólie",Jazyky_ceník!$A:$Q,MATCH($W$17,Jazyky_ceník!$A$1:$Q$1,0),FALSE),"!!!"))</f>
        <v>červená fólie</v>
      </c>
      <c r="T910" s="729">
        <v>30</v>
      </c>
      <c r="U910" s="729" t="s">
        <v>13838</v>
      </c>
      <c r="V910" s="729" t="s">
        <v>13839</v>
      </c>
      <c r="W910" s="729" t="str">
        <f>IFERROR(VLOOKUP('General price list'!$C910,Popisy!A:P,MATCH($W$17,Popisy!$A$7:$P$7,0),FALSE),"---------------")</f>
        <v>11 různobarevných efektů</v>
      </c>
      <c r="X910" s="729" t="str">
        <f>IF(AB910&lt;0.0001,"",AB910)</f>
        <v/>
      </c>
      <c r="Y910" s="729" t="str">
        <f>IF($AL$3=2,IF(OR(AB910&lt;&gt;"",AB910&lt;&gt;0),AU910,""),IF(C910="","",IF(AB910&lt;0.0001,"",IF(B910=0,"",IF(AQ910&lt;AB910,"",AB910)))))</f>
        <v/>
      </c>
      <c r="Z910" s="729" t="str">
        <f>HYPERLINK("https://www.klasekpyrotechnics.cz/c24mh")</f>
        <v>https://www.klasekpyrotechnics.cz/c24mh</v>
      </c>
      <c r="AA910" s="729">
        <f>IFERROR(IF(VLOOKUP(C910,[4]List1!$A:$D,4,FALSE)=0,"",VLOOKUP(C910,[4]List1!$A:$D,4,FALSE)),"")</f>
        <v>28</v>
      </c>
      <c r="AB910" s="720"/>
      <c r="AC910" s="743" t="str">
        <f>IFERROR(IF(VLOOKUP(C910,[1]List1!$A:$D,2,FALSE)="VYPRODÁNO",$V$9,IF(VLOOKUP(C910,[1]List1!$A:$D,2,FALSE)="DOCHÁZÍ",$V$3,VLOOKUP(C910,[1]List1!$A:$D,2,FALSE))),"OFFLINE!")</f>
        <v>15.08.2024</v>
      </c>
      <c r="AD910" s="744" t="str">
        <f ca="1">IF(AP910="NE",$V$10,IF(AC910=$V$3,IF(AQ910&lt;1,$V$8,$V$2&amp;" "&amp;AQ910&amp;" "&amp;$V$1),IF(AC910="SKLADEM",$V$6,IFERROR(IF(OR(AC910-TODAY()&gt;45,VLOOKUP(C910,[1]List1!$A:$E,4,FALSE)=0),AC910,DAY(AC910)&amp;"."&amp;MONTH(AC910)&amp;"."&amp;YEAR(AC910)&amp;" "&amp;$V$4&amp;VLOOKUP(C910,[1]List1!$A:$E,4,FALSE)&amp;" "&amp;$V$1),AC910))))</f>
        <v>15.08.2024</v>
      </c>
      <c r="AE910" s="729" t="str">
        <f t="shared" ref="AE910" ca="1" si="2244">IFERROR(IF(AV910&lt;&gt;"",AV910,AD910),AD910)</f>
        <v>15.08.2024</v>
      </c>
      <c r="AF910" s="735">
        <f t="shared" ref="AF910" si="2245">IFERROR(IF(AB910=Y910,G910*I910*Y910,0),0)</f>
        <v>0</v>
      </c>
      <c r="AG910" s="735">
        <f t="shared" ref="AG910" si="2246">IF($W$17=$AF$8,AH910*1.23,AF910*1.21)</f>
        <v>0</v>
      </c>
      <c r="AH910" s="736">
        <f t="shared" ref="AH910" si="2247">IFERROR(IF(Y910=AB910,H910*I910*Y910,0),0)</f>
        <v>0</v>
      </c>
      <c r="AI910" s="729">
        <f t="shared" ref="AI910" si="2248">IFERROR(IF(Y910=AB910,(P910*Y910)/1000,1),0)</f>
        <v>0</v>
      </c>
      <c r="AJ910" s="729">
        <f t="shared" ref="AJ910" si="2249">IFERROR(IF(Y910=AB910,N910*Y910,0.1),0)</f>
        <v>0</v>
      </c>
      <c r="AK910" s="729" t="str">
        <f t="shared" ref="AK910" si="2250">IFERROR(IF(Y910=AB910,IF(M910="1.1G",(O910/1000)*Y910,""),""),0)</f>
        <v/>
      </c>
      <c r="AL910" s="729">
        <f t="shared" ref="AL910" si="2251">IFERROR(IF(Y910=AB910,IF(M910="1.3G",(O910/1000)*AB910,""),""),0)</f>
        <v>0</v>
      </c>
      <c r="AM910" s="729" t="str">
        <f t="shared" ref="AM910" si="2252">IFERROR(IF(Y910=AB910,IF(M910="1.4G",(O910/1000)*AB910,""),""),0)</f>
        <v/>
      </c>
      <c r="AN910" s="729">
        <f t="shared" ref="AN910" si="2253">SUM(AK910:AM910)</f>
        <v>0</v>
      </c>
      <c r="AO910" s="380"/>
      <c r="AP910" s="322" t="str">
        <f t="shared" si="2142"/>
        <v/>
      </c>
      <c r="AQ910" s="323" t="str">
        <f>IF(AC910=$V$3,IF(VLOOKUP(C910,[1]List1!$A:$E,5,FALSE)=0,1,VLOOKUP(C910,[1]List1!$A:$E,5,FALSE)),"")</f>
        <v/>
      </c>
      <c r="AR910" s="304" t="str">
        <f t="shared" si="2143"/>
        <v/>
      </c>
      <c r="AS910" s="423" t="str">
        <f t="shared" si="2144"/>
        <v/>
      </c>
      <c r="AT910" s="304" t="str">
        <f t="shared" si="2145"/>
        <v/>
      </c>
      <c r="AU910" s="342" t="e">
        <f t="shared" si="2146"/>
        <v>#N/A</v>
      </c>
      <c r="AV910" s="304" t="e">
        <f t="shared" si="2147"/>
        <v>#N/A</v>
      </c>
      <c r="AX910" s="304">
        <f>IF(AND('General price list'!$J910="F4",'General price list'!$AB910+0&gt;0),1,0)</f>
        <v>0</v>
      </c>
      <c r="AY910" s="304">
        <f t="shared" si="2148"/>
        <v>1</v>
      </c>
      <c r="AZ910" s="304">
        <f t="shared" si="2149"/>
        <v>0</v>
      </c>
    </row>
    <row r="911" spans="1:52" ht="15" customHeight="1">
      <c r="A911" s="773" t="str">
        <f>Kat.!C909</f>
        <v xml:space="preserve">                                                               Baterie 36ran, 36+50mm moždíř-1.3G</v>
      </c>
      <c r="B911" s="774"/>
      <c r="C911" s="774"/>
      <c r="D911" s="774"/>
      <c r="E911" s="774"/>
      <c r="F911" s="774"/>
      <c r="G911" s="774"/>
      <c r="H911" s="774"/>
      <c r="I911" s="774"/>
      <c r="J911" s="774"/>
      <c r="K911" s="774"/>
      <c r="L911" s="774"/>
      <c r="M911" s="774"/>
      <c r="N911" s="774"/>
      <c r="O911" s="774"/>
      <c r="P911" s="774"/>
      <c r="Q911" s="774"/>
      <c r="R911" s="774"/>
      <c r="S911" s="774"/>
      <c r="T911" s="774"/>
      <c r="U911" s="774"/>
      <c r="V911" s="774"/>
      <c r="W911" s="774"/>
      <c r="X911" s="774"/>
      <c r="Y911" s="774"/>
      <c r="Z911" s="774"/>
      <c r="AA911" s="774" t="str">
        <f>IFERROR(IF(VLOOKUP(C911,[4]List1!$A:$D,4,FALSE)=0,"",VLOOKUP(C911,[4]List1!$A:$D,4,FALSE)),"")</f>
        <v/>
      </c>
      <c r="AB911" s="774"/>
      <c r="AC911" s="775" t="str">
        <f>IFERROR(IF(VLOOKUP(C911,[1]List1!$A:$D,2,FALSE)="VYPRODÁNO",$V$9,IF(VLOOKUP(C911,[1]List1!$A:$D,2,FALSE)="DOCHÁZÍ",$V$3,VLOOKUP(C911,[1]List1!$A:$D,2,FALSE))),"OFFLINE!")</f>
        <v>OFFLINE!</v>
      </c>
      <c r="AD911" s="774"/>
      <c r="AE911" s="774"/>
      <c r="AF911" s="774"/>
      <c r="AG911" s="774"/>
      <c r="AH911" s="774"/>
      <c r="AI911" s="774"/>
      <c r="AJ911" s="774"/>
      <c r="AK911" s="774"/>
      <c r="AL911" s="774"/>
      <c r="AM911" s="774"/>
      <c r="AN911" s="774"/>
      <c r="AO911" s="380"/>
      <c r="AP911" s="322" t="str">
        <f t="shared" si="2142"/>
        <v/>
      </c>
      <c r="AQ911" s="323" t="str">
        <f>IF(AC911=$V$3,IF(VLOOKUP(C911,[1]List1!$A:$E,5,FALSE)=0,1,VLOOKUP(C911,[1]List1!$A:$E,5,FALSE)),"")</f>
        <v/>
      </c>
      <c r="AR911" s="304" t="str">
        <f t="shared" si="2143"/>
        <v/>
      </c>
      <c r="AS911" s="423" t="str">
        <f t="shared" si="2144"/>
        <v/>
      </c>
      <c r="AT911" s="304" t="str">
        <f t="shared" si="2145"/>
        <v/>
      </c>
      <c r="AU911" s="342" t="e">
        <f t="shared" si="2146"/>
        <v>#N/A</v>
      </c>
      <c r="AV911" s="304" t="e">
        <f t="shared" si="2147"/>
        <v>#N/A</v>
      </c>
      <c r="AX911" s="304">
        <f>IF(AND('General price list'!$J911="F4",'General price list'!$AB911+0&gt;0),1,0)</f>
        <v>0</v>
      </c>
      <c r="AY911" s="304">
        <f t="shared" si="2148"/>
        <v>0</v>
      </c>
      <c r="AZ911" s="304">
        <f t="shared" si="2149"/>
        <v>0</v>
      </c>
    </row>
    <row r="912" spans="1:52" ht="15" customHeight="1">
      <c r="A912" s="725" t="str">
        <f>Kat.!C910</f>
        <v/>
      </c>
      <c r="B912" s="741">
        <f>IF(AND('General price list'!$J912="F4",$AI$1=FALSE),0,IF(AC912="SKLADEM",1,IF(AC912=$V$3,1,0)))</f>
        <v>0</v>
      </c>
      <c r="C912" s="727" t="s">
        <v>1646</v>
      </c>
      <c r="D912" s="728" t="s">
        <v>14611</v>
      </c>
      <c r="E912" s="729" t="s">
        <v>810</v>
      </c>
      <c r="F912" s="725">
        <f>IFERROR(ROUND(IF($AL$3=2,VLOOKUP(C912,[2]List1!$A:$D,2,FALSE)*1.08,VLOOKUP(C912,[2]List1!$A:$D,2,FALSE)),0),"NEUVEDENO!")</f>
        <v>1759</v>
      </c>
      <c r="G912" s="730">
        <f>(F912)*$B$19</f>
        <v>1759</v>
      </c>
      <c r="H912" s="731">
        <f>G912/$F$19</f>
        <v>71.47820503964013</v>
      </c>
      <c r="I912" s="742">
        <v>3</v>
      </c>
      <c r="J912" s="729" t="s">
        <v>137</v>
      </c>
      <c r="K912" s="729"/>
      <c r="L912" s="729" t="s">
        <v>24</v>
      </c>
      <c r="M912" s="729" t="s">
        <v>138</v>
      </c>
      <c r="N912" s="729">
        <f>IFERROR(VLOOKUP(C912,[3]List1!$A:$D,4,FALSE),"N/A!")</f>
        <v>8.5320000000000007E-2</v>
      </c>
      <c r="O912" s="729">
        <f>IFERROR(VLOOKUP(C912,[3]List1!$A:$D,3,FALSE),"N/A!")</f>
        <v>2976</v>
      </c>
      <c r="P912" s="729">
        <f>IFERROR(VLOOKUP(C912,[3]List1!$A:$D,2,FALSE),"N/A!")</f>
        <v>28000</v>
      </c>
      <c r="Q912" s="729" t="s">
        <v>14348</v>
      </c>
      <c r="R912" s="729" t="s">
        <v>24</v>
      </c>
      <c r="S912" s="729" t="str">
        <f>IF($W$17=$AF$1,"design",IFERROR(VLOOKUP("design",Jazyky_ceník!$A:$Q,MATCH($W$17,Jazyky_ceník!$A$1:$Q$1,0),FALSE),"!!!"))</f>
        <v>design</v>
      </c>
      <c r="T912" s="729">
        <v>40</v>
      </c>
      <c r="U912" s="729" t="s">
        <v>13840</v>
      </c>
      <c r="V912" s="729" t="s">
        <v>13841</v>
      </c>
      <c r="W912" s="729" t="str">
        <f>IFERROR(VLOOKUP('General price list'!$C912,Popisy!A:P,MATCH($W$17,Popisy!$A$7:$P$7,0),FALSE),"---------------")</f>
        <v>8 různobarevných efektů</v>
      </c>
      <c r="X912" s="729" t="str">
        <f>IF(AB912&lt;0.0001,"",AB912)</f>
        <v/>
      </c>
      <c r="Y912" s="729" t="str">
        <f>IF($AL$3=2,IF(OR(AB912&lt;&gt;"",AB912&lt;&gt;0),AU912,""),IF(C912="","",IF(AB912&lt;0.0001,"",IF(B912=0,"",IF(AQ912&lt;AB912,"",AB912)))))</f>
        <v/>
      </c>
      <c r="Z912" s="729" t="str">
        <f>HYPERLINK("https://www.klasekpyrotechnics.cz/c36mh")</f>
        <v>https://www.klasekpyrotechnics.cz/c36mh</v>
      </c>
      <c r="AA912" s="729">
        <f>IFERROR(IF(VLOOKUP(C912,[4]List1!$A:$D,4,FALSE)=0,"",VLOOKUP(C912,[4]List1!$A:$D,4,FALSE)),"")</f>
        <v>15</v>
      </c>
      <c r="AB912" s="720"/>
      <c r="AC912" s="743" t="str">
        <f>IFERROR(IF(VLOOKUP(C912,[1]List1!$A:$D,2,FALSE)="VYPRODÁNO",$V$9,IF(VLOOKUP(C912,[1]List1!$A:$D,2,FALSE)="DOCHÁZÍ",$V$3,VLOOKUP(C912,[1]List1!$A:$D,2,FALSE))),"OFFLINE!")</f>
        <v>15.08.2024</v>
      </c>
      <c r="AD912" s="744" t="str">
        <f ca="1">IF(AP912="NE",$V$10,IF(AC912=$V$3,IF(AQ912&lt;1,$V$8,$V$2&amp;" "&amp;AQ912&amp;" "&amp;$V$1),IF(AC912="SKLADEM",$V$6,IFERROR(IF(OR(AC912-TODAY()&gt;45,VLOOKUP(C912,[1]List1!$A:$E,4,FALSE)=0),AC912,DAY(AC912)&amp;"."&amp;MONTH(AC912)&amp;"."&amp;YEAR(AC912)&amp;" "&amp;$V$4&amp;VLOOKUP(C912,[1]List1!$A:$E,4,FALSE)&amp;" "&amp;$V$1),AC912))))</f>
        <v>15.08.2024</v>
      </c>
      <c r="AE912" s="729" t="str">
        <f t="shared" ref="AE912" ca="1" si="2254">IFERROR(IF(AV912&lt;&gt;"",AV912,AD912),AD912)</f>
        <v>15.08.2024</v>
      </c>
      <c r="AF912" s="735">
        <f t="shared" ref="AF912" si="2255">IFERROR(IF(AB912=Y912,G912*I912*Y912,0),0)</f>
        <v>0</v>
      </c>
      <c r="AG912" s="735">
        <f t="shared" ref="AG912" si="2256">IF($W$17=$AF$8,AH912*1.23,AF912*1.21)</f>
        <v>0</v>
      </c>
      <c r="AH912" s="736">
        <f t="shared" ref="AH912" si="2257">IFERROR(IF(Y912=AB912,H912*I912*Y912,0),0)</f>
        <v>0</v>
      </c>
      <c r="AI912" s="729">
        <f t="shared" ref="AI912" si="2258">IFERROR(IF(Y912=AB912,(P912*Y912)/1000,1),0)</f>
        <v>0</v>
      </c>
      <c r="AJ912" s="729">
        <f t="shared" ref="AJ912" si="2259">IFERROR(IF(Y912=AB912,N912*Y912,0.1),0)</f>
        <v>0</v>
      </c>
      <c r="AK912" s="729" t="str">
        <f t="shared" ref="AK912" si="2260">IFERROR(IF(Y912=AB912,IF(M912="1.1G",(O912/1000)*Y912,""),""),0)</f>
        <v/>
      </c>
      <c r="AL912" s="729">
        <f t="shared" ref="AL912" si="2261">IFERROR(IF(Y912=AB912,IF(M912="1.3G",(O912/1000)*AB912,""),""),0)</f>
        <v>0</v>
      </c>
      <c r="AM912" s="729" t="str">
        <f t="shared" ref="AM912" si="2262">IFERROR(IF(Y912=AB912,IF(M912="1.4G",(O912/1000)*AB912,""),""),0)</f>
        <v/>
      </c>
      <c r="AN912" s="729">
        <f t="shared" ref="AN912" si="2263">SUM(AK912:AM912)</f>
        <v>0</v>
      </c>
      <c r="AO912" s="380"/>
      <c r="AP912" s="322" t="str">
        <f t="shared" si="2142"/>
        <v/>
      </c>
      <c r="AQ912" s="323" t="str">
        <f>IF(AC912=$V$3,IF(VLOOKUP(C912,[1]List1!$A:$E,5,FALSE)=0,1,VLOOKUP(C912,[1]List1!$A:$E,5,FALSE)),"")</f>
        <v/>
      </c>
      <c r="AR912" s="304" t="str">
        <f t="shared" si="2143"/>
        <v/>
      </c>
      <c r="AS912" s="423" t="str">
        <f t="shared" si="2144"/>
        <v/>
      </c>
      <c r="AT912" s="304" t="str">
        <f t="shared" si="2145"/>
        <v/>
      </c>
      <c r="AU912" s="342" t="e">
        <f t="shared" si="2146"/>
        <v>#N/A</v>
      </c>
      <c r="AV912" s="304" t="e">
        <f t="shared" si="2147"/>
        <v>#N/A</v>
      </c>
      <c r="AX912" s="304">
        <f>IF(AND('General price list'!$J912="F4",'General price list'!$AB912+0&gt;0),1,0)</f>
        <v>0</v>
      </c>
      <c r="AY912" s="304">
        <f t="shared" si="2148"/>
        <v>1</v>
      </c>
      <c r="AZ912" s="304">
        <f t="shared" si="2149"/>
        <v>0</v>
      </c>
    </row>
    <row r="913" spans="1:52" ht="15" customHeight="1">
      <c r="A913" s="773" t="str">
        <f>Kat.!C911</f>
        <v xml:space="preserve">                                                               Baterie 42ran, 25+40mm rovný+šikmý moždíř-1.3G</v>
      </c>
      <c r="B913" s="774"/>
      <c r="C913" s="774"/>
      <c r="D913" s="774"/>
      <c r="E913" s="774"/>
      <c r="F913" s="774"/>
      <c r="G913" s="774"/>
      <c r="H913" s="774"/>
      <c r="I913" s="774"/>
      <c r="J913" s="774"/>
      <c r="K913" s="774"/>
      <c r="L913" s="774"/>
      <c r="M913" s="774"/>
      <c r="N913" s="774"/>
      <c r="O913" s="774"/>
      <c r="P913" s="774"/>
      <c r="Q913" s="774"/>
      <c r="R913" s="774"/>
      <c r="S913" s="774"/>
      <c r="T913" s="774"/>
      <c r="U913" s="774"/>
      <c r="V913" s="774"/>
      <c r="W913" s="774"/>
      <c r="X913" s="774"/>
      <c r="Y913" s="774"/>
      <c r="Z913" s="774"/>
      <c r="AA913" s="774" t="str">
        <f>IFERROR(IF(VLOOKUP(C913,[4]List1!$A:$D,4,FALSE)=0,"",VLOOKUP(C913,[4]List1!$A:$D,4,FALSE)),"")</f>
        <v/>
      </c>
      <c r="AB913" s="774"/>
      <c r="AC913" s="775" t="str">
        <f>IFERROR(IF(VLOOKUP(C913,[1]List1!$A:$D,2,FALSE)="VYPRODÁNO",$V$9,IF(VLOOKUP(C913,[1]List1!$A:$D,2,FALSE)="DOCHÁZÍ",$V$3,VLOOKUP(C913,[1]List1!$A:$D,2,FALSE))),"OFFLINE!")</f>
        <v>OFFLINE!</v>
      </c>
      <c r="AD913" s="774"/>
      <c r="AE913" s="774"/>
      <c r="AF913" s="774"/>
      <c r="AG913" s="774"/>
      <c r="AH913" s="774"/>
      <c r="AI913" s="774"/>
      <c r="AJ913" s="774"/>
      <c r="AK913" s="774"/>
      <c r="AL913" s="774"/>
      <c r="AM913" s="774"/>
      <c r="AN913" s="774"/>
      <c r="AO913" s="380"/>
      <c r="AP913" s="322" t="str">
        <f t="shared" si="2142"/>
        <v/>
      </c>
      <c r="AQ913" s="323" t="str">
        <f>IF(AC913=$V$3,IF(VLOOKUP(C913,[1]List1!$A:$E,5,FALSE)=0,1,VLOOKUP(C913,[1]List1!$A:$E,5,FALSE)),"")</f>
        <v/>
      </c>
      <c r="AR913" s="304" t="str">
        <f t="shared" si="2143"/>
        <v/>
      </c>
      <c r="AS913" s="423" t="str">
        <f t="shared" si="2144"/>
        <v/>
      </c>
      <c r="AT913" s="304" t="str">
        <f t="shared" si="2145"/>
        <v/>
      </c>
      <c r="AU913" s="342" t="e">
        <f t="shared" si="2146"/>
        <v>#N/A</v>
      </c>
      <c r="AV913" s="304" t="e">
        <f t="shared" si="2147"/>
        <v>#N/A</v>
      </c>
      <c r="AX913" s="304">
        <f>IF(AND('General price list'!$J913="F4",'General price list'!$AB913+0&gt;0),1,0)</f>
        <v>0</v>
      </c>
      <c r="AY913" s="304">
        <f t="shared" si="2148"/>
        <v>0</v>
      </c>
      <c r="AZ913" s="304">
        <f t="shared" si="2149"/>
        <v>0</v>
      </c>
    </row>
    <row r="914" spans="1:52" ht="15" customHeight="1">
      <c r="A914" s="725" t="str">
        <f>Kat.!C912</f>
        <v/>
      </c>
      <c r="B914" s="741">
        <f>IF(AND('General price list'!$J914="F4",$AI$1=FALSE),0,IF(AC914="SKLADEM",1,IF(AC914=$V$3,1,0)))</f>
        <v>0</v>
      </c>
      <c r="C914" s="727" t="s">
        <v>1657</v>
      </c>
      <c r="D914" s="728" t="s">
        <v>1658</v>
      </c>
      <c r="E914" s="729" t="s">
        <v>1074</v>
      </c>
      <c r="F914" s="725">
        <f>IFERROR(ROUND(IF($AL$3=2,VLOOKUP(C914,[2]List1!$A:$D,2,FALSE)*1.08,VLOOKUP(C914,[2]List1!$A:$D,2,FALSE)),0),"NEUVEDENO!")</f>
        <v>1085</v>
      </c>
      <c r="G914" s="730">
        <f>(F914)*$B$19</f>
        <v>1085</v>
      </c>
      <c r="H914" s="731">
        <f>G914/$F$19</f>
        <v>44.089739890852499</v>
      </c>
      <c r="I914" s="742">
        <v>4</v>
      </c>
      <c r="J914" s="729" t="s">
        <v>137</v>
      </c>
      <c r="K914" s="729"/>
      <c r="L914" s="729" t="s">
        <v>24</v>
      </c>
      <c r="M914" s="729" t="s">
        <v>138</v>
      </c>
      <c r="N914" s="729">
        <f>IFERROR(VLOOKUP(C914,[3]List1!$A:$D,4,FALSE),"N/A!")</f>
        <v>5.2336500000000001E-2</v>
      </c>
      <c r="O914" s="729">
        <f>IFERROR(VLOOKUP(C914,[3]List1!$A:$D,3,FALSE),"N/A!")</f>
        <v>2624</v>
      </c>
      <c r="P914" s="729">
        <f>IFERROR(VLOOKUP(C914,[3]List1!$A:$D,2,FALSE),"N/A!")</f>
        <v>19600</v>
      </c>
      <c r="Q914" s="729" t="s">
        <v>14285</v>
      </c>
      <c r="R914" s="729" t="s">
        <v>24</v>
      </c>
      <c r="S914" s="729" t="str">
        <f>IF($W$17=$AF$1,"design",IFERROR(VLOOKUP("design",Jazyky_ceník!$A:$Q,MATCH($W$17,Jazyky_ceník!$A$1:$Q$1,0),FALSE),"!!!"))</f>
        <v>design</v>
      </c>
      <c r="T914" s="729">
        <v>40</v>
      </c>
      <c r="U914" s="729" t="s">
        <v>13842</v>
      </c>
      <c r="V914" s="729" t="s">
        <v>13843</v>
      </c>
      <c r="W914" s="729" t="str">
        <f>IFERROR(VLOOKUP('General price list'!$C914,Popisy!A:P,MATCH($W$17,Popisy!$A$7:$P$7,0),FALSE),"---------------")</f>
        <v>15 různobarevných efektů</v>
      </c>
      <c r="X914" s="729" t="str">
        <f>IF(AB914&lt;0.0001,"",AB914)</f>
        <v/>
      </c>
      <c r="Y914" s="729" t="str">
        <f>IF($AL$3=2,IF(OR(AB914&lt;&gt;"",AB914&lt;&gt;0),AU914,""),IF(C914="","",IF(AB914&lt;0.0001,"",IF(B914=0,"",IF(AQ914&lt;AB914,"",AB914)))))</f>
        <v/>
      </c>
      <c r="Z914" s="729" t="str">
        <f>HYPERLINK("https://www.klasekpyrotechnics.cz/c42mm")</f>
        <v>https://www.klasekpyrotechnics.cz/c42mm</v>
      </c>
      <c r="AA914" s="729">
        <f>IFERROR(IF(VLOOKUP(C914,[4]List1!$A:$D,4,FALSE)=0,"",VLOOKUP(C914,[4]List1!$A:$D,4,FALSE)),"")</f>
        <v>24</v>
      </c>
      <c r="AB914" s="720"/>
      <c r="AC914" s="743" t="str">
        <f>IFERROR(IF(VLOOKUP(C914,[1]List1!$A:$D,2,FALSE)="VYPRODÁNO",$V$9,IF(VLOOKUP(C914,[1]List1!$A:$D,2,FALSE)="DOCHÁZÍ",$V$3,VLOOKUP(C914,[1]List1!$A:$D,2,FALSE))),"OFFLINE!")</f>
        <v>15.08.2024</v>
      </c>
      <c r="AD914" s="744" t="str">
        <f ca="1">IF(AP914="NE",$V$10,IF(AC914=$V$3,IF(AQ914&lt;1,$V$8,$V$2&amp;" "&amp;AQ914&amp;" "&amp;$V$1),IF(AC914="SKLADEM",$V$6,IFERROR(IF(OR(AC914-TODAY()&gt;45,VLOOKUP(C914,[1]List1!$A:$E,4,FALSE)=0),AC914,DAY(AC914)&amp;"."&amp;MONTH(AC914)&amp;"."&amp;YEAR(AC914)&amp;" "&amp;$V$4&amp;VLOOKUP(C914,[1]List1!$A:$E,4,FALSE)&amp;" "&amp;$V$1),AC914))))</f>
        <v>15.08.2024</v>
      </c>
      <c r="AE914" s="729" t="str">
        <f t="shared" ref="AE914" ca="1" si="2264">IFERROR(IF(AV914&lt;&gt;"",AV914,AD914),AD914)</f>
        <v>15.08.2024</v>
      </c>
      <c r="AF914" s="735">
        <f t="shared" ref="AF914" si="2265">IFERROR(IF(AB914=Y914,G914*I914*Y914,0),0)</f>
        <v>0</v>
      </c>
      <c r="AG914" s="735">
        <f t="shared" ref="AG914" si="2266">IF($W$17=$AF$8,AH914*1.23,AF914*1.21)</f>
        <v>0</v>
      </c>
      <c r="AH914" s="736">
        <f t="shared" ref="AH914" si="2267">IFERROR(IF(Y914=AB914,H914*I914*Y914,0),0)</f>
        <v>0</v>
      </c>
      <c r="AI914" s="729">
        <f t="shared" ref="AI914" si="2268">IFERROR(IF(Y914=AB914,(P914*Y914)/1000,1),0)</f>
        <v>0</v>
      </c>
      <c r="AJ914" s="729">
        <f t="shared" ref="AJ914" si="2269">IFERROR(IF(Y914=AB914,N914*Y914,0.1),0)</f>
        <v>0</v>
      </c>
      <c r="AK914" s="729" t="str">
        <f t="shared" ref="AK914" si="2270">IFERROR(IF(Y914=AB914,IF(M914="1.1G",(O914/1000)*Y914,""),""),0)</f>
        <v/>
      </c>
      <c r="AL914" s="729">
        <f t="shared" ref="AL914" si="2271">IFERROR(IF(Y914=AB914,IF(M914="1.3G",(O914/1000)*AB914,""),""),0)</f>
        <v>0</v>
      </c>
      <c r="AM914" s="729" t="str">
        <f t="shared" ref="AM914" si="2272">IFERROR(IF(Y914=AB914,IF(M914="1.4G",(O914/1000)*AB914,""),""),0)</f>
        <v/>
      </c>
      <c r="AN914" s="729">
        <f t="shared" ref="AN914" si="2273">SUM(AK914:AM914)</f>
        <v>0</v>
      </c>
      <c r="AO914" s="380"/>
      <c r="AP914" s="322" t="str">
        <f t="shared" ref="AP914" si="2274">IF($AL$3=1,IF(Y914=AB914,"","NE"),IF(AR914=$V$10,"NE",""))</f>
        <v/>
      </c>
      <c r="AQ914" s="323" t="str">
        <f>IF(AC914=$V$3,IF(VLOOKUP(C914,[1]List1!$A:$E,5,FALSE)=0,1,VLOOKUP(C914,[1]List1!$A:$E,5,FALSE)),"")</f>
        <v/>
      </c>
      <c r="AR914" s="304" t="str">
        <f t="shared" ref="AR914" si="2275">IF($AL$3=1,"",IF(OR(AB914&lt;&gt;"",AB914&lt;&gt;0),IF(OR(AC914=$V$6,AC914=$V$3,AC914=$V$9),$V$10,""),""))</f>
        <v/>
      </c>
      <c r="AS914" s="423" t="str">
        <f t="shared" ref="AS914" si="2276">IF(AT914&lt;&gt;"","X","")</f>
        <v/>
      </c>
      <c r="AT914" s="304" t="str">
        <f t="shared" ref="AT914" si="2277">IF(AND($AL$3=2,AR914="",AB914&lt;&gt;""),AD914,"")</f>
        <v/>
      </c>
      <c r="AU914" s="342" t="e">
        <f t="shared" ref="AU914" si="2278">IF(AT914=$AS$21,AB914,"")</f>
        <v>#N/A</v>
      </c>
      <c r="AV914" s="304" t="e">
        <f t="shared" ref="AV914" si="2279">IF(OR(AB914="",AND(AT914&lt;&gt;"",AU914&lt;&gt;"")),"",$V$10)</f>
        <v>#N/A</v>
      </c>
      <c r="AX914" s="304">
        <f>IF(AND('General price list'!$J914="F4",'General price list'!$AB914+0&gt;0),1,0)</f>
        <v>0</v>
      </c>
      <c r="AY914" s="304">
        <f t="shared" ref="AY914" si="2280">IFERROR(FIND(VLOOKUP($AC$7,$AD$1:$AE$12,2,FALSE),Q914,1),0)</f>
        <v>1</v>
      </c>
      <c r="AZ914" s="304">
        <f t="shared" ref="AZ914" si="2281">IFERROR(FIND(VLOOKUP($AC$7,$AD$1:$AE$12,2,FALSE),R914,1),0)</f>
        <v>0</v>
      </c>
    </row>
    <row r="915" spans="1:52" ht="15" customHeight="1">
      <c r="A915" s="773" t="str">
        <f>Kat.!C913</f>
        <v xml:space="preserve">                                                               Baterie 47ran, 30+50mm rovný+šikmý moždíř-1.3G</v>
      </c>
      <c r="B915" s="774"/>
      <c r="C915" s="774"/>
      <c r="D915" s="774"/>
      <c r="E915" s="774"/>
      <c r="F915" s="774"/>
      <c r="G915" s="774"/>
      <c r="H915" s="774"/>
      <c r="I915" s="774"/>
      <c r="J915" s="774"/>
      <c r="K915" s="774"/>
      <c r="L915" s="774"/>
      <c r="M915" s="774"/>
      <c r="N915" s="774"/>
      <c r="O915" s="774"/>
      <c r="P915" s="774"/>
      <c r="Q915" s="774"/>
      <c r="R915" s="774"/>
      <c r="S915" s="774"/>
      <c r="T915" s="774"/>
      <c r="U915" s="774"/>
      <c r="V915" s="774"/>
      <c r="W915" s="774"/>
      <c r="X915" s="774"/>
      <c r="Y915" s="774"/>
      <c r="Z915" s="774"/>
      <c r="AA915" s="774" t="str">
        <f>IFERROR(IF(VLOOKUP(C915,[4]List1!$A:$D,4,FALSE)=0,"",VLOOKUP(C915,[4]List1!$A:$D,4,FALSE)),"")</f>
        <v/>
      </c>
      <c r="AB915" s="774"/>
      <c r="AC915" s="775" t="str">
        <f>IFERROR(IF(VLOOKUP(C915,[1]List1!$A:$D,2,FALSE)="VYPRODÁNO",$V$9,IF(VLOOKUP(C915,[1]List1!$A:$D,2,FALSE)="DOCHÁZÍ",$V$3,VLOOKUP(C915,[1]List1!$A:$D,2,FALSE))),"OFFLINE!")</f>
        <v>OFFLINE!</v>
      </c>
      <c r="AD915" s="774"/>
      <c r="AE915" s="774"/>
      <c r="AF915" s="774"/>
      <c r="AG915" s="774"/>
      <c r="AH915" s="774"/>
      <c r="AI915" s="774"/>
      <c r="AJ915" s="774"/>
      <c r="AK915" s="774"/>
      <c r="AL915" s="774"/>
      <c r="AM915" s="774"/>
      <c r="AN915" s="774"/>
      <c r="AO915" s="380"/>
      <c r="AP915" s="322" t="str">
        <f t="shared" ref="AP915:AP977" si="2282">IF($AL$3=1,IF(Y915=AB915,"","NE"),IF(AR915=$V$10,"NE",""))</f>
        <v/>
      </c>
      <c r="AQ915" s="323" t="str">
        <f>IF(AC915=$V$3,IF(VLOOKUP(C915,[1]List1!$A:$E,5,FALSE)=0,1,VLOOKUP(C915,[1]List1!$A:$E,5,FALSE)),"")</f>
        <v/>
      </c>
      <c r="AR915" s="304" t="str">
        <f t="shared" ref="AR915:AR977" si="2283">IF($AL$3=1,"",IF(OR(AB915&lt;&gt;"",AB915&lt;&gt;0),IF(OR(AC915=$V$6,AC915=$V$3,AC915=$V$9),$V$10,""),""))</f>
        <v/>
      </c>
      <c r="AS915" s="423" t="str">
        <f t="shared" ref="AS915:AS977" si="2284">IF(AT915&lt;&gt;"","X","")</f>
        <v/>
      </c>
      <c r="AT915" s="304" t="str">
        <f t="shared" ref="AT915:AT977" si="2285">IF(AND($AL$3=2,AR915="",AB915&lt;&gt;""),AD915,"")</f>
        <v/>
      </c>
      <c r="AU915" s="342" t="e">
        <f t="shared" ref="AU915:AU977" si="2286">IF(AT915=$AS$21,AB915,"")</f>
        <v>#N/A</v>
      </c>
      <c r="AV915" s="304" t="e">
        <f t="shared" ref="AV915:AV977" si="2287">IF(OR(AB915="",AND(AT915&lt;&gt;"",AU915&lt;&gt;"")),"",$V$10)</f>
        <v>#N/A</v>
      </c>
      <c r="AX915" s="304">
        <f>IF(AND('General price list'!$J915="F4",'General price list'!$AB915+0&gt;0),1,0)</f>
        <v>0</v>
      </c>
      <c r="AY915" s="304">
        <f t="shared" ref="AY915:AY977" si="2288">IFERROR(FIND(VLOOKUP($AC$7,$AD$1:$AE$12,2,FALSE),Q915,1),0)</f>
        <v>0</v>
      </c>
      <c r="AZ915" s="304">
        <f t="shared" ref="AZ915:AZ977" si="2289">IFERROR(FIND(VLOOKUP($AC$7,$AD$1:$AE$12,2,FALSE),R915,1),0)</f>
        <v>0</v>
      </c>
    </row>
    <row r="916" spans="1:52" ht="15" customHeight="1">
      <c r="A916" s="725" t="str">
        <f>Kat.!C914</f>
        <v/>
      </c>
      <c r="B916" s="741">
        <f>IF(AND('General price list'!$J916="F4",$AI$1=FALSE),0,IF(AC916="SKLADEM",1,IF(AC916=$V$3,1,0)))</f>
        <v>0</v>
      </c>
      <c r="C916" s="727" t="s">
        <v>1659</v>
      </c>
      <c r="D916" s="728" t="s">
        <v>1660</v>
      </c>
      <c r="E916" s="729" t="s">
        <v>1078</v>
      </c>
      <c r="F916" s="725">
        <f>IFERROR(ROUND(IF($AL$3=2,VLOOKUP(C916,[2]List1!$A:$D,2,FALSE)*1.08,VLOOKUP(C916,[2]List1!$A:$D,2,FALSE)),0),"NEUVEDENO!")</f>
        <v>1673</v>
      </c>
      <c r="G916" s="730">
        <f t="shared" ref="G916:G917" si="2290">(F916)*$B$19</f>
        <v>1673</v>
      </c>
      <c r="H916" s="731">
        <f t="shared" ref="H916:H917" si="2291">G916/$F$19</f>
        <v>67.983534412346756</v>
      </c>
      <c r="I916" s="742">
        <v>2</v>
      </c>
      <c r="J916" s="729" t="s">
        <v>137</v>
      </c>
      <c r="K916" s="729" t="s">
        <v>12734</v>
      </c>
      <c r="L916" s="729" t="s">
        <v>24</v>
      </c>
      <c r="M916" s="729" t="s">
        <v>138</v>
      </c>
      <c r="N916" s="729">
        <f>IFERROR(VLOOKUP(C916,[3]List1!$A:$D,4,FALSE),"N/A!")</f>
        <v>4.614975000000001E-2</v>
      </c>
      <c r="O916" s="729">
        <f>IFERROR(VLOOKUP(C916,[3]List1!$A:$D,3,FALSE),"N/A!")</f>
        <v>1980</v>
      </c>
      <c r="P916" s="729">
        <f>IFERROR(VLOOKUP(C916,[3]List1!$A:$D,2,FALSE),"N/A!")</f>
        <v>15500</v>
      </c>
      <c r="Q916" s="729" t="s">
        <v>11327</v>
      </c>
      <c r="R916" s="729" t="s">
        <v>24</v>
      </c>
      <c r="S916" s="729" t="str">
        <f>IF($W$17=$AF$1,"červená fólie",IFERROR(VLOOKUP("červená fólie",Jazyky_ceník!$A:$Q,MATCH($W$17,Jazyky_ceník!$A$1:$Q$1,0),FALSE),"!!!"))</f>
        <v>červená fólie</v>
      </c>
      <c r="T916" s="729">
        <v>55</v>
      </c>
      <c r="U916" s="729" t="s">
        <v>13836</v>
      </c>
      <c r="V916" s="729" t="s">
        <v>13837</v>
      </c>
      <c r="W916" s="729" t="str">
        <f>IFERROR(VLOOKUP('General price list'!$C916,Popisy!A:P,MATCH($W$17,Popisy!$A$7:$P$7,0),FALSE),"---------------")</f>
        <v>11 různobarevných efektů</v>
      </c>
      <c r="X916" s="729" t="str">
        <f t="shared" ref="X916:X917" si="2292">IF(AB916&lt;0.0001,"",AB916)</f>
        <v/>
      </c>
      <c r="Y916" s="729" t="str">
        <f t="shared" ref="Y916:Y917" si="2293">IF($AL$3=2,IF(OR(AB916&lt;&gt;"",AB916&lt;&gt;0),AU916,""),IF(C916="","",IF(AB916&lt;0.0001,"",IF(B916=0,"",IF(AQ916&lt;AB916,"",AB916)))))</f>
        <v/>
      </c>
      <c r="Z916" s="729" t="str">
        <f>HYPERLINK("https://www.klasekpyrotechnics.cz/c47mb")</f>
        <v>https://www.klasekpyrotechnics.cz/c47mb</v>
      </c>
      <c r="AA916" s="729">
        <f>IFERROR(IF(VLOOKUP(C916,[4]List1!$A:$D,4,FALSE)=0,"",VLOOKUP(C916,[4]List1!$A:$D,4,FALSE)),"")</f>
        <v>30</v>
      </c>
      <c r="AB916" s="720"/>
      <c r="AC916" s="743" t="str">
        <f>IFERROR(IF(VLOOKUP(C916,[1]List1!$A:$D,2,FALSE)="VYPRODÁNO",$V$9,IF(VLOOKUP(C916,[1]List1!$A:$D,2,FALSE)="DOCHÁZÍ",$V$3,VLOOKUP(C916,[1]List1!$A:$D,2,FALSE))),"OFFLINE!")</f>
        <v>VYPRODÁNO</v>
      </c>
      <c r="AD916" s="744" t="str">
        <f ca="1">IF(AP916="NE",$V$10,IF(AC916=$V$3,IF(AQ916&lt;1,$V$8,$V$2&amp;" "&amp;AQ916&amp;" "&amp;$V$1),IF(AC916="SKLADEM",$V$6,IFERROR(IF(OR(AC916-TODAY()&gt;45,VLOOKUP(C916,[1]List1!$A:$E,4,FALSE)=0),AC916,DAY(AC916)&amp;"."&amp;MONTH(AC916)&amp;"."&amp;YEAR(AC916)&amp;" "&amp;$V$4&amp;VLOOKUP(C916,[1]List1!$A:$E,4,FALSE)&amp;" "&amp;$V$1),AC916))))</f>
        <v>VYPRODÁNO</v>
      </c>
      <c r="AE916" s="729" t="str">
        <f t="shared" ref="AE916:AE917" ca="1" si="2294">IFERROR(IF(AV916&lt;&gt;"",AV916,AD916),AD916)</f>
        <v>VYPRODÁNO</v>
      </c>
      <c r="AF916" s="735">
        <f t="shared" ref="AF916:AF917" si="2295">IFERROR(IF(AB916=Y916,G916*I916*Y916,0),0)</f>
        <v>0</v>
      </c>
      <c r="AG916" s="735">
        <f t="shared" ref="AG916:AG917" si="2296">IF($W$17=$AF$8,AH916*1.23,AF916*1.21)</f>
        <v>0</v>
      </c>
      <c r="AH916" s="736">
        <f t="shared" ref="AH916:AH917" si="2297">IFERROR(IF(Y916=AB916,H916*I916*Y916,0),0)</f>
        <v>0</v>
      </c>
      <c r="AI916" s="729">
        <f t="shared" ref="AI916:AI917" si="2298">IFERROR(IF(Y916=AB916,(P916*Y916)/1000,1),0)</f>
        <v>0</v>
      </c>
      <c r="AJ916" s="729">
        <f t="shared" ref="AJ916:AJ917" si="2299">IFERROR(IF(Y916=AB916,N916*Y916,0.1),0)</f>
        <v>0</v>
      </c>
      <c r="AK916" s="729" t="str">
        <f t="shared" ref="AK916:AK917" si="2300">IFERROR(IF(Y916=AB916,IF(M916="1.1G",(O916/1000)*Y916,""),""),0)</f>
        <v/>
      </c>
      <c r="AL916" s="729">
        <f t="shared" ref="AL916:AL917" si="2301">IFERROR(IF(Y916=AB916,IF(M916="1.3G",(O916/1000)*AB916,""),""),0)</f>
        <v>0</v>
      </c>
      <c r="AM916" s="729" t="str">
        <f t="shared" ref="AM916:AM917" si="2302">IFERROR(IF(Y916=AB916,IF(M916="1.4G",(O916/1000)*AB916,""),""),0)</f>
        <v/>
      </c>
      <c r="AN916" s="729">
        <f t="shared" ref="AN916:AN917" si="2303">SUM(AK916:AM916)</f>
        <v>0</v>
      </c>
      <c r="AO916" s="380"/>
      <c r="AP916" s="322" t="str">
        <f t="shared" si="2282"/>
        <v/>
      </c>
      <c r="AQ916" s="323" t="str">
        <f>IF(AC916=$V$3,IF(VLOOKUP(C916,[1]List1!$A:$E,5,FALSE)=0,1,VLOOKUP(C916,[1]List1!$A:$E,5,FALSE)),"")</f>
        <v/>
      </c>
      <c r="AR916" s="304" t="str">
        <f t="shared" si="2283"/>
        <v/>
      </c>
      <c r="AS916" s="423" t="str">
        <f t="shared" si="2284"/>
        <v/>
      </c>
      <c r="AT916" s="304" t="str">
        <f t="shared" si="2285"/>
        <v/>
      </c>
      <c r="AU916" s="342" t="e">
        <f t="shared" si="2286"/>
        <v>#N/A</v>
      </c>
      <c r="AV916" s="304" t="e">
        <f t="shared" si="2287"/>
        <v>#N/A</v>
      </c>
      <c r="AX916" s="304">
        <f>IF(AND('General price list'!$J916="F4",'General price list'!$AB916+0&gt;0),1,0)</f>
        <v>0</v>
      </c>
      <c r="AY916" s="304">
        <f t="shared" si="2288"/>
        <v>1</v>
      </c>
      <c r="AZ916" s="304">
        <f t="shared" si="2289"/>
        <v>0</v>
      </c>
    </row>
    <row r="917" spans="1:52" ht="15" customHeight="1">
      <c r="A917" s="712" t="str">
        <f>Kat.!C915</f>
        <v>×</v>
      </c>
      <c r="B917" s="745">
        <f>IF(AND('General price list'!$J917="F4",$AI$1=FALSE),0,IF(AC917="SKLADEM",1,IF(AC917=$V$3,1,0)))</f>
        <v>1</v>
      </c>
      <c r="C917" s="714" t="s">
        <v>1661</v>
      </c>
      <c r="D917" s="715" t="s">
        <v>1662</v>
      </c>
      <c r="E917" s="716" t="s">
        <v>1078</v>
      </c>
      <c r="F917" s="712">
        <f>IFERROR(ROUND(IF($AL$3=2,VLOOKUP(C917,[2]List1!$A:$D,2,FALSE)*1.08,VLOOKUP(C917,[2]List1!$A:$D,2,FALSE)),0),"NEUVEDENO!")</f>
        <v>1673</v>
      </c>
      <c r="G917" s="717">
        <f t="shared" si="2290"/>
        <v>1673</v>
      </c>
      <c r="H917" s="718">
        <f t="shared" si="2291"/>
        <v>67.983534412346756</v>
      </c>
      <c r="I917" s="746">
        <v>2</v>
      </c>
      <c r="J917" s="716" t="s">
        <v>137</v>
      </c>
      <c r="K917" s="716"/>
      <c r="L917" s="716" t="s">
        <v>24</v>
      </c>
      <c r="M917" s="716" t="s">
        <v>138</v>
      </c>
      <c r="N917" s="716">
        <f>IFERROR(VLOOKUP(C917,[3]List1!$A:$D,4,FALSE),"N/A!")</f>
        <v>4.614975000000001E-2</v>
      </c>
      <c r="O917" s="716">
        <f>IFERROR(VLOOKUP(C917,[3]List1!$A:$D,3,FALSE),"N/A!")</f>
        <v>1980</v>
      </c>
      <c r="P917" s="716">
        <f>IFERROR(VLOOKUP(C917,[3]List1!$A:$D,2,FALSE),"N/A!")</f>
        <v>14600</v>
      </c>
      <c r="Q917" s="716" t="s">
        <v>14286</v>
      </c>
      <c r="R917" s="716" t="s">
        <v>24</v>
      </c>
      <c r="S917" s="716" t="str">
        <f>IF($W$17=$AF$1,"červená fólie",IFERROR(VLOOKUP("červená fólie",Jazyky_ceník!$A:$Q,MATCH($W$17,Jazyky_ceník!$A$1:$Q$1,0),FALSE),"!!!"))</f>
        <v>červená fólie</v>
      </c>
      <c r="T917" s="716">
        <v>60</v>
      </c>
      <c r="U917" s="716" t="s">
        <v>13836</v>
      </c>
      <c r="V917" s="716" t="s">
        <v>13837</v>
      </c>
      <c r="W917" s="716" t="str">
        <f>IFERROR(VLOOKUP('General price list'!$C917,Popisy!A:P,MATCH($W$17,Popisy!$A$7:$P$7,0),FALSE),"---------------")</f>
        <v>11 různobarevných efektů</v>
      </c>
      <c r="X917" s="716" t="str">
        <f t="shared" si="2292"/>
        <v/>
      </c>
      <c r="Y917" s="716" t="str">
        <f t="shared" si="2293"/>
        <v/>
      </c>
      <c r="Z917" s="716" t="str">
        <f>HYPERLINK("https://www.klasekpyrotechnics.cz/c47mi")</f>
        <v>https://www.klasekpyrotechnics.cz/c47mi</v>
      </c>
      <c r="AA917" s="716">
        <f>IFERROR(IF(VLOOKUP(C917,[4]List1!$A:$D,4,FALSE)=0,"",VLOOKUP(C917,[4]List1!$A:$D,4,FALSE)),"")</f>
        <v>30</v>
      </c>
      <c r="AB917" s="720"/>
      <c r="AC917" s="747" t="str">
        <f>IFERROR(IF(VLOOKUP(C917,[1]List1!$A:$D,2,FALSE)="VYPRODÁNO",$V$9,IF(VLOOKUP(C917,[1]List1!$A:$D,2,FALSE)="DOCHÁZÍ",$V$3,VLOOKUP(C917,[1]List1!$A:$D,2,FALSE))),"OFFLINE!")</f>
        <v>SKLADEM</v>
      </c>
      <c r="AD917" s="748" t="str">
        <f ca="1">IF(AP917="NE",$V$10,IF(AC917=$V$3,IF(AQ917&lt;1,$V$8,$V$2&amp;" "&amp;AQ917&amp;" "&amp;$V$1),IF(AC917="SKLADEM",$V$6,IFERROR(IF(OR(AC917-TODAY()&gt;45,VLOOKUP(C917,[1]List1!$A:$E,4,FALSE)=0),AC917,DAY(AC917)&amp;"."&amp;MONTH(AC917)&amp;"."&amp;YEAR(AC917)&amp;" "&amp;$V$4&amp;VLOOKUP(C917,[1]List1!$A:$E,4,FALSE)&amp;" "&amp;$V$1),AC917))))</f>
        <v>SKLADEM</v>
      </c>
      <c r="AE917" s="716" t="str">
        <f t="shared" ca="1" si="2294"/>
        <v>SKLADEM</v>
      </c>
      <c r="AF917" s="723">
        <f t="shared" si="2295"/>
        <v>0</v>
      </c>
      <c r="AG917" s="723">
        <f t="shared" si="2296"/>
        <v>0</v>
      </c>
      <c r="AH917" s="724">
        <f t="shared" si="2297"/>
        <v>0</v>
      </c>
      <c r="AI917" s="716">
        <f t="shared" si="2298"/>
        <v>0</v>
      </c>
      <c r="AJ917" s="716">
        <f t="shared" si="2299"/>
        <v>0</v>
      </c>
      <c r="AK917" s="716" t="str">
        <f t="shared" si="2300"/>
        <v/>
      </c>
      <c r="AL917" s="716">
        <f t="shared" si="2301"/>
        <v>0</v>
      </c>
      <c r="AM917" s="716" t="str">
        <f t="shared" si="2302"/>
        <v/>
      </c>
      <c r="AN917" s="716">
        <f t="shared" si="2303"/>
        <v>0</v>
      </c>
      <c r="AO917" s="380"/>
      <c r="AP917" s="322" t="str">
        <f t="shared" si="2282"/>
        <v/>
      </c>
      <c r="AQ917" s="323" t="str">
        <f>IF(AC917=$V$3,IF(VLOOKUP(C917,[1]List1!$A:$E,5,FALSE)=0,1,VLOOKUP(C917,[1]List1!$A:$E,5,FALSE)),"")</f>
        <v/>
      </c>
      <c r="AR917" s="304" t="str">
        <f t="shared" si="2283"/>
        <v/>
      </c>
      <c r="AS917" s="423" t="str">
        <f t="shared" si="2284"/>
        <v/>
      </c>
      <c r="AT917" s="304" t="str">
        <f t="shared" si="2285"/>
        <v/>
      </c>
      <c r="AU917" s="342" t="e">
        <f t="shared" si="2286"/>
        <v>#N/A</v>
      </c>
      <c r="AV917" s="304" t="e">
        <f t="shared" si="2287"/>
        <v>#N/A</v>
      </c>
      <c r="AX917" s="304">
        <f>IF(AND('General price list'!$J917="F4",'General price list'!$AB917+0&gt;0),1,0)</f>
        <v>0</v>
      </c>
      <c r="AY917" s="304">
        <f t="shared" si="2288"/>
        <v>1</v>
      </c>
      <c r="AZ917" s="304">
        <f t="shared" si="2289"/>
        <v>0</v>
      </c>
    </row>
    <row r="918" spans="1:52" ht="15" customHeight="1">
      <c r="A918" s="773" t="str">
        <f>Kat.!C916</f>
        <v xml:space="preserve">                                                               Baterie 47ran, 30+50mm rovný+šikmý moždíř-1.3G</v>
      </c>
      <c r="B918" s="774"/>
      <c r="C918" s="774"/>
      <c r="D918" s="774"/>
      <c r="E918" s="774"/>
      <c r="F918" s="774"/>
      <c r="G918" s="774"/>
      <c r="H918" s="774"/>
      <c r="I918" s="774"/>
      <c r="J918" s="774"/>
      <c r="K918" s="774"/>
      <c r="L918" s="774"/>
      <c r="M918" s="774"/>
      <c r="N918" s="774"/>
      <c r="O918" s="774"/>
      <c r="P918" s="774"/>
      <c r="Q918" s="774"/>
      <c r="R918" s="774"/>
      <c r="S918" s="774"/>
      <c r="T918" s="774"/>
      <c r="U918" s="774"/>
      <c r="V918" s="774"/>
      <c r="W918" s="774"/>
      <c r="X918" s="774"/>
      <c r="Y918" s="774"/>
      <c r="Z918" s="774"/>
      <c r="AA918" s="774" t="str">
        <f>IFERROR(IF(VLOOKUP(C918,[4]List1!$A:$D,4,FALSE)=0,"",VLOOKUP(C918,[4]List1!$A:$D,4,FALSE)),"")</f>
        <v/>
      </c>
      <c r="AB918" s="774"/>
      <c r="AC918" s="775" t="str">
        <f>IFERROR(IF(VLOOKUP(C918,[1]List1!$A:$D,2,FALSE)="VYPRODÁNO",$V$9,IF(VLOOKUP(C918,[1]List1!$A:$D,2,FALSE)="DOCHÁZÍ",$V$3,VLOOKUP(C918,[1]List1!$A:$D,2,FALSE))),"OFFLINE!")</f>
        <v>OFFLINE!</v>
      </c>
      <c r="AD918" s="774"/>
      <c r="AE918" s="774"/>
      <c r="AF918" s="774"/>
      <c r="AG918" s="774"/>
      <c r="AH918" s="774"/>
      <c r="AI918" s="774"/>
      <c r="AJ918" s="774"/>
      <c r="AK918" s="774"/>
      <c r="AL918" s="774"/>
      <c r="AM918" s="774"/>
      <c r="AN918" s="774"/>
      <c r="AO918" s="380"/>
      <c r="AP918" s="322" t="str">
        <f t="shared" si="2282"/>
        <v/>
      </c>
      <c r="AQ918" s="323" t="str">
        <f>IF(AC918=$V$3,IF(VLOOKUP(C918,[1]List1!$A:$E,5,FALSE)=0,1,VLOOKUP(C918,[1]List1!$A:$E,5,FALSE)),"")</f>
        <v/>
      </c>
      <c r="AR918" s="304" t="str">
        <f t="shared" si="2283"/>
        <v/>
      </c>
      <c r="AS918" s="423" t="str">
        <f t="shared" si="2284"/>
        <v/>
      </c>
      <c r="AT918" s="304" t="str">
        <f t="shared" si="2285"/>
        <v/>
      </c>
      <c r="AU918" s="342" t="e">
        <f t="shared" si="2286"/>
        <v>#N/A</v>
      </c>
      <c r="AV918" s="304" t="e">
        <f t="shared" si="2287"/>
        <v>#N/A</v>
      </c>
      <c r="AX918" s="304">
        <f>IF(AND('General price list'!$J918="F4",'General price list'!$AB918+0&gt;0),1,0)</f>
        <v>0</v>
      </c>
      <c r="AY918" s="304">
        <f t="shared" si="2288"/>
        <v>0</v>
      </c>
      <c r="AZ918" s="304">
        <f t="shared" si="2289"/>
        <v>0</v>
      </c>
    </row>
    <row r="919" spans="1:52" ht="15" customHeight="1">
      <c r="A919" s="712" t="str">
        <f>Kat.!C917</f>
        <v/>
      </c>
      <c r="B919" s="713">
        <f>IF(AND('General price list'!$J919="F4",$AI$1=FALSE),0,IF(AC919="SKLADEM",1,IF(AC919=$V$3,1,0)))</f>
        <v>1</v>
      </c>
      <c r="C919" s="714" t="s">
        <v>1665</v>
      </c>
      <c r="D919" s="715" t="s">
        <v>1663</v>
      </c>
      <c r="E919" s="716" t="s">
        <v>1078</v>
      </c>
      <c r="F919" s="712">
        <f>IFERROR(ROUND(IF($AL$3=2,VLOOKUP(C919,[2]List1!$A:$D,2,FALSE)*1.08,VLOOKUP(C919,[2]List1!$A:$D,2,FALSE)),0),"NEUVEDENO!")</f>
        <v>1948</v>
      </c>
      <c r="G919" s="717">
        <f t="shared" ref="G919:G920" si="2304">(F919)*$B$19</f>
        <v>1948</v>
      </c>
      <c r="H919" s="718">
        <f t="shared" ref="H919:H920" si="2305">G919/$F$19</f>
        <v>79.158353278691862</v>
      </c>
      <c r="I919" s="719">
        <v>2</v>
      </c>
      <c r="J919" s="716" t="s">
        <v>137</v>
      </c>
      <c r="K919" s="716"/>
      <c r="L919" s="716" t="s">
        <v>24</v>
      </c>
      <c r="M919" s="716" t="s">
        <v>138</v>
      </c>
      <c r="N919" s="716">
        <f>IFERROR(VLOOKUP(C919,[3]List1!$A:$D,4,FALSE),"N/A!")</f>
        <v>5.8740000000000001E-2</v>
      </c>
      <c r="O919" s="716">
        <f>IFERROR(VLOOKUP(C919,[3]List1!$A:$D,3,FALSE),"N/A!")</f>
        <v>1996</v>
      </c>
      <c r="P919" s="716">
        <f>IFERROR(VLOOKUP(C919,[3]List1!$A:$D,2,FALSE),"N/A!")</f>
        <v>18000</v>
      </c>
      <c r="Q919" s="716" t="s">
        <v>14287</v>
      </c>
      <c r="R919" s="716" t="s">
        <v>24</v>
      </c>
      <c r="S919" s="716" t="str">
        <f>IF($W$17=$AF$1,"design",IFERROR(VLOOKUP("design",Jazyky_ceník!$A:$Q,MATCH($W$17,Jazyky_ceník!$A$1:$Q$1,0),FALSE),"!!!"))</f>
        <v>design</v>
      </c>
      <c r="T919" s="716">
        <v>45</v>
      </c>
      <c r="U919" s="716" t="s">
        <v>13836</v>
      </c>
      <c r="V919" s="716" t="s">
        <v>13837</v>
      </c>
      <c r="W919" s="716" t="str">
        <f>IFERROR(VLOOKUP('General price list'!$C919,Popisy!A:P,MATCH($W$17,Popisy!$A$7:$P$7,0),FALSE),"---------------")</f>
        <v>5 různobarevných efektů</v>
      </c>
      <c r="X919" s="716" t="str">
        <f t="shared" ref="X919:X920" si="2306">IF(AB919&lt;0.0001,"",AB919)</f>
        <v/>
      </c>
      <c r="Y919" s="716" t="str">
        <f t="shared" ref="Y919:Y920" si="2307">IF($AL$3=2,IF(OR(AB919&lt;&gt;"",AB919&lt;&gt;0),AU919,""),IF(C919="","",IF(AB919&lt;0.0001,"",IF(B919=0,"",IF(AQ919&lt;AB919,"",AB919)))))</f>
        <v/>
      </c>
      <c r="Z919" s="716" t="str">
        <f>HYPERLINK("https://www.klasekpyrotechnics.cz/c47xmt")</f>
        <v>https://www.klasekpyrotechnics.cz/c47xmt</v>
      </c>
      <c r="AA919" s="716">
        <f>IFERROR(IF(VLOOKUP(C919,[4]List1!$A:$D,4,FALSE)=0,"",VLOOKUP(C919,[4]List1!$A:$D,4,FALSE)),"")</f>
        <v>10</v>
      </c>
      <c r="AB919" s="720"/>
      <c r="AC919" s="721" t="str">
        <f>IFERROR(IF(VLOOKUP(C919,[1]List1!$A:$D,2,FALSE)="VYPRODÁNO",$V$9,IF(VLOOKUP(C919,[1]List1!$A:$D,2,FALSE)="DOCHÁZÍ",$V$3,VLOOKUP(C919,[1]List1!$A:$D,2,FALSE))),"OFFLINE!")</f>
        <v>SKLADEM</v>
      </c>
      <c r="AD919" s="722" t="str">
        <f ca="1">IF(AP919="NE",$V$10,IF(AC919=$V$3,IF(AQ919&lt;1,$V$8,$V$2&amp;" "&amp;AQ919&amp;" "&amp;$V$1),IF(AC919="SKLADEM",$V$6,IFERROR(IF(OR(AC919-TODAY()&gt;45,VLOOKUP(C919,[1]List1!$A:$E,4,FALSE)=0),AC919,DAY(AC919)&amp;"."&amp;MONTH(AC919)&amp;"."&amp;YEAR(AC919)&amp;" "&amp;$V$4&amp;VLOOKUP(C919,[1]List1!$A:$E,4,FALSE)&amp;" "&amp;$V$1),AC919))))</f>
        <v>SKLADEM</v>
      </c>
      <c r="AE919" s="716" t="str">
        <f t="shared" ref="AE919:AE920" ca="1" si="2308">IFERROR(IF(AV919&lt;&gt;"",AV919,AD919),AD919)</f>
        <v>SKLADEM</v>
      </c>
      <c r="AF919" s="723">
        <f t="shared" ref="AF919:AF920" si="2309">IFERROR(IF(AB919=Y919,G919*I919*Y919,0),0)</f>
        <v>0</v>
      </c>
      <c r="AG919" s="723">
        <f t="shared" ref="AG919:AG920" si="2310">IF($W$17=$AF$8,AH919*1.23,AF919*1.21)</f>
        <v>0</v>
      </c>
      <c r="AH919" s="724">
        <f t="shared" ref="AH919:AH920" si="2311">IFERROR(IF(Y919=AB919,H919*I919*Y919,0),0)</f>
        <v>0</v>
      </c>
      <c r="AI919" s="716">
        <f t="shared" ref="AI919:AI920" si="2312">IFERROR(IF(Y919=AB919,(P919*Y919)/1000,1),0)</f>
        <v>0</v>
      </c>
      <c r="AJ919" s="716">
        <f t="shared" ref="AJ919:AJ920" si="2313">IFERROR(IF(Y919=AB919,N919*Y919,0.1),0)</f>
        <v>0</v>
      </c>
      <c r="AK919" s="716" t="str">
        <f t="shared" ref="AK919:AK920" si="2314">IFERROR(IF(Y919=AB919,IF(M919="1.1G",(O919/1000)*Y919,""),""),0)</f>
        <v/>
      </c>
      <c r="AL919" s="716">
        <f t="shared" ref="AL919:AL920" si="2315">IFERROR(IF(Y919=AB919,IF(M919="1.3G",(O919/1000)*AB919,""),""),0)</f>
        <v>0</v>
      </c>
      <c r="AM919" s="716" t="str">
        <f t="shared" ref="AM919:AM920" si="2316">IFERROR(IF(Y919=AB919,IF(M919="1.4G",(O919/1000)*AB919,""),""),0)</f>
        <v/>
      </c>
      <c r="AN919" s="716">
        <f t="shared" ref="AN919:AN920" si="2317">SUM(AK919:AM919)</f>
        <v>0</v>
      </c>
      <c r="AO919" s="380"/>
      <c r="AP919" s="322" t="str">
        <f t="shared" si="2282"/>
        <v/>
      </c>
      <c r="AQ919" s="323" t="str">
        <f>IF(AC919=$V$3,IF(VLOOKUP(C919,[1]List1!$A:$E,5,FALSE)=0,1,VLOOKUP(C919,[1]List1!$A:$E,5,FALSE)),"")</f>
        <v/>
      </c>
      <c r="AR919" s="304" t="str">
        <f t="shared" si="2283"/>
        <v/>
      </c>
      <c r="AS919" s="423" t="str">
        <f t="shared" si="2284"/>
        <v/>
      </c>
      <c r="AT919" s="304" t="str">
        <f t="shared" si="2285"/>
        <v/>
      </c>
      <c r="AU919" s="342" t="e">
        <f t="shared" si="2286"/>
        <v>#N/A</v>
      </c>
      <c r="AV919" s="304" t="e">
        <f t="shared" si="2287"/>
        <v>#N/A</v>
      </c>
      <c r="AX919" s="304">
        <f>IF(AND('General price list'!$J919="F4",'General price list'!$AB919+0&gt;0),1,0)</f>
        <v>0</v>
      </c>
      <c r="AY919" s="304">
        <f t="shared" si="2288"/>
        <v>1</v>
      </c>
      <c r="AZ919" s="304">
        <f t="shared" si="2289"/>
        <v>0</v>
      </c>
    </row>
    <row r="920" spans="1:52" ht="15" customHeight="1">
      <c r="A920" s="725" t="str">
        <f>Kat.!C918</f>
        <v/>
      </c>
      <c r="B920" s="726">
        <f>IF(AND('General price list'!$J920="F4",$AI$1=FALSE),0,IF(AC920="SKLADEM",1,IF(AC920=$V$3,1,0)))</f>
        <v>1</v>
      </c>
      <c r="C920" s="727" t="s">
        <v>1666</v>
      </c>
      <c r="D920" s="728" t="s">
        <v>1664</v>
      </c>
      <c r="E920" s="729" t="s">
        <v>1078</v>
      </c>
      <c r="F920" s="725">
        <f>IFERROR(ROUND(IF($AL$3=2,VLOOKUP(C920,[2]List1!$A:$D,2,FALSE)*1.08,VLOOKUP(C920,[2]List1!$A:$D,2,FALSE)),0),"NEUVEDENO!")</f>
        <v>1948</v>
      </c>
      <c r="G920" s="730">
        <f t="shared" si="2304"/>
        <v>1948</v>
      </c>
      <c r="H920" s="731">
        <f t="shared" si="2305"/>
        <v>79.158353278691862</v>
      </c>
      <c r="I920" s="732">
        <v>2</v>
      </c>
      <c r="J920" s="729" t="s">
        <v>137</v>
      </c>
      <c r="K920" s="729"/>
      <c r="L920" s="729" t="s">
        <v>24</v>
      </c>
      <c r="M920" s="729" t="s">
        <v>138</v>
      </c>
      <c r="N920" s="729">
        <f>IFERROR(VLOOKUP(C920,[3]List1!$A:$D,4,FALSE),"N/A!")</f>
        <v>5.8740000000000001E-2</v>
      </c>
      <c r="O920" s="729">
        <f>IFERROR(VLOOKUP(C920,[3]List1!$A:$D,3,FALSE),"N/A!")</f>
        <v>1996</v>
      </c>
      <c r="P920" s="729">
        <f>IFERROR(VLOOKUP(C920,[3]List1!$A:$D,2,FALSE),"N/A!")</f>
        <v>18000</v>
      </c>
      <c r="Q920" s="729" t="s">
        <v>14287</v>
      </c>
      <c r="R920" s="729" t="s">
        <v>24</v>
      </c>
      <c r="S920" s="729" t="str">
        <f>IF($W$17=$AF$1,"červená fólie",IFERROR(VLOOKUP("červená fólie",Jazyky_ceník!$A:$Q,MATCH($W$17,Jazyky_ceník!$A$1:$Q$1,0),FALSE),"!!!"))</f>
        <v>červená fólie</v>
      </c>
      <c r="T920" s="729">
        <v>40</v>
      </c>
      <c r="U920" s="729" t="s">
        <v>13836</v>
      </c>
      <c r="V920" s="729" t="s">
        <v>13837</v>
      </c>
      <c r="W920" s="729" t="str">
        <f>IFERROR(VLOOKUP('General price list'!$C920,Popisy!A:P,MATCH($W$17,Popisy!$A$7:$P$7,0),FALSE),"---------------")</f>
        <v>5 různobarevných efektů</v>
      </c>
      <c r="X920" s="729" t="str">
        <f t="shared" si="2306"/>
        <v/>
      </c>
      <c r="Y920" s="729" t="str">
        <f t="shared" si="2307"/>
        <v/>
      </c>
      <c r="Z920" s="729" t="str">
        <f>HYPERLINK("https://www.klasekpyrotechnics.cz/c47xma")</f>
        <v>https://www.klasekpyrotechnics.cz/c47xma</v>
      </c>
      <c r="AA920" s="729">
        <f>IFERROR(IF(VLOOKUP(C920,[4]List1!$A:$D,4,FALSE)=0,"",VLOOKUP(C920,[4]List1!$A:$D,4,FALSE)),"")</f>
        <v>10</v>
      </c>
      <c r="AB920" s="720"/>
      <c r="AC920" s="733" t="str">
        <f>IFERROR(IF(VLOOKUP(C920,[1]List1!$A:$D,2,FALSE)="VYPRODÁNO",$V$9,IF(VLOOKUP(C920,[1]List1!$A:$D,2,FALSE)="DOCHÁZÍ",$V$3,VLOOKUP(C920,[1]List1!$A:$D,2,FALSE))),"OFFLINE!")</f>
        <v>SKLADEM</v>
      </c>
      <c r="AD920" s="734" t="str">
        <f ca="1">IF(AP920="NE",$V$10,IF(AC920=$V$3,IF(AQ920&lt;1,$V$8,$V$2&amp;" "&amp;AQ920&amp;" "&amp;$V$1),IF(AC920="SKLADEM",$V$6,IFERROR(IF(OR(AC920-TODAY()&gt;45,VLOOKUP(C920,[1]List1!$A:$E,4,FALSE)=0),AC920,DAY(AC920)&amp;"."&amp;MONTH(AC920)&amp;"."&amp;YEAR(AC920)&amp;" "&amp;$V$4&amp;VLOOKUP(C920,[1]List1!$A:$E,4,FALSE)&amp;" "&amp;$V$1),AC920))))</f>
        <v>SKLADEM</v>
      </c>
      <c r="AE920" s="729" t="str">
        <f t="shared" ca="1" si="2308"/>
        <v>SKLADEM</v>
      </c>
      <c r="AF920" s="735">
        <f t="shared" si="2309"/>
        <v>0</v>
      </c>
      <c r="AG920" s="735">
        <f t="shared" si="2310"/>
        <v>0</v>
      </c>
      <c r="AH920" s="736">
        <f t="shared" si="2311"/>
        <v>0</v>
      </c>
      <c r="AI920" s="729">
        <f t="shared" si="2312"/>
        <v>0</v>
      </c>
      <c r="AJ920" s="729">
        <f t="shared" si="2313"/>
        <v>0</v>
      </c>
      <c r="AK920" s="729" t="str">
        <f t="shared" si="2314"/>
        <v/>
      </c>
      <c r="AL920" s="729">
        <f t="shared" si="2315"/>
        <v>0</v>
      </c>
      <c r="AM920" s="729" t="str">
        <f t="shared" si="2316"/>
        <v/>
      </c>
      <c r="AN920" s="729">
        <f t="shared" si="2317"/>
        <v>0</v>
      </c>
      <c r="AO920" s="380"/>
      <c r="AP920" s="322" t="str">
        <f t="shared" si="2282"/>
        <v/>
      </c>
      <c r="AQ920" s="323" t="str">
        <f>IF(AC920=$V$3,IF(VLOOKUP(C920,[1]List1!$A:$E,5,FALSE)=0,1,VLOOKUP(C920,[1]List1!$A:$E,5,FALSE)),"")</f>
        <v/>
      </c>
      <c r="AR920" s="304" t="str">
        <f t="shared" si="2283"/>
        <v/>
      </c>
      <c r="AS920" s="423" t="str">
        <f t="shared" si="2284"/>
        <v/>
      </c>
      <c r="AT920" s="304" t="str">
        <f t="shared" si="2285"/>
        <v/>
      </c>
      <c r="AU920" s="342" t="e">
        <f t="shared" si="2286"/>
        <v>#N/A</v>
      </c>
      <c r="AV920" s="304" t="e">
        <f t="shared" si="2287"/>
        <v>#N/A</v>
      </c>
      <c r="AX920" s="304">
        <f>IF(AND('General price list'!$J920="F4",'General price list'!$AB920+0&gt;0),1,0)</f>
        <v>0</v>
      </c>
      <c r="AY920" s="304">
        <f t="shared" si="2288"/>
        <v>1</v>
      </c>
      <c r="AZ920" s="304">
        <f t="shared" si="2289"/>
        <v>0</v>
      </c>
    </row>
    <row r="921" spans="1:52" ht="15" customHeight="1">
      <c r="A921" s="773" t="str">
        <f>Kat.!C919</f>
        <v xml:space="preserve">                                                               Baterie 62ran, 20+25+30+48mm rovný+šikmý+S moždíř-1.3G</v>
      </c>
      <c r="B921" s="774"/>
      <c r="C921" s="774"/>
      <c r="D921" s="774"/>
      <c r="E921" s="774"/>
      <c r="F921" s="774"/>
      <c r="G921" s="774"/>
      <c r="H921" s="774"/>
      <c r="I921" s="774"/>
      <c r="J921" s="774"/>
      <c r="K921" s="774"/>
      <c r="L921" s="774"/>
      <c r="M921" s="774"/>
      <c r="N921" s="774"/>
      <c r="O921" s="774"/>
      <c r="P921" s="774"/>
      <c r="Q921" s="774"/>
      <c r="R921" s="774"/>
      <c r="S921" s="774"/>
      <c r="T921" s="774"/>
      <c r="U921" s="774"/>
      <c r="V921" s="774"/>
      <c r="W921" s="774"/>
      <c r="X921" s="774"/>
      <c r="Y921" s="774"/>
      <c r="Z921" s="774"/>
      <c r="AA921" s="774" t="str">
        <f>IFERROR(IF(VLOOKUP(C921,[4]List1!$A:$D,4,FALSE)=0,"",VLOOKUP(C921,[4]List1!$A:$D,4,FALSE)),"")</f>
        <v/>
      </c>
      <c r="AB921" s="774"/>
      <c r="AC921" s="775" t="str">
        <f>IFERROR(IF(VLOOKUP(C921,[1]List1!$A:$D,2,FALSE)="VYPRODÁNO",$V$9,IF(VLOOKUP(C921,[1]List1!$A:$D,2,FALSE)="DOCHÁZÍ",$V$3,VLOOKUP(C921,[1]List1!$A:$D,2,FALSE))),"OFFLINE!")</f>
        <v>OFFLINE!</v>
      </c>
      <c r="AD921" s="774"/>
      <c r="AE921" s="774"/>
      <c r="AF921" s="774"/>
      <c r="AG921" s="774"/>
      <c r="AH921" s="774"/>
      <c r="AI921" s="774"/>
      <c r="AJ921" s="774"/>
      <c r="AK921" s="774"/>
      <c r="AL921" s="774"/>
      <c r="AM921" s="774"/>
      <c r="AN921" s="774"/>
      <c r="AO921" s="380"/>
      <c r="AP921" s="322" t="str">
        <f t="shared" si="2282"/>
        <v/>
      </c>
      <c r="AQ921" s="323" t="str">
        <f>IF(AC921=$V$3,IF(VLOOKUP(C921,[1]List1!$A:$E,5,FALSE)=0,1,VLOOKUP(C921,[1]List1!$A:$E,5,FALSE)),"")</f>
        <v/>
      </c>
      <c r="AR921" s="304" t="str">
        <f t="shared" si="2283"/>
        <v/>
      </c>
      <c r="AS921" s="423" t="str">
        <f t="shared" si="2284"/>
        <v/>
      </c>
      <c r="AT921" s="304" t="str">
        <f t="shared" si="2285"/>
        <v/>
      </c>
      <c r="AU921" s="342" t="e">
        <f t="shared" si="2286"/>
        <v>#N/A</v>
      </c>
      <c r="AV921" s="304" t="e">
        <f t="shared" si="2287"/>
        <v>#N/A</v>
      </c>
      <c r="AX921" s="304">
        <f>IF(AND('General price list'!$J921="F4",'General price list'!$AB921+0&gt;0),1,0)</f>
        <v>0</v>
      </c>
      <c r="AY921" s="304">
        <f t="shared" si="2288"/>
        <v>0</v>
      </c>
      <c r="AZ921" s="304">
        <f t="shared" si="2289"/>
        <v>0</v>
      </c>
    </row>
    <row r="922" spans="1:52" ht="15" customHeight="1">
      <c r="A922" s="725" t="str">
        <f>Kat.!C920</f>
        <v>×</v>
      </c>
      <c r="B922" s="741">
        <f>IF(AND('General price list'!$J922="F4",$AI$1=FALSE),0,IF(AC922="SKLADEM",1,IF(AC922=$V$3,1,0)))</f>
        <v>1</v>
      </c>
      <c r="C922" s="727" t="s">
        <v>1672</v>
      </c>
      <c r="D922" s="728" t="s">
        <v>1673</v>
      </c>
      <c r="E922" s="729" t="s">
        <v>1078</v>
      </c>
      <c r="F922" s="725">
        <f>IFERROR(ROUND(IF($AL$3=2,VLOOKUP(C922,[2]List1!$A:$D,2,FALSE)*1.08,VLOOKUP(C922,[2]List1!$A:$D,2,FALSE)),0),"NEUVEDENO!")</f>
        <v>1858</v>
      </c>
      <c r="G922" s="730">
        <f>(F922)*$B$19</f>
        <v>1858</v>
      </c>
      <c r="H922" s="731">
        <f>G922/$F$19</f>
        <v>75.50113983152437</v>
      </c>
      <c r="I922" s="742">
        <v>2</v>
      </c>
      <c r="J922" s="729" t="s">
        <v>137</v>
      </c>
      <c r="K922" s="729"/>
      <c r="L922" s="729" t="s">
        <v>24</v>
      </c>
      <c r="M922" s="729" t="s">
        <v>138</v>
      </c>
      <c r="N922" s="729">
        <f>IFERROR(VLOOKUP(C922,[3]List1!$A:$D,4,FALSE),"N/A!")</f>
        <v>5.7361999999999996E-2</v>
      </c>
      <c r="O922" s="729">
        <f>IFERROR(VLOOKUP(C922,[3]List1!$A:$D,3,FALSE),"N/A!")</f>
        <v>1982</v>
      </c>
      <c r="P922" s="729">
        <f>IFERROR(VLOOKUP(C922,[3]List1!$A:$D,2,FALSE),"N/A!")</f>
        <v>18000</v>
      </c>
      <c r="Q922" s="729" t="s">
        <v>14288</v>
      </c>
      <c r="R922" s="729" t="s">
        <v>24</v>
      </c>
      <c r="S922" s="729" t="str">
        <f>IF($W$17=$AF$1,"design",IFERROR(VLOOKUP("design",Jazyky_ceník!$A:$Q,MATCH($W$17,Jazyky_ceník!$A$1:$Q$1,0),FALSE),"!!!"))</f>
        <v>design</v>
      </c>
      <c r="T922" s="729">
        <v>60</v>
      </c>
      <c r="U922" s="729" t="s">
        <v>13844</v>
      </c>
      <c r="V922" s="729" t="s">
        <v>13845</v>
      </c>
      <c r="W922" s="729" t="str">
        <f>IFERROR(VLOOKUP('General price list'!$C922,Popisy!A:P,MATCH($W$17,Popisy!$A$7:$P$7,0),FALSE),"---------------")</f>
        <v>11 různobarevných efektů</v>
      </c>
      <c r="X922" s="729" t="str">
        <f>IF(AB922&lt;0.0001,"",AB922)</f>
        <v/>
      </c>
      <c r="Y922" s="729" t="str">
        <f>IF($AL$3=2,IF(OR(AB922&lt;&gt;"",AB922&lt;&gt;0),AU922,""),IF(C922="","",IF(AB922&lt;0.0001,"",IF(B922=0,"",IF(AQ922&lt;AB922,"",AB922)))))</f>
        <v/>
      </c>
      <c r="Z922" s="729" t="str">
        <f>HYPERLINK("https://www.klasekpyrotechnics.cz/c62smt")</f>
        <v>https://www.klasekpyrotechnics.cz/c62smt</v>
      </c>
      <c r="AA922" s="729">
        <f>IFERROR(IF(VLOOKUP(C922,[4]List1!$A:$D,4,FALSE)=0,"",VLOOKUP(C922,[4]List1!$A:$D,4,FALSE)),"")</f>
        <v>24</v>
      </c>
      <c r="AB922" s="720"/>
      <c r="AC922" s="743" t="str">
        <f>IFERROR(IF(VLOOKUP(C922,[1]List1!$A:$D,2,FALSE)="VYPRODÁNO",$V$9,IF(VLOOKUP(C922,[1]List1!$A:$D,2,FALSE)="DOCHÁZÍ",$V$3,VLOOKUP(C922,[1]List1!$A:$D,2,FALSE))),"OFFLINE!")</f>
        <v>SKLADEM</v>
      </c>
      <c r="AD922" s="744" t="str">
        <f ca="1">IF(AP922="NE",$V$10,IF(AC922=$V$3,IF(AQ922&lt;1,$V$8,$V$2&amp;" "&amp;AQ922&amp;" "&amp;$V$1),IF(AC922="SKLADEM",$V$6,IFERROR(IF(OR(AC922-TODAY()&gt;45,VLOOKUP(C922,[1]List1!$A:$E,4,FALSE)=0),AC922,DAY(AC922)&amp;"."&amp;MONTH(AC922)&amp;"."&amp;YEAR(AC922)&amp;" "&amp;$V$4&amp;VLOOKUP(C922,[1]List1!$A:$E,4,FALSE)&amp;" "&amp;$V$1),AC922))))</f>
        <v>SKLADEM</v>
      </c>
      <c r="AE922" s="729" t="str">
        <f t="shared" ref="AE922" ca="1" si="2318">IFERROR(IF(AV922&lt;&gt;"",AV922,AD922),AD922)</f>
        <v>SKLADEM</v>
      </c>
      <c r="AF922" s="735">
        <f t="shared" ref="AF922" si="2319">IFERROR(IF(AB922=Y922,G922*I922*Y922,0),0)</f>
        <v>0</v>
      </c>
      <c r="AG922" s="735">
        <f t="shared" ref="AG922" si="2320">IF($W$17=$AF$8,AH922*1.23,AF922*1.21)</f>
        <v>0</v>
      </c>
      <c r="AH922" s="736">
        <f t="shared" ref="AH922" si="2321">IFERROR(IF(Y922=AB922,H922*I922*Y922,0),0)</f>
        <v>0</v>
      </c>
      <c r="AI922" s="729">
        <f t="shared" ref="AI922" si="2322">IFERROR(IF(Y922=AB922,(P922*Y922)/1000,1),0)</f>
        <v>0</v>
      </c>
      <c r="AJ922" s="729">
        <f t="shared" ref="AJ922" si="2323">IFERROR(IF(Y922=AB922,N922*Y922,0.1),0)</f>
        <v>0</v>
      </c>
      <c r="AK922" s="729" t="str">
        <f t="shared" ref="AK922" si="2324">IFERROR(IF(Y922=AB922,IF(M922="1.1G",(O922/1000)*Y922,""),""),0)</f>
        <v/>
      </c>
      <c r="AL922" s="729">
        <f t="shared" ref="AL922" si="2325">IFERROR(IF(Y922=AB922,IF(M922="1.3G",(O922/1000)*AB922,""),""),0)</f>
        <v>0</v>
      </c>
      <c r="AM922" s="729" t="str">
        <f t="shared" ref="AM922" si="2326">IFERROR(IF(Y922=AB922,IF(M922="1.4G",(O922/1000)*AB922,""),""),0)</f>
        <v/>
      </c>
      <c r="AN922" s="729">
        <f t="shared" ref="AN922" si="2327">SUM(AK922:AM922)</f>
        <v>0</v>
      </c>
      <c r="AO922" s="380"/>
      <c r="AP922" s="322" t="str">
        <f t="shared" si="2282"/>
        <v/>
      </c>
      <c r="AQ922" s="323" t="str">
        <f>IF(AC922=$V$3,IF(VLOOKUP(C922,[1]List1!$A:$E,5,FALSE)=0,1,VLOOKUP(C922,[1]List1!$A:$E,5,FALSE)),"")</f>
        <v/>
      </c>
      <c r="AR922" s="304" t="str">
        <f t="shared" si="2283"/>
        <v/>
      </c>
      <c r="AS922" s="423" t="str">
        <f t="shared" si="2284"/>
        <v/>
      </c>
      <c r="AT922" s="304" t="str">
        <f t="shared" si="2285"/>
        <v/>
      </c>
      <c r="AU922" s="342" t="e">
        <f t="shared" si="2286"/>
        <v>#N/A</v>
      </c>
      <c r="AV922" s="304" t="e">
        <f t="shared" si="2287"/>
        <v>#N/A</v>
      </c>
      <c r="AX922" s="304">
        <f>IF(AND('General price list'!$J922="F4",'General price list'!$AB922+0&gt;0),1,0)</f>
        <v>0</v>
      </c>
      <c r="AY922" s="304">
        <f t="shared" si="2288"/>
        <v>1</v>
      </c>
      <c r="AZ922" s="304">
        <f t="shared" si="2289"/>
        <v>0</v>
      </c>
    </row>
    <row r="923" spans="1:52" ht="15" customHeight="1">
      <c r="A923" s="773" t="str">
        <f>Kat.!C921</f>
        <v xml:space="preserve">                                                               Baterie 63ran, 25+45mm rovný+šikmý moždíř-1.3G</v>
      </c>
      <c r="B923" s="774"/>
      <c r="C923" s="774"/>
      <c r="D923" s="774"/>
      <c r="E923" s="774"/>
      <c r="F923" s="774"/>
      <c r="G923" s="774"/>
      <c r="H923" s="774"/>
      <c r="I923" s="774"/>
      <c r="J923" s="774"/>
      <c r="K923" s="774"/>
      <c r="L923" s="774"/>
      <c r="M923" s="774"/>
      <c r="N923" s="774"/>
      <c r="O923" s="774"/>
      <c r="P923" s="774"/>
      <c r="Q923" s="774"/>
      <c r="R923" s="774"/>
      <c r="S923" s="774"/>
      <c r="T923" s="774"/>
      <c r="U923" s="774"/>
      <c r="V923" s="774"/>
      <c r="W923" s="774"/>
      <c r="X923" s="774"/>
      <c r="Y923" s="774"/>
      <c r="Z923" s="774"/>
      <c r="AA923" s="774" t="str">
        <f>IFERROR(IF(VLOOKUP(C923,[4]List1!$A:$D,4,FALSE)=0,"",VLOOKUP(C923,[4]List1!$A:$D,4,FALSE)),"")</f>
        <v/>
      </c>
      <c r="AB923" s="774"/>
      <c r="AC923" s="775" t="str">
        <f>IFERROR(IF(VLOOKUP(C923,[1]List1!$A:$D,2,FALSE)="VYPRODÁNO",$V$9,IF(VLOOKUP(C923,[1]List1!$A:$D,2,FALSE)="DOCHÁZÍ",$V$3,VLOOKUP(C923,[1]List1!$A:$D,2,FALSE))),"OFFLINE!")</f>
        <v>OFFLINE!</v>
      </c>
      <c r="AD923" s="774"/>
      <c r="AE923" s="774"/>
      <c r="AF923" s="774"/>
      <c r="AG923" s="774"/>
      <c r="AH923" s="774"/>
      <c r="AI923" s="774"/>
      <c r="AJ923" s="774"/>
      <c r="AK923" s="774"/>
      <c r="AL923" s="774"/>
      <c r="AM923" s="774"/>
      <c r="AN923" s="774"/>
      <c r="AO923" s="380"/>
      <c r="AP923" s="322" t="str">
        <f t="shared" si="2282"/>
        <v/>
      </c>
      <c r="AQ923" s="323" t="str">
        <f>IF(AC923=$V$3,IF(VLOOKUP(C923,[1]List1!$A:$E,5,FALSE)=0,1,VLOOKUP(C923,[1]List1!$A:$E,5,FALSE)),"")</f>
        <v/>
      </c>
      <c r="AR923" s="304" t="str">
        <f t="shared" si="2283"/>
        <v/>
      </c>
      <c r="AS923" s="423" t="str">
        <f t="shared" si="2284"/>
        <v/>
      </c>
      <c r="AT923" s="304" t="str">
        <f t="shared" si="2285"/>
        <v/>
      </c>
      <c r="AU923" s="342" t="e">
        <f t="shared" si="2286"/>
        <v>#N/A</v>
      </c>
      <c r="AV923" s="304" t="e">
        <f t="shared" si="2287"/>
        <v>#N/A</v>
      </c>
      <c r="AX923" s="304">
        <f>IF(AND('General price list'!$J923="F4",'General price list'!$AB923+0&gt;0),1,0)</f>
        <v>0</v>
      </c>
      <c r="AY923" s="304">
        <f t="shared" si="2288"/>
        <v>0</v>
      </c>
      <c r="AZ923" s="304">
        <f t="shared" si="2289"/>
        <v>0</v>
      </c>
    </row>
    <row r="924" spans="1:52" ht="15" customHeight="1">
      <c r="A924" s="725" t="str">
        <f>Kat.!C922</f>
        <v/>
      </c>
      <c r="B924" s="741">
        <f>IF(AND('General price list'!$J924="F4",$AI$1=FALSE),0,IF(AC924="SKLADEM",1,IF(AC924=$V$3,1,0)))</f>
        <v>1</v>
      </c>
      <c r="C924" s="727" t="s">
        <v>1674</v>
      </c>
      <c r="D924" s="728" t="s">
        <v>1675</v>
      </c>
      <c r="E924" s="729" t="s">
        <v>810</v>
      </c>
      <c r="F924" s="725">
        <f>IFERROR(ROUND(IF($AL$3=2,VLOOKUP(C924,[2]List1!$A:$D,2,FALSE)*1.08,VLOOKUP(C924,[2]List1!$A:$D,2,FALSE)),0),"NEUVEDENO!")</f>
        <v>1487</v>
      </c>
      <c r="G924" s="730">
        <f t="shared" ref="G924:G925" si="2328">(F924)*$B$19</f>
        <v>1487</v>
      </c>
      <c r="H924" s="731">
        <f t="shared" ref="H924:H925" si="2329">G924/$F$19</f>
        <v>60.425293288200614</v>
      </c>
      <c r="I924" s="742">
        <v>3</v>
      </c>
      <c r="J924" s="729" t="s">
        <v>137</v>
      </c>
      <c r="K924" s="729"/>
      <c r="L924" s="729" t="s">
        <v>24</v>
      </c>
      <c r="M924" s="729" t="s">
        <v>138</v>
      </c>
      <c r="N924" s="729">
        <f>IFERROR(VLOOKUP(C924,[3]List1!$A:$D,4,FALSE),"N/A!")</f>
        <v>6.3652500000000001E-2</v>
      </c>
      <c r="O924" s="729">
        <f>IFERROR(VLOOKUP(C924,[3]List1!$A:$D,3,FALSE),"N/A!")</f>
        <v>2994</v>
      </c>
      <c r="P924" s="729">
        <f>IFERROR(VLOOKUP(C924,[3]List1!$A:$D,2,FALSE),"N/A!")</f>
        <v>24400</v>
      </c>
      <c r="Q924" s="729" t="s">
        <v>14289</v>
      </c>
      <c r="R924" s="729" t="s">
        <v>24</v>
      </c>
      <c r="S924" s="729" t="str">
        <f>IF($W$17=$AF$1,"červená fólie",IFERROR(VLOOKUP("červená fólie",Jazyky_ceník!$A:$Q,MATCH($W$17,Jazyky_ceník!$A$1:$Q$1,0),FALSE),"!!!"))</f>
        <v>červená fólie</v>
      </c>
      <c r="T924" s="729">
        <v>55</v>
      </c>
      <c r="U924" s="729" t="s">
        <v>13846</v>
      </c>
      <c r="V924" s="729" t="s">
        <v>13847</v>
      </c>
      <c r="W924" s="729" t="str">
        <f>IFERROR(VLOOKUP('General price list'!$C924,Popisy!A:P,MATCH($W$17,Popisy!$A$7:$P$7,0),FALSE),"---------------")</f>
        <v>13 různobarevných efektů</v>
      </c>
      <c r="X924" s="729" t="str">
        <f t="shared" ref="X924:X925" si="2330">IF(AB924&lt;0.0001,"",AB924)</f>
        <v/>
      </c>
      <c r="Y924" s="729" t="str">
        <f t="shared" ref="Y924:Y925" si="2331">IF($AL$3=2,IF(OR(AB924&lt;&gt;"",AB924&lt;&gt;0),AU924,""),IF(C924="","",IF(AB924&lt;0.0001,"",IF(B924=0,"",IF(AQ924&lt;AB924,"",AB924)))))</f>
        <v/>
      </c>
      <c r="Z924" s="729" t="str">
        <f>HYPERLINK("https://www.klasekpyrotechnics.cz/c63mm")</f>
        <v>https://www.klasekpyrotechnics.cz/c63mm</v>
      </c>
      <c r="AA924" s="729">
        <f>IFERROR(IF(VLOOKUP(C924,[4]List1!$A:$D,4,FALSE)=0,"",VLOOKUP(C924,[4]List1!$A:$D,4,FALSE)),"")</f>
        <v>21</v>
      </c>
      <c r="AB924" s="720"/>
      <c r="AC924" s="743" t="str">
        <f>IFERROR(IF(VLOOKUP(C924,[1]List1!$A:$D,2,FALSE)="VYPRODÁNO",$V$9,IF(VLOOKUP(C924,[1]List1!$A:$D,2,FALSE)="DOCHÁZÍ",$V$3,VLOOKUP(C924,[1]List1!$A:$D,2,FALSE))),"OFFLINE!")</f>
        <v>SKLADEM</v>
      </c>
      <c r="AD924" s="744" t="str">
        <f ca="1">IF(AP924="NE",$V$10,IF(AC924=$V$3,IF(AQ924&lt;1,$V$8,$V$2&amp;" "&amp;AQ924&amp;" "&amp;$V$1),IF(AC924="SKLADEM",$V$6,IFERROR(IF(OR(AC924-TODAY()&gt;45,VLOOKUP(C924,[1]List1!$A:$E,4,FALSE)=0),AC924,DAY(AC924)&amp;"."&amp;MONTH(AC924)&amp;"."&amp;YEAR(AC924)&amp;" "&amp;$V$4&amp;VLOOKUP(C924,[1]List1!$A:$E,4,FALSE)&amp;" "&amp;$V$1),AC924))))</f>
        <v>SKLADEM</v>
      </c>
      <c r="AE924" s="729" t="str">
        <f t="shared" ref="AE924:AE925" ca="1" si="2332">IFERROR(IF(AV924&lt;&gt;"",AV924,AD924),AD924)</f>
        <v>SKLADEM</v>
      </c>
      <c r="AF924" s="735">
        <f t="shared" ref="AF924:AF925" si="2333">IFERROR(IF(AB924=Y924,G924*I924*Y924,0),0)</f>
        <v>0</v>
      </c>
      <c r="AG924" s="735">
        <f t="shared" ref="AG924:AG925" si="2334">IF($W$17=$AF$8,AH924*1.23,AF924*1.21)</f>
        <v>0</v>
      </c>
      <c r="AH924" s="736">
        <f t="shared" ref="AH924:AH925" si="2335">IFERROR(IF(Y924=AB924,H924*I924*Y924,0),0)</f>
        <v>0</v>
      </c>
      <c r="AI924" s="729">
        <f t="shared" ref="AI924:AI925" si="2336">IFERROR(IF(Y924=AB924,(P924*Y924)/1000,1),0)</f>
        <v>0</v>
      </c>
      <c r="AJ924" s="729">
        <f t="shared" ref="AJ924:AJ925" si="2337">IFERROR(IF(Y924=AB924,N924*Y924,0.1),0)</f>
        <v>0</v>
      </c>
      <c r="AK924" s="729" t="str">
        <f t="shared" ref="AK924:AK925" si="2338">IFERROR(IF(Y924=AB924,IF(M924="1.1G",(O924/1000)*Y924,""),""),0)</f>
        <v/>
      </c>
      <c r="AL924" s="729">
        <f t="shared" ref="AL924:AL925" si="2339">IFERROR(IF(Y924=AB924,IF(M924="1.3G",(O924/1000)*AB924,""),""),0)</f>
        <v>0</v>
      </c>
      <c r="AM924" s="729" t="str">
        <f t="shared" ref="AM924:AM925" si="2340">IFERROR(IF(Y924=AB924,IF(M924="1.4G",(O924/1000)*AB924,""),""),0)</f>
        <v/>
      </c>
      <c r="AN924" s="729">
        <f t="shared" ref="AN924:AN925" si="2341">SUM(AK924:AM924)</f>
        <v>0</v>
      </c>
      <c r="AO924" s="380"/>
      <c r="AP924" s="322" t="str">
        <f t="shared" si="2282"/>
        <v/>
      </c>
      <c r="AQ924" s="323" t="str">
        <f>IF(AC924=$V$3,IF(VLOOKUP(C924,[1]List1!$A:$E,5,FALSE)=0,1,VLOOKUP(C924,[1]List1!$A:$E,5,FALSE)),"")</f>
        <v/>
      </c>
      <c r="AR924" s="304" t="str">
        <f t="shared" si="2283"/>
        <v/>
      </c>
      <c r="AS924" s="423" t="str">
        <f t="shared" si="2284"/>
        <v/>
      </c>
      <c r="AT924" s="304" t="str">
        <f t="shared" si="2285"/>
        <v/>
      </c>
      <c r="AU924" s="342" t="e">
        <f t="shared" si="2286"/>
        <v>#N/A</v>
      </c>
      <c r="AV924" s="304" t="e">
        <f t="shared" si="2287"/>
        <v>#N/A</v>
      </c>
      <c r="AX924" s="304">
        <f>IF(AND('General price list'!$J924="F4",'General price list'!$AB924+0&gt;0),1,0)</f>
        <v>0</v>
      </c>
      <c r="AY924" s="304">
        <f t="shared" si="2288"/>
        <v>1</v>
      </c>
      <c r="AZ924" s="304">
        <f t="shared" si="2289"/>
        <v>0</v>
      </c>
    </row>
    <row r="925" spans="1:52" ht="15" customHeight="1">
      <c r="A925" s="712" t="str">
        <f>Kat.!C923</f>
        <v>×</v>
      </c>
      <c r="B925" s="745">
        <f>IF(AND('General price list'!$J925="F4",$AI$1=FALSE),0,IF(AC925="SKLADEM",1,IF(AC925=$V$3,1,0)))</f>
        <v>1</v>
      </c>
      <c r="C925" s="714" t="s">
        <v>2614</v>
      </c>
      <c r="D925" s="715" t="s">
        <v>2615</v>
      </c>
      <c r="E925" s="716" t="s">
        <v>810</v>
      </c>
      <c r="F925" s="712">
        <f>IFERROR(ROUND(IF($AL$3=2,VLOOKUP(C925,[2]List1!$A:$D,2,FALSE)*1.08,VLOOKUP(C925,[2]List1!$A:$D,2,FALSE)),0),"NEUVEDENO!")</f>
        <v>1487</v>
      </c>
      <c r="G925" s="717">
        <f t="shared" si="2328"/>
        <v>1487</v>
      </c>
      <c r="H925" s="718">
        <f t="shared" si="2329"/>
        <v>60.425293288200614</v>
      </c>
      <c r="I925" s="746">
        <v>3</v>
      </c>
      <c r="J925" s="716" t="s">
        <v>137</v>
      </c>
      <c r="K925" s="716"/>
      <c r="L925" s="716" t="s">
        <v>24</v>
      </c>
      <c r="M925" s="716" t="s">
        <v>138</v>
      </c>
      <c r="N925" s="716">
        <f>IFERROR(VLOOKUP(C925,[3]List1!$A:$D,4,FALSE),"N/A!")</f>
        <v>7.6106250000000014E-2</v>
      </c>
      <c r="O925" s="716">
        <f>IFERROR(VLOOKUP(C925,[3]List1!$A:$D,3,FALSE),"N/A!")</f>
        <v>2994</v>
      </c>
      <c r="P925" s="716">
        <f>IFERROR(VLOOKUP(C925,[3]List1!$A:$D,2,FALSE),"N/A!")</f>
        <v>25000</v>
      </c>
      <c r="Q925" s="716" t="s">
        <v>14290</v>
      </c>
      <c r="R925" s="716" t="s">
        <v>24</v>
      </c>
      <c r="S925" s="716" t="str">
        <f>IF($W$17=$AF$1,"červená fólie",IFERROR(VLOOKUP("červená fólie",Jazyky_ceník!$A:$Q,MATCH($W$17,Jazyky_ceník!$A$1:$Q$1,0),FALSE),"!!!"))</f>
        <v>červená fólie</v>
      </c>
      <c r="T925" s="716">
        <v>55</v>
      </c>
      <c r="U925" s="716" t="s">
        <v>13846</v>
      </c>
      <c r="V925" s="716" t="s">
        <v>13847</v>
      </c>
      <c r="W925" s="716" t="str">
        <f>IFERROR(VLOOKUP('General price list'!$C925,Popisy!A:P,MATCH($W$17,Popisy!$A$7:$P$7,0),FALSE),"---------------")</f>
        <v>13 různobarevných efektů</v>
      </c>
      <c r="X925" s="716" t="str">
        <f t="shared" si="2330"/>
        <v/>
      </c>
      <c r="Y925" s="716" t="str">
        <f t="shared" si="2331"/>
        <v/>
      </c>
      <c r="Z925" s="716" t="str">
        <f>HYPERLINK("https://www.klasekpyrotechnics.cz/c63mp")</f>
        <v>https://www.klasekpyrotechnics.cz/c63mp</v>
      </c>
      <c r="AA925" s="716">
        <f>IFERROR(IF(VLOOKUP(C925,[4]List1!$A:$D,4,FALSE)=0,"",VLOOKUP(C925,[4]List1!$A:$D,4,FALSE)),"")</f>
        <v>18</v>
      </c>
      <c r="AB925" s="720"/>
      <c r="AC925" s="747" t="str">
        <f>IFERROR(IF(VLOOKUP(C925,[1]List1!$A:$D,2,FALSE)="VYPRODÁNO",$V$9,IF(VLOOKUP(C925,[1]List1!$A:$D,2,FALSE)="DOCHÁZÍ",$V$3,VLOOKUP(C925,[1]List1!$A:$D,2,FALSE))),"OFFLINE!")</f>
        <v>SKLADEM</v>
      </c>
      <c r="AD925" s="748" t="str">
        <f ca="1">IF(AP925="NE",$V$10,IF(AC925=$V$3,IF(AQ925&lt;1,$V$8,$V$2&amp;" "&amp;AQ925&amp;" "&amp;$V$1),IF(AC925="SKLADEM",$V$6,IFERROR(IF(OR(AC925-TODAY()&gt;45,VLOOKUP(C925,[1]List1!$A:$E,4,FALSE)=0),AC925,DAY(AC925)&amp;"."&amp;MONTH(AC925)&amp;"."&amp;YEAR(AC925)&amp;" "&amp;$V$4&amp;VLOOKUP(C925,[1]List1!$A:$E,4,FALSE)&amp;" "&amp;$V$1),AC925))))</f>
        <v>SKLADEM</v>
      </c>
      <c r="AE925" s="716" t="str">
        <f t="shared" ca="1" si="2332"/>
        <v>SKLADEM</v>
      </c>
      <c r="AF925" s="723">
        <f t="shared" si="2333"/>
        <v>0</v>
      </c>
      <c r="AG925" s="723">
        <f t="shared" si="2334"/>
        <v>0</v>
      </c>
      <c r="AH925" s="724">
        <f t="shared" si="2335"/>
        <v>0</v>
      </c>
      <c r="AI925" s="716">
        <f t="shared" si="2336"/>
        <v>0</v>
      </c>
      <c r="AJ925" s="716">
        <f t="shared" si="2337"/>
        <v>0</v>
      </c>
      <c r="AK925" s="716" t="str">
        <f t="shared" si="2338"/>
        <v/>
      </c>
      <c r="AL925" s="716">
        <f t="shared" si="2339"/>
        <v>0</v>
      </c>
      <c r="AM925" s="716" t="str">
        <f t="shared" si="2340"/>
        <v/>
      </c>
      <c r="AN925" s="716">
        <f t="shared" si="2341"/>
        <v>0</v>
      </c>
      <c r="AO925" s="380"/>
      <c r="AP925" s="322" t="str">
        <f t="shared" si="2282"/>
        <v/>
      </c>
      <c r="AQ925" s="323" t="str">
        <f>IF(AC925=$V$3,IF(VLOOKUP(C925,[1]List1!$A:$E,5,FALSE)=0,1,VLOOKUP(C925,[1]List1!$A:$E,5,FALSE)),"")</f>
        <v/>
      </c>
      <c r="AR925" s="304" t="str">
        <f t="shared" si="2283"/>
        <v/>
      </c>
      <c r="AS925" s="423" t="str">
        <f t="shared" si="2284"/>
        <v/>
      </c>
      <c r="AT925" s="304" t="str">
        <f t="shared" si="2285"/>
        <v/>
      </c>
      <c r="AU925" s="342" t="e">
        <f t="shared" si="2286"/>
        <v>#N/A</v>
      </c>
      <c r="AV925" s="304" t="e">
        <f t="shared" si="2287"/>
        <v>#N/A</v>
      </c>
      <c r="AX925" s="304">
        <f>IF(AND('General price list'!$J925="F4",'General price list'!$AB925+0&gt;0),1,0)</f>
        <v>0</v>
      </c>
      <c r="AY925" s="304">
        <f t="shared" si="2288"/>
        <v>1</v>
      </c>
      <c r="AZ925" s="304">
        <f t="shared" si="2289"/>
        <v>0</v>
      </c>
    </row>
    <row r="926" spans="1:52" ht="15" customHeight="1">
      <c r="A926" s="773" t="str">
        <f>Kat.!C924</f>
        <v xml:space="preserve">                                                               Baterie 66ran, 20+25+30+48mm moždíř-1.3G</v>
      </c>
      <c r="B926" s="774"/>
      <c r="C926" s="774"/>
      <c r="D926" s="774"/>
      <c r="E926" s="774"/>
      <c r="F926" s="774"/>
      <c r="G926" s="774"/>
      <c r="H926" s="774"/>
      <c r="I926" s="774"/>
      <c r="J926" s="774"/>
      <c r="K926" s="774"/>
      <c r="L926" s="774"/>
      <c r="M926" s="774"/>
      <c r="N926" s="774"/>
      <c r="O926" s="774"/>
      <c r="P926" s="774"/>
      <c r="Q926" s="774"/>
      <c r="R926" s="774"/>
      <c r="S926" s="774"/>
      <c r="T926" s="774"/>
      <c r="U926" s="774"/>
      <c r="V926" s="774"/>
      <c r="W926" s="774"/>
      <c r="X926" s="774"/>
      <c r="Y926" s="774"/>
      <c r="Z926" s="774"/>
      <c r="AA926" s="774" t="str">
        <f>IFERROR(IF(VLOOKUP(C926,[4]List1!$A:$D,4,FALSE)=0,"",VLOOKUP(C926,[4]List1!$A:$D,4,FALSE)),"")</f>
        <v/>
      </c>
      <c r="AB926" s="774"/>
      <c r="AC926" s="775" t="str">
        <f>IFERROR(IF(VLOOKUP(C926,[1]List1!$A:$D,2,FALSE)="VYPRODÁNO",$V$9,IF(VLOOKUP(C926,[1]List1!$A:$D,2,FALSE)="DOCHÁZÍ",$V$3,VLOOKUP(C926,[1]List1!$A:$D,2,FALSE))),"OFFLINE!")</f>
        <v>OFFLINE!</v>
      </c>
      <c r="AD926" s="774"/>
      <c r="AE926" s="774"/>
      <c r="AF926" s="774"/>
      <c r="AG926" s="774"/>
      <c r="AH926" s="774"/>
      <c r="AI926" s="774"/>
      <c r="AJ926" s="774"/>
      <c r="AK926" s="774"/>
      <c r="AL926" s="774"/>
      <c r="AM926" s="774"/>
      <c r="AN926" s="774"/>
      <c r="AO926" s="380"/>
      <c r="AP926" s="322" t="str">
        <f t="shared" si="2282"/>
        <v/>
      </c>
      <c r="AQ926" s="323" t="str">
        <f>IF(AC926=$V$3,IF(VLOOKUP(C926,[1]List1!$A:$E,5,FALSE)=0,1,VLOOKUP(C926,[1]List1!$A:$E,5,FALSE)),"")</f>
        <v/>
      </c>
      <c r="AR926" s="304" t="str">
        <f t="shared" si="2283"/>
        <v/>
      </c>
      <c r="AS926" s="423" t="str">
        <f t="shared" si="2284"/>
        <v/>
      </c>
      <c r="AT926" s="304" t="str">
        <f t="shared" si="2285"/>
        <v/>
      </c>
      <c r="AU926" s="342" t="e">
        <f t="shared" si="2286"/>
        <v>#N/A</v>
      </c>
      <c r="AV926" s="304" t="e">
        <f t="shared" si="2287"/>
        <v>#N/A</v>
      </c>
      <c r="AX926" s="304">
        <f>IF(AND('General price list'!$J926="F4",'General price list'!$AB926+0&gt;0),1,0)</f>
        <v>0</v>
      </c>
      <c r="AY926" s="304">
        <f t="shared" si="2288"/>
        <v>0</v>
      </c>
      <c r="AZ926" s="304">
        <f t="shared" si="2289"/>
        <v>0</v>
      </c>
    </row>
    <row r="927" spans="1:52" ht="15" customHeight="1">
      <c r="A927" s="712" t="str">
        <f>Kat.!C925</f>
        <v/>
      </c>
      <c r="B927" s="713">
        <f>IF(AND('General price list'!$J927="F4",$AI$1=FALSE),0,IF(AC927="SKLADEM",1,IF(AC927=$V$3,1,0)))</f>
        <v>1</v>
      </c>
      <c r="C927" s="714" t="s">
        <v>1681</v>
      </c>
      <c r="D927" s="715" t="s">
        <v>1682</v>
      </c>
      <c r="E927" s="716" t="s">
        <v>1078</v>
      </c>
      <c r="F927" s="712">
        <f>IFERROR(ROUND(IF($AL$3=2,VLOOKUP(C927,[2]List1!$A:$D,2,FALSE)*1.08,VLOOKUP(C927,[2]List1!$A:$D,2,FALSE)),0),"NEUVEDENO!")</f>
        <v>1961</v>
      </c>
      <c r="G927" s="717">
        <f>(F927)*$B$19</f>
        <v>1961</v>
      </c>
      <c r="H927" s="718">
        <f>G927/$F$19</f>
        <v>79.686617443282714</v>
      </c>
      <c r="I927" s="719">
        <v>2</v>
      </c>
      <c r="J927" s="716" t="s">
        <v>137</v>
      </c>
      <c r="K927" s="716"/>
      <c r="L927" s="716" t="s">
        <v>24</v>
      </c>
      <c r="M927" s="716" t="s">
        <v>138</v>
      </c>
      <c r="N927" s="716">
        <f>IFERROR(VLOOKUP(C927,[3]List1!$A:$D,4,FALSE),"N/A!")</f>
        <v>5.1749999999999997E-2</v>
      </c>
      <c r="O927" s="716">
        <f>IFERROR(VLOOKUP(C927,[3]List1!$A:$D,3,FALSE),"N/A!")</f>
        <v>1978</v>
      </c>
      <c r="P927" s="716">
        <f>IFERROR(VLOOKUP(C927,[3]List1!$A:$D,2,FALSE),"N/A!")</f>
        <v>16000</v>
      </c>
      <c r="Q927" s="716" t="s">
        <v>14291</v>
      </c>
      <c r="R927" s="716" t="s">
        <v>24</v>
      </c>
      <c r="S927" s="716" t="str">
        <f>IF($W$17=$AF$1,"design",IFERROR(VLOOKUP("design",Jazyky_ceník!$A:$Q,MATCH($W$17,Jazyky_ceník!$A$1:$Q$1,0),FALSE),"!!!"))</f>
        <v>design</v>
      </c>
      <c r="T927" s="716">
        <v>70</v>
      </c>
      <c r="U927" s="716" t="s">
        <v>13844</v>
      </c>
      <c r="V927" s="716" t="s">
        <v>13845</v>
      </c>
      <c r="W927" s="716" t="str">
        <f>IFERROR(VLOOKUP('General price list'!$C927,Popisy!A:P,MATCH($W$17,Popisy!$A$7:$P$7,0),FALSE),"---------------")</f>
        <v>10 různobarevných efektů</v>
      </c>
      <c r="X927" s="716" t="str">
        <f>IF(AB927&lt;0.0001,"",AB927)</f>
        <v/>
      </c>
      <c r="Y927" s="716" t="str">
        <f>IF($AL$3=2,IF(OR(AB927&lt;&gt;"",AB927&lt;&gt;0),AU927,""),IF(C927="","",IF(AB927&lt;0.0001,"",IF(B927=0,"",IF(AQ927&lt;AB927,"",AB927)))))</f>
        <v/>
      </c>
      <c r="Z927" s="716" t="str">
        <f>HYPERLINK("https://www.klasekpyrotechnics.cz/c66smmo")</f>
        <v>https://www.klasekpyrotechnics.cz/c66smmo</v>
      </c>
      <c r="AA927" s="716">
        <f>IFERROR(IF(VLOOKUP(C927,[4]List1!$A:$D,4,FALSE)=0,"",VLOOKUP(C927,[4]List1!$A:$D,4,FALSE)),"")</f>
        <v>20</v>
      </c>
      <c r="AB927" s="720"/>
      <c r="AC927" s="721" t="str">
        <f>IFERROR(IF(VLOOKUP(C927,[1]List1!$A:$D,2,FALSE)="VYPRODÁNO",$V$9,IF(VLOOKUP(C927,[1]List1!$A:$D,2,FALSE)="DOCHÁZÍ",$V$3,VLOOKUP(C927,[1]List1!$A:$D,2,FALSE))),"OFFLINE!")</f>
        <v>SKLADEM</v>
      </c>
      <c r="AD927" s="722" t="str">
        <f ca="1">IF(AP927="NE",$V$10,IF(AC927=$V$3,IF(AQ927&lt;1,$V$8,$V$2&amp;" "&amp;AQ927&amp;" "&amp;$V$1),IF(AC927="SKLADEM",$V$6,IFERROR(IF(OR(AC927-TODAY()&gt;45,VLOOKUP(C927,[1]List1!$A:$E,4,FALSE)=0),AC927,DAY(AC927)&amp;"."&amp;MONTH(AC927)&amp;"."&amp;YEAR(AC927)&amp;" "&amp;$V$4&amp;VLOOKUP(C927,[1]List1!$A:$E,4,FALSE)&amp;" "&amp;$V$1),AC927))))</f>
        <v>SKLADEM</v>
      </c>
      <c r="AE927" s="716" t="str">
        <f t="shared" ref="AE927" ca="1" si="2342">IFERROR(IF(AV927&lt;&gt;"",AV927,AD927),AD927)</f>
        <v>SKLADEM</v>
      </c>
      <c r="AF927" s="723">
        <f t="shared" ref="AF927" si="2343">IFERROR(IF(AB927=Y927,G927*I927*Y927,0),0)</f>
        <v>0</v>
      </c>
      <c r="AG927" s="723">
        <f t="shared" ref="AG927" si="2344">IF($W$17=$AF$8,AH927*1.23,AF927*1.21)</f>
        <v>0</v>
      </c>
      <c r="AH927" s="724">
        <f t="shared" ref="AH927" si="2345">IFERROR(IF(Y927=AB927,H927*I927*Y927,0),0)</f>
        <v>0</v>
      </c>
      <c r="AI927" s="716">
        <f t="shared" ref="AI927" si="2346">IFERROR(IF(Y927=AB927,(P927*Y927)/1000,1),0)</f>
        <v>0</v>
      </c>
      <c r="AJ927" s="716">
        <f t="shared" ref="AJ927" si="2347">IFERROR(IF(Y927=AB927,N927*Y927,0.1),0)</f>
        <v>0</v>
      </c>
      <c r="AK927" s="716" t="str">
        <f t="shared" ref="AK927" si="2348">IFERROR(IF(Y927=AB927,IF(M927="1.1G",(O927/1000)*Y927,""),""),0)</f>
        <v/>
      </c>
      <c r="AL927" s="716">
        <f t="shared" ref="AL927" si="2349">IFERROR(IF(Y927=AB927,IF(M927="1.3G",(O927/1000)*AB927,""),""),0)</f>
        <v>0</v>
      </c>
      <c r="AM927" s="716" t="str">
        <f t="shared" ref="AM927" si="2350">IFERROR(IF(Y927=AB927,IF(M927="1.4G",(O927/1000)*AB927,""),""),0)</f>
        <v/>
      </c>
      <c r="AN927" s="716">
        <f t="shared" ref="AN927" si="2351">SUM(AK927:AM927)</f>
        <v>0</v>
      </c>
      <c r="AO927" s="380"/>
      <c r="AP927" s="322" t="str">
        <f t="shared" si="2282"/>
        <v/>
      </c>
      <c r="AQ927" s="323" t="str">
        <f>IF(AC927=$V$3,IF(VLOOKUP(C927,[1]List1!$A:$E,5,FALSE)=0,1,VLOOKUP(C927,[1]List1!$A:$E,5,FALSE)),"")</f>
        <v/>
      </c>
      <c r="AR927" s="304" t="str">
        <f t="shared" si="2283"/>
        <v/>
      </c>
      <c r="AS927" s="423" t="str">
        <f t="shared" si="2284"/>
        <v/>
      </c>
      <c r="AT927" s="304" t="str">
        <f t="shared" si="2285"/>
        <v/>
      </c>
      <c r="AU927" s="342" t="e">
        <f t="shared" si="2286"/>
        <v>#N/A</v>
      </c>
      <c r="AV927" s="304" t="e">
        <f t="shared" si="2287"/>
        <v>#N/A</v>
      </c>
      <c r="AX927" s="304">
        <f>IF(AND('General price list'!$J927="F4",'General price list'!$AB927+0&gt;0),1,0)</f>
        <v>0</v>
      </c>
      <c r="AY927" s="304">
        <f t="shared" si="2288"/>
        <v>1</v>
      </c>
      <c r="AZ927" s="304">
        <f t="shared" si="2289"/>
        <v>0</v>
      </c>
    </row>
    <row r="928" spans="1:52" ht="15" customHeight="1">
      <c r="A928" s="773" t="str">
        <f>Kat.!C926</f>
        <v xml:space="preserve">                                                               Složený ohňostroj, multikaliber(30-50mm) F3 - 1.3G</v>
      </c>
      <c r="B928" s="774"/>
      <c r="C928" s="774"/>
      <c r="D928" s="774"/>
      <c r="E928" s="774"/>
      <c r="F928" s="774"/>
      <c r="G928" s="774"/>
      <c r="H928" s="774"/>
      <c r="I928" s="774"/>
      <c r="J928" s="774"/>
      <c r="K928" s="774"/>
      <c r="L928" s="774"/>
      <c r="M928" s="774"/>
      <c r="N928" s="774"/>
      <c r="O928" s="774"/>
      <c r="P928" s="774"/>
      <c r="Q928" s="774"/>
      <c r="R928" s="774"/>
      <c r="S928" s="774"/>
      <c r="T928" s="774"/>
      <c r="U928" s="774"/>
      <c r="V928" s="774"/>
      <c r="W928" s="774"/>
      <c r="X928" s="774"/>
      <c r="Y928" s="774"/>
      <c r="Z928" s="774"/>
      <c r="AA928" s="774" t="str">
        <f>IFERROR(IF(VLOOKUP(C928,[4]List1!$A:$D,4,FALSE)=0,"",VLOOKUP(C928,[4]List1!$A:$D,4,FALSE)),"")</f>
        <v/>
      </c>
      <c r="AB928" s="774"/>
      <c r="AC928" s="775" t="str">
        <f>IFERROR(IF(VLOOKUP(C928,[1]List1!$A:$D,2,FALSE)="VYPRODÁNO",$V$9,IF(VLOOKUP(C928,[1]List1!$A:$D,2,FALSE)="DOCHÁZÍ",$V$3,VLOOKUP(C928,[1]List1!$A:$D,2,FALSE))),"OFFLINE!")</f>
        <v>OFFLINE!</v>
      </c>
      <c r="AD928" s="774"/>
      <c r="AE928" s="774"/>
      <c r="AF928" s="774"/>
      <c r="AG928" s="774"/>
      <c r="AH928" s="774"/>
      <c r="AI928" s="774"/>
      <c r="AJ928" s="774"/>
      <c r="AK928" s="774"/>
      <c r="AL928" s="774"/>
      <c r="AM928" s="774"/>
      <c r="AN928" s="774"/>
      <c r="AO928" s="380"/>
      <c r="AP928" s="322" t="str">
        <f t="shared" si="2282"/>
        <v/>
      </c>
      <c r="AQ928" s="305" t="str">
        <f>IF(AC928=$V$3,IF(VLOOKUP(C928,[1]List1!$A:$E,5,FALSE)=0,1,VLOOKUP(C928,[1]List1!$A:$E,5,FALSE)),"")</f>
        <v/>
      </c>
      <c r="AR928" s="304" t="str">
        <f t="shared" si="2283"/>
        <v/>
      </c>
      <c r="AS928" s="423" t="str">
        <f t="shared" si="2284"/>
        <v/>
      </c>
      <c r="AT928" s="304" t="str">
        <f t="shared" si="2285"/>
        <v/>
      </c>
      <c r="AU928" s="342" t="e">
        <f t="shared" si="2286"/>
        <v>#N/A</v>
      </c>
      <c r="AV928" s="304" t="e">
        <f t="shared" si="2287"/>
        <v>#N/A</v>
      </c>
      <c r="AX928" s="304">
        <f>IF(AND('General price list'!$J928="F4",'General price list'!$AB928+0&gt;0),1,0)</f>
        <v>0</v>
      </c>
      <c r="AY928" s="304">
        <f t="shared" si="2288"/>
        <v>0</v>
      </c>
      <c r="AZ928" s="304">
        <f t="shared" si="2289"/>
        <v>0</v>
      </c>
    </row>
    <row r="929" spans="1:52" ht="15" customHeight="1">
      <c r="A929" s="712" t="str">
        <f>Kat.!C927</f>
        <v/>
      </c>
      <c r="B929" s="713">
        <f>IF(AND('General price list'!$J929="F4",$AI$1=FALSE),0,IF(AC929="SKLADEM",1,IF(AC929=$V$3,1,0)))</f>
        <v>0</v>
      </c>
      <c r="C929" s="714" t="s">
        <v>2616</v>
      </c>
      <c r="D929" s="715" t="s">
        <v>2617</v>
      </c>
      <c r="E929" s="716" t="s">
        <v>136</v>
      </c>
      <c r="F929" s="712">
        <f>IFERROR(ROUND(IF($AL$3=2,VLOOKUP(C929,[2]List1!$A:$D,2,FALSE)*1.08,VLOOKUP(C929,[2]List1!$A:$D,2,FALSE)),0),"NEUVEDENO!")</f>
        <v>3319</v>
      </c>
      <c r="G929" s="717">
        <f t="shared" ref="G929:G936" si="2352">(F929)*$B$19</f>
        <v>3319</v>
      </c>
      <c r="H929" s="718">
        <f t="shared" ref="H929:H936" si="2353">G929/$F$19</f>
        <v>134.86990479054327</v>
      </c>
      <c r="I929" s="719">
        <v>1</v>
      </c>
      <c r="J929" s="716" t="s">
        <v>137</v>
      </c>
      <c r="K929" s="716"/>
      <c r="L929" s="716" t="s">
        <v>24</v>
      </c>
      <c r="M929" s="716" t="s">
        <v>138</v>
      </c>
      <c r="N929" s="716">
        <f>IFERROR(VLOOKUP(C929,[3]List1!$A:$D,4,FALSE),"N/A!")</f>
        <v>3.6477999999999997E-2</v>
      </c>
      <c r="O929" s="716">
        <f>IFERROR(VLOOKUP(C929,[3]List1!$A:$D,3,FALSE),"N/A!")</f>
        <v>1900</v>
      </c>
      <c r="P929" s="716">
        <f>IFERROR(VLOOKUP(C929,[3]List1!$A:$D,2,FALSE),"N/A!")</f>
        <v>14500</v>
      </c>
      <c r="Q929" s="716" t="s">
        <v>45</v>
      </c>
      <c r="R929" s="716" t="s">
        <v>24</v>
      </c>
      <c r="S929" s="716" t="str">
        <f>IF($W$17=$AF$1,"design",IFERROR(VLOOKUP("design",Jazyky_ceník!$A:$Q,MATCH($W$17,Jazyky_ceník!$A$1:$Q$1,0),FALSE),"!!!"))</f>
        <v>design</v>
      </c>
      <c r="T929" s="716">
        <v>80</v>
      </c>
      <c r="U929" s="716" t="s">
        <v>13836</v>
      </c>
      <c r="V929" s="716" t="s">
        <v>13837</v>
      </c>
      <c r="W929" s="716" t="str">
        <f>IFERROR(VLOOKUP('General price list'!$C929,Popisy!A:P,MATCH($W$17,Popisy!$A$7:$P$7,0),FALSE),"---------------")</f>
        <v>16 různobarevných efektů</v>
      </c>
      <c r="X929" s="716" t="str">
        <f t="shared" ref="X929:X936" si="2354">IF(AB929&lt;0.0001,"",AB929)</f>
        <v/>
      </c>
      <c r="Y929" s="716" t="str">
        <f t="shared" ref="Y929:Y936" si="2355">IF($AL$3=2,IF(OR(AB929&lt;&gt;"",AB929&lt;&gt;0),AU929,""),IF(C929="","",IF(AB929&lt;0.0001,"",IF(B929=0,"",IF(AQ929&lt;AB929,"",AB929)))))</f>
        <v/>
      </c>
      <c r="Z929" s="716" t="str">
        <f>HYPERLINK("https://www.klasekpyrotechnics.cz/c84m12f-c")</f>
        <v>https://www.klasekpyrotechnics.cz/c84m12f-c</v>
      </c>
      <c r="AA929" s="716">
        <f>IFERROR(IF(VLOOKUP(C929,[4]List1!$A:$D,4,FALSE)=0,"",VLOOKUP(C929,[4]List1!$A:$D,4,FALSE)),"")</f>
        <v>30</v>
      </c>
      <c r="AB929" s="720"/>
      <c r="AC929" s="721" t="str">
        <f>IFERROR(IF(VLOOKUP(C929,[1]List1!$A:$D,2,FALSE)="VYPRODÁNO",$V$9,IF(VLOOKUP(C929,[1]List1!$A:$D,2,FALSE)="DOCHÁZÍ",$V$3,VLOOKUP(C929,[1]List1!$A:$D,2,FALSE))),"OFFLINE!")</f>
        <v>30.09.2024</v>
      </c>
      <c r="AD929" s="722" t="str">
        <f ca="1">IF(AP929="NE",$V$10,IF(AC929=$V$3,IF(AQ929&lt;1,$V$8,$V$2&amp;" "&amp;AQ929&amp;" "&amp;$V$1),IF(AC929="SKLADEM",$V$6,IFERROR(IF(OR(AC929-TODAY()&gt;45,VLOOKUP(C929,[1]List1!$A:$E,4,FALSE)=0),AC929,DAY(AC929)&amp;"."&amp;MONTH(AC929)&amp;"."&amp;YEAR(AC929)&amp;" "&amp;$V$4&amp;VLOOKUP(C929,[1]List1!$A:$E,4,FALSE)&amp;" "&amp;$V$1),AC929))))</f>
        <v>30.09.2024</v>
      </c>
      <c r="AE929" s="716" t="str">
        <f t="shared" ref="AE929:AE936" ca="1" si="2356">IFERROR(IF(AV929&lt;&gt;"",AV929,AD929),AD929)</f>
        <v>30.09.2024</v>
      </c>
      <c r="AF929" s="723">
        <f t="shared" ref="AF929:AF936" si="2357">IFERROR(IF(AB929=Y929,G929*I929*Y929,0),0)</f>
        <v>0</v>
      </c>
      <c r="AG929" s="723">
        <f t="shared" ref="AG929:AG936" si="2358">IF($W$17=$AF$8,AH929*1.23,AF929*1.21)</f>
        <v>0</v>
      </c>
      <c r="AH929" s="724">
        <f t="shared" ref="AH929:AH936" si="2359">IFERROR(IF(Y929=AB929,H929*I929*Y929,0),0)</f>
        <v>0</v>
      </c>
      <c r="AI929" s="716">
        <f t="shared" ref="AI929:AI936" si="2360">IFERROR(IF(Y929=AB929,(P929*Y929)/1000,1),0)</f>
        <v>0</v>
      </c>
      <c r="AJ929" s="716">
        <f t="shared" ref="AJ929:AJ936" si="2361">IFERROR(IF(Y929=AB929,N929*Y929,0.1),0)</f>
        <v>0</v>
      </c>
      <c r="AK929" s="716" t="str">
        <f t="shared" ref="AK929:AK936" si="2362">IFERROR(IF(Y929=AB929,IF(M929="1.1G",(O929/1000)*Y929,""),""),0)</f>
        <v/>
      </c>
      <c r="AL929" s="716">
        <f t="shared" ref="AL929:AL936" si="2363">IFERROR(IF(Y929=AB929,IF(M929="1.3G",(O929/1000)*AB929,""),""),0)</f>
        <v>0</v>
      </c>
      <c r="AM929" s="716" t="str">
        <f t="shared" ref="AM929:AM936" si="2364">IFERROR(IF(Y929=AB929,IF(M929="1.4G",(O929/1000)*AB929,""),""),0)</f>
        <v/>
      </c>
      <c r="AN929" s="716">
        <f t="shared" ref="AN929:AN936" si="2365">SUM(AK929:AM929)</f>
        <v>0</v>
      </c>
      <c r="AO929" s="380"/>
      <c r="AP929" s="322" t="str">
        <f t="shared" si="2282"/>
        <v/>
      </c>
      <c r="AQ929" s="323" t="str">
        <f>IF(AC929=$V$3,IF(VLOOKUP(C929,[1]List1!$A:$E,5,FALSE)=0,1,VLOOKUP(C929,[1]List1!$A:$E,5,FALSE)),"")</f>
        <v/>
      </c>
      <c r="AR929" s="304" t="str">
        <f t="shared" si="2283"/>
        <v/>
      </c>
      <c r="AS929" s="423" t="str">
        <f t="shared" si="2284"/>
        <v/>
      </c>
      <c r="AT929" s="304" t="str">
        <f t="shared" si="2285"/>
        <v/>
      </c>
      <c r="AU929" s="342" t="e">
        <f t="shared" si="2286"/>
        <v>#N/A</v>
      </c>
      <c r="AV929" s="304" t="e">
        <f t="shared" si="2287"/>
        <v>#N/A</v>
      </c>
      <c r="AX929" s="304">
        <f>IF(AND('General price list'!$J929="F4",'General price list'!$AB929+0&gt;0),1,0)</f>
        <v>0</v>
      </c>
      <c r="AY929" s="304">
        <f t="shared" si="2288"/>
        <v>1</v>
      </c>
      <c r="AZ929" s="304">
        <f t="shared" si="2289"/>
        <v>0</v>
      </c>
    </row>
    <row r="930" spans="1:52" ht="15" customHeight="1">
      <c r="A930" s="725" t="str">
        <f>Kat.!C928</f>
        <v/>
      </c>
      <c r="B930" s="726">
        <f>IF(AND('General price list'!$J930="F4",$AI$1=FALSE),0,IF(AC930="SKLADEM",1,IF(AC930=$V$3,1,0)))</f>
        <v>0</v>
      </c>
      <c r="C930" s="727" t="s">
        <v>2618</v>
      </c>
      <c r="D930" s="728" t="s">
        <v>1727</v>
      </c>
      <c r="E930" s="729" t="s">
        <v>136</v>
      </c>
      <c r="F930" s="725">
        <f>IFERROR(ROUND(IF($AL$3=2,VLOOKUP(C930,[2]List1!$A:$D,2,FALSE)*1.08,VLOOKUP(C930,[2]List1!$A:$D,2,FALSE)),0),"NEUVEDENO!")</f>
        <v>3319</v>
      </c>
      <c r="G930" s="730">
        <f t="shared" si="2352"/>
        <v>3319</v>
      </c>
      <c r="H930" s="731">
        <f t="shared" si="2353"/>
        <v>134.86990479054327</v>
      </c>
      <c r="I930" s="732">
        <v>1</v>
      </c>
      <c r="J930" s="729" t="s">
        <v>137</v>
      </c>
      <c r="K930" s="729"/>
      <c r="L930" s="729" t="s">
        <v>24</v>
      </c>
      <c r="M930" s="729" t="s">
        <v>138</v>
      </c>
      <c r="N930" s="729">
        <f>IFERROR(VLOOKUP(C930,[3]List1!$A:$D,4,FALSE),"N/A!")</f>
        <v>3.6477999999999997E-2</v>
      </c>
      <c r="O930" s="729">
        <f>IFERROR(VLOOKUP(C930,[3]List1!$A:$D,3,FALSE),"N/A!")</f>
        <v>1900</v>
      </c>
      <c r="P930" s="729">
        <f>IFERROR(VLOOKUP(C930,[3]List1!$A:$D,2,FALSE),"N/A!")</f>
        <v>14500</v>
      </c>
      <c r="Q930" s="729" t="s">
        <v>45</v>
      </c>
      <c r="R930" s="729" t="s">
        <v>24</v>
      </c>
      <c r="S930" s="729" t="str">
        <f>IF($W$17=$AF$1,"design",IFERROR(VLOOKUP("design",Jazyky_ceník!$A:$Q,MATCH($W$17,Jazyky_ceník!$A$1:$Q$1,0),FALSE),"!!!"))</f>
        <v>design</v>
      </c>
      <c r="T930" s="729">
        <v>80</v>
      </c>
      <c r="U930" s="729" t="s">
        <v>13836</v>
      </c>
      <c r="V930" s="729" t="s">
        <v>13837</v>
      </c>
      <c r="W930" s="729" t="str">
        <f>IFERROR(VLOOKUP('General price list'!$C930,Popisy!A:P,MATCH($W$17,Popisy!$A$7:$P$7,0),FALSE),"---------------")</f>
        <v>16 různobarevných efektů</v>
      </c>
      <c r="X930" s="729" t="str">
        <f t="shared" si="2354"/>
        <v/>
      </c>
      <c r="Y930" s="729" t="str">
        <f t="shared" si="2355"/>
        <v/>
      </c>
      <c r="Z930" s="729" t="str">
        <f>HYPERLINK("https://www.klasekpyrotechnics.cz/c84m12s-c")</f>
        <v>https://www.klasekpyrotechnics.cz/c84m12s-c</v>
      </c>
      <c r="AA930" s="729">
        <f>IFERROR(IF(VLOOKUP(C930,[4]List1!$A:$D,4,FALSE)=0,"",VLOOKUP(C930,[4]List1!$A:$D,4,FALSE)),"")</f>
        <v>30</v>
      </c>
      <c r="AB930" s="720"/>
      <c r="AC930" s="733" t="str">
        <f>IFERROR(IF(VLOOKUP(C930,[1]List1!$A:$D,2,FALSE)="VYPRODÁNO",$V$9,IF(VLOOKUP(C930,[1]List1!$A:$D,2,FALSE)="DOCHÁZÍ",$V$3,VLOOKUP(C930,[1]List1!$A:$D,2,FALSE))),"OFFLINE!")</f>
        <v>15.07.2024</v>
      </c>
      <c r="AD930" s="734" t="str">
        <f ca="1">IF(AP930="NE",$V$10,IF(AC930=$V$3,IF(AQ930&lt;1,$V$8,$V$2&amp;" "&amp;AQ930&amp;" "&amp;$V$1),IF(AC930="SKLADEM",$V$6,IFERROR(IF(OR(AC930-TODAY()&gt;45,VLOOKUP(C930,[1]List1!$A:$E,4,FALSE)=0),AC930,DAY(AC930)&amp;"."&amp;MONTH(AC930)&amp;"."&amp;YEAR(AC930)&amp;" "&amp;$V$4&amp;VLOOKUP(C930,[1]List1!$A:$E,4,FALSE)&amp;" "&amp;$V$1),AC930))))</f>
        <v>15.07.2024</v>
      </c>
      <c r="AE930" s="729" t="str">
        <f t="shared" ca="1" si="2356"/>
        <v>15.07.2024</v>
      </c>
      <c r="AF930" s="735">
        <f t="shared" si="2357"/>
        <v>0</v>
      </c>
      <c r="AG930" s="735">
        <f t="shared" si="2358"/>
        <v>0</v>
      </c>
      <c r="AH930" s="736">
        <f t="shared" si="2359"/>
        <v>0</v>
      </c>
      <c r="AI930" s="729">
        <f t="shared" si="2360"/>
        <v>0</v>
      </c>
      <c r="AJ930" s="729">
        <f t="shared" si="2361"/>
        <v>0</v>
      </c>
      <c r="AK930" s="729" t="str">
        <f t="shared" si="2362"/>
        <v/>
      </c>
      <c r="AL930" s="729">
        <f t="shared" si="2363"/>
        <v>0</v>
      </c>
      <c r="AM930" s="729" t="str">
        <f t="shared" si="2364"/>
        <v/>
      </c>
      <c r="AN930" s="729">
        <f t="shared" si="2365"/>
        <v>0</v>
      </c>
      <c r="AO930" s="380"/>
      <c r="AP930" s="322" t="str">
        <f t="shared" si="2282"/>
        <v/>
      </c>
      <c r="AQ930" s="323" t="str">
        <f>IF(AC930=$V$3,IF(VLOOKUP(C930,[1]List1!$A:$E,5,FALSE)=0,1,VLOOKUP(C930,[1]List1!$A:$E,5,FALSE)),"")</f>
        <v/>
      </c>
      <c r="AR930" s="304" t="str">
        <f t="shared" si="2283"/>
        <v/>
      </c>
      <c r="AS930" s="423" t="str">
        <f t="shared" si="2284"/>
        <v/>
      </c>
      <c r="AT930" s="304" t="str">
        <f t="shared" si="2285"/>
        <v/>
      </c>
      <c r="AU930" s="342" t="e">
        <f t="shared" si="2286"/>
        <v>#N/A</v>
      </c>
      <c r="AV930" s="304" t="e">
        <f t="shared" si="2287"/>
        <v>#N/A</v>
      </c>
      <c r="AX930" s="304">
        <f>IF(AND('General price list'!$J930="F4",'General price list'!$AB930+0&gt;0),1,0)</f>
        <v>0</v>
      </c>
      <c r="AY930" s="304">
        <f t="shared" si="2288"/>
        <v>1</v>
      </c>
      <c r="AZ930" s="304">
        <f t="shared" si="2289"/>
        <v>0</v>
      </c>
    </row>
    <row r="931" spans="1:52" ht="15" customHeight="1">
      <c r="A931" s="712" t="str">
        <f>Kat.!C929</f>
        <v/>
      </c>
      <c r="B931" s="737">
        <f>IF(AND('General price list'!$J931="F4",$AI$1=FALSE),0,IF(AC931="SKLADEM",1,IF(AC931=$V$3,1,0)))</f>
        <v>0</v>
      </c>
      <c r="C931" s="714" t="s">
        <v>1716</v>
      </c>
      <c r="D931" s="715" t="s">
        <v>14612</v>
      </c>
      <c r="E931" s="716" t="s">
        <v>136</v>
      </c>
      <c r="F931" s="712">
        <f>IFERROR(ROUND(IF($AL$3=2,VLOOKUP(C931,[2]List1!$A:$D,2,FALSE)*1.08,VLOOKUP(C931,[2]List1!$A:$D,2,FALSE)),0),"NEUVEDENO!")</f>
        <v>3887</v>
      </c>
      <c r="G931" s="717">
        <f t="shared" si="2352"/>
        <v>3887</v>
      </c>
      <c r="H931" s="718">
        <f t="shared" si="2353"/>
        <v>157.95098521266698</v>
      </c>
      <c r="I931" s="738">
        <v>1</v>
      </c>
      <c r="J931" s="716" t="s">
        <v>137</v>
      </c>
      <c r="K931" s="716"/>
      <c r="L931" s="716" t="s">
        <v>24</v>
      </c>
      <c r="M931" s="716" t="s">
        <v>138</v>
      </c>
      <c r="N931" s="716">
        <f>IFERROR(VLOOKUP(C931,[3]List1!$A:$D,4,FALSE),"N/A!")</f>
        <v>4.5589500000000005E-2</v>
      </c>
      <c r="O931" s="716">
        <f>IFERROR(VLOOKUP(C931,[3]List1!$A:$D,3,FALSE),"N/A!")</f>
        <v>1998</v>
      </c>
      <c r="P931" s="716">
        <f>IFERROR(VLOOKUP(C931,[3]List1!$A:$D,2,FALSE),"N/A!")</f>
        <v>16000</v>
      </c>
      <c r="Q931" s="716" t="s">
        <v>14349</v>
      </c>
      <c r="R931" s="716" t="s">
        <v>24</v>
      </c>
      <c r="S931" s="716" t="str">
        <f>IF($W$17=$AF$1,"červená fólie",IFERROR(VLOOKUP("červená fólie",Jazyky_ceník!$A:$Q,MATCH($W$17,Jazyky_ceník!$A$1:$Q$1,0),FALSE),"!!!"))</f>
        <v>červená fólie</v>
      </c>
      <c r="T931" s="716">
        <v>80</v>
      </c>
      <c r="U931" s="716" t="s">
        <v>13836</v>
      </c>
      <c r="V931" s="716" t="s">
        <v>13837</v>
      </c>
      <c r="W931" s="716" t="str">
        <f>IFERROR(VLOOKUP('General price list'!$C931,Popisy!A:P,MATCH($W$17,Popisy!$A$7:$P$7,0),FALSE),"---------------")</f>
        <v>16 různobarevných efektů</v>
      </c>
      <c r="X931" s="716" t="str">
        <f t="shared" si="2354"/>
        <v/>
      </c>
      <c r="Y931" s="716" t="str">
        <f t="shared" si="2355"/>
        <v/>
      </c>
      <c r="Z931" s="716" t="str">
        <f>HYPERLINK("https://www.klasekpyrotechnics.cz/c84mc-c")</f>
        <v>https://www.klasekpyrotechnics.cz/c84mc-c</v>
      </c>
      <c r="AA931" s="716">
        <f>IFERROR(IF(VLOOKUP(C931,[4]List1!$A:$D,4,FALSE)=0,"",VLOOKUP(C931,[4]List1!$A:$D,4,FALSE)),"")</f>
        <v>24</v>
      </c>
      <c r="AB931" s="720"/>
      <c r="AC931" s="739" t="str">
        <f>IFERROR(IF(VLOOKUP(C931,[1]List1!$A:$D,2,FALSE)="VYPRODÁNO",$V$9,IF(VLOOKUP(C931,[1]List1!$A:$D,2,FALSE)="DOCHÁZÍ",$V$3,VLOOKUP(C931,[1]List1!$A:$D,2,FALSE))),"OFFLINE!")</f>
        <v>15.08.2024</v>
      </c>
      <c r="AD931" s="740" t="str">
        <f ca="1">IF(AP931="NE",$V$10,IF(AC931=$V$3,IF(AQ931&lt;1,$V$8,$V$2&amp;" "&amp;AQ931&amp;" "&amp;$V$1),IF(AC931="SKLADEM",$V$6,IFERROR(IF(OR(AC931-TODAY()&gt;45,VLOOKUP(C931,[1]List1!$A:$E,4,FALSE)=0),AC931,DAY(AC931)&amp;"."&amp;MONTH(AC931)&amp;"."&amp;YEAR(AC931)&amp;" "&amp;$V$4&amp;VLOOKUP(C931,[1]List1!$A:$E,4,FALSE)&amp;" "&amp;$V$1),AC931))))</f>
        <v>15.08.2024</v>
      </c>
      <c r="AE931" s="716" t="str">
        <f t="shared" ca="1" si="2356"/>
        <v>15.08.2024</v>
      </c>
      <c r="AF931" s="723">
        <f t="shared" si="2357"/>
        <v>0</v>
      </c>
      <c r="AG931" s="723">
        <f t="shared" si="2358"/>
        <v>0</v>
      </c>
      <c r="AH931" s="724">
        <f t="shared" si="2359"/>
        <v>0</v>
      </c>
      <c r="AI931" s="716">
        <f t="shared" si="2360"/>
        <v>0</v>
      </c>
      <c r="AJ931" s="716">
        <f t="shared" si="2361"/>
        <v>0</v>
      </c>
      <c r="AK931" s="716" t="str">
        <f t="shared" si="2362"/>
        <v/>
      </c>
      <c r="AL931" s="716">
        <f t="shared" si="2363"/>
        <v>0</v>
      </c>
      <c r="AM931" s="716" t="str">
        <f t="shared" si="2364"/>
        <v/>
      </c>
      <c r="AN931" s="716">
        <f t="shared" si="2365"/>
        <v>0</v>
      </c>
      <c r="AO931" s="380"/>
      <c r="AP931" s="322" t="str">
        <f t="shared" si="2282"/>
        <v/>
      </c>
      <c r="AQ931" s="323" t="str">
        <f>IF(AC931=$V$3,IF(VLOOKUP(C931,[1]List1!$A:$E,5,FALSE)=0,1,VLOOKUP(C931,[1]List1!$A:$E,5,FALSE)),"")</f>
        <v/>
      </c>
      <c r="AR931" s="304" t="str">
        <f t="shared" si="2283"/>
        <v/>
      </c>
      <c r="AS931" s="423" t="str">
        <f t="shared" si="2284"/>
        <v/>
      </c>
      <c r="AT931" s="304" t="str">
        <f t="shared" si="2285"/>
        <v/>
      </c>
      <c r="AU931" s="342" t="e">
        <f t="shared" si="2286"/>
        <v>#N/A</v>
      </c>
      <c r="AV931" s="304" t="e">
        <f t="shared" si="2287"/>
        <v>#N/A</v>
      </c>
      <c r="AX931" s="304">
        <f>IF(AND('General price list'!$J931="F4",'General price list'!$AB931+0&gt;0),1,0)</f>
        <v>0</v>
      </c>
      <c r="AY931" s="304">
        <f t="shared" si="2288"/>
        <v>1</v>
      </c>
      <c r="AZ931" s="304">
        <f t="shared" si="2289"/>
        <v>0</v>
      </c>
    </row>
    <row r="932" spans="1:52" ht="15" customHeight="1">
      <c r="A932" s="725" t="str">
        <f>Kat.!C930</f>
        <v/>
      </c>
      <c r="B932" s="726">
        <f>IF(AND('General price list'!$J932="F4",$AI$1=FALSE),0,IF(AC932="SKLADEM",1,IF(AC932=$V$3,1,0)))</f>
        <v>1</v>
      </c>
      <c r="C932" s="727" t="s">
        <v>1717</v>
      </c>
      <c r="D932" s="728" t="s">
        <v>5536</v>
      </c>
      <c r="E932" s="729" t="s">
        <v>136</v>
      </c>
      <c r="F932" s="725">
        <f>IFERROR(ROUND(IF($AL$3=2,VLOOKUP(C932,[2]List1!$A:$D,2,FALSE)*1.08,VLOOKUP(C932,[2]List1!$A:$D,2,FALSE)),0),"NEUVEDENO!")</f>
        <v>3837</v>
      </c>
      <c r="G932" s="730">
        <f t="shared" si="2352"/>
        <v>3837</v>
      </c>
      <c r="H932" s="731">
        <f t="shared" si="2353"/>
        <v>155.91919996424059</v>
      </c>
      <c r="I932" s="732">
        <v>1</v>
      </c>
      <c r="J932" s="729" t="s">
        <v>137</v>
      </c>
      <c r="K932" s="729"/>
      <c r="L932" s="729" t="s">
        <v>24</v>
      </c>
      <c r="M932" s="729" t="s">
        <v>138</v>
      </c>
      <c r="N932" s="729">
        <f>IFERROR(VLOOKUP(C932,[3]List1!$A:$D,4,FALSE),"N/A!")</f>
        <v>6.0786E-2</v>
      </c>
      <c r="O932" s="729">
        <f>IFERROR(VLOOKUP(C932,[3]List1!$A:$D,3,FALSE),"N/A!")</f>
        <v>1996</v>
      </c>
      <c r="P932" s="729">
        <f>IFERROR(VLOOKUP(C932,[3]List1!$A:$D,2,FALSE),"N/A!")</f>
        <v>17500</v>
      </c>
      <c r="Q932" s="729" t="s">
        <v>14350</v>
      </c>
      <c r="R932" s="729" t="s">
        <v>24</v>
      </c>
      <c r="S932" s="729" t="str">
        <f>IF($W$17=$AF$1,"červená fólie",IFERROR(VLOOKUP("červená fólie",Jazyky_ceník!$A:$Q,MATCH($W$17,Jazyky_ceník!$A$1:$Q$1,0),FALSE),"!!!"))</f>
        <v>červená fólie</v>
      </c>
      <c r="T932" s="729">
        <v>95</v>
      </c>
      <c r="U932" s="729" t="s">
        <v>13836</v>
      </c>
      <c r="V932" s="729" t="s">
        <v>13837</v>
      </c>
      <c r="W932" s="729" t="str">
        <f>IFERROR(VLOOKUP('General price list'!$C932,Popisy!A:P,MATCH($W$17,Popisy!$A$7:$P$7,0),FALSE),"---------------")</f>
        <v>16 různobarevných efektů</v>
      </c>
      <c r="X932" s="729" t="str">
        <f t="shared" si="2354"/>
        <v/>
      </c>
      <c r="Y932" s="729" t="str">
        <f t="shared" si="2355"/>
        <v/>
      </c>
      <c r="Z932" s="729" t="str">
        <f>HYPERLINK("https://www.klasekpyrotechnics.cz/c111mf-c")</f>
        <v>https://www.klasekpyrotechnics.cz/c111mf-c</v>
      </c>
      <c r="AA932" s="729">
        <f>IFERROR(IF(VLOOKUP(C932,[4]List1!$A:$D,4,FALSE)=0,"",VLOOKUP(C932,[4]List1!$A:$D,4,FALSE)),"")</f>
        <v>10</v>
      </c>
      <c r="AB932" s="720"/>
      <c r="AC932" s="733" t="str">
        <f>IFERROR(IF(VLOOKUP(C932,[1]List1!$A:$D,2,FALSE)="VYPRODÁNO",$V$9,IF(VLOOKUP(C932,[1]List1!$A:$D,2,FALSE)="DOCHÁZÍ",$V$3,VLOOKUP(C932,[1]List1!$A:$D,2,FALSE))),"OFFLINE!")</f>
        <v>SKLADEM</v>
      </c>
      <c r="AD932" s="734" t="str">
        <f ca="1">IF(AP932="NE",$V$10,IF(AC932=$V$3,IF(AQ932&lt;1,$V$8,$V$2&amp;" "&amp;AQ932&amp;" "&amp;$V$1),IF(AC932="SKLADEM",$V$6,IFERROR(IF(OR(AC932-TODAY()&gt;45,VLOOKUP(C932,[1]List1!$A:$E,4,FALSE)=0),AC932,DAY(AC932)&amp;"."&amp;MONTH(AC932)&amp;"."&amp;YEAR(AC932)&amp;" "&amp;$V$4&amp;VLOOKUP(C932,[1]List1!$A:$E,4,FALSE)&amp;" "&amp;$V$1),AC932))))</f>
        <v>SKLADEM</v>
      </c>
      <c r="AE932" s="729" t="str">
        <f t="shared" ca="1" si="2356"/>
        <v>SKLADEM</v>
      </c>
      <c r="AF932" s="735">
        <f t="shared" si="2357"/>
        <v>0</v>
      </c>
      <c r="AG932" s="735">
        <f t="shared" si="2358"/>
        <v>0</v>
      </c>
      <c r="AH932" s="736">
        <f t="shared" si="2359"/>
        <v>0</v>
      </c>
      <c r="AI932" s="729">
        <f t="shared" si="2360"/>
        <v>0</v>
      </c>
      <c r="AJ932" s="729">
        <f t="shared" si="2361"/>
        <v>0</v>
      </c>
      <c r="AK932" s="729" t="str">
        <f t="shared" si="2362"/>
        <v/>
      </c>
      <c r="AL932" s="729">
        <f t="shared" si="2363"/>
        <v>0</v>
      </c>
      <c r="AM932" s="729" t="str">
        <f t="shared" si="2364"/>
        <v/>
      </c>
      <c r="AN932" s="729">
        <f t="shared" si="2365"/>
        <v>0</v>
      </c>
      <c r="AO932" s="380"/>
      <c r="AP932" s="322" t="str">
        <f t="shared" si="2282"/>
        <v/>
      </c>
      <c r="AQ932" s="323" t="str">
        <f>IF(AC932=$V$3,IF(VLOOKUP(C932,[1]List1!$A:$E,5,FALSE)=0,1,VLOOKUP(C932,[1]List1!$A:$E,5,FALSE)),"")</f>
        <v/>
      </c>
      <c r="AR932" s="304" t="str">
        <f t="shared" si="2283"/>
        <v/>
      </c>
      <c r="AS932" s="423" t="str">
        <f t="shared" si="2284"/>
        <v/>
      </c>
      <c r="AT932" s="304" t="str">
        <f t="shared" si="2285"/>
        <v/>
      </c>
      <c r="AU932" s="342" t="e">
        <f t="shared" si="2286"/>
        <v>#N/A</v>
      </c>
      <c r="AV932" s="304" t="e">
        <f t="shared" si="2287"/>
        <v>#N/A</v>
      </c>
      <c r="AX932" s="304">
        <f>IF(AND('General price list'!$J932="F4",'General price list'!$AB932+0&gt;0),1,0)</f>
        <v>0</v>
      </c>
      <c r="AY932" s="304">
        <f t="shared" si="2288"/>
        <v>1</v>
      </c>
      <c r="AZ932" s="304">
        <f t="shared" si="2289"/>
        <v>0</v>
      </c>
    </row>
    <row r="933" spans="1:52" ht="15" customHeight="1">
      <c r="A933" s="712" t="str">
        <f>Kat.!C931</f>
        <v/>
      </c>
      <c r="B933" s="737">
        <f>IF(AND('General price list'!$J933="F4",$AI$1=FALSE),0,IF(AC933="SKLADEM",1,IF(AC933=$V$3,1,0)))</f>
        <v>1</v>
      </c>
      <c r="C933" s="714" t="s">
        <v>1720</v>
      </c>
      <c r="D933" s="715" t="s">
        <v>1721</v>
      </c>
      <c r="E933" s="716" t="s">
        <v>136</v>
      </c>
      <c r="F933" s="712">
        <f>IFERROR(ROUND(IF($AL$3=2,VLOOKUP(C933,[2]List1!$A:$D,2,FALSE)*1.08,VLOOKUP(C933,[2]List1!$A:$D,2,FALSE)),0),"NEUVEDENO!")</f>
        <v>6391</v>
      </c>
      <c r="G933" s="717">
        <f t="shared" si="2352"/>
        <v>6391</v>
      </c>
      <c r="H933" s="718">
        <f t="shared" si="2353"/>
        <v>259.70279045386019</v>
      </c>
      <c r="I933" s="738">
        <v>1</v>
      </c>
      <c r="J933" s="716" t="s">
        <v>137</v>
      </c>
      <c r="K933" s="716"/>
      <c r="L933" s="716" t="s">
        <v>24</v>
      </c>
      <c r="M933" s="716" t="s">
        <v>138</v>
      </c>
      <c r="N933" s="716">
        <f>IFERROR(VLOOKUP(C933,[3]List1!$A:$D,4,FALSE),"N/A!")</f>
        <v>9.8549999999999999E-2</v>
      </c>
      <c r="O933" s="716">
        <f>IFERROR(VLOOKUP(C933,[3]List1!$A:$D,3,FALSE),"N/A!")</f>
        <v>2994</v>
      </c>
      <c r="P933" s="716">
        <f>IFERROR(VLOOKUP(C933,[3]List1!$A:$D,2,FALSE),"N/A!")</f>
        <v>28300</v>
      </c>
      <c r="Q933" s="716" t="s">
        <v>14292</v>
      </c>
      <c r="R933" s="716" t="s">
        <v>24</v>
      </c>
      <c r="S933" s="716" t="str">
        <f>IF($W$17=$AF$1,"červená fólie",IFERROR(VLOOKUP("červená fólie",Jazyky_ceník!$A:$Q,MATCH($W$17,Jazyky_ceník!$A$1:$Q$1,0),FALSE),"!!!"))</f>
        <v>červená fólie</v>
      </c>
      <c r="T933" s="716">
        <v>135</v>
      </c>
      <c r="U933" s="716" t="s">
        <v>13836</v>
      </c>
      <c r="V933" s="716" t="s">
        <v>13837</v>
      </c>
      <c r="W933" s="716" t="str">
        <f>IFERROR(VLOOKUP('General price list'!$C933,Popisy!A:P,MATCH($W$17,Popisy!$A$7:$P$7,0),FALSE),"---------------")</f>
        <v>21 různobarevných efektů</v>
      </c>
      <c r="X933" s="716" t="str">
        <f t="shared" si="2354"/>
        <v/>
      </c>
      <c r="Y933" s="716" t="str">
        <f t="shared" si="2355"/>
        <v/>
      </c>
      <c r="Z933" s="716" t="str">
        <f>HYPERLINK("https://www.klasekpyrotechnics.cz/c175mf-c")</f>
        <v>https://www.klasekpyrotechnics.cz/c175mf-c</v>
      </c>
      <c r="AA933" s="716" t="str">
        <f>IFERROR(IF(VLOOKUP(C933,[4]List1!$A:$D,4,FALSE)=0,"",VLOOKUP(C933,[4]List1!$A:$D,4,FALSE)),"")</f>
        <v>15</v>
      </c>
      <c r="AB933" s="720"/>
      <c r="AC933" s="739" t="str">
        <f>IFERROR(IF(VLOOKUP(C933,[1]List1!$A:$D,2,FALSE)="VYPRODÁNO",$V$9,IF(VLOOKUP(C933,[1]List1!$A:$D,2,FALSE)="DOCHÁZÍ",$V$3,VLOOKUP(C933,[1]List1!$A:$D,2,FALSE))),"OFFLINE!")</f>
        <v>SKLADEM</v>
      </c>
      <c r="AD933" s="740" t="str">
        <f ca="1">IF(AP933="NE",$V$10,IF(AC933=$V$3,IF(AQ933&lt;1,$V$8,$V$2&amp;" "&amp;AQ933&amp;" "&amp;$V$1),IF(AC933="SKLADEM",$V$6,IFERROR(IF(OR(AC933-TODAY()&gt;45,VLOOKUP(C933,[1]List1!$A:$E,4,FALSE)=0),AC933,DAY(AC933)&amp;"."&amp;MONTH(AC933)&amp;"."&amp;YEAR(AC933)&amp;" "&amp;$V$4&amp;VLOOKUP(C933,[1]List1!$A:$E,4,FALSE)&amp;" "&amp;$V$1),AC933))))</f>
        <v>SKLADEM</v>
      </c>
      <c r="AE933" s="716" t="str">
        <f t="shared" ca="1" si="2356"/>
        <v>SKLADEM</v>
      </c>
      <c r="AF933" s="723">
        <f t="shared" si="2357"/>
        <v>0</v>
      </c>
      <c r="AG933" s="723">
        <f t="shared" si="2358"/>
        <v>0</v>
      </c>
      <c r="AH933" s="724">
        <f t="shared" si="2359"/>
        <v>0</v>
      </c>
      <c r="AI933" s="716">
        <f t="shared" si="2360"/>
        <v>0</v>
      </c>
      <c r="AJ933" s="716">
        <f t="shared" si="2361"/>
        <v>0</v>
      </c>
      <c r="AK933" s="716" t="str">
        <f t="shared" si="2362"/>
        <v/>
      </c>
      <c r="AL933" s="716">
        <f t="shared" si="2363"/>
        <v>0</v>
      </c>
      <c r="AM933" s="716" t="str">
        <f t="shared" si="2364"/>
        <v/>
      </c>
      <c r="AN933" s="716">
        <f t="shared" si="2365"/>
        <v>0</v>
      </c>
      <c r="AO933" s="380"/>
      <c r="AP933" s="322" t="str">
        <f t="shared" si="2282"/>
        <v/>
      </c>
      <c r="AQ933" s="323" t="str">
        <f>IF(AC933=$V$3,IF(VLOOKUP(C933,[1]List1!$A:$E,5,FALSE)=0,1,VLOOKUP(C933,[1]List1!$A:$E,5,FALSE)),"")</f>
        <v/>
      </c>
      <c r="AR933" s="304" t="str">
        <f t="shared" si="2283"/>
        <v/>
      </c>
      <c r="AS933" s="423" t="str">
        <f t="shared" si="2284"/>
        <v/>
      </c>
      <c r="AT933" s="304" t="str">
        <f t="shared" si="2285"/>
        <v/>
      </c>
      <c r="AU933" s="342" t="e">
        <f t="shared" si="2286"/>
        <v>#N/A</v>
      </c>
      <c r="AV933" s="304" t="e">
        <f t="shared" si="2287"/>
        <v>#N/A</v>
      </c>
      <c r="AX933" s="304">
        <f>IF(AND('General price list'!$J933="F4",'General price list'!$AB933+0&gt;0),1,0)</f>
        <v>0</v>
      </c>
      <c r="AY933" s="304">
        <f t="shared" si="2288"/>
        <v>1</v>
      </c>
      <c r="AZ933" s="304">
        <f t="shared" si="2289"/>
        <v>0</v>
      </c>
    </row>
    <row r="934" spans="1:52" ht="15" customHeight="1">
      <c r="A934" s="725" t="str">
        <f>Kat.!C932</f>
        <v/>
      </c>
      <c r="B934" s="726">
        <f>IF(AND('General price list'!$J934="F4",$AI$1=FALSE),0,IF(AC934="SKLADEM",1,IF(AC934=$V$3,1,0)))</f>
        <v>0</v>
      </c>
      <c r="C934" s="727" t="s">
        <v>1722</v>
      </c>
      <c r="D934" s="728" t="s">
        <v>14613</v>
      </c>
      <c r="E934" s="729" t="s">
        <v>136</v>
      </c>
      <c r="F934" s="725">
        <f>IFERROR(ROUND(IF($AL$3=2,VLOOKUP(C934,[2]List1!$A:$D,2,FALSE)*1.08,VLOOKUP(C934,[2]List1!$A:$D,2,FALSE)),0),"NEUVEDENO!")</f>
        <v>6930</v>
      </c>
      <c r="G934" s="730">
        <f t="shared" si="2352"/>
        <v>6930</v>
      </c>
      <c r="H934" s="731">
        <f t="shared" si="2353"/>
        <v>281.60543543189658</v>
      </c>
      <c r="I934" s="732">
        <v>1</v>
      </c>
      <c r="J934" s="729" t="s">
        <v>137</v>
      </c>
      <c r="K934" s="729" t="s">
        <v>12734</v>
      </c>
      <c r="L934" s="729" t="s">
        <v>24</v>
      </c>
      <c r="M934" s="729" t="s">
        <v>138</v>
      </c>
      <c r="N934" s="729">
        <f>IFERROR(VLOOKUP(C934,[3]List1!$A:$D,4,FALSE),"N/A!")</f>
        <v>9.8549999999999999E-2</v>
      </c>
      <c r="O934" s="729">
        <f>IFERROR(VLOOKUP(C934,[3]List1!$A:$D,3,FALSE),"N/A!")</f>
        <v>2998</v>
      </c>
      <c r="P934" s="729">
        <f>IFERROR(VLOOKUP(C934,[3]List1!$A:$D,2,FALSE),"N/A!")</f>
        <v>28600</v>
      </c>
      <c r="Q934" s="729" t="s">
        <v>14350</v>
      </c>
      <c r="R934" s="729" t="s">
        <v>24</v>
      </c>
      <c r="S934" s="729" t="str">
        <f>IF($W$17=$AF$1,"červená fólie",IFERROR(VLOOKUP("červená fólie",Jazyky_ceník!$A:$Q,MATCH($W$17,Jazyky_ceník!$A$1:$Q$1,0),FALSE),"!!!"))</f>
        <v>červená fólie</v>
      </c>
      <c r="T934" s="729">
        <v>135</v>
      </c>
      <c r="U934" s="729" t="s">
        <v>13848</v>
      </c>
      <c r="V934" s="729" t="s">
        <v>13849</v>
      </c>
      <c r="W934" s="729" t="str">
        <f>IFERROR(VLOOKUP('General price list'!$C934,Popisy!A:P,MATCH($W$17,Popisy!$A$7:$P$7,0),FALSE),"---------------")</f>
        <v>21 různobarevných efektů</v>
      </c>
      <c r="X934" s="729" t="str">
        <f t="shared" si="2354"/>
        <v/>
      </c>
      <c r="Y934" s="729" t="str">
        <f t="shared" si="2355"/>
        <v/>
      </c>
      <c r="Z934" s="729" t="str">
        <f>HYPERLINK("https://www.klasekpyrotechnics.cz/c175msig-c")</f>
        <v>https://www.klasekpyrotechnics.cz/c175msig-c</v>
      </c>
      <c r="AA934" s="729" t="str">
        <f>IFERROR(IF(VLOOKUP(C934,[4]List1!$A:$D,4,FALSE)=0,"",VLOOKUP(C934,[4]List1!$A:$D,4,FALSE)),"")</f>
        <v>15</v>
      </c>
      <c r="AB934" s="720"/>
      <c r="AC934" s="733" t="str">
        <f>IFERROR(IF(VLOOKUP(C934,[1]List1!$A:$D,2,FALSE)="VYPRODÁNO",$V$9,IF(VLOOKUP(C934,[1]List1!$A:$D,2,FALSE)="DOCHÁZÍ",$V$3,VLOOKUP(C934,[1]List1!$A:$D,2,FALSE))),"OFFLINE!")</f>
        <v>15.09.2024</v>
      </c>
      <c r="AD934" s="734" t="str">
        <f ca="1">IF(AP934="NE",$V$10,IF(AC934=$V$3,IF(AQ934&lt;1,$V$8,$V$2&amp;" "&amp;AQ934&amp;" "&amp;$V$1),IF(AC934="SKLADEM",$V$6,IFERROR(IF(OR(AC934-TODAY()&gt;45,VLOOKUP(C934,[1]List1!$A:$E,4,FALSE)=0),AC934,DAY(AC934)&amp;"."&amp;MONTH(AC934)&amp;"."&amp;YEAR(AC934)&amp;" "&amp;$V$4&amp;VLOOKUP(C934,[1]List1!$A:$E,4,FALSE)&amp;" "&amp;$V$1),AC934))))</f>
        <v>15.09.2024</v>
      </c>
      <c r="AE934" s="729" t="str">
        <f t="shared" ca="1" si="2356"/>
        <v>15.09.2024</v>
      </c>
      <c r="AF934" s="735">
        <f t="shared" si="2357"/>
        <v>0</v>
      </c>
      <c r="AG934" s="735">
        <f t="shared" si="2358"/>
        <v>0</v>
      </c>
      <c r="AH934" s="736">
        <f t="shared" si="2359"/>
        <v>0</v>
      </c>
      <c r="AI934" s="729">
        <f t="shared" si="2360"/>
        <v>0</v>
      </c>
      <c r="AJ934" s="729">
        <f t="shared" si="2361"/>
        <v>0</v>
      </c>
      <c r="AK934" s="729" t="str">
        <f t="shared" si="2362"/>
        <v/>
      </c>
      <c r="AL934" s="729">
        <f t="shared" si="2363"/>
        <v>0</v>
      </c>
      <c r="AM934" s="729" t="str">
        <f t="shared" si="2364"/>
        <v/>
      </c>
      <c r="AN934" s="729">
        <f t="shared" si="2365"/>
        <v>0</v>
      </c>
      <c r="AO934" s="380"/>
      <c r="AP934" s="322" t="str">
        <f t="shared" si="2282"/>
        <v/>
      </c>
      <c r="AQ934" s="323" t="str">
        <f>IF(AC934=$V$3,IF(VLOOKUP(C934,[1]List1!$A:$E,5,FALSE)=0,1,VLOOKUP(C934,[1]List1!$A:$E,5,FALSE)),"")</f>
        <v/>
      </c>
      <c r="AR934" s="304" t="str">
        <f t="shared" si="2283"/>
        <v/>
      </c>
      <c r="AS934" s="423" t="str">
        <f t="shared" si="2284"/>
        <v/>
      </c>
      <c r="AT934" s="304" t="str">
        <f t="shared" si="2285"/>
        <v/>
      </c>
      <c r="AU934" s="342" t="e">
        <f t="shared" si="2286"/>
        <v>#N/A</v>
      </c>
      <c r="AV934" s="304" t="e">
        <f t="shared" si="2287"/>
        <v>#N/A</v>
      </c>
      <c r="AX934" s="304">
        <f>IF(AND('General price list'!$J934="F4",'General price list'!$AB934+0&gt;0),1,0)</f>
        <v>0</v>
      </c>
      <c r="AY934" s="304">
        <f t="shared" si="2288"/>
        <v>1</v>
      </c>
      <c r="AZ934" s="304">
        <f t="shared" si="2289"/>
        <v>0</v>
      </c>
    </row>
    <row r="935" spans="1:52" ht="15" customHeight="1">
      <c r="A935" s="712" t="str">
        <f>Kat.!C933</f>
        <v/>
      </c>
      <c r="B935" s="737">
        <f>IF(AND('General price list'!$J935="F4",$AI$1=FALSE),0,IF(AC935="SKLADEM",1,IF(AC935=$V$3,1,0)))</f>
        <v>0</v>
      </c>
      <c r="C935" s="714" t="s">
        <v>2619</v>
      </c>
      <c r="D935" s="715" t="s">
        <v>2620</v>
      </c>
      <c r="E935" s="716" t="s">
        <v>136</v>
      </c>
      <c r="F935" s="712">
        <f>IFERROR(ROUND(IF($AL$3=2,VLOOKUP(C935,[2]List1!$A:$D,2,FALSE)*1.08,VLOOKUP(C935,[2]List1!$A:$D,2,FALSE)),0),"NEUVEDENO!")</f>
        <v>8875</v>
      </c>
      <c r="G935" s="717">
        <f t="shared" si="2352"/>
        <v>8875</v>
      </c>
      <c r="H935" s="718">
        <f t="shared" si="2353"/>
        <v>360.64188159568289</v>
      </c>
      <c r="I935" s="738">
        <v>1</v>
      </c>
      <c r="J935" s="716" t="s">
        <v>137</v>
      </c>
      <c r="K935" s="716"/>
      <c r="L935" s="716" t="s">
        <v>24</v>
      </c>
      <c r="M935" s="716" t="s">
        <v>138</v>
      </c>
      <c r="N935" s="716">
        <f>IFERROR(VLOOKUP(C935,[3]List1!$A:$D,4,FALSE),"N/A!")</f>
        <v>0.13120380000000001</v>
      </c>
      <c r="O935" s="716">
        <f>IFERROR(VLOOKUP(C935,[3]List1!$A:$D,3,FALSE),"N/A!")</f>
        <v>3999</v>
      </c>
      <c r="P935" s="716">
        <f>IFERROR(VLOOKUP(C935,[3]List1!$A:$D,2,FALSE),"N/A!")</f>
        <v>37900</v>
      </c>
      <c r="Q935" s="716" t="s">
        <v>14351</v>
      </c>
      <c r="R935" s="716" t="s">
        <v>24</v>
      </c>
      <c r="S935" s="716" t="str">
        <f>IF($W$17=$AF$1,"červená fólie",IFERROR(VLOOKUP("červená fólie",Jazyky_ceník!$A:$Q,MATCH($W$17,Jazyky_ceník!$A$1:$Q$1,0),FALSE),"!!!"))</f>
        <v>červená fólie</v>
      </c>
      <c r="T935" s="716">
        <v>160</v>
      </c>
      <c r="U935" s="716" t="s">
        <v>13836</v>
      </c>
      <c r="V935" s="716" t="s">
        <v>13850</v>
      </c>
      <c r="W935" s="716" t="str">
        <f>IFERROR(VLOOKUP('General price list'!$C935,Popisy!A:P,MATCH($W$17,Popisy!$A$7:$P$7,0),FALSE),"---------------")</f>
        <v>26 různobarevných efektů</v>
      </c>
      <c r="X935" s="716" t="str">
        <f t="shared" si="2354"/>
        <v/>
      </c>
      <c r="Y935" s="716" t="str">
        <f t="shared" si="2355"/>
        <v/>
      </c>
      <c r="Z935" s="716" t="str">
        <f>HYPERLINK("https://www.klasekpyrotechnics.cz/c222mnpt-c")</f>
        <v>https://www.klasekpyrotechnics.cz/c222mnpt-c</v>
      </c>
      <c r="AA935" s="716">
        <f>IFERROR(IF(VLOOKUP(C935,[4]List1!$A:$D,4,FALSE)=0,"",VLOOKUP(C935,[4]List1!$A:$D,4,FALSE)),"")</f>
        <v>6</v>
      </c>
      <c r="AB935" s="720"/>
      <c r="AC935" s="739" t="str">
        <f>IFERROR(IF(VLOOKUP(C935,[1]List1!$A:$D,2,FALSE)="VYPRODÁNO",$V$9,IF(VLOOKUP(C935,[1]List1!$A:$D,2,FALSE)="DOCHÁZÍ",$V$3,VLOOKUP(C935,[1]List1!$A:$D,2,FALSE))),"OFFLINE!")</f>
        <v>15.08.2024</v>
      </c>
      <c r="AD935" s="740" t="str">
        <f ca="1">IF(AP935="NE",$V$10,IF(AC935=$V$3,IF(AQ935&lt;1,$V$8,$V$2&amp;" "&amp;AQ935&amp;" "&amp;$V$1),IF(AC935="SKLADEM",$V$6,IFERROR(IF(OR(AC935-TODAY()&gt;45,VLOOKUP(C935,[1]List1!$A:$E,4,FALSE)=0),AC935,DAY(AC935)&amp;"."&amp;MONTH(AC935)&amp;"."&amp;YEAR(AC935)&amp;" "&amp;$V$4&amp;VLOOKUP(C935,[1]List1!$A:$E,4,FALSE)&amp;" "&amp;$V$1),AC935))))</f>
        <v>15.08.2024</v>
      </c>
      <c r="AE935" s="716" t="str">
        <f t="shared" ca="1" si="2356"/>
        <v>15.08.2024</v>
      </c>
      <c r="AF935" s="723">
        <f t="shared" si="2357"/>
        <v>0</v>
      </c>
      <c r="AG935" s="723">
        <f t="shared" si="2358"/>
        <v>0</v>
      </c>
      <c r="AH935" s="724">
        <f t="shared" si="2359"/>
        <v>0</v>
      </c>
      <c r="AI935" s="716">
        <f t="shared" si="2360"/>
        <v>0</v>
      </c>
      <c r="AJ935" s="716">
        <f t="shared" si="2361"/>
        <v>0</v>
      </c>
      <c r="AK935" s="716" t="str">
        <f t="shared" si="2362"/>
        <v/>
      </c>
      <c r="AL935" s="716">
        <f t="shared" si="2363"/>
        <v>0</v>
      </c>
      <c r="AM935" s="716" t="str">
        <f t="shared" si="2364"/>
        <v/>
      </c>
      <c r="AN935" s="716">
        <f t="shared" si="2365"/>
        <v>0</v>
      </c>
      <c r="AO935" s="380"/>
      <c r="AP935" s="322" t="str">
        <f t="shared" si="2282"/>
        <v/>
      </c>
      <c r="AQ935" s="323" t="str">
        <f>IF(AC935=$V$3,IF(VLOOKUP(C935,[1]List1!$A:$E,5,FALSE)=0,1,VLOOKUP(C935,[1]List1!$A:$E,5,FALSE)),"")</f>
        <v/>
      </c>
      <c r="AR935" s="304" t="str">
        <f t="shared" si="2283"/>
        <v/>
      </c>
      <c r="AS935" s="423" t="str">
        <f t="shared" si="2284"/>
        <v/>
      </c>
      <c r="AT935" s="304" t="str">
        <f t="shared" si="2285"/>
        <v/>
      </c>
      <c r="AU935" s="342" t="e">
        <f t="shared" si="2286"/>
        <v>#N/A</v>
      </c>
      <c r="AV935" s="304" t="e">
        <f t="shared" si="2287"/>
        <v>#N/A</v>
      </c>
      <c r="AX935" s="304">
        <f>IF(AND('General price list'!$J935="F4",'General price list'!$AB935+0&gt;0),1,0)</f>
        <v>0</v>
      </c>
      <c r="AY935" s="304">
        <f t="shared" si="2288"/>
        <v>1</v>
      </c>
      <c r="AZ935" s="304">
        <f t="shared" si="2289"/>
        <v>0</v>
      </c>
    </row>
    <row r="936" spans="1:52" ht="15" customHeight="1">
      <c r="A936" s="725" t="str">
        <f>Kat.!C934</f>
        <v/>
      </c>
      <c r="B936" s="726">
        <f>IF(AND('General price list'!$J936="F4",$AI$1=FALSE),0,IF(AC936="SKLADEM",1,IF(AC936=$V$3,1,0)))</f>
        <v>0</v>
      </c>
      <c r="C936" s="727" t="s">
        <v>1724</v>
      </c>
      <c r="D936" s="728" t="s">
        <v>1725</v>
      </c>
      <c r="E936" s="729" t="s">
        <v>136</v>
      </c>
      <c r="F936" s="725">
        <f>IFERROR(ROUND(IF($AL$3=2,VLOOKUP(C936,[2]List1!$A:$D,2,FALSE)*1.08,VLOOKUP(C936,[2]List1!$A:$D,2,FALSE)),0),"NEUVEDENO!")</f>
        <v>8594</v>
      </c>
      <c r="G936" s="730">
        <f t="shared" si="2352"/>
        <v>8594</v>
      </c>
      <c r="H936" s="731">
        <f t="shared" si="2353"/>
        <v>349.22324849952662</v>
      </c>
      <c r="I936" s="732">
        <v>1</v>
      </c>
      <c r="J936" s="729" t="s">
        <v>137</v>
      </c>
      <c r="K936" s="729" t="s">
        <v>12734</v>
      </c>
      <c r="L936" s="729" t="s">
        <v>24</v>
      </c>
      <c r="M936" s="729" t="s">
        <v>138</v>
      </c>
      <c r="N936" s="729">
        <f>IFERROR(VLOOKUP(C936,[3]List1!$A:$D,4,FALSE),"N/A!")</f>
        <v>0.13120380000000001</v>
      </c>
      <c r="O936" s="729">
        <f>IFERROR(VLOOKUP(C936,[3]List1!$A:$D,3,FALSE),"N/A!")</f>
        <v>3999</v>
      </c>
      <c r="P936" s="729">
        <f>IFERROR(VLOOKUP(C936,[3]List1!$A:$D,2,FALSE),"N/A!")</f>
        <v>39000</v>
      </c>
      <c r="Q936" s="729" t="s">
        <v>14293</v>
      </c>
      <c r="R936" s="729" t="s">
        <v>24</v>
      </c>
      <c r="S936" s="729" t="str">
        <f>IF($W$17=$AF$1,"červená fólie",IFERROR(VLOOKUP("červená fólie",Jazyky_ceník!$A:$Q,MATCH($W$17,Jazyky_ceník!$A$1:$Q$1,0),FALSE),"!!!"))</f>
        <v>červená fólie</v>
      </c>
      <c r="T936" s="729">
        <v>180</v>
      </c>
      <c r="U936" s="729" t="s">
        <v>13836</v>
      </c>
      <c r="V936" s="729" t="s">
        <v>13837</v>
      </c>
      <c r="W936" s="729" t="str">
        <f>IFERROR(VLOOKUP('General price list'!$C936,Popisy!A:P,MATCH($W$17,Popisy!$A$7:$P$7,0),FALSE),"---------------")</f>
        <v>26 různobarevných efektů</v>
      </c>
      <c r="X936" s="729" t="str">
        <f t="shared" si="2354"/>
        <v/>
      </c>
      <c r="Y936" s="729" t="str">
        <f t="shared" si="2355"/>
        <v/>
      </c>
      <c r="Z936" s="729" t="str">
        <f>HYPERLINK("https://www.klasekpyrotechnics.cz/c222mf-c")</f>
        <v>https://www.klasekpyrotechnics.cz/c222mf-c</v>
      </c>
      <c r="AA936" s="729">
        <f>IFERROR(IF(VLOOKUP(C936,[4]List1!$A:$D,4,FALSE)=0,"",VLOOKUP(C936,[4]List1!$A:$D,4,FALSE)),"")</f>
        <v>6</v>
      </c>
      <c r="AB936" s="720"/>
      <c r="AC936" s="733" t="str">
        <f>IFERROR(IF(VLOOKUP(C936,[1]List1!$A:$D,2,FALSE)="VYPRODÁNO",$V$9,IF(VLOOKUP(C936,[1]List1!$A:$D,2,FALSE)="DOCHÁZÍ",$V$3,VLOOKUP(C936,[1]List1!$A:$D,2,FALSE))),"OFFLINE!")</f>
        <v>30.09.2024</v>
      </c>
      <c r="AD936" s="734" t="str">
        <f ca="1">IF(AP936="NE",$V$10,IF(AC936=$V$3,IF(AQ936&lt;1,$V$8,$V$2&amp;" "&amp;AQ936&amp;" "&amp;$V$1),IF(AC936="SKLADEM",$V$6,IFERROR(IF(OR(AC936-TODAY()&gt;45,VLOOKUP(C936,[1]List1!$A:$E,4,FALSE)=0),AC936,DAY(AC936)&amp;"."&amp;MONTH(AC936)&amp;"."&amp;YEAR(AC936)&amp;" "&amp;$V$4&amp;VLOOKUP(C936,[1]List1!$A:$E,4,FALSE)&amp;" "&amp;$V$1),AC936))))</f>
        <v>30.09.2024</v>
      </c>
      <c r="AE936" s="729" t="str">
        <f t="shared" ca="1" si="2356"/>
        <v>30.09.2024</v>
      </c>
      <c r="AF936" s="735">
        <f t="shared" si="2357"/>
        <v>0</v>
      </c>
      <c r="AG936" s="735">
        <f t="shared" si="2358"/>
        <v>0</v>
      </c>
      <c r="AH936" s="736">
        <f t="shared" si="2359"/>
        <v>0</v>
      </c>
      <c r="AI936" s="729">
        <f t="shared" si="2360"/>
        <v>0</v>
      </c>
      <c r="AJ936" s="729">
        <f t="shared" si="2361"/>
        <v>0</v>
      </c>
      <c r="AK936" s="729" t="str">
        <f t="shared" si="2362"/>
        <v/>
      </c>
      <c r="AL936" s="729">
        <f t="shared" si="2363"/>
        <v>0</v>
      </c>
      <c r="AM936" s="729" t="str">
        <f t="shared" si="2364"/>
        <v/>
      </c>
      <c r="AN936" s="729">
        <f t="shared" si="2365"/>
        <v>0</v>
      </c>
      <c r="AO936" s="380"/>
      <c r="AP936" s="322" t="str">
        <f t="shared" si="2282"/>
        <v/>
      </c>
      <c r="AQ936" s="323" t="str">
        <f>IF(AC936=$V$3,IF(VLOOKUP(C936,[1]List1!$A:$E,5,FALSE)=0,1,VLOOKUP(C936,[1]List1!$A:$E,5,FALSE)),"")</f>
        <v/>
      </c>
      <c r="AR936" s="304" t="str">
        <f t="shared" si="2283"/>
        <v/>
      </c>
      <c r="AS936" s="423" t="str">
        <f t="shared" si="2284"/>
        <v/>
      </c>
      <c r="AT936" s="304" t="str">
        <f t="shared" si="2285"/>
        <v/>
      </c>
      <c r="AU936" s="342" t="e">
        <f t="shared" si="2286"/>
        <v>#N/A</v>
      </c>
      <c r="AV936" s="304" t="e">
        <f t="shared" si="2287"/>
        <v>#N/A</v>
      </c>
      <c r="AX936" s="304">
        <f>IF(AND('General price list'!$J936="F4",'General price list'!$AB936+0&gt;0),1,0)</f>
        <v>0</v>
      </c>
      <c r="AY936" s="304">
        <f t="shared" si="2288"/>
        <v>1</v>
      </c>
      <c r="AZ936" s="304">
        <f t="shared" si="2289"/>
        <v>0</v>
      </c>
    </row>
    <row r="937" spans="1:52" ht="15" customHeight="1">
      <c r="A937" s="773" t="str">
        <f>Kat.!C935</f>
        <v xml:space="preserve">                                                               Složený ohňostroj(s ochraným obalem), multikaliber(30-50mm) F3 - 1.3G</v>
      </c>
      <c r="B937" s="774"/>
      <c r="C937" s="774"/>
      <c r="D937" s="774"/>
      <c r="E937" s="774"/>
      <c r="F937" s="774"/>
      <c r="G937" s="774"/>
      <c r="H937" s="774"/>
      <c r="I937" s="774"/>
      <c r="J937" s="774"/>
      <c r="K937" s="774"/>
      <c r="L937" s="774"/>
      <c r="M937" s="774"/>
      <c r="N937" s="774"/>
      <c r="O937" s="774"/>
      <c r="P937" s="774"/>
      <c r="Q937" s="774"/>
      <c r="R937" s="774"/>
      <c r="S937" s="774"/>
      <c r="T937" s="774"/>
      <c r="U937" s="774"/>
      <c r="V937" s="774"/>
      <c r="W937" s="774"/>
      <c r="X937" s="774"/>
      <c r="Y937" s="774"/>
      <c r="Z937" s="774"/>
      <c r="AA937" s="774" t="str">
        <f>IFERROR(IF(VLOOKUP(C937,[4]List1!$A:$D,4,FALSE)=0,"",VLOOKUP(C937,[4]List1!$A:$D,4,FALSE)),"")</f>
        <v/>
      </c>
      <c r="AB937" s="774"/>
      <c r="AC937" s="775" t="str">
        <f>IFERROR(IF(VLOOKUP(C937,[1]List1!$A:$D,2,FALSE)="VYPRODÁNO",$V$9,IF(VLOOKUP(C937,[1]List1!$A:$D,2,FALSE)="DOCHÁZÍ",$V$3,VLOOKUP(C937,[1]List1!$A:$D,2,FALSE))),"OFFLINE!")</f>
        <v>OFFLINE!</v>
      </c>
      <c r="AD937" s="774"/>
      <c r="AE937" s="774"/>
      <c r="AF937" s="774"/>
      <c r="AG937" s="774"/>
      <c r="AH937" s="774"/>
      <c r="AI937" s="774"/>
      <c r="AJ937" s="774"/>
      <c r="AK937" s="774"/>
      <c r="AL937" s="774"/>
      <c r="AM937" s="774"/>
      <c r="AN937" s="774"/>
      <c r="AO937" s="380"/>
      <c r="AP937" s="322" t="str">
        <f t="shared" si="2282"/>
        <v/>
      </c>
      <c r="AQ937" s="323" t="str">
        <f>IF(AC937=$V$3,IF(VLOOKUP(C937,[1]List1!$A:$E,5,FALSE)=0,1,VLOOKUP(C937,[1]List1!$A:$E,5,FALSE)),"")</f>
        <v/>
      </c>
      <c r="AR937" s="304" t="str">
        <f t="shared" si="2283"/>
        <v/>
      </c>
      <c r="AS937" s="423" t="str">
        <f t="shared" si="2284"/>
        <v/>
      </c>
      <c r="AT937" s="304" t="str">
        <f t="shared" si="2285"/>
        <v/>
      </c>
      <c r="AU937" s="342" t="e">
        <f t="shared" si="2286"/>
        <v>#N/A</v>
      </c>
      <c r="AV937" s="304" t="e">
        <f t="shared" si="2287"/>
        <v>#N/A</v>
      </c>
      <c r="AX937" s="304">
        <f>IF(AND('General price list'!$J937="F4",'General price list'!$AB937+0&gt;0),1,0)</f>
        <v>0</v>
      </c>
      <c r="AY937" s="304">
        <f t="shared" si="2288"/>
        <v>0</v>
      </c>
      <c r="AZ937" s="304">
        <f t="shared" si="2289"/>
        <v>0</v>
      </c>
    </row>
    <row r="938" spans="1:52" ht="15" customHeight="1">
      <c r="A938" s="725" t="str">
        <f>Kat.!C936</f>
        <v/>
      </c>
      <c r="B938" s="741">
        <f>IF(AND('General price list'!$J938="F4",$AI$1=FALSE),0,IF(AC938="SKLADEM",1,IF(AC938=$V$3,1,0)))</f>
        <v>0</v>
      </c>
      <c r="C938" s="727" t="s">
        <v>2781</v>
      </c>
      <c r="D938" s="728" t="s">
        <v>2617</v>
      </c>
      <c r="E938" s="729" t="s">
        <v>136</v>
      </c>
      <c r="F938" s="725">
        <f>IFERROR(ROUND(IF($AL$3=2,VLOOKUP(C938,[2]List1!$A:$D,2,FALSE)*1.08,VLOOKUP(C938,[2]List1!$A:$D,2,FALSE)),0),"NEUVEDENO!")</f>
        <v>3718</v>
      </c>
      <c r="G938" s="730">
        <f t="shared" ref="G938:G945" si="2366">(F938)*$B$19</f>
        <v>3718</v>
      </c>
      <c r="H938" s="731">
        <f t="shared" ref="H938:H945" si="2367">G938/$F$19</f>
        <v>151.08355107298581</v>
      </c>
      <c r="I938" s="742">
        <v>1</v>
      </c>
      <c r="J938" s="729" t="s">
        <v>137</v>
      </c>
      <c r="K938" s="729">
        <v>6</v>
      </c>
      <c r="L938" s="729" t="s">
        <v>24</v>
      </c>
      <c r="M938" s="729" t="s">
        <v>138</v>
      </c>
      <c r="N938" s="729">
        <f>IFERROR(VLOOKUP(C938,[3]List1!$A:$D,4,FALSE),"N/A!")</f>
        <v>3.6477999999999997E-2</v>
      </c>
      <c r="O938" s="729">
        <f>IFERROR(VLOOKUP(C938,[3]List1!$A:$D,3,FALSE),"N/A!")</f>
        <v>1900</v>
      </c>
      <c r="P938" s="729">
        <f>IFERROR(VLOOKUP(C938,[3]List1!$A:$D,2,FALSE),"N/A!")</f>
        <v>14500</v>
      </c>
      <c r="Q938" s="729" t="s">
        <v>14294</v>
      </c>
      <c r="R938" s="729" t="s">
        <v>24</v>
      </c>
      <c r="S938" s="729" t="str">
        <f>IF($W$17=$AF$1,"design",IFERROR(VLOOKUP("design",Jazyky_ceník!$A:$Q,MATCH($W$17,Jazyky_ceník!$A$1:$Q$1,0),FALSE),"!!!"))</f>
        <v>design</v>
      </c>
      <c r="T938" s="729">
        <v>80</v>
      </c>
      <c r="U938" s="729" t="s">
        <v>13836</v>
      </c>
      <c r="V938" s="729" t="s">
        <v>13837</v>
      </c>
      <c r="W938" s="729" t="str">
        <f>IFERROR(VLOOKUP('General price list'!$C938,Popisy!A:P,MATCH($W$17,Popisy!$A$7:$P$7,0),FALSE),"---------------")</f>
        <v>16 různobarevných efektů</v>
      </c>
      <c r="X938" s="729" t="str">
        <f t="shared" ref="X938:X945" si="2368">IF(AB938&lt;0.0001,"",AB938)</f>
        <v/>
      </c>
      <c r="Y938" s="729" t="str">
        <f t="shared" ref="Y938:Y945" si="2369">IF($AL$3=2,IF(OR(AB938&lt;&gt;"",AB938&lt;&gt;0),AU938,""),IF(C938="","",IF(AB938&lt;0.0001,"",IF(B938=0,"",IF(AQ938&lt;AB938,"",AB938)))))</f>
        <v/>
      </c>
      <c r="Z938" s="729" t="str">
        <f>HYPERLINK("https://www.klasekpyrotechnics.cz/c84m12f-c_t")</f>
        <v>https://www.klasekpyrotechnics.cz/c84m12f-c_t</v>
      </c>
      <c r="AA938" s="729">
        <f>IFERROR(IF(VLOOKUP(C938,[4]List1!$A:$D,4,FALSE)=0,"",VLOOKUP(C938,[4]List1!$A:$D,4,FALSE)),"")</f>
        <v>36</v>
      </c>
      <c r="AB938" s="720"/>
      <c r="AC938" s="743" t="str">
        <f>IFERROR(IF(VLOOKUP(C938,[1]List1!$A:$D,2,FALSE)="VYPRODÁNO",$V$9,IF(VLOOKUP(C938,[1]List1!$A:$D,2,FALSE)="DOCHÁZÍ",$V$3,VLOOKUP(C938,[1]List1!$A:$D,2,FALSE))),"OFFLINE!")</f>
        <v>30.09.2024</v>
      </c>
      <c r="AD938" s="744" t="str">
        <f ca="1">IF(AP938="NE",$V$10,IF(AC938=$V$3,IF(AQ938&lt;1,$V$8,$V$2&amp;" "&amp;AQ938&amp;" "&amp;$V$1),IF(AC938="SKLADEM",$V$6,IFERROR(IF(OR(AC938-TODAY()&gt;45,VLOOKUP(C938,[1]List1!$A:$E,4,FALSE)=0),AC938,DAY(AC938)&amp;"."&amp;MONTH(AC938)&amp;"."&amp;YEAR(AC938)&amp;" "&amp;$V$4&amp;VLOOKUP(C938,[1]List1!$A:$E,4,FALSE)&amp;" "&amp;$V$1),AC938))))</f>
        <v>30.09.2024</v>
      </c>
      <c r="AE938" s="729" t="str">
        <f t="shared" ref="AE938:AE945" ca="1" si="2370">IFERROR(IF(AV938&lt;&gt;"",AV938,AD938),AD938)</f>
        <v>30.09.2024</v>
      </c>
      <c r="AF938" s="735">
        <f t="shared" ref="AF938:AF945" si="2371">IFERROR(IF(AB938=Y938,G938*I938*Y938,0),0)</f>
        <v>0</v>
      </c>
      <c r="AG938" s="735">
        <f t="shared" ref="AG938:AG945" si="2372">IF($W$17=$AF$8,AH938*1.23,AF938*1.21)</f>
        <v>0</v>
      </c>
      <c r="AH938" s="736">
        <f t="shared" ref="AH938:AH945" si="2373">IFERROR(IF(Y938=AB938,H938*I938*Y938,0),0)</f>
        <v>0</v>
      </c>
      <c r="AI938" s="729">
        <f t="shared" ref="AI938:AI945" si="2374">IFERROR(IF(Y938=AB938,(P938*Y938)/1000,1),0)</f>
        <v>0</v>
      </c>
      <c r="AJ938" s="729">
        <f t="shared" ref="AJ938:AJ945" si="2375">IFERROR(IF(Y938=AB938,N938*Y938,0.1),0)</f>
        <v>0</v>
      </c>
      <c r="AK938" s="729" t="str">
        <f t="shared" ref="AK938:AK945" si="2376">IFERROR(IF(Y938=AB938,IF(M938="1.1G",(O938/1000)*Y938,""),""),0)</f>
        <v/>
      </c>
      <c r="AL938" s="729">
        <f t="shared" ref="AL938:AL945" si="2377">IFERROR(IF(Y938=AB938,IF(M938="1.3G",(O938/1000)*AB938,""),""),0)</f>
        <v>0</v>
      </c>
      <c r="AM938" s="729" t="str">
        <f t="shared" ref="AM938:AM945" si="2378">IFERROR(IF(Y938=AB938,IF(M938="1.4G",(O938/1000)*AB938,""),""),0)</f>
        <v/>
      </c>
      <c r="AN938" s="729">
        <f t="shared" ref="AN938:AN945" si="2379">SUM(AK938:AM938)</f>
        <v>0</v>
      </c>
      <c r="AO938" s="380"/>
      <c r="AP938" s="322" t="str">
        <f t="shared" si="2282"/>
        <v/>
      </c>
      <c r="AQ938" s="323" t="str">
        <f>IF(AC938=$V$3,IF(VLOOKUP(C938,[1]List1!$A:$E,5,FALSE)=0,1,VLOOKUP(C938,[1]List1!$A:$E,5,FALSE)),"")</f>
        <v/>
      </c>
      <c r="AR938" s="304" t="str">
        <f t="shared" si="2283"/>
        <v/>
      </c>
      <c r="AS938" s="423" t="str">
        <f t="shared" si="2284"/>
        <v/>
      </c>
      <c r="AT938" s="304" t="str">
        <f t="shared" si="2285"/>
        <v/>
      </c>
      <c r="AU938" s="342" t="e">
        <f t="shared" si="2286"/>
        <v>#N/A</v>
      </c>
      <c r="AV938" s="304" t="e">
        <f t="shared" si="2287"/>
        <v>#N/A</v>
      </c>
      <c r="AX938" s="304">
        <f>IF(AND('General price list'!$J938="F4",'General price list'!$AB938+0&gt;0),1,0)</f>
        <v>0</v>
      </c>
      <c r="AY938" s="304">
        <f t="shared" si="2288"/>
        <v>1</v>
      </c>
      <c r="AZ938" s="304">
        <f t="shared" si="2289"/>
        <v>0</v>
      </c>
    </row>
    <row r="939" spans="1:52" ht="15" customHeight="1">
      <c r="A939" s="712" t="str">
        <f>Kat.!C937</f>
        <v/>
      </c>
      <c r="B939" s="745">
        <f>IF(AND('General price list'!$J939="F4",$AI$1=FALSE),0,IF(AC939="SKLADEM",1,IF(AC939=$V$3,1,0)))</f>
        <v>0</v>
      </c>
      <c r="C939" s="714" t="s">
        <v>2782</v>
      </c>
      <c r="D939" s="715" t="s">
        <v>1727</v>
      </c>
      <c r="E939" s="716" t="s">
        <v>136</v>
      </c>
      <c r="F939" s="712">
        <f>IFERROR(ROUND(IF($AL$3=2,VLOOKUP(C939,[2]List1!$A:$D,2,FALSE)*1.08,VLOOKUP(C939,[2]List1!$A:$D,2,FALSE)),0),"NEUVEDENO!")</f>
        <v>3718</v>
      </c>
      <c r="G939" s="717">
        <f t="shared" si="2366"/>
        <v>3718</v>
      </c>
      <c r="H939" s="718">
        <f t="shared" si="2367"/>
        <v>151.08355107298581</v>
      </c>
      <c r="I939" s="746">
        <v>1</v>
      </c>
      <c r="J939" s="716" t="s">
        <v>137</v>
      </c>
      <c r="K939" s="716">
        <v>6</v>
      </c>
      <c r="L939" s="716" t="s">
        <v>24</v>
      </c>
      <c r="M939" s="716" t="s">
        <v>138</v>
      </c>
      <c r="N939" s="716">
        <f>IFERROR(VLOOKUP(C939,[3]List1!$A:$D,4,FALSE),"N/A!")</f>
        <v>3.6477999999999997E-2</v>
      </c>
      <c r="O939" s="716">
        <f>IFERROR(VLOOKUP(C939,[3]List1!$A:$D,3,FALSE),"N/A!")</f>
        <v>1900</v>
      </c>
      <c r="P939" s="716">
        <f>IFERROR(VLOOKUP(C939,[3]List1!$A:$D,2,FALSE),"N/A!")</f>
        <v>14500</v>
      </c>
      <c r="Q939" s="716" t="s">
        <v>14294</v>
      </c>
      <c r="R939" s="716" t="s">
        <v>24</v>
      </c>
      <c r="S939" s="716" t="str">
        <f>IF($W$17=$AF$1,"design",IFERROR(VLOOKUP("design",Jazyky_ceník!$A:$Q,MATCH($W$17,Jazyky_ceník!$A$1:$Q$1,0),FALSE),"!!!"))</f>
        <v>design</v>
      </c>
      <c r="T939" s="716">
        <v>80</v>
      </c>
      <c r="U939" s="716" t="s">
        <v>13836</v>
      </c>
      <c r="V939" s="716" t="s">
        <v>13837</v>
      </c>
      <c r="W939" s="716" t="str">
        <f>IFERROR(VLOOKUP('General price list'!$C939,Popisy!A:P,MATCH($W$17,Popisy!$A$7:$P$7,0),FALSE),"---------------")</f>
        <v>16 různobarevných efektů</v>
      </c>
      <c r="X939" s="716" t="str">
        <f t="shared" si="2368"/>
        <v/>
      </c>
      <c r="Y939" s="716" t="str">
        <f t="shared" si="2369"/>
        <v/>
      </c>
      <c r="Z939" s="716" t="str">
        <f>HYPERLINK("https://www.klasekpyrotechnics.cz/c84m12s-c_t")</f>
        <v>https://www.klasekpyrotechnics.cz/c84m12s-c_t</v>
      </c>
      <c r="AA939" s="716">
        <f>IFERROR(IF(VLOOKUP(C939,[4]List1!$A:$D,4,FALSE)=0,"",VLOOKUP(C939,[4]List1!$A:$D,4,FALSE)),"")</f>
        <v>36</v>
      </c>
      <c r="AB939" s="720"/>
      <c r="AC939" s="747" t="str">
        <f>IFERROR(IF(VLOOKUP(C939,[1]List1!$A:$D,2,FALSE)="VYPRODÁNO",$V$9,IF(VLOOKUP(C939,[1]List1!$A:$D,2,FALSE)="DOCHÁZÍ",$V$3,VLOOKUP(C939,[1]List1!$A:$D,2,FALSE))),"OFFLINE!")</f>
        <v>15.07.2024</v>
      </c>
      <c r="AD939" s="748" t="str">
        <f ca="1">IF(AP939="NE",$V$10,IF(AC939=$V$3,IF(AQ939&lt;1,$V$8,$V$2&amp;" "&amp;AQ939&amp;" "&amp;$V$1),IF(AC939="SKLADEM",$V$6,IFERROR(IF(OR(AC939-TODAY()&gt;45,VLOOKUP(C939,[1]List1!$A:$E,4,FALSE)=0),AC939,DAY(AC939)&amp;"."&amp;MONTH(AC939)&amp;"."&amp;YEAR(AC939)&amp;" "&amp;$V$4&amp;VLOOKUP(C939,[1]List1!$A:$E,4,FALSE)&amp;" "&amp;$V$1),AC939))))</f>
        <v>15.07.2024</v>
      </c>
      <c r="AE939" s="716" t="str">
        <f t="shared" ca="1" si="2370"/>
        <v>15.07.2024</v>
      </c>
      <c r="AF939" s="723">
        <f t="shared" si="2371"/>
        <v>0</v>
      </c>
      <c r="AG939" s="723">
        <f t="shared" si="2372"/>
        <v>0</v>
      </c>
      <c r="AH939" s="724">
        <f t="shared" si="2373"/>
        <v>0</v>
      </c>
      <c r="AI939" s="716">
        <f t="shared" si="2374"/>
        <v>0</v>
      </c>
      <c r="AJ939" s="716">
        <f t="shared" si="2375"/>
        <v>0</v>
      </c>
      <c r="AK939" s="716" t="str">
        <f t="shared" si="2376"/>
        <v/>
      </c>
      <c r="AL939" s="716">
        <f t="shared" si="2377"/>
        <v>0</v>
      </c>
      <c r="AM939" s="716" t="str">
        <f t="shared" si="2378"/>
        <v/>
      </c>
      <c r="AN939" s="716">
        <f t="shared" si="2379"/>
        <v>0</v>
      </c>
      <c r="AO939" s="380"/>
      <c r="AP939" s="322" t="str">
        <f t="shared" si="2282"/>
        <v/>
      </c>
      <c r="AQ939" s="323" t="str">
        <f>IF(AC939=$V$3,IF(VLOOKUP(C939,[1]List1!$A:$E,5,FALSE)=0,1,VLOOKUP(C939,[1]List1!$A:$E,5,FALSE)),"")</f>
        <v/>
      </c>
      <c r="AR939" s="304" t="str">
        <f t="shared" si="2283"/>
        <v/>
      </c>
      <c r="AS939" s="423" t="str">
        <f t="shared" si="2284"/>
        <v/>
      </c>
      <c r="AT939" s="304" t="str">
        <f t="shared" si="2285"/>
        <v/>
      </c>
      <c r="AU939" s="342" t="e">
        <f t="shared" si="2286"/>
        <v>#N/A</v>
      </c>
      <c r="AV939" s="304" t="e">
        <f t="shared" si="2287"/>
        <v>#N/A</v>
      </c>
      <c r="AX939" s="304">
        <f>IF(AND('General price list'!$J939="F4",'General price list'!$AB939+0&gt;0),1,0)</f>
        <v>0</v>
      </c>
      <c r="AY939" s="304">
        <f t="shared" si="2288"/>
        <v>1</v>
      </c>
      <c r="AZ939" s="304">
        <f t="shared" si="2289"/>
        <v>0</v>
      </c>
    </row>
    <row r="940" spans="1:52" ht="15" customHeight="1">
      <c r="A940" s="725" t="str">
        <f>Kat.!C938</f>
        <v/>
      </c>
      <c r="B940" s="749">
        <f>IF(AND('General price list'!$J940="F4",$AI$1=FALSE),0,IF(AC940="SKLADEM",1,IF(AC940=$V$3,1,0)))</f>
        <v>0</v>
      </c>
      <c r="C940" s="727" t="s">
        <v>2783</v>
      </c>
      <c r="D940" s="728" t="s">
        <v>14612</v>
      </c>
      <c r="E940" s="729" t="s">
        <v>136</v>
      </c>
      <c r="F940" s="725">
        <f>IFERROR(ROUND(IF($AL$3=2,VLOOKUP(C940,[2]List1!$A:$D,2,FALSE)*1.08,VLOOKUP(C940,[2]List1!$A:$D,2,FALSE)),0),"NEUVEDENO!")</f>
        <v>4354</v>
      </c>
      <c r="G940" s="730">
        <f t="shared" si="2366"/>
        <v>4354</v>
      </c>
      <c r="H940" s="731">
        <f t="shared" si="2367"/>
        <v>176.92785943296937</v>
      </c>
      <c r="I940" s="750">
        <v>1</v>
      </c>
      <c r="J940" s="729" t="s">
        <v>137</v>
      </c>
      <c r="K940" s="729">
        <v>6</v>
      </c>
      <c r="L940" s="729" t="s">
        <v>24</v>
      </c>
      <c r="M940" s="729" t="s">
        <v>138</v>
      </c>
      <c r="N940" s="729">
        <f>IFERROR(VLOOKUP(C940,[3]List1!$A:$D,4,FALSE),"N/A!")</f>
        <v>4.5589500000000005E-2</v>
      </c>
      <c r="O940" s="729">
        <f>IFERROR(VLOOKUP(C940,[3]List1!$A:$D,3,FALSE),"N/A!")</f>
        <v>1998</v>
      </c>
      <c r="P940" s="729">
        <f>IFERROR(VLOOKUP(C940,[3]List1!$A:$D,2,FALSE),"N/A!")</f>
        <v>16000</v>
      </c>
      <c r="Q940" s="729" t="s">
        <v>2802</v>
      </c>
      <c r="R940" s="729" t="s">
        <v>24</v>
      </c>
      <c r="S940" s="729" t="str">
        <f>IF($W$17=$AF$1,"červená fólie",IFERROR(VLOOKUP("červená fólie",Jazyky_ceník!$A:$Q,MATCH($W$17,Jazyky_ceník!$A$1:$Q$1,0),FALSE),"!!!"))</f>
        <v>červená fólie</v>
      </c>
      <c r="T940" s="729">
        <v>80</v>
      </c>
      <c r="U940" s="729" t="s">
        <v>13836</v>
      </c>
      <c r="V940" s="729" t="s">
        <v>13837</v>
      </c>
      <c r="W940" s="729" t="str">
        <f>IFERROR(VLOOKUP('General price list'!$C940,Popisy!A:P,MATCH($W$17,Popisy!$A$7:$P$7,0),FALSE),"---------------")</f>
        <v>16 různobarevných efektů</v>
      </c>
      <c r="X940" s="729" t="str">
        <f t="shared" si="2368"/>
        <v/>
      </c>
      <c r="Y940" s="729" t="str">
        <f t="shared" si="2369"/>
        <v/>
      </c>
      <c r="Z940" s="729" t="str">
        <f>HYPERLINK("https://www.klasekpyrotechnics.cz/c84mc-c_t")</f>
        <v>https://www.klasekpyrotechnics.cz/c84mc-c_t</v>
      </c>
      <c r="AA940" s="729">
        <f>IFERROR(IF(VLOOKUP(C940,[4]List1!$A:$D,4,FALSE)=0,"",VLOOKUP(C940,[4]List1!$A:$D,4,FALSE)),"")</f>
        <v>24</v>
      </c>
      <c r="AB940" s="720"/>
      <c r="AC940" s="751" t="str">
        <f>IFERROR(IF(VLOOKUP(C940,[1]List1!$A:$D,2,FALSE)="VYPRODÁNO",$V$9,IF(VLOOKUP(C940,[1]List1!$A:$D,2,FALSE)="DOCHÁZÍ",$V$3,VLOOKUP(C940,[1]List1!$A:$D,2,FALSE))),"OFFLINE!")</f>
        <v>15.08.2024</v>
      </c>
      <c r="AD940" s="752" t="str">
        <f ca="1">IF(AP940="NE",$V$10,IF(AC940=$V$3,IF(AQ940&lt;1,$V$8,$V$2&amp;" "&amp;AQ940&amp;" "&amp;$V$1),IF(AC940="SKLADEM",$V$6,IFERROR(IF(OR(AC940-TODAY()&gt;45,VLOOKUP(C940,[1]List1!$A:$E,4,FALSE)=0),AC940,DAY(AC940)&amp;"."&amp;MONTH(AC940)&amp;"."&amp;YEAR(AC940)&amp;" "&amp;$V$4&amp;VLOOKUP(C940,[1]List1!$A:$E,4,FALSE)&amp;" "&amp;$V$1),AC940))))</f>
        <v>15.08.2024</v>
      </c>
      <c r="AE940" s="729" t="str">
        <f t="shared" ca="1" si="2370"/>
        <v>15.08.2024</v>
      </c>
      <c r="AF940" s="735">
        <f t="shared" si="2371"/>
        <v>0</v>
      </c>
      <c r="AG940" s="735">
        <f t="shared" si="2372"/>
        <v>0</v>
      </c>
      <c r="AH940" s="736">
        <f t="shared" si="2373"/>
        <v>0</v>
      </c>
      <c r="AI940" s="729">
        <f t="shared" si="2374"/>
        <v>0</v>
      </c>
      <c r="AJ940" s="729">
        <f t="shared" si="2375"/>
        <v>0</v>
      </c>
      <c r="AK940" s="729" t="str">
        <f t="shared" si="2376"/>
        <v/>
      </c>
      <c r="AL940" s="729">
        <f t="shared" si="2377"/>
        <v>0</v>
      </c>
      <c r="AM940" s="729" t="str">
        <f t="shared" si="2378"/>
        <v/>
      </c>
      <c r="AN940" s="729">
        <f t="shared" si="2379"/>
        <v>0</v>
      </c>
      <c r="AO940" s="380"/>
      <c r="AP940" s="322" t="str">
        <f t="shared" si="2282"/>
        <v/>
      </c>
      <c r="AQ940" s="323" t="str">
        <f>IF(AC940=$V$3,IF(VLOOKUP(C940,[1]List1!$A:$E,5,FALSE)=0,1,VLOOKUP(C940,[1]List1!$A:$E,5,FALSE)),"")</f>
        <v/>
      </c>
      <c r="AR940" s="304" t="str">
        <f t="shared" si="2283"/>
        <v/>
      </c>
      <c r="AS940" s="423" t="str">
        <f t="shared" si="2284"/>
        <v/>
      </c>
      <c r="AT940" s="304" t="str">
        <f t="shared" si="2285"/>
        <v/>
      </c>
      <c r="AU940" s="342" t="e">
        <f t="shared" si="2286"/>
        <v>#N/A</v>
      </c>
      <c r="AV940" s="304" t="e">
        <f t="shared" si="2287"/>
        <v>#N/A</v>
      </c>
      <c r="AX940" s="304">
        <f>IF(AND('General price list'!$J940="F4",'General price list'!$AB940+0&gt;0),1,0)</f>
        <v>0</v>
      </c>
      <c r="AY940" s="304">
        <f t="shared" si="2288"/>
        <v>1</v>
      </c>
      <c r="AZ940" s="304">
        <f t="shared" si="2289"/>
        <v>0</v>
      </c>
    </row>
    <row r="941" spans="1:52" ht="15" customHeight="1">
      <c r="A941" s="712" t="str">
        <f>Kat.!C939</f>
        <v/>
      </c>
      <c r="B941" s="745">
        <f>IF(AND('General price list'!$J941="F4",$AI$1=FALSE),0,IF(AC941="SKLADEM",1,IF(AC941=$V$3,1,0)))</f>
        <v>1</v>
      </c>
      <c r="C941" s="714" t="s">
        <v>5537</v>
      </c>
      <c r="D941" s="715" t="s">
        <v>1718</v>
      </c>
      <c r="E941" s="716" t="s">
        <v>136</v>
      </c>
      <c r="F941" s="712">
        <f>IFERROR(ROUND(IF($AL$3=2,VLOOKUP(C941,[2]List1!$A:$D,2,FALSE)*1.08,VLOOKUP(C941,[2]List1!$A:$D,2,FALSE)),0),"NEUVEDENO!")</f>
        <v>4298</v>
      </c>
      <c r="G941" s="717">
        <f t="shared" si="2366"/>
        <v>4298</v>
      </c>
      <c r="H941" s="718">
        <f t="shared" si="2367"/>
        <v>174.65225995473185</v>
      </c>
      <c r="I941" s="746">
        <v>1</v>
      </c>
      <c r="J941" s="716" t="s">
        <v>137</v>
      </c>
      <c r="K941" s="716">
        <v>6</v>
      </c>
      <c r="L941" s="716" t="s">
        <v>24</v>
      </c>
      <c r="M941" s="716" t="s">
        <v>138</v>
      </c>
      <c r="N941" s="716">
        <f>IFERROR(VLOOKUP(C941,[3]List1!$A:$D,4,FALSE),"N/A!")</f>
        <v>6.0786E-2</v>
      </c>
      <c r="O941" s="716">
        <f>IFERROR(VLOOKUP(C941,[3]List1!$A:$D,3,FALSE),"N/A!")</f>
        <v>1996</v>
      </c>
      <c r="P941" s="716">
        <f>IFERROR(VLOOKUP(C941,[3]List1!$A:$D,2,FALSE),"N/A!")</f>
        <v>17500</v>
      </c>
      <c r="Q941" s="716" t="s">
        <v>14295</v>
      </c>
      <c r="R941" s="716" t="s">
        <v>24</v>
      </c>
      <c r="S941" s="716" t="str">
        <f>IF($W$17=$AF$1,"červená fólie",IFERROR(VLOOKUP("červená fólie",Jazyky_ceník!$A:$Q,MATCH($W$17,Jazyky_ceník!$A$1:$Q$1,0),FALSE),"!!!"))</f>
        <v>červená fólie</v>
      </c>
      <c r="T941" s="716">
        <v>95</v>
      </c>
      <c r="U941" s="716" t="s">
        <v>13836</v>
      </c>
      <c r="V941" s="716" t="s">
        <v>13837</v>
      </c>
      <c r="W941" s="716" t="str">
        <f>IFERROR(VLOOKUP('General price list'!$C941,Popisy!A:P,MATCH($W$17,Popisy!$A$7:$P$7,0),FALSE),"---------------")</f>
        <v>16 různobarevných efektů</v>
      </c>
      <c r="X941" s="716" t="str">
        <f t="shared" si="2368"/>
        <v/>
      </c>
      <c r="Y941" s="716" t="str">
        <f t="shared" si="2369"/>
        <v/>
      </c>
      <c r="Z941" s="716" t="str">
        <f>HYPERLINK("https://www.klasekpyrotechnics.cz/c111mf-c_t")</f>
        <v>https://www.klasekpyrotechnics.cz/c111mf-c_t</v>
      </c>
      <c r="AA941" s="716">
        <f>IFERROR(IF(VLOOKUP(C941,[4]List1!$A:$D,4,FALSE)=0,"",VLOOKUP(C941,[4]List1!$A:$D,4,FALSE)),"")</f>
        <v>10</v>
      </c>
      <c r="AB941" s="720"/>
      <c r="AC941" s="747" t="str">
        <f>IFERROR(IF(VLOOKUP(C941,[1]List1!$A:$D,2,FALSE)="VYPRODÁNO",$V$9,IF(VLOOKUP(C941,[1]List1!$A:$D,2,FALSE)="DOCHÁZÍ",$V$3,VLOOKUP(C941,[1]List1!$A:$D,2,FALSE))),"OFFLINE!")</f>
        <v>SKLADEM</v>
      </c>
      <c r="AD941" s="748" t="str">
        <f ca="1">IF(AP941="NE",$V$10,IF(AC941=$V$3,IF(AQ941&lt;1,$V$8,$V$2&amp;" "&amp;AQ941&amp;" "&amp;$V$1),IF(AC941="SKLADEM",$V$6,IFERROR(IF(OR(AC941-TODAY()&gt;45,VLOOKUP(C941,[1]List1!$A:$E,4,FALSE)=0),AC941,DAY(AC941)&amp;"."&amp;MONTH(AC941)&amp;"."&amp;YEAR(AC941)&amp;" "&amp;$V$4&amp;VLOOKUP(C941,[1]List1!$A:$E,4,FALSE)&amp;" "&amp;$V$1),AC941))))</f>
        <v>SKLADEM</v>
      </c>
      <c r="AE941" s="716" t="str">
        <f t="shared" ca="1" si="2370"/>
        <v>SKLADEM</v>
      </c>
      <c r="AF941" s="723">
        <f t="shared" si="2371"/>
        <v>0</v>
      </c>
      <c r="AG941" s="723">
        <f t="shared" si="2372"/>
        <v>0</v>
      </c>
      <c r="AH941" s="724">
        <f t="shared" si="2373"/>
        <v>0</v>
      </c>
      <c r="AI941" s="716">
        <f t="shared" si="2374"/>
        <v>0</v>
      </c>
      <c r="AJ941" s="716">
        <f t="shared" si="2375"/>
        <v>0</v>
      </c>
      <c r="AK941" s="716" t="str">
        <f t="shared" si="2376"/>
        <v/>
      </c>
      <c r="AL941" s="716">
        <f t="shared" si="2377"/>
        <v>0</v>
      </c>
      <c r="AM941" s="716" t="str">
        <f t="shared" si="2378"/>
        <v/>
      </c>
      <c r="AN941" s="716">
        <f t="shared" si="2379"/>
        <v>0</v>
      </c>
      <c r="AO941" s="380"/>
      <c r="AP941" s="322" t="str">
        <f t="shared" si="2282"/>
        <v/>
      </c>
      <c r="AQ941" s="323" t="str">
        <f>IF(AC941=$V$3,IF(VLOOKUP(C941,[1]List1!$A:$E,5,FALSE)=0,1,VLOOKUP(C941,[1]List1!$A:$E,5,FALSE)),"")</f>
        <v/>
      </c>
      <c r="AR941" s="304" t="str">
        <f t="shared" si="2283"/>
        <v/>
      </c>
      <c r="AS941" s="423" t="str">
        <f t="shared" si="2284"/>
        <v/>
      </c>
      <c r="AT941" s="304" t="str">
        <f t="shared" si="2285"/>
        <v/>
      </c>
      <c r="AU941" s="342" t="e">
        <f t="shared" si="2286"/>
        <v>#N/A</v>
      </c>
      <c r="AV941" s="304" t="e">
        <f t="shared" si="2287"/>
        <v>#N/A</v>
      </c>
      <c r="AX941" s="304">
        <f>IF(AND('General price list'!$J941="F4",'General price list'!$AB941+0&gt;0),1,0)</f>
        <v>0</v>
      </c>
      <c r="AY941" s="304">
        <f t="shared" si="2288"/>
        <v>1</v>
      </c>
      <c r="AZ941" s="304">
        <f t="shared" si="2289"/>
        <v>0</v>
      </c>
    </row>
    <row r="942" spans="1:52" ht="15" customHeight="1">
      <c r="A942" s="725" t="str">
        <f>Kat.!C940</f>
        <v/>
      </c>
      <c r="B942" s="755">
        <f>IF(AC942="SKLADEM",1,IF(AC942=$V$3,1,0))</f>
        <v>1</v>
      </c>
      <c r="C942" s="727" t="s">
        <v>5539</v>
      </c>
      <c r="D942" s="728" t="s">
        <v>1723</v>
      </c>
      <c r="E942" s="729" t="s">
        <v>136</v>
      </c>
      <c r="F942" s="725">
        <f>IFERROR(ROUND(IF($AL$3=2,VLOOKUP(C942,[2]List1!$A:$D,2,FALSE)*1.08,VLOOKUP(C942,[2]List1!$A:$D,2,FALSE)),0),"NEUVEDENO!")</f>
        <v>7158</v>
      </c>
      <c r="G942" s="730">
        <f>(F942)*$B$19</f>
        <v>7158</v>
      </c>
      <c r="H942" s="756">
        <f>ROUND(G942/$F$19,1)</f>
        <v>290.89999999999998</v>
      </c>
      <c r="I942" s="757"/>
      <c r="J942" s="729" t="s">
        <v>137</v>
      </c>
      <c r="K942" s="729"/>
      <c r="L942" s="729"/>
      <c r="M942" s="729" t="s">
        <v>138</v>
      </c>
      <c r="N942" s="729">
        <f>IFERROR(VLOOKUP(C942,[3]List1!$A:$D,4,FALSE),"N/A!")</f>
        <v>9.8549999999999999E-2</v>
      </c>
      <c r="O942" s="729">
        <f>IFERROR(VLOOKUP(C942,[3]List1!$A:$D,3,FALSE),"N/A!")</f>
        <v>2994</v>
      </c>
      <c r="P942" s="729">
        <f>IFERROR(VLOOKUP(C942,[3]List1!$A:$D,2,FALSE),"N/A!")</f>
        <v>28300</v>
      </c>
      <c r="Q942" s="729" t="s">
        <v>14292</v>
      </c>
      <c r="R942" s="729"/>
      <c r="S942" s="729" t="str">
        <f>IF($W$17=$AF$1,"červená fólie",IFERROR(VLOOKUP("červená fólie",Jazyky_ceník!$A:$Q,MATCH($W$17,Jazyky_ceník!$A$1:$Q$1,0),FALSE),"!!!"))</f>
        <v>červená fólie</v>
      </c>
      <c r="T942" s="729">
        <v>135</v>
      </c>
      <c r="U942" s="729" t="s">
        <v>13836</v>
      </c>
      <c r="V942" s="729" t="s">
        <v>13837</v>
      </c>
      <c r="W942" s="729" t="str">
        <f>IFERROR(VLOOKUP('General price list'!$C942,Popisy!A:P,MATCH($W$17,Popisy!$A$7:$P$7,0),FALSE),"---------------")</f>
        <v>21 různobarevných efektů</v>
      </c>
      <c r="X942" s="729" t="str">
        <f>IF(AB942&lt;0.0001,"",AB942)</f>
        <v/>
      </c>
      <c r="Y942" s="729" t="str">
        <f>IF($AL$3=2,IF(OR(AB942&lt;&gt;"",AB942&lt;&gt;0),AU942,""),IF(C942="","",IF(AB942&lt;0.0001,"",IF(B942=0,"",IF(AQ942&lt;AB942,"",AB942)))))</f>
        <v/>
      </c>
      <c r="Z942" s="758" t="str">
        <f>HYPERLINK("https://www.klasekpyrotechnics.cz/c175mf-c")</f>
        <v>https://www.klasekpyrotechnics.cz/c175mf-c</v>
      </c>
      <c r="AA942" s="729">
        <f>IFERROR(IF(VLOOKUP(C942,[4]List1!$A:$D,4,FALSE)=0,"",VLOOKUP(C942,[4]List1!$A:$D,4,FALSE)),"")</f>
        <v>15</v>
      </c>
      <c r="AB942" s="759"/>
      <c r="AC942" s="733" t="str">
        <f>IFERROR(IF(VLOOKUP(C942,[1]List1!$A:$D,2,FALSE)="VYPRODÁNO",$V$9,IF(VLOOKUP(C942,[1]List1!$A:$D,2,FALSE)="DOCHÁZÍ",$V$3,VLOOKUP(C942,[1]List1!$A:$D,2,FALSE))),"OFFLINE!")</f>
        <v>SKLADEM</v>
      </c>
      <c r="AD942" s="734" t="str">
        <f ca="1">IF(AP942="NE",$V$10,IF(AC942=$V$3,IF(AQ942&lt;1,$V$8,$V$2&amp;" "&amp;AQ942&amp;" "&amp;$V$1),IF(AC942="SKLADEM",$V$6,IFERROR(IF(OR(AC942-TODAY()&gt;21,VLOOKUP(C942,[1]List1!$A:$E,4,FALSE)=0),AC942,DAY(AC942)&amp;"."&amp;MONTH(AC942)&amp;"."&amp;YEAR(AC942)&amp;" "&amp;$V$4&amp;VLOOKUP(C942,[1]List1!$A:$E,4,FALSE)&amp;" "&amp;$V$1),AC942))))</f>
        <v>SKLADEM</v>
      </c>
      <c r="AE942" s="729" t="str">
        <f ca="1">IFERROR(IF(AV942&lt;&gt;"",AV942,AD942),AD942)</f>
        <v>SKLADEM</v>
      </c>
      <c r="AF942" s="729">
        <f>IFERROR(IF(AB942=Y942,G942*I942*Y942,0),0)</f>
        <v>0</v>
      </c>
      <c r="AG942" s="729">
        <f>IF($W$17=$AF$8,AH942*1.23,AF942*1.21)</f>
        <v>0</v>
      </c>
      <c r="AH942" s="729">
        <f>IFERROR(IF(Y942=AB942,H942*I942*Y942,0),0)</f>
        <v>0</v>
      </c>
      <c r="AI942" s="729">
        <f>IFERROR(IF(Y942=AB942,(P942*Y942)/1000,0),0)</f>
        <v>0</v>
      </c>
      <c r="AJ942" s="729">
        <f>IFERROR(IF(Y942=AB942,N942*Y942,0),0)</f>
        <v>0</v>
      </c>
      <c r="AK942" s="729" t="str">
        <f>IFERROR(IF(Y942=AB942,IF(M942="1.1G",(O942/1000)*Y942,""),""),0)</f>
        <v/>
      </c>
      <c r="AL942" s="729">
        <f>IFERROR(IF(Y942=AB942,IF(M942="1.3G",(O942/1000)*AB942,""),""),0)</f>
        <v>0</v>
      </c>
      <c r="AM942" s="729" t="str">
        <f>IFERROR(IF(Y942=AB942,IF(M942="1.4G",(O942/1000)*AB942,""),""),0)</f>
        <v/>
      </c>
      <c r="AN942" s="729">
        <f>SUM(AK942:AM942)</f>
        <v>0</v>
      </c>
      <c r="AO942" s="380"/>
      <c r="AP942" s="322" t="str">
        <f t="shared" ref="AP942" si="2380">IF($AL$3=1,IF(Y942=AB942,"","NE"),IF(AR942=$V$10,"NE",""))</f>
        <v/>
      </c>
      <c r="AQ942" s="323" t="str">
        <f>IF(AC942=$V$3,IF(VLOOKUP(C942,[1]List1!$A:$E,5,FALSE)=0,1,VLOOKUP(C942,[1]List1!$A:$E,5,FALSE)),"")</f>
        <v/>
      </c>
      <c r="AR942" s="304" t="str">
        <f t="shared" ref="AR942" si="2381">IF($AL$3=1,"",IF(OR(AB942&lt;&gt;"",AB942&lt;&gt;0),IF(OR(AC942=$V$6,AC942=$V$3,AC942=$V$9),$V$10,""),""))</f>
        <v/>
      </c>
      <c r="AS942" s="423" t="str">
        <f t="shared" ref="AS942" si="2382">IF(AT942&lt;&gt;"","X","")</f>
        <v/>
      </c>
      <c r="AT942" s="304" t="str">
        <f t="shared" ref="AT942" si="2383">IF(AND($AL$3=2,AR942="",AB942&lt;&gt;""),AD942,"")</f>
        <v/>
      </c>
      <c r="AU942" s="342" t="e">
        <f t="shared" ref="AU942" si="2384">IF(AT942=$AS$21,AB942,"")</f>
        <v>#N/A</v>
      </c>
      <c r="AV942" s="304" t="e">
        <f t="shared" ref="AV942" si="2385">IF(OR(AB942="",AND(AT942&lt;&gt;"",AU942&lt;&gt;"")),"",$V$10)</f>
        <v>#N/A</v>
      </c>
      <c r="AX942" s="304">
        <f>IF(AND('General price list'!$J942="F4",'General price list'!$AB942+0&gt;0),1,0)</f>
        <v>0</v>
      </c>
      <c r="AY942" s="304">
        <f t="shared" ref="AY942" si="2386">IFERROR(FIND(VLOOKUP($AC$7,$AD$1:$AE$12,2,FALSE),Q942,1),0)</f>
        <v>1</v>
      </c>
      <c r="AZ942" s="304">
        <f t="shared" ref="AZ942" si="2387">IFERROR(FIND(VLOOKUP($AC$7,$AD$1:$AE$12,2,FALSE),R942,1),0)</f>
        <v>0</v>
      </c>
    </row>
    <row r="943" spans="1:52" ht="15" customHeight="1">
      <c r="A943" s="712" t="str">
        <f>Kat.!C940</f>
        <v/>
      </c>
      <c r="B943" s="737">
        <f>IF(AND('General price list'!$J943="F4",$AI$1=FALSE),0,IF(AC943="SKLADEM",1,IF(AC943=$V$3,1,0)))</f>
        <v>0</v>
      </c>
      <c r="C943" s="714" t="s">
        <v>2655</v>
      </c>
      <c r="D943" s="715" t="s">
        <v>2620</v>
      </c>
      <c r="E943" s="716" t="s">
        <v>136</v>
      </c>
      <c r="F943" s="712">
        <f>IFERROR(ROUND(IF($AL$3=2,VLOOKUP(C943,[2]List1!$A:$D,2,FALSE)*1.08,VLOOKUP(C943,[2]List1!$A:$D,2,FALSE)),0),"NEUVEDENO!")</f>
        <v>7762</v>
      </c>
      <c r="G943" s="717">
        <f t="shared" si="2366"/>
        <v>7762</v>
      </c>
      <c r="H943" s="718">
        <f t="shared" si="2367"/>
        <v>315.41434196571163</v>
      </c>
      <c r="I943" s="738">
        <v>1</v>
      </c>
      <c r="J943" s="716" t="s">
        <v>137</v>
      </c>
      <c r="K943" s="716">
        <v>6</v>
      </c>
      <c r="L943" s="716" t="s">
        <v>24</v>
      </c>
      <c r="M943" s="716" t="s">
        <v>138</v>
      </c>
      <c r="N943" s="716">
        <f>IFERROR(VLOOKUP(C943,[3]List1!$A:$D,4,FALSE),"N/A!")</f>
        <v>9.8549999999999999E-2</v>
      </c>
      <c r="O943" s="716">
        <f>IFERROR(VLOOKUP(C943,[3]List1!$A:$D,3,FALSE),"N/A!")</f>
        <v>2998</v>
      </c>
      <c r="P943" s="716">
        <f>IFERROR(VLOOKUP(C943,[3]List1!$A:$D,2,FALSE),"N/A!")</f>
        <v>28600</v>
      </c>
      <c r="Q943" s="716" t="s">
        <v>14296</v>
      </c>
      <c r="R943" s="716" t="s">
        <v>24</v>
      </c>
      <c r="S943" s="716" t="str">
        <f>IF($W$17=$AF$1,"červená fólie",IFERROR(VLOOKUP("červená fólie",Jazyky_ceník!$A:$Q,MATCH($W$17,Jazyky_ceník!$A$1:$Q$1,0),FALSE),"!!!"))</f>
        <v>červená fólie</v>
      </c>
      <c r="T943" s="716">
        <v>135</v>
      </c>
      <c r="U943" s="716" t="s">
        <v>13848</v>
      </c>
      <c r="V943" s="716" t="s">
        <v>13849</v>
      </c>
      <c r="W943" s="716" t="str">
        <f>IFERROR(VLOOKUP('General price list'!$C943,Popisy!A:P,MATCH($W$17,Popisy!$A$7:$P$7,0),FALSE),"---------------")</f>
        <v>21 různobarevných efektů</v>
      </c>
      <c r="X943" s="716" t="str">
        <f t="shared" si="2368"/>
        <v/>
      </c>
      <c r="Y943" s="716" t="str">
        <f t="shared" si="2369"/>
        <v/>
      </c>
      <c r="Z943" s="716" t="str">
        <f>HYPERLINK("https://www.klasekpyrotechnics.cz/c175msig-c_t")</f>
        <v>https://www.klasekpyrotechnics.cz/c175msig-c_t</v>
      </c>
      <c r="AA943" s="716" t="str">
        <f>IFERROR(IF(VLOOKUP(C943,[4]List1!$A:$D,4,FALSE)=0,"",VLOOKUP(C943,[4]List1!$A:$D,4,FALSE)),"")</f>
        <v>15</v>
      </c>
      <c r="AB943" s="720"/>
      <c r="AC943" s="739" t="str">
        <f>IFERROR(IF(VLOOKUP(C943,[1]List1!$A:$D,2,FALSE)="VYPRODÁNO",$V$9,IF(VLOOKUP(C943,[1]List1!$A:$D,2,FALSE)="DOCHÁZÍ",$V$3,VLOOKUP(C943,[1]List1!$A:$D,2,FALSE))),"OFFLINE!")</f>
        <v>15.09.2024</v>
      </c>
      <c r="AD943" s="740" t="str">
        <f ca="1">IF(AP943="NE",$V$10,IF(AC943=$V$3,IF(AQ943&lt;1,$V$8,$V$2&amp;" "&amp;AQ943&amp;" "&amp;$V$1),IF(AC943="SKLADEM",$V$6,IFERROR(IF(OR(AC943-TODAY()&gt;45,VLOOKUP(C943,[1]List1!$A:$E,4,FALSE)=0),AC943,DAY(AC943)&amp;"."&amp;MONTH(AC943)&amp;"."&amp;YEAR(AC943)&amp;" "&amp;$V$4&amp;VLOOKUP(C943,[1]List1!$A:$E,4,FALSE)&amp;" "&amp;$V$1),AC943))))</f>
        <v>15.09.2024</v>
      </c>
      <c r="AE943" s="716" t="str">
        <f t="shared" ca="1" si="2370"/>
        <v>15.09.2024</v>
      </c>
      <c r="AF943" s="723">
        <f t="shared" si="2371"/>
        <v>0</v>
      </c>
      <c r="AG943" s="723">
        <f t="shared" si="2372"/>
        <v>0</v>
      </c>
      <c r="AH943" s="724">
        <f t="shared" si="2373"/>
        <v>0</v>
      </c>
      <c r="AI943" s="716">
        <f t="shared" si="2374"/>
        <v>0</v>
      </c>
      <c r="AJ943" s="716">
        <f t="shared" si="2375"/>
        <v>0</v>
      </c>
      <c r="AK943" s="716" t="str">
        <f t="shared" si="2376"/>
        <v/>
      </c>
      <c r="AL943" s="716">
        <f t="shared" si="2377"/>
        <v>0</v>
      </c>
      <c r="AM943" s="716" t="str">
        <f t="shared" si="2378"/>
        <v/>
      </c>
      <c r="AN943" s="716">
        <f t="shared" si="2379"/>
        <v>0</v>
      </c>
      <c r="AO943" s="380"/>
      <c r="AP943" s="322" t="str">
        <f t="shared" si="2282"/>
        <v/>
      </c>
      <c r="AQ943" s="323" t="str">
        <f>IF(AC943=$V$3,IF(VLOOKUP(C943,[1]List1!$A:$E,5,FALSE)=0,1,VLOOKUP(C943,[1]List1!$A:$E,5,FALSE)),"")</f>
        <v/>
      </c>
      <c r="AR943" s="304" t="str">
        <f t="shared" si="2283"/>
        <v/>
      </c>
      <c r="AS943" s="423" t="str">
        <f t="shared" si="2284"/>
        <v/>
      </c>
      <c r="AT943" s="304" t="str">
        <f t="shared" si="2285"/>
        <v/>
      </c>
      <c r="AU943" s="342" t="e">
        <f t="shared" si="2286"/>
        <v>#N/A</v>
      </c>
      <c r="AV943" s="304" t="e">
        <f t="shared" si="2287"/>
        <v>#N/A</v>
      </c>
      <c r="AX943" s="304">
        <f>IF(AND('General price list'!$J943="F4",'General price list'!$AB943+0&gt;0),1,0)</f>
        <v>0</v>
      </c>
      <c r="AY943" s="304">
        <f t="shared" si="2288"/>
        <v>1</v>
      </c>
      <c r="AZ943" s="304">
        <f t="shared" si="2289"/>
        <v>0</v>
      </c>
    </row>
    <row r="944" spans="1:52" ht="15" customHeight="1">
      <c r="A944" s="725" t="str">
        <f>Kat.!C941</f>
        <v/>
      </c>
      <c r="B944" s="726">
        <f>IF(AND('General price list'!$J944="F4",$AI$1=FALSE),0,IF(AC944="SKLADEM",1,IF(AC944=$V$3,1,0)))</f>
        <v>0</v>
      </c>
      <c r="C944" s="727" t="s">
        <v>2784</v>
      </c>
      <c r="D944" s="728" t="s">
        <v>1725</v>
      </c>
      <c r="E944" s="729" t="s">
        <v>136</v>
      </c>
      <c r="F944" s="725">
        <f>IFERROR(ROUND(IF($AL$3=2,VLOOKUP(C944,[2]List1!$A:$D,2,FALSE)*1.08,VLOOKUP(C944,[2]List1!$A:$D,2,FALSE)),0),"NEUVEDENO!")</f>
        <v>9940</v>
      </c>
      <c r="G944" s="730">
        <f t="shared" si="2366"/>
        <v>9940</v>
      </c>
      <c r="H944" s="731">
        <f t="shared" si="2367"/>
        <v>403.91890738716484</v>
      </c>
      <c r="I944" s="732">
        <v>1</v>
      </c>
      <c r="J944" s="729" t="s">
        <v>137</v>
      </c>
      <c r="K944" s="729">
        <v>6</v>
      </c>
      <c r="L944" s="729" t="s">
        <v>24</v>
      </c>
      <c r="M944" s="729" t="s">
        <v>138</v>
      </c>
      <c r="N944" s="729">
        <f>IFERROR(VLOOKUP(C944,[3]List1!$A:$D,4,FALSE),"N/A!")</f>
        <v>0.13120380000000001</v>
      </c>
      <c r="O944" s="729">
        <f>IFERROR(VLOOKUP(C944,[3]List1!$A:$D,3,FALSE),"N/A!")</f>
        <v>3999</v>
      </c>
      <c r="P944" s="729">
        <f>IFERROR(VLOOKUP(C944,[3]List1!$A:$D,2,FALSE),"N/A!")</f>
        <v>37900</v>
      </c>
      <c r="Q944" s="729" t="s">
        <v>14297</v>
      </c>
      <c r="R944" s="729" t="s">
        <v>24</v>
      </c>
      <c r="S944" s="729" t="str">
        <f>IF($W$17=$AF$1,"červená fólie",IFERROR(VLOOKUP("červená fólie",Jazyky_ceník!$A:$Q,MATCH($W$17,Jazyky_ceník!$A$1:$Q$1,0),FALSE),"!!!"))</f>
        <v>červená fólie</v>
      </c>
      <c r="T944" s="729">
        <v>160</v>
      </c>
      <c r="U944" s="729" t="s">
        <v>13836</v>
      </c>
      <c r="V944" s="729" t="s">
        <v>13850</v>
      </c>
      <c r="W944" s="729" t="str">
        <f>IFERROR(VLOOKUP('General price list'!$C944,Popisy!A:P,MATCH($W$17,Popisy!$A$7:$P$7,0),FALSE),"---------------")</f>
        <v>26 různobarevných efektů</v>
      </c>
      <c r="X944" s="729" t="str">
        <f t="shared" si="2368"/>
        <v/>
      </c>
      <c r="Y944" s="729" t="str">
        <f t="shared" si="2369"/>
        <v/>
      </c>
      <c r="Z944" s="729" t="str">
        <f>HYPERLINK("https://www.klasekpyrotechnics.cz/c222mnpt-c_t")</f>
        <v>https://www.klasekpyrotechnics.cz/c222mnpt-c_t</v>
      </c>
      <c r="AA944" s="729" t="str">
        <f>IFERROR(IF(VLOOKUP(C944,[4]List1!$A:$D,4,FALSE)=0,"",VLOOKUP(C944,[4]List1!$A:$D,4,FALSE)),"")</f>
        <v>12</v>
      </c>
      <c r="AB944" s="720"/>
      <c r="AC944" s="733" t="str">
        <f>IFERROR(IF(VLOOKUP(C944,[1]List1!$A:$D,2,FALSE)="VYPRODÁNO",$V$9,IF(VLOOKUP(C944,[1]List1!$A:$D,2,FALSE)="DOCHÁZÍ",$V$3,VLOOKUP(C944,[1]List1!$A:$D,2,FALSE))),"OFFLINE!")</f>
        <v>15.08.2024</v>
      </c>
      <c r="AD944" s="734" t="str">
        <f ca="1">IF(AP944="NE",$V$10,IF(AC944=$V$3,IF(AQ944&lt;1,$V$8,$V$2&amp;" "&amp;AQ944&amp;" "&amp;$V$1),IF(AC944="SKLADEM",$V$6,IFERROR(IF(OR(AC944-TODAY()&gt;45,VLOOKUP(C944,[1]List1!$A:$E,4,FALSE)=0),AC944,DAY(AC944)&amp;"."&amp;MONTH(AC944)&amp;"."&amp;YEAR(AC944)&amp;" "&amp;$V$4&amp;VLOOKUP(C944,[1]List1!$A:$E,4,FALSE)&amp;" "&amp;$V$1),AC944))))</f>
        <v>15.08.2024</v>
      </c>
      <c r="AE944" s="729" t="str">
        <f t="shared" ca="1" si="2370"/>
        <v>15.08.2024</v>
      </c>
      <c r="AF944" s="735">
        <f t="shared" si="2371"/>
        <v>0</v>
      </c>
      <c r="AG944" s="735">
        <f t="shared" si="2372"/>
        <v>0</v>
      </c>
      <c r="AH944" s="736">
        <f t="shared" si="2373"/>
        <v>0</v>
      </c>
      <c r="AI944" s="729">
        <f t="shared" si="2374"/>
        <v>0</v>
      </c>
      <c r="AJ944" s="729">
        <f t="shared" si="2375"/>
        <v>0</v>
      </c>
      <c r="AK944" s="729" t="str">
        <f t="shared" si="2376"/>
        <v/>
      </c>
      <c r="AL944" s="729">
        <f t="shared" si="2377"/>
        <v>0</v>
      </c>
      <c r="AM944" s="729" t="str">
        <f t="shared" si="2378"/>
        <v/>
      </c>
      <c r="AN944" s="729">
        <f t="shared" si="2379"/>
        <v>0</v>
      </c>
      <c r="AO944" s="380"/>
      <c r="AP944" s="322" t="str">
        <f t="shared" si="2282"/>
        <v/>
      </c>
      <c r="AQ944" s="323" t="str">
        <f>IF(AC944=$V$3,IF(VLOOKUP(C944,[1]List1!$A:$E,5,FALSE)=0,1,VLOOKUP(C944,[1]List1!$A:$E,5,FALSE)),"")</f>
        <v/>
      </c>
      <c r="AR944" s="304" t="str">
        <f t="shared" si="2283"/>
        <v/>
      </c>
      <c r="AS944" s="423" t="str">
        <f t="shared" si="2284"/>
        <v/>
      </c>
      <c r="AT944" s="304" t="str">
        <f t="shared" si="2285"/>
        <v/>
      </c>
      <c r="AU944" s="342" t="e">
        <f t="shared" si="2286"/>
        <v>#N/A</v>
      </c>
      <c r="AV944" s="304" t="e">
        <f t="shared" si="2287"/>
        <v>#N/A</v>
      </c>
      <c r="AX944" s="304">
        <f>IF(AND('General price list'!$J944="F4",'General price list'!$AB944+0&gt;0),1,0)</f>
        <v>0</v>
      </c>
      <c r="AY944" s="304">
        <f t="shared" si="2288"/>
        <v>1</v>
      </c>
      <c r="AZ944" s="304">
        <f t="shared" si="2289"/>
        <v>0</v>
      </c>
    </row>
    <row r="945" spans="1:52" ht="15" customHeight="1">
      <c r="A945" s="712" t="str">
        <f>Kat.!C942</f>
        <v/>
      </c>
      <c r="B945" s="737">
        <f>IF(AND('General price list'!$J945="F4",$AI$1=FALSE),0,IF(AC945="SKLADEM",1,IF(AC945=$V$3,1,0)))</f>
        <v>0</v>
      </c>
      <c r="C945" s="714" t="s">
        <v>2785</v>
      </c>
      <c r="D945" s="715" t="s">
        <v>1725</v>
      </c>
      <c r="E945" s="716" t="s">
        <v>136</v>
      </c>
      <c r="F945" s="712">
        <f>IFERROR(ROUND(IF($AL$3=2,VLOOKUP(C945,[2]List1!$A:$D,2,FALSE)*1.08,VLOOKUP(C945,[2]List1!$A:$D,2,FALSE)),0),"NEUVEDENO!")</f>
        <v>9626</v>
      </c>
      <c r="G945" s="717">
        <f t="shared" si="2366"/>
        <v>9626</v>
      </c>
      <c r="H945" s="718">
        <f t="shared" si="2367"/>
        <v>391.15929602704716</v>
      </c>
      <c r="I945" s="738">
        <v>1</v>
      </c>
      <c r="J945" s="716" t="s">
        <v>137</v>
      </c>
      <c r="K945" s="716">
        <v>6</v>
      </c>
      <c r="L945" s="716" t="s">
        <v>24</v>
      </c>
      <c r="M945" s="716" t="s">
        <v>138</v>
      </c>
      <c r="N945" s="716">
        <f>IFERROR(VLOOKUP(C945,[3]List1!$A:$D,4,FALSE),"N/A!")</f>
        <v>0.13120380000000001</v>
      </c>
      <c r="O945" s="716">
        <f>IFERROR(VLOOKUP(C945,[3]List1!$A:$D,3,FALSE),"N/A!")</f>
        <v>3999</v>
      </c>
      <c r="P945" s="716">
        <f>IFERROR(VLOOKUP(C945,[3]List1!$A:$D,2,FALSE),"N/A!")</f>
        <v>39000</v>
      </c>
      <c r="Q945" s="716" t="s">
        <v>14298</v>
      </c>
      <c r="R945" s="716" t="s">
        <v>24</v>
      </c>
      <c r="S945" s="716" t="str">
        <f>IF($W$17=$AF$1,"červená fólie",IFERROR(VLOOKUP("červená fólie",Jazyky_ceník!$A:$Q,MATCH($W$17,Jazyky_ceník!$A$1:$Q$1,0),FALSE),"!!!"))</f>
        <v>červená fólie</v>
      </c>
      <c r="T945" s="716">
        <v>180</v>
      </c>
      <c r="U945" s="716" t="s">
        <v>13836</v>
      </c>
      <c r="V945" s="716" t="s">
        <v>13837</v>
      </c>
      <c r="W945" s="716" t="str">
        <f>IFERROR(VLOOKUP('General price list'!$C945,Popisy!A:P,MATCH($W$17,Popisy!$A$7:$P$7,0),FALSE),"---------------")</f>
        <v>26 různobarevných efektů</v>
      </c>
      <c r="X945" s="716" t="str">
        <f t="shared" si="2368"/>
        <v/>
      </c>
      <c r="Y945" s="716" t="str">
        <f t="shared" si="2369"/>
        <v/>
      </c>
      <c r="Z945" s="716" t="str">
        <f>HYPERLINK("https://www.klasekpyrotechnics.cz/c222mf-c_t")</f>
        <v>https://www.klasekpyrotechnics.cz/c222mf-c_t</v>
      </c>
      <c r="AA945" s="716" t="str">
        <f>IFERROR(IF(VLOOKUP(C945,[4]List1!$A:$D,4,FALSE)=0,"",VLOOKUP(C945,[4]List1!$A:$D,4,FALSE)),"")</f>
        <v>12</v>
      </c>
      <c r="AB945" s="720"/>
      <c r="AC945" s="739" t="str">
        <f>IFERROR(IF(VLOOKUP(C945,[1]List1!$A:$D,2,FALSE)="VYPRODÁNO",$V$9,IF(VLOOKUP(C945,[1]List1!$A:$D,2,FALSE)="DOCHÁZÍ",$V$3,VLOOKUP(C945,[1]List1!$A:$D,2,FALSE))),"OFFLINE!")</f>
        <v>30.09.2024</v>
      </c>
      <c r="AD945" s="740" t="str">
        <f ca="1">IF(AP945="NE",$V$10,IF(AC945=$V$3,IF(AQ945&lt;1,$V$8,$V$2&amp;" "&amp;AQ945&amp;" "&amp;$V$1),IF(AC945="SKLADEM",$V$6,IFERROR(IF(OR(AC945-TODAY()&gt;45,VLOOKUP(C945,[1]List1!$A:$E,4,FALSE)=0),AC945,DAY(AC945)&amp;"."&amp;MONTH(AC945)&amp;"."&amp;YEAR(AC945)&amp;" "&amp;$V$4&amp;VLOOKUP(C945,[1]List1!$A:$E,4,FALSE)&amp;" "&amp;$V$1),AC945))))</f>
        <v>30.09.2024</v>
      </c>
      <c r="AE945" s="716" t="str">
        <f t="shared" ca="1" si="2370"/>
        <v>30.09.2024</v>
      </c>
      <c r="AF945" s="723">
        <f t="shared" si="2371"/>
        <v>0</v>
      </c>
      <c r="AG945" s="723">
        <f t="shared" si="2372"/>
        <v>0</v>
      </c>
      <c r="AH945" s="724">
        <f t="shared" si="2373"/>
        <v>0</v>
      </c>
      <c r="AI945" s="716">
        <f t="shared" si="2374"/>
        <v>0</v>
      </c>
      <c r="AJ945" s="716">
        <f t="shared" si="2375"/>
        <v>0</v>
      </c>
      <c r="AK945" s="716" t="str">
        <f t="shared" si="2376"/>
        <v/>
      </c>
      <c r="AL945" s="716">
        <f t="shared" si="2377"/>
        <v>0</v>
      </c>
      <c r="AM945" s="716" t="str">
        <f t="shared" si="2378"/>
        <v/>
      </c>
      <c r="AN945" s="716">
        <f t="shared" si="2379"/>
        <v>0</v>
      </c>
      <c r="AO945" s="380"/>
      <c r="AP945" s="322" t="str">
        <f t="shared" si="2282"/>
        <v/>
      </c>
      <c r="AQ945" s="323" t="str">
        <f>IF(AC945=$V$3,IF(VLOOKUP(C945,[1]List1!$A:$E,5,FALSE)=0,1,VLOOKUP(C945,[1]List1!$A:$E,5,FALSE)),"")</f>
        <v/>
      </c>
      <c r="AR945" s="304" t="str">
        <f t="shared" si="2283"/>
        <v/>
      </c>
      <c r="AS945" s="423" t="str">
        <f t="shared" si="2284"/>
        <v/>
      </c>
      <c r="AT945" s="304" t="str">
        <f t="shared" si="2285"/>
        <v/>
      </c>
      <c r="AU945" s="342" t="e">
        <f t="shared" si="2286"/>
        <v>#N/A</v>
      </c>
      <c r="AV945" s="304" t="e">
        <f t="shared" si="2287"/>
        <v>#N/A</v>
      </c>
      <c r="AX945" s="304">
        <f>IF(AND('General price list'!$J945="F4",'General price list'!$AB945+0&gt;0),1,0)</f>
        <v>0</v>
      </c>
      <c r="AY945" s="304">
        <f t="shared" si="2288"/>
        <v>1</v>
      </c>
      <c r="AZ945" s="304">
        <f t="shared" si="2289"/>
        <v>0</v>
      </c>
    </row>
    <row r="946" spans="1:52" ht="15" customHeight="1">
      <c r="A946" s="773" t="str">
        <f>Kat.!C943</f>
        <v xml:space="preserve">                                                               Baterie multikaliberní (více průměru moždířů+různé úhly moždířů) F4 - 1.3G</v>
      </c>
      <c r="B946" s="774"/>
      <c r="C946" s="774"/>
      <c r="D946" s="774"/>
      <c r="E946" s="774"/>
      <c r="F946" s="774"/>
      <c r="G946" s="774"/>
      <c r="H946" s="774"/>
      <c r="I946" s="774"/>
      <c r="J946" s="774"/>
      <c r="K946" s="774"/>
      <c r="L946" s="774"/>
      <c r="M946" s="774"/>
      <c r="N946" s="774"/>
      <c r="O946" s="774"/>
      <c r="P946" s="774"/>
      <c r="Q946" s="774"/>
      <c r="R946" s="774"/>
      <c r="S946" s="774"/>
      <c r="T946" s="774"/>
      <c r="U946" s="774"/>
      <c r="V946" s="774"/>
      <c r="W946" s="774"/>
      <c r="X946" s="774"/>
      <c r="Y946" s="774"/>
      <c r="Z946" s="774"/>
      <c r="AA946" s="774" t="str">
        <f>IFERROR(IF(VLOOKUP(C946,[4]List1!$A:$D,4,FALSE)=0,"",VLOOKUP(C946,[4]List1!$A:$D,4,FALSE)),"")</f>
        <v/>
      </c>
      <c r="AB946" s="774"/>
      <c r="AC946" s="775" t="str">
        <f>IFERROR(IF(VLOOKUP(C946,[1]List1!$A:$D,2,FALSE)="VYPRODÁNO",$V$9,IF(VLOOKUP(C946,[1]List1!$A:$D,2,FALSE)="DOCHÁZÍ",$V$3,VLOOKUP(C946,[1]List1!$A:$D,2,FALSE))),"OFFLINE!")</f>
        <v>OFFLINE!</v>
      </c>
      <c r="AD946" s="774"/>
      <c r="AE946" s="774"/>
      <c r="AF946" s="774"/>
      <c r="AG946" s="774"/>
      <c r="AH946" s="774"/>
      <c r="AI946" s="774"/>
      <c r="AJ946" s="774"/>
      <c r="AK946" s="774"/>
      <c r="AL946" s="774"/>
      <c r="AM946" s="774"/>
      <c r="AN946" s="774"/>
      <c r="AO946" s="380"/>
      <c r="AP946" s="322" t="str">
        <f t="shared" si="2282"/>
        <v/>
      </c>
      <c r="AQ946" s="323" t="str">
        <f>IF(AC946=$V$3,IF(VLOOKUP(C946,[1]List1!$A:$E,5,FALSE)=0,1,VLOOKUP(C946,[1]List1!$A:$E,5,FALSE)),"")</f>
        <v/>
      </c>
      <c r="AR946" s="304" t="str">
        <f t="shared" si="2283"/>
        <v/>
      </c>
      <c r="AS946" s="423" t="str">
        <f t="shared" si="2284"/>
        <v/>
      </c>
      <c r="AT946" s="304" t="str">
        <f t="shared" si="2285"/>
        <v/>
      </c>
      <c r="AU946" s="342" t="e">
        <f t="shared" si="2286"/>
        <v>#N/A</v>
      </c>
      <c r="AV946" s="304" t="e">
        <f t="shared" si="2287"/>
        <v>#N/A</v>
      </c>
      <c r="AX946" s="304">
        <f>IF(AND('General price list'!$J946="F4",'General price list'!$AB946+0&gt;0),1,0)</f>
        <v>0</v>
      </c>
      <c r="AY946" s="304">
        <f t="shared" si="2288"/>
        <v>0</v>
      </c>
      <c r="AZ946" s="304">
        <f t="shared" si="2289"/>
        <v>0</v>
      </c>
    </row>
    <row r="947" spans="1:52" ht="15" customHeight="1">
      <c r="A947" s="712" t="str">
        <f>Kat.!C944</f>
        <v/>
      </c>
      <c r="B947" s="713">
        <f>IF(AND('General price list'!$J947="F4",$AI$1=FALSE),0,IF(AC947="SKLADEM",1,IF(AC947=$V$3,1,0)))</f>
        <v>0</v>
      </c>
      <c r="C947" s="714" t="s">
        <v>1732</v>
      </c>
      <c r="D947" s="715" t="s">
        <v>12858</v>
      </c>
      <c r="E947" s="716" t="s">
        <v>136</v>
      </c>
      <c r="F947" s="712">
        <f>IFERROR(ROUND(IF($AL$3=2,VLOOKUP(C947,[2]List1!$A:$D,2,FALSE)*1.08,VLOOKUP(C947,[2]List1!$A:$D,2,FALSE)),0),"NEUVEDENO!")</f>
        <v>8000</v>
      </c>
      <c r="G947" s="717">
        <f t="shared" ref="G947:G948" si="2388">(F947)*$B$19</f>
        <v>8000</v>
      </c>
      <c r="H947" s="718">
        <f t="shared" ref="H947:H948" si="2389">G947/$F$19</f>
        <v>325.08563974822118</v>
      </c>
      <c r="I947" s="719">
        <v>1</v>
      </c>
      <c r="J947" s="716" t="s">
        <v>709</v>
      </c>
      <c r="K947" s="716"/>
      <c r="L947" s="716" t="s">
        <v>24</v>
      </c>
      <c r="M947" s="716" t="s">
        <v>138</v>
      </c>
      <c r="N947" s="716">
        <f>IFERROR(VLOOKUP(C947,[3]List1!$A:$D,4,FALSE),"N/A!")</f>
        <v>7.9849000000000003E-2</v>
      </c>
      <c r="O947" s="716">
        <f>IFERROR(VLOOKUP(C947,[3]List1!$A:$D,3,FALSE),"N/A!")</f>
        <v>3185</v>
      </c>
      <c r="P947" s="716">
        <f>IFERROR(VLOOKUP(C947,[3]List1!$A:$D,2,FALSE),"N/A!")</f>
        <v>23500</v>
      </c>
      <c r="Q947" s="716" t="s">
        <v>1623</v>
      </c>
      <c r="R947" s="716" t="s">
        <v>24</v>
      </c>
      <c r="S947" s="716" t="str">
        <f>IF($W$17=$AF$1,"červená fólie",IFERROR(VLOOKUP("červená fólie",Jazyky_ceník!$A:$Q,MATCH($W$17,Jazyky_ceník!$A$1:$Q$1,0),FALSE),"!!!"))</f>
        <v>červená fólie</v>
      </c>
      <c r="T947" s="716">
        <v>120</v>
      </c>
      <c r="U947" s="716" t="s">
        <v>13851</v>
      </c>
      <c r="V947" s="716" t="s">
        <v>13852</v>
      </c>
      <c r="W947" s="716" t="str">
        <f>IFERROR(VLOOKUP('General price list'!$C947,Popisy!A:P,MATCH($W$17,Popisy!$A$7:$P$7,0),FALSE),"---------------")</f>
        <v>17 různobarevné efekty</v>
      </c>
      <c r="X947" s="716" t="str">
        <f t="shared" ref="X947:X948" si="2390">IF(AB947&lt;0.0001,"",AB947)</f>
        <v/>
      </c>
      <c r="Y947" s="716" t="str">
        <f t="shared" ref="Y947:Y948" si="2391">IF($AL$3=2,IF(OR(AB947&lt;&gt;"",AB947&lt;&gt;0),AU947,""),IF(C947="","",IF(AB947&lt;0.0001,"",IF(B947=0,"",IF(AQ947&lt;AB947,"",AB947)))))</f>
        <v/>
      </c>
      <c r="Z947" s="716" t="str">
        <f>HYPERLINK("https://www.klasekpyrotechnics.cz/c96mb")</f>
        <v>https://www.klasekpyrotechnics.cz/c96mb</v>
      </c>
      <c r="AA947" s="716">
        <f>IFERROR(IF(VLOOKUP(C947,[4]List1!$A:$D,4,FALSE)=0,"",VLOOKUP(C947,[4]List1!$A:$D,4,FALSE)),"")</f>
        <v>20</v>
      </c>
      <c r="AB947" s="720"/>
      <c r="AC947" s="721" t="str">
        <f>IFERROR(IF(VLOOKUP(C947,[1]List1!$A:$D,2,FALSE)="VYPRODÁNO",$V$9,IF(VLOOKUP(C947,[1]List1!$A:$D,2,FALSE)="DOCHÁZÍ",$V$3,VLOOKUP(C947,[1]List1!$A:$D,2,FALSE))),"OFFLINE!")</f>
        <v>SKLADEM</v>
      </c>
      <c r="AD947" s="722" t="str">
        <f ca="1">IF(AP947="NE",$V$10,IF(AC947=$V$3,IF(AQ947&lt;1,$V$8,$V$2&amp;" "&amp;AQ947&amp;" "&amp;$V$1),IF(AC947="SKLADEM",$V$6,IFERROR(IF(OR(AC947-TODAY()&gt;45,VLOOKUP(C947,[1]List1!$A:$E,4,FALSE)=0),AC947,DAY(AC947)&amp;"."&amp;MONTH(AC947)&amp;"."&amp;YEAR(AC947)&amp;" "&amp;$V$4&amp;VLOOKUP(C947,[1]List1!$A:$E,4,FALSE)&amp;" "&amp;$V$1),AC947))))</f>
        <v>SKLADEM</v>
      </c>
      <c r="AE947" s="716" t="str">
        <f t="shared" ref="AE947:AE948" ca="1" si="2392">IFERROR(IF(AV947&lt;&gt;"",AV947,AD947),AD947)</f>
        <v>SKLADEM</v>
      </c>
      <c r="AF947" s="723">
        <f t="shared" ref="AF947:AF948" si="2393">IFERROR(IF(AB947=Y947,G947*I947*Y947,0),0)</f>
        <v>0</v>
      </c>
      <c r="AG947" s="723">
        <f t="shared" ref="AG947:AG948" si="2394">IF($W$17=$AF$8,AH947*1.23,AF947*1.21)</f>
        <v>0</v>
      </c>
      <c r="AH947" s="724">
        <f t="shared" ref="AH947:AH948" si="2395">IFERROR(IF(Y947=AB947,H947*I947*Y947,0),0)</f>
        <v>0</v>
      </c>
      <c r="AI947" s="716">
        <f t="shared" ref="AI947:AI948" si="2396">IFERROR(IF(Y947=AB947,(P947*Y947)/1000,1),0)</f>
        <v>0</v>
      </c>
      <c r="AJ947" s="716">
        <f t="shared" ref="AJ947:AJ948" si="2397">IFERROR(IF(Y947=AB947,N947*Y947,0.1),0)</f>
        <v>0</v>
      </c>
      <c r="AK947" s="716" t="str">
        <f t="shared" ref="AK947:AK948" si="2398">IFERROR(IF(Y947=AB947,IF(M947="1.1G",(O947/1000)*Y947,""),""),0)</f>
        <v/>
      </c>
      <c r="AL947" s="716">
        <f t="shared" ref="AL947:AL948" si="2399">IFERROR(IF(Y947=AB947,IF(M947="1.3G",(O947/1000)*AB947,""),""),0)</f>
        <v>0</v>
      </c>
      <c r="AM947" s="716" t="str">
        <f t="shared" ref="AM947:AM948" si="2400">IFERROR(IF(Y947=AB947,IF(M947="1.4G",(O947/1000)*AB947,""),""),0)</f>
        <v/>
      </c>
      <c r="AN947" s="716">
        <f t="shared" ref="AN947:AN948" si="2401">SUM(AK947:AM947)</f>
        <v>0</v>
      </c>
      <c r="AO947" s="380"/>
      <c r="AP947" s="322" t="str">
        <f t="shared" si="2282"/>
        <v/>
      </c>
      <c r="AQ947" s="323" t="str">
        <f>IF(AC947=$V$3,IF(VLOOKUP(C947,[1]List1!$A:$E,5,FALSE)=0,1,VLOOKUP(C947,[1]List1!$A:$E,5,FALSE)),"")</f>
        <v/>
      </c>
      <c r="AR947" s="304" t="str">
        <f t="shared" si="2283"/>
        <v/>
      </c>
      <c r="AS947" s="423" t="str">
        <f t="shared" si="2284"/>
        <v/>
      </c>
      <c r="AT947" s="304" t="str">
        <f t="shared" si="2285"/>
        <v/>
      </c>
      <c r="AU947" s="342" t="e">
        <f t="shared" si="2286"/>
        <v>#N/A</v>
      </c>
      <c r="AV947" s="304" t="e">
        <f t="shared" si="2287"/>
        <v>#N/A</v>
      </c>
      <c r="AX947" s="304">
        <f>IF(AND('General price list'!$J947="F4",'General price list'!$AB947+0&gt;0),1,0)</f>
        <v>0</v>
      </c>
      <c r="AY947" s="304">
        <f t="shared" si="2288"/>
        <v>1</v>
      </c>
      <c r="AZ947" s="304">
        <f t="shared" si="2289"/>
        <v>0</v>
      </c>
    </row>
    <row r="948" spans="1:52" ht="15" customHeight="1">
      <c r="A948" s="725" t="str">
        <f>Kat.!C945</f>
        <v/>
      </c>
      <c r="B948" s="726">
        <f>IF(AND('General price list'!$J948="F4",$AI$1=FALSE),0,IF(AC948="SKLADEM",1,IF(AC948=$V$3,1,0)))</f>
        <v>0</v>
      </c>
      <c r="C948" s="727" t="s">
        <v>1737</v>
      </c>
      <c r="D948" s="728" t="s">
        <v>1738</v>
      </c>
      <c r="E948" s="729" t="s">
        <v>136</v>
      </c>
      <c r="F948" s="725">
        <f>IFERROR(ROUND(IF($AL$3=2,VLOOKUP(C948,[2]List1!$A:$D,2,FALSE)*1.08,VLOOKUP(C948,[2]List1!$A:$D,2,FALSE)),0),"NEUVEDENO!")</f>
        <v>16200</v>
      </c>
      <c r="G948" s="730">
        <f t="shared" si="2388"/>
        <v>16200</v>
      </c>
      <c r="H948" s="731">
        <f t="shared" si="2389"/>
        <v>658.29842049014792</v>
      </c>
      <c r="I948" s="732">
        <v>1</v>
      </c>
      <c r="J948" s="729" t="s">
        <v>709</v>
      </c>
      <c r="K948" s="729" t="s">
        <v>12734</v>
      </c>
      <c r="L948" s="729" t="s">
        <v>24</v>
      </c>
      <c r="M948" s="729" t="s">
        <v>138</v>
      </c>
      <c r="N948" s="729">
        <f>IFERROR(VLOOKUP(C948,[3]List1!$A:$D,4,FALSE),"N/A!")</f>
        <v>0.1479</v>
      </c>
      <c r="O948" s="729">
        <f>IFERROR(VLOOKUP(C948,[3]List1!$A:$D,3,FALSE),"N/A!")</f>
        <v>7880</v>
      </c>
      <c r="P948" s="729">
        <f>IFERROR(VLOOKUP(C948,[3]List1!$A:$D,2,FALSE),"N/A!")</f>
        <v>68500</v>
      </c>
      <c r="Q948" s="729" t="s">
        <v>14256</v>
      </c>
      <c r="R948" s="729" t="s">
        <v>24</v>
      </c>
      <c r="S948" s="729" t="str">
        <f>IF($W$17=$AF$1,"červená fólie",IFERROR(VLOOKUP("červená fólie",Jazyky_ceník!$A:$Q,MATCH($W$17,Jazyky_ceník!$A$1:$Q$1,0),FALSE),"!!!"))</f>
        <v>červená fólie</v>
      </c>
      <c r="T948" s="729">
        <v>180</v>
      </c>
      <c r="U948" s="729" t="s">
        <v>13836</v>
      </c>
      <c r="V948" s="729" t="s">
        <v>13837</v>
      </c>
      <c r="W948" s="729" t="str">
        <f>IFERROR(VLOOKUP('General price list'!$C948,Popisy!A:P,MATCH($W$17,Popisy!$A$7:$P$7,0),FALSE),"---------------")</f>
        <v>40 různobarevné efekty</v>
      </c>
      <c r="X948" s="729" t="str">
        <f t="shared" si="2390"/>
        <v/>
      </c>
      <c r="Y948" s="729" t="str">
        <f t="shared" si="2391"/>
        <v/>
      </c>
      <c r="Z948" s="729" t="str">
        <f>HYPERLINK("https://www.klasekpyrotechnics.cz/c304mk")</f>
        <v>https://www.klasekpyrotechnics.cz/c304mk</v>
      </c>
      <c r="AA948" s="729">
        <f>IFERROR(IF(VLOOKUP(C948,[4]List1!$A:$D,4,FALSE)=0,"",VLOOKUP(C948,[4]List1!$A:$D,4,FALSE)),"")</f>
        <v>6</v>
      </c>
      <c r="AB948" s="720"/>
      <c r="AC948" s="733" t="str">
        <f>IFERROR(IF(VLOOKUP(C948,[1]List1!$A:$D,2,FALSE)="VYPRODÁNO",$V$9,IF(VLOOKUP(C948,[1]List1!$A:$D,2,FALSE)="DOCHÁZÍ",$V$3,VLOOKUP(C948,[1]List1!$A:$D,2,FALSE))),"OFFLINE!")</f>
        <v>15.06.2024</v>
      </c>
      <c r="AD948" s="734" t="str">
        <f ca="1">IF(AP948="NE",$V$10,IF(AC948=$V$3,IF(AQ948&lt;1,$V$8,$V$2&amp;" "&amp;AQ948&amp;" "&amp;$V$1),IF(AC948="SKLADEM",$V$6,IFERROR(IF(OR(AC948-TODAY()&gt;45,VLOOKUP(C948,[1]List1!$A:$E,4,FALSE)=0),AC948,DAY(AC948)&amp;"."&amp;MONTH(AC948)&amp;"."&amp;YEAR(AC948)&amp;" "&amp;$V$4&amp;VLOOKUP(C948,[1]List1!$A:$E,4,FALSE)&amp;" "&amp;$V$1),AC948))))</f>
        <v>15.06.2024</v>
      </c>
      <c r="AE948" s="729" t="str">
        <f t="shared" ca="1" si="2392"/>
        <v>15.06.2024</v>
      </c>
      <c r="AF948" s="735">
        <f t="shared" si="2393"/>
        <v>0</v>
      </c>
      <c r="AG948" s="735">
        <f t="shared" si="2394"/>
        <v>0</v>
      </c>
      <c r="AH948" s="736">
        <f t="shared" si="2395"/>
        <v>0</v>
      </c>
      <c r="AI948" s="729">
        <f t="shared" si="2396"/>
        <v>0</v>
      </c>
      <c r="AJ948" s="729">
        <f t="shared" si="2397"/>
        <v>0</v>
      </c>
      <c r="AK948" s="729" t="str">
        <f t="shared" si="2398"/>
        <v/>
      </c>
      <c r="AL948" s="729">
        <f t="shared" si="2399"/>
        <v>0</v>
      </c>
      <c r="AM948" s="729" t="str">
        <f t="shared" si="2400"/>
        <v/>
      </c>
      <c r="AN948" s="729">
        <f t="shared" si="2401"/>
        <v>0</v>
      </c>
      <c r="AO948" s="380"/>
      <c r="AP948" s="322" t="str">
        <f t="shared" si="2282"/>
        <v/>
      </c>
      <c r="AQ948" s="323" t="str">
        <f>IF(AC948=$V$3,IF(VLOOKUP(C948,[1]List1!$A:$E,5,FALSE)=0,1,VLOOKUP(C948,[1]List1!$A:$E,5,FALSE)),"")</f>
        <v/>
      </c>
      <c r="AR948" s="304" t="str">
        <f t="shared" si="2283"/>
        <v/>
      </c>
      <c r="AS948" s="423" t="str">
        <f t="shared" si="2284"/>
        <v/>
      </c>
      <c r="AT948" s="304" t="str">
        <f t="shared" si="2285"/>
        <v/>
      </c>
      <c r="AU948" s="342" t="e">
        <f t="shared" si="2286"/>
        <v>#N/A</v>
      </c>
      <c r="AV948" s="304" t="e">
        <f t="shared" si="2287"/>
        <v>#N/A</v>
      </c>
      <c r="AX948" s="304">
        <f>IF(AND('General price list'!$J948="F4",'General price list'!$AB948+0&gt;0),1,0)</f>
        <v>0</v>
      </c>
      <c r="AY948" s="304">
        <f t="shared" si="2288"/>
        <v>1</v>
      </c>
      <c r="AZ948" s="304">
        <f t="shared" si="2289"/>
        <v>0</v>
      </c>
    </row>
    <row r="949" spans="1:52" ht="15" customHeight="1">
      <c r="A949" s="773" t="str">
        <f>Kat.!C946</f>
        <v xml:space="preserve">                                                               Římské svíce 8ran (30mm)</v>
      </c>
      <c r="B949" s="774"/>
      <c r="C949" s="774"/>
      <c r="D949" s="774"/>
      <c r="E949" s="774"/>
      <c r="F949" s="774"/>
      <c r="G949" s="774"/>
      <c r="H949" s="774"/>
      <c r="I949" s="774"/>
      <c r="J949" s="774"/>
      <c r="K949" s="774"/>
      <c r="L949" s="774"/>
      <c r="M949" s="774"/>
      <c r="N949" s="774"/>
      <c r="O949" s="774"/>
      <c r="P949" s="774"/>
      <c r="Q949" s="774"/>
      <c r="R949" s="774"/>
      <c r="S949" s="774"/>
      <c r="T949" s="774"/>
      <c r="U949" s="774"/>
      <c r="V949" s="774"/>
      <c r="W949" s="774"/>
      <c r="X949" s="774"/>
      <c r="Y949" s="774"/>
      <c r="Z949" s="774"/>
      <c r="AA949" s="774" t="str">
        <f>IFERROR(IF(VLOOKUP(C949,[4]List1!$A:$D,4,FALSE)=0,"",VLOOKUP(C949,[4]List1!$A:$D,4,FALSE)),"")</f>
        <v/>
      </c>
      <c r="AB949" s="774"/>
      <c r="AC949" s="775" t="str">
        <f>IFERROR(IF(VLOOKUP(C949,[1]List1!$A:$D,2,FALSE)="VYPRODÁNO",$V$9,IF(VLOOKUP(C949,[1]List1!$A:$D,2,FALSE)="DOCHÁZÍ",$V$3,VLOOKUP(C949,[1]List1!$A:$D,2,FALSE))),"OFFLINE!")</f>
        <v>OFFLINE!</v>
      </c>
      <c r="AD949" s="774"/>
      <c r="AE949" s="774"/>
      <c r="AF949" s="774"/>
      <c r="AG949" s="774"/>
      <c r="AH949" s="774"/>
      <c r="AI949" s="774"/>
      <c r="AJ949" s="774"/>
      <c r="AK949" s="774"/>
      <c r="AL949" s="774"/>
      <c r="AM949" s="774"/>
      <c r="AN949" s="774"/>
      <c r="AO949" s="380"/>
      <c r="AP949" s="322" t="str">
        <f t="shared" si="2282"/>
        <v/>
      </c>
      <c r="AQ949" s="323" t="str">
        <f>IF(AC949=$V$3,IF(VLOOKUP(C949,[1]List1!$A:$E,5,FALSE)=0,1,VLOOKUP(C949,[1]List1!$A:$E,5,FALSE)),"")</f>
        <v/>
      </c>
      <c r="AR949" s="304" t="str">
        <f t="shared" si="2283"/>
        <v/>
      </c>
      <c r="AS949" s="423" t="str">
        <f t="shared" si="2284"/>
        <v/>
      </c>
      <c r="AT949" s="304" t="str">
        <f t="shared" si="2285"/>
        <v/>
      </c>
      <c r="AU949" s="342" t="e">
        <f t="shared" si="2286"/>
        <v>#N/A</v>
      </c>
      <c r="AV949" s="304" t="e">
        <f t="shared" si="2287"/>
        <v>#N/A</v>
      </c>
      <c r="AX949" s="304">
        <f>IF(AND('General price list'!$J949="F4",'General price list'!$AB949+0&gt;0),1,0)</f>
        <v>0</v>
      </c>
      <c r="AY949" s="304">
        <f t="shared" si="2288"/>
        <v>0</v>
      </c>
      <c r="AZ949" s="304">
        <f t="shared" si="2289"/>
        <v>0</v>
      </c>
    </row>
    <row r="950" spans="1:52" ht="15" customHeight="1">
      <c r="A950" s="725" t="str">
        <f>Kat.!C947</f>
        <v>×</v>
      </c>
      <c r="B950" s="741">
        <f>IF(AND('General price list'!$J950="F4",$AI$1=FALSE),0,IF(AC950="SKLADEM",1,IF(AC950=$V$3,1,0)))</f>
        <v>1</v>
      </c>
      <c r="C950" s="727" t="s">
        <v>1746</v>
      </c>
      <c r="D950" s="728" t="s">
        <v>1747</v>
      </c>
      <c r="E950" s="729" t="s">
        <v>362</v>
      </c>
      <c r="F950" s="725">
        <f>IFERROR(ROUND(IF($AL$3=2,VLOOKUP(C950,[2]List1!$A:$D,2,FALSE)*1.08,VLOOKUP(C950,[2]List1!$A:$D,2,FALSE)),0),"NEUVEDENO!")</f>
        <v>299</v>
      </c>
      <c r="G950" s="730">
        <f t="shared" ref="G950:G952" si="2402">(F950)*$B$19</f>
        <v>299</v>
      </c>
      <c r="H950" s="731">
        <f t="shared" ref="H950:H952" si="2403">G950/$F$19</f>
        <v>12.150075785589767</v>
      </c>
      <c r="I950" s="742">
        <v>25</v>
      </c>
      <c r="J950" s="729" t="s">
        <v>137</v>
      </c>
      <c r="K950" s="729" t="s">
        <v>12771</v>
      </c>
      <c r="L950" s="729" t="s">
        <v>24</v>
      </c>
      <c r="M950" s="729" t="s">
        <v>138</v>
      </c>
      <c r="N950" s="729">
        <f>IFERROR(VLOOKUP(C950,[3]List1!$A:$D,4,FALSE),"N/A!")</f>
        <v>3.8962000000000004E-2</v>
      </c>
      <c r="O950" s="729">
        <f>IFERROR(VLOOKUP(C950,[3]List1!$A:$D,3,FALSE),"N/A!")</f>
        <v>4675</v>
      </c>
      <c r="P950" s="729">
        <f>IFERROR(VLOOKUP(C950,[3]List1!$A:$D,2,FALSE),"N/A!")</f>
        <v>14000</v>
      </c>
      <c r="Q950" s="729" t="s">
        <v>217</v>
      </c>
      <c r="R950" s="729" t="s">
        <v>24</v>
      </c>
      <c r="S950" s="729" t="s">
        <v>14401</v>
      </c>
      <c r="T950" s="729">
        <v>30</v>
      </c>
      <c r="U950" s="729"/>
      <c r="V950" s="729"/>
      <c r="W950" s="729" t="str">
        <f>IFERROR(VLOOKUP('General price list'!$C950,Popisy!A:P,MATCH($W$17,Popisy!$A$7:$P$7,0),FALSE),"---------------")</f>
        <v xml:space="preserve">golden tail </v>
      </c>
      <c r="X950" s="729" t="str">
        <f t="shared" ref="X950:X952" si="2404">IF(AB950&lt;0.0001,"",AB950)</f>
        <v/>
      </c>
      <c r="Y950" s="729" t="str">
        <f t="shared" ref="Y950:Y952" si="2405">IF($AL$3=2,IF(OR(AB950&lt;&gt;"",AB950&lt;&gt;0),AU950,""),IF(C950="","",IF(AB950&lt;0.0001,"",IF(B950=0,"",IF(AQ950&lt;AB950,"",AB950)))))</f>
        <v/>
      </c>
      <c r="Z950" s="729" t="str">
        <f>HYPERLINK("https://www.klasekpyrotechnics.cz/r7538d")</f>
        <v>https://www.klasekpyrotechnics.cz/r7538d</v>
      </c>
      <c r="AA950" s="729">
        <f>IFERROR(IF(VLOOKUP(C950,[4]List1!$A:$D,4,FALSE)=0,"",VLOOKUP(C950,[4]List1!$A:$D,4,FALSE)),"")</f>
        <v>40</v>
      </c>
      <c r="AB950" s="720"/>
      <c r="AC950" s="743" t="str">
        <f>IFERROR(IF(VLOOKUP(C950,[1]List1!$A:$D,2,FALSE)="VYPRODÁNO",$V$9,IF(VLOOKUP(C950,[1]List1!$A:$D,2,FALSE)="DOCHÁZÍ",$V$3,VLOOKUP(C950,[1]List1!$A:$D,2,FALSE))),"OFFLINE!")</f>
        <v>SKLADEM</v>
      </c>
      <c r="AD950" s="744" t="str">
        <f ca="1">IF(AP950="NE",$V$10,IF(AC950=$V$3,IF(AQ950&lt;1,$V$8,$V$2&amp;" "&amp;AQ950&amp;" "&amp;$V$1),IF(AC950="SKLADEM",$V$6,IFERROR(IF(OR(AC950-TODAY()&gt;45,VLOOKUP(C950,[1]List1!$A:$E,4,FALSE)=0),AC950,DAY(AC950)&amp;"."&amp;MONTH(AC950)&amp;"."&amp;YEAR(AC950)&amp;" "&amp;$V$4&amp;VLOOKUP(C950,[1]List1!$A:$E,4,FALSE)&amp;" "&amp;$V$1),AC950))))</f>
        <v>SKLADEM</v>
      </c>
      <c r="AE950" s="729" t="str">
        <f t="shared" ref="AE950:AE952" ca="1" si="2406">IFERROR(IF(AV950&lt;&gt;"",AV950,AD950),AD950)</f>
        <v>SKLADEM</v>
      </c>
      <c r="AF950" s="735">
        <f t="shared" ref="AF950:AF952" si="2407">IFERROR(IF(AB950=Y950,G950*I950*Y950,0),0)</f>
        <v>0</v>
      </c>
      <c r="AG950" s="735">
        <f t="shared" ref="AG950:AG952" si="2408">IF($W$17=$AF$8,AH950*1.23,AF950*1.21)</f>
        <v>0</v>
      </c>
      <c r="AH950" s="736">
        <f t="shared" ref="AH950:AH952" si="2409">IFERROR(IF(Y950=AB950,H950*I950*Y950,0),0)</f>
        <v>0</v>
      </c>
      <c r="AI950" s="729">
        <f t="shared" ref="AI950:AI952" si="2410">IFERROR(IF(Y950=AB950,(P950*Y950)/1000,1),0)</f>
        <v>0</v>
      </c>
      <c r="AJ950" s="729">
        <f t="shared" ref="AJ950:AJ952" si="2411">IFERROR(IF(Y950=AB950,N950*Y950,0.1),0)</f>
        <v>0</v>
      </c>
      <c r="AK950" s="729" t="str">
        <f t="shared" ref="AK950:AK952" si="2412">IFERROR(IF(Y950=AB950,IF(M950="1.1G",(O950/1000)*Y950,""),""),0)</f>
        <v/>
      </c>
      <c r="AL950" s="729">
        <f t="shared" ref="AL950:AL952" si="2413">IFERROR(IF(Y950=AB950,IF(M950="1.3G",(O950/1000)*AB950,""),""),0)</f>
        <v>0</v>
      </c>
      <c r="AM950" s="729" t="str">
        <f t="shared" ref="AM950:AM952" si="2414">IFERROR(IF(Y950=AB950,IF(M950="1.4G",(O950/1000)*AB950,""),""),0)</f>
        <v/>
      </c>
      <c r="AN950" s="729">
        <f t="shared" ref="AN950:AN952" si="2415">SUM(AK950:AM950)</f>
        <v>0</v>
      </c>
      <c r="AO950" s="380"/>
      <c r="AP950" s="322" t="str">
        <f t="shared" si="2282"/>
        <v/>
      </c>
      <c r="AQ950" s="323" t="str">
        <f>IF(AC950=$V$3,IF(VLOOKUP(C950,[1]List1!$A:$E,5,FALSE)=0,1,VLOOKUP(C950,[1]List1!$A:$E,5,FALSE)),"")</f>
        <v/>
      </c>
      <c r="AR950" s="304" t="str">
        <f t="shared" si="2283"/>
        <v/>
      </c>
      <c r="AS950" s="423" t="str">
        <f t="shared" si="2284"/>
        <v/>
      </c>
      <c r="AT950" s="304" t="str">
        <f t="shared" si="2285"/>
        <v/>
      </c>
      <c r="AU950" s="342" t="e">
        <f t="shared" si="2286"/>
        <v>#N/A</v>
      </c>
      <c r="AV950" s="304" t="e">
        <f t="shared" si="2287"/>
        <v>#N/A</v>
      </c>
      <c r="AX950" s="304">
        <f>IF(AND('General price list'!$J950="F4",'General price list'!$AB950+0&gt;0),1,0)</f>
        <v>0</v>
      </c>
      <c r="AY950" s="304">
        <f t="shared" si="2288"/>
        <v>1</v>
      </c>
      <c r="AZ950" s="304">
        <f t="shared" si="2289"/>
        <v>0</v>
      </c>
    </row>
    <row r="951" spans="1:52" ht="15" customHeight="1">
      <c r="A951" s="712" t="str">
        <f>Kat.!C948</f>
        <v>×</v>
      </c>
      <c r="B951" s="745">
        <f>IF(AND('General price list'!$J951="F4",$AI$1=FALSE),0,IF(AC951="SKLADEM",1,IF(AC951=$V$3,1,0)))</f>
        <v>1</v>
      </c>
      <c r="C951" s="714" t="s">
        <v>1754</v>
      </c>
      <c r="D951" s="715" t="s">
        <v>1755</v>
      </c>
      <c r="E951" s="716" t="s">
        <v>362</v>
      </c>
      <c r="F951" s="712">
        <f>IFERROR(ROUND(IF($AL$3=2,VLOOKUP(C951,[2]List1!$A:$D,2,FALSE)*1.08,VLOOKUP(C951,[2]List1!$A:$D,2,FALSE)),0),"NEUVEDENO!")</f>
        <v>299</v>
      </c>
      <c r="G951" s="717">
        <f t="shared" si="2402"/>
        <v>299</v>
      </c>
      <c r="H951" s="718">
        <f t="shared" si="2403"/>
        <v>12.150075785589767</v>
      </c>
      <c r="I951" s="746">
        <v>25</v>
      </c>
      <c r="J951" s="716" t="s">
        <v>137</v>
      </c>
      <c r="K951" s="716" t="s">
        <v>12771</v>
      </c>
      <c r="L951" s="716" t="s">
        <v>24</v>
      </c>
      <c r="M951" s="716" t="s">
        <v>138</v>
      </c>
      <c r="N951" s="716">
        <f>IFERROR(VLOOKUP(C951,[3]List1!$A:$D,4,FALSE),"N/A!")</f>
        <v>3.8962000000000004E-2</v>
      </c>
      <c r="O951" s="716">
        <f>IFERROR(VLOOKUP(C951,[3]List1!$A:$D,3,FALSE),"N/A!")</f>
        <v>4675</v>
      </c>
      <c r="P951" s="716">
        <f>IFERROR(VLOOKUP(C951,[3]List1!$A:$D,2,FALSE),"N/A!")</f>
        <v>14000</v>
      </c>
      <c r="Q951" s="716" t="s">
        <v>217</v>
      </c>
      <c r="R951" s="716" t="s">
        <v>24</v>
      </c>
      <c r="S951" s="716" t="s">
        <v>14401</v>
      </c>
      <c r="T951" s="716">
        <v>30</v>
      </c>
      <c r="U951" s="716"/>
      <c r="V951" s="716"/>
      <c r="W951" s="716" t="str">
        <f>IFERROR(VLOOKUP('General price list'!$C951,Popisy!A:P,MATCH($W$17,Popisy!$A$7:$P$7,0),FALSE),"---------------")</f>
        <v>silver glitter willow tail</v>
      </c>
      <c r="X951" s="716" t="str">
        <f t="shared" si="2404"/>
        <v/>
      </c>
      <c r="Y951" s="716" t="str">
        <f t="shared" si="2405"/>
        <v/>
      </c>
      <c r="Z951" s="716" t="str">
        <f>HYPERLINK("https://www.klasekpyrotechnics.cz/r7538h")</f>
        <v>https://www.klasekpyrotechnics.cz/r7538h</v>
      </c>
      <c r="AA951" s="716">
        <f>IFERROR(IF(VLOOKUP(C951,[4]List1!$A:$D,4,FALSE)=0,"",VLOOKUP(C951,[4]List1!$A:$D,4,FALSE)),"")</f>
        <v>40</v>
      </c>
      <c r="AB951" s="720"/>
      <c r="AC951" s="747" t="str">
        <f>IFERROR(IF(VLOOKUP(C951,[1]List1!$A:$D,2,FALSE)="VYPRODÁNO",$V$9,IF(VLOOKUP(C951,[1]List1!$A:$D,2,FALSE)="DOCHÁZÍ",$V$3,VLOOKUP(C951,[1]List1!$A:$D,2,FALSE))),"OFFLINE!")</f>
        <v>DOCHÁZÍ</v>
      </c>
      <c r="AD951" s="748" t="str">
        <f ca="1">IF(AP951="NE",$V$10,IF(AC951=$V$3,IF(AQ951&lt;1,$V$8,$V$2&amp;" "&amp;AQ951&amp;" "&amp;$V$1),IF(AC951="SKLADEM",$V$6,IFERROR(IF(OR(AC951-TODAY()&gt;45,VLOOKUP(C951,[1]List1!$A:$E,4,FALSE)=0),AC951,DAY(AC951)&amp;"."&amp;MONTH(AC951)&amp;"."&amp;YEAR(AC951)&amp;" "&amp;$V$4&amp;VLOOKUP(C951,[1]List1!$A:$E,4,FALSE)&amp;" "&amp;$V$1),AC951))))</f>
        <v>POSLEDNÍCH 3 VK</v>
      </c>
      <c r="AE951" s="716" t="str">
        <f t="shared" ca="1" si="2406"/>
        <v>POSLEDNÍCH 3 VK</v>
      </c>
      <c r="AF951" s="723">
        <f t="shared" si="2407"/>
        <v>0</v>
      </c>
      <c r="AG951" s="723">
        <f t="shared" si="2408"/>
        <v>0</v>
      </c>
      <c r="AH951" s="724">
        <f t="shared" si="2409"/>
        <v>0</v>
      </c>
      <c r="AI951" s="716">
        <f t="shared" si="2410"/>
        <v>0</v>
      </c>
      <c r="AJ951" s="716">
        <f t="shared" si="2411"/>
        <v>0</v>
      </c>
      <c r="AK951" s="716" t="str">
        <f t="shared" si="2412"/>
        <v/>
      </c>
      <c r="AL951" s="716">
        <f t="shared" si="2413"/>
        <v>0</v>
      </c>
      <c r="AM951" s="716" t="str">
        <f t="shared" si="2414"/>
        <v/>
      </c>
      <c r="AN951" s="716">
        <f t="shared" si="2415"/>
        <v>0</v>
      </c>
      <c r="AO951" s="380"/>
      <c r="AP951" s="322" t="str">
        <f t="shared" si="2282"/>
        <v/>
      </c>
      <c r="AQ951" s="323">
        <f>IF(AC951=$V$3,IF(VLOOKUP(C951,[1]List1!$A:$E,5,FALSE)=0,1,VLOOKUP(C951,[1]List1!$A:$E,5,FALSE)),"")</f>
        <v>3</v>
      </c>
      <c r="AR951" s="304" t="str">
        <f t="shared" si="2283"/>
        <v/>
      </c>
      <c r="AS951" s="423" t="str">
        <f t="shared" si="2284"/>
        <v/>
      </c>
      <c r="AT951" s="304" t="str">
        <f t="shared" si="2285"/>
        <v/>
      </c>
      <c r="AU951" s="342" t="e">
        <f t="shared" si="2286"/>
        <v>#N/A</v>
      </c>
      <c r="AV951" s="304" t="e">
        <f t="shared" si="2287"/>
        <v>#N/A</v>
      </c>
      <c r="AX951" s="304">
        <f>IF(AND('General price list'!$J951="F4",'General price list'!$AB951+0&gt;0),1,0)</f>
        <v>0</v>
      </c>
      <c r="AY951" s="304">
        <f t="shared" si="2288"/>
        <v>1</v>
      </c>
      <c r="AZ951" s="304">
        <f t="shared" si="2289"/>
        <v>0</v>
      </c>
    </row>
    <row r="952" spans="1:52" ht="15" customHeight="1">
      <c r="A952" s="725" t="str">
        <f>Kat.!C949</f>
        <v>×</v>
      </c>
      <c r="B952" s="749">
        <f>IF(AND('General price list'!$J952="F4",$AI$1=FALSE),0,IF(AC952="SKLADEM",1,IF(AC952=$V$3,1,0)))</f>
        <v>1</v>
      </c>
      <c r="C952" s="727" t="s">
        <v>1757</v>
      </c>
      <c r="D952" s="728" t="s">
        <v>1758</v>
      </c>
      <c r="E952" s="729" t="s">
        <v>362</v>
      </c>
      <c r="F952" s="725">
        <f>IFERROR(ROUND(IF($AL$3=2,VLOOKUP(C952,[2]List1!$A:$D,2,FALSE)*1.08,VLOOKUP(C952,[2]List1!$A:$D,2,FALSE)),0),"NEUVEDENO!")</f>
        <v>299</v>
      </c>
      <c r="G952" s="730">
        <f t="shared" si="2402"/>
        <v>299</v>
      </c>
      <c r="H952" s="731">
        <f t="shared" si="2403"/>
        <v>12.150075785589767</v>
      </c>
      <c r="I952" s="750">
        <v>25</v>
      </c>
      <c r="J952" s="729" t="s">
        <v>137</v>
      </c>
      <c r="K952" s="729" t="s">
        <v>12771</v>
      </c>
      <c r="L952" s="729"/>
      <c r="M952" s="729" t="s">
        <v>138</v>
      </c>
      <c r="N952" s="729">
        <f>IFERROR(VLOOKUP(C952,[3]List1!$A:$D,4,FALSE),"N/A!")</f>
        <v>3.8962000000000004E-2</v>
      </c>
      <c r="O952" s="729">
        <f>IFERROR(VLOOKUP(C952,[3]List1!$A:$D,3,FALSE),"N/A!")</f>
        <v>4675</v>
      </c>
      <c r="P952" s="729">
        <f>IFERROR(VLOOKUP(C952,[3]List1!$A:$D,2,FALSE),"N/A!")</f>
        <v>12800</v>
      </c>
      <c r="Q952" s="729" t="s">
        <v>217</v>
      </c>
      <c r="R952" s="729" t="s">
        <v>24</v>
      </c>
      <c r="S952" s="729"/>
      <c r="T952" s="729">
        <v>30</v>
      </c>
      <c r="U952" s="729"/>
      <c r="V952" s="729"/>
      <c r="W952" s="729" t="str">
        <f>IFERROR(VLOOKUP('General price list'!$C952,Popisy!A:P,MATCH($W$17,Popisy!$A$7:$P$7,0),FALSE),"---------------")</f>
        <v>crackling tail</v>
      </c>
      <c r="X952" s="729" t="str">
        <f t="shared" si="2404"/>
        <v/>
      </c>
      <c r="Y952" s="729" t="str">
        <f t="shared" si="2405"/>
        <v/>
      </c>
      <c r="Z952" s="729" t="str">
        <f>HYPERLINK("https://www.klasekpyrotechnics.cz/r7538ch")</f>
        <v>https://www.klasekpyrotechnics.cz/r7538ch</v>
      </c>
      <c r="AA952" s="729">
        <f>IFERROR(IF(VLOOKUP(C952,[4]List1!$A:$D,4,FALSE)=0,"",VLOOKUP(C952,[4]List1!$A:$D,4,FALSE)),"")</f>
        <v>40</v>
      </c>
      <c r="AB952" s="720"/>
      <c r="AC952" s="751" t="str">
        <f>IFERROR(IF(VLOOKUP(C952,[1]List1!$A:$D,2,FALSE)="VYPRODÁNO",$V$9,IF(VLOOKUP(C952,[1]List1!$A:$D,2,FALSE)="DOCHÁZÍ",$V$3,VLOOKUP(C952,[1]List1!$A:$D,2,FALSE))),"OFFLINE!")</f>
        <v>SKLADEM</v>
      </c>
      <c r="AD952" s="752" t="str">
        <f ca="1">IF(AP952="NE",$V$10,IF(AC952=$V$3,IF(AQ952&lt;1,$V$8,$V$2&amp;" "&amp;AQ952&amp;" "&amp;$V$1),IF(AC952="SKLADEM",$V$6,IFERROR(IF(OR(AC952-TODAY()&gt;45,VLOOKUP(C952,[1]List1!$A:$E,4,FALSE)=0),AC952,DAY(AC952)&amp;"."&amp;MONTH(AC952)&amp;"."&amp;YEAR(AC952)&amp;" "&amp;$V$4&amp;VLOOKUP(C952,[1]List1!$A:$E,4,FALSE)&amp;" "&amp;$V$1),AC952))))</f>
        <v>SKLADEM</v>
      </c>
      <c r="AE952" s="729" t="str">
        <f t="shared" ca="1" si="2406"/>
        <v>SKLADEM</v>
      </c>
      <c r="AF952" s="735">
        <f t="shared" si="2407"/>
        <v>0</v>
      </c>
      <c r="AG952" s="735">
        <f t="shared" si="2408"/>
        <v>0</v>
      </c>
      <c r="AH952" s="736">
        <f t="shared" si="2409"/>
        <v>0</v>
      </c>
      <c r="AI952" s="729">
        <f t="shared" si="2410"/>
        <v>0</v>
      </c>
      <c r="AJ952" s="729">
        <f t="shared" si="2411"/>
        <v>0</v>
      </c>
      <c r="AK952" s="729" t="str">
        <f t="shared" si="2412"/>
        <v/>
      </c>
      <c r="AL952" s="729">
        <f t="shared" si="2413"/>
        <v>0</v>
      </c>
      <c r="AM952" s="729" t="str">
        <f t="shared" si="2414"/>
        <v/>
      </c>
      <c r="AN952" s="729">
        <f t="shared" si="2415"/>
        <v>0</v>
      </c>
      <c r="AO952" s="380"/>
      <c r="AP952" s="322" t="str">
        <f t="shared" si="2282"/>
        <v/>
      </c>
      <c r="AQ952" s="323" t="str">
        <f>IF(AC952=$V$3,IF(VLOOKUP(C952,[1]List1!$A:$E,5,FALSE)=0,1,VLOOKUP(C952,[1]List1!$A:$E,5,FALSE)),"")</f>
        <v/>
      </c>
      <c r="AR952" s="304" t="str">
        <f t="shared" si="2283"/>
        <v/>
      </c>
      <c r="AS952" s="423" t="str">
        <f t="shared" si="2284"/>
        <v/>
      </c>
      <c r="AT952" s="304" t="str">
        <f t="shared" si="2285"/>
        <v/>
      </c>
      <c r="AU952" s="342" t="e">
        <f t="shared" si="2286"/>
        <v>#N/A</v>
      </c>
      <c r="AV952" s="304" t="e">
        <f t="shared" si="2287"/>
        <v>#N/A</v>
      </c>
      <c r="AX952" s="304">
        <f>IF(AND('General price list'!$J952="F4",'General price list'!$AB952+0&gt;0),1,0)</f>
        <v>0</v>
      </c>
      <c r="AY952" s="304">
        <f t="shared" si="2288"/>
        <v>1</v>
      </c>
      <c r="AZ952" s="304">
        <f t="shared" si="2289"/>
        <v>0</v>
      </c>
    </row>
    <row r="953" spans="1:52" ht="15" customHeight="1">
      <c r="A953" s="773" t="str">
        <f>Kat.!C950</f>
        <v xml:space="preserve">                                                               Vystřelovací trubice 30mm</v>
      </c>
      <c r="B953" s="774"/>
      <c r="C953" s="774"/>
      <c r="D953" s="774"/>
      <c r="E953" s="774"/>
      <c r="F953" s="774"/>
      <c r="G953" s="774"/>
      <c r="H953" s="774"/>
      <c r="I953" s="774"/>
      <c r="J953" s="774"/>
      <c r="K953" s="774"/>
      <c r="L953" s="774"/>
      <c r="M953" s="774"/>
      <c r="N953" s="774"/>
      <c r="O953" s="774"/>
      <c r="P953" s="774"/>
      <c r="Q953" s="774"/>
      <c r="R953" s="774"/>
      <c r="S953" s="774"/>
      <c r="T953" s="774"/>
      <c r="U953" s="774"/>
      <c r="V953" s="774"/>
      <c r="W953" s="774"/>
      <c r="X953" s="774"/>
      <c r="Y953" s="774"/>
      <c r="Z953" s="774"/>
      <c r="AA953" s="774" t="str">
        <f>IFERROR(IF(VLOOKUP(C953,[4]List1!$A:$D,4,FALSE)=0,"",VLOOKUP(C953,[4]List1!$A:$D,4,FALSE)),"")</f>
        <v/>
      </c>
      <c r="AB953" s="774"/>
      <c r="AC953" s="775" t="str">
        <f>IFERROR(IF(VLOOKUP(C953,[1]List1!$A:$D,2,FALSE)="VYPRODÁNO",$V$9,IF(VLOOKUP(C953,[1]List1!$A:$D,2,FALSE)="DOCHÁZÍ",$V$3,VLOOKUP(C953,[1]List1!$A:$D,2,FALSE))),"OFFLINE!")</f>
        <v>OFFLINE!</v>
      </c>
      <c r="AD953" s="774"/>
      <c r="AE953" s="774"/>
      <c r="AF953" s="774"/>
      <c r="AG953" s="774"/>
      <c r="AH953" s="774"/>
      <c r="AI953" s="774"/>
      <c r="AJ953" s="774"/>
      <c r="AK953" s="774"/>
      <c r="AL953" s="774"/>
      <c r="AM953" s="774"/>
      <c r="AN953" s="774"/>
      <c r="AO953" s="380"/>
      <c r="AP953" s="322" t="str">
        <f t="shared" si="2282"/>
        <v/>
      </c>
      <c r="AQ953" s="323" t="str">
        <f>IF(AC953=$V$3,IF(VLOOKUP(C953,[1]List1!$A:$E,5,FALSE)=0,1,VLOOKUP(C953,[1]List1!$A:$E,5,FALSE)),"")</f>
        <v/>
      </c>
      <c r="AR953" s="304" t="str">
        <f t="shared" si="2283"/>
        <v/>
      </c>
      <c r="AS953" s="423" t="str">
        <f t="shared" si="2284"/>
        <v/>
      </c>
      <c r="AT953" s="304" t="str">
        <f t="shared" si="2285"/>
        <v/>
      </c>
      <c r="AU953" s="342" t="e">
        <f t="shared" si="2286"/>
        <v>#N/A</v>
      </c>
      <c r="AV953" s="304" t="e">
        <f t="shared" si="2287"/>
        <v>#N/A</v>
      </c>
      <c r="AX953" s="304">
        <f>IF(AND('General price list'!$J953="F4",'General price list'!$AB953+0&gt;0),1,0)</f>
        <v>0</v>
      </c>
      <c r="AY953" s="304">
        <f t="shared" si="2288"/>
        <v>0</v>
      </c>
      <c r="AZ953" s="304">
        <f t="shared" si="2289"/>
        <v>0</v>
      </c>
    </row>
    <row r="954" spans="1:52" ht="15" customHeight="1">
      <c r="A954" s="725" t="str">
        <f>Kat.!C951</f>
        <v>×</v>
      </c>
      <c r="B954" s="741">
        <f>IF(AND('General price list'!$J954="F4",$AI$1=FALSE),0,IF(AC954="SKLADEM",1,IF(AC954=$V$3,1,0)))</f>
        <v>1</v>
      </c>
      <c r="C954" s="727" t="s">
        <v>1761</v>
      </c>
      <c r="D954" s="728" t="s">
        <v>1752</v>
      </c>
      <c r="E954" s="729" t="s">
        <v>1760</v>
      </c>
      <c r="F954" s="725">
        <f>IFERROR(ROUND(IF($AL$3=2,VLOOKUP(C954,[2]List1!$A:$D,2,FALSE)*1.08,VLOOKUP(C954,[2]List1!$A:$D,2,FALSE)),0),"NEUVEDENO!")</f>
        <v>799</v>
      </c>
      <c r="G954" s="730">
        <f t="shared" ref="G954:G956" si="2416">(F954)*$B$19</f>
        <v>799</v>
      </c>
      <c r="H954" s="731">
        <f t="shared" ref="H954:H956" si="2417">G954/$F$19</f>
        <v>32.467928269853594</v>
      </c>
      <c r="I954" s="742">
        <v>5</v>
      </c>
      <c r="J954" s="729" t="s">
        <v>137</v>
      </c>
      <c r="K954" s="729" t="s">
        <v>12771</v>
      </c>
      <c r="L954" s="729" t="s">
        <v>24</v>
      </c>
      <c r="M954" s="729" t="s">
        <v>25</v>
      </c>
      <c r="N954" s="729">
        <f>IFERROR(VLOOKUP(C954,[3]List1!$A:$D,4,FALSE),"N/A!")</f>
        <v>4.5099999999999994E-2</v>
      </c>
      <c r="O954" s="729">
        <f>IFERROR(VLOOKUP(C954,[3]List1!$A:$D,3,FALSE),"N/A!")</f>
        <v>2000</v>
      </c>
      <c r="P954" s="729">
        <f>IFERROR(VLOOKUP(C954,[3]List1!$A:$D,2,FALSE),"N/A!")</f>
        <v>13000</v>
      </c>
      <c r="Q954" s="729" t="s">
        <v>14299</v>
      </c>
      <c r="R954" s="729" t="s">
        <v>24</v>
      </c>
      <c r="S954" s="729" t="s">
        <v>14402</v>
      </c>
      <c r="T954" s="729"/>
      <c r="U954" s="729">
        <v>40</v>
      </c>
      <c r="V954" s="729">
        <v>30</v>
      </c>
      <c r="W954" s="729" t="str">
        <f>IFERROR(VLOOKUP('General price list'!$C954,Popisy!A:P,MATCH($W$17,Popisy!$A$7:$P$7,0),FALSE),"---------------")</f>
        <v>green glitter willow tail</v>
      </c>
      <c r="X954" s="729" t="str">
        <f t="shared" ref="X954:X956" si="2418">IF(AB954&lt;0.0001,"",AB954)</f>
        <v/>
      </c>
      <c r="Y954" s="729" t="str">
        <f t="shared" ref="Y954:Y956" si="2419">IF($AL$3=2,IF(OR(AB954&lt;&gt;"",AB954&lt;&gt;0),AU954,""),IF(C954="","",IF(AB954&lt;0.0001,"",IF(B954=0,"",IF(AQ954&lt;AB954,"",AB954)))))</f>
        <v/>
      </c>
      <c r="Z954" s="729" t="str">
        <f>HYPERLINK("https://www.klasekpyrotechnics.cz/ss30g")</f>
        <v>https://www.klasekpyrotechnics.cz/ss30g</v>
      </c>
      <c r="AA954" s="729">
        <f>IFERROR(IF(VLOOKUP(C954,[4]List1!$A:$D,4,FALSE)=0,"",VLOOKUP(C954,[4]List1!$A:$D,4,FALSE)),"")</f>
        <v>20</v>
      </c>
      <c r="AB954" s="720"/>
      <c r="AC954" s="743" t="str">
        <f>IFERROR(IF(VLOOKUP(C954,[1]List1!$A:$D,2,FALSE)="VYPRODÁNO",$V$9,IF(VLOOKUP(C954,[1]List1!$A:$D,2,FALSE)="DOCHÁZÍ",$V$3,VLOOKUP(C954,[1]List1!$A:$D,2,FALSE))),"OFFLINE!")</f>
        <v>SKLADEM</v>
      </c>
      <c r="AD954" s="744" t="str">
        <f ca="1">IF(AP954="NE",$V$10,IF(AC954=$V$3,IF(AQ954&lt;1,$V$8,$V$2&amp;" "&amp;AQ954&amp;" "&amp;$V$1),IF(AC954="SKLADEM",$V$6,IFERROR(IF(OR(AC954-TODAY()&gt;45,VLOOKUP(C954,[1]List1!$A:$E,4,FALSE)=0),AC954,DAY(AC954)&amp;"."&amp;MONTH(AC954)&amp;"."&amp;YEAR(AC954)&amp;" "&amp;$V$4&amp;VLOOKUP(C954,[1]List1!$A:$E,4,FALSE)&amp;" "&amp;$V$1),AC954))))</f>
        <v>SKLADEM</v>
      </c>
      <c r="AE954" s="729" t="str">
        <f t="shared" ref="AE954:AE956" ca="1" si="2420">IFERROR(IF(AV954&lt;&gt;"",AV954,AD954),AD954)</f>
        <v>SKLADEM</v>
      </c>
      <c r="AF954" s="735">
        <f t="shared" ref="AF954:AF956" si="2421">IFERROR(IF(AB954=Y954,G954*I954*Y954,0),0)</f>
        <v>0</v>
      </c>
      <c r="AG954" s="735">
        <f t="shared" ref="AG954:AG956" si="2422">IF($W$17=$AF$8,AH954*1.23,AF954*1.21)</f>
        <v>0</v>
      </c>
      <c r="AH954" s="736">
        <f t="shared" ref="AH954:AH956" si="2423">IFERROR(IF(Y954=AB954,H954*I954*Y954,0),0)</f>
        <v>0</v>
      </c>
      <c r="AI954" s="729">
        <f t="shared" ref="AI954:AI956" si="2424">IFERROR(IF(Y954=AB954,(P954*Y954)/1000,1),0)</f>
        <v>0</v>
      </c>
      <c r="AJ954" s="729">
        <f t="shared" ref="AJ954:AJ956" si="2425">IFERROR(IF(Y954=AB954,N954*Y954,0.1),0)</f>
        <v>0</v>
      </c>
      <c r="AK954" s="729" t="str">
        <f t="shared" ref="AK954:AK956" si="2426">IFERROR(IF(Y954=AB954,IF(M954="1.1G",(O954/1000)*Y954,""),""),0)</f>
        <v/>
      </c>
      <c r="AL954" s="729" t="str">
        <f t="shared" ref="AL954:AL956" si="2427">IFERROR(IF(Y954=AB954,IF(M954="1.3G",(O954/1000)*AB954,""),""),0)</f>
        <v/>
      </c>
      <c r="AM954" s="729">
        <f t="shared" ref="AM954:AM956" si="2428">IFERROR(IF(Y954=AB954,IF(M954="1.4G",(O954/1000)*AB954,""),""),0)</f>
        <v>0</v>
      </c>
      <c r="AN954" s="729">
        <f t="shared" ref="AN954:AN956" si="2429">SUM(AK954:AM954)</f>
        <v>0</v>
      </c>
      <c r="AO954" s="380"/>
      <c r="AP954" s="322" t="str">
        <f t="shared" si="2282"/>
        <v/>
      </c>
      <c r="AQ954" s="323" t="str">
        <f>IF(AC954=$V$3,IF(VLOOKUP(C954,[1]List1!$A:$E,5,FALSE)=0,1,VLOOKUP(C954,[1]List1!$A:$E,5,FALSE)),"")</f>
        <v/>
      </c>
      <c r="AR954" s="304" t="str">
        <f t="shared" si="2283"/>
        <v/>
      </c>
      <c r="AS954" s="423" t="str">
        <f t="shared" si="2284"/>
        <v/>
      </c>
      <c r="AT954" s="304" t="str">
        <f t="shared" si="2285"/>
        <v/>
      </c>
      <c r="AU954" s="342" t="e">
        <f t="shared" si="2286"/>
        <v>#N/A</v>
      </c>
      <c r="AV954" s="304" t="e">
        <f t="shared" si="2287"/>
        <v>#N/A</v>
      </c>
      <c r="AX954" s="304">
        <f>IF(AND('General price list'!$J954="F4",'General price list'!$AB954+0&gt;0),1,0)</f>
        <v>0</v>
      </c>
      <c r="AY954" s="304">
        <f t="shared" si="2288"/>
        <v>1</v>
      </c>
      <c r="AZ954" s="304">
        <f t="shared" si="2289"/>
        <v>0</v>
      </c>
    </row>
    <row r="955" spans="1:52" ht="15" customHeight="1">
      <c r="A955" s="712" t="str">
        <f>Kat.!C952</f>
        <v>×</v>
      </c>
      <c r="B955" s="745">
        <f>IF(AND('General price list'!$J955="F4",$AI$1=FALSE),0,IF(AC955="SKLADEM",1,IF(AC955=$V$3,1,0)))</f>
        <v>1</v>
      </c>
      <c r="C955" s="714" t="s">
        <v>2622</v>
      </c>
      <c r="D955" s="715" t="s">
        <v>1755</v>
      </c>
      <c r="E955" s="716" t="s">
        <v>1760</v>
      </c>
      <c r="F955" s="712">
        <f>IFERROR(ROUND(IF($AL$3=2,VLOOKUP(C955,[2]List1!$A:$D,2,FALSE)*1.08,VLOOKUP(C955,[2]List1!$A:$D,2,FALSE)),0),"NEUVEDENO!")</f>
        <v>799</v>
      </c>
      <c r="G955" s="717">
        <f t="shared" si="2416"/>
        <v>799</v>
      </c>
      <c r="H955" s="718">
        <f t="shared" si="2417"/>
        <v>32.467928269853594</v>
      </c>
      <c r="I955" s="746">
        <v>5</v>
      </c>
      <c r="J955" s="716" t="s">
        <v>137</v>
      </c>
      <c r="K955" s="716" t="s">
        <v>12771</v>
      </c>
      <c r="L955" s="716" t="s">
        <v>24</v>
      </c>
      <c r="M955" s="716" t="s">
        <v>25</v>
      </c>
      <c r="N955" s="716">
        <f>IFERROR(VLOOKUP(C955,[3]List1!$A:$D,4,FALSE),"N/A!")</f>
        <v>4.5099999999999994E-2</v>
      </c>
      <c r="O955" s="716">
        <f>IFERROR(VLOOKUP(C955,[3]List1!$A:$D,3,FALSE),"N/A!")</f>
        <v>2000</v>
      </c>
      <c r="P955" s="716">
        <f>IFERROR(VLOOKUP(C955,[3]List1!$A:$D,2,FALSE),"N/A!")</f>
        <v>11900</v>
      </c>
      <c r="Q955" s="716" t="s">
        <v>14299</v>
      </c>
      <c r="R955" s="716" t="s">
        <v>24</v>
      </c>
      <c r="S955" s="716" t="s">
        <v>14401</v>
      </c>
      <c r="T955" s="716"/>
      <c r="U955" s="716">
        <v>40</v>
      </c>
      <c r="V955" s="716">
        <v>30</v>
      </c>
      <c r="W955" s="716" t="str">
        <f>IFERROR(VLOOKUP('General price list'!$C955,Popisy!A:P,MATCH($W$17,Popisy!$A$7:$P$7,0),FALSE),"---------------")</f>
        <v>silver glitter willow tail</v>
      </c>
      <c r="X955" s="716" t="str">
        <f t="shared" si="2418"/>
        <v/>
      </c>
      <c r="Y955" s="716" t="str">
        <f t="shared" si="2419"/>
        <v/>
      </c>
      <c r="Z955" s="716" t="str">
        <f>HYPERLINK("https://www.klasekpyrotechnics.cz/ss30h")</f>
        <v>https://www.klasekpyrotechnics.cz/ss30h</v>
      </c>
      <c r="AA955" s="716">
        <f>IFERROR(IF(VLOOKUP(C955,[4]List1!$A:$D,4,FALSE)=0,"",VLOOKUP(C955,[4]List1!$A:$D,4,FALSE)),"")</f>
        <v>20</v>
      </c>
      <c r="AB955" s="720"/>
      <c r="AC955" s="747" t="str">
        <f>IFERROR(IF(VLOOKUP(C955,[1]List1!$A:$D,2,FALSE)="VYPRODÁNO",$V$9,IF(VLOOKUP(C955,[1]List1!$A:$D,2,FALSE)="DOCHÁZÍ",$V$3,VLOOKUP(C955,[1]List1!$A:$D,2,FALSE))),"OFFLINE!")</f>
        <v>SKLADEM</v>
      </c>
      <c r="AD955" s="748" t="str">
        <f ca="1">IF(AP955="NE",$V$10,IF(AC955=$V$3,IF(AQ955&lt;1,$V$8,$V$2&amp;" "&amp;AQ955&amp;" "&amp;$V$1),IF(AC955="SKLADEM",$V$6,IFERROR(IF(OR(AC955-TODAY()&gt;45,VLOOKUP(C955,[1]List1!$A:$E,4,FALSE)=0),AC955,DAY(AC955)&amp;"."&amp;MONTH(AC955)&amp;"."&amp;YEAR(AC955)&amp;" "&amp;$V$4&amp;VLOOKUP(C955,[1]List1!$A:$E,4,FALSE)&amp;" "&amp;$V$1),AC955))))</f>
        <v>SKLADEM</v>
      </c>
      <c r="AE955" s="716" t="str">
        <f t="shared" ca="1" si="2420"/>
        <v>SKLADEM</v>
      </c>
      <c r="AF955" s="723">
        <f t="shared" si="2421"/>
        <v>0</v>
      </c>
      <c r="AG955" s="723">
        <f t="shared" si="2422"/>
        <v>0</v>
      </c>
      <c r="AH955" s="724">
        <f t="shared" si="2423"/>
        <v>0</v>
      </c>
      <c r="AI955" s="716">
        <f t="shared" si="2424"/>
        <v>0</v>
      </c>
      <c r="AJ955" s="716">
        <f t="shared" si="2425"/>
        <v>0</v>
      </c>
      <c r="AK955" s="716" t="str">
        <f t="shared" si="2426"/>
        <v/>
      </c>
      <c r="AL955" s="716" t="str">
        <f t="shared" si="2427"/>
        <v/>
      </c>
      <c r="AM955" s="716">
        <f t="shared" si="2428"/>
        <v>0</v>
      </c>
      <c r="AN955" s="716">
        <f t="shared" si="2429"/>
        <v>0</v>
      </c>
      <c r="AO955" s="380"/>
      <c r="AP955" s="322" t="str">
        <f t="shared" si="2282"/>
        <v/>
      </c>
      <c r="AQ955" s="323" t="str">
        <f>IF(AC955=$V$3,IF(VLOOKUP(C955,[1]List1!$A:$E,5,FALSE)=0,1,VLOOKUP(C955,[1]List1!$A:$E,5,FALSE)),"")</f>
        <v/>
      </c>
      <c r="AR955" s="304" t="str">
        <f t="shared" si="2283"/>
        <v/>
      </c>
      <c r="AS955" s="423" t="str">
        <f t="shared" si="2284"/>
        <v/>
      </c>
      <c r="AT955" s="304" t="str">
        <f t="shared" si="2285"/>
        <v/>
      </c>
      <c r="AU955" s="342" t="e">
        <f t="shared" si="2286"/>
        <v>#N/A</v>
      </c>
      <c r="AV955" s="304" t="e">
        <f t="shared" si="2287"/>
        <v>#N/A</v>
      </c>
      <c r="AX955" s="304">
        <f>IF(AND('General price list'!$J955="F4",'General price list'!$AB955+0&gt;0),1,0)</f>
        <v>0</v>
      </c>
      <c r="AY955" s="304">
        <f t="shared" si="2288"/>
        <v>1</v>
      </c>
      <c r="AZ955" s="304">
        <f t="shared" si="2289"/>
        <v>0</v>
      </c>
    </row>
    <row r="956" spans="1:52" ht="15" customHeight="1">
      <c r="A956" s="725" t="str">
        <f>Kat.!C953</f>
        <v>×</v>
      </c>
      <c r="B956" s="749">
        <f>IF(AND('General price list'!$J956="F4",$AI$1=FALSE),0,IF(AC956="SKLADEM",1,IF(AC956=$V$3,1,0)))</f>
        <v>1</v>
      </c>
      <c r="C956" s="727" t="s">
        <v>1762</v>
      </c>
      <c r="D956" s="728" t="s">
        <v>1758</v>
      </c>
      <c r="E956" s="729" t="s">
        <v>1760</v>
      </c>
      <c r="F956" s="725">
        <f>IFERROR(ROUND(IF($AL$3=2,VLOOKUP(C956,[2]List1!$A:$D,2,FALSE)*1.08,VLOOKUP(C956,[2]List1!$A:$D,2,FALSE)),0),"NEUVEDENO!")</f>
        <v>799</v>
      </c>
      <c r="G956" s="730">
        <f t="shared" si="2416"/>
        <v>799</v>
      </c>
      <c r="H956" s="731">
        <f t="shared" si="2417"/>
        <v>32.467928269853594</v>
      </c>
      <c r="I956" s="750">
        <v>5</v>
      </c>
      <c r="J956" s="729" t="s">
        <v>137</v>
      </c>
      <c r="K956" s="729" t="s">
        <v>12771</v>
      </c>
      <c r="L956" s="729" t="s">
        <v>24</v>
      </c>
      <c r="M956" s="729" t="s">
        <v>25</v>
      </c>
      <c r="N956" s="729">
        <f>IFERROR(VLOOKUP(C956,[3]List1!$A:$D,4,FALSE),"N/A!")</f>
        <v>4.5099999999999994E-2</v>
      </c>
      <c r="O956" s="729">
        <f>IFERROR(VLOOKUP(C956,[3]List1!$A:$D,3,FALSE),"N/A!")</f>
        <v>2000</v>
      </c>
      <c r="P956" s="729">
        <f>IFERROR(VLOOKUP(C956,[3]List1!$A:$D,2,FALSE),"N/A!")</f>
        <v>12000</v>
      </c>
      <c r="Q956" s="729" t="s">
        <v>14299</v>
      </c>
      <c r="R956" s="729" t="s">
        <v>24</v>
      </c>
      <c r="S956" s="729" t="s">
        <v>14401</v>
      </c>
      <c r="T956" s="729"/>
      <c r="U956" s="729">
        <v>40</v>
      </c>
      <c r="V956" s="729">
        <v>30</v>
      </c>
      <c r="W956" s="729" t="str">
        <f>IFERROR(VLOOKUP('General price list'!$C956,Popisy!A:P,MATCH($W$17,Popisy!$A$7:$P$7,0),FALSE),"---------------")</f>
        <v>crackling tail</v>
      </c>
      <c r="X956" s="729" t="str">
        <f t="shared" si="2418"/>
        <v/>
      </c>
      <c r="Y956" s="729" t="str">
        <f t="shared" si="2419"/>
        <v/>
      </c>
      <c r="Z956" s="729" t="str">
        <f>HYPERLINK("https://www.klasekpyrotechnics.cz/ss30ch")</f>
        <v>https://www.klasekpyrotechnics.cz/ss30ch</v>
      </c>
      <c r="AA956" s="729">
        <f>IFERROR(IF(VLOOKUP(C956,[4]List1!$A:$D,4,FALSE)=0,"",VLOOKUP(C956,[4]List1!$A:$D,4,FALSE)),"")</f>
        <v>20</v>
      </c>
      <c r="AB956" s="720"/>
      <c r="AC956" s="751" t="str">
        <f>IFERROR(IF(VLOOKUP(C956,[1]List1!$A:$D,2,FALSE)="VYPRODÁNO",$V$9,IF(VLOOKUP(C956,[1]List1!$A:$D,2,FALSE)="DOCHÁZÍ",$V$3,VLOOKUP(C956,[1]List1!$A:$D,2,FALSE))),"OFFLINE!")</f>
        <v>DOCHÁZÍ</v>
      </c>
      <c r="AD956" s="752" t="str">
        <f ca="1">IF(AP956="NE",$V$10,IF(AC956=$V$3,IF(AQ956&lt;1,$V$8,$V$2&amp;" "&amp;AQ956&amp;" "&amp;$V$1),IF(AC956="SKLADEM",$V$6,IFERROR(IF(OR(AC956-TODAY()&gt;45,VLOOKUP(C956,[1]List1!$A:$E,4,FALSE)=0),AC956,DAY(AC956)&amp;"."&amp;MONTH(AC956)&amp;"."&amp;YEAR(AC956)&amp;" "&amp;$V$4&amp;VLOOKUP(C956,[1]List1!$A:$E,4,FALSE)&amp;" "&amp;$V$1),AC956))))</f>
        <v>POSLEDNÍCH 2 VK</v>
      </c>
      <c r="AE956" s="729" t="str">
        <f t="shared" ca="1" si="2420"/>
        <v>POSLEDNÍCH 2 VK</v>
      </c>
      <c r="AF956" s="735">
        <f t="shared" si="2421"/>
        <v>0</v>
      </c>
      <c r="AG956" s="735">
        <f t="shared" si="2422"/>
        <v>0</v>
      </c>
      <c r="AH956" s="736">
        <f t="shared" si="2423"/>
        <v>0</v>
      </c>
      <c r="AI956" s="729">
        <f t="shared" si="2424"/>
        <v>0</v>
      </c>
      <c r="AJ956" s="729">
        <f t="shared" si="2425"/>
        <v>0</v>
      </c>
      <c r="AK956" s="729" t="str">
        <f t="shared" si="2426"/>
        <v/>
      </c>
      <c r="AL956" s="729" t="str">
        <f t="shared" si="2427"/>
        <v/>
      </c>
      <c r="AM956" s="729">
        <f t="shared" si="2428"/>
        <v>0</v>
      </c>
      <c r="AN956" s="729">
        <f t="shared" si="2429"/>
        <v>0</v>
      </c>
      <c r="AO956" s="380"/>
      <c r="AP956" s="322" t="str">
        <f t="shared" si="2282"/>
        <v/>
      </c>
      <c r="AQ956" s="323">
        <f>IF(AC956=$V$3,IF(VLOOKUP(C956,[1]List1!$A:$E,5,FALSE)=0,1,VLOOKUP(C956,[1]List1!$A:$E,5,FALSE)),"")</f>
        <v>2</v>
      </c>
      <c r="AR956" s="304" t="str">
        <f t="shared" si="2283"/>
        <v/>
      </c>
      <c r="AS956" s="423" t="str">
        <f t="shared" si="2284"/>
        <v/>
      </c>
      <c r="AT956" s="304" t="str">
        <f t="shared" si="2285"/>
        <v/>
      </c>
      <c r="AU956" s="342" t="e">
        <f t="shared" si="2286"/>
        <v>#N/A</v>
      </c>
      <c r="AV956" s="304" t="e">
        <f t="shared" si="2287"/>
        <v>#N/A</v>
      </c>
      <c r="AX956" s="304">
        <f>IF(AND('General price list'!$J956="F4",'General price list'!$AB956+0&gt;0),1,0)</f>
        <v>0</v>
      </c>
      <c r="AY956" s="304">
        <f t="shared" si="2288"/>
        <v>1</v>
      </c>
      <c r="AZ956" s="304">
        <f t="shared" si="2289"/>
        <v>0</v>
      </c>
    </row>
    <row r="957" spans="1:52" ht="15" customHeight="1">
      <c r="A957" s="773" t="str">
        <f>Kat.!C954</f>
        <v xml:space="preserve">                                                               Vystřelovací trubice 50mm</v>
      </c>
      <c r="B957" s="774"/>
      <c r="C957" s="774"/>
      <c r="D957" s="774"/>
      <c r="E957" s="774"/>
      <c r="F957" s="774"/>
      <c r="G957" s="774"/>
      <c r="H957" s="774"/>
      <c r="I957" s="774"/>
      <c r="J957" s="774"/>
      <c r="K957" s="774"/>
      <c r="L957" s="774"/>
      <c r="M957" s="774"/>
      <c r="N957" s="774"/>
      <c r="O957" s="774"/>
      <c r="P957" s="774"/>
      <c r="Q957" s="774"/>
      <c r="R957" s="774"/>
      <c r="S957" s="774"/>
      <c r="T957" s="774"/>
      <c r="U957" s="774"/>
      <c r="V957" s="774"/>
      <c r="W957" s="774"/>
      <c r="X957" s="774"/>
      <c r="Y957" s="774"/>
      <c r="Z957" s="774"/>
      <c r="AA957" s="774" t="str">
        <f>IFERROR(IF(VLOOKUP(C957,[4]List1!$A:$D,4,FALSE)=0,"",VLOOKUP(C957,[4]List1!$A:$D,4,FALSE)),"")</f>
        <v/>
      </c>
      <c r="AB957" s="774"/>
      <c r="AC957" s="775" t="str">
        <f>IFERROR(IF(VLOOKUP(C957,[1]List1!$A:$D,2,FALSE)="VYPRODÁNO",$V$9,IF(VLOOKUP(C957,[1]List1!$A:$D,2,FALSE)="DOCHÁZÍ",$V$3,VLOOKUP(C957,[1]List1!$A:$D,2,FALSE))),"OFFLINE!")</f>
        <v>OFFLINE!</v>
      </c>
      <c r="AD957" s="774"/>
      <c r="AE957" s="774"/>
      <c r="AF957" s="774"/>
      <c r="AG957" s="774"/>
      <c r="AH957" s="774"/>
      <c r="AI957" s="774"/>
      <c r="AJ957" s="774"/>
      <c r="AK957" s="774"/>
      <c r="AL957" s="774"/>
      <c r="AM957" s="774"/>
      <c r="AN957" s="774"/>
      <c r="AO957" s="380"/>
      <c r="AP957" s="322" t="str">
        <f t="shared" si="2282"/>
        <v/>
      </c>
      <c r="AQ957" s="323" t="str">
        <f>IF(AC957=$V$3,IF(VLOOKUP(C957,[1]List1!$A:$E,5,FALSE)=0,1,VLOOKUP(C957,[1]List1!$A:$E,5,FALSE)),"")</f>
        <v/>
      </c>
      <c r="AR957" s="304" t="str">
        <f t="shared" si="2283"/>
        <v/>
      </c>
      <c r="AS957" s="423" t="str">
        <f t="shared" si="2284"/>
        <v/>
      </c>
      <c r="AT957" s="304" t="str">
        <f t="shared" si="2285"/>
        <v/>
      </c>
      <c r="AU957" s="342" t="e">
        <f t="shared" si="2286"/>
        <v>#N/A</v>
      </c>
      <c r="AV957" s="304" t="e">
        <f t="shared" si="2287"/>
        <v>#N/A</v>
      </c>
      <c r="AX957" s="304">
        <f>IF(AND('General price list'!$J957="F4",'General price list'!$AB957+0&gt;0),1,0)</f>
        <v>0</v>
      </c>
      <c r="AY957" s="304">
        <f t="shared" si="2288"/>
        <v>0</v>
      </c>
      <c r="AZ957" s="304">
        <f t="shared" si="2289"/>
        <v>0</v>
      </c>
    </row>
    <row r="958" spans="1:52" ht="15" customHeight="1">
      <c r="A958" s="725" t="str">
        <f>Kat.!C955</f>
        <v>×</v>
      </c>
      <c r="B958" s="741">
        <f>IF(AND('General price list'!$J958="F4",$AI$1=FALSE),0,IF(AC958="SKLADEM",1,IF(AC958=$V$3,1,0)))</f>
        <v>1</v>
      </c>
      <c r="C958" s="727" t="s">
        <v>1763</v>
      </c>
      <c r="D958" s="728" t="s">
        <v>1764</v>
      </c>
      <c r="E958" s="729" t="s">
        <v>900</v>
      </c>
      <c r="F958" s="725">
        <f>IFERROR(ROUND(IF($AL$3=2,VLOOKUP(C958,[2]List1!$A:$D,2,FALSE)*1.08,VLOOKUP(C958,[2]List1!$A:$D,2,FALSE)),0),"NEUVEDENO!")</f>
        <v>459</v>
      </c>
      <c r="G958" s="730">
        <f t="shared" ref="G958:G959" si="2430">(F958)*$B$19</f>
        <v>459</v>
      </c>
      <c r="H958" s="731">
        <f t="shared" ref="H958:H959" si="2431">G958/$F$19</f>
        <v>18.651788580554189</v>
      </c>
      <c r="I958" s="742">
        <v>10</v>
      </c>
      <c r="J958" s="729" t="s">
        <v>137</v>
      </c>
      <c r="K958" s="729" t="s">
        <v>12771</v>
      </c>
      <c r="L958" s="729"/>
      <c r="M958" s="729" t="s">
        <v>138</v>
      </c>
      <c r="N958" s="729">
        <f>IFERROR(VLOOKUP(C958,[3]List1!$A:$D,4,FALSE),"N/A!")</f>
        <v>5.6644000000000007E-2</v>
      </c>
      <c r="O958" s="729">
        <f>IFERROR(VLOOKUP(C958,[3]List1!$A:$D,3,FALSE),"N/A!")</f>
        <v>1600</v>
      </c>
      <c r="P958" s="729">
        <f>IFERROR(VLOOKUP(C958,[3]List1!$A:$D,2,FALSE),"N/A!")</f>
        <v>12300</v>
      </c>
      <c r="Q958" s="729" t="s">
        <v>14300</v>
      </c>
      <c r="R958" s="729" t="s">
        <v>24</v>
      </c>
      <c r="S958" s="729" t="s">
        <v>14401</v>
      </c>
      <c r="T958" s="729"/>
      <c r="U958" s="729">
        <v>60</v>
      </c>
      <c r="V958" s="729">
        <v>40</v>
      </c>
      <c r="W958" s="729" t="str">
        <f>IFERROR(VLOOKUP('General price list'!$C958,Popisy!A:P,MATCH($W$17,Popisy!$A$7:$P$7,0),FALSE),"---------------")</f>
        <v>sea blue+red glitter mine</v>
      </c>
      <c r="X958" s="729" t="str">
        <f t="shared" ref="X958:X959" si="2432">IF(AB958&lt;0.0001,"",AB958)</f>
        <v/>
      </c>
      <c r="Y958" s="729" t="str">
        <f t="shared" ref="Y958:Y959" si="2433">IF($AL$3=2,IF(OR(AB958&lt;&gt;"",AB958&lt;&gt;0),AU958,""),IF(C958="","",IF(AB958&lt;0.0001,"",IF(B958=0,"",IF(AQ958&lt;AB958,"",AB958)))))</f>
        <v/>
      </c>
      <c r="Z958" s="729" t="str">
        <f>HYPERLINK("https://www.klasekpyrotechnics.cz/ss50f")</f>
        <v>https://www.klasekpyrotechnics.cz/ss50f</v>
      </c>
      <c r="AA958" s="729">
        <f>IFERROR(IF(VLOOKUP(C958,[4]List1!$A:$D,4,FALSE)=0,"",VLOOKUP(C958,[4]List1!$A:$D,4,FALSE)),"")</f>
        <v>20</v>
      </c>
      <c r="AB958" s="720"/>
      <c r="AC958" s="743" t="str">
        <f>IFERROR(IF(VLOOKUP(C958,[1]List1!$A:$D,2,FALSE)="VYPRODÁNO",$V$9,IF(VLOOKUP(C958,[1]List1!$A:$D,2,FALSE)="DOCHÁZÍ",$V$3,VLOOKUP(C958,[1]List1!$A:$D,2,FALSE))),"OFFLINE!")</f>
        <v>DOCHÁZÍ</v>
      </c>
      <c r="AD958" s="744" t="str">
        <f ca="1">IF(AP958="NE",$V$10,IF(AC958=$V$3,IF(AQ958&lt;1,$V$8,$V$2&amp;" "&amp;AQ958&amp;" "&amp;$V$1),IF(AC958="SKLADEM",$V$6,IFERROR(IF(OR(AC958-TODAY()&gt;45,VLOOKUP(C958,[1]List1!$A:$E,4,FALSE)=0),AC958,DAY(AC958)&amp;"."&amp;MONTH(AC958)&amp;"."&amp;YEAR(AC958)&amp;" "&amp;$V$4&amp;VLOOKUP(C958,[1]List1!$A:$E,4,FALSE)&amp;" "&amp;$V$1),AC958))))</f>
        <v>POSLEDNÍCH 3 VK</v>
      </c>
      <c r="AE958" s="729" t="str">
        <f t="shared" ref="AE958:AE959" ca="1" si="2434">IFERROR(IF(AV958&lt;&gt;"",AV958,AD958),AD958)</f>
        <v>POSLEDNÍCH 3 VK</v>
      </c>
      <c r="AF958" s="735">
        <f t="shared" ref="AF958:AF959" si="2435">IFERROR(IF(AB958=Y958,G958*I958*Y958,0),0)</f>
        <v>0</v>
      </c>
      <c r="AG958" s="735">
        <f t="shared" ref="AG958:AG959" si="2436">IF($W$17=$AF$8,AH958*1.23,AF958*1.21)</f>
        <v>0</v>
      </c>
      <c r="AH958" s="736">
        <f t="shared" ref="AH958:AH959" si="2437">IFERROR(IF(Y958=AB958,H958*I958*Y958,0),0)</f>
        <v>0</v>
      </c>
      <c r="AI958" s="729">
        <f t="shared" ref="AI958:AI959" si="2438">IFERROR(IF(Y958=AB958,(P958*Y958)/1000,1),0)</f>
        <v>0</v>
      </c>
      <c r="AJ958" s="729">
        <f t="shared" ref="AJ958:AJ959" si="2439">IFERROR(IF(Y958=AB958,N958*Y958,0.1),0)</f>
        <v>0</v>
      </c>
      <c r="AK958" s="729" t="str">
        <f t="shared" ref="AK958:AK959" si="2440">IFERROR(IF(Y958=AB958,IF(M958="1.1G",(O958/1000)*Y958,""),""),0)</f>
        <v/>
      </c>
      <c r="AL958" s="729">
        <f t="shared" ref="AL958:AL959" si="2441">IFERROR(IF(Y958=AB958,IF(M958="1.3G",(O958/1000)*AB958,""),""),0)</f>
        <v>0</v>
      </c>
      <c r="AM958" s="729" t="str">
        <f t="shared" ref="AM958:AM959" si="2442">IFERROR(IF(Y958=AB958,IF(M958="1.4G",(O958/1000)*AB958,""),""),0)</f>
        <v/>
      </c>
      <c r="AN958" s="729">
        <f t="shared" ref="AN958:AN959" si="2443">SUM(AK958:AM958)</f>
        <v>0</v>
      </c>
      <c r="AO958" s="380"/>
      <c r="AP958" s="322" t="str">
        <f t="shared" si="2282"/>
        <v/>
      </c>
      <c r="AQ958" s="323">
        <f>IF(AC958=$V$3,IF(VLOOKUP(C958,[1]List1!$A:$E,5,FALSE)=0,1,VLOOKUP(C958,[1]List1!$A:$E,5,FALSE)),"")</f>
        <v>3</v>
      </c>
      <c r="AR958" s="304" t="str">
        <f t="shared" si="2283"/>
        <v/>
      </c>
      <c r="AS958" s="423" t="str">
        <f t="shared" si="2284"/>
        <v/>
      </c>
      <c r="AT958" s="304" t="str">
        <f t="shared" si="2285"/>
        <v/>
      </c>
      <c r="AU958" s="342" t="e">
        <f t="shared" si="2286"/>
        <v>#N/A</v>
      </c>
      <c r="AV958" s="304" t="e">
        <f t="shared" si="2287"/>
        <v>#N/A</v>
      </c>
      <c r="AX958" s="304">
        <f>IF(AND('General price list'!$J958="F4",'General price list'!$AB958+0&gt;0),1,0)</f>
        <v>0</v>
      </c>
      <c r="AY958" s="304">
        <f t="shared" si="2288"/>
        <v>1</v>
      </c>
      <c r="AZ958" s="304">
        <f t="shared" si="2289"/>
        <v>0</v>
      </c>
    </row>
    <row r="959" spans="1:52" ht="15" customHeight="1">
      <c r="A959" s="712" t="str">
        <f>Kat.!C956</f>
        <v>×</v>
      </c>
      <c r="B959" s="745">
        <f>IF(AND('General price list'!$J959="F4",$AI$1=FALSE),0,IF(AC959="SKLADEM",1,IF(AC959=$V$3,1,0)))</f>
        <v>1</v>
      </c>
      <c r="C959" s="714" t="s">
        <v>2626</v>
      </c>
      <c r="D959" s="715" t="s">
        <v>2627</v>
      </c>
      <c r="E959" s="716" t="s">
        <v>900</v>
      </c>
      <c r="F959" s="712">
        <f>IFERROR(ROUND(IF($AL$3=2,VLOOKUP(C959,[2]List1!$A:$D,2,FALSE)*1.08,VLOOKUP(C959,[2]List1!$A:$D,2,FALSE)),0),"NEUVEDENO!")</f>
        <v>459</v>
      </c>
      <c r="G959" s="717">
        <f t="shared" si="2430"/>
        <v>459</v>
      </c>
      <c r="H959" s="718">
        <f t="shared" si="2431"/>
        <v>18.651788580554189</v>
      </c>
      <c r="I959" s="746">
        <v>10</v>
      </c>
      <c r="J959" s="716" t="s">
        <v>137</v>
      </c>
      <c r="K959" s="716" t="s">
        <v>12771</v>
      </c>
      <c r="L959" s="716"/>
      <c r="M959" s="716" t="s">
        <v>138</v>
      </c>
      <c r="N959" s="716">
        <f>IFERROR(VLOOKUP(C959,[3]List1!$A:$D,4,FALSE),"N/A!")</f>
        <v>5.6644000000000007E-2</v>
      </c>
      <c r="O959" s="716">
        <f>IFERROR(VLOOKUP(C959,[3]List1!$A:$D,3,FALSE),"N/A!")</f>
        <v>1600</v>
      </c>
      <c r="P959" s="716">
        <f>IFERROR(VLOOKUP(C959,[3]List1!$A:$D,2,FALSE),"N/A!")</f>
        <v>14000</v>
      </c>
      <c r="Q959" s="716" t="s">
        <v>14300</v>
      </c>
      <c r="R959" s="716" t="s">
        <v>24</v>
      </c>
      <c r="S959" s="716" t="s">
        <v>14401</v>
      </c>
      <c r="T959" s="716"/>
      <c r="U959" s="716">
        <v>60</v>
      </c>
      <c r="V959" s="716">
        <v>40</v>
      </c>
      <c r="W959" s="716" t="str">
        <f>IFERROR(VLOOKUP('General price list'!$C959,Popisy!A:P,MATCH($W$17,Popisy!$A$7:$P$7,0),FALSE),"---------------")</f>
        <v>special color strobing mine</v>
      </c>
      <c r="X959" s="716" t="str">
        <f t="shared" si="2432"/>
        <v/>
      </c>
      <c r="Y959" s="716" t="str">
        <f t="shared" si="2433"/>
        <v/>
      </c>
      <c r="Z959" s="716" t="str">
        <f>HYPERLINK("https://www.klasekpyrotechnics.cz/ss50m")</f>
        <v>https://www.klasekpyrotechnics.cz/ss50m</v>
      </c>
      <c r="AA959" s="716">
        <f>IFERROR(IF(VLOOKUP(C959,[4]List1!$A:$D,4,FALSE)=0,"",VLOOKUP(C959,[4]List1!$A:$D,4,FALSE)),"")</f>
        <v>20</v>
      </c>
      <c r="AB959" s="720"/>
      <c r="AC959" s="747" t="str">
        <f>IFERROR(IF(VLOOKUP(C959,[1]List1!$A:$D,2,FALSE)="VYPRODÁNO",$V$9,IF(VLOOKUP(C959,[1]List1!$A:$D,2,FALSE)="DOCHÁZÍ",$V$3,VLOOKUP(C959,[1]List1!$A:$D,2,FALSE))),"OFFLINE!")</f>
        <v>SKLADEM</v>
      </c>
      <c r="AD959" s="748" t="str">
        <f ca="1">IF(AP959="NE",$V$10,IF(AC959=$V$3,IF(AQ959&lt;1,$V$8,$V$2&amp;" "&amp;AQ959&amp;" "&amp;$V$1),IF(AC959="SKLADEM",$V$6,IFERROR(IF(OR(AC959-TODAY()&gt;45,VLOOKUP(C959,[1]List1!$A:$E,4,FALSE)=0),AC959,DAY(AC959)&amp;"."&amp;MONTH(AC959)&amp;"."&amp;YEAR(AC959)&amp;" "&amp;$V$4&amp;VLOOKUP(C959,[1]List1!$A:$E,4,FALSE)&amp;" "&amp;$V$1),AC959))))</f>
        <v>SKLADEM</v>
      </c>
      <c r="AE959" s="716" t="str">
        <f t="shared" ca="1" si="2434"/>
        <v>SKLADEM</v>
      </c>
      <c r="AF959" s="723">
        <f t="shared" si="2435"/>
        <v>0</v>
      </c>
      <c r="AG959" s="723">
        <f t="shared" si="2436"/>
        <v>0</v>
      </c>
      <c r="AH959" s="724">
        <f t="shared" si="2437"/>
        <v>0</v>
      </c>
      <c r="AI959" s="716">
        <f t="shared" si="2438"/>
        <v>0</v>
      </c>
      <c r="AJ959" s="716">
        <f t="shared" si="2439"/>
        <v>0</v>
      </c>
      <c r="AK959" s="716" t="str">
        <f t="shared" si="2440"/>
        <v/>
      </c>
      <c r="AL959" s="716">
        <f t="shared" si="2441"/>
        <v>0</v>
      </c>
      <c r="AM959" s="716" t="str">
        <f t="shared" si="2442"/>
        <v/>
      </c>
      <c r="AN959" s="716">
        <f t="shared" si="2443"/>
        <v>0</v>
      </c>
      <c r="AO959" s="380"/>
      <c r="AP959" s="322" t="str">
        <f t="shared" si="2282"/>
        <v/>
      </c>
      <c r="AQ959" s="323" t="str">
        <f>IF(AC959=$V$3,IF(VLOOKUP(C959,[1]List1!$A:$E,5,FALSE)=0,1,VLOOKUP(C959,[1]List1!$A:$E,5,FALSE)),"")</f>
        <v/>
      </c>
      <c r="AR959" s="304" t="str">
        <f t="shared" si="2283"/>
        <v/>
      </c>
      <c r="AS959" s="423" t="str">
        <f t="shared" si="2284"/>
        <v/>
      </c>
      <c r="AT959" s="304" t="str">
        <f t="shared" si="2285"/>
        <v/>
      </c>
      <c r="AU959" s="342" t="e">
        <f t="shared" si="2286"/>
        <v>#N/A</v>
      </c>
      <c r="AV959" s="304" t="e">
        <f t="shared" si="2287"/>
        <v>#N/A</v>
      </c>
      <c r="AX959" s="304">
        <f>IF(AND('General price list'!$J959="F4",'General price list'!$AB959+0&gt;0),1,0)</f>
        <v>0</v>
      </c>
      <c r="AY959" s="304">
        <f t="shared" si="2288"/>
        <v>1</v>
      </c>
      <c r="AZ959" s="304">
        <f t="shared" si="2289"/>
        <v>0</v>
      </c>
    </row>
    <row r="960" spans="1:52" ht="15" customHeight="1">
      <c r="A960" s="773" t="str">
        <f>Kat.!C957</f>
        <v xml:space="preserve">                                                               Baterie 135ran, 20mm šikmý moždíř</v>
      </c>
      <c r="B960" s="774"/>
      <c r="C960" s="774"/>
      <c r="D960" s="774"/>
      <c r="E960" s="774"/>
      <c r="F960" s="774"/>
      <c r="G960" s="774"/>
      <c r="H960" s="774"/>
      <c r="I960" s="774"/>
      <c r="J960" s="774"/>
      <c r="K960" s="774"/>
      <c r="L960" s="774"/>
      <c r="M960" s="774"/>
      <c r="N960" s="774"/>
      <c r="O960" s="774"/>
      <c r="P960" s="774"/>
      <c r="Q960" s="774"/>
      <c r="R960" s="774"/>
      <c r="S960" s="774"/>
      <c r="T960" s="774"/>
      <c r="U960" s="774"/>
      <c r="V960" s="774"/>
      <c r="W960" s="774"/>
      <c r="X960" s="774"/>
      <c r="Y960" s="774"/>
      <c r="Z960" s="774"/>
      <c r="AA960" s="774" t="str">
        <f>IFERROR(IF(VLOOKUP(C960,[4]List1!$A:$D,4,FALSE)=0,"",VLOOKUP(C960,[4]List1!$A:$D,4,FALSE)),"")</f>
        <v/>
      </c>
      <c r="AB960" s="774"/>
      <c r="AC960" s="775" t="str">
        <f>IFERROR(IF(VLOOKUP(C960,[1]List1!$A:$D,2,FALSE)="VYPRODÁNO",$V$9,IF(VLOOKUP(C960,[1]List1!$A:$D,2,FALSE)="DOCHÁZÍ",$V$3,VLOOKUP(C960,[1]List1!$A:$D,2,FALSE))),"OFFLINE!")</f>
        <v>OFFLINE!</v>
      </c>
      <c r="AD960" s="774"/>
      <c r="AE960" s="774"/>
      <c r="AF960" s="774"/>
      <c r="AG960" s="774"/>
      <c r="AH960" s="774"/>
      <c r="AI960" s="774"/>
      <c r="AJ960" s="774"/>
      <c r="AK960" s="774"/>
      <c r="AL960" s="774"/>
      <c r="AM960" s="774"/>
      <c r="AN960" s="774"/>
      <c r="AO960" s="380"/>
      <c r="AP960" s="322" t="str">
        <f t="shared" si="2282"/>
        <v/>
      </c>
      <c r="AQ960" s="323" t="str">
        <f>IF(AC960=$V$3,IF(VLOOKUP(C960,[1]List1!$A:$E,5,FALSE)=0,1,VLOOKUP(C960,[1]List1!$A:$E,5,FALSE)),"")</f>
        <v/>
      </c>
      <c r="AR960" s="304" t="str">
        <f t="shared" si="2283"/>
        <v/>
      </c>
      <c r="AS960" s="423" t="str">
        <f t="shared" si="2284"/>
        <v/>
      </c>
      <c r="AT960" s="304" t="str">
        <f t="shared" si="2285"/>
        <v/>
      </c>
      <c r="AU960" s="342" t="e">
        <f t="shared" si="2286"/>
        <v>#N/A</v>
      </c>
      <c r="AV960" s="304" t="e">
        <f t="shared" si="2287"/>
        <v>#N/A</v>
      </c>
      <c r="AX960" s="304">
        <f>IF(AND('General price list'!$J960="F4",'General price list'!$AB960+0&gt;0),1,0)</f>
        <v>0</v>
      </c>
      <c r="AY960" s="304">
        <f t="shared" si="2288"/>
        <v>0</v>
      </c>
      <c r="AZ960" s="304">
        <f t="shared" si="2289"/>
        <v>0</v>
      </c>
    </row>
    <row r="961" spans="1:52" ht="15" customHeight="1">
      <c r="A961" s="712" t="str">
        <f>Kat.!C958</f>
        <v/>
      </c>
      <c r="B961" s="713">
        <f>IF(AND('General price list'!$J961="F4",$AI$1=FALSE),0,IF(AC961="SKLADEM",1,IF(AC961=$V$3,1,0)))</f>
        <v>1</v>
      </c>
      <c r="C961" s="714" t="s">
        <v>1769</v>
      </c>
      <c r="D961" s="715" t="s">
        <v>1767</v>
      </c>
      <c r="E961" s="716" t="s">
        <v>1078</v>
      </c>
      <c r="F961" s="712">
        <f>IFERROR(ROUND(IF($AL$3=2,VLOOKUP(C961,[2]List1!$A:$D,2,FALSE)*1.08,VLOOKUP(C961,[2]List1!$A:$D,2,FALSE)),0),"NEUVEDENO!")</f>
        <v>1736</v>
      </c>
      <c r="G961" s="717">
        <f t="shared" ref="G961:G968" si="2444">(F961)*$B$19</f>
        <v>1736</v>
      </c>
      <c r="H961" s="718">
        <f t="shared" ref="H961:H968" si="2445">G961/$F$19</f>
        <v>70.543583825363996</v>
      </c>
      <c r="I961" s="719">
        <v>2</v>
      </c>
      <c r="J961" s="716" t="s">
        <v>137</v>
      </c>
      <c r="K961" s="716"/>
      <c r="L961" s="716" t="s">
        <v>24</v>
      </c>
      <c r="M961" s="716" t="s">
        <v>138</v>
      </c>
      <c r="N961" s="716">
        <f>IFERROR(VLOOKUP(C961,[3]List1!$A:$D,4,FALSE),"N/A!")</f>
        <v>4.9821749999999998E-2</v>
      </c>
      <c r="O961" s="716">
        <f>IFERROR(VLOOKUP(C961,[3]List1!$A:$D,3,FALSE),"N/A!")</f>
        <v>2000</v>
      </c>
      <c r="P961" s="716">
        <f>IFERROR(VLOOKUP(C961,[3]List1!$A:$D,2,FALSE),"N/A!")</f>
        <v>14800</v>
      </c>
      <c r="Q961" s="716" t="s">
        <v>14301</v>
      </c>
      <c r="R961" s="716" t="s">
        <v>24</v>
      </c>
      <c r="S961" s="716" t="str">
        <f>IF($W$17=$AF$1,"design",IFERROR(VLOOKUP("design",Jazyky_ceník!$A:$Q,MATCH($W$17,Jazyky_ceník!$A$1:$Q$1,0),FALSE),"!!!"))</f>
        <v>design</v>
      </c>
      <c r="T961" s="716">
        <v>10</v>
      </c>
      <c r="U961" s="716">
        <v>25</v>
      </c>
      <c r="V961" s="716">
        <v>16</v>
      </c>
      <c r="W961" s="716" t="str">
        <f>IFERROR(VLOOKUP('General price list'!$C961,Popisy!A:P,MATCH($W$17,Popisy!$A$7:$P$7,0),FALSE),"---------------")</f>
        <v>red tail up to white glitter+green tail up to white glitter</v>
      </c>
      <c r="X961" s="716" t="str">
        <f t="shared" ref="X961:X968" si="2446">IF(AB961&lt;0.0001,"",AB961)</f>
        <v/>
      </c>
      <c r="Y961" s="716" t="str">
        <f t="shared" ref="Y961:Y968" si="2447">IF($AL$3=2,IF(OR(AB961&lt;&gt;"",AB961&lt;&gt;0),AU961,""),IF(C961="","",IF(AB961&lt;0.0001,"",IF(B961=0,"",IF(AQ961&lt;AB961,"",AB961)))))</f>
        <v/>
      </c>
      <c r="Z961" s="716" t="str">
        <f>HYPERLINK("https://www.klasekpyrotechnics.cz/cx1352x2")</f>
        <v>https://www.klasekpyrotechnics.cz/cx1352x2</v>
      </c>
      <c r="AA961" s="716">
        <f>IFERROR(IF(VLOOKUP(C961,[4]List1!$A:$D,4,FALSE)=0,"",VLOOKUP(C961,[4]List1!$A:$D,4,FALSE)),"")</f>
        <v>20</v>
      </c>
      <c r="AB961" s="720"/>
      <c r="AC961" s="721" t="str">
        <f>IFERROR(IF(VLOOKUP(C961,[1]List1!$A:$D,2,FALSE)="VYPRODÁNO",$V$9,IF(VLOOKUP(C961,[1]List1!$A:$D,2,FALSE)="DOCHÁZÍ",$V$3,VLOOKUP(C961,[1]List1!$A:$D,2,FALSE))),"OFFLINE!")</f>
        <v>SKLADEM</v>
      </c>
      <c r="AD961" s="722" t="str">
        <f ca="1">IF(AP961="NE",$V$10,IF(AC961=$V$3,IF(AQ961&lt;1,$V$8,$V$2&amp;" "&amp;AQ961&amp;" "&amp;$V$1),IF(AC961="SKLADEM",$V$6,IFERROR(IF(OR(AC961-TODAY()&gt;45,VLOOKUP(C961,[1]List1!$A:$E,4,FALSE)=0),AC961,DAY(AC961)&amp;"."&amp;MONTH(AC961)&amp;"."&amp;YEAR(AC961)&amp;" "&amp;$V$4&amp;VLOOKUP(C961,[1]List1!$A:$E,4,FALSE)&amp;" "&amp;$V$1),AC961))))</f>
        <v>SKLADEM</v>
      </c>
      <c r="AE961" s="716" t="str">
        <f t="shared" ref="AE961:AE968" ca="1" si="2448">IFERROR(IF(AV961&lt;&gt;"",AV961,AD961),AD961)</f>
        <v>SKLADEM</v>
      </c>
      <c r="AF961" s="723">
        <f t="shared" ref="AF961:AF968" si="2449">IFERROR(IF(AB961=Y961,G961*I961*Y961,0),0)</f>
        <v>0</v>
      </c>
      <c r="AG961" s="723">
        <f t="shared" ref="AG961:AG968" si="2450">IF($W$17=$AF$8,AH961*1.23,AF961*1.21)</f>
        <v>0</v>
      </c>
      <c r="AH961" s="724">
        <f t="shared" ref="AH961:AH968" si="2451">IFERROR(IF(Y961=AB961,H961*I961*Y961,0),0)</f>
        <v>0</v>
      </c>
      <c r="AI961" s="716">
        <f t="shared" ref="AI961:AI968" si="2452">IFERROR(IF(Y961=AB961,(P961*Y961)/1000,1),0)</f>
        <v>0</v>
      </c>
      <c r="AJ961" s="716">
        <f t="shared" ref="AJ961:AJ968" si="2453">IFERROR(IF(Y961=AB961,N961*Y961,0.1),0)</f>
        <v>0</v>
      </c>
      <c r="AK961" s="716" t="str">
        <f t="shared" ref="AK961:AK968" si="2454">IFERROR(IF(Y961=AB961,IF(M961="1.1G",(O961/1000)*Y961,""),""),0)</f>
        <v/>
      </c>
      <c r="AL961" s="716">
        <f t="shared" ref="AL961:AL968" si="2455">IFERROR(IF(Y961=AB961,IF(M961="1.3G",(O961/1000)*AB961,""),""),0)</f>
        <v>0</v>
      </c>
      <c r="AM961" s="716" t="str">
        <f t="shared" ref="AM961:AM968" si="2456">IFERROR(IF(Y961=AB961,IF(M961="1.4G",(O961/1000)*AB961,""),""),0)</f>
        <v/>
      </c>
      <c r="AN961" s="716">
        <f t="shared" ref="AN961:AN968" si="2457">SUM(AK961:AM961)</f>
        <v>0</v>
      </c>
      <c r="AO961" s="380"/>
      <c r="AP961" s="322" t="str">
        <f t="shared" si="2282"/>
        <v/>
      </c>
      <c r="AQ961" s="323" t="str">
        <f>IF(AC961=$V$3,IF(VLOOKUP(C961,[1]List1!$A:$E,5,FALSE)=0,1,VLOOKUP(C961,[1]List1!$A:$E,5,FALSE)),"")</f>
        <v/>
      </c>
      <c r="AR961" s="304" t="str">
        <f t="shared" si="2283"/>
        <v/>
      </c>
      <c r="AS961" s="423" t="str">
        <f t="shared" si="2284"/>
        <v/>
      </c>
      <c r="AT961" s="304" t="str">
        <f t="shared" si="2285"/>
        <v/>
      </c>
      <c r="AU961" s="342" t="e">
        <f t="shared" si="2286"/>
        <v>#N/A</v>
      </c>
      <c r="AV961" s="304" t="e">
        <f t="shared" si="2287"/>
        <v>#N/A</v>
      </c>
      <c r="AX961" s="304">
        <f>IF(AND('General price list'!$J961="F4",'General price list'!$AB961+0&gt;0),1,0)</f>
        <v>0</v>
      </c>
      <c r="AY961" s="304">
        <f t="shared" si="2288"/>
        <v>1</v>
      </c>
      <c r="AZ961" s="304">
        <f t="shared" si="2289"/>
        <v>0</v>
      </c>
    </row>
    <row r="962" spans="1:52" ht="15" customHeight="1">
      <c r="A962" s="725" t="str">
        <f>Kat.!C959</f>
        <v>×</v>
      </c>
      <c r="B962" s="726">
        <f>IF(AND('General price list'!$J962="F4",$AI$1=FALSE),0,IF(AC962="SKLADEM",1,IF(AC962=$V$3,1,0)))</f>
        <v>1</v>
      </c>
      <c r="C962" s="727" t="s">
        <v>1773</v>
      </c>
      <c r="D962" s="728" t="s">
        <v>1772</v>
      </c>
      <c r="E962" s="729" t="s">
        <v>1078</v>
      </c>
      <c r="F962" s="725">
        <f>IFERROR(ROUND(IF($AL$3=2,VLOOKUP(C962,[2]List1!$A:$D,2,FALSE)*1.08,VLOOKUP(C962,[2]List1!$A:$D,2,FALSE)),0),"NEUVEDENO!")</f>
        <v>1670</v>
      </c>
      <c r="G962" s="730">
        <f t="shared" si="2444"/>
        <v>1670</v>
      </c>
      <c r="H962" s="731">
        <f t="shared" si="2445"/>
        <v>67.861627297441174</v>
      </c>
      <c r="I962" s="732">
        <v>2</v>
      </c>
      <c r="J962" s="729" t="s">
        <v>137</v>
      </c>
      <c r="K962" s="729"/>
      <c r="L962" s="729" t="s">
        <v>24</v>
      </c>
      <c r="M962" s="729" t="s">
        <v>25</v>
      </c>
      <c r="N962" s="729">
        <f>IFERROR(VLOOKUP(C962,[3]List1!$A:$D,4,FALSE),"N/A!")</f>
        <v>4.9821749999999998E-2</v>
      </c>
      <c r="O962" s="729">
        <f>IFERROR(VLOOKUP(C962,[3]List1!$A:$D,3,FALSE),"N/A!")</f>
        <v>2000</v>
      </c>
      <c r="P962" s="729">
        <f>IFERROR(VLOOKUP(C962,[3]List1!$A:$D,2,FALSE),"N/A!")</f>
        <v>12800</v>
      </c>
      <c r="Q962" s="729" t="s">
        <v>1770</v>
      </c>
      <c r="R962" s="729" t="s">
        <v>24</v>
      </c>
      <c r="S962" s="729" t="str">
        <f>IF($W$17=$AF$1,"design",IFERROR(VLOOKUP("design",Jazyky_ceník!$A:$Q,MATCH($W$17,Jazyky_ceník!$A$1:$Q$1,0),FALSE),"!!!"))</f>
        <v>design</v>
      </c>
      <c r="T962" s="729">
        <v>13</v>
      </c>
      <c r="U962" s="729">
        <v>25</v>
      </c>
      <c r="V962" s="729">
        <v>16</v>
      </c>
      <c r="W962" s="729" t="str">
        <f>IFERROR(VLOOKUP('General price list'!$C962,Popisy!A:P,MATCH($W$17,Popisy!$A$7:$P$7,0),FALSE),"---------------")</f>
        <v>color stars+crackling tail</v>
      </c>
      <c r="X962" s="729" t="str">
        <f t="shared" si="2446"/>
        <v/>
      </c>
      <c r="Y962" s="729" t="str">
        <f t="shared" si="2447"/>
        <v/>
      </c>
      <c r="Z962" s="729" t="str">
        <f>HYPERLINK("https://www.klasekpyrotechnics.cz/cs1352x5")</f>
        <v>https://www.klasekpyrotechnics.cz/cs1352x5</v>
      </c>
      <c r="AA962" s="729">
        <f>IFERROR(IF(VLOOKUP(C962,[4]List1!$A:$D,4,FALSE)=0,"",VLOOKUP(C962,[4]List1!$A:$D,4,FALSE)),"")</f>
        <v>20</v>
      </c>
      <c r="AB962" s="720"/>
      <c r="AC962" s="733" t="str">
        <f>IFERROR(IF(VLOOKUP(C962,[1]List1!$A:$D,2,FALSE)="VYPRODÁNO",$V$9,IF(VLOOKUP(C962,[1]List1!$A:$D,2,FALSE)="DOCHÁZÍ",$V$3,VLOOKUP(C962,[1]List1!$A:$D,2,FALSE))),"OFFLINE!")</f>
        <v>SKLADEM</v>
      </c>
      <c r="AD962" s="734" t="str">
        <f ca="1">IF(AP962="NE",$V$10,IF(AC962=$V$3,IF(AQ962&lt;1,$V$8,$V$2&amp;" "&amp;AQ962&amp;" "&amp;$V$1),IF(AC962="SKLADEM",$V$6,IFERROR(IF(OR(AC962-TODAY()&gt;45,VLOOKUP(C962,[1]List1!$A:$E,4,FALSE)=0),AC962,DAY(AC962)&amp;"."&amp;MONTH(AC962)&amp;"."&amp;YEAR(AC962)&amp;" "&amp;$V$4&amp;VLOOKUP(C962,[1]List1!$A:$E,4,FALSE)&amp;" "&amp;$V$1),AC962))))</f>
        <v>SKLADEM</v>
      </c>
      <c r="AE962" s="729" t="str">
        <f t="shared" ca="1" si="2448"/>
        <v>SKLADEM</v>
      </c>
      <c r="AF962" s="735">
        <f t="shared" si="2449"/>
        <v>0</v>
      </c>
      <c r="AG962" s="735">
        <f t="shared" si="2450"/>
        <v>0</v>
      </c>
      <c r="AH962" s="736">
        <f t="shared" si="2451"/>
        <v>0</v>
      </c>
      <c r="AI962" s="729">
        <f t="shared" si="2452"/>
        <v>0</v>
      </c>
      <c r="AJ962" s="729">
        <f t="shared" si="2453"/>
        <v>0</v>
      </c>
      <c r="AK962" s="729" t="str">
        <f t="shared" si="2454"/>
        <v/>
      </c>
      <c r="AL962" s="729" t="str">
        <f t="shared" si="2455"/>
        <v/>
      </c>
      <c r="AM962" s="729">
        <f t="shared" si="2456"/>
        <v>0</v>
      </c>
      <c r="AN962" s="729">
        <f t="shared" si="2457"/>
        <v>0</v>
      </c>
      <c r="AO962" s="380"/>
      <c r="AP962" s="322" t="str">
        <f t="shared" si="2282"/>
        <v/>
      </c>
      <c r="AQ962" s="323" t="str">
        <f>IF(AC962=$V$3,IF(VLOOKUP(C962,[1]List1!$A:$E,5,FALSE)=0,1,VLOOKUP(C962,[1]List1!$A:$E,5,FALSE)),"")</f>
        <v/>
      </c>
      <c r="AR962" s="304" t="str">
        <f t="shared" si="2283"/>
        <v/>
      </c>
      <c r="AS962" s="423" t="str">
        <f t="shared" si="2284"/>
        <v/>
      </c>
      <c r="AT962" s="304" t="str">
        <f t="shared" si="2285"/>
        <v/>
      </c>
      <c r="AU962" s="342" t="e">
        <f t="shared" si="2286"/>
        <v>#N/A</v>
      </c>
      <c r="AV962" s="304" t="e">
        <f t="shared" si="2287"/>
        <v>#N/A</v>
      </c>
      <c r="AX962" s="304">
        <f>IF(AND('General price list'!$J962="F4",'General price list'!$AB962+0&gt;0),1,0)</f>
        <v>0</v>
      </c>
      <c r="AY962" s="304">
        <f t="shared" si="2288"/>
        <v>1</v>
      </c>
      <c r="AZ962" s="304">
        <f t="shared" si="2289"/>
        <v>0</v>
      </c>
    </row>
    <row r="963" spans="1:52" ht="15" customHeight="1">
      <c r="A963" s="712" t="str">
        <f>Kat.!C960</f>
        <v/>
      </c>
      <c r="B963" s="737">
        <f>IF(AND('General price list'!$J963="F4",$AI$1=FALSE),0,IF(AC963="SKLADEM",1,IF(AC963=$V$3,1,0)))</f>
        <v>1</v>
      </c>
      <c r="C963" s="714" t="s">
        <v>1775</v>
      </c>
      <c r="D963" s="715" t="s">
        <v>1776</v>
      </c>
      <c r="E963" s="716" t="s">
        <v>1078</v>
      </c>
      <c r="F963" s="712">
        <f>IFERROR(ROUND(IF($AL$3=2,VLOOKUP(C963,[2]List1!$A:$D,2,FALSE)*1.08,VLOOKUP(C963,[2]List1!$A:$D,2,FALSE)),0),"NEUVEDENO!")</f>
        <v>1670</v>
      </c>
      <c r="G963" s="717">
        <f t="shared" si="2444"/>
        <v>1670</v>
      </c>
      <c r="H963" s="718">
        <f t="shared" si="2445"/>
        <v>67.861627297441174</v>
      </c>
      <c r="I963" s="738">
        <v>2</v>
      </c>
      <c r="J963" s="716" t="s">
        <v>137</v>
      </c>
      <c r="K963" s="716"/>
      <c r="L963" s="716" t="s">
        <v>24</v>
      </c>
      <c r="M963" s="716" t="s">
        <v>25</v>
      </c>
      <c r="N963" s="716">
        <f>IFERROR(VLOOKUP(C963,[3]List1!$A:$D,4,FALSE),"N/A!")</f>
        <v>4.9821749999999998E-2</v>
      </c>
      <c r="O963" s="716">
        <f>IFERROR(VLOOKUP(C963,[3]List1!$A:$D,3,FALSE),"N/A!")</f>
        <v>2000</v>
      </c>
      <c r="P963" s="716">
        <f>IFERROR(VLOOKUP(C963,[3]List1!$A:$D,2,FALSE),"N/A!")</f>
        <v>12800</v>
      </c>
      <c r="Q963" s="716" t="s">
        <v>11328</v>
      </c>
      <c r="R963" s="716" t="s">
        <v>24</v>
      </c>
      <c r="S963" s="716" t="str">
        <f>IF($W$17=$AF$1,"design",IFERROR(VLOOKUP("design",Jazyky_ceník!$A:$Q,MATCH($W$17,Jazyky_ceník!$A$1:$Q$1,0),FALSE),"!!!"))</f>
        <v>design</v>
      </c>
      <c r="T963" s="716">
        <v>8</v>
      </c>
      <c r="U963" s="716">
        <v>25</v>
      </c>
      <c r="V963" s="716">
        <v>16</v>
      </c>
      <c r="W963" s="716" t="str">
        <f>IFERROR(VLOOKUP('General price list'!$C963,Popisy!A:P,MATCH($W$17,Popisy!$A$7:$P$7,0),FALSE),"---------------")</f>
        <v>red tail up to delay cracker</v>
      </c>
      <c r="X963" s="716" t="str">
        <f t="shared" si="2446"/>
        <v/>
      </c>
      <c r="Y963" s="716" t="str">
        <f t="shared" si="2447"/>
        <v/>
      </c>
      <c r="Z963" s="716" t="str">
        <f>HYPERLINK("https://www.klasekpyrotechnics.cz/cf1352x6")</f>
        <v>https://www.klasekpyrotechnics.cz/cf1352x6</v>
      </c>
      <c r="AA963" s="716">
        <f>IFERROR(IF(VLOOKUP(C963,[4]List1!$A:$D,4,FALSE)=0,"",VLOOKUP(C963,[4]List1!$A:$D,4,FALSE)),"")</f>
        <v>20</v>
      </c>
      <c r="AB963" s="720"/>
      <c r="AC963" s="739" t="str">
        <f>IFERROR(IF(VLOOKUP(C963,[1]List1!$A:$D,2,FALSE)="VYPRODÁNO",$V$9,IF(VLOOKUP(C963,[1]List1!$A:$D,2,FALSE)="DOCHÁZÍ",$V$3,VLOOKUP(C963,[1]List1!$A:$D,2,FALSE))),"OFFLINE!")</f>
        <v>SKLADEM</v>
      </c>
      <c r="AD963" s="740" t="str">
        <f ca="1">IF(AP963="NE",$V$10,IF(AC963=$V$3,IF(AQ963&lt;1,$V$8,$V$2&amp;" "&amp;AQ963&amp;" "&amp;$V$1),IF(AC963="SKLADEM",$V$6,IFERROR(IF(OR(AC963-TODAY()&gt;45,VLOOKUP(C963,[1]List1!$A:$E,4,FALSE)=0),AC963,DAY(AC963)&amp;"."&amp;MONTH(AC963)&amp;"."&amp;YEAR(AC963)&amp;" "&amp;$V$4&amp;VLOOKUP(C963,[1]List1!$A:$E,4,FALSE)&amp;" "&amp;$V$1),AC963))))</f>
        <v>SKLADEM</v>
      </c>
      <c r="AE963" s="716" t="str">
        <f t="shared" ca="1" si="2448"/>
        <v>SKLADEM</v>
      </c>
      <c r="AF963" s="723">
        <f t="shared" si="2449"/>
        <v>0</v>
      </c>
      <c r="AG963" s="723">
        <f t="shared" si="2450"/>
        <v>0</v>
      </c>
      <c r="AH963" s="724">
        <f t="shared" si="2451"/>
        <v>0</v>
      </c>
      <c r="AI963" s="716">
        <f t="shared" si="2452"/>
        <v>0</v>
      </c>
      <c r="AJ963" s="716">
        <f t="shared" si="2453"/>
        <v>0</v>
      </c>
      <c r="AK963" s="716" t="str">
        <f t="shared" si="2454"/>
        <v/>
      </c>
      <c r="AL963" s="716" t="str">
        <f t="shared" si="2455"/>
        <v/>
      </c>
      <c r="AM963" s="716">
        <f t="shared" si="2456"/>
        <v>0</v>
      </c>
      <c r="AN963" s="716">
        <f t="shared" si="2457"/>
        <v>0</v>
      </c>
      <c r="AO963" s="380"/>
      <c r="AP963" s="322" t="str">
        <f t="shared" si="2282"/>
        <v/>
      </c>
      <c r="AQ963" s="323" t="str">
        <f>IF(AC963=$V$3,IF(VLOOKUP(C963,[1]List1!$A:$E,5,FALSE)=0,1,VLOOKUP(C963,[1]List1!$A:$E,5,FALSE)),"")</f>
        <v/>
      </c>
      <c r="AR963" s="304" t="str">
        <f t="shared" si="2283"/>
        <v/>
      </c>
      <c r="AS963" s="423" t="str">
        <f t="shared" si="2284"/>
        <v/>
      </c>
      <c r="AT963" s="304" t="str">
        <f t="shared" si="2285"/>
        <v/>
      </c>
      <c r="AU963" s="342" t="e">
        <f t="shared" si="2286"/>
        <v>#N/A</v>
      </c>
      <c r="AV963" s="304" t="e">
        <f t="shared" si="2287"/>
        <v>#N/A</v>
      </c>
      <c r="AX963" s="304">
        <f>IF(AND('General price list'!$J963="F4",'General price list'!$AB963+0&gt;0),1,0)</f>
        <v>0</v>
      </c>
      <c r="AY963" s="304">
        <f t="shared" si="2288"/>
        <v>1</v>
      </c>
      <c r="AZ963" s="304">
        <f t="shared" si="2289"/>
        <v>0</v>
      </c>
    </row>
    <row r="964" spans="1:52" ht="15" customHeight="1">
      <c r="A964" s="725" t="str">
        <f>Kat.!C961</f>
        <v/>
      </c>
      <c r="B964" s="726">
        <f>IF(AND('General price list'!$J964="F4",$AI$1=FALSE),0,IF(AC964="SKLADEM",1,IF(AC964=$V$3,1,0)))</f>
        <v>1</v>
      </c>
      <c r="C964" s="727" t="s">
        <v>1778</v>
      </c>
      <c r="D964" s="728" t="s">
        <v>1776</v>
      </c>
      <c r="E964" s="729" t="s">
        <v>1078</v>
      </c>
      <c r="F964" s="725">
        <f>IFERROR(ROUND(IF($AL$3=2,VLOOKUP(C964,[2]List1!$A:$D,2,FALSE)*1.08,VLOOKUP(C964,[2]List1!$A:$D,2,FALSE)),0),"NEUVEDENO!")</f>
        <v>1670</v>
      </c>
      <c r="G964" s="730">
        <f t="shared" si="2444"/>
        <v>1670</v>
      </c>
      <c r="H964" s="731">
        <f t="shared" si="2445"/>
        <v>67.861627297441174</v>
      </c>
      <c r="I964" s="732">
        <v>2</v>
      </c>
      <c r="J964" s="729" t="s">
        <v>137</v>
      </c>
      <c r="K964" s="729"/>
      <c r="L964" s="729"/>
      <c r="M964" s="729" t="s">
        <v>25</v>
      </c>
      <c r="N964" s="729">
        <f>IFERROR(VLOOKUP(C964,[3]List1!$A:$D,4,FALSE),"N/A!")</f>
        <v>4.9821749999999998E-2</v>
      </c>
      <c r="O964" s="729">
        <f>IFERROR(VLOOKUP(C964,[3]List1!$A:$D,3,FALSE),"N/A!")</f>
        <v>2000</v>
      </c>
      <c r="P964" s="729">
        <f>IFERROR(VLOOKUP(C964,[3]List1!$A:$D,2,FALSE),"N/A!")</f>
        <v>13900</v>
      </c>
      <c r="Q964" s="729" t="s">
        <v>11328</v>
      </c>
      <c r="R964" s="729" t="s">
        <v>24</v>
      </c>
      <c r="S964" s="729" t="str">
        <f>IF($W$17=$AF$1,"design",IFERROR(VLOOKUP("design",Jazyky_ceník!$A:$Q,MATCH($W$17,Jazyky_ceník!$A$1:$Q$1,0),FALSE),"!!!"))</f>
        <v>design</v>
      </c>
      <c r="T964" s="729">
        <v>8</v>
      </c>
      <c r="U964" s="729">
        <v>25</v>
      </c>
      <c r="V964" s="729">
        <v>16</v>
      </c>
      <c r="W964" s="729" t="str">
        <f>IFERROR(VLOOKUP('General price list'!$C964,Popisy!A:P,MATCH($W$17,Popisy!$A$7:$P$7,0),FALSE),"---------------")</f>
        <v>five lines: whistle tail eject red glitter,white glitter,blue star</v>
      </c>
      <c r="X964" s="729" t="str">
        <f t="shared" si="2446"/>
        <v/>
      </c>
      <c r="Y964" s="729" t="str">
        <f t="shared" si="2447"/>
        <v/>
      </c>
      <c r="Z964" s="729" t="str">
        <f>HYPERLINK("https://www.klasekpyrotechnics.cz/cf1352x7")</f>
        <v>https://www.klasekpyrotechnics.cz/cf1352x7</v>
      </c>
      <c r="AA964" s="729">
        <f>IFERROR(IF(VLOOKUP(C964,[4]List1!$A:$D,4,FALSE)=0,"",VLOOKUP(C964,[4]List1!$A:$D,4,FALSE)),"")</f>
        <v>20</v>
      </c>
      <c r="AB964" s="720"/>
      <c r="AC964" s="733" t="str">
        <f>IFERROR(IF(VLOOKUP(C964,[1]List1!$A:$D,2,FALSE)="VYPRODÁNO",$V$9,IF(VLOOKUP(C964,[1]List1!$A:$D,2,FALSE)="DOCHÁZÍ",$V$3,VLOOKUP(C964,[1]List1!$A:$D,2,FALSE))),"OFFLINE!")</f>
        <v>SKLADEM</v>
      </c>
      <c r="AD964" s="734" t="str">
        <f ca="1">IF(AP964="NE",$V$10,IF(AC964=$V$3,IF(AQ964&lt;1,$V$8,$V$2&amp;" "&amp;AQ964&amp;" "&amp;$V$1),IF(AC964="SKLADEM",$V$6,IFERROR(IF(OR(AC964-TODAY()&gt;45,VLOOKUP(C964,[1]List1!$A:$E,4,FALSE)=0),AC964,DAY(AC964)&amp;"."&amp;MONTH(AC964)&amp;"."&amp;YEAR(AC964)&amp;" "&amp;$V$4&amp;VLOOKUP(C964,[1]List1!$A:$E,4,FALSE)&amp;" "&amp;$V$1),AC964))))</f>
        <v>SKLADEM</v>
      </c>
      <c r="AE964" s="729" t="str">
        <f t="shared" ca="1" si="2448"/>
        <v>SKLADEM</v>
      </c>
      <c r="AF964" s="735">
        <f t="shared" si="2449"/>
        <v>0</v>
      </c>
      <c r="AG964" s="735">
        <f t="shared" si="2450"/>
        <v>0</v>
      </c>
      <c r="AH964" s="736">
        <f t="shared" si="2451"/>
        <v>0</v>
      </c>
      <c r="AI964" s="729">
        <f t="shared" si="2452"/>
        <v>0</v>
      </c>
      <c r="AJ964" s="729">
        <f t="shared" si="2453"/>
        <v>0</v>
      </c>
      <c r="AK964" s="729" t="str">
        <f t="shared" si="2454"/>
        <v/>
      </c>
      <c r="AL964" s="729" t="str">
        <f t="shared" si="2455"/>
        <v/>
      </c>
      <c r="AM964" s="729">
        <f t="shared" si="2456"/>
        <v>0</v>
      </c>
      <c r="AN964" s="729">
        <f t="shared" si="2457"/>
        <v>0</v>
      </c>
      <c r="AO964" s="380"/>
      <c r="AP964" s="322" t="str">
        <f t="shared" si="2282"/>
        <v/>
      </c>
      <c r="AQ964" s="323" t="str">
        <f>IF(AC964=$V$3,IF(VLOOKUP(C964,[1]List1!$A:$E,5,FALSE)=0,1,VLOOKUP(C964,[1]List1!$A:$E,5,FALSE)),"")</f>
        <v/>
      </c>
      <c r="AR964" s="304" t="str">
        <f t="shared" si="2283"/>
        <v/>
      </c>
      <c r="AS964" s="423" t="str">
        <f t="shared" si="2284"/>
        <v/>
      </c>
      <c r="AT964" s="304" t="str">
        <f t="shared" si="2285"/>
        <v/>
      </c>
      <c r="AU964" s="342" t="e">
        <f t="shared" si="2286"/>
        <v>#N/A</v>
      </c>
      <c r="AV964" s="304" t="e">
        <f t="shared" si="2287"/>
        <v>#N/A</v>
      </c>
      <c r="AX964" s="304">
        <f>IF(AND('General price list'!$J964="F4",'General price list'!$AB964+0&gt;0),1,0)</f>
        <v>0</v>
      </c>
      <c r="AY964" s="304">
        <f t="shared" si="2288"/>
        <v>1</v>
      </c>
      <c r="AZ964" s="304">
        <f t="shared" si="2289"/>
        <v>0</v>
      </c>
    </row>
    <row r="965" spans="1:52" ht="15" customHeight="1">
      <c r="A965" s="712" t="str">
        <f>Kat.!C962</f>
        <v/>
      </c>
      <c r="B965" s="737">
        <f>IF(AND('General price list'!$J965="F4",$AI$1=FALSE),0,IF(AC965="SKLADEM",1,IF(AC965=$V$3,1,0)))</f>
        <v>1</v>
      </c>
      <c r="C965" s="714" t="s">
        <v>1780</v>
      </c>
      <c r="D965" s="715" t="s">
        <v>1772</v>
      </c>
      <c r="E965" s="716" t="s">
        <v>1078</v>
      </c>
      <c r="F965" s="712">
        <f>IFERROR(ROUND(IF($AL$3=2,VLOOKUP(C965,[2]List1!$A:$D,2,FALSE)*1.08,VLOOKUP(C965,[2]List1!$A:$D,2,FALSE)),0),"NEUVEDENO!")</f>
        <v>1670</v>
      </c>
      <c r="G965" s="717">
        <f t="shared" si="2444"/>
        <v>1670</v>
      </c>
      <c r="H965" s="718">
        <f t="shared" si="2445"/>
        <v>67.861627297441174</v>
      </c>
      <c r="I965" s="738">
        <v>2</v>
      </c>
      <c r="J965" s="716" t="s">
        <v>137</v>
      </c>
      <c r="K965" s="716"/>
      <c r="L965" s="716" t="s">
        <v>24</v>
      </c>
      <c r="M965" s="716" t="s">
        <v>25</v>
      </c>
      <c r="N965" s="716">
        <f>IFERROR(VLOOKUP(C965,[3]List1!$A:$D,4,FALSE),"N/A!")</f>
        <v>4.9821749999999998E-2</v>
      </c>
      <c r="O965" s="716">
        <f>IFERROR(VLOOKUP(C965,[3]List1!$A:$D,3,FALSE),"N/A!")</f>
        <v>2000</v>
      </c>
      <c r="P965" s="716">
        <f>IFERROR(VLOOKUP(C965,[3]List1!$A:$D,2,FALSE),"N/A!")</f>
        <v>13500</v>
      </c>
      <c r="Q965" s="716" t="s">
        <v>1770</v>
      </c>
      <c r="R965" s="716" t="s">
        <v>24</v>
      </c>
      <c r="S965" s="716" t="str">
        <f>IF($W$17=$AF$1,"design",IFERROR(VLOOKUP("design",Jazyky_ceník!$A:$Q,MATCH($W$17,Jazyky_ceník!$A$1:$Q$1,0),FALSE),"!!!"))</f>
        <v>design</v>
      </c>
      <c r="T965" s="716">
        <v>5</v>
      </c>
      <c r="U965" s="716">
        <v>25</v>
      </c>
      <c r="V965" s="716">
        <v>16</v>
      </c>
      <c r="W965" s="716" t="str">
        <f>IFERROR(VLOOKUP('General price list'!$C965,Popisy!A:P,MATCH($W$17,Popisy!$A$7:$P$7,0),FALSE),"---------------")</f>
        <v>white strobe mine red/green/blue/purple/lemon tail</v>
      </c>
      <c r="X965" s="716" t="str">
        <f t="shared" si="2446"/>
        <v/>
      </c>
      <c r="Y965" s="716" t="str">
        <f t="shared" si="2447"/>
        <v/>
      </c>
      <c r="Z965" s="716" t="str">
        <f>HYPERLINK("https://www.klasekpyrotechnics.cz/cs1352x9")</f>
        <v>https://www.klasekpyrotechnics.cz/cs1352x9</v>
      </c>
      <c r="AA965" s="716">
        <f>IFERROR(IF(VLOOKUP(C965,[4]List1!$A:$D,4,FALSE)=0,"",VLOOKUP(C965,[4]List1!$A:$D,4,FALSE)),"")</f>
        <v>20</v>
      </c>
      <c r="AB965" s="720"/>
      <c r="AC965" s="739" t="str">
        <f>IFERROR(IF(VLOOKUP(C965,[1]List1!$A:$D,2,FALSE)="VYPRODÁNO",$V$9,IF(VLOOKUP(C965,[1]List1!$A:$D,2,FALSE)="DOCHÁZÍ",$V$3,VLOOKUP(C965,[1]List1!$A:$D,2,FALSE))),"OFFLINE!")</f>
        <v>SKLADEM</v>
      </c>
      <c r="AD965" s="740" t="str">
        <f ca="1">IF(AP965="NE",$V$10,IF(AC965=$V$3,IF(AQ965&lt;1,$V$8,$V$2&amp;" "&amp;AQ965&amp;" "&amp;$V$1),IF(AC965="SKLADEM",$V$6,IFERROR(IF(OR(AC965-TODAY()&gt;45,VLOOKUP(C965,[1]List1!$A:$E,4,FALSE)=0),AC965,DAY(AC965)&amp;"."&amp;MONTH(AC965)&amp;"."&amp;YEAR(AC965)&amp;" "&amp;$V$4&amp;VLOOKUP(C965,[1]List1!$A:$E,4,FALSE)&amp;" "&amp;$V$1),AC965))))</f>
        <v>SKLADEM</v>
      </c>
      <c r="AE965" s="716" t="str">
        <f t="shared" ca="1" si="2448"/>
        <v>SKLADEM</v>
      </c>
      <c r="AF965" s="723">
        <f t="shared" si="2449"/>
        <v>0</v>
      </c>
      <c r="AG965" s="723">
        <f t="shared" si="2450"/>
        <v>0</v>
      </c>
      <c r="AH965" s="724">
        <f t="shared" si="2451"/>
        <v>0</v>
      </c>
      <c r="AI965" s="716">
        <f t="shared" si="2452"/>
        <v>0</v>
      </c>
      <c r="AJ965" s="716">
        <f t="shared" si="2453"/>
        <v>0</v>
      </c>
      <c r="AK965" s="716" t="str">
        <f t="shared" si="2454"/>
        <v/>
      </c>
      <c r="AL965" s="716" t="str">
        <f t="shared" si="2455"/>
        <v/>
      </c>
      <c r="AM965" s="716">
        <f t="shared" si="2456"/>
        <v>0</v>
      </c>
      <c r="AN965" s="716">
        <f t="shared" si="2457"/>
        <v>0</v>
      </c>
      <c r="AO965" s="380"/>
      <c r="AP965" s="322" t="str">
        <f t="shared" si="2282"/>
        <v/>
      </c>
      <c r="AQ965" s="323" t="str">
        <f>IF(AC965=$V$3,IF(VLOOKUP(C965,[1]List1!$A:$E,5,FALSE)=0,1,VLOOKUP(C965,[1]List1!$A:$E,5,FALSE)),"")</f>
        <v/>
      </c>
      <c r="AR965" s="304" t="str">
        <f t="shared" si="2283"/>
        <v/>
      </c>
      <c r="AS965" s="423" t="str">
        <f t="shared" si="2284"/>
        <v/>
      </c>
      <c r="AT965" s="304" t="str">
        <f t="shared" si="2285"/>
        <v/>
      </c>
      <c r="AU965" s="342" t="e">
        <f t="shared" si="2286"/>
        <v>#N/A</v>
      </c>
      <c r="AV965" s="304" t="e">
        <f t="shared" si="2287"/>
        <v>#N/A</v>
      </c>
      <c r="AX965" s="304">
        <f>IF(AND('General price list'!$J965="F4",'General price list'!$AB965+0&gt;0),1,0)</f>
        <v>0</v>
      </c>
      <c r="AY965" s="304">
        <f t="shared" si="2288"/>
        <v>1</v>
      </c>
      <c r="AZ965" s="304">
        <f t="shared" si="2289"/>
        <v>0</v>
      </c>
    </row>
    <row r="966" spans="1:52" ht="15" customHeight="1">
      <c r="A966" s="725" t="str">
        <f>Kat.!C963</f>
        <v/>
      </c>
      <c r="B966" s="726">
        <f>IF(AND('General price list'!$J966="F4",$AI$1=FALSE),0,IF(AC966="SKLADEM",1,IF(AC966=$V$3,1,0)))</f>
        <v>0</v>
      </c>
      <c r="C966" s="727" t="s">
        <v>1782</v>
      </c>
      <c r="D966" s="728" t="s">
        <v>1772</v>
      </c>
      <c r="E966" s="729" t="s">
        <v>1078</v>
      </c>
      <c r="F966" s="725">
        <f>IFERROR(ROUND(IF($AL$3=2,VLOOKUP(C966,[2]List1!$A:$D,2,FALSE)*1.08,VLOOKUP(C966,[2]List1!$A:$D,2,FALSE)),0),"NEUVEDENO!")</f>
        <v>1670</v>
      </c>
      <c r="G966" s="730">
        <f t="shared" si="2444"/>
        <v>1670</v>
      </c>
      <c r="H966" s="731">
        <f t="shared" si="2445"/>
        <v>67.861627297441174</v>
      </c>
      <c r="I966" s="732">
        <v>2</v>
      </c>
      <c r="J966" s="729" t="s">
        <v>137</v>
      </c>
      <c r="K966" s="729"/>
      <c r="L966" s="729" t="s">
        <v>24</v>
      </c>
      <c r="M966" s="729" t="s">
        <v>25</v>
      </c>
      <c r="N966" s="729">
        <f>IFERROR(VLOOKUP(C966,[3]List1!$A:$D,4,FALSE),"N/A!")</f>
        <v>4.9821749999999998E-2</v>
      </c>
      <c r="O966" s="729">
        <f>IFERROR(VLOOKUP(C966,[3]List1!$A:$D,3,FALSE),"N/A!")</f>
        <v>2000</v>
      </c>
      <c r="P966" s="729">
        <f>IFERROR(VLOOKUP(C966,[3]List1!$A:$D,2,FALSE),"N/A!")</f>
        <v>13000</v>
      </c>
      <c r="Q966" s="729" t="s">
        <v>14301</v>
      </c>
      <c r="R966" s="729" t="s">
        <v>24</v>
      </c>
      <c r="S966" s="729" t="str">
        <f>IF($W$17=$AF$1,"design",IFERROR(VLOOKUP("design",Jazyky_ceník!$A:$Q,MATCH($W$17,Jazyky_ceník!$A$1:$Q$1,0),FALSE),"!!!"))</f>
        <v>design</v>
      </c>
      <c r="T966" s="729">
        <v>5</v>
      </c>
      <c r="U966" s="729">
        <v>25</v>
      </c>
      <c r="V966" s="729">
        <v>16</v>
      </c>
      <c r="W966" s="729" t="str">
        <f>IFERROR(VLOOKUP('General price list'!$C966,Popisy!A:P,MATCH($W$17,Popisy!$A$7:$P$7,0),FALSE),"---------------")</f>
        <v>white strobe tail to purple tip</v>
      </c>
      <c r="X966" s="729" t="str">
        <f t="shared" si="2446"/>
        <v/>
      </c>
      <c r="Y966" s="729" t="str">
        <f t="shared" si="2447"/>
        <v/>
      </c>
      <c r="Z966" s="729" t="str">
        <f>HYPERLINK("https://www.klasekpyrotechnics.cz/cs1352x10")</f>
        <v>https://www.klasekpyrotechnics.cz/cs1352x10</v>
      </c>
      <c r="AA966" s="729">
        <f>IFERROR(IF(VLOOKUP(C966,[4]List1!$A:$D,4,FALSE)=0,"",VLOOKUP(C966,[4]List1!$A:$D,4,FALSE)),"")</f>
        <v>20</v>
      </c>
      <c r="AB966" s="720"/>
      <c r="AC966" s="733" t="str">
        <f>IFERROR(IF(VLOOKUP(C966,[1]List1!$A:$D,2,FALSE)="VYPRODÁNO",$V$9,IF(VLOOKUP(C966,[1]List1!$A:$D,2,FALSE)="DOCHÁZÍ",$V$3,VLOOKUP(C966,[1]List1!$A:$D,2,FALSE))),"OFFLINE!")</f>
        <v>15.06.2024</v>
      </c>
      <c r="AD966" s="734" t="str">
        <f ca="1">IF(AP966="NE",$V$10,IF(AC966=$V$3,IF(AQ966&lt;1,$V$8,$V$2&amp;" "&amp;AQ966&amp;" "&amp;$V$1),IF(AC966="SKLADEM",$V$6,IFERROR(IF(OR(AC966-TODAY()&gt;45,VLOOKUP(C966,[1]List1!$A:$E,4,FALSE)=0),AC966,DAY(AC966)&amp;"."&amp;MONTH(AC966)&amp;"."&amp;YEAR(AC966)&amp;" "&amp;$V$4&amp;VLOOKUP(C966,[1]List1!$A:$E,4,FALSE)&amp;" "&amp;$V$1),AC966))))</f>
        <v>15.06.2024</v>
      </c>
      <c r="AE966" s="729" t="str">
        <f t="shared" ca="1" si="2448"/>
        <v>15.06.2024</v>
      </c>
      <c r="AF966" s="735">
        <f t="shared" si="2449"/>
        <v>0</v>
      </c>
      <c r="AG966" s="735">
        <f t="shared" si="2450"/>
        <v>0</v>
      </c>
      <c r="AH966" s="736">
        <f t="shared" si="2451"/>
        <v>0</v>
      </c>
      <c r="AI966" s="729">
        <f t="shared" si="2452"/>
        <v>0</v>
      </c>
      <c r="AJ966" s="729">
        <f t="shared" si="2453"/>
        <v>0</v>
      </c>
      <c r="AK966" s="729" t="str">
        <f t="shared" si="2454"/>
        <v/>
      </c>
      <c r="AL966" s="729" t="str">
        <f t="shared" si="2455"/>
        <v/>
      </c>
      <c r="AM966" s="729">
        <f t="shared" si="2456"/>
        <v>0</v>
      </c>
      <c r="AN966" s="729">
        <f t="shared" si="2457"/>
        <v>0</v>
      </c>
      <c r="AO966" s="380"/>
      <c r="AP966" s="322" t="str">
        <f t="shared" si="2282"/>
        <v/>
      </c>
      <c r="AQ966" s="323" t="str">
        <f>IF(AC966=$V$3,IF(VLOOKUP(C966,[1]List1!$A:$E,5,FALSE)=0,1,VLOOKUP(C966,[1]List1!$A:$E,5,FALSE)),"")</f>
        <v/>
      </c>
      <c r="AR966" s="304" t="str">
        <f t="shared" si="2283"/>
        <v/>
      </c>
      <c r="AS966" s="423" t="str">
        <f t="shared" si="2284"/>
        <v/>
      </c>
      <c r="AT966" s="304" t="str">
        <f t="shared" si="2285"/>
        <v/>
      </c>
      <c r="AU966" s="342" t="e">
        <f t="shared" si="2286"/>
        <v>#N/A</v>
      </c>
      <c r="AV966" s="304" t="e">
        <f t="shared" si="2287"/>
        <v>#N/A</v>
      </c>
      <c r="AX966" s="304">
        <f>IF(AND('General price list'!$J966="F4",'General price list'!$AB966+0&gt;0),1,0)</f>
        <v>0</v>
      </c>
      <c r="AY966" s="304">
        <f t="shared" si="2288"/>
        <v>1</v>
      </c>
      <c r="AZ966" s="304">
        <f t="shared" si="2289"/>
        <v>0</v>
      </c>
    </row>
    <row r="967" spans="1:52" ht="15" customHeight="1">
      <c r="A967" s="712" t="str">
        <f>Kat.!C964</f>
        <v/>
      </c>
      <c r="B967" s="737">
        <f>IF(AND('General price list'!$J967="F4",$AI$1=FALSE),0,IF(AC967="SKLADEM",1,IF(AC967=$V$3,1,0)))</f>
        <v>0</v>
      </c>
      <c r="C967" s="714" t="s">
        <v>1784</v>
      </c>
      <c r="D967" s="715" t="s">
        <v>1767</v>
      </c>
      <c r="E967" s="716" t="s">
        <v>1078</v>
      </c>
      <c r="F967" s="712">
        <f>IFERROR(ROUND(IF($AL$3=2,VLOOKUP(C967,[2]List1!$A:$D,2,FALSE)*1.08,VLOOKUP(C967,[2]List1!$A:$D,2,FALSE)),0),"NEUVEDENO!")</f>
        <v>1670</v>
      </c>
      <c r="G967" s="717">
        <f t="shared" si="2444"/>
        <v>1670</v>
      </c>
      <c r="H967" s="718">
        <f t="shared" si="2445"/>
        <v>67.861627297441174</v>
      </c>
      <c r="I967" s="738">
        <v>2</v>
      </c>
      <c r="J967" s="716" t="s">
        <v>137</v>
      </c>
      <c r="K967" s="716"/>
      <c r="L967" s="716"/>
      <c r="M967" s="716" t="s">
        <v>25</v>
      </c>
      <c r="N967" s="716">
        <f>IFERROR(VLOOKUP(C967,[3]List1!$A:$D,4,FALSE),"N/A!")</f>
        <v>4.9821749999999998E-2</v>
      </c>
      <c r="O967" s="716">
        <f>IFERROR(VLOOKUP(C967,[3]List1!$A:$D,3,FALSE),"N/A!")</f>
        <v>2000</v>
      </c>
      <c r="P967" s="716">
        <f>IFERROR(VLOOKUP(C967,[3]List1!$A:$D,2,FALSE),"N/A!")</f>
        <v>12600</v>
      </c>
      <c r="Q967" s="716" t="s">
        <v>14301</v>
      </c>
      <c r="R967" s="716" t="s">
        <v>24</v>
      </c>
      <c r="S967" s="716" t="str">
        <f>IF($W$17=$AF$1,"design",IFERROR(VLOOKUP("design",Jazyky_ceník!$A:$Q,MATCH($W$17,Jazyky_ceník!$A$1:$Q$1,0),FALSE),"!!!"))</f>
        <v>design</v>
      </c>
      <c r="T967" s="716">
        <v>5</v>
      </c>
      <c r="U967" s="716">
        <v>25</v>
      </c>
      <c r="V967" s="716">
        <v>16</v>
      </c>
      <c r="W967" s="716" t="str">
        <f>IFERROR(VLOOKUP('General price list'!$C967,Popisy!A:P,MATCH($W$17,Popisy!$A$7:$P$7,0),FALSE),"---------------")</f>
        <v>red&amp;green time rain+comet</v>
      </c>
      <c r="X967" s="716" t="str">
        <f t="shared" si="2446"/>
        <v/>
      </c>
      <c r="Y967" s="716" t="str">
        <f t="shared" si="2447"/>
        <v/>
      </c>
      <c r="Z967" s="716" t="str">
        <f>HYPERLINK("https://www.klasekpyrotechnics.cz/cx1352x11")</f>
        <v>https://www.klasekpyrotechnics.cz/cx1352x11</v>
      </c>
      <c r="AA967" s="716">
        <f>IFERROR(IF(VLOOKUP(C967,[4]List1!$A:$D,4,FALSE)=0,"",VLOOKUP(C967,[4]List1!$A:$D,4,FALSE)),"")</f>
        <v>20</v>
      </c>
      <c r="AB967" s="720"/>
      <c r="AC967" s="739" t="str">
        <f>IFERROR(IF(VLOOKUP(C967,[1]List1!$A:$D,2,FALSE)="VYPRODÁNO",$V$9,IF(VLOOKUP(C967,[1]List1!$A:$D,2,FALSE)="DOCHÁZÍ",$V$3,VLOOKUP(C967,[1]List1!$A:$D,2,FALSE))),"OFFLINE!")</f>
        <v>15.06.2024</v>
      </c>
      <c r="AD967" s="740" t="str">
        <f ca="1">IF(AP967="NE",$V$10,IF(AC967=$V$3,IF(AQ967&lt;1,$V$8,$V$2&amp;" "&amp;AQ967&amp;" "&amp;$V$1),IF(AC967="SKLADEM",$V$6,IFERROR(IF(OR(AC967-TODAY()&gt;45,VLOOKUP(C967,[1]List1!$A:$E,4,FALSE)=0),AC967,DAY(AC967)&amp;"."&amp;MONTH(AC967)&amp;"."&amp;YEAR(AC967)&amp;" "&amp;$V$4&amp;VLOOKUP(C967,[1]List1!$A:$E,4,FALSE)&amp;" "&amp;$V$1),AC967))))</f>
        <v>15.06.2024</v>
      </c>
      <c r="AE967" s="716" t="str">
        <f t="shared" ca="1" si="2448"/>
        <v>15.06.2024</v>
      </c>
      <c r="AF967" s="723">
        <f t="shared" si="2449"/>
        <v>0</v>
      </c>
      <c r="AG967" s="723">
        <f t="shared" si="2450"/>
        <v>0</v>
      </c>
      <c r="AH967" s="724">
        <f t="shared" si="2451"/>
        <v>0</v>
      </c>
      <c r="AI967" s="716">
        <f t="shared" si="2452"/>
        <v>0</v>
      </c>
      <c r="AJ967" s="716">
        <f t="shared" si="2453"/>
        <v>0</v>
      </c>
      <c r="AK967" s="716" t="str">
        <f t="shared" si="2454"/>
        <v/>
      </c>
      <c r="AL967" s="716" t="str">
        <f t="shared" si="2455"/>
        <v/>
      </c>
      <c r="AM967" s="716">
        <f t="shared" si="2456"/>
        <v>0</v>
      </c>
      <c r="AN967" s="716">
        <f t="shared" si="2457"/>
        <v>0</v>
      </c>
      <c r="AO967" s="380"/>
      <c r="AP967" s="322" t="str">
        <f t="shared" si="2282"/>
        <v/>
      </c>
      <c r="AQ967" s="323" t="str">
        <f>IF(AC967=$V$3,IF(VLOOKUP(C967,[1]List1!$A:$E,5,FALSE)=0,1,VLOOKUP(C967,[1]List1!$A:$E,5,FALSE)),"")</f>
        <v/>
      </c>
      <c r="AR967" s="304" t="str">
        <f t="shared" si="2283"/>
        <v/>
      </c>
      <c r="AS967" s="423" t="str">
        <f t="shared" si="2284"/>
        <v/>
      </c>
      <c r="AT967" s="304" t="str">
        <f t="shared" si="2285"/>
        <v/>
      </c>
      <c r="AU967" s="342" t="e">
        <f t="shared" si="2286"/>
        <v>#N/A</v>
      </c>
      <c r="AV967" s="304" t="e">
        <f t="shared" si="2287"/>
        <v>#N/A</v>
      </c>
      <c r="AX967" s="304">
        <f>IF(AND('General price list'!$J967="F4",'General price list'!$AB967+0&gt;0),1,0)</f>
        <v>0</v>
      </c>
      <c r="AY967" s="304">
        <f t="shared" si="2288"/>
        <v>1</v>
      </c>
      <c r="AZ967" s="304">
        <f t="shared" si="2289"/>
        <v>0</v>
      </c>
    </row>
    <row r="968" spans="1:52" ht="15" customHeight="1">
      <c r="A968" s="725" t="str">
        <f>Kat.!C965</f>
        <v/>
      </c>
      <c r="B968" s="726">
        <f>IF(AND('General price list'!$J968="F4",$AI$1=FALSE),0,IF(AC968="SKLADEM",1,IF(AC968=$V$3,1,0)))</f>
        <v>1</v>
      </c>
      <c r="C968" s="727" t="s">
        <v>1788</v>
      </c>
      <c r="D968" s="728" t="s">
        <v>1772</v>
      </c>
      <c r="E968" s="729" t="s">
        <v>1078</v>
      </c>
      <c r="F968" s="725">
        <f>IFERROR(ROUND(IF($AL$3=2,VLOOKUP(C968,[2]List1!$A:$D,2,FALSE)*1.08,VLOOKUP(C968,[2]List1!$A:$D,2,FALSE)),0),"NEUVEDENO!")</f>
        <v>1831</v>
      </c>
      <c r="G968" s="730">
        <f t="shared" si="2444"/>
        <v>1831</v>
      </c>
      <c r="H968" s="731">
        <f t="shared" si="2445"/>
        <v>74.40397579737413</v>
      </c>
      <c r="I968" s="732">
        <v>2</v>
      </c>
      <c r="J968" s="729" t="s">
        <v>137</v>
      </c>
      <c r="K968" s="729"/>
      <c r="L968" s="729" t="s">
        <v>24</v>
      </c>
      <c r="M968" s="729" t="s">
        <v>138</v>
      </c>
      <c r="N968" s="729">
        <f>IFERROR(VLOOKUP(C968,[3]List1!$A:$D,4,FALSE),"N/A!")</f>
        <v>4.9821749999999998E-2</v>
      </c>
      <c r="O968" s="729">
        <f>IFERROR(VLOOKUP(C968,[3]List1!$A:$D,3,FALSE),"N/A!")</f>
        <v>2000</v>
      </c>
      <c r="P968" s="729">
        <f>IFERROR(VLOOKUP(C968,[3]List1!$A:$D,2,FALSE),"N/A!")</f>
        <v>13500</v>
      </c>
      <c r="Q968" s="729" t="s">
        <v>14302</v>
      </c>
      <c r="R968" s="729" t="s">
        <v>24</v>
      </c>
      <c r="S968" s="729" t="str">
        <f>IF($W$17=$AF$1,"design",IFERROR(VLOOKUP("design",Jazyky_ceník!$A:$Q,MATCH($W$17,Jazyky_ceník!$A$1:$Q$1,0),FALSE),"!!!"))</f>
        <v>design</v>
      </c>
      <c r="T968" s="729">
        <v>6</v>
      </c>
      <c r="U968" s="729">
        <v>25</v>
      </c>
      <c r="V968" s="729">
        <v>16</v>
      </c>
      <c r="W968" s="729" t="str">
        <f>IFERROR(VLOOKUP('General price list'!$C968,Popisy!A:P,MATCH($W$17,Popisy!$A$7:$P$7,0),FALSE),"---------------")</f>
        <v>big gold palm comet +blue pearl</v>
      </c>
      <c r="X968" s="729" t="str">
        <f t="shared" si="2446"/>
        <v/>
      </c>
      <c r="Y968" s="729" t="str">
        <f t="shared" si="2447"/>
        <v/>
      </c>
      <c r="Z968" s="729" t="str">
        <f>HYPERLINK("https://www.klasekpyrotechnics.cz/cs1352x14")</f>
        <v>https://www.klasekpyrotechnics.cz/cs1352x14</v>
      </c>
      <c r="AA968" s="729">
        <f>IFERROR(IF(VLOOKUP(C968,[4]List1!$A:$D,4,FALSE)=0,"",VLOOKUP(C968,[4]List1!$A:$D,4,FALSE)),"")</f>
        <v>20</v>
      </c>
      <c r="AB968" s="720"/>
      <c r="AC968" s="733" t="str">
        <f>IFERROR(IF(VLOOKUP(C968,[1]List1!$A:$D,2,FALSE)="VYPRODÁNO",$V$9,IF(VLOOKUP(C968,[1]List1!$A:$D,2,FALSE)="DOCHÁZÍ",$V$3,VLOOKUP(C968,[1]List1!$A:$D,2,FALSE))),"OFFLINE!")</f>
        <v>DOCHÁZÍ</v>
      </c>
      <c r="AD968" s="734" t="str">
        <f ca="1">IF(AP968="NE",$V$10,IF(AC968=$V$3,IF(AQ968&lt;1,$V$8,$V$2&amp;" "&amp;AQ968&amp;" "&amp;$V$1),IF(AC968="SKLADEM",$V$6,IFERROR(IF(OR(AC968-TODAY()&gt;45,VLOOKUP(C968,[1]List1!$A:$E,4,FALSE)=0),AC968,DAY(AC968)&amp;"."&amp;MONTH(AC968)&amp;"."&amp;YEAR(AC968)&amp;" "&amp;$V$4&amp;VLOOKUP(C968,[1]List1!$A:$E,4,FALSE)&amp;" "&amp;$V$1),AC968))))</f>
        <v>POSLEDNÍCH 5 VK</v>
      </c>
      <c r="AE968" s="729" t="str">
        <f t="shared" ca="1" si="2448"/>
        <v>POSLEDNÍCH 5 VK</v>
      </c>
      <c r="AF968" s="735">
        <f t="shared" si="2449"/>
        <v>0</v>
      </c>
      <c r="AG968" s="735">
        <f t="shared" si="2450"/>
        <v>0</v>
      </c>
      <c r="AH968" s="736">
        <f t="shared" si="2451"/>
        <v>0</v>
      </c>
      <c r="AI968" s="729">
        <f t="shared" si="2452"/>
        <v>0</v>
      </c>
      <c r="AJ968" s="729">
        <f t="shared" si="2453"/>
        <v>0</v>
      </c>
      <c r="AK968" s="729" t="str">
        <f t="shared" si="2454"/>
        <v/>
      </c>
      <c r="AL968" s="729">
        <f t="shared" si="2455"/>
        <v>0</v>
      </c>
      <c r="AM968" s="729" t="str">
        <f t="shared" si="2456"/>
        <v/>
      </c>
      <c r="AN968" s="729">
        <f t="shared" si="2457"/>
        <v>0</v>
      </c>
      <c r="AO968" s="380"/>
      <c r="AP968" s="322" t="str">
        <f t="shared" si="2282"/>
        <v/>
      </c>
      <c r="AQ968" s="323">
        <f>IF(AC968=$V$3,IF(VLOOKUP(C968,[1]List1!$A:$E,5,FALSE)=0,1,VLOOKUP(C968,[1]List1!$A:$E,5,FALSE)),"")</f>
        <v>5</v>
      </c>
      <c r="AR968" s="304" t="str">
        <f t="shared" si="2283"/>
        <v/>
      </c>
      <c r="AS968" s="423" t="str">
        <f t="shared" si="2284"/>
        <v/>
      </c>
      <c r="AT968" s="304" t="str">
        <f t="shared" si="2285"/>
        <v/>
      </c>
      <c r="AU968" s="342" t="e">
        <f t="shared" si="2286"/>
        <v>#N/A</v>
      </c>
      <c r="AV968" s="304" t="e">
        <f t="shared" si="2287"/>
        <v>#N/A</v>
      </c>
      <c r="AX968" s="304">
        <f>IF(AND('General price list'!$J968="F4",'General price list'!$AB968+0&gt;0),1,0)</f>
        <v>0</v>
      </c>
      <c r="AY968" s="304">
        <f t="shared" si="2288"/>
        <v>1</v>
      </c>
      <c r="AZ968" s="304">
        <f t="shared" si="2289"/>
        <v>0</v>
      </c>
    </row>
    <row r="969" spans="1:52" ht="15" customHeight="1">
      <c r="A969" s="773" t="str">
        <f>Kat.!C966</f>
        <v xml:space="preserve">                                                               Baterie 25ran, 30mm moždíř</v>
      </c>
      <c r="B969" s="774"/>
      <c r="C969" s="774"/>
      <c r="D969" s="774"/>
      <c r="E969" s="774"/>
      <c r="F969" s="774"/>
      <c r="G969" s="774"/>
      <c r="H969" s="774"/>
      <c r="I969" s="774"/>
      <c r="J969" s="774"/>
      <c r="K969" s="774"/>
      <c r="L969" s="774"/>
      <c r="M969" s="774"/>
      <c r="N969" s="774"/>
      <c r="O969" s="774"/>
      <c r="P969" s="774"/>
      <c r="Q969" s="774"/>
      <c r="R969" s="774"/>
      <c r="S969" s="774"/>
      <c r="T969" s="774"/>
      <c r="U969" s="774"/>
      <c r="V969" s="774"/>
      <c r="W969" s="774"/>
      <c r="X969" s="774"/>
      <c r="Y969" s="774"/>
      <c r="Z969" s="774"/>
      <c r="AA969" s="774" t="str">
        <f>IFERROR(IF(VLOOKUP(C969,[4]List1!$A:$D,4,FALSE)=0,"",VLOOKUP(C969,[4]List1!$A:$D,4,FALSE)),"")</f>
        <v/>
      </c>
      <c r="AB969" s="774"/>
      <c r="AC969" s="775" t="str">
        <f>IFERROR(IF(VLOOKUP(C969,[1]List1!$A:$D,2,FALSE)="VYPRODÁNO",$V$9,IF(VLOOKUP(C969,[1]List1!$A:$D,2,FALSE)="DOCHÁZÍ",$V$3,VLOOKUP(C969,[1]List1!$A:$D,2,FALSE))),"OFFLINE!")</f>
        <v>OFFLINE!</v>
      </c>
      <c r="AD969" s="774"/>
      <c r="AE969" s="774"/>
      <c r="AF969" s="774"/>
      <c r="AG969" s="774"/>
      <c r="AH969" s="774"/>
      <c r="AI969" s="774"/>
      <c r="AJ969" s="774"/>
      <c r="AK969" s="774"/>
      <c r="AL969" s="774"/>
      <c r="AM969" s="774"/>
      <c r="AN969" s="774"/>
      <c r="AO969" s="380"/>
      <c r="AP969" s="322" t="str">
        <f t="shared" si="2282"/>
        <v/>
      </c>
      <c r="AQ969" s="323" t="str">
        <f>IF(AC969=$V$3,IF(VLOOKUP(C969,[1]List1!$A:$E,5,FALSE)=0,1,VLOOKUP(C969,[1]List1!$A:$E,5,FALSE)),"")</f>
        <v/>
      </c>
      <c r="AR969" s="304" t="str">
        <f t="shared" si="2283"/>
        <v/>
      </c>
      <c r="AS969" s="423" t="str">
        <f t="shared" si="2284"/>
        <v/>
      </c>
      <c r="AT969" s="304" t="str">
        <f t="shared" si="2285"/>
        <v/>
      </c>
      <c r="AU969" s="342" t="e">
        <f t="shared" si="2286"/>
        <v>#N/A</v>
      </c>
      <c r="AV969" s="304" t="e">
        <f t="shared" si="2287"/>
        <v>#N/A</v>
      </c>
      <c r="AX969" s="304">
        <f>IF(AND('General price list'!$J969="F4",'General price list'!$AB969+0&gt;0),1,0)</f>
        <v>0</v>
      </c>
      <c r="AY969" s="304">
        <f t="shared" si="2288"/>
        <v>0</v>
      </c>
      <c r="AZ969" s="304">
        <f t="shared" si="2289"/>
        <v>0</v>
      </c>
    </row>
    <row r="970" spans="1:52" ht="15" customHeight="1">
      <c r="A970" s="725" t="str">
        <f>Kat.!C967</f>
        <v/>
      </c>
      <c r="B970" s="741">
        <f>IF(AND('General price list'!$J970="F4",$AI$1=FALSE),0,IF(AC970="SKLADEM",1,IF(AC970=$V$3,1,0)))</f>
        <v>1</v>
      </c>
      <c r="C970" s="727" t="s">
        <v>1790</v>
      </c>
      <c r="D970" s="728" t="s">
        <v>1791</v>
      </c>
      <c r="E970" s="729" t="s">
        <v>1077</v>
      </c>
      <c r="F970" s="725">
        <f>IFERROR(ROUND(IF($AL$3=2,VLOOKUP(C970,[2]List1!$A:$D,2,FALSE)*1.08,VLOOKUP(C970,[2]List1!$A:$D,2,FALSE)),0),"NEUVEDENO!")</f>
        <v>565</v>
      </c>
      <c r="G970" s="730">
        <f t="shared" ref="G970:G971" si="2458">(F970)*$B$19</f>
        <v>565</v>
      </c>
      <c r="H970" s="731">
        <f t="shared" ref="H970:H971" si="2459">G970/$F$19</f>
        <v>22.959173307218123</v>
      </c>
      <c r="I970" s="742">
        <v>6</v>
      </c>
      <c r="J970" s="729" t="s">
        <v>137</v>
      </c>
      <c r="K970" s="729"/>
      <c r="L970" s="729"/>
      <c r="M970" s="729" t="s">
        <v>25</v>
      </c>
      <c r="N970" s="729">
        <f>IFERROR(VLOOKUP(C970,[3]List1!$A:$D,4,FALSE),"N/A!")</f>
        <v>4.681600000000001E-2</v>
      </c>
      <c r="O970" s="729">
        <f>IFERROR(VLOOKUP(C970,[3]List1!$A:$D,3,FALSE),"N/A!")</f>
        <v>2850</v>
      </c>
      <c r="P970" s="729">
        <f>IFERROR(VLOOKUP(C970,[3]List1!$A:$D,2,FALSE),"N/A!")</f>
        <v>16500</v>
      </c>
      <c r="Q970" s="729" t="s">
        <v>14352</v>
      </c>
      <c r="R970" s="729" t="s">
        <v>24</v>
      </c>
      <c r="S970" s="729" t="str">
        <f>IF($W$17=$AF$1,"design",IFERROR(VLOOKUP("design",Jazyky_ceník!$A:$Q,MATCH($W$17,Jazyky_ceník!$A$1:$Q$1,0),FALSE),"!!!"))</f>
        <v>design</v>
      </c>
      <c r="T970" s="729">
        <v>20</v>
      </c>
      <c r="U970" s="729">
        <v>40</v>
      </c>
      <c r="V970" s="729">
        <v>30</v>
      </c>
      <c r="W970" s="729" t="str">
        <f>IFERROR(VLOOKUP('General price list'!$C970,Popisy!A:P,MATCH($W$17,Popisy!$A$7:$P$7,0),FALSE),"---------------")</f>
        <v>white flashing fountain</v>
      </c>
      <c r="X970" s="729" t="str">
        <f t="shared" ref="X970:X971" si="2460">IF(AB970&lt;0.0001,"",AB970)</f>
        <v/>
      </c>
      <c r="Y970" s="729" t="str">
        <f t="shared" ref="Y970:Y971" si="2461">IF($AL$3=2,IF(OR(AB970&lt;&gt;"",AB970&lt;&gt;0),AU970,""),IF(C970="","",IF(AB970&lt;0.0001,"",IF(B970=0,"",IF(AQ970&lt;AB970,"",AB970)))))</f>
        <v/>
      </c>
      <c r="Z970" s="729" t="str">
        <f>HYPERLINK("https://www.klasekpyrotechnics.cz/c253ch")</f>
        <v>https://www.klasekpyrotechnics.cz/c253ch</v>
      </c>
      <c r="AA970" s="729" t="str">
        <f>IFERROR(IF(VLOOKUP(C970,[4]List1!$A:$D,4,FALSE)=0,"",VLOOKUP(C970,[4]List1!$A:$D,4,FALSE)),"")</f>
        <v>28</v>
      </c>
      <c r="AB970" s="720"/>
      <c r="AC970" s="743" t="str">
        <f>IFERROR(IF(VLOOKUP(C970,[1]List1!$A:$D,2,FALSE)="VYPRODÁNO",$V$9,IF(VLOOKUP(C970,[1]List1!$A:$D,2,FALSE)="DOCHÁZÍ",$V$3,VLOOKUP(C970,[1]List1!$A:$D,2,FALSE))),"OFFLINE!")</f>
        <v>DOCHÁZÍ</v>
      </c>
      <c r="AD970" s="744" t="str">
        <f ca="1">IF(AP970="NE",$V$10,IF(AC970=$V$3,IF(AQ970&lt;1,$V$8,$V$2&amp;" "&amp;AQ970&amp;" "&amp;$V$1),IF(AC970="SKLADEM",$V$6,IFERROR(IF(OR(AC970-TODAY()&gt;45,VLOOKUP(C970,[1]List1!$A:$E,4,FALSE)=0),AC970,DAY(AC970)&amp;"."&amp;MONTH(AC970)&amp;"."&amp;YEAR(AC970)&amp;" "&amp;$V$4&amp;VLOOKUP(C970,[1]List1!$A:$E,4,FALSE)&amp;" "&amp;$V$1),AC970))))</f>
        <v>POSLEDNÍCH 4 VK</v>
      </c>
      <c r="AE970" s="729" t="str">
        <f t="shared" ref="AE970:AE971" ca="1" si="2462">IFERROR(IF(AV970&lt;&gt;"",AV970,AD970),AD970)</f>
        <v>POSLEDNÍCH 4 VK</v>
      </c>
      <c r="AF970" s="735">
        <f t="shared" ref="AF970:AF971" si="2463">IFERROR(IF(AB970=Y970,G970*I970*Y970,0),0)</f>
        <v>0</v>
      </c>
      <c r="AG970" s="735">
        <f t="shared" ref="AG970:AG971" si="2464">IF($W$17=$AF$8,AH970*1.23,AF970*1.21)</f>
        <v>0</v>
      </c>
      <c r="AH970" s="736">
        <f t="shared" ref="AH970:AH971" si="2465">IFERROR(IF(Y970=AB970,H970*I970*Y970,0),0)</f>
        <v>0</v>
      </c>
      <c r="AI970" s="729">
        <f t="shared" ref="AI970:AI971" si="2466">IFERROR(IF(Y970=AB970,(P970*Y970)/1000,1),0)</f>
        <v>0</v>
      </c>
      <c r="AJ970" s="729">
        <f t="shared" ref="AJ970:AJ971" si="2467">IFERROR(IF(Y970=AB970,N970*Y970,0.1),0)</f>
        <v>0</v>
      </c>
      <c r="AK970" s="729" t="str">
        <f t="shared" ref="AK970:AK971" si="2468">IFERROR(IF(Y970=AB970,IF(M970="1.1G",(O970/1000)*Y970,""),""),0)</f>
        <v/>
      </c>
      <c r="AL970" s="729" t="str">
        <f t="shared" ref="AL970:AL971" si="2469">IFERROR(IF(Y970=AB970,IF(M970="1.3G",(O970/1000)*AB970,""),""),0)</f>
        <v/>
      </c>
      <c r="AM970" s="729">
        <f t="shared" ref="AM970:AM971" si="2470">IFERROR(IF(Y970=AB970,IF(M970="1.4G",(O970/1000)*AB970,""),""),0)</f>
        <v>0</v>
      </c>
      <c r="AN970" s="729">
        <f t="shared" ref="AN970:AN971" si="2471">SUM(AK970:AM970)</f>
        <v>0</v>
      </c>
      <c r="AO970" s="380"/>
      <c r="AP970" s="322" t="str">
        <f t="shared" si="2282"/>
        <v/>
      </c>
      <c r="AQ970" s="323">
        <f>IF(AC970=$V$3,IF(VLOOKUP(C970,[1]List1!$A:$E,5,FALSE)=0,1,VLOOKUP(C970,[1]List1!$A:$E,5,FALSE)),"")</f>
        <v>4</v>
      </c>
      <c r="AR970" s="304" t="str">
        <f t="shared" si="2283"/>
        <v/>
      </c>
      <c r="AS970" s="423" t="str">
        <f t="shared" si="2284"/>
        <v/>
      </c>
      <c r="AT970" s="304" t="str">
        <f t="shared" si="2285"/>
        <v/>
      </c>
      <c r="AU970" s="342" t="e">
        <f t="shared" si="2286"/>
        <v>#N/A</v>
      </c>
      <c r="AV970" s="304" t="e">
        <f t="shared" si="2287"/>
        <v>#N/A</v>
      </c>
      <c r="AX970" s="304">
        <f>IF(AND('General price list'!$J970="F4",'General price list'!$AB970+0&gt;0),1,0)</f>
        <v>0</v>
      </c>
      <c r="AY970" s="304">
        <f t="shared" si="2288"/>
        <v>1</v>
      </c>
      <c r="AZ970" s="304">
        <f t="shared" si="2289"/>
        <v>0</v>
      </c>
    </row>
    <row r="971" spans="1:52" ht="15" customHeight="1">
      <c r="A971" s="712" t="str">
        <f>Kat.!C968</f>
        <v/>
      </c>
      <c r="B971" s="745">
        <f>IF(AND('General price list'!$J971="F4",$AI$1=FALSE),0,IF(AC971="SKLADEM",1,IF(AC971=$V$3,1,0)))</f>
        <v>0</v>
      </c>
      <c r="C971" s="714" t="s">
        <v>1793</v>
      </c>
      <c r="D971" s="715" t="s">
        <v>1791</v>
      </c>
      <c r="E971" s="716" t="s">
        <v>1077</v>
      </c>
      <c r="F971" s="712">
        <f>IFERROR(ROUND(IF($AL$3=2,VLOOKUP(C971,[2]List1!$A:$D,2,FALSE)*1.08,VLOOKUP(C971,[2]List1!$A:$D,2,FALSE)),0),"NEUVEDENO!")</f>
        <v>565</v>
      </c>
      <c r="G971" s="717">
        <f t="shared" si="2458"/>
        <v>565</v>
      </c>
      <c r="H971" s="718">
        <f t="shared" si="2459"/>
        <v>22.959173307218123</v>
      </c>
      <c r="I971" s="746">
        <v>6</v>
      </c>
      <c r="J971" s="716" t="s">
        <v>137</v>
      </c>
      <c r="K971" s="716"/>
      <c r="L971" s="716"/>
      <c r="M971" s="716" t="s">
        <v>138</v>
      </c>
      <c r="N971" s="716">
        <f>IFERROR(VLOOKUP(C971,[3]List1!$A:$D,4,FALSE),"N/A!")</f>
        <v>4.681600000000001E-2</v>
      </c>
      <c r="O971" s="716">
        <f>IFERROR(VLOOKUP(C971,[3]List1!$A:$D,3,FALSE),"N/A!")</f>
        <v>2850</v>
      </c>
      <c r="P971" s="716">
        <f>IFERROR(VLOOKUP(C971,[3]List1!$A:$D,2,FALSE),"N/A!")</f>
        <v>18500</v>
      </c>
      <c r="Q971" s="716" t="s">
        <v>14352</v>
      </c>
      <c r="R971" s="716" t="s">
        <v>24</v>
      </c>
      <c r="S971" s="716" t="str">
        <f>IF($W$17=$AF$1,"design",IFERROR(VLOOKUP("design",Jazyky_ceník!$A:$Q,MATCH($W$17,Jazyky_ceník!$A$1:$Q$1,0),FALSE),"!!!"))</f>
        <v>design</v>
      </c>
      <c r="T971" s="716">
        <v>25</v>
      </c>
      <c r="U971" s="716">
        <v>40</v>
      </c>
      <c r="V971" s="716">
        <v>30</v>
      </c>
      <c r="W971" s="716" t="str">
        <f>IFERROR(VLOOKUP('General price list'!$C971,Popisy!A:P,MATCH($W$17,Popisy!$A$7:$P$7,0),FALSE),"---------------")</f>
        <v>golden crown w.golden shining pistil</v>
      </c>
      <c r="X971" s="716" t="str">
        <f t="shared" si="2460"/>
        <v/>
      </c>
      <c r="Y971" s="716" t="str">
        <f t="shared" si="2461"/>
        <v/>
      </c>
      <c r="Z971" s="716" t="str">
        <f>HYPERLINK("https://www.klasekpyrotechnics.cz/c253o")</f>
        <v>https://www.klasekpyrotechnics.cz/c253o</v>
      </c>
      <c r="AA971" s="716" t="str">
        <f>IFERROR(IF(VLOOKUP(C971,[4]List1!$A:$D,4,FALSE)=0,"",VLOOKUP(C971,[4]List1!$A:$D,4,FALSE)),"")</f>
        <v>28</v>
      </c>
      <c r="AB971" s="720"/>
      <c r="AC971" s="747" t="str">
        <f>IFERROR(IF(VLOOKUP(C971,[1]List1!$A:$D,2,FALSE)="VYPRODÁNO",$V$9,IF(VLOOKUP(C971,[1]List1!$A:$D,2,FALSE)="DOCHÁZÍ",$V$3,VLOOKUP(C971,[1]List1!$A:$D,2,FALSE))),"OFFLINE!")</f>
        <v>15.08.2024</v>
      </c>
      <c r="AD971" s="748" t="str">
        <f ca="1">IF(AP971="NE",$V$10,IF(AC971=$V$3,IF(AQ971&lt;1,$V$8,$V$2&amp;" "&amp;AQ971&amp;" "&amp;$V$1),IF(AC971="SKLADEM",$V$6,IFERROR(IF(OR(AC971-TODAY()&gt;45,VLOOKUP(C971,[1]List1!$A:$E,4,FALSE)=0),AC971,DAY(AC971)&amp;"."&amp;MONTH(AC971)&amp;"."&amp;YEAR(AC971)&amp;" "&amp;$V$4&amp;VLOOKUP(C971,[1]List1!$A:$E,4,FALSE)&amp;" "&amp;$V$1),AC971))))</f>
        <v>15.08.2024</v>
      </c>
      <c r="AE971" s="716" t="str">
        <f t="shared" ca="1" si="2462"/>
        <v>15.08.2024</v>
      </c>
      <c r="AF971" s="723">
        <f t="shared" si="2463"/>
        <v>0</v>
      </c>
      <c r="AG971" s="723">
        <f t="shared" si="2464"/>
        <v>0</v>
      </c>
      <c r="AH971" s="724">
        <f t="shared" si="2465"/>
        <v>0</v>
      </c>
      <c r="AI971" s="716">
        <f t="shared" si="2466"/>
        <v>0</v>
      </c>
      <c r="AJ971" s="716">
        <f t="shared" si="2467"/>
        <v>0</v>
      </c>
      <c r="AK971" s="716" t="str">
        <f t="shared" si="2468"/>
        <v/>
      </c>
      <c r="AL971" s="716">
        <f t="shared" si="2469"/>
        <v>0</v>
      </c>
      <c r="AM971" s="716" t="str">
        <f t="shared" si="2470"/>
        <v/>
      </c>
      <c r="AN971" s="716">
        <f t="shared" si="2471"/>
        <v>0</v>
      </c>
      <c r="AO971" s="380"/>
      <c r="AP971" s="322" t="str">
        <f t="shared" si="2282"/>
        <v/>
      </c>
      <c r="AQ971" s="323" t="str">
        <f>IF(AC971=$V$3,IF(VLOOKUP(C971,[1]List1!$A:$E,5,FALSE)=0,1,VLOOKUP(C971,[1]List1!$A:$E,5,FALSE)),"")</f>
        <v/>
      </c>
      <c r="AR971" s="304" t="str">
        <f t="shared" si="2283"/>
        <v/>
      </c>
      <c r="AS971" s="423" t="str">
        <f t="shared" si="2284"/>
        <v/>
      </c>
      <c r="AT971" s="304" t="str">
        <f t="shared" si="2285"/>
        <v/>
      </c>
      <c r="AU971" s="342" t="e">
        <f t="shared" si="2286"/>
        <v>#N/A</v>
      </c>
      <c r="AV971" s="304" t="e">
        <f t="shared" si="2287"/>
        <v>#N/A</v>
      </c>
      <c r="AX971" s="304">
        <f>IF(AND('General price list'!$J971="F4",'General price list'!$AB971+0&gt;0),1,0)</f>
        <v>0</v>
      </c>
      <c r="AY971" s="304">
        <f t="shared" si="2288"/>
        <v>1</v>
      </c>
      <c r="AZ971" s="304">
        <f t="shared" si="2289"/>
        <v>0</v>
      </c>
    </row>
    <row r="972" spans="1:52" ht="15" customHeight="1">
      <c r="A972" s="773" t="str">
        <f>Kat.!C969</f>
        <v xml:space="preserve">                                                               Baterie 50ran, 30mm moždíř</v>
      </c>
      <c r="B972" s="774"/>
      <c r="C972" s="774"/>
      <c r="D972" s="774"/>
      <c r="E972" s="774"/>
      <c r="F972" s="774"/>
      <c r="G972" s="774"/>
      <c r="H972" s="774"/>
      <c r="I972" s="774"/>
      <c r="J972" s="774"/>
      <c r="K972" s="774"/>
      <c r="L972" s="774"/>
      <c r="M972" s="774"/>
      <c r="N972" s="774"/>
      <c r="O972" s="774"/>
      <c r="P972" s="774"/>
      <c r="Q972" s="774"/>
      <c r="R972" s="774"/>
      <c r="S972" s="774"/>
      <c r="T972" s="774"/>
      <c r="U972" s="774"/>
      <c r="V972" s="774"/>
      <c r="W972" s="774"/>
      <c r="X972" s="774"/>
      <c r="Y972" s="774"/>
      <c r="Z972" s="774"/>
      <c r="AA972" s="774" t="str">
        <f>IFERROR(IF(VLOOKUP(C972,[4]List1!$A:$D,4,FALSE)=0,"",VLOOKUP(C972,[4]List1!$A:$D,4,FALSE)),"")</f>
        <v/>
      </c>
      <c r="AB972" s="774"/>
      <c r="AC972" s="775" t="str">
        <f>IFERROR(IF(VLOOKUP(C972,[1]List1!$A:$D,2,FALSE)="VYPRODÁNO",$V$9,IF(VLOOKUP(C972,[1]List1!$A:$D,2,FALSE)="DOCHÁZÍ",$V$3,VLOOKUP(C972,[1]List1!$A:$D,2,FALSE))),"OFFLINE!")</f>
        <v>OFFLINE!</v>
      </c>
      <c r="AD972" s="774"/>
      <c r="AE972" s="774"/>
      <c r="AF972" s="774"/>
      <c r="AG972" s="774"/>
      <c r="AH972" s="774"/>
      <c r="AI972" s="774"/>
      <c r="AJ972" s="774"/>
      <c r="AK972" s="774"/>
      <c r="AL972" s="774"/>
      <c r="AM972" s="774"/>
      <c r="AN972" s="774"/>
      <c r="AO972" s="380"/>
      <c r="AP972" s="322" t="str">
        <f t="shared" si="2282"/>
        <v/>
      </c>
      <c r="AQ972" s="323" t="str">
        <f>IF(AC972=$V$3,IF(VLOOKUP(C972,[1]List1!$A:$E,5,FALSE)=0,1,VLOOKUP(C972,[1]List1!$A:$E,5,FALSE)),"")</f>
        <v/>
      </c>
      <c r="AR972" s="304" t="str">
        <f t="shared" si="2283"/>
        <v/>
      </c>
      <c r="AS972" s="423" t="str">
        <f t="shared" si="2284"/>
        <v/>
      </c>
      <c r="AT972" s="304" t="str">
        <f t="shared" si="2285"/>
        <v/>
      </c>
      <c r="AU972" s="342" t="e">
        <f t="shared" si="2286"/>
        <v>#N/A</v>
      </c>
      <c r="AV972" s="304" t="e">
        <f t="shared" si="2287"/>
        <v>#N/A</v>
      </c>
      <c r="AX972" s="304">
        <f>IF(AND('General price list'!$J972="F4",'General price list'!$AB972+0&gt;0),1,0)</f>
        <v>0</v>
      </c>
      <c r="AY972" s="304">
        <f t="shared" si="2288"/>
        <v>0</v>
      </c>
      <c r="AZ972" s="304">
        <f t="shared" si="2289"/>
        <v>0</v>
      </c>
    </row>
    <row r="973" spans="1:52" ht="15" customHeight="1">
      <c r="A973" s="712" t="str">
        <f>Kat.!C970</f>
        <v>×</v>
      </c>
      <c r="B973" s="713">
        <f>IF(AND('General price list'!$J973="F4",$AI$1=FALSE),0,IF(AC973="SKLADEM",1,IF(AC973=$V$3,1,0)))</f>
        <v>0</v>
      </c>
      <c r="C973" s="714" t="s">
        <v>1808</v>
      </c>
      <c r="D973" s="715" t="s">
        <v>1809</v>
      </c>
      <c r="E973" s="716" t="s">
        <v>1078</v>
      </c>
      <c r="F973" s="712">
        <f>IFERROR(ROUND(IF($AL$3=2,VLOOKUP(C973,[2]List1!$A:$D,2,FALSE)*1.08,VLOOKUP(C973,[2]List1!$A:$D,2,FALSE)),0),"NEUVEDENO!")</f>
        <v>1142</v>
      </c>
      <c r="G973" s="717">
        <f>(F973)*$B$19</f>
        <v>1142</v>
      </c>
      <c r="H973" s="718">
        <f>G973/$F$19</f>
        <v>46.405975074058574</v>
      </c>
      <c r="I973" s="719">
        <v>2</v>
      </c>
      <c r="J973" s="716" t="s">
        <v>137</v>
      </c>
      <c r="K973" s="716"/>
      <c r="L973" s="716"/>
      <c r="M973" s="716" t="s">
        <v>138</v>
      </c>
      <c r="N973" s="716">
        <f>IFERROR(VLOOKUP(C973,[3]List1!$A:$D,4,FALSE),"N/A!")</f>
        <v>3.2171499999999999E-2</v>
      </c>
      <c r="O973" s="716">
        <f>IFERROR(VLOOKUP(C973,[3]List1!$A:$D,3,FALSE),"N/A!")</f>
        <v>1900</v>
      </c>
      <c r="P973" s="716">
        <f>IFERROR(VLOOKUP(C973,[3]List1!$A:$D,2,FALSE),"N/A!")</f>
        <v>13700</v>
      </c>
      <c r="Q973" s="716" t="s">
        <v>1540</v>
      </c>
      <c r="R973" s="716" t="s">
        <v>24</v>
      </c>
      <c r="S973" s="716" t="str">
        <f>IF($W$17=$AF$1,"červená fólie",IFERROR(VLOOKUP("červená fólie",Jazyky_ceník!$A:$Q,MATCH($W$17,Jazyky_ceník!$A$1:$Q$1,0),FALSE),"!!!"))</f>
        <v>červená fólie</v>
      </c>
      <c r="T973" s="716">
        <v>15</v>
      </c>
      <c r="U973" s="716">
        <v>40</v>
      </c>
      <c r="V973" s="716">
        <v>30</v>
      </c>
      <c r="W973" s="716" t="str">
        <f>IFERROR(VLOOKUP('General price list'!$C973,Popisy!A:P,MATCH($W$17,Popisy!$A$7:$P$7,0),FALSE),"---------------")</f>
        <v>violet flower with brocade crown</v>
      </c>
      <c r="X973" s="716" t="str">
        <f>IF(AB973&lt;0.0001,"",AB973)</f>
        <v/>
      </c>
      <c r="Y973" s="716" t="str">
        <f>IF($AL$3=2,IF(OR(AB973&lt;&gt;"",AB973&lt;&gt;0),AU973,""),IF(C973="","",IF(AB973&lt;0.0001,"",IF(B973=0,"",IF(AQ973&lt;AB973,"",AB973)))))</f>
        <v/>
      </c>
      <c r="Z973" s="716" t="str">
        <f>HYPERLINK("https://www.klasekpyrotechnics.cz/c503t")</f>
        <v>https://www.klasekpyrotechnics.cz/c503t</v>
      </c>
      <c r="AA973" s="716">
        <f>IFERROR(IF(VLOOKUP(C973,[4]List1!$A:$D,4,FALSE)=0,"",VLOOKUP(C973,[4]List1!$A:$D,4,FALSE)),"")</f>
        <v>42</v>
      </c>
      <c r="AB973" s="720"/>
      <c r="AC973" s="721" t="str">
        <f>IFERROR(IF(VLOOKUP(C973,[1]List1!$A:$D,2,FALSE)="VYPRODÁNO",$V$9,IF(VLOOKUP(C973,[1]List1!$A:$D,2,FALSE)="DOCHÁZÍ",$V$3,VLOOKUP(C973,[1]List1!$A:$D,2,FALSE))),"OFFLINE!")</f>
        <v>VYPRODÁNO</v>
      </c>
      <c r="AD973" s="722" t="str">
        <f ca="1">IF(AP973="NE",$V$10,IF(AC973=$V$3,IF(AQ973&lt;1,$V$8,$V$2&amp;" "&amp;AQ973&amp;" "&amp;$V$1),IF(AC973="SKLADEM",$V$6,IFERROR(IF(OR(AC973-TODAY()&gt;45,VLOOKUP(C973,[1]List1!$A:$E,4,FALSE)=0),AC973,DAY(AC973)&amp;"."&amp;MONTH(AC973)&amp;"."&amp;YEAR(AC973)&amp;" "&amp;$V$4&amp;VLOOKUP(C973,[1]List1!$A:$E,4,FALSE)&amp;" "&amp;$V$1),AC973))))</f>
        <v>VYPRODÁNO</v>
      </c>
      <c r="AE973" s="716" t="str">
        <f t="shared" ref="AE973" ca="1" si="2472">IFERROR(IF(AV973&lt;&gt;"",AV973,AD973),AD973)</f>
        <v>VYPRODÁNO</v>
      </c>
      <c r="AF973" s="723">
        <f t="shared" ref="AF973" si="2473">IFERROR(IF(AB973=Y973,G973*I973*Y973,0),0)</f>
        <v>0</v>
      </c>
      <c r="AG973" s="723">
        <f t="shared" ref="AG973" si="2474">IF($W$17=$AF$8,AH973*1.23,AF973*1.21)</f>
        <v>0</v>
      </c>
      <c r="AH973" s="724">
        <f t="shared" ref="AH973" si="2475">IFERROR(IF(Y973=AB973,H973*I973*Y973,0),0)</f>
        <v>0</v>
      </c>
      <c r="AI973" s="716">
        <f t="shared" ref="AI973" si="2476">IFERROR(IF(Y973=AB973,(P973*Y973)/1000,1),0)</f>
        <v>0</v>
      </c>
      <c r="AJ973" s="716">
        <f t="shared" ref="AJ973" si="2477">IFERROR(IF(Y973=AB973,N973*Y973,0.1),0)</f>
        <v>0</v>
      </c>
      <c r="AK973" s="716" t="str">
        <f t="shared" ref="AK973" si="2478">IFERROR(IF(Y973=AB973,IF(M973="1.1G",(O973/1000)*Y973,""),""),0)</f>
        <v/>
      </c>
      <c r="AL973" s="716">
        <f t="shared" ref="AL973" si="2479">IFERROR(IF(Y973=AB973,IF(M973="1.3G",(O973/1000)*AB973,""),""),0)</f>
        <v>0</v>
      </c>
      <c r="AM973" s="716" t="str">
        <f t="shared" ref="AM973" si="2480">IFERROR(IF(Y973=AB973,IF(M973="1.4G",(O973/1000)*AB973,""),""),0)</f>
        <v/>
      </c>
      <c r="AN973" s="716">
        <f t="shared" ref="AN973" si="2481">SUM(AK973:AM973)</f>
        <v>0</v>
      </c>
      <c r="AO973" s="380"/>
      <c r="AP973" s="322" t="str">
        <f t="shared" si="2282"/>
        <v/>
      </c>
      <c r="AQ973" s="323" t="str">
        <f>IF(AC973=$V$3,IF(VLOOKUP(C973,[1]List1!$A:$E,5,FALSE)=0,1,VLOOKUP(C973,[1]List1!$A:$E,5,FALSE)),"")</f>
        <v/>
      </c>
      <c r="AR973" s="304" t="str">
        <f t="shared" si="2283"/>
        <v/>
      </c>
      <c r="AS973" s="423" t="str">
        <f t="shared" si="2284"/>
        <v/>
      </c>
      <c r="AT973" s="304" t="str">
        <f t="shared" si="2285"/>
        <v/>
      </c>
      <c r="AU973" s="342" t="e">
        <f t="shared" si="2286"/>
        <v>#N/A</v>
      </c>
      <c r="AV973" s="304" t="e">
        <f t="shared" si="2287"/>
        <v>#N/A</v>
      </c>
      <c r="AX973" s="304">
        <f>IF(AND('General price list'!$J973="F4",'General price list'!$AB973+0&gt;0),1,0)</f>
        <v>0</v>
      </c>
      <c r="AY973" s="304">
        <f t="shared" si="2288"/>
        <v>1</v>
      </c>
      <c r="AZ973" s="304">
        <f t="shared" si="2289"/>
        <v>0</v>
      </c>
    </row>
    <row r="974" spans="1:52" ht="15" customHeight="1">
      <c r="A974" s="773" t="str">
        <f>Kat.!C971</f>
        <v xml:space="preserve">                                                               Baterie 50ran, 30mm šikmý moždíř</v>
      </c>
      <c r="B974" s="774"/>
      <c r="C974" s="774"/>
      <c r="D974" s="774"/>
      <c r="E974" s="774"/>
      <c r="F974" s="774"/>
      <c r="G974" s="774"/>
      <c r="H974" s="774"/>
      <c r="I974" s="774"/>
      <c r="J974" s="774"/>
      <c r="K974" s="774"/>
      <c r="L974" s="774"/>
      <c r="M974" s="774"/>
      <c r="N974" s="774"/>
      <c r="O974" s="774"/>
      <c r="P974" s="774"/>
      <c r="Q974" s="774"/>
      <c r="R974" s="774"/>
      <c r="S974" s="774"/>
      <c r="T974" s="774"/>
      <c r="U974" s="774"/>
      <c r="V974" s="774"/>
      <c r="W974" s="774"/>
      <c r="X974" s="774"/>
      <c r="Y974" s="774"/>
      <c r="Z974" s="774"/>
      <c r="AA974" s="774" t="str">
        <f>IFERROR(IF(VLOOKUP(C974,[4]List1!$A:$D,4,FALSE)=0,"",VLOOKUP(C974,[4]List1!$A:$D,4,FALSE)),"")</f>
        <v/>
      </c>
      <c r="AB974" s="774"/>
      <c r="AC974" s="775" t="str">
        <f>IFERROR(IF(VLOOKUP(C974,[1]List1!$A:$D,2,FALSE)="VYPRODÁNO",$V$9,IF(VLOOKUP(C974,[1]List1!$A:$D,2,FALSE)="DOCHÁZÍ",$V$3,VLOOKUP(C974,[1]List1!$A:$D,2,FALSE))),"OFFLINE!")</f>
        <v>OFFLINE!</v>
      </c>
      <c r="AD974" s="774"/>
      <c r="AE974" s="774"/>
      <c r="AF974" s="774"/>
      <c r="AG974" s="774"/>
      <c r="AH974" s="774"/>
      <c r="AI974" s="774"/>
      <c r="AJ974" s="774"/>
      <c r="AK974" s="774"/>
      <c r="AL974" s="774"/>
      <c r="AM974" s="774"/>
      <c r="AN974" s="774"/>
      <c r="AO974" s="380"/>
      <c r="AP974" s="322" t="str">
        <f t="shared" si="2282"/>
        <v/>
      </c>
      <c r="AQ974" s="323" t="str">
        <f>IF(AC974=$V$3,IF(VLOOKUP(C974,[1]List1!$A:$E,5,FALSE)=0,1,VLOOKUP(C974,[1]List1!$A:$E,5,FALSE)),"")</f>
        <v/>
      </c>
      <c r="AR974" s="304" t="str">
        <f t="shared" si="2283"/>
        <v/>
      </c>
      <c r="AS974" s="423" t="str">
        <f t="shared" si="2284"/>
        <v/>
      </c>
      <c r="AT974" s="304" t="str">
        <f t="shared" si="2285"/>
        <v/>
      </c>
      <c r="AU974" s="342" t="e">
        <f t="shared" si="2286"/>
        <v>#N/A</v>
      </c>
      <c r="AV974" s="304" t="e">
        <f t="shared" si="2287"/>
        <v>#N/A</v>
      </c>
      <c r="AX974" s="304">
        <f>IF(AND('General price list'!$J974="F4",'General price list'!$AB974+0&gt;0),1,0)</f>
        <v>0</v>
      </c>
      <c r="AY974" s="304">
        <f t="shared" si="2288"/>
        <v>0</v>
      </c>
      <c r="AZ974" s="304">
        <f t="shared" si="2289"/>
        <v>0</v>
      </c>
    </row>
    <row r="975" spans="1:52" ht="15" customHeight="1">
      <c r="A975" s="712" t="str">
        <f>Kat.!C972</f>
        <v/>
      </c>
      <c r="B975" s="713">
        <f>IF(AND('General price list'!$J975="F4",$AI$1=FALSE),0,IF(AC975="SKLADEM",1,IF(AC975=$V$3,1,0)))</f>
        <v>0</v>
      </c>
      <c r="C975" s="714" t="s">
        <v>1813</v>
      </c>
      <c r="D975" s="715" t="s">
        <v>1231</v>
      </c>
      <c r="E975" s="716" t="s">
        <v>1078</v>
      </c>
      <c r="F975" s="712">
        <f>IFERROR(ROUND(IF($AL$3=2,VLOOKUP(C975,[2]List1!$A:$D,2,FALSE)*1.08,VLOOKUP(C975,[2]List1!$A:$D,2,FALSE)),0),"NEUVEDENO!")</f>
        <v>1655</v>
      </c>
      <c r="G975" s="717">
        <f t="shared" ref="G975:G987" si="2482">(F975)*$B$19</f>
        <v>1655</v>
      </c>
      <c r="H975" s="718">
        <f t="shared" ref="H975:H987" si="2483">G975/$F$19</f>
        <v>67.252091722913264</v>
      </c>
      <c r="I975" s="719">
        <v>2</v>
      </c>
      <c r="J975" s="716" t="s">
        <v>137</v>
      </c>
      <c r="K975" s="716"/>
      <c r="L975" s="716" t="s">
        <v>24</v>
      </c>
      <c r="M975" s="716" t="s">
        <v>138</v>
      </c>
      <c r="N975" s="716">
        <f>IFERROR(VLOOKUP(C975,[3]List1!$A:$D,4,FALSE),"N/A!")</f>
        <v>5.6629124999999995E-2</v>
      </c>
      <c r="O975" s="716">
        <f>IFERROR(VLOOKUP(C975,[3]List1!$A:$D,3,FALSE),"N/A!")</f>
        <v>1900</v>
      </c>
      <c r="P975" s="716">
        <f>IFERROR(VLOOKUP(C975,[3]List1!$A:$D,2,FALSE),"N/A!")</f>
        <v>15400</v>
      </c>
      <c r="Q975" s="716" t="s">
        <v>1814</v>
      </c>
      <c r="R975" s="716" t="s">
        <v>24</v>
      </c>
      <c r="S975" s="716" t="str">
        <f>IF($W$17=$AF$1,"design",IFERROR(VLOOKUP("design",Jazyky_ceník!$A:$Q,MATCH($W$17,Jazyky_ceník!$A$1:$Q$1,0),FALSE),"!!!"))</f>
        <v>design</v>
      </c>
      <c r="T975" s="716">
        <v>15</v>
      </c>
      <c r="U975" s="716">
        <v>40</v>
      </c>
      <c r="V975" s="716">
        <v>30</v>
      </c>
      <c r="W975" s="716" t="str">
        <f>IFERROR(VLOOKUP('General price list'!$C975,Popisy!A:P,MATCH($W$17,Popisy!$A$7:$P$7,0),FALSE),"---------------")</f>
        <v>red tail up to brocade crown+blue- salvo 10sh together</v>
      </c>
      <c r="X975" s="716" t="str">
        <f t="shared" ref="X975:X987" si="2484">IF(AB975&lt;0.0001,"",AB975)</f>
        <v/>
      </c>
      <c r="Y975" s="716" t="str">
        <f t="shared" ref="Y975:Y987" si="2485">IF($AL$3=2,IF(OR(AB975&lt;&gt;"",AB975&lt;&gt;0),AU975,""),IF(C975="","",IF(AB975&lt;0.0001,"",IF(B975=0,"",IF(AQ975&lt;AB975,"",AB975)))))</f>
        <v/>
      </c>
      <c r="Z975" s="716" t="str">
        <f>HYPERLINK("https://www.klasekpyrotechnics.cz/cf503x3")</f>
        <v>https://www.klasekpyrotechnics.cz/cf503x3</v>
      </c>
      <c r="AA975" s="716">
        <f>IFERROR(IF(VLOOKUP(C975,[4]List1!$A:$D,4,FALSE)=0,"",VLOOKUP(C975,[4]List1!$A:$D,4,FALSE)),"")</f>
        <v>28</v>
      </c>
      <c r="AB975" s="720"/>
      <c r="AC975" s="721" t="str">
        <f>IFERROR(IF(VLOOKUP(C975,[1]List1!$A:$D,2,FALSE)="VYPRODÁNO",$V$9,IF(VLOOKUP(C975,[1]List1!$A:$D,2,FALSE)="DOCHÁZÍ",$V$3,VLOOKUP(C975,[1]List1!$A:$D,2,FALSE))),"OFFLINE!")</f>
        <v>30.09.2024</v>
      </c>
      <c r="AD975" s="722" t="str">
        <f ca="1">IF(AP975="NE",$V$10,IF(AC975=$V$3,IF(AQ975&lt;1,$V$8,$V$2&amp;" "&amp;AQ975&amp;" "&amp;$V$1),IF(AC975="SKLADEM",$V$6,IFERROR(IF(OR(AC975-TODAY()&gt;45,VLOOKUP(C975,[1]List1!$A:$E,4,FALSE)=0),AC975,DAY(AC975)&amp;"."&amp;MONTH(AC975)&amp;"."&amp;YEAR(AC975)&amp;" "&amp;$V$4&amp;VLOOKUP(C975,[1]List1!$A:$E,4,FALSE)&amp;" "&amp;$V$1),AC975))))</f>
        <v>30.09.2024</v>
      </c>
      <c r="AE975" s="716" t="str">
        <f t="shared" ref="AE975:AE987" ca="1" si="2486">IFERROR(IF(AV975&lt;&gt;"",AV975,AD975),AD975)</f>
        <v>30.09.2024</v>
      </c>
      <c r="AF975" s="723">
        <f t="shared" ref="AF975:AF987" si="2487">IFERROR(IF(AB975=Y975,G975*I975*Y975,0),0)</f>
        <v>0</v>
      </c>
      <c r="AG975" s="723">
        <f t="shared" ref="AG975:AG987" si="2488">IF($W$17=$AF$8,AH975*1.23,AF975*1.21)</f>
        <v>0</v>
      </c>
      <c r="AH975" s="724">
        <f t="shared" ref="AH975:AH987" si="2489">IFERROR(IF(Y975=AB975,H975*I975*Y975,0),0)</f>
        <v>0</v>
      </c>
      <c r="AI975" s="716">
        <f t="shared" ref="AI975:AI987" si="2490">IFERROR(IF(Y975=AB975,(P975*Y975)/1000,1),0)</f>
        <v>0</v>
      </c>
      <c r="AJ975" s="716">
        <f t="shared" ref="AJ975:AJ987" si="2491">IFERROR(IF(Y975=AB975,N975*Y975,0.1),0)</f>
        <v>0</v>
      </c>
      <c r="AK975" s="716" t="str">
        <f t="shared" ref="AK975:AK987" si="2492">IFERROR(IF(Y975=AB975,IF(M975="1.1G",(O975/1000)*Y975,""),""),0)</f>
        <v/>
      </c>
      <c r="AL975" s="716">
        <f t="shared" ref="AL975:AL987" si="2493">IFERROR(IF(Y975=AB975,IF(M975="1.3G",(O975/1000)*AB975,""),""),0)</f>
        <v>0</v>
      </c>
      <c r="AM975" s="716" t="str">
        <f t="shared" ref="AM975:AM987" si="2494">IFERROR(IF(Y975=AB975,IF(M975="1.4G",(O975/1000)*AB975,""),""),0)</f>
        <v/>
      </c>
      <c r="AN975" s="716">
        <f t="shared" ref="AN975:AN987" si="2495">SUM(AK975:AM975)</f>
        <v>0</v>
      </c>
      <c r="AO975" s="380"/>
      <c r="AP975" s="322" t="str">
        <f t="shared" si="2282"/>
        <v/>
      </c>
      <c r="AQ975" s="323" t="str">
        <f>IF(AC975=$V$3,IF(VLOOKUP(C975,[1]List1!$A:$E,5,FALSE)=0,1,VLOOKUP(C975,[1]List1!$A:$E,5,FALSE)),"")</f>
        <v/>
      </c>
      <c r="AR975" s="304" t="str">
        <f t="shared" si="2283"/>
        <v/>
      </c>
      <c r="AS975" s="423" t="str">
        <f t="shared" si="2284"/>
        <v/>
      </c>
      <c r="AT975" s="304" t="str">
        <f t="shared" si="2285"/>
        <v/>
      </c>
      <c r="AU975" s="342" t="e">
        <f t="shared" si="2286"/>
        <v>#N/A</v>
      </c>
      <c r="AV975" s="304" t="e">
        <f t="shared" si="2287"/>
        <v>#N/A</v>
      </c>
      <c r="AX975" s="304">
        <f>IF(AND('General price list'!$J975="F4",'General price list'!$AB975+0&gt;0),1,0)</f>
        <v>0</v>
      </c>
      <c r="AY975" s="304">
        <f t="shared" si="2288"/>
        <v>1</v>
      </c>
      <c r="AZ975" s="304">
        <f t="shared" si="2289"/>
        <v>0</v>
      </c>
    </row>
    <row r="976" spans="1:52" ht="15" customHeight="1">
      <c r="A976" s="725" t="str">
        <f>Kat.!C973</f>
        <v/>
      </c>
      <c r="B976" s="726">
        <f>IF(AND('General price list'!$J976="F4",$AI$1=FALSE),0,IF(AC976="SKLADEM",1,IF(AC976=$V$3,1,0)))</f>
        <v>1</v>
      </c>
      <c r="C976" s="727" t="s">
        <v>1816</v>
      </c>
      <c r="D976" s="728" t="s">
        <v>1231</v>
      </c>
      <c r="E976" s="729" t="s">
        <v>1078</v>
      </c>
      <c r="F976" s="725">
        <f>IFERROR(ROUND(IF($AL$3=2,VLOOKUP(C976,[2]List1!$A:$D,2,FALSE)*1.08,VLOOKUP(C976,[2]List1!$A:$D,2,FALSE)),0),"NEUVEDENO!")</f>
        <v>1600</v>
      </c>
      <c r="G976" s="730">
        <f t="shared" si="2482"/>
        <v>1600</v>
      </c>
      <c r="H976" s="731">
        <f t="shared" si="2483"/>
        <v>65.017127949644234</v>
      </c>
      <c r="I976" s="732">
        <v>2</v>
      </c>
      <c r="J976" s="729" t="s">
        <v>137</v>
      </c>
      <c r="K976" s="729"/>
      <c r="L976" s="729" t="s">
        <v>24</v>
      </c>
      <c r="M976" s="729" t="s">
        <v>138</v>
      </c>
      <c r="N976" s="729">
        <f>IFERROR(VLOOKUP(C976,[3]List1!$A:$D,4,FALSE),"N/A!")</f>
        <v>5.6629124999999995E-2</v>
      </c>
      <c r="O976" s="729">
        <f>IFERROR(VLOOKUP(C976,[3]List1!$A:$D,3,FALSE),"N/A!")</f>
        <v>1900</v>
      </c>
      <c r="P976" s="729">
        <f>IFERROR(VLOOKUP(C976,[3]List1!$A:$D,2,FALSE),"N/A!")</f>
        <v>13900</v>
      </c>
      <c r="Q976" s="729" t="s">
        <v>14303</v>
      </c>
      <c r="R976" s="729" t="s">
        <v>24</v>
      </c>
      <c r="S976" s="729" t="str">
        <f>IF($W$17=$AF$1,"design",IFERROR(VLOOKUP("design",Jazyky_ceník!$A:$Q,MATCH($W$17,Jazyky_ceník!$A$1:$Q$1,0),FALSE),"!!!"))</f>
        <v>design</v>
      </c>
      <c r="T976" s="729">
        <v>20</v>
      </c>
      <c r="U976" s="729">
        <v>40</v>
      </c>
      <c r="V976" s="729">
        <v>30</v>
      </c>
      <c r="W976" s="729" t="str">
        <f>IFERROR(VLOOKUP('General price list'!$C976,Popisy!A:P,MATCH($W$17,Popisy!$A$7:$P$7,0),FALSE),"---------------")</f>
        <v>two side: star middle: gold willow+crackling chry- salvo 10sh together</v>
      </c>
      <c r="X976" s="729" t="str">
        <f t="shared" si="2484"/>
        <v/>
      </c>
      <c r="Y976" s="729" t="str">
        <f t="shared" si="2485"/>
        <v/>
      </c>
      <c r="Z976" s="729" t="str">
        <f>HYPERLINK("https://www.klasekpyrotechnics.cz/cf503x4")</f>
        <v>https://www.klasekpyrotechnics.cz/cf503x4</v>
      </c>
      <c r="AA976" s="729">
        <f>IFERROR(IF(VLOOKUP(C976,[4]List1!$A:$D,4,FALSE)=0,"",VLOOKUP(C976,[4]List1!$A:$D,4,FALSE)),"")</f>
        <v>28</v>
      </c>
      <c r="AB976" s="720"/>
      <c r="AC976" s="733" t="str">
        <f>IFERROR(IF(VLOOKUP(C976,[1]List1!$A:$D,2,FALSE)="VYPRODÁNO",$V$9,IF(VLOOKUP(C976,[1]List1!$A:$D,2,FALSE)="DOCHÁZÍ",$V$3,VLOOKUP(C976,[1]List1!$A:$D,2,FALSE))),"OFFLINE!")</f>
        <v>SKLADEM</v>
      </c>
      <c r="AD976" s="734" t="str">
        <f ca="1">IF(AP976="NE",$V$10,IF(AC976=$V$3,IF(AQ976&lt;1,$V$8,$V$2&amp;" "&amp;AQ976&amp;" "&amp;$V$1),IF(AC976="SKLADEM",$V$6,IFERROR(IF(OR(AC976-TODAY()&gt;45,VLOOKUP(C976,[1]List1!$A:$E,4,FALSE)=0),AC976,DAY(AC976)&amp;"."&amp;MONTH(AC976)&amp;"."&amp;YEAR(AC976)&amp;" "&amp;$V$4&amp;VLOOKUP(C976,[1]List1!$A:$E,4,FALSE)&amp;" "&amp;$V$1),AC976))))</f>
        <v>SKLADEM</v>
      </c>
      <c r="AE976" s="729" t="str">
        <f t="shared" ca="1" si="2486"/>
        <v>SKLADEM</v>
      </c>
      <c r="AF976" s="735">
        <f t="shared" si="2487"/>
        <v>0</v>
      </c>
      <c r="AG976" s="735">
        <f t="shared" si="2488"/>
        <v>0</v>
      </c>
      <c r="AH976" s="736">
        <f t="shared" si="2489"/>
        <v>0</v>
      </c>
      <c r="AI976" s="729">
        <f t="shared" si="2490"/>
        <v>0</v>
      </c>
      <c r="AJ976" s="729">
        <f t="shared" si="2491"/>
        <v>0</v>
      </c>
      <c r="AK976" s="729" t="str">
        <f t="shared" si="2492"/>
        <v/>
      </c>
      <c r="AL976" s="729">
        <f t="shared" si="2493"/>
        <v>0</v>
      </c>
      <c r="AM976" s="729" t="str">
        <f t="shared" si="2494"/>
        <v/>
      </c>
      <c r="AN976" s="729">
        <f t="shared" si="2495"/>
        <v>0</v>
      </c>
      <c r="AO976" s="380"/>
      <c r="AP976" s="322" t="str">
        <f t="shared" si="2282"/>
        <v/>
      </c>
      <c r="AQ976" s="323" t="str">
        <f>IF(AC976=$V$3,IF(VLOOKUP(C976,[1]List1!$A:$E,5,FALSE)=0,1,VLOOKUP(C976,[1]List1!$A:$E,5,FALSE)),"")</f>
        <v/>
      </c>
      <c r="AR976" s="304" t="str">
        <f t="shared" si="2283"/>
        <v/>
      </c>
      <c r="AS976" s="423" t="str">
        <f t="shared" si="2284"/>
        <v/>
      </c>
      <c r="AT976" s="304" t="str">
        <f t="shared" si="2285"/>
        <v/>
      </c>
      <c r="AU976" s="342" t="e">
        <f t="shared" si="2286"/>
        <v>#N/A</v>
      </c>
      <c r="AV976" s="304" t="e">
        <f t="shared" si="2287"/>
        <v>#N/A</v>
      </c>
      <c r="AX976" s="304">
        <f>IF(AND('General price list'!$J976="F4",'General price list'!$AB976+0&gt;0),1,0)</f>
        <v>0</v>
      </c>
      <c r="AY976" s="304">
        <f t="shared" si="2288"/>
        <v>1</v>
      </c>
      <c r="AZ976" s="304">
        <f t="shared" si="2289"/>
        <v>0</v>
      </c>
    </row>
    <row r="977" spans="1:52" ht="15" customHeight="1">
      <c r="A977" s="712" t="str">
        <f>Kat.!C974</f>
        <v/>
      </c>
      <c r="B977" s="737">
        <f>IF(AND('General price list'!$J977="F4",$AI$1=FALSE),0,IF(AC977="SKLADEM",1,IF(AC977=$V$3,1,0)))</f>
        <v>1</v>
      </c>
      <c r="C977" s="714" t="s">
        <v>1818</v>
      </c>
      <c r="D977" s="715" t="s">
        <v>1231</v>
      </c>
      <c r="E977" s="716" t="s">
        <v>1078</v>
      </c>
      <c r="F977" s="712">
        <f>IFERROR(ROUND(IF($AL$3=2,VLOOKUP(C977,[2]List1!$A:$D,2,FALSE)*1.08,VLOOKUP(C977,[2]List1!$A:$D,2,FALSE)),0),"NEUVEDENO!")</f>
        <v>1600</v>
      </c>
      <c r="G977" s="717">
        <f t="shared" si="2482"/>
        <v>1600</v>
      </c>
      <c r="H977" s="718">
        <f t="shared" si="2483"/>
        <v>65.017127949644234</v>
      </c>
      <c r="I977" s="738">
        <v>2</v>
      </c>
      <c r="J977" s="716" t="s">
        <v>137</v>
      </c>
      <c r="K977" s="716"/>
      <c r="L977" s="716" t="s">
        <v>24</v>
      </c>
      <c r="M977" s="716" t="s">
        <v>138</v>
      </c>
      <c r="N977" s="716">
        <f>IFERROR(VLOOKUP(C977,[3]List1!$A:$D,4,FALSE),"N/A!")</f>
        <v>5.6629124999999995E-2</v>
      </c>
      <c r="O977" s="716">
        <f>IFERROR(VLOOKUP(C977,[3]List1!$A:$D,3,FALSE),"N/A!")</f>
        <v>1900</v>
      </c>
      <c r="P977" s="716">
        <f>IFERROR(VLOOKUP(C977,[3]List1!$A:$D,2,FALSE),"N/A!")</f>
        <v>13000</v>
      </c>
      <c r="Q977" s="716" t="s">
        <v>14303</v>
      </c>
      <c r="R977" s="716" t="s">
        <v>24</v>
      </c>
      <c r="S977" s="716" t="str">
        <f>IF($W$17=$AF$1,"design",IFERROR(VLOOKUP("design",Jazyky_ceník!$A:$Q,MATCH($W$17,Jazyky_ceník!$A$1:$Q$1,0),FALSE),"!!!"))</f>
        <v>design</v>
      </c>
      <c r="T977" s="716">
        <v>20</v>
      </c>
      <c r="U977" s="716">
        <v>40</v>
      </c>
      <c r="V977" s="716">
        <v>30</v>
      </c>
      <c r="W977" s="716" t="str">
        <f>IFERROR(VLOOKUP('General price list'!$C977,Popisy!A:P,MATCH($W$17,Popisy!$A$7:$P$7,0),FALSE),"---------------")</f>
        <v>two sides:silver, middle:silver palm to orange+brocade willow flower star- salvo 10sh together</v>
      </c>
      <c r="X977" s="716" t="str">
        <f t="shared" si="2484"/>
        <v/>
      </c>
      <c r="Y977" s="716" t="str">
        <f t="shared" si="2485"/>
        <v/>
      </c>
      <c r="Z977" s="716" t="str">
        <f>HYPERLINK("https://www.klasekpyrotechnics.cz/cf503x5")</f>
        <v>https://www.klasekpyrotechnics.cz/cf503x5</v>
      </c>
      <c r="AA977" s="716">
        <f>IFERROR(IF(VLOOKUP(C977,[4]List1!$A:$D,4,FALSE)=0,"",VLOOKUP(C977,[4]List1!$A:$D,4,FALSE)),"")</f>
        <v>28</v>
      </c>
      <c r="AB977" s="720"/>
      <c r="AC977" s="739" t="str">
        <f>IFERROR(IF(VLOOKUP(C977,[1]List1!$A:$D,2,FALSE)="VYPRODÁNO",$V$9,IF(VLOOKUP(C977,[1]List1!$A:$D,2,FALSE)="DOCHÁZÍ",$V$3,VLOOKUP(C977,[1]List1!$A:$D,2,FALSE))),"OFFLINE!")</f>
        <v>SKLADEM</v>
      </c>
      <c r="AD977" s="740" t="str">
        <f ca="1">IF(AP977="NE",$V$10,IF(AC977=$V$3,IF(AQ977&lt;1,$V$8,$V$2&amp;" "&amp;AQ977&amp;" "&amp;$V$1),IF(AC977="SKLADEM",$V$6,IFERROR(IF(OR(AC977-TODAY()&gt;45,VLOOKUP(C977,[1]List1!$A:$E,4,FALSE)=0),AC977,DAY(AC977)&amp;"."&amp;MONTH(AC977)&amp;"."&amp;YEAR(AC977)&amp;" "&amp;$V$4&amp;VLOOKUP(C977,[1]List1!$A:$E,4,FALSE)&amp;" "&amp;$V$1),AC977))))</f>
        <v>SKLADEM</v>
      </c>
      <c r="AE977" s="716" t="str">
        <f t="shared" ca="1" si="2486"/>
        <v>SKLADEM</v>
      </c>
      <c r="AF977" s="723">
        <f t="shared" si="2487"/>
        <v>0</v>
      </c>
      <c r="AG977" s="723">
        <f t="shared" si="2488"/>
        <v>0</v>
      </c>
      <c r="AH977" s="724">
        <f t="shared" si="2489"/>
        <v>0</v>
      </c>
      <c r="AI977" s="716">
        <f t="shared" si="2490"/>
        <v>0</v>
      </c>
      <c r="AJ977" s="716">
        <f t="shared" si="2491"/>
        <v>0</v>
      </c>
      <c r="AK977" s="716" t="str">
        <f t="shared" si="2492"/>
        <v/>
      </c>
      <c r="AL977" s="716">
        <f t="shared" si="2493"/>
        <v>0</v>
      </c>
      <c r="AM977" s="716" t="str">
        <f t="shared" si="2494"/>
        <v/>
      </c>
      <c r="AN977" s="716">
        <f t="shared" si="2495"/>
        <v>0</v>
      </c>
      <c r="AO977" s="380"/>
      <c r="AP977" s="322" t="str">
        <f t="shared" si="2282"/>
        <v/>
      </c>
      <c r="AQ977" s="323" t="str">
        <f>IF(AC977=$V$3,IF(VLOOKUP(C977,[1]List1!$A:$E,5,FALSE)=0,1,VLOOKUP(C977,[1]List1!$A:$E,5,FALSE)),"")</f>
        <v/>
      </c>
      <c r="AR977" s="304" t="str">
        <f t="shared" si="2283"/>
        <v/>
      </c>
      <c r="AS977" s="423" t="str">
        <f t="shared" si="2284"/>
        <v/>
      </c>
      <c r="AT977" s="304" t="str">
        <f t="shared" si="2285"/>
        <v/>
      </c>
      <c r="AU977" s="342" t="e">
        <f t="shared" si="2286"/>
        <v>#N/A</v>
      </c>
      <c r="AV977" s="304" t="e">
        <f t="shared" si="2287"/>
        <v>#N/A</v>
      </c>
      <c r="AX977" s="304">
        <f>IF(AND('General price list'!$J977="F4",'General price list'!$AB977+0&gt;0),1,0)</f>
        <v>0</v>
      </c>
      <c r="AY977" s="304">
        <f t="shared" si="2288"/>
        <v>1</v>
      </c>
      <c r="AZ977" s="304">
        <f t="shared" si="2289"/>
        <v>0</v>
      </c>
    </row>
    <row r="978" spans="1:52" ht="15" customHeight="1">
      <c r="A978" s="725" t="str">
        <f>Kat.!C975</f>
        <v/>
      </c>
      <c r="B978" s="726">
        <f>IF(AND('General price list'!$J978="F4",$AI$1=FALSE),0,IF(AC978="SKLADEM",1,IF(AC978=$V$3,1,0)))</f>
        <v>0</v>
      </c>
      <c r="C978" s="727" t="s">
        <v>1821</v>
      </c>
      <c r="D978" s="728" t="s">
        <v>1231</v>
      </c>
      <c r="E978" s="729" t="s">
        <v>1078</v>
      </c>
      <c r="F978" s="725">
        <f>IFERROR(ROUND(IF($AL$3=2,VLOOKUP(C978,[2]List1!$A:$D,2,FALSE)*1.08,VLOOKUP(C978,[2]List1!$A:$D,2,FALSE)),0),"NEUVEDENO!")</f>
        <v>1600</v>
      </c>
      <c r="G978" s="730">
        <f t="shared" si="2482"/>
        <v>1600</v>
      </c>
      <c r="H978" s="731">
        <f t="shared" si="2483"/>
        <v>65.017127949644234</v>
      </c>
      <c r="I978" s="732">
        <v>2</v>
      </c>
      <c r="J978" s="729" t="s">
        <v>137</v>
      </c>
      <c r="K978" s="729"/>
      <c r="L978" s="729" t="s">
        <v>24</v>
      </c>
      <c r="M978" s="729" t="s">
        <v>138</v>
      </c>
      <c r="N978" s="729">
        <f>IFERROR(VLOOKUP(C978,[3]List1!$A:$D,4,FALSE),"N/A!")</f>
        <v>5.6629124999999995E-2</v>
      </c>
      <c r="O978" s="729">
        <f>IFERROR(VLOOKUP(C978,[3]List1!$A:$D,3,FALSE),"N/A!")</f>
        <v>1900</v>
      </c>
      <c r="P978" s="729">
        <f>IFERROR(VLOOKUP(C978,[3]List1!$A:$D,2,FALSE),"N/A!")</f>
        <v>14700</v>
      </c>
      <c r="Q978" s="729" t="s">
        <v>14303</v>
      </c>
      <c r="R978" s="729" t="s">
        <v>24</v>
      </c>
      <c r="S978" s="729" t="str">
        <f>IF($W$17=$AF$1,"design",IFERROR(VLOOKUP("design",Jazyky_ceník!$A:$Q,MATCH($W$17,Jazyky_ceník!$A$1:$Q$1,0),FALSE),"!!!"))</f>
        <v>design</v>
      </c>
      <c r="T978" s="729">
        <v>20</v>
      </c>
      <c r="U978" s="729">
        <v>40</v>
      </c>
      <c r="V978" s="729">
        <v>30</v>
      </c>
      <c r="W978" s="729" t="str">
        <f>IFERROR(VLOOKUP('General price list'!$C978,Popisy!A:P,MATCH($W$17,Popisy!$A$7:$P$7,0),FALSE),"---------------")</f>
        <v>crackling tail up to red tail red dahlia with chrysanthemum- salvo 10sh together</v>
      </c>
      <c r="X978" s="729" t="str">
        <f t="shared" si="2484"/>
        <v/>
      </c>
      <c r="Y978" s="729" t="str">
        <f t="shared" si="2485"/>
        <v/>
      </c>
      <c r="Z978" s="729" t="str">
        <f>HYPERLINK("https://www.klasekpyrotechnics.cz/cf503x7")</f>
        <v>https://www.klasekpyrotechnics.cz/cf503x7</v>
      </c>
      <c r="AA978" s="729">
        <f>IFERROR(IF(VLOOKUP(C978,[4]List1!$A:$D,4,FALSE)=0,"",VLOOKUP(C978,[4]List1!$A:$D,4,FALSE)),"")</f>
        <v>28</v>
      </c>
      <c r="AB978" s="720"/>
      <c r="AC978" s="733" t="str">
        <f>IFERROR(IF(VLOOKUP(C978,[1]List1!$A:$D,2,FALSE)="VYPRODÁNO",$V$9,IF(VLOOKUP(C978,[1]List1!$A:$D,2,FALSE)="DOCHÁZÍ",$V$3,VLOOKUP(C978,[1]List1!$A:$D,2,FALSE))),"OFFLINE!")</f>
        <v>20.06.2024</v>
      </c>
      <c r="AD978" s="734" t="str">
        <f ca="1">IF(AP978="NE",$V$10,IF(AC978=$V$3,IF(AQ978&lt;1,$V$8,$V$2&amp;" "&amp;AQ978&amp;" "&amp;$V$1),IF(AC978="SKLADEM",$V$6,IFERROR(IF(OR(AC978-TODAY()&gt;45,VLOOKUP(C978,[1]List1!$A:$E,4,FALSE)=0),AC978,DAY(AC978)&amp;"."&amp;MONTH(AC978)&amp;"."&amp;YEAR(AC978)&amp;" "&amp;$V$4&amp;VLOOKUP(C978,[1]List1!$A:$E,4,FALSE)&amp;" "&amp;$V$1),AC978))))</f>
        <v>20.06.2024</v>
      </c>
      <c r="AE978" s="729" t="str">
        <f t="shared" ca="1" si="2486"/>
        <v>20.06.2024</v>
      </c>
      <c r="AF978" s="735">
        <f t="shared" si="2487"/>
        <v>0</v>
      </c>
      <c r="AG978" s="735">
        <f t="shared" si="2488"/>
        <v>0</v>
      </c>
      <c r="AH978" s="736">
        <f t="shared" si="2489"/>
        <v>0</v>
      </c>
      <c r="AI978" s="729">
        <f t="shared" si="2490"/>
        <v>0</v>
      </c>
      <c r="AJ978" s="729">
        <f t="shared" si="2491"/>
        <v>0</v>
      </c>
      <c r="AK978" s="729" t="str">
        <f t="shared" si="2492"/>
        <v/>
      </c>
      <c r="AL978" s="729">
        <f t="shared" si="2493"/>
        <v>0</v>
      </c>
      <c r="AM978" s="729" t="str">
        <f t="shared" si="2494"/>
        <v/>
      </c>
      <c r="AN978" s="729">
        <f t="shared" si="2495"/>
        <v>0</v>
      </c>
      <c r="AO978" s="380"/>
      <c r="AP978" s="322" t="str">
        <f t="shared" ref="AP978:AP987" si="2496">IF($AL$3=1,IF(Y978=AB978,"","NE"),IF(AR978=$V$10,"NE",""))</f>
        <v/>
      </c>
      <c r="AQ978" s="323" t="str">
        <f>IF(AC978=$V$3,IF(VLOOKUP(C978,[1]List1!$A:$E,5,FALSE)=0,1,VLOOKUP(C978,[1]List1!$A:$E,5,FALSE)),"")</f>
        <v/>
      </c>
      <c r="AR978" s="304" t="str">
        <f t="shared" ref="AR978:AR987" si="2497">IF($AL$3=1,"",IF(OR(AB978&lt;&gt;"",AB978&lt;&gt;0),IF(OR(AC978=$V$6,AC978=$V$3,AC978=$V$9),$V$10,""),""))</f>
        <v/>
      </c>
      <c r="AS978" s="423" t="str">
        <f t="shared" ref="AS978:AS987" si="2498">IF(AT978&lt;&gt;"","X","")</f>
        <v/>
      </c>
      <c r="AT978" s="304" t="str">
        <f t="shared" ref="AT978:AT987" si="2499">IF(AND($AL$3=2,AR978="",AB978&lt;&gt;""),AD978,"")</f>
        <v/>
      </c>
      <c r="AU978" s="342" t="e">
        <f t="shared" ref="AU978:AU987" si="2500">IF(AT978=$AS$21,AB978,"")</f>
        <v>#N/A</v>
      </c>
      <c r="AV978" s="304" t="e">
        <f t="shared" ref="AV978:AV987" si="2501">IF(OR(AB978="",AND(AT978&lt;&gt;"",AU978&lt;&gt;"")),"",$V$10)</f>
        <v>#N/A</v>
      </c>
      <c r="AX978" s="304">
        <f>IF(AND('General price list'!$J978="F4",'General price list'!$AB978+0&gt;0),1,0)</f>
        <v>0</v>
      </c>
      <c r="AY978" s="304">
        <f t="shared" ref="AY978:AY987" si="2502">IFERROR(FIND(VLOOKUP($AC$7,$AD$1:$AE$12,2,FALSE),Q978,1),0)</f>
        <v>1</v>
      </c>
      <c r="AZ978" s="304">
        <f t="shared" ref="AZ978:AZ987" si="2503">IFERROR(FIND(VLOOKUP($AC$7,$AD$1:$AE$12,2,FALSE),R978,1),0)</f>
        <v>0</v>
      </c>
    </row>
    <row r="979" spans="1:52" ht="15" customHeight="1">
      <c r="A979" s="712" t="str">
        <f>Kat.!C976</f>
        <v/>
      </c>
      <c r="B979" s="737">
        <f>IF(AND('General price list'!$J979="F4",$AI$1=FALSE),0,IF(AC979="SKLADEM",1,IF(AC979=$V$3,1,0)))</f>
        <v>1</v>
      </c>
      <c r="C979" s="714" t="s">
        <v>1823</v>
      </c>
      <c r="D979" s="715" t="s">
        <v>1231</v>
      </c>
      <c r="E979" s="716" t="s">
        <v>1078</v>
      </c>
      <c r="F979" s="712">
        <f>IFERROR(ROUND(IF($AL$3=2,VLOOKUP(C979,[2]List1!$A:$D,2,FALSE)*1.08,VLOOKUP(C979,[2]List1!$A:$D,2,FALSE)),0),"NEUVEDENO!")</f>
        <v>1600</v>
      </c>
      <c r="G979" s="717">
        <f t="shared" si="2482"/>
        <v>1600</v>
      </c>
      <c r="H979" s="718">
        <f t="shared" si="2483"/>
        <v>65.017127949644234</v>
      </c>
      <c r="I979" s="738">
        <v>2</v>
      </c>
      <c r="J979" s="716" t="s">
        <v>137</v>
      </c>
      <c r="K979" s="716"/>
      <c r="L979" s="716"/>
      <c r="M979" s="716" t="s">
        <v>138</v>
      </c>
      <c r="N979" s="716">
        <f>IFERROR(VLOOKUP(C979,[3]List1!$A:$D,4,FALSE),"N/A!")</f>
        <v>5.6629124999999995E-2</v>
      </c>
      <c r="O979" s="716">
        <f>IFERROR(VLOOKUP(C979,[3]List1!$A:$D,3,FALSE),"N/A!")</f>
        <v>1900</v>
      </c>
      <c r="P979" s="716">
        <f>IFERROR(VLOOKUP(C979,[3]List1!$A:$D,2,FALSE),"N/A!")</f>
        <v>14800</v>
      </c>
      <c r="Q979" s="716" t="s">
        <v>1814</v>
      </c>
      <c r="R979" s="716" t="s">
        <v>24</v>
      </c>
      <c r="S979" s="716" t="str">
        <f>IF($W$17=$AF$1,"design",IFERROR(VLOOKUP("design",Jazyky_ceník!$A:$Q,MATCH($W$17,Jazyky_ceník!$A$1:$Q$1,0),FALSE),"!!!"))</f>
        <v>design</v>
      </c>
      <c r="T979" s="716">
        <v>15</v>
      </c>
      <c r="U979" s="716">
        <v>40</v>
      </c>
      <c r="V979" s="716">
        <v>30</v>
      </c>
      <c r="W979" s="716" t="str">
        <f>IFERROR(VLOOKUP('General price list'!$C979,Popisy!A:P,MATCH($W$17,Popisy!$A$7:$P$7,0),FALSE),"---------------")</f>
        <v>blue tail up to flower crown- salvo 10sh together</v>
      </c>
      <c r="X979" s="716" t="str">
        <f t="shared" si="2484"/>
        <v/>
      </c>
      <c r="Y979" s="716" t="str">
        <f t="shared" si="2485"/>
        <v/>
      </c>
      <c r="Z979" s="716" t="str">
        <f>HYPERLINK("https://www.klasekpyrotechnics.cz/cf503x8")</f>
        <v>https://www.klasekpyrotechnics.cz/cf503x8</v>
      </c>
      <c r="AA979" s="716">
        <f>IFERROR(IF(VLOOKUP(C979,[4]List1!$A:$D,4,FALSE)=0,"",VLOOKUP(C979,[4]List1!$A:$D,4,FALSE)),"")</f>
        <v>28</v>
      </c>
      <c r="AB979" s="720"/>
      <c r="AC979" s="739" t="str">
        <f>IFERROR(IF(VLOOKUP(C979,[1]List1!$A:$D,2,FALSE)="VYPRODÁNO",$V$9,IF(VLOOKUP(C979,[1]List1!$A:$D,2,FALSE)="DOCHÁZÍ",$V$3,VLOOKUP(C979,[1]List1!$A:$D,2,FALSE))),"OFFLINE!")</f>
        <v>SKLADEM</v>
      </c>
      <c r="AD979" s="740" t="str">
        <f ca="1">IF(AP979="NE",$V$10,IF(AC979=$V$3,IF(AQ979&lt;1,$V$8,$V$2&amp;" "&amp;AQ979&amp;" "&amp;$V$1),IF(AC979="SKLADEM",$V$6,IFERROR(IF(OR(AC979-TODAY()&gt;45,VLOOKUP(C979,[1]List1!$A:$E,4,FALSE)=0),AC979,DAY(AC979)&amp;"."&amp;MONTH(AC979)&amp;"."&amp;YEAR(AC979)&amp;" "&amp;$V$4&amp;VLOOKUP(C979,[1]List1!$A:$E,4,FALSE)&amp;" "&amp;$V$1),AC979))))</f>
        <v>SKLADEM</v>
      </c>
      <c r="AE979" s="716" t="str">
        <f t="shared" ca="1" si="2486"/>
        <v>SKLADEM</v>
      </c>
      <c r="AF979" s="723">
        <f t="shared" si="2487"/>
        <v>0</v>
      </c>
      <c r="AG979" s="723">
        <f t="shared" si="2488"/>
        <v>0</v>
      </c>
      <c r="AH979" s="724">
        <f t="shared" si="2489"/>
        <v>0</v>
      </c>
      <c r="AI979" s="716">
        <f t="shared" si="2490"/>
        <v>0</v>
      </c>
      <c r="AJ979" s="716">
        <f t="shared" si="2491"/>
        <v>0</v>
      </c>
      <c r="AK979" s="716" t="str">
        <f t="shared" si="2492"/>
        <v/>
      </c>
      <c r="AL979" s="716">
        <f t="shared" si="2493"/>
        <v>0</v>
      </c>
      <c r="AM979" s="716" t="str">
        <f t="shared" si="2494"/>
        <v/>
      </c>
      <c r="AN979" s="716">
        <f t="shared" si="2495"/>
        <v>0</v>
      </c>
      <c r="AO979" s="380"/>
      <c r="AP979" s="322" t="str">
        <f t="shared" si="2496"/>
        <v/>
      </c>
      <c r="AQ979" s="323" t="str">
        <f>IF(AC979=$V$3,IF(VLOOKUP(C979,[1]List1!$A:$E,5,FALSE)=0,1,VLOOKUP(C979,[1]List1!$A:$E,5,FALSE)),"")</f>
        <v/>
      </c>
      <c r="AR979" s="304" t="str">
        <f t="shared" si="2497"/>
        <v/>
      </c>
      <c r="AS979" s="423" t="str">
        <f t="shared" si="2498"/>
        <v/>
      </c>
      <c r="AT979" s="304" t="str">
        <f t="shared" si="2499"/>
        <v/>
      </c>
      <c r="AU979" s="342" t="e">
        <f t="shared" si="2500"/>
        <v>#N/A</v>
      </c>
      <c r="AV979" s="304" t="e">
        <f t="shared" si="2501"/>
        <v>#N/A</v>
      </c>
      <c r="AX979" s="304">
        <f>IF(AND('General price list'!$J979="F4",'General price list'!$AB979+0&gt;0),1,0)</f>
        <v>0</v>
      </c>
      <c r="AY979" s="304">
        <f t="shared" si="2502"/>
        <v>1</v>
      </c>
      <c r="AZ979" s="304">
        <f t="shared" si="2503"/>
        <v>0</v>
      </c>
    </row>
    <row r="980" spans="1:52" ht="15" customHeight="1">
      <c r="A980" s="725" t="str">
        <f>Kat.!C977</f>
        <v/>
      </c>
      <c r="B980" s="726">
        <f>IF(AND('General price list'!$J980="F4",$AI$1=FALSE),0,IF(AC980="SKLADEM",1,IF(AC980=$V$3,1,0)))</f>
        <v>0</v>
      </c>
      <c r="C980" s="727" t="s">
        <v>1827</v>
      </c>
      <c r="D980" s="728" t="s">
        <v>1231</v>
      </c>
      <c r="E980" s="729" t="s">
        <v>1078</v>
      </c>
      <c r="F980" s="725">
        <f>IFERROR(ROUND(IF($AL$3=2,VLOOKUP(C980,[2]List1!$A:$D,2,FALSE)*1.08,VLOOKUP(C980,[2]List1!$A:$D,2,FALSE)),0),"NEUVEDENO!")</f>
        <v>1600</v>
      </c>
      <c r="G980" s="730">
        <f t="shared" si="2482"/>
        <v>1600</v>
      </c>
      <c r="H980" s="731">
        <f t="shared" si="2483"/>
        <v>65.017127949644234</v>
      </c>
      <c r="I980" s="732">
        <v>2</v>
      </c>
      <c r="J980" s="729" t="s">
        <v>137</v>
      </c>
      <c r="K980" s="729"/>
      <c r="L980" s="729"/>
      <c r="M980" s="729" t="s">
        <v>138</v>
      </c>
      <c r="N980" s="729">
        <f>IFERROR(VLOOKUP(C980,[3]List1!$A:$D,4,FALSE),"N/A!")</f>
        <v>5.6629124999999995E-2</v>
      </c>
      <c r="O980" s="729">
        <f>IFERROR(VLOOKUP(C980,[3]List1!$A:$D,3,FALSE),"N/A!")</f>
        <v>1900</v>
      </c>
      <c r="P980" s="729">
        <f>IFERROR(VLOOKUP(C980,[3]List1!$A:$D,2,FALSE),"N/A!")</f>
        <v>15400</v>
      </c>
      <c r="Q980" s="729" t="s">
        <v>14303</v>
      </c>
      <c r="R980" s="729" t="s">
        <v>24</v>
      </c>
      <c r="S980" s="729" t="str">
        <f>IF($W$17=$AF$1,"design",IFERROR(VLOOKUP("design",Jazyky_ceník!$A:$Q,MATCH($W$17,Jazyky_ceník!$A$1:$Q$1,0),FALSE),"!!!"))</f>
        <v>design</v>
      </c>
      <c r="T980" s="729">
        <v>15</v>
      </c>
      <c r="U980" s="729">
        <v>40</v>
      </c>
      <c r="V980" s="729">
        <v>30</v>
      </c>
      <c r="W980" s="729" t="str">
        <f>IFERROR(VLOOKUP('General price list'!$C980,Popisy!A:P,MATCH($W$17,Popisy!$A$7:$P$7,0),FALSE),"---------------")</f>
        <v>blue+red glitter mine up to chrysanthemum- salvo 10sh together</v>
      </c>
      <c r="X980" s="729" t="str">
        <f t="shared" si="2484"/>
        <v/>
      </c>
      <c r="Y980" s="729" t="str">
        <f t="shared" si="2485"/>
        <v/>
      </c>
      <c r="Z980" s="729" t="str">
        <f>HYPERLINK("https://www.klasekpyrotechnics.cz/cf503x12")</f>
        <v>https://www.klasekpyrotechnics.cz/cf503x12</v>
      </c>
      <c r="AA980" s="729">
        <f>IFERROR(IF(VLOOKUP(C980,[4]List1!$A:$D,4,FALSE)=0,"",VLOOKUP(C980,[4]List1!$A:$D,4,FALSE)),"")</f>
        <v>28</v>
      </c>
      <c r="AB980" s="720"/>
      <c r="AC980" s="733" t="str">
        <f>IFERROR(IF(VLOOKUP(C980,[1]List1!$A:$D,2,FALSE)="VYPRODÁNO",$V$9,IF(VLOOKUP(C980,[1]List1!$A:$D,2,FALSE)="DOCHÁZÍ",$V$3,VLOOKUP(C980,[1]List1!$A:$D,2,FALSE))),"OFFLINE!")</f>
        <v>20.06.2024</v>
      </c>
      <c r="AD980" s="734" t="str">
        <f ca="1">IF(AP980="NE",$V$10,IF(AC980=$V$3,IF(AQ980&lt;1,$V$8,$V$2&amp;" "&amp;AQ980&amp;" "&amp;$V$1),IF(AC980="SKLADEM",$V$6,IFERROR(IF(OR(AC980-TODAY()&gt;45,VLOOKUP(C980,[1]List1!$A:$E,4,FALSE)=0),AC980,DAY(AC980)&amp;"."&amp;MONTH(AC980)&amp;"."&amp;YEAR(AC980)&amp;" "&amp;$V$4&amp;VLOOKUP(C980,[1]List1!$A:$E,4,FALSE)&amp;" "&amp;$V$1),AC980))))</f>
        <v>20.06.2024</v>
      </c>
      <c r="AE980" s="729" t="str">
        <f t="shared" ca="1" si="2486"/>
        <v>20.06.2024</v>
      </c>
      <c r="AF980" s="735">
        <f t="shared" si="2487"/>
        <v>0</v>
      </c>
      <c r="AG980" s="735">
        <f t="shared" si="2488"/>
        <v>0</v>
      </c>
      <c r="AH980" s="736">
        <f t="shared" si="2489"/>
        <v>0</v>
      </c>
      <c r="AI980" s="729">
        <f t="shared" si="2490"/>
        <v>0</v>
      </c>
      <c r="AJ980" s="729">
        <f t="shared" si="2491"/>
        <v>0</v>
      </c>
      <c r="AK980" s="729" t="str">
        <f t="shared" si="2492"/>
        <v/>
      </c>
      <c r="AL980" s="729">
        <f t="shared" si="2493"/>
        <v>0</v>
      </c>
      <c r="AM980" s="729" t="str">
        <f t="shared" si="2494"/>
        <v/>
      </c>
      <c r="AN980" s="729">
        <f t="shared" si="2495"/>
        <v>0</v>
      </c>
      <c r="AO980" s="380"/>
      <c r="AP980" s="322" t="str">
        <f t="shared" si="2496"/>
        <v/>
      </c>
      <c r="AQ980" s="323" t="str">
        <f>IF(AC980=$V$3,IF(VLOOKUP(C980,[1]List1!$A:$E,5,FALSE)=0,1,VLOOKUP(C980,[1]List1!$A:$E,5,FALSE)),"")</f>
        <v/>
      </c>
      <c r="AR980" s="304" t="str">
        <f t="shared" si="2497"/>
        <v/>
      </c>
      <c r="AS980" s="423" t="str">
        <f t="shared" si="2498"/>
        <v/>
      </c>
      <c r="AT980" s="304" t="str">
        <f t="shared" si="2499"/>
        <v/>
      </c>
      <c r="AU980" s="342" t="e">
        <f t="shared" si="2500"/>
        <v>#N/A</v>
      </c>
      <c r="AV980" s="304" t="e">
        <f t="shared" si="2501"/>
        <v>#N/A</v>
      </c>
      <c r="AX980" s="304">
        <f>IF(AND('General price list'!$J980="F4",'General price list'!$AB980+0&gt;0),1,0)</f>
        <v>0</v>
      </c>
      <c r="AY980" s="304">
        <f t="shared" si="2502"/>
        <v>1</v>
      </c>
      <c r="AZ980" s="304">
        <f t="shared" si="2503"/>
        <v>0</v>
      </c>
    </row>
    <row r="981" spans="1:52" ht="15" customHeight="1">
      <c r="A981" s="712" t="str">
        <f>Kat.!C978</f>
        <v/>
      </c>
      <c r="B981" s="737">
        <f>IF(AND('General price list'!$J981="F4",$AI$1=FALSE),0,IF(AC981="SKLADEM",1,IF(AC981=$V$3,1,0)))</f>
        <v>1</v>
      </c>
      <c r="C981" s="714" t="s">
        <v>1831</v>
      </c>
      <c r="D981" s="715" t="s">
        <v>1231</v>
      </c>
      <c r="E981" s="716" t="s">
        <v>1078</v>
      </c>
      <c r="F981" s="712">
        <f>IFERROR(ROUND(IF($AL$3=2,VLOOKUP(C981,[2]List1!$A:$D,2,FALSE)*1.08,VLOOKUP(C981,[2]List1!$A:$D,2,FALSE)),0),"NEUVEDENO!")</f>
        <v>1600</v>
      </c>
      <c r="G981" s="717">
        <f t="shared" si="2482"/>
        <v>1600</v>
      </c>
      <c r="H981" s="718">
        <f t="shared" si="2483"/>
        <v>65.017127949644234</v>
      </c>
      <c r="I981" s="738">
        <v>2</v>
      </c>
      <c r="J981" s="716" t="s">
        <v>137</v>
      </c>
      <c r="K981" s="716"/>
      <c r="L981" s="716" t="s">
        <v>24</v>
      </c>
      <c r="M981" s="716" t="s">
        <v>25</v>
      </c>
      <c r="N981" s="716">
        <f>IFERROR(VLOOKUP(C981,[3]List1!$A:$D,4,FALSE),"N/A!")</f>
        <v>5.6629124999999995E-2</v>
      </c>
      <c r="O981" s="716">
        <f>IFERROR(VLOOKUP(C981,[3]List1!$A:$D,3,FALSE),"N/A!")</f>
        <v>1900</v>
      </c>
      <c r="P981" s="716">
        <f>IFERROR(VLOOKUP(C981,[3]List1!$A:$D,2,FALSE),"N/A!")</f>
        <v>13300</v>
      </c>
      <c r="Q981" s="716" t="s">
        <v>14303</v>
      </c>
      <c r="R981" s="716" t="s">
        <v>24</v>
      </c>
      <c r="S981" s="716" t="str">
        <f>IF($W$17=$AF$1,"design",IFERROR(VLOOKUP("design",Jazyky_ceník!$A:$Q,MATCH($W$17,Jazyky_ceník!$A$1:$Q$1,0),FALSE),"!!!"))</f>
        <v>design</v>
      </c>
      <c r="T981" s="716">
        <v>15</v>
      </c>
      <c r="U981" s="716"/>
      <c r="V981" s="716"/>
      <c r="W981" s="716" t="str">
        <f>IFERROR(VLOOKUP('General price list'!$C981,Popisy!A:P,MATCH($W$17,Popisy!$A$7:$P$7,0),FALSE),"---------------")</f>
        <v>blue tail up to eject horse tail- salvo 10sh together</v>
      </c>
      <c r="X981" s="716" t="str">
        <f t="shared" si="2484"/>
        <v/>
      </c>
      <c r="Y981" s="716" t="str">
        <f t="shared" si="2485"/>
        <v/>
      </c>
      <c r="Z981" s="716" t="str">
        <f>HYPERLINK("https://www.klasekpyrotechnics.cz/cf503x14")</f>
        <v>https://www.klasekpyrotechnics.cz/cf503x14</v>
      </c>
      <c r="AA981" s="716">
        <f>IFERROR(IF(VLOOKUP(C981,[4]List1!$A:$D,4,FALSE)=0,"",VLOOKUP(C981,[4]List1!$A:$D,4,FALSE)),"")</f>
        <v>28</v>
      </c>
      <c r="AB981" s="720"/>
      <c r="AC981" s="739" t="str">
        <f>IFERROR(IF(VLOOKUP(C981,[1]List1!$A:$D,2,FALSE)="VYPRODÁNO",$V$9,IF(VLOOKUP(C981,[1]List1!$A:$D,2,FALSE)="DOCHÁZÍ",$V$3,VLOOKUP(C981,[1]List1!$A:$D,2,FALSE))),"OFFLINE!")</f>
        <v>SKLADEM</v>
      </c>
      <c r="AD981" s="740" t="str">
        <f ca="1">IF(AP981="NE",$V$10,IF(AC981=$V$3,IF(AQ981&lt;1,$V$8,$V$2&amp;" "&amp;AQ981&amp;" "&amp;$V$1),IF(AC981="SKLADEM",$V$6,IFERROR(IF(OR(AC981-TODAY()&gt;45,VLOOKUP(C981,[1]List1!$A:$E,4,FALSE)=0),AC981,DAY(AC981)&amp;"."&amp;MONTH(AC981)&amp;"."&amp;YEAR(AC981)&amp;" "&amp;$V$4&amp;VLOOKUP(C981,[1]List1!$A:$E,4,FALSE)&amp;" "&amp;$V$1),AC981))))</f>
        <v>SKLADEM</v>
      </c>
      <c r="AE981" s="716" t="str">
        <f t="shared" ca="1" si="2486"/>
        <v>SKLADEM</v>
      </c>
      <c r="AF981" s="723">
        <f t="shared" si="2487"/>
        <v>0</v>
      </c>
      <c r="AG981" s="723">
        <f t="shared" si="2488"/>
        <v>0</v>
      </c>
      <c r="AH981" s="724">
        <f t="shared" si="2489"/>
        <v>0</v>
      </c>
      <c r="AI981" s="716">
        <f t="shared" si="2490"/>
        <v>0</v>
      </c>
      <c r="AJ981" s="716">
        <f t="shared" si="2491"/>
        <v>0</v>
      </c>
      <c r="AK981" s="716" t="str">
        <f t="shared" si="2492"/>
        <v/>
      </c>
      <c r="AL981" s="716" t="str">
        <f t="shared" si="2493"/>
        <v/>
      </c>
      <c r="AM981" s="716">
        <f t="shared" si="2494"/>
        <v>0</v>
      </c>
      <c r="AN981" s="716">
        <f t="shared" si="2495"/>
        <v>0</v>
      </c>
      <c r="AO981" s="380"/>
      <c r="AP981" s="322" t="str">
        <f t="shared" si="2496"/>
        <v/>
      </c>
      <c r="AQ981" s="323" t="str">
        <f>IF(AC981=$V$3,IF(VLOOKUP(C981,[1]List1!$A:$E,5,FALSE)=0,1,VLOOKUP(C981,[1]List1!$A:$E,5,FALSE)),"")</f>
        <v/>
      </c>
      <c r="AR981" s="304" t="str">
        <f t="shared" si="2497"/>
        <v/>
      </c>
      <c r="AS981" s="423" t="str">
        <f t="shared" si="2498"/>
        <v/>
      </c>
      <c r="AT981" s="304" t="str">
        <f t="shared" si="2499"/>
        <v/>
      </c>
      <c r="AU981" s="342" t="e">
        <f t="shared" si="2500"/>
        <v>#N/A</v>
      </c>
      <c r="AV981" s="304" t="e">
        <f t="shared" si="2501"/>
        <v>#N/A</v>
      </c>
      <c r="AX981" s="304">
        <f>IF(AND('General price list'!$J981="F4",'General price list'!$AB981+0&gt;0),1,0)</f>
        <v>0</v>
      </c>
      <c r="AY981" s="304">
        <f t="shared" si="2502"/>
        <v>1</v>
      </c>
      <c r="AZ981" s="304">
        <f t="shared" si="2503"/>
        <v>0</v>
      </c>
    </row>
    <row r="982" spans="1:52" ht="15" customHeight="1">
      <c r="A982" s="725" t="str">
        <f>Kat.!C979</f>
        <v/>
      </c>
      <c r="B982" s="726">
        <f>IF(AND('General price list'!$J982="F4",$AI$1=FALSE),0,IF(AC982="SKLADEM",1,IF(AC982=$V$3,1,0)))</f>
        <v>1</v>
      </c>
      <c r="C982" s="727" t="s">
        <v>1833</v>
      </c>
      <c r="D982" s="728" t="s">
        <v>1231</v>
      </c>
      <c r="E982" s="729" t="s">
        <v>1078</v>
      </c>
      <c r="F982" s="725">
        <f>IFERROR(ROUND(IF($AL$3=2,VLOOKUP(C982,[2]List1!$A:$D,2,FALSE)*1.08,VLOOKUP(C982,[2]List1!$A:$D,2,FALSE)),0),"NEUVEDENO!")</f>
        <v>1600</v>
      </c>
      <c r="G982" s="730">
        <f t="shared" si="2482"/>
        <v>1600</v>
      </c>
      <c r="H982" s="731">
        <f t="shared" si="2483"/>
        <v>65.017127949644234</v>
      </c>
      <c r="I982" s="732">
        <v>2</v>
      </c>
      <c r="J982" s="729" t="s">
        <v>137</v>
      </c>
      <c r="K982" s="729"/>
      <c r="L982" s="729" t="s">
        <v>24</v>
      </c>
      <c r="M982" s="729" t="s">
        <v>25</v>
      </c>
      <c r="N982" s="729">
        <f>IFERROR(VLOOKUP(C982,[3]List1!$A:$D,4,FALSE),"N/A!")</f>
        <v>5.6629124999999995E-2</v>
      </c>
      <c r="O982" s="729">
        <f>IFERROR(VLOOKUP(C982,[3]List1!$A:$D,3,FALSE),"N/A!")</f>
        <v>1900</v>
      </c>
      <c r="P982" s="729">
        <f>IFERROR(VLOOKUP(C982,[3]List1!$A:$D,2,FALSE),"N/A!")</f>
        <v>15000</v>
      </c>
      <c r="Q982" s="729" t="s">
        <v>2803</v>
      </c>
      <c r="R982" s="729" t="s">
        <v>24</v>
      </c>
      <c r="S982" s="729" t="str">
        <f>IF($W$17=$AF$1,"design",IFERROR(VLOOKUP("design",Jazyky_ceník!$A:$Q,MATCH($W$17,Jazyky_ceník!$A$1:$Q$1,0),FALSE),"!!!"))</f>
        <v>design</v>
      </c>
      <c r="T982" s="729">
        <v>15</v>
      </c>
      <c r="U982" s="729">
        <v>40</v>
      </c>
      <c r="V982" s="729">
        <v>30</v>
      </c>
      <c r="W982" s="729" t="str">
        <f>IFERROR(VLOOKUP('General price list'!$C982,Popisy!A:P,MATCH($W$17,Popisy!$A$7:$P$7,0),FALSE),"---------------")</f>
        <v>silver glitter bouquet up to eject silver glitter- salvo 10sh together</v>
      </c>
      <c r="X982" s="729" t="str">
        <f t="shared" si="2484"/>
        <v/>
      </c>
      <c r="Y982" s="729" t="str">
        <f t="shared" si="2485"/>
        <v/>
      </c>
      <c r="Z982" s="729" t="str">
        <f>HYPERLINK("https://www.klasekpyrotechnics.cz/cf503x15")</f>
        <v>https://www.klasekpyrotechnics.cz/cf503x15</v>
      </c>
      <c r="AA982" s="729">
        <f>IFERROR(IF(VLOOKUP(C982,[4]List1!$A:$D,4,FALSE)=0,"",VLOOKUP(C982,[4]List1!$A:$D,4,FALSE)),"")</f>
        <v>28</v>
      </c>
      <c r="AB982" s="720"/>
      <c r="AC982" s="733" t="str">
        <f>IFERROR(IF(VLOOKUP(C982,[1]List1!$A:$D,2,FALSE)="VYPRODÁNO",$V$9,IF(VLOOKUP(C982,[1]List1!$A:$D,2,FALSE)="DOCHÁZÍ",$V$3,VLOOKUP(C982,[1]List1!$A:$D,2,FALSE))),"OFFLINE!")</f>
        <v>SKLADEM</v>
      </c>
      <c r="AD982" s="734" t="str">
        <f ca="1">IF(AP982="NE",$V$10,IF(AC982=$V$3,IF(AQ982&lt;1,$V$8,$V$2&amp;" "&amp;AQ982&amp;" "&amp;$V$1),IF(AC982="SKLADEM",$V$6,IFERROR(IF(OR(AC982-TODAY()&gt;45,VLOOKUP(C982,[1]List1!$A:$E,4,FALSE)=0),AC982,DAY(AC982)&amp;"."&amp;MONTH(AC982)&amp;"."&amp;YEAR(AC982)&amp;" "&amp;$V$4&amp;VLOOKUP(C982,[1]List1!$A:$E,4,FALSE)&amp;" "&amp;$V$1),AC982))))</f>
        <v>SKLADEM</v>
      </c>
      <c r="AE982" s="729" t="str">
        <f t="shared" ca="1" si="2486"/>
        <v>SKLADEM</v>
      </c>
      <c r="AF982" s="735">
        <f t="shared" si="2487"/>
        <v>0</v>
      </c>
      <c r="AG982" s="735">
        <f t="shared" si="2488"/>
        <v>0</v>
      </c>
      <c r="AH982" s="736">
        <f t="shared" si="2489"/>
        <v>0</v>
      </c>
      <c r="AI982" s="729">
        <f t="shared" si="2490"/>
        <v>0</v>
      </c>
      <c r="AJ982" s="729">
        <f t="shared" si="2491"/>
        <v>0</v>
      </c>
      <c r="AK982" s="729" t="str">
        <f t="shared" si="2492"/>
        <v/>
      </c>
      <c r="AL982" s="729" t="str">
        <f t="shared" si="2493"/>
        <v/>
      </c>
      <c r="AM982" s="729">
        <f t="shared" si="2494"/>
        <v>0</v>
      </c>
      <c r="AN982" s="729">
        <f t="shared" si="2495"/>
        <v>0</v>
      </c>
      <c r="AO982" s="380"/>
      <c r="AP982" s="322" t="str">
        <f t="shared" si="2496"/>
        <v/>
      </c>
      <c r="AQ982" s="323" t="str">
        <f>IF(AC982=$V$3,IF(VLOOKUP(C982,[1]List1!$A:$E,5,FALSE)=0,1,VLOOKUP(C982,[1]List1!$A:$E,5,FALSE)),"")</f>
        <v/>
      </c>
      <c r="AR982" s="304" t="str">
        <f t="shared" si="2497"/>
        <v/>
      </c>
      <c r="AS982" s="423" t="str">
        <f t="shared" si="2498"/>
        <v/>
      </c>
      <c r="AT982" s="304" t="str">
        <f t="shared" si="2499"/>
        <v/>
      </c>
      <c r="AU982" s="342" t="e">
        <f t="shared" si="2500"/>
        <v>#N/A</v>
      </c>
      <c r="AV982" s="304" t="e">
        <f t="shared" si="2501"/>
        <v>#N/A</v>
      </c>
      <c r="AX982" s="304">
        <f>IF(AND('General price list'!$J982="F4",'General price list'!$AB982+0&gt;0),1,0)</f>
        <v>0</v>
      </c>
      <c r="AY982" s="304">
        <f t="shared" si="2502"/>
        <v>1</v>
      </c>
      <c r="AZ982" s="304">
        <f t="shared" si="2503"/>
        <v>0</v>
      </c>
    </row>
    <row r="983" spans="1:52" ht="15" customHeight="1">
      <c r="A983" s="712" t="str">
        <f>Kat.!C980</f>
        <v>×</v>
      </c>
      <c r="B983" s="737">
        <f>IF(AND('General price list'!$J983="F4",$AI$1=FALSE),0,IF(AC983="SKLADEM",1,IF(AC983=$V$3,1,0)))</f>
        <v>1</v>
      </c>
      <c r="C983" s="714" t="s">
        <v>1835</v>
      </c>
      <c r="D983" s="715" t="s">
        <v>1231</v>
      </c>
      <c r="E983" s="716" t="s">
        <v>1078</v>
      </c>
      <c r="F983" s="712">
        <f>IFERROR(ROUND(IF($AL$3=2,VLOOKUP(C983,[2]List1!$A:$D,2,FALSE)*1.08,VLOOKUP(C983,[2]List1!$A:$D,2,FALSE)),0),"NEUVEDENO!")</f>
        <v>1600</v>
      </c>
      <c r="G983" s="717">
        <f t="shared" si="2482"/>
        <v>1600</v>
      </c>
      <c r="H983" s="718">
        <f t="shared" si="2483"/>
        <v>65.017127949644234</v>
      </c>
      <c r="I983" s="738">
        <v>2</v>
      </c>
      <c r="J983" s="716" t="s">
        <v>137</v>
      </c>
      <c r="K983" s="716"/>
      <c r="L983" s="716" t="s">
        <v>24</v>
      </c>
      <c r="M983" s="716" t="s">
        <v>138</v>
      </c>
      <c r="N983" s="716">
        <f>IFERROR(VLOOKUP(C983,[3]List1!$A:$D,4,FALSE),"N/A!")</f>
        <v>5.6629124999999995E-2</v>
      </c>
      <c r="O983" s="716">
        <f>IFERROR(VLOOKUP(C983,[3]List1!$A:$D,3,FALSE),"N/A!")</f>
        <v>1900</v>
      </c>
      <c r="P983" s="716">
        <f>IFERROR(VLOOKUP(C983,[3]List1!$A:$D,2,FALSE),"N/A!")</f>
        <v>15000</v>
      </c>
      <c r="Q983" s="716" t="s">
        <v>1814</v>
      </c>
      <c r="R983" s="716" t="s">
        <v>24</v>
      </c>
      <c r="S983" s="716" t="str">
        <f>IF($W$17=$AF$1,"design",IFERROR(VLOOKUP("design",Jazyky_ceník!$A:$Q,MATCH($W$17,Jazyky_ceník!$A$1:$Q$1,0),FALSE),"!!!"))</f>
        <v>design</v>
      </c>
      <c r="T983" s="716">
        <v>15</v>
      </c>
      <c r="U983" s="716">
        <v>40</v>
      </c>
      <c r="V983" s="716">
        <v>30</v>
      </c>
      <c r="W983" s="716" t="str">
        <f>IFERROR(VLOOKUP('General price list'!$C983,Popisy!A:P,MATCH($W$17,Popisy!$A$7:$P$7,0),FALSE),"---------------")</f>
        <v>crackling willow+peach red - salvo 10sh together</v>
      </c>
      <c r="X983" s="716" t="str">
        <f t="shared" si="2484"/>
        <v/>
      </c>
      <c r="Y983" s="716" t="str">
        <f t="shared" si="2485"/>
        <v/>
      </c>
      <c r="Z983" s="716" t="str">
        <f>HYPERLINK("https://www.klasekpyrotechnics.cz/cf503x16")</f>
        <v>https://www.klasekpyrotechnics.cz/cf503x16</v>
      </c>
      <c r="AA983" s="716">
        <f>IFERROR(IF(VLOOKUP(C983,[4]List1!$A:$D,4,FALSE)=0,"",VLOOKUP(C983,[4]List1!$A:$D,4,FALSE)),"")</f>
        <v>28</v>
      </c>
      <c r="AB983" s="720"/>
      <c r="AC983" s="739" t="str">
        <f>IFERROR(IF(VLOOKUP(C983,[1]List1!$A:$D,2,FALSE)="VYPRODÁNO",$V$9,IF(VLOOKUP(C983,[1]List1!$A:$D,2,FALSE)="DOCHÁZÍ",$V$3,VLOOKUP(C983,[1]List1!$A:$D,2,FALSE))),"OFFLINE!")</f>
        <v>SKLADEM</v>
      </c>
      <c r="AD983" s="740" t="str">
        <f ca="1">IF(AP983="NE",$V$10,IF(AC983=$V$3,IF(AQ983&lt;1,$V$8,$V$2&amp;" "&amp;AQ983&amp;" "&amp;$V$1),IF(AC983="SKLADEM",$V$6,IFERROR(IF(OR(AC983-TODAY()&gt;45,VLOOKUP(C983,[1]List1!$A:$E,4,FALSE)=0),AC983,DAY(AC983)&amp;"."&amp;MONTH(AC983)&amp;"."&amp;YEAR(AC983)&amp;" "&amp;$V$4&amp;VLOOKUP(C983,[1]List1!$A:$E,4,FALSE)&amp;" "&amp;$V$1),AC983))))</f>
        <v>SKLADEM</v>
      </c>
      <c r="AE983" s="716" t="str">
        <f t="shared" ca="1" si="2486"/>
        <v>SKLADEM</v>
      </c>
      <c r="AF983" s="723">
        <f t="shared" si="2487"/>
        <v>0</v>
      </c>
      <c r="AG983" s="723">
        <f t="shared" si="2488"/>
        <v>0</v>
      </c>
      <c r="AH983" s="724">
        <f t="shared" si="2489"/>
        <v>0</v>
      </c>
      <c r="AI983" s="716">
        <f t="shared" si="2490"/>
        <v>0</v>
      </c>
      <c r="AJ983" s="716">
        <f t="shared" si="2491"/>
        <v>0</v>
      </c>
      <c r="AK983" s="716" t="str">
        <f t="shared" si="2492"/>
        <v/>
      </c>
      <c r="AL983" s="716">
        <f t="shared" si="2493"/>
        <v>0</v>
      </c>
      <c r="AM983" s="716" t="str">
        <f t="shared" si="2494"/>
        <v/>
      </c>
      <c r="AN983" s="716">
        <f t="shared" si="2495"/>
        <v>0</v>
      </c>
      <c r="AO983" s="380"/>
      <c r="AP983" s="322" t="str">
        <f t="shared" si="2496"/>
        <v/>
      </c>
      <c r="AQ983" s="323" t="str">
        <f>IF(AC983=$V$3,IF(VLOOKUP(C983,[1]List1!$A:$E,5,FALSE)=0,1,VLOOKUP(C983,[1]List1!$A:$E,5,FALSE)),"")</f>
        <v/>
      </c>
      <c r="AR983" s="304" t="str">
        <f t="shared" si="2497"/>
        <v/>
      </c>
      <c r="AS983" s="423" t="str">
        <f t="shared" si="2498"/>
        <v/>
      </c>
      <c r="AT983" s="304" t="str">
        <f t="shared" si="2499"/>
        <v/>
      </c>
      <c r="AU983" s="342" t="e">
        <f t="shared" si="2500"/>
        <v>#N/A</v>
      </c>
      <c r="AV983" s="304" t="e">
        <f t="shared" si="2501"/>
        <v>#N/A</v>
      </c>
      <c r="AX983" s="304">
        <f>IF(AND('General price list'!$J983="F4",'General price list'!$AB983+0&gt;0),1,0)</f>
        <v>0</v>
      </c>
      <c r="AY983" s="304">
        <f t="shared" si="2502"/>
        <v>1</v>
      </c>
      <c r="AZ983" s="304">
        <f t="shared" si="2503"/>
        <v>0</v>
      </c>
    </row>
    <row r="984" spans="1:52" ht="15" customHeight="1">
      <c r="A984" s="725" t="str">
        <f>Kat.!C981</f>
        <v>×</v>
      </c>
      <c r="B984" s="726">
        <f>IF(AND('General price list'!$J984="F4",$AI$1=FALSE),0,IF(AC984="SKLADEM",1,IF(AC984=$V$3,1,0)))</f>
        <v>1</v>
      </c>
      <c r="C984" s="727" t="s">
        <v>1838</v>
      </c>
      <c r="D984" s="728" t="s">
        <v>1231</v>
      </c>
      <c r="E984" s="729" t="s">
        <v>1078</v>
      </c>
      <c r="F984" s="725">
        <f>IFERROR(ROUND(IF($AL$3=2,VLOOKUP(C984,[2]List1!$A:$D,2,FALSE)*1.08,VLOOKUP(C984,[2]List1!$A:$D,2,FALSE)),0),"NEUVEDENO!")</f>
        <v>1600</v>
      </c>
      <c r="G984" s="730">
        <f t="shared" si="2482"/>
        <v>1600</v>
      </c>
      <c r="H984" s="731">
        <f t="shared" si="2483"/>
        <v>65.017127949644234</v>
      </c>
      <c r="I984" s="732">
        <v>2</v>
      </c>
      <c r="J984" s="729" t="s">
        <v>137</v>
      </c>
      <c r="K984" s="729"/>
      <c r="L984" s="729"/>
      <c r="M984" s="729" t="s">
        <v>138</v>
      </c>
      <c r="N984" s="729">
        <f>IFERROR(VLOOKUP(C984,[3]List1!$A:$D,4,FALSE),"N/A!")</f>
        <v>5.6629124999999995E-2</v>
      </c>
      <c r="O984" s="729">
        <f>IFERROR(VLOOKUP(C984,[3]List1!$A:$D,3,FALSE),"N/A!")</f>
        <v>1900</v>
      </c>
      <c r="P984" s="729">
        <f>IFERROR(VLOOKUP(C984,[3]List1!$A:$D,2,FALSE),"N/A!")</f>
        <v>14700</v>
      </c>
      <c r="Q984" s="729" t="s">
        <v>1810</v>
      </c>
      <c r="R984" s="729" t="s">
        <v>24</v>
      </c>
      <c r="S984" s="729" t="str">
        <f>IF($W$17=$AF$1,"design",IFERROR(VLOOKUP("design",Jazyky_ceník!$A:$Q,MATCH($W$17,Jazyky_ceník!$A$1:$Q$1,0),FALSE),"!!!"))</f>
        <v>design</v>
      </c>
      <c r="T984" s="729">
        <v>15</v>
      </c>
      <c r="U984" s="729">
        <v>40</v>
      </c>
      <c r="V984" s="729">
        <v>30</v>
      </c>
      <c r="W984" s="729" t="str">
        <f>IFERROR(VLOOKUP('General price list'!$C984,Popisy!A:P,MATCH($W$17,Popisy!$A$7:$P$7,0),FALSE),"---------------")</f>
        <v>red tip crackling willow - salvo 10sh together</v>
      </c>
      <c r="X984" s="729" t="str">
        <f t="shared" si="2484"/>
        <v/>
      </c>
      <c r="Y984" s="729" t="str">
        <f t="shared" si="2485"/>
        <v/>
      </c>
      <c r="Z984" s="729" t="str">
        <f>HYPERLINK("https://www.klasekpyrotechnics.cz/cf503x17")</f>
        <v>https://www.klasekpyrotechnics.cz/cf503x17</v>
      </c>
      <c r="AA984" s="729">
        <f>IFERROR(IF(VLOOKUP(C984,[4]List1!$A:$D,4,FALSE)=0,"",VLOOKUP(C984,[4]List1!$A:$D,4,FALSE)),"")</f>
        <v>28</v>
      </c>
      <c r="AB984" s="720"/>
      <c r="AC984" s="733" t="str">
        <f>IFERROR(IF(VLOOKUP(C984,[1]List1!$A:$D,2,FALSE)="VYPRODÁNO",$V$9,IF(VLOOKUP(C984,[1]List1!$A:$D,2,FALSE)="DOCHÁZÍ",$V$3,VLOOKUP(C984,[1]List1!$A:$D,2,FALSE))),"OFFLINE!")</f>
        <v>SKLADEM</v>
      </c>
      <c r="AD984" s="734" t="str">
        <f ca="1">IF(AP984="NE",$V$10,IF(AC984=$V$3,IF(AQ984&lt;1,$V$8,$V$2&amp;" "&amp;AQ984&amp;" "&amp;$V$1),IF(AC984="SKLADEM",$V$6,IFERROR(IF(OR(AC984-TODAY()&gt;45,VLOOKUP(C984,[1]List1!$A:$E,4,FALSE)=0),AC984,DAY(AC984)&amp;"."&amp;MONTH(AC984)&amp;"."&amp;YEAR(AC984)&amp;" "&amp;$V$4&amp;VLOOKUP(C984,[1]List1!$A:$E,4,FALSE)&amp;" "&amp;$V$1),AC984))))</f>
        <v>SKLADEM</v>
      </c>
      <c r="AE984" s="729" t="str">
        <f t="shared" ca="1" si="2486"/>
        <v>SKLADEM</v>
      </c>
      <c r="AF984" s="735">
        <f t="shared" si="2487"/>
        <v>0</v>
      </c>
      <c r="AG984" s="735">
        <f t="shared" si="2488"/>
        <v>0</v>
      </c>
      <c r="AH984" s="736">
        <f t="shared" si="2489"/>
        <v>0</v>
      </c>
      <c r="AI984" s="729">
        <f t="shared" si="2490"/>
        <v>0</v>
      </c>
      <c r="AJ984" s="729">
        <f t="shared" si="2491"/>
        <v>0</v>
      </c>
      <c r="AK984" s="729" t="str">
        <f t="shared" si="2492"/>
        <v/>
      </c>
      <c r="AL984" s="729">
        <f t="shared" si="2493"/>
        <v>0</v>
      </c>
      <c r="AM984" s="729" t="str">
        <f t="shared" si="2494"/>
        <v/>
      </c>
      <c r="AN984" s="729">
        <f t="shared" si="2495"/>
        <v>0</v>
      </c>
      <c r="AO984" s="380"/>
      <c r="AP984" s="322" t="str">
        <f t="shared" si="2496"/>
        <v/>
      </c>
      <c r="AQ984" s="323" t="str">
        <f>IF(AC984=$V$3,IF(VLOOKUP(C984,[1]List1!$A:$E,5,FALSE)=0,1,VLOOKUP(C984,[1]List1!$A:$E,5,FALSE)),"")</f>
        <v/>
      </c>
      <c r="AR984" s="304" t="str">
        <f t="shared" si="2497"/>
        <v/>
      </c>
      <c r="AS984" s="423" t="str">
        <f t="shared" si="2498"/>
        <v/>
      </c>
      <c r="AT984" s="304" t="str">
        <f t="shared" si="2499"/>
        <v/>
      </c>
      <c r="AU984" s="342" t="e">
        <f t="shared" si="2500"/>
        <v>#N/A</v>
      </c>
      <c r="AV984" s="304" t="e">
        <f t="shared" si="2501"/>
        <v>#N/A</v>
      </c>
      <c r="AX984" s="304">
        <f>IF(AND('General price list'!$J984="F4",'General price list'!$AB984+0&gt;0),1,0)</f>
        <v>0</v>
      </c>
      <c r="AY984" s="304">
        <f t="shared" si="2502"/>
        <v>1</v>
      </c>
      <c r="AZ984" s="304">
        <f t="shared" si="2503"/>
        <v>0</v>
      </c>
    </row>
    <row r="985" spans="1:52" ht="15" customHeight="1">
      <c r="A985" s="712" t="str">
        <f>Kat.!C982</f>
        <v>×</v>
      </c>
      <c r="B985" s="737">
        <f>IF(AND('General price list'!$J985="F4",$AI$1=FALSE),0,IF(AC985="SKLADEM",1,IF(AC985=$V$3,1,0)))</f>
        <v>1</v>
      </c>
      <c r="C985" s="714" t="s">
        <v>1862</v>
      </c>
      <c r="D985" s="715" t="s">
        <v>1231</v>
      </c>
      <c r="E985" s="716" t="s">
        <v>1078</v>
      </c>
      <c r="F985" s="712">
        <f>IFERROR(ROUND(IF($AL$3=2,VLOOKUP(C985,[2]List1!$A:$D,2,FALSE)*1.08,VLOOKUP(C985,[2]List1!$A:$D,2,FALSE)),0),"NEUVEDENO!")</f>
        <v>1600</v>
      </c>
      <c r="G985" s="717">
        <f t="shared" si="2482"/>
        <v>1600</v>
      </c>
      <c r="H985" s="718">
        <f t="shared" si="2483"/>
        <v>65.017127949644234</v>
      </c>
      <c r="I985" s="738">
        <v>2</v>
      </c>
      <c r="J985" s="716" t="s">
        <v>137</v>
      </c>
      <c r="K985" s="716"/>
      <c r="L985" s="716" t="s">
        <v>24</v>
      </c>
      <c r="M985" s="716" t="s">
        <v>138</v>
      </c>
      <c r="N985" s="716">
        <f>IFERROR(VLOOKUP(C985,[3]List1!$A:$D,4,FALSE),"N/A!")</f>
        <v>5.6629124999999995E-2</v>
      </c>
      <c r="O985" s="716">
        <f>IFERROR(VLOOKUP(C985,[3]List1!$A:$D,3,FALSE),"N/A!")</f>
        <v>1900</v>
      </c>
      <c r="P985" s="716">
        <f>IFERROR(VLOOKUP(C985,[3]List1!$A:$D,2,FALSE),"N/A!")</f>
        <v>14800</v>
      </c>
      <c r="Q985" s="716" t="s">
        <v>1810</v>
      </c>
      <c r="R985" s="716" t="s">
        <v>24</v>
      </c>
      <c r="S985" s="716" t="str">
        <f>IF($W$17=$AF$1,"design",IFERROR(VLOOKUP("design",Jazyky_ceník!$A:$Q,MATCH($W$17,Jazyky_ceník!$A$1:$Q$1,0),FALSE),"!!!"))</f>
        <v>design</v>
      </c>
      <c r="T985" s="716">
        <v>15</v>
      </c>
      <c r="U985" s="716">
        <v>40</v>
      </c>
      <c r="V985" s="716">
        <v>30</v>
      </c>
      <c r="W985" s="716" t="str">
        <f>IFERROR(VLOOKUP('General price list'!$C985,Popisy!A:P,MATCH($W$17,Popisy!$A$7:$P$7,0),FALSE),"---------------")</f>
        <v>king brocade + orange pearl- salvo 10sh together</v>
      </c>
      <c r="X985" s="716" t="str">
        <f t="shared" si="2484"/>
        <v/>
      </c>
      <c r="Y985" s="716" t="str">
        <f t="shared" si="2485"/>
        <v/>
      </c>
      <c r="Z985" s="716" t="str">
        <f>HYPERLINK("https://www.klasekpyrotechnics.cz/cf503x29")</f>
        <v>https://www.klasekpyrotechnics.cz/cf503x29</v>
      </c>
      <c r="AA985" s="716">
        <f>IFERROR(IF(VLOOKUP(C985,[4]List1!$A:$D,4,FALSE)=0,"",VLOOKUP(C985,[4]List1!$A:$D,4,FALSE)),"")</f>
        <v>28</v>
      </c>
      <c r="AB985" s="720"/>
      <c r="AC985" s="739" t="str">
        <f>IFERROR(IF(VLOOKUP(C985,[1]List1!$A:$D,2,FALSE)="VYPRODÁNO",$V$9,IF(VLOOKUP(C985,[1]List1!$A:$D,2,FALSE)="DOCHÁZÍ",$V$3,VLOOKUP(C985,[1]List1!$A:$D,2,FALSE))),"OFFLINE!")</f>
        <v>SKLADEM</v>
      </c>
      <c r="AD985" s="740" t="str">
        <f ca="1">IF(AP985="NE",$V$10,IF(AC985=$V$3,IF(AQ985&lt;1,$V$8,$V$2&amp;" "&amp;AQ985&amp;" "&amp;$V$1),IF(AC985="SKLADEM",$V$6,IFERROR(IF(OR(AC985-TODAY()&gt;45,VLOOKUP(C985,[1]List1!$A:$E,4,FALSE)=0),AC985,DAY(AC985)&amp;"."&amp;MONTH(AC985)&amp;"."&amp;YEAR(AC985)&amp;" "&amp;$V$4&amp;VLOOKUP(C985,[1]List1!$A:$E,4,FALSE)&amp;" "&amp;$V$1),AC985))))</f>
        <v>SKLADEM</v>
      </c>
      <c r="AE985" s="716" t="str">
        <f t="shared" ca="1" si="2486"/>
        <v>SKLADEM</v>
      </c>
      <c r="AF985" s="723">
        <f t="shared" si="2487"/>
        <v>0</v>
      </c>
      <c r="AG985" s="723">
        <f t="shared" si="2488"/>
        <v>0</v>
      </c>
      <c r="AH985" s="724">
        <f t="shared" si="2489"/>
        <v>0</v>
      </c>
      <c r="AI985" s="716">
        <f t="shared" si="2490"/>
        <v>0</v>
      </c>
      <c r="AJ985" s="716">
        <f t="shared" si="2491"/>
        <v>0</v>
      </c>
      <c r="AK985" s="716" t="str">
        <f t="shared" si="2492"/>
        <v/>
      </c>
      <c r="AL985" s="716">
        <f t="shared" si="2493"/>
        <v>0</v>
      </c>
      <c r="AM985" s="716" t="str">
        <f t="shared" si="2494"/>
        <v/>
      </c>
      <c r="AN985" s="716">
        <f t="shared" si="2495"/>
        <v>0</v>
      </c>
      <c r="AO985" s="380"/>
      <c r="AP985" s="322" t="str">
        <f t="shared" si="2496"/>
        <v/>
      </c>
      <c r="AQ985" s="323" t="str">
        <f>IF(AC985=$V$3,IF(VLOOKUP(C985,[1]List1!$A:$E,5,FALSE)=0,1,VLOOKUP(C985,[1]List1!$A:$E,5,FALSE)),"")</f>
        <v/>
      </c>
      <c r="AR985" s="304" t="str">
        <f t="shared" si="2497"/>
        <v/>
      </c>
      <c r="AS985" s="423" t="str">
        <f t="shared" si="2498"/>
        <v/>
      </c>
      <c r="AT985" s="304" t="str">
        <f t="shared" si="2499"/>
        <v/>
      </c>
      <c r="AU985" s="342" t="e">
        <f t="shared" si="2500"/>
        <v>#N/A</v>
      </c>
      <c r="AV985" s="304" t="e">
        <f t="shared" si="2501"/>
        <v>#N/A</v>
      </c>
      <c r="AX985" s="304">
        <f>IF(AND('General price list'!$J985="F4",'General price list'!$AB985+0&gt;0),1,0)</f>
        <v>0</v>
      </c>
      <c r="AY985" s="304">
        <f t="shared" si="2502"/>
        <v>1</v>
      </c>
      <c r="AZ985" s="304">
        <f t="shared" si="2503"/>
        <v>0</v>
      </c>
    </row>
    <row r="986" spans="1:52" ht="15" customHeight="1">
      <c r="A986" s="725" t="str">
        <f>Kat.!C983</f>
        <v/>
      </c>
      <c r="B986" s="726">
        <f>IF(AND('General price list'!$J986="F4",$AI$1=FALSE),0,IF(AC986="SKLADEM",1,IF(AC986=$V$3,1,0)))</f>
        <v>0</v>
      </c>
      <c r="C986" s="727" t="s">
        <v>1870</v>
      </c>
      <c r="D986" s="728" t="s">
        <v>1231</v>
      </c>
      <c r="E986" s="729" t="s">
        <v>1078</v>
      </c>
      <c r="F986" s="725">
        <f>IFERROR(ROUND(IF($AL$3=2,VLOOKUP(C986,[2]List1!$A:$D,2,FALSE)*1.08,VLOOKUP(C986,[2]List1!$A:$D,2,FALSE)),0),"NEUVEDENO!")</f>
        <v>1600</v>
      </c>
      <c r="G986" s="730">
        <f t="shared" si="2482"/>
        <v>1600</v>
      </c>
      <c r="H986" s="731">
        <f t="shared" si="2483"/>
        <v>65.017127949644234</v>
      </c>
      <c r="I986" s="732">
        <v>2</v>
      </c>
      <c r="J986" s="729" t="s">
        <v>137</v>
      </c>
      <c r="K986" s="729"/>
      <c r="L986" s="729"/>
      <c r="M986" s="729" t="s">
        <v>138</v>
      </c>
      <c r="N986" s="729">
        <f>IFERROR(VLOOKUP(C986,[3]List1!$A:$D,4,FALSE),"N/A!")</f>
        <v>5.6629124999999995E-2</v>
      </c>
      <c r="O986" s="729">
        <f>IFERROR(VLOOKUP(C986,[3]List1!$A:$D,3,FALSE),"N/A!")</f>
        <v>1900</v>
      </c>
      <c r="P986" s="729">
        <f>IFERROR(VLOOKUP(C986,[3]List1!$A:$D,2,FALSE),"N/A!")</f>
        <v>14500</v>
      </c>
      <c r="Q986" s="729" t="s">
        <v>14303</v>
      </c>
      <c r="R986" s="729" t="s">
        <v>24</v>
      </c>
      <c r="S986" s="729" t="str">
        <f>IF($W$17=$AF$1,"design",IFERROR(VLOOKUP("design",Jazyky_ceník!$A:$Q,MATCH($W$17,Jazyky_ceník!$A$1:$Q$1,0),FALSE),"!!!"))</f>
        <v>design</v>
      </c>
      <c r="T986" s="729">
        <v>15</v>
      </c>
      <c r="U986" s="729">
        <v>40</v>
      </c>
      <c r="V986" s="729">
        <v>30</v>
      </c>
      <c r="W986" s="729" t="str">
        <f>IFERROR(VLOOKUP('General price list'!$C986,Popisy!A:P,MATCH($W$17,Popisy!$A$7:$P$7,0),FALSE),"---------------")</f>
        <v>purple crossette + and purple tail to brocade crown with purple dahlia - salvo 10sh together</v>
      </c>
      <c r="X986" s="729" t="str">
        <f t="shared" si="2484"/>
        <v/>
      </c>
      <c r="Y986" s="729" t="str">
        <f t="shared" si="2485"/>
        <v/>
      </c>
      <c r="Z986" s="729" t="str">
        <f>HYPERLINK("https://www.klasekpyrotechnics.cz/cf503x48")</f>
        <v>https://www.klasekpyrotechnics.cz/cf503x48</v>
      </c>
      <c r="AA986" s="729">
        <f>IFERROR(IF(VLOOKUP(C986,[4]List1!$A:$D,4,FALSE)=0,"",VLOOKUP(C986,[4]List1!$A:$D,4,FALSE)),"")</f>
        <v>28</v>
      </c>
      <c r="AB986" s="720"/>
      <c r="AC986" s="733" t="str">
        <f>IFERROR(IF(VLOOKUP(C986,[1]List1!$A:$D,2,FALSE)="VYPRODÁNO",$V$9,IF(VLOOKUP(C986,[1]List1!$A:$D,2,FALSE)="DOCHÁZÍ",$V$3,VLOOKUP(C986,[1]List1!$A:$D,2,FALSE))),"OFFLINE!")</f>
        <v>20.06.2024</v>
      </c>
      <c r="AD986" s="734" t="str">
        <f ca="1">IF(AP986="NE",$V$10,IF(AC986=$V$3,IF(AQ986&lt;1,$V$8,$V$2&amp;" "&amp;AQ986&amp;" "&amp;$V$1),IF(AC986="SKLADEM",$V$6,IFERROR(IF(OR(AC986-TODAY()&gt;45,VLOOKUP(C986,[1]List1!$A:$E,4,FALSE)=0),AC986,DAY(AC986)&amp;"."&amp;MONTH(AC986)&amp;"."&amp;YEAR(AC986)&amp;" "&amp;$V$4&amp;VLOOKUP(C986,[1]List1!$A:$E,4,FALSE)&amp;" "&amp;$V$1),AC986))))</f>
        <v>20.06.2024</v>
      </c>
      <c r="AE986" s="729" t="str">
        <f t="shared" ca="1" si="2486"/>
        <v>20.06.2024</v>
      </c>
      <c r="AF986" s="735">
        <f t="shared" si="2487"/>
        <v>0</v>
      </c>
      <c r="AG986" s="735">
        <f t="shared" si="2488"/>
        <v>0</v>
      </c>
      <c r="AH986" s="736">
        <f t="shared" si="2489"/>
        <v>0</v>
      </c>
      <c r="AI986" s="729">
        <f t="shared" si="2490"/>
        <v>0</v>
      </c>
      <c r="AJ986" s="729">
        <f t="shared" si="2491"/>
        <v>0</v>
      </c>
      <c r="AK986" s="729" t="str">
        <f t="shared" si="2492"/>
        <v/>
      </c>
      <c r="AL986" s="729">
        <f t="shared" si="2493"/>
        <v>0</v>
      </c>
      <c r="AM986" s="729" t="str">
        <f t="shared" si="2494"/>
        <v/>
      </c>
      <c r="AN986" s="729">
        <f t="shared" si="2495"/>
        <v>0</v>
      </c>
      <c r="AO986" s="380"/>
      <c r="AP986" s="322" t="str">
        <f t="shared" si="2496"/>
        <v/>
      </c>
      <c r="AQ986" s="323" t="str">
        <f>IF(AC986=$V$3,IF(VLOOKUP(C986,[1]List1!$A:$E,5,FALSE)=0,1,VLOOKUP(C986,[1]List1!$A:$E,5,FALSE)),"")</f>
        <v/>
      </c>
      <c r="AR986" s="304" t="str">
        <f t="shared" si="2497"/>
        <v/>
      </c>
      <c r="AS986" s="423" t="str">
        <f t="shared" si="2498"/>
        <v/>
      </c>
      <c r="AT986" s="304" t="str">
        <f t="shared" si="2499"/>
        <v/>
      </c>
      <c r="AU986" s="342" t="e">
        <f t="shared" si="2500"/>
        <v>#N/A</v>
      </c>
      <c r="AV986" s="304" t="e">
        <f t="shared" si="2501"/>
        <v>#N/A</v>
      </c>
      <c r="AX986" s="304">
        <f>IF(AND('General price list'!$J986="F4",'General price list'!$AB986+0&gt;0),1,0)</f>
        <v>0</v>
      </c>
      <c r="AY986" s="304">
        <f t="shared" si="2502"/>
        <v>1</v>
      </c>
      <c r="AZ986" s="304">
        <f t="shared" si="2503"/>
        <v>0</v>
      </c>
    </row>
    <row r="987" spans="1:52" ht="15" customHeight="1">
      <c r="A987" s="712" t="str">
        <f>Kat.!C984</f>
        <v/>
      </c>
      <c r="B987" s="737">
        <f>IF(AND('General price list'!$J987="F4",$AI$1=FALSE),0,IF(AC987="SKLADEM",1,IF(AC987=$V$3,1,0)))</f>
        <v>0</v>
      </c>
      <c r="C987" s="714" t="s">
        <v>1872</v>
      </c>
      <c r="D987" s="715" t="s">
        <v>1231</v>
      </c>
      <c r="E987" s="716" t="s">
        <v>1078</v>
      </c>
      <c r="F987" s="712">
        <f>IFERROR(ROUND(IF($AL$3=2,VLOOKUP(C987,[2]List1!$A:$D,2,FALSE)*1.08,VLOOKUP(C987,[2]List1!$A:$D,2,FALSE)),0),"NEUVEDENO!")</f>
        <v>2048</v>
      </c>
      <c r="G987" s="717">
        <f t="shared" si="2482"/>
        <v>2048</v>
      </c>
      <c r="H987" s="718">
        <f t="shared" si="2483"/>
        <v>83.221923775544624</v>
      </c>
      <c r="I987" s="738">
        <v>2</v>
      </c>
      <c r="J987" s="716" t="s">
        <v>137</v>
      </c>
      <c r="K987" s="716"/>
      <c r="L987" s="716" t="s">
        <v>24</v>
      </c>
      <c r="M987" s="716" t="s">
        <v>25</v>
      </c>
      <c r="N987" s="716">
        <f>IFERROR(VLOOKUP(C987,[3]List1!$A:$D,4,FALSE),"N/A!")</f>
        <v>5.6629124999999995E-2</v>
      </c>
      <c r="O987" s="716">
        <f>IFERROR(VLOOKUP(C987,[3]List1!$A:$D,3,FALSE),"N/A!")</f>
        <v>1900</v>
      </c>
      <c r="P987" s="716">
        <f>IFERROR(VLOOKUP(C987,[3]List1!$A:$D,2,FALSE),"N/A!")</f>
        <v>13000</v>
      </c>
      <c r="Q987" s="716" t="s">
        <v>1814</v>
      </c>
      <c r="R987" s="716" t="s">
        <v>24</v>
      </c>
      <c r="S987" s="716" t="str">
        <f>IF($W$17=$AF$1,"design",IFERROR(VLOOKUP("design",Jazyky_ceník!$A:$Q,MATCH($W$17,Jazyky_ceník!$A$1:$Q$1,0),FALSE),"!!!"))</f>
        <v>design</v>
      </c>
      <c r="T987" s="716">
        <v>15</v>
      </c>
      <c r="U987" s="716"/>
      <c r="V987" s="716"/>
      <c r="W987" s="716" t="str">
        <f>IFERROR(VLOOKUP('General price list'!$C987,Popisy!A:P,MATCH($W$17,Popisy!$A$7:$P$7,0),FALSE),"---------------")</f>
        <v>purple tail to purple crossette(C type-open on midlle)</v>
      </c>
      <c r="X987" s="716" t="str">
        <f t="shared" si="2484"/>
        <v/>
      </c>
      <c r="Y987" s="716" t="str">
        <f t="shared" si="2485"/>
        <v/>
      </c>
      <c r="Z987" s="716" t="str">
        <f>HYPERLINK("https://www.klasekpyrotechnics.cz/cf503x54")</f>
        <v>https://www.klasekpyrotechnics.cz/cf503x54</v>
      </c>
      <c r="AA987" s="716">
        <f>IFERROR(IF(VLOOKUP(C987,[4]List1!$A:$D,4,FALSE)=0,"",VLOOKUP(C987,[4]List1!$A:$D,4,FALSE)),"")</f>
        <v>28</v>
      </c>
      <c r="AB987" s="720"/>
      <c r="AC987" s="739" t="str">
        <f>IFERROR(IF(VLOOKUP(C987,[1]List1!$A:$D,2,FALSE)="VYPRODÁNO",$V$9,IF(VLOOKUP(C987,[1]List1!$A:$D,2,FALSE)="DOCHÁZÍ",$V$3,VLOOKUP(C987,[1]List1!$A:$D,2,FALSE))),"OFFLINE!")</f>
        <v>30.09.2024</v>
      </c>
      <c r="AD987" s="740" t="str">
        <f ca="1">IF(AP987="NE",$V$10,IF(AC987=$V$3,IF(AQ987&lt;1,$V$8,$V$2&amp;" "&amp;AQ987&amp;" "&amp;$V$1),IF(AC987="SKLADEM",$V$6,IFERROR(IF(OR(AC987-TODAY()&gt;45,VLOOKUP(C987,[1]List1!$A:$E,4,FALSE)=0),AC987,DAY(AC987)&amp;"."&amp;MONTH(AC987)&amp;"."&amp;YEAR(AC987)&amp;" "&amp;$V$4&amp;VLOOKUP(C987,[1]List1!$A:$E,4,FALSE)&amp;" "&amp;$V$1),AC987))))</f>
        <v>30.09.2024</v>
      </c>
      <c r="AE987" s="716" t="str">
        <f t="shared" ca="1" si="2486"/>
        <v>30.09.2024</v>
      </c>
      <c r="AF987" s="723">
        <f t="shared" si="2487"/>
        <v>0</v>
      </c>
      <c r="AG987" s="723">
        <f t="shared" si="2488"/>
        <v>0</v>
      </c>
      <c r="AH987" s="724">
        <f t="shared" si="2489"/>
        <v>0</v>
      </c>
      <c r="AI987" s="716">
        <f t="shared" si="2490"/>
        <v>0</v>
      </c>
      <c r="AJ987" s="716">
        <f t="shared" si="2491"/>
        <v>0</v>
      </c>
      <c r="AK987" s="716" t="str">
        <f t="shared" si="2492"/>
        <v/>
      </c>
      <c r="AL987" s="716" t="str">
        <f t="shared" si="2493"/>
        <v/>
      </c>
      <c r="AM987" s="716">
        <f t="shared" si="2494"/>
        <v>0</v>
      </c>
      <c r="AN987" s="716">
        <f t="shared" si="2495"/>
        <v>0</v>
      </c>
      <c r="AO987" s="380"/>
      <c r="AP987" s="322" t="str">
        <f t="shared" si="2496"/>
        <v/>
      </c>
      <c r="AQ987" s="323" t="str">
        <f>IF(AC987=$V$3,IF(VLOOKUP(C987,[1]List1!$A:$E,5,FALSE)=0,1,VLOOKUP(C987,[1]List1!$A:$E,5,FALSE)),"")</f>
        <v/>
      </c>
      <c r="AR987" s="304" t="str">
        <f t="shared" si="2497"/>
        <v/>
      </c>
      <c r="AS987" s="423" t="str">
        <f t="shared" si="2498"/>
        <v/>
      </c>
      <c r="AT987" s="304" t="str">
        <f t="shared" si="2499"/>
        <v/>
      </c>
      <c r="AU987" s="342" t="e">
        <f t="shared" si="2500"/>
        <v>#N/A</v>
      </c>
      <c r="AV987" s="304" t="e">
        <f t="shared" si="2501"/>
        <v>#N/A</v>
      </c>
      <c r="AX987" s="304">
        <f>IF(AND('General price list'!$J987="F4",'General price list'!$AB987+0&gt;0),1,0)</f>
        <v>0</v>
      </c>
      <c r="AY987" s="304">
        <f t="shared" si="2502"/>
        <v>1</v>
      </c>
      <c r="AZ987" s="304">
        <f t="shared" si="2503"/>
        <v>0</v>
      </c>
    </row>
    <row r="988" spans="1:52" ht="15" customHeight="1">
      <c r="A988" s="773" t="str">
        <f>Kat.!C985</f>
        <v xml:space="preserve">                                                               Baterie 50ran, 30mm S moždíř</v>
      </c>
      <c r="B988" s="774"/>
      <c r="C988" s="774"/>
      <c r="D988" s="774"/>
      <c r="E988" s="774"/>
      <c r="F988" s="774"/>
      <c r="G988" s="774"/>
      <c r="H988" s="774"/>
      <c r="I988" s="774"/>
      <c r="J988" s="774"/>
      <c r="K988" s="774"/>
      <c r="L988" s="774"/>
      <c r="M988" s="774"/>
      <c r="N988" s="774"/>
      <c r="O988" s="774"/>
      <c r="P988" s="774"/>
      <c r="Q988" s="774"/>
      <c r="R988" s="774"/>
      <c r="S988" s="774"/>
      <c r="T988" s="774"/>
      <c r="U988" s="774"/>
      <c r="V988" s="774"/>
      <c r="W988" s="774"/>
      <c r="X988" s="774"/>
      <c r="Y988" s="774"/>
      <c r="Z988" s="774"/>
      <c r="AA988" s="774" t="str">
        <f>IFERROR(IF(VLOOKUP(C988,[4]List1!$A:$D,4,FALSE)=0,"",VLOOKUP(C988,[4]List1!$A:$D,4,FALSE)),"")</f>
        <v/>
      </c>
      <c r="AB988" s="774"/>
      <c r="AC988" s="775" t="str">
        <f>IFERROR(IF(VLOOKUP(C988,[1]List1!$A:$D,2,FALSE)="VYPRODÁNO",$V$9,IF(VLOOKUP(C988,[1]List1!$A:$D,2,FALSE)="DOCHÁZÍ",$V$3,VLOOKUP(C988,[1]List1!$A:$D,2,FALSE))),"OFFLINE!")</f>
        <v>OFFLINE!</v>
      </c>
      <c r="AD988" s="774"/>
      <c r="AE988" s="774"/>
      <c r="AF988" s="774"/>
      <c r="AG988" s="774"/>
      <c r="AH988" s="774"/>
      <c r="AI988" s="774"/>
      <c r="AJ988" s="774"/>
      <c r="AK988" s="774"/>
      <c r="AL988" s="774"/>
      <c r="AM988" s="774"/>
      <c r="AN988" s="774"/>
      <c r="AO988" s="380"/>
      <c r="AP988" s="322" t="str">
        <f t="shared" ref="AP988:AP1039" si="2504">IF($AL$3=1,IF(Y988=AB988,"","NE"),IF(AR988=$V$10,"NE",""))</f>
        <v/>
      </c>
      <c r="AQ988" s="323" t="str">
        <f>IF(AC988=$V$3,IF(VLOOKUP(C988,[1]List1!$A:$E,5,FALSE)=0,1,VLOOKUP(C988,[1]List1!$A:$E,5,FALSE)),"")</f>
        <v/>
      </c>
      <c r="AR988" s="304" t="str">
        <f t="shared" ref="AR988:AR1039" si="2505">IF($AL$3=1,"",IF(OR(AB988&lt;&gt;"",AB988&lt;&gt;0),IF(OR(AC988=$V$6,AC988=$V$3,AC988=$V$9),$V$10,""),""))</f>
        <v/>
      </c>
      <c r="AS988" s="423" t="str">
        <f t="shared" ref="AS988:AS1039" si="2506">IF(AT988&lt;&gt;"","X","")</f>
        <v/>
      </c>
      <c r="AT988" s="304" t="str">
        <f t="shared" ref="AT988:AT1039" si="2507">IF(AND($AL$3=2,AR988="",AB988&lt;&gt;""),AD988,"")</f>
        <v/>
      </c>
      <c r="AU988" s="342" t="e">
        <f t="shared" ref="AU988:AU1039" si="2508">IF(AT988=$AS$21,AB988,"")</f>
        <v>#N/A</v>
      </c>
      <c r="AV988" s="304" t="e">
        <f t="shared" ref="AV988:AV1039" si="2509">IF(OR(AB988="",AND(AT988&lt;&gt;"",AU988&lt;&gt;"")),"",$V$10)</f>
        <v>#N/A</v>
      </c>
      <c r="AX988" s="304">
        <f>IF(AND('General price list'!$J988="F4",'General price list'!$AB988+0&gt;0),1,0)</f>
        <v>0</v>
      </c>
      <c r="AY988" s="304">
        <f t="shared" ref="AY988:AY1039" si="2510">IFERROR(FIND(VLOOKUP($AC$7,$AD$1:$AE$12,2,FALSE),Q988,1),0)</f>
        <v>0</v>
      </c>
      <c r="AZ988" s="304">
        <f t="shared" ref="AZ988:AZ1039" si="2511">IFERROR(FIND(VLOOKUP($AC$7,$AD$1:$AE$12,2,FALSE),R988,1),0)</f>
        <v>0</v>
      </c>
    </row>
    <row r="989" spans="1:52" ht="15" customHeight="1">
      <c r="A989" s="712" t="str">
        <f>Kat.!C986</f>
        <v/>
      </c>
      <c r="B989" s="713">
        <f>IF(AND('General price list'!$J989="F4",$AI$1=FALSE),0,IF(AC989="SKLADEM",1,IF(AC989=$V$3,1,0)))</f>
        <v>1</v>
      </c>
      <c r="C989" s="714" t="s">
        <v>1874</v>
      </c>
      <c r="D989" s="715" t="s">
        <v>1231</v>
      </c>
      <c r="E989" s="716" t="s">
        <v>1078</v>
      </c>
      <c r="F989" s="712">
        <f>IFERROR(ROUND(IF($AL$3=2,VLOOKUP(C989,[2]List1!$A:$D,2,FALSE)*1.08,VLOOKUP(C989,[2]List1!$A:$D,2,FALSE)),0),"NEUVEDENO!")</f>
        <v>1600</v>
      </c>
      <c r="G989" s="717">
        <f t="shared" ref="G989:G1006" si="2512">(F989)*$B$19</f>
        <v>1600</v>
      </c>
      <c r="H989" s="718">
        <f t="shared" ref="H989:H1006" si="2513">G989/$F$19</f>
        <v>65.017127949644234</v>
      </c>
      <c r="I989" s="719">
        <v>2</v>
      </c>
      <c r="J989" s="716" t="s">
        <v>137</v>
      </c>
      <c r="K989" s="716"/>
      <c r="L989" s="716" t="s">
        <v>24</v>
      </c>
      <c r="M989" s="716" t="s">
        <v>138</v>
      </c>
      <c r="N989" s="716">
        <f>IFERROR(VLOOKUP(C989,[3]List1!$A:$D,4,FALSE),"N/A!")</f>
        <v>5.6629124999999995E-2</v>
      </c>
      <c r="O989" s="716">
        <f>IFERROR(VLOOKUP(C989,[3]List1!$A:$D,3,FALSE),"N/A!")</f>
        <v>1900</v>
      </c>
      <c r="P989" s="716">
        <f>IFERROR(VLOOKUP(C989,[3]List1!$A:$D,2,FALSE),"N/A!")</f>
        <v>14200</v>
      </c>
      <c r="Q989" s="716" t="s">
        <v>1814</v>
      </c>
      <c r="R989" s="716" t="s">
        <v>24</v>
      </c>
      <c r="S989" s="716" t="str">
        <f>IF($W$17=$AF$1,"design",IFERROR(VLOOKUP("design",Jazyky_ceník!$A:$Q,MATCH($W$17,Jazyky_ceník!$A$1:$Q$1,0),FALSE),"!!!"))</f>
        <v>design</v>
      </c>
      <c r="T989" s="716">
        <v>10</v>
      </c>
      <c r="U989" s="716">
        <v>40</v>
      </c>
      <c r="V989" s="716">
        <v>30</v>
      </c>
      <c r="W989" s="716" t="str">
        <f>IFERROR(VLOOKUP('General price list'!$C989,Popisy!A:P,MATCH($W$17,Popisy!$A$7:$P$7,0),FALSE),"---------------")</f>
        <v>blue tail up to flower crown</v>
      </c>
      <c r="X989" s="716" t="str">
        <f t="shared" ref="X989:X1006" si="2514">IF(AB989&lt;0.0001,"",AB989)</f>
        <v/>
      </c>
      <c r="Y989" s="716" t="str">
        <f t="shared" ref="Y989:Y1006" si="2515">IF($AL$3=2,IF(OR(AB989&lt;&gt;"",AB989&lt;&gt;0),AU989,""),IF(C989="","",IF(AB989&lt;0.0001,"",IF(B989=0,"",IF(AQ989&lt;AB989,"",AB989)))))</f>
        <v/>
      </c>
      <c r="Z989" s="716" t="str">
        <f>HYPERLINK("https://www.klasekpyrotechnics.cz/cs503x8")</f>
        <v>https://www.klasekpyrotechnics.cz/cs503x8</v>
      </c>
      <c r="AA989" s="716">
        <f>IFERROR(IF(VLOOKUP(C989,[4]List1!$A:$D,4,FALSE)=0,"",VLOOKUP(C989,[4]List1!$A:$D,4,FALSE)),"")</f>
        <v>28</v>
      </c>
      <c r="AB989" s="720"/>
      <c r="AC989" s="721" t="str">
        <f>IFERROR(IF(VLOOKUP(C989,[1]List1!$A:$D,2,FALSE)="VYPRODÁNO",$V$9,IF(VLOOKUP(C989,[1]List1!$A:$D,2,FALSE)="DOCHÁZÍ",$V$3,VLOOKUP(C989,[1]List1!$A:$D,2,FALSE))),"OFFLINE!")</f>
        <v>SKLADEM</v>
      </c>
      <c r="AD989" s="722" t="str">
        <f ca="1">IF(AP989="NE",$V$10,IF(AC989=$V$3,IF(AQ989&lt;1,$V$8,$V$2&amp;" "&amp;AQ989&amp;" "&amp;$V$1),IF(AC989="SKLADEM",$V$6,IFERROR(IF(OR(AC989-TODAY()&gt;45,VLOOKUP(C989,[1]List1!$A:$E,4,FALSE)=0),AC989,DAY(AC989)&amp;"."&amp;MONTH(AC989)&amp;"."&amp;YEAR(AC989)&amp;" "&amp;$V$4&amp;VLOOKUP(C989,[1]List1!$A:$E,4,FALSE)&amp;" "&amp;$V$1),AC989))))</f>
        <v>SKLADEM</v>
      </c>
      <c r="AE989" s="716" t="str">
        <f t="shared" ref="AE989:AE1006" ca="1" si="2516">IFERROR(IF(AV989&lt;&gt;"",AV989,AD989),AD989)</f>
        <v>SKLADEM</v>
      </c>
      <c r="AF989" s="723">
        <f t="shared" ref="AF989:AF1006" si="2517">IFERROR(IF(AB989=Y989,G989*I989*Y989,0),0)</f>
        <v>0</v>
      </c>
      <c r="AG989" s="723">
        <f t="shared" ref="AG989:AG1006" si="2518">IF($W$17=$AF$8,AH989*1.23,AF989*1.21)</f>
        <v>0</v>
      </c>
      <c r="AH989" s="724">
        <f t="shared" ref="AH989:AH1006" si="2519">IFERROR(IF(Y989=AB989,H989*I989*Y989,0),0)</f>
        <v>0</v>
      </c>
      <c r="AI989" s="716">
        <f t="shared" ref="AI989:AI1006" si="2520">IFERROR(IF(Y989=AB989,(P989*Y989)/1000,1),0)</f>
        <v>0</v>
      </c>
      <c r="AJ989" s="716">
        <f t="shared" ref="AJ989:AJ1006" si="2521">IFERROR(IF(Y989=AB989,N989*Y989,0.1),0)</f>
        <v>0</v>
      </c>
      <c r="AK989" s="716" t="str">
        <f t="shared" ref="AK989:AK1006" si="2522">IFERROR(IF(Y989=AB989,IF(M989="1.1G",(O989/1000)*Y989,""),""),0)</f>
        <v/>
      </c>
      <c r="AL989" s="716">
        <f t="shared" ref="AL989:AL1006" si="2523">IFERROR(IF(Y989=AB989,IF(M989="1.3G",(O989/1000)*AB989,""),""),0)</f>
        <v>0</v>
      </c>
      <c r="AM989" s="716" t="str">
        <f t="shared" ref="AM989:AM1006" si="2524">IFERROR(IF(Y989=AB989,IF(M989="1.4G",(O989/1000)*AB989,""),""),0)</f>
        <v/>
      </c>
      <c r="AN989" s="716">
        <f t="shared" ref="AN989:AN1006" si="2525">SUM(AK989:AM989)</f>
        <v>0</v>
      </c>
      <c r="AO989" s="380"/>
      <c r="AP989" s="322" t="str">
        <f t="shared" si="2504"/>
        <v/>
      </c>
      <c r="AQ989" s="323" t="str">
        <f>IF(AC989=$V$3,IF(VLOOKUP(C989,[1]List1!$A:$E,5,FALSE)=0,1,VLOOKUP(C989,[1]List1!$A:$E,5,FALSE)),"")</f>
        <v/>
      </c>
      <c r="AR989" s="304" t="str">
        <f t="shared" si="2505"/>
        <v/>
      </c>
      <c r="AS989" s="423" t="str">
        <f t="shared" si="2506"/>
        <v/>
      </c>
      <c r="AT989" s="304" t="str">
        <f t="shared" si="2507"/>
        <v/>
      </c>
      <c r="AU989" s="342" t="e">
        <f t="shared" si="2508"/>
        <v>#N/A</v>
      </c>
      <c r="AV989" s="304" t="e">
        <f t="shared" si="2509"/>
        <v>#N/A</v>
      </c>
      <c r="AX989" s="304">
        <f>IF(AND('General price list'!$J989="F4",'General price list'!$AB989+0&gt;0),1,0)</f>
        <v>0</v>
      </c>
      <c r="AY989" s="304">
        <f t="shared" si="2510"/>
        <v>1</v>
      </c>
      <c r="AZ989" s="304">
        <f t="shared" si="2511"/>
        <v>0</v>
      </c>
    </row>
    <row r="990" spans="1:52" ht="15" customHeight="1">
      <c r="A990" s="725" t="str">
        <f>Kat.!C987</f>
        <v/>
      </c>
      <c r="B990" s="726">
        <f>IF(AND('General price list'!$J990="F4",$AI$1=FALSE),0,IF(AC990="SKLADEM",1,IF(AC990=$V$3,1,0)))</f>
        <v>1</v>
      </c>
      <c r="C990" s="727" t="s">
        <v>1876</v>
      </c>
      <c r="D990" s="728" t="s">
        <v>1231</v>
      </c>
      <c r="E990" s="729" t="s">
        <v>1078</v>
      </c>
      <c r="F990" s="725">
        <f>IFERROR(ROUND(IF($AL$3=2,VLOOKUP(C990,[2]List1!$A:$D,2,FALSE)*1.08,VLOOKUP(C990,[2]List1!$A:$D,2,FALSE)),0),"NEUVEDENO!")</f>
        <v>1655</v>
      </c>
      <c r="G990" s="730">
        <f t="shared" si="2512"/>
        <v>1655</v>
      </c>
      <c r="H990" s="731">
        <f t="shared" si="2513"/>
        <v>67.252091722913264</v>
      </c>
      <c r="I990" s="732">
        <v>2</v>
      </c>
      <c r="J990" s="729" t="s">
        <v>137</v>
      </c>
      <c r="K990" s="729"/>
      <c r="L990" s="729" t="s">
        <v>24</v>
      </c>
      <c r="M990" s="729" t="s">
        <v>138</v>
      </c>
      <c r="N990" s="729">
        <f>IFERROR(VLOOKUP(C990,[3]List1!$A:$D,4,FALSE),"N/A!")</f>
        <v>5.6629124999999995E-2</v>
      </c>
      <c r="O990" s="729">
        <f>IFERROR(VLOOKUP(C990,[3]List1!$A:$D,3,FALSE),"N/A!")</f>
        <v>1900</v>
      </c>
      <c r="P990" s="729">
        <f>IFERROR(VLOOKUP(C990,[3]List1!$A:$D,2,FALSE),"N/A!")</f>
        <v>15500</v>
      </c>
      <c r="Q990" s="729" t="s">
        <v>1810</v>
      </c>
      <c r="R990" s="729" t="s">
        <v>24</v>
      </c>
      <c r="S990" s="729" t="str">
        <f>IF($W$17=$AF$1,"design",IFERROR(VLOOKUP("design",Jazyky_ceník!$A:$Q,MATCH($W$17,Jazyky_ceník!$A$1:$Q$1,0),FALSE),"!!!"))</f>
        <v>design</v>
      </c>
      <c r="T990" s="729">
        <v>10</v>
      </c>
      <c r="U990" s="729">
        <v>40</v>
      </c>
      <c r="V990" s="729">
        <v>30</v>
      </c>
      <c r="W990" s="729" t="str">
        <f>IFERROR(VLOOKUP('General price list'!$C990,Popisy!A:P,MATCH($W$17,Popisy!$A$7:$P$7,0),FALSE),"---------------")</f>
        <v>cracking chry+blue mine tail up to gold comet</v>
      </c>
      <c r="X990" s="729" t="str">
        <f t="shared" si="2514"/>
        <v/>
      </c>
      <c r="Y990" s="729" t="str">
        <f t="shared" si="2515"/>
        <v/>
      </c>
      <c r="Z990" s="729" t="str">
        <f>HYPERLINK("https://www.klasekpyrotechnics.cz/cs503x9")</f>
        <v>https://www.klasekpyrotechnics.cz/cs503x9</v>
      </c>
      <c r="AA990" s="729">
        <f>IFERROR(IF(VLOOKUP(C990,[4]List1!$A:$D,4,FALSE)=0,"",VLOOKUP(C990,[4]List1!$A:$D,4,FALSE)),"")</f>
        <v>28</v>
      </c>
      <c r="AB990" s="720"/>
      <c r="AC990" s="733" t="str">
        <f>IFERROR(IF(VLOOKUP(C990,[1]List1!$A:$D,2,FALSE)="VYPRODÁNO",$V$9,IF(VLOOKUP(C990,[1]List1!$A:$D,2,FALSE)="DOCHÁZÍ",$V$3,VLOOKUP(C990,[1]List1!$A:$D,2,FALSE))),"OFFLINE!")</f>
        <v>SKLADEM</v>
      </c>
      <c r="AD990" s="734" t="str">
        <f ca="1">IF(AP990="NE",$V$10,IF(AC990=$V$3,IF(AQ990&lt;1,$V$8,$V$2&amp;" "&amp;AQ990&amp;" "&amp;$V$1),IF(AC990="SKLADEM",$V$6,IFERROR(IF(OR(AC990-TODAY()&gt;45,VLOOKUP(C990,[1]List1!$A:$E,4,FALSE)=0),AC990,DAY(AC990)&amp;"."&amp;MONTH(AC990)&amp;"."&amp;YEAR(AC990)&amp;" "&amp;$V$4&amp;VLOOKUP(C990,[1]List1!$A:$E,4,FALSE)&amp;" "&amp;$V$1),AC990))))</f>
        <v>SKLADEM</v>
      </c>
      <c r="AE990" s="729" t="str">
        <f t="shared" ca="1" si="2516"/>
        <v>SKLADEM</v>
      </c>
      <c r="AF990" s="735">
        <f t="shared" si="2517"/>
        <v>0</v>
      </c>
      <c r="AG990" s="735">
        <f t="shared" si="2518"/>
        <v>0</v>
      </c>
      <c r="AH990" s="736">
        <f t="shared" si="2519"/>
        <v>0</v>
      </c>
      <c r="AI990" s="729">
        <f t="shared" si="2520"/>
        <v>0</v>
      </c>
      <c r="AJ990" s="729">
        <f t="shared" si="2521"/>
        <v>0</v>
      </c>
      <c r="AK990" s="729" t="str">
        <f t="shared" si="2522"/>
        <v/>
      </c>
      <c r="AL990" s="729">
        <f t="shared" si="2523"/>
        <v>0</v>
      </c>
      <c r="AM990" s="729" t="str">
        <f t="shared" si="2524"/>
        <v/>
      </c>
      <c r="AN990" s="729">
        <f t="shared" si="2525"/>
        <v>0</v>
      </c>
      <c r="AO990" s="380"/>
      <c r="AP990" s="322" t="str">
        <f t="shared" si="2504"/>
        <v/>
      </c>
      <c r="AQ990" s="323" t="str">
        <f>IF(AC990=$V$3,IF(VLOOKUP(C990,[1]List1!$A:$E,5,FALSE)=0,1,VLOOKUP(C990,[1]List1!$A:$E,5,FALSE)),"")</f>
        <v/>
      </c>
      <c r="AR990" s="304" t="str">
        <f t="shared" si="2505"/>
        <v/>
      </c>
      <c r="AS990" s="423" t="str">
        <f t="shared" si="2506"/>
        <v/>
      </c>
      <c r="AT990" s="304" t="str">
        <f t="shared" si="2507"/>
        <v/>
      </c>
      <c r="AU990" s="342" t="e">
        <f t="shared" si="2508"/>
        <v>#N/A</v>
      </c>
      <c r="AV990" s="304" t="e">
        <f t="shared" si="2509"/>
        <v>#N/A</v>
      </c>
      <c r="AX990" s="304">
        <f>IF(AND('General price list'!$J990="F4",'General price list'!$AB990+0&gt;0),1,0)</f>
        <v>0</v>
      </c>
      <c r="AY990" s="304">
        <f t="shared" si="2510"/>
        <v>1</v>
      </c>
      <c r="AZ990" s="304">
        <f t="shared" si="2511"/>
        <v>0</v>
      </c>
    </row>
    <row r="991" spans="1:52" ht="15" customHeight="1">
      <c r="A991" s="712" t="str">
        <f>Kat.!C988</f>
        <v/>
      </c>
      <c r="B991" s="737">
        <f>IF(AND('General price list'!$J991="F4",$AI$1=FALSE),0,IF(AC991="SKLADEM",1,IF(AC991=$V$3,1,0)))</f>
        <v>0</v>
      </c>
      <c r="C991" s="714" t="s">
        <v>1881</v>
      </c>
      <c r="D991" s="715" t="s">
        <v>1231</v>
      </c>
      <c r="E991" s="716" t="s">
        <v>1078</v>
      </c>
      <c r="F991" s="712">
        <f>IFERROR(ROUND(IF($AL$3=2,VLOOKUP(C991,[2]List1!$A:$D,2,FALSE)*1.08,VLOOKUP(C991,[2]List1!$A:$D,2,FALSE)),0),"NEUVEDENO!")</f>
        <v>1600</v>
      </c>
      <c r="G991" s="717">
        <f t="shared" si="2512"/>
        <v>1600</v>
      </c>
      <c r="H991" s="718">
        <f t="shared" si="2513"/>
        <v>65.017127949644234</v>
      </c>
      <c r="I991" s="738">
        <v>2</v>
      </c>
      <c r="J991" s="716" t="s">
        <v>137</v>
      </c>
      <c r="K991" s="716"/>
      <c r="L991" s="716" t="s">
        <v>24</v>
      </c>
      <c r="M991" s="716" t="s">
        <v>138</v>
      </c>
      <c r="N991" s="716">
        <f>IFERROR(VLOOKUP(C991,[3]List1!$A:$D,4,FALSE),"N/A!")</f>
        <v>5.6629124999999995E-2</v>
      </c>
      <c r="O991" s="716">
        <f>IFERROR(VLOOKUP(C991,[3]List1!$A:$D,3,FALSE),"N/A!")</f>
        <v>1900</v>
      </c>
      <c r="P991" s="716">
        <f>IFERROR(VLOOKUP(C991,[3]List1!$A:$D,2,FALSE),"N/A!")</f>
        <v>14900</v>
      </c>
      <c r="Q991" s="716" t="s">
        <v>14303</v>
      </c>
      <c r="R991" s="716" t="s">
        <v>24</v>
      </c>
      <c r="S991" s="716" t="str">
        <f>IF($W$17=$AF$1,"design",IFERROR(VLOOKUP("design",Jazyky_ceník!$A:$Q,MATCH($W$17,Jazyky_ceník!$A$1:$Q$1,0),FALSE),"!!!"))</f>
        <v>design</v>
      </c>
      <c r="T991" s="716">
        <v>10</v>
      </c>
      <c r="U991" s="716">
        <v>40</v>
      </c>
      <c r="V991" s="716">
        <v>30</v>
      </c>
      <c r="W991" s="716" t="str">
        <f>IFERROR(VLOOKUP('General price list'!$C991,Popisy!A:P,MATCH($W$17,Popisy!$A$7:$P$7,0),FALSE),"---------------")</f>
        <v>crackling chry. mine tail up to brocade crown +glitter star</v>
      </c>
      <c r="X991" s="716" t="str">
        <f t="shared" si="2514"/>
        <v/>
      </c>
      <c r="Y991" s="716" t="str">
        <f t="shared" si="2515"/>
        <v/>
      </c>
      <c r="Z991" s="716" t="str">
        <f>HYPERLINK("https://www.klasekpyrotechnics.cz/cs503x11")</f>
        <v>https://www.klasekpyrotechnics.cz/cs503x11</v>
      </c>
      <c r="AA991" s="716">
        <f>IFERROR(IF(VLOOKUP(C991,[4]List1!$A:$D,4,FALSE)=0,"",VLOOKUP(C991,[4]List1!$A:$D,4,FALSE)),"")</f>
        <v>28</v>
      </c>
      <c r="AB991" s="720"/>
      <c r="AC991" s="739" t="str">
        <f>IFERROR(IF(VLOOKUP(C991,[1]List1!$A:$D,2,FALSE)="VYPRODÁNO",$V$9,IF(VLOOKUP(C991,[1]List1!$A:$D,2,FALSE)="DOCHÁZÍ",$V$3,VLOOKUP(C991,[1]List1!$A:$D,2,FALSE))),"OFFLINE!")</f>
        <v>20.06.2024</v>
      </c>
      <c r="AD991" s="740" t="str">
        <f ca="1">IF(AP991="NE",$V$10,IF(AC991=$V$3,IF(AQ991&lt;1,$V$8,$V$2&amp;" "&amp;AQ991&amp;" "&amp;$V$1),IF(AC991="SKLADEM",$V$6,IFERROR(IF(OR(AC991-TODAY()&gt;45,VLOOKUP(C991,[1]List1!$A:$E,4,FALSE)=0),AC991,DAY(AC991)&amp;"."&amp;MONTH(AC991)&amp;"."&amp;YEAR(AC991)&amp;" "&amp;$V$4&amp;VLOOKUP(C991,[1]List1!$A:$E,4,FALSE)&amp;" "&amp;$V$1),AC991))))</f>
        <v>20.06.2024</v>
      </c>
      <c r="AE991" s="716" t="str">
        <f t="shared" ca="1" si="2516"/>
        <v>20.06.2024</v>
      </c>
      <c r="AF991" s="723">
        <f t="shared" si="2517"/>
        <v>0</v>
      </c>
      <c r="AG991" s="723">
        <f t="shared" si="2518"/>
        <v>0</v>
      </c>
      <c r="AH991" s="724">
        <f t="shared" si="2519"/>
        <v>0</v>
      </c>
      <c r="AI991" s="716">
        <f t="shared" si="2520"/>
        <v>0</v>
      </c>
      <c r="AJ991" s="716">
        <f t="shared" si="2521"/>
        <v>0</v>
      </c>
      <c r="AK991" s="716" t="str">
        <f t="shared" si="2522"/>
        <v/>
      </c>
      <c r="AL991" s="716">
        <f t="shared" si="2523"/>
        <v>0</v>
      </c>
      <c r="AM991" s="716" t="str">
        <f t="shared" si="2524"/>
        <v/>
      </c>
      <c r="AN991" s="716">
        <f t="shared" si="2525"/>
        <v>0</v>
      </c>
      <c r="AO991" s="380"/>
      <c r="AP991" s="322" t="str">
        <f t="shared" si="2504"/>
        <v/>
      </c>
      <c r="AQ991" s="323" t="str">
        <f>IF(AC991=$V$3,IF(VLOOKUP(C991,[1]List1!$A:$E,5,FALSE)=0,1,VLOOKUP(C991,[1]List1!$A:$E,5,FALSE)),"")</f>
        <v/>
      </c>
      <c r="AR991" s="304" t="str">
        <f t="shared" si="2505"/>
        <v/>
      </c>
      <c r="AS991" s="423" t="str">
        <f t="shared" si="2506"/>
        <v/>
      </c>
      <c r="AT991" s="304" t="str">
        <f t="shared" si="2507"/>
        <v/>
      </c>
      <c r="AU991" s="342" t="e">
        <f t="shared" si="2508"/>
        <v>#N/A</v>
      </c>
      <c r="AV991" s="304" t="e">
        <f t="shared" si="2509"/>
        <v>#N/A</v>
      </c>
      <c r="AX991" s="304">
        <f>IF(AND('General price list'!$J991="F4",'General price list'!$AB991+0&gt;0),1,0)</f>
        <v>0</v>
      </c>
      <c r="AY991" s="304">
        <f t="shared" si="2510"/>
        <v>1</v>
      </c>
      <c r="AZ991" s="304">
        <f t="shared" si="2511"/>
        <v>0</v>
      </c>
    </row>
    <row r="992" spans="1:52" ht="15" customHeight="1">
      <c r="A992" s="725" t="str">
        <f>Kat.!C989</f>
        <v>×</v>
      </c>
      <c r="B992" s="726">
        <f>IF(AND('General price list'!$J992="F4",$AI$1=FALSE),0,IF(AC992="SKLADEM",1,IF(AC992=$V$3,1,0)))</f>
        <v>1</v>
      </c>
      <c r="C992" s="727" t="s">
        <v>1883</v>
      </c>
      <c r="D992" s="728" t="s">
        <v>1231</v>
      </c>
      <c r="E992" s="729" t="s">
        <v>1078</v>
      </c>
      <c r="F992" s="725">
        <f>IFERROR(ROUND(IF($AL$3=2,VLOOKUP(C992,[2]List1!$A:$D,2,FALSE)*1.08,VLOOKUP(C992,[2]List1!$A:$D,2,FALSE)),0),"NEUVEDENO!")</f>
        <v>1300</v>
      </c>
      <c r="G992" s="730">
        <f t="shared" si="2512"/>
        <v>1300</v>
      </c>
      <c r="H992" s="731">
        <f t="shared" si="2513"/>
        <v>52.826416459085941</v>
      </c>
      <c r="I992" s="732">
        <v>2</v>
      </c>
      <c r="J992" s="729" t="s">
        <v>137</v>
      </c>
      <c r="K992" s="729" t="s">
        <v>12771</v>
      </c>
      <c r="L992" s="729" t="s">
        <v>24</v>
      </c>
      <c r="M992" s="729" t="s">
        <v>25</v>
      </c>
      <c r="N992" s="729">
        <f>IFERROR(VLOOKUP(C992,[3]List1!$A:$D,4,FALSE),"N/A!")</f>
        <v>5.6629124999999995E-2</v>
      </c>
      <c r="O992" s="729">
        <f>IFERROR(VLOOKUP(C992,[3]List1!$A:$D,3,FALSE),"N/A!")</f>
        <v>1900</v>
      </c>
      <c r="P992" s="729">
        <f>IFERROR(VLOOKUP(C992,[3]List1!$A:$D,2,FALSE),"N/A!")</f>
        <v>14500</v>
      </c>
      <c r="Q992" s="729" t="s">
        <v>2804</v>
      </c>
      <c r="R992" s="729" t="s">
        <v>24</v>
      </c>
      <c r="S992" s="729" t="str">
        <f>IF($W$17=$AF$1,"design",IFERROR(VLOOKUP("design",Jazyky_ceník!$A:$Q,MATCH($W$17,Jazyky_ceník!$A$1:$Q$1,0),FALSE),"!!!"))</f>
        <v>design</v>
      </c>
      <c r="T992" s="729">
        <v>10</v>
      </c>
      <c r="U992" s="729">
        <v>40</v>
      </c>
      <c r="V992" s="729">
        <v>30</v>
      </c>
      <c r="W992" s="729" t="str">
        <f>IFERROR(VLOOKUP('General price list'!$C992,Popisy!A:P,MATCH($W$17,Popisy!$A$7:$P$7,0),FALSE),"---------------")</f>
        <v>blue+red glitter mine up to chrysanthemum</v>
      </c>
      <c r="X992" s="729" t="str">
        <f t="shared" si="2514"/>
        <v/>
      </c>
      <c r="Y992" s="729" t="str">
        <f t="shared" si="2515"/>
        <v/>
      </c>
      <c r="Z992" s="729" t="str">
        <f>HYPERLINK("https://www.klasekpyrotechnics.cz/cs503x12")</f>
        <v>https://www.klasekpyrotechnics.cz/cs503x12</v>
      </c>
      <c r="AA992" s="729">
        <f>IFERROR(IF(VLOOKUP(C992,[4]List1!$A:$D,4,FALSE)=0,"",VLOOKUP(C992,[4]List1!$A:$D,4,FALSE)),"")</f>
        <v>28</v>
      </c>
      <c r="AB992" s="720"/>
      <c r="AC992" s="733" t="str">
        <f>IFERROR(IF(VLOOKUP(C992,[1]List1!$A:$D,2,FALSE)="VYPRODÁNO",$V$9,IF(VLOOKUP(C992,[1]List1!$A:$D,2,FALSE)="DOCHÁZÍ",$V$3,VLOOKUP(C992,[1]List1!$A:$D,2,FALSE))),"OFFLINE!")</f>
        <v>DOCHÁZÍ</v>
      </c>
      <c r="AD992" s="734" t="str">
        <f ca="1">IF(AP992="NE",$V$10,IF(AC992=$V$3,IF(AQ992&lt;1,$V$8,$V$2&amp;" "&amp;AQ992&amp;" "&amp;$V$1),IF(AC992="SKLADEM",$V$6,IFERROR(IF(OR(AC992-TODAY()&gt;45,VLOOKUP(C992,[1]List1!$A:$E,4,FALSE)=0),AC992,DAY(AC992)&amp;"."&amp;MONTH(AC992)&amp;"."&amp;YEAR(AC992)&amp;" "&amp;$V$4&amp;VLOOKUP(C992,[1]List1!$A:$E,4,FALSE)&amp;" "&amp;$V$1),AC992))))</f>
        <v>POSLEDNÍCH 5 VK</v>
      </c>
      <c r="AE992" s="729" t="str">
        <f t="shared" ca="1" si="2516"/>
        <v>POSLEDNÍCH 5 VK</v>
      </c>
      <c r="AF992" s="735">
        <f t="shared" si="2517"/>
        <v>0</v>
      </c>
      <c r="AG992" s="735">
        <f t="shared" si="2518"/>
        <v>0</v>
      </c>
      <c r="AH992" s="736">
        <f t="shared" si="2519"/>
        <v>0</v>
      </c>
      <c r="AI992" s="729">
        <f t="shared" si="2520"/>
        <v>0</v>
      </c>
      <c r="AJ992" s="729">
        <f t="shared" si="2521"/>
        <v>0</v>
      </c>
      <c r="AK992" s="729" t="str">
        <f t="shared" si="2522"/>
        <v/>
      </c>
      <c r="AL992" s="729" t="str">
        <f t="shared" si="2523"/>
        <v/>
      </c>
      <c r="AM992" s="729">
        <f t="shared" si="2524"/>
        <v>0</v>
      </c>
      <c r="AN992" s="729">
        <f t="shared" si="2525"/>
        <v>0</v>
      </c>
      <c r="AO992" s="380"/>
      <c r="AP992" s="322" t="str">
        <f t="shared" si="2504"/>
        <v/>
      </c>
      <c r="AQ992" s="323">
        <f>IF(AC992=$V$3,IF(VLOOKUP(C992,[1]List1!$A:$E,5,FALSE)=0,1,VLOOKUP(C992,[1]List1!$A:$E,5,FALSE)),"")</f>
        <v>5</v>
      </c>
      <c r="AR992" s="304" t="str">
        <f t="shared" si="2505"/>
        <v/>
      </c>
      <c r="AS992" s="423" t="str">
        <f t="shared" si="2506"/>
        <v/>
      </c>
      <c r="AT992" s="304" t="str">
        <f t="shared" si="2507"/>
        <v/>
      </c>
      <c r="AU992" s="342" t="e">
        <f t="shared" si="2508"/>
        <v>#N/A</v>
      </c>
      <c r="AV992" s="304" t="e">
        <f t="shared" si="2509"/>
        <v>#N/A</v>
      </c>
      <c r="AX992" s="304">
        <f>IF(AND('General price list'!$J992="F4",'General price list'!$AB992+0&gt;0),1,0)</f>
        <v>0</v>
      </c>
      <c r="AY992" s="304">
        <f t="shared" si="2510"/>
        <v>1</v>
      </c>
      <c r="AZ992" s="304">
        <f t="shared" si="2511"/>
        <v>0</v>
      </c>
    </row>
    <row r="993" spans="1:52" ht="15" customHeight="1">
      <c r="A993" s="712" t="str">
        <f>Kat.!C990</f>
        <v/>
      </c>
      <c r="B993" s="737">
        <f>IF(AND('General price list'!$J993="F4",$AI$1=FALSE),0,IF(AC993="SKLADEM",1,IF(AC993=$V$3,1,0)))</f>
        <v>1</v>
      </c>
      <c r="C993" s="714" t="s">
        <v>1887</v>
      </c>
      <c r="D993" s="715" t="s">
        <v>1231</v>
      </c>
      <c r="E993" s="716" t="s">
        <v>1078</v>
      </c>
      <c r="F993" s="712">
        <f>IFERROR(ROUND(IF($AL$3=2,VLOOKUP(C993,[2]List1!$A:$D,2,FALSE)*1.08,VLOOKUP(C993,[2]List1!$A:$D,2,FALSE)),0),"NEUVEDENO!")</f>
        <v>1600</v>
      </c>
      <c r="G993" s="717">
        <f t="shared" si="2512"/>
        <v>1600</v>
      </c>
      <c r="H993" s="718">
        <f t="shared" si="2513"/>
        <v>65.017127949644234</v>
      </c>
      <c r="I993" s="738">
        <v>2</v>
      </c>
      <c r="J993" s="716" t="s">
        <v>137</v>
      </c>
      <c r="K993" s="716"/>
      <c r="L993" s="716" t="s">
        <v>24</v>
      </c>
      <c r="M993" s="716" t="s">
        <v>25</v>
      </c>
      <c r="N993" s="716">
        <f>IFERROR(VLOOKUP(C993,[3]List1!$A:$D,4,FALSE),"N/A!")</f>
        <v>5.6629124999999995E-2</v>
      </c>
      <c r="O993" s="716">
        <f>IFERROR(VLOOKUP(C993,[3]List1!$A:$D,3,FALSE),"N/A!")</f>
        <v>1900</v>
      </c>
      <c r="P993" s="716">
        <f>IFERROR(VLOOKUP(C993,[3]List1!$A:$D,2,FALSE),"N/A!")</f>
        <v>14500</v>
      </c>
      <c r="Q993" s="716" t="s">
        <v>1814</v>
      </c>
      <c r="R993" s="716" t="s">
        <v>24</v>
      </c>
      <c r="S993" s="716" t="str">
        <f>IF($W$17=$AF$1,"design",IFERROR(VLOOKUP("design",Jazyky_ceník!$A:$Q,MATCH($W$17,Jazyky_ceník!$A$1:$Q$1,0),FALSE),"!!!"))</f>
        <v>design</v>
      </c>
      <c r="T993" s="716">
        <v>10</v>
      </c>
      <c r="U993" s="716"/>
      <c r="V993" s="716"/>
      <c r="W993" s="716" t="str">
        <f>IFERROR(VLOOKUP('General price list'!$C993,Popisy!A:P,MATCH($W$17,Popisy!$A$7:$P$7,0),FALSE),"---------------")</f>
        <v>blue tail up to eject horse tail</v>
      </c>
      <c r="X993" s="716" t="str">
        <f t="shared" si="2514"/>
        <v/>
      </c>
      <c r="Y993" s="716" t="str">
        <f t="shared" si="2515"/>
        <v/>
      </c>
      <c r="Z993" s="716" t="str">
        <f>HYPERLINK("https://www.klasekpyrotechnics.cz/cs503x14")</f>
        <v>https://www.klasekpyrotechnics.cz/cs503x14</v>
      </c>
      <c r="AA993" s="716">
        <f>IFERROR(IF(VLOOKUP(C993,[4]List1!$A:$D,4,FALSE)=0,"",VLOOKUP(C993,[4]List1!$A:$D,4,FALSE)),"")</f>
        <v>28</v>
      </c>
      <c r="AB993" s="720"/>
      <c r="AC993" s="739" t="str">
        <f>IFERROR(IF(VLOOKUP(C993,[1]List1!$A:$D,2,FALSE)="VYPRODÁNO",$V$9,IF(VLOOKUP(C993,[1]List1!$A:$D,2,FALSE)="DOCHÁZÍ",$V$3,VLOOKUP(C993,[1]List1!$A:$D,2,FALSE))),"OFFLINE!")</f>
        <v>DOCHÁZÍ</v>
      </c>
      <c r="AD993" s="740" t="str">
        <f ca="1">IF(AP993="NE",$V$10,IF(AC993=$V$3,IF(AQ993&lt;1,$V$8,$V$2&amp;" "&amp;AQ993&amp;" "&amp;$V$1),IF(AC993="SKLADEM",$V$6,IFERROR(IF(OR(AC993-TODAY()&gt;45,VLOOKUP(C993,[1]List1!$A:$E,4,FALSE)=0),AC993,DAY(AC993)&amp;"."&amp;MONTH(AC993)&amp;"."&amp;YEAR(AC993)&amp;" "&amp;$V$4&amp;VLOOKUP(C993,[1]List1!$A:$E,4,FALSE)&amp;" "&amp;$V$1),AC993))))</f>
        <v>POSLEDNÍCH 5 VK</v>
      </c>
      <c r="AE993" s="716" t="str">
        <f t="shared" ca="1" si="2516"/>
        <v>POSLEDNÍCH 5 VK</v>
      </c>
      <c r="AF993" s="723">
        <f t="shared" si="2517"/>
        <v>0</v>
      </c>
      <c r="AG993" s="723">
        <f t="shared" si="2518"/>
        <v>0</v>
      </c>
      <c r="AH993" s="724">
        <f t="shared" si="2519"/>
        <v>0</v>
      </c>
      <c r="AI993" s="716">
        <f t="shared" si="2520"/>
        <v>0</v>
      </c>
      <c r="AJ993" s="716">
        <f t="shared" si="2521"/>
        <v>0</v>
      </c>
      <c r="AK993" s="716" t="str">
        <f t="shared" si="2522"/>
        <v/>
      </c>
      <c r="AL993" s="716" t="str">
        <f t="shared" si="2523"/>
        <v/>
      </c>
      <c r="AM993" s="716">
        <f t="shared" si="2524"/>
        <v>0</v>
      </c>
      <c r="AN993" s="716">
        <f t="shared" si="2525"/>
        <v>0</v>
      </c>
      <c r="AO993" s="380"/>
      <c r="AP993" s="322" t="str">
        <f t="shared" si="2504"/>
        <v/>
      </c>
      <c r="AQ993" s="323">
        <f>IF(AC993=$V$3,IF(VLOOKUP(C993,[1]List1!$A:$E,5,FALSE)=0,1,VLOOKUP(C993,[1]List1!$A:$E,5,FALSE)),"")</f>
        <v>5</v>
      </c>
      <c r="AR993" s="304" t="str">
        <f t="shared" si="2505"/>
        <v/>
      </c>
      <c r="AS993" s="423" t="str">
        <f t="shared" si="2506"/>
        <v/>
      </c>
      <c r="AT993" s="304" t="str">
        <f t="shared" si="2507"/>
        <v/>
      </c>
      <c r="AU993" s="342" t="e">
        <f t="shared" si="2508"/>
        <v>#N/A</v>
      </c>
      <c r="AV993" s="304" t="e">
        <f t="shared" si="2509"/>
        <v>#N/A</v>
      </c>
      <c r="AX993" s="304">
        <f>IF(AND('General price list'!$J993="F4",'General price list'!$AB993+0&gt;0),1,0)</f>
        <v>0</v>
      </c>
      <c r="AY993" s="304">
        <f t="shared" si="2510"/>
        <v>1</v>
      </c>
      <c r="AZ993" s="304">
        <f t="shared" si="2511"/>
        <v>0</v>
      </c>
    </row>
    <row r="994" spans="1:52" ht="15" customHeight="1">
      <c r="A994" s="725" t="str">
        <f>Kat.!C991</f>
        <v/>
      </c>
      <c r="B994" s="726">
        <f>IF(AND('General price list'!$J994="F4",$AI$1=FALSE),0,IF(AC994="SKLADEM",1,IF(AC994=$V$3,1,0)))</f>
        <v>1</v>
      </c>
      <c r="C994" s="727" t="s">
        <v>1889</v>
      </c>
      <c r="D994" s="728" t="s">
        <v>1231</v>
      </c>
      <c r="E994" s="729" t="s">
        <v>1078</v>
      </c>
      <c r="F994" s="725">
        <f>IFERROR(ROUND(IF($AL$3=2,VLOOKUP(C994,[2]List1!$A:$D,2,FALSE)*1.08,VLOOKUP(C994,[2]List1!$A:$D,2,FALSE)),0),"NEUVEDENO!")</f>
        <v>1600</v>
      </c>
      <c r="G994" s="730">
        <f t="shared" si="2512"/>
        <v>1600</v>
      </c>
      <c r="H994" s="731">
        <f t="shared" si="2513"/>
        <v>65.017127949644234</v>
      </c>
      <c r="I994" s="732">
        <v>2</v>
      </c>
      <c r="J994" s="729" t="s">
        <v>137</v>
      </c>
      <c r="K994" s="729"/>
      <c r="L994" s="729" t="s">
        <v>24</v>
      </c>
      <c r="M994" s="729" t="s">
        <v>25</v>
      </c>
      <c r="N994" s="729">
        <f>IFERROR(VLOOKUP(C994,[3]List1!$A:$D,4,FALSE),"N/A!")</f>
        <v>5.6629124999999995E-2</v>
      </c>
      <c r="O994" s="729">
        <f>IFERROR(VLOOKUP(C994,[3]List1!$A:$D,3,FALSE),"N/A!")</f>
        <v>1900</v>
      </c>
      <c r="P994" s="729">
        <f>IFERROR(VLOOKUP(C994,[3]List1!$A:$D,2,FALSE),"N/A!")</f>
        <v>14100</v>
      </c>
      <c r="Q994" s="729" t="s">
        <v>14303</v>
      </c>
      <c r="R994" s="729" t="s">
        <v>24</v>
      </c>
      <c r="S994" s="729" t="str">
        <f>IF($W$17=$AF$1,"design",IFERROR(VLOOKUP("design",Jazyky_ceník!$A:$Q,MATCH($W$17,Jazyky_ceník!$A$1:$Q$1,0),FALSE),"!!!"))</f>
        <v>design</v>
      </c>
      <c r="T994" s="729">
        <v>20</v>
      </c>
      <c r="U994" s="729"/>
      <c r="V994" s="729"/>
      <c r="W994" s="729" t="str">
        <f>IFERROR(VLOOKUP('General price list'!$C994,Popisy!A:P,MATCH($W$17,Popisy!$A$7:$P$7,0),FALSE),"---------------")</f>
        <v>silver glitter bouquet up to eject silver glitter</v>
      </c>
      <c r="X994" s="729" t="str">
        <f t="shared" si="2514"/>
        <v/>
      </c>
      <c r="Y994" s="729" t="str">
        <f t="shared" si="2515"/>
        <v/>
      </c>
      <c r="Z994" s="729" t="str">
        <f>HYPERLINK("https://www.klasekpyrotechnics.cz/cs503x15")</f>
        <v>https://www.klasekpyrotechnics.cz/cs503x15</v>
      </c>
      <c r="AA994" s="729">
        <f>IFERROR(IF(VLOOKUP(C994,[4]List1!$A:$D,4,FALSE)=0,"",VLOOKUP(C994,[4]List1!$A:$D,4,FALSE)),"")</f>
        <v>28</v>
      </c>
      <c r="AB994" s="720"/>
      <c r="AC994" s="733" t="str">
        <f>IFERROR(IF(VLOOKUP(C994,[1]List1!$A:$D,2,FALSE)="VYPRODÁNO",$V$9,IF(VLOOKUP(C994,[1]List1!$A:$D,2,FALSE)="DOCHÁZÍ",$V$3,VLOOKUP(C994,[1]List1!$A:$D,2,FALSE))),"OFFLINE!")</f>
        <v>SKLADEM</v>
      </c>
      <c r="AD994" s="734" t="str">
        <f ca="1">IF(AP994="NE",$V$10,IF(AC994=$V$3,IF(AQ994&lt;1,$V$8,$V$2&amp;" "&amp;AQ994&amp;" "&amp;$V$1),IF(AC994="SKLADEM",$V$6,IFERROR(IF(OR(AC994-TODAY()&gt;45,VLOOKUP(C994,[1]List1!$A:$E,4,FALSE)=0),AC994,DAY(AC994)&amp;"."&amp;MONTH(AC994)&amp;"."&amp;YEAR(AC994)&amp;" "&amp;$V$4&amp;VLOOKUP(C994,[1]List1!$A:$E,4,FALSE)&amp;" "&amp;$V$1),AC994))))</f>
        <v>SKLADEM</v>
      </c>
      <c r="AE994" s="729" t="str">
        <f t="shared" ca="1" si="2516"/>
        <v>SKLADEM</v>
      </c>
      <c r="AF994" s="735">
        <f t="shared" si="2517"/>
        <v>0</v>
      </c>
      <c r="AG994" s="735">
        <f t="shared" si="2518"/>
        <v>0</v>
      </c>
      <c r="AH994" s="736">
        <f t="shared" si="2519"/>
        <v>0</v>
      </c>
      <c r="AI994" s="729">
        <f t="shared" si="2520"/>
        <v>0</v>
      </c>
      <c r="AJ994" s="729">
        <f t="shared" si="2521"/>
        <v>0</v>
      </c>
      <c r="AK994" s="729" t="str">
        <f t="shared" si="2522"/>
        <v/>
      </c>
      <c r="AL994" s="729" t="str">
        <f t="shared" si="2523"/>
        <v/>
      </c>
      <c r="AM994" s="729">
        <f t="shared" si="2524"/>
        <v>0</v>
      </c>
      <c r="AN994" s="729">
        <f t="shared" si="2525"/>
        <v>0</v>
      </c>
      <c r="AO994" s="380"/>
      <c r="AP994" s="322" t="str">
        <f t="shared" si="2504"/>
        <v/>
      </c>
      <c r="AQ994" s="323" t="str">
        <f>IF(AC994=$V$3,IF(VLOOKUP(C994,[1]List1!$A:$E,5,FALSE)=0,1,VLOOKUP(C994,[1]List1!$A:$E,5,FALSE)),"")</f>
        <v/>
      </c>
      <c r="AR994" s="304" t="str">
        <f t="shared" si="2505"/>
        <v/>
      </c>
      <c r="AS994" s="423" t="str">
        <f t="shared" si="2506"/>
        <v/>
      </c>
      <c r="AT994" s="304" t="str">
        <f t="shared" si="2507"/>
        <v/>
      </c>
      <c r="AU994" s="342" t="e">
        <f t="shared" si="2508"/>
        <v>#N/A</v>
      </c>
      <c r="AV994" s="304" t="e">
        <f t="shared" si="2509"/>
        <v>#N/A</v>
      </c>
      <c r="AX994" s="304">
        <f>IF(AND('General price list'!$J994="F4",'General price list'!$AB994+0&gt;0),1,0)</f>
        <v>0</v>
      </c>
      <c r="AY994" s="304">
        <f t="shared" si="2510"/>
        <v>1</v>
      </c>
      <c r="AZ994" s="304">
        <f t="shared" si="2511"/>
        <v>0</v>
      </c>
    </row>
    <row r="995" spans="1:52" ht="15" customHeight="1">
      <c r="A995" s="712" t="str">
        <f>Kat.!C992</f>
        <v>×</v>
      </c>
      <c r="B995" s="737">
        <f>IF(AND('General price list'!$J995="F4",$AI$1=FALSE),0,IF(AC995="SKLADEM",1,IF(AC995=$V$3,1,0)))</f>
        <v>1</v>
      </c>
      <c r="C995" s="714" t="s">
        <v>1894</v>
      </c>
      <c r="D995" s="715" t="s">
        <v>1231</v>
      </c>
      <c r="E995" s="716" t="s">
        <v>1078</v>
      </c>
      <c r="F995" s="712">
        <f>IFERROR(ROUND(IF($AL$3=2,VLOOKUP(C995,[2]List1!$A:$D,2,FALSE)*1.08,VLOOKUP(C995,[2]List1!$A:$D,2,FALSE)),0),"NEUVEDENO!")</f>
        <v>1300</v>
      </c>
      <c r="G995" s="717">
        <f t="shared" si="2512"/>
        <v>1300</v>
      </c>
      <c r="H995" s="718">
        <f t="shared" si="2513"/>
        <v>52.826416459085941</v>
      </c>
      <c r="I995" s="738">
        <v>2</v>
      </c>
      <c r="J995" s="716" t="s">
        <v>137</v>
      </c>
      <c r="K995" s="716" t="s">
        <v>12771</v>
      </c>
      <c r="L995" s="716" t="s">
        <v>24</v>
      </c>
      <c r="M995" s="716" t="s">
        <v>138</v>
      </c>
      <c r="N995" s="716">
        <f>IFERROR(VLOOKUP(C995,[3]List1!$A:$D,4,FALSE),"N/A!")</f>
        <v>5.6629124999999995E-2</v>
      </c>
      <c r="O995" s="716">
        <f>IFERROR(VLOOKUP(C995,[3]List1!$A:$D,3,FALSE),"N/A!")</f>
        <v>1900</v>
      </c>
      <c r="P995" s="716">
        <f>IFERROR(VLOOKUP(C995,[3]List1!$A:$D,2,FALSE),"N/A!")</f>
        <v>14500</v>
      </c>
      <c r="Q995" s="716" t="s">
        <v>1810</v>
      </c>
      <c r="R995" s="716" t="s">
        <v>24</v>
      </c>
      <c r="S995" s="716" t="str">
        <f>IF($W$17=$AF$1,"design",IFERROR(VLOOKUP("design",Jazyky_ceník!$A:$Q,MATCH($W$17,Jazyky_ceník!$A$1:$Q$1,0),FALSE),"!!!"))</f>
        <v>design</v>
      </c>
      <c r="T995" s="716">
        <v>10</v>
      </c>
      <c r="U995" s="716">
        <v>40</v>
      </c>
      <c r="V995" s="716">
        <v>30</v>
      </c>
      <c r="W995" s="716" t="str">
        <f>IFERROR(VLOOKUP('General price list'!$C995,Popisy!A:P,MATCH($W$17,Popisy!$A$7:$P$7,0),FALSE),"---------------")</f>
        <v xml:space="preserve">red tip crackling willow </v>
      </c>
      <c r="X995" s="716" t="str">
        <f t="shared" si="2514"/>
        <v/>
      </c>
      <c r="Y995" s="716" t="str">
        <f t="shared" si="2515"/>
        <v/>
      </c>
      <c r="Z995" s="716" t="str">
        <f>HYPERLINK("https://www.klasekpyrotechnics.cz/cs503x17")</f>
        <v>https://www.klasekpyrotechnics.cz/cs503x17</v>
      </c>
      <c r="AA995" s="716">
        <f>IFERROR(IF(VLOOKUP(C995,[4]List1!$A:$D,4,FALSE)=0,"",VLOOKUP(C995,[4]List1!$A:$D,4,FALSE)),"")</f>
        <v>28</v>
      </c>
      <c r="AB995" s="720"/>
      <c r="AC995" s="739" t="str">
        <f>IFERROR(IF(VLOOKUP(C995,[1]List1!$A:$D,2,FALSE)="VYPRODÁNO",$V$9,IF(VLOOKUP(C995,[1]List1!$A:$D,2,FALSE)="DOCHÁZÍ",$V$3,VLOOKUP(C995,[1]List1!$A:$D,2,FALSE))),"OFFLINE!")</f>
        <v>SKLADEM</v>
      </c>
      <c r="AD995" s="740" t="str">
        <f ca="1">IF(AP995="NE",$V$10,IF(AC995=$V$3,IF(AQ995&lt;1,$V$8,$V$2&amp;" "&amp;AQ995&amp;" "&amp;$V$1),IF(AC995="SKLADEM",$V$6,IFERROR(IF(OR(AC995-TODAY()&gt;45,VLOOKUP(C995,[1]List1!$A:$E,4,FALSE)=0),AC995,DAY(AC995)&amp;"."&amp;MONTH(AC995)&amp;"."&amp;YEAR(AC995)&amp;" "&amp;$V$4&amp;VLOOKUP(C995,[1]List1!$A:$E,4,FALSE)&amp;" "&amp;$V$1),AC995))))</f>
        <v>SKLADEM</v>
      </c>
      <c r="AE995" s="716" t="str">
        <f t="shared" ca="1" si="2516"/>
        <v>SKLADEM</v>
      </c>
      <c r="AF995" s="723">
        <f t="shared" si="2517"/>
        <v>0</v>
      </c>
      <c r="AG995" s="723">
        <f t="shared" si="2518"/>
        <v>0</v>
      </c>
      <c r="AH995" s="724">
        <f t="shared" si="2519"/>
        <v>0</v>
      </c>
      <c r="AI995" s="716">
        <f t="shared" si="2520"/>
        <v>0</v>
      </c>
      <c r="AJ995" s="716">
        <f t="shared" si="2521"/>
        <v>0</v>
      </c>
      <c r="AK995" s="716" t="str">
        <f t="shared" si="2522"/>
        <v/>
      </c>
      <c r="AL995" s="716">
        <f t="shared" si="2523"/>
        <v>0</v>
      </c>
      <c r="AM995" s="716" t="str">
        <f t="shared" si="2524"/>
        <v/>
      </c>
      <c r="AN995" s="716">
        <f t="shared" si="2525"/>
        <v>0</v>
      </c>
      <c r="AO995" s="380"/>
      <c r="AP995" s="322" t="str">
        <f t="shared" si="2504"/>
        <v/>
      </c>
      <c r="AQ995" s="323" t="str">
        <f>IF(AC995=$V$3,IF(VLOOKUP(C995,[1]List1!$A:$E,5,FALSE)=0,1,VLOOKUP(C995,[1]List1!$A:$E,5,FALSE)),"")</f>
        <v/>
      </c>
      <c r="AR995" s="304" t="str">
        <f t="shared" si="2505"/>
        <v/>
      </c>
      <c r="AS995" s="423" t="str">
        <f t="shared" si="2506"/>
        <v/>
      </c>
      <c r="AT995" s="304" t="str">
        <f t="shared" si="2507"/>
        <v/>
      </c>
      <c r="AU995" s="342" t="e">
        <f t="shared" si="2508"/>
        <v>#N/A</v>
      </c>
      <c r="AV995" s="304" t="e">
        <f t="shared" si="2509"/>
        <v>#N/A</v>
      </c>
      <c r="AX995" s="304">
        <f>IF(AND('General price list'!$J995="F4",'General price list'!$AB995+0&gt;0),1,0)</f>
        <v>0</v>
      </c>
      <c r="AY995" s="304">
        <f t="shared" si="2510"/>
        <v>1</v>
      </c>
      <c r="AZ995" s="304">
        <f t="shared" si="2511"/>
        <v>0</v>
      </c>
    </row>
    <row r="996" spans="1:52" ht="15" customHeight="1">
      <c r="A996" s="725" t="str">
        <f>Kat.!C993</f>
        <v>×</v>
      </c>
      <c r="B996" s="726">
        <f>IF(AND('General price list'!$J996="F4",$AI$1=FALSE),0,IF(AC996="SKLADEM",1,IF(AC996=$V$3,1,0)))</f>
        <v>1</v>
      </c>
      <c r="C996" s="727" t="s">
        <v>1896</v>
      </c>
      <c r="D996" s="728" t="s">
        <v>1231</v>
      </c>
      <c r="E996" s="729" t="s">
        <v>1078</v>
      </c>
      <c r="F996" s="725">
        <f>IFERROR(ROUND(IF($AL$3=2,VLOOKUP(C996,[2]List1!$A:$D,2,FALSE)*1.08,VLOOKUP(C996,[2]List1!$A:$D,2,FALSE)),0),"NEUVEDENO!")</f>
        <v>1300</v>
      </c>
      <c r="G996" s="730">
        <f t="shared" si="2512"/>
        <v>1300</v>
      </c>
      <c r="H996" s="731">
        <f t="shared" si="2513"/>
        <v>52.826416459085941</v>
      </c>
      <c r="I996" s="732">
        <v>2</v>
      </c>
      <c r="J996" s="729" t="s">
        <v>137</v>
      </c>
      <c r="K996" s="729" t="s">
        <v>12771</v>
      </c>
      <c r="L996" s="729" t="s">
        <v>24</v>
      </c>
      <c r="M996" s="729" t="s">
        <v>138</v>
      </c>
      <c r="N996" s="729">
        <f>IFERROR(VLOOKUP(C996,[3]List1!$A:$D,4,FALSE),"N/A!")</f>
        <v>5.6629124999999995E-2</v>
      </c>
      <c r="O996" s="729">
        <f>IFERROR(VLOOKUP(C996,[3]List1!$A:$D,3,FALSE),"N/A!")</f>
        <v>1900</v>
      </c>
      <c r="P996" s="729">
        <f>IFERROR(VLOOKUP(C996,[3]List1!$A:$D,2,FALSE),"N/A!")</f>
        <v>14500</v>
      </c>
      <c r="Q996" s="729" t="s">
        <v>1810</v>
      </c>
      <c r="R996" s="729" t="s">
        <v>24</v>
      </c>
      <c r="S996" s="729" t="str">
        <f>IF($W$17=$AF$1,"design",IFERROR(VLOOKUP("design",Jazyky_ceník!$A:$Q,MATCH($W$17,Jazyky_ceník!$A$1:$Q$1,0),FALSE),"!!!"))</f>
        <v>design</v>
      </c>
      <c r="T996" s="729">
        <v>10</v>
      </c>
      <c r="U996" s="729">
        <v>40</v>
      </c>
      <c r="V996" s="729">
        <v>30</v>
      </c>
      <c r="W996" s="729" t="str">
        <f>IFERROR(VLOOKUP('General price list'!$C996,Popisy!A:P,MATCH($W$17,Popisy!$A$7:$P$7,0),FALSE),"---------------")</f>
        <v xml:space="preserve">titanium gold coconut+green strobe </v>
      </c>
      <c r="X996" s="729" t="str">
        <f t="shared" si="2514"/>
        <v/>
      </c>
      <c r="Y996" s="729" t="str">
        <f t="shared" si="2515"/>
        <v/>
      </c>
      <c r="Z996" s="729" t="str">
        <f>HYPERLINK("https://www.klasekpyrotechnics.cz/cs503x18")</f>
        <v>https://www.klasekpyrotechnics.cz/cs503x18</v>
      </c>
      <c r="AA996" s="729">
        <f>IFERROR(IF(VLOOKUP(C996,[4]List1!$A:$D,4,FALSE)=0,"",VLOOKUP(C996,[4]List1!$A:$D,4,FALSE)),"")</f>
        <v>28</v>
      </c>
      <c r="AB996" s="720"/>
      <c r="AC996" s="733" t="str">
        <f>IFERROR(IF(VLOOKUP(C996,[1]List1!$A:$D,2,FALSE)="VYPRODÁNO",$V$9,IF(VLOOKUP(C996,[1]List1!$A:$D,2,FALSE)="DOCHÁZÍ",$V$3,VLOOKUP(C996,[1]List1!$A:$D,2,FALSE))),"OFFLINE!")</f>
        <v>SKLADEM</v>
      </c>
      <c r="AD996" s="734" t="str">
        <f ca="1">IF(AP996="NE",$V$10,IF(AC996=$V$3,IF(AQ996&lt;1,$V$8,$V$2&amp;" "&amp;AQ996&amp;" "&amp;$V$1),IF(AC996="SKLADEM",$V$6,IFERROR(IF(OR(AC996-TODAY()&gt;45,VLOOKUP(C996,[1]List1!$A:$E,4,FALSE)=0),AC996,DAY(AC996)&amp;"."&amp;MONTH(AC996)&amp;"."&amp;YEAR(AC996)&amp;" "&amp;$V$4&amp;VLOOKUP(C996,[1]List1!$A:$E,4,FALSE)&amp;" "&amp;$V$1),AC996))))</f>
        <v>SKLADEM</v>
      </c>
      <c r="AE996" s="729" t="str">
        <f t="shared" ca="1" si="2516"/>
        <v>SKLADEM</v>
      </c>
      <c r="AF996" s="735">
        <f t="shared" si="2517"/>
        <v>0</v>
      </c>
      <c r="AG996" s="735">
        <f t="shared" si="2518"/>
        <v>0</v>
      </c>
      <c r="AH996" s="736">
        <f t="shared" si="2519"/>
        <v>0</v>
      </c>
      <c r="AI996" s="729">
        <f t="shared" si="2520"/>
        <v>0</v>
      </c>
      <c r="AJ996" s="729">
        <f t="shared" si="2521"/>
        <v>0</v>
      </c>
      <c r="AK996" s="729" t="str">
        <f t="shared" si="2522"/>
        <v/>
      </c>
      <c r="AL996" s="729">
        <f t="shared" si="2523"/>
        <v>0</v>
      </c>
      <c r="AM996" s="729" t="str">
        <f t="shared" si="2524"/>
        <v/>
      </c>
      <c r="AN996" s="729">
        <f t="shared" si="2525"/>
        <v>0</v>
      </c>
      <c r="AO996" s="380"/>
      <c r="AP996" s="322" t="str">
        <f t="shared" si="2504"/>
        <v/>
      </c>
      <c r="AQ996" s="323" t="str">
        <f>IF(AC996=$V$3,IF(VLOOKUP(C996,[1]List1!$A:$E,5,FALSE)=0,1,VLOOKUP(C996,[1]List1!$A:$E,5,FALSE)),"")</f>
        <v/>
      </c>
      <c r="AR996" s="304" t="str">
        <f t="shared" si="2505"/>
        <v/>
      </c>
      <c r="AS996" s="423" t="str">
        <f t="shared" si="2506"/>
        <v/>
      </c>
      <c r="AT996" s="304" t="str">
        <f t="shared" si="2507"/>
        <v/>
      </c>
      <c r="AU996" s="342" t="e">
        <f t="shared" si="2508"/>
        <v>#N/A</v>
      </c>
      <c r="AV996" s="304" t="e">
        <f t="shared" si="2509"/>
        <v>#N/A</v>
      </c>
      <c r="AX996" s="304">
        <f>IF(AND('General price list'!$J996="F4",'General price list'!$AB996+0&gt;0),1,0)</f>
        <v>0</v>
      </c>
      <c r="AY996" s="304">
        <f t="shared" si="2510"/>
        <v>1</v>
      </c>
      <c r="AZ996" s="304">
        <f t="shared" si="2511"/>
        <v>0</v>
      </c>
    </row>
    <row r="997" spans="1:52" ht="15" customHeight="1">
      <c r="A997" s="712" t="str">
        <f>Kat.!C994</f>
        <v>×</v>
      </c>
      <c r="B997" s="737">
        <f>IF(AND('General price list'!$J997="F4",$AI$1=FALSE),0,IF(AC997="SKLADEM",1,IF(AC997=$V$3,1,0)))</f>
        <v>1</v>
      </c>
      <c r="C997" s="714" t="s">
        <v>1899</v>
      </c>
      <c r="D997" s="715" t="s">
        <v>1231</v>
      </c>
      <c r="E997" s="716" t="s">
        <v>1078</v>
      </c>
      <c r="F997" s="712">
        <f>IFERROR(ROUND(IF($AL$3=2,VLOOKUP(C997,[2]List1!$A:$D,2,FALSE)*1.08,VLOOKUP(C997,[2]List1!$A:$D,2,FALSE)),0),"NEUVEDENO!")</f>
        <v>1300</v>
      </c>
      <c r="G997" s="717">
        <f t="shared" si="2512"/>
        <v>1300</v>
      </c>
      <c r="H997" s="718">
        <f t="shared" si="2513"/>
        <v>52.826416459085941</v>
      </c>
      <c r="I997" s="738">
        <v>2</v>
      </c>
      <c r="J997" s="716" t="s">
        <v>137</v>
      </c>
      <c r="K997" s="716" t="s">
        <v>12771</v>
      </c>
      <c r="L997" s="716" t="s">
        <v>24</v>
      </c>
      <c r="M997" s="716" t="s">
        <v>138</v>
      </c>
      <c r="N997" s="716">
        <f>IFERROR(VLOOKUP(C997,[3]List1!$A:$D,4,FALSE),"N/A!")</f>
        <v>5.6629124999999995E-2</v>
      </c>
      <c r="O997" s="716">
        <f>IFERROR(VLOOKUP(C997,[3]List1!$A:$D,3,FALSE),"N/A!")</f>
        <v>1900</v>
      </c>
      <c r="P997" s="716">
        <f>IFERROR(VLOOKUP(C997,[3]List1!$A:$D,2,FALSE),"N/A!")</f>
        <v>14500</v>
      </c>
      <c r="Q997" s="716" t="s">
        <v>1810</v>
      </c>
      <c r="R997" s="716" t="s">
        <v>24</v>
      </c>
      <c r="S997" s="716" t="str">
        <f>IF($W$17=$AF$1,"design",IFERROR(VLOOKUP("design",Jazyky_ceník!$A:$Q,MATCH($W$17,Jazyky_ceník!$A$1:$Q$1,0),FALSE),"!!!"))</f>
        <v>design</v>
      </c>
      <c r="T997" s="716">
        <v>10</v>
      </c>
      <c r="U997" s="716">
        <v>40</v>
      </c>
      <c r="V997" s="716">
        <v>30</v>
      </c>
      <c r="W997" s="716" t="str">
        <f>IFERROR(VLOOKUP('General price list'!$C997,Popisy!A:P,MATCH($W$17,Popisy!$A$7:$P$7,0),FALSE),"---------------")</f>
        <v xml:space="preserve">red crackling coconut+white strobe </v>
      </c>
      <c r="X997" s="716" t="str">
        <f t="shared" si="2514"/>
        <v/>
      </c>
      <c r="Y997" s="716" t="str">
        <f t="shared" si="2515"/>
        <v/>
      </c>
      <c r="Z997" s="716" t="str">
        <f>HYPERLINK("https://www.klasekpyrotechnics.cz/cs503x19")</f>
        <v>https://www.klasekpyrotechnics.cz/cs503x19</v>
      </c>
      <c r="AA997" s="716">
        <f>IFERROR(IF(VLOOKUP(C997,[4]List1!$A:$D,4,FALSE)=0,"",VLOOKUP(C997,[4]List1!$A:$D,4,FALSE)),"")</f>
        <v>28</v>
      </c>
      <c r="AB997" s="720"/>
      <c r="AC997" s="739" t="str">
        <f>IFERROR(IF(VLOOKUP(C997,[1]List1!$A:$D,2,FALSE)="VYPRODÁNO",$V$9,IF(VLOOKUP(C997,[1]List1!$A:$D,2,FALSE)="DOCHÁZÍ",$V$3,VLOOKUP(C997,[1]List1!$A:$D,2,FALSE))),"OFFLINE!")</f>
        <v>SKLADEM</v>
      </c>
      <c r="AD997" s="740" t="str">
        <f ca="1">IF(AP997="NE",$V$10,IF(AC997=$V$3,IF(AQ997&lt;1,$V$8,$V$2&amp;" "&amp;AQ997&amp;" "&amp;$V$1),IF(AC997="SKLADEM",$V$6,IFERROR(IF(OR(AC997-TODAY()&gt;45,VLOOKUP(C997,[1]List1!$A:$E,4,FALSE)=0),AC997,DAY(AC997)&amp;"."&amp;MONTH(AC997)&amp;"."&amp;YEAR(AC997)&amp;" "&amp;$V$4&amp;VLOOKUP(C997,[1]List1!$A:$E,4,FALSE)&amp;" "&amp;$V$1),AC997))))</f>
        <v>SKLADEM</v>
      </c>
      <c r="AE997" s="716" t="str">
        <f t="shared" ca="1" si="2516"/>
        <v>SKLADEM</v>
      </c>
      <c r="AF997" s="723">
        <f t="shared" si="2517"/>
        <v>0</v>
      </c>
      <c r="AG997" s="723">
        <f t="shared" si="2518"/>
        <v>0</v>
      </c>
      <c r="AH997" s="724">
        <f t="shared" si="2519"/>
        <v>0</v>
      </c>
      <c r="AI997" s="716">
        <f t="shared" si="2520"/>
        <v>0</v>
      </c>
      <c r="AJ997" s="716">
        <f t="shared" si="2521"/>
        <v>0</v>
      </c>
      <c r="AK997" s="716" t="str">
        <f t="shared" si="2522"/>
        <v/>
      </c>
      <c r="AL997" s="716">
        <f t="shared" si="2523"/>
        <v>0</v>
      </c>
      <c r="AM997" s="716" t="str">
        <f t="shared" si="2524"/>
        <v/>
      </c>
      <c r="AN997" s="716">
        <f t="shared" si="2525"/>
        <v>0</v>
      </c>
      <c r="AO997" s="380"/>
      <c r="AP997" s="322" t="str">
        <f t="shared" si="2504"/>
        <v/>
      </c>
      <c r="AQ997" s="323" t="str">
        <f>IF(AC997=$V$3,IF(VLOOKUP(C997,[1]List1!$A:$E,5,FALSE)=0,1,VLOOKUP(C997,[1]List1!$A:$E,5,FALSE)),"")</f>
        <v/>
      </c>
      <c r="AR997" s="304" t="str">
        <f t="shared" si="2505"/>
        <v/>
      </c>
      <c r="AS997" s="423" t="str">
        <f t="shared" si="2506"/>
        <v/>
      </c>
      <c r="AT997" s="304" t="str">
        <f t="shared" si="2507"/>
        <v/>
      </c>
      <c r="AU997" s="342" t="e">
        <f t="shared" si="2508"/>
        <v>#N/A</v>
      </c>
      <c r="AV997" s="304" t="e">
        <f t="shared" si="2509"/>
        <v>#N/A</v>
      </c>
      <c r="AX997" s="304">
        <f>IF(AND('General price list'!$J997="F4",'General price list'!$AB997+0&gt;0),1,0)</f>
        <v>0</v>
      </c>
      <c r="AY997" s="304">
        <f t="shared" si="2510"/>
        <v>1</v>
      </c>
      <c r="AZ997" s="304">
        <f t="shared" si="2511"/>
        <v>0</v>
      </c>
    </row>
    <row r="998" spans="1:52" ht="15" customHeight="1">
      <c r="A998" s="725" t="str">
        <f>Kat.!C995</f>
        <v/>
      </c>
      <c r="B998" s="726">
        <f>IF(AND('General price list'!$J998="F4",$AI$1=FALSE),0,IF(AC998="SKLADEM",1,IF(AC998=$V$3,1,0)))</f>
        <v>1</v>
      </c>
      <c r="C998" s="727" t="s">
        <v>1902</v>
      </c>
      <c r="D998" s="728" t="s">
        <v>1231</v>
      </c>
      <c r="E998" s="729" t="s">
        <v>1078</v>
      </c>
      <c r="F998" s="725">
        <f>IFERROR(ROUND(IF($AL$3=2,VLOOKUP(C998,[2]List1!$A:$D,2,FALSE)*1.08,VLOOKUP(C998,[2]List1!$A:$D,2,FALSE)),0),"NEUVEDENO!")</f>
        <v>1600</v>
      </c>
      <c r="G998" s="730">
        <f t="shared" si="2512"/>
        <v>1600</v>
      </c>
      <c r="H998" s="731">
        <f t="shared" si="2513"/>
        <v>65.017127949644234</v>
      </c>
      <c r="I998" s="732">
        <v>2</v>
      </c>
      <c r="J998" s="729" t="s">
        <v>137</v>
      </c>
      <c r="K998" s="729"/>
      <c r="L998" s="729" t="s">
        <v>24</v>
      </c>
      <c r="M998" s="729" t="s">
        <v>138</v>
      </c>
      <c r="N998" s="729">
        <f>IFERROR(VLOOKUP(C998,[3]List1!$A:$D,4,FALSE),"N/A!")</f>
        <v>5.6629124999999995E-2</v>
      </c>
      <c r="O998" s="729">
        <f>IFERROR(VLOOKUP(C998,[3]List1!$A:$D,3,FALSE),"N/A!")</f>
        <v>1900</v>
      </c>
      <c r="P998" s="729">
        <f>IFERROR(VLOOKUP(C998,[3]List1!$A:$D,2,FALSE),"N/A!")</f>
        <v>14300</v>
      </c>
      <c r="Q998" s="729" t="s">
        <v>1814</v>
      </c>
      <c r="R998" s="729" t="s">
        <v>24</v>
      </c>
      <c r="S998" s="729" t="str">
        <f>IF($W$17=$AF$1,"design",IFERROR(VLOOKUP("design",Jazyky_ceník!$A:$Q,MATCH($W$17,Jazyky_ceník!$A$1:$Q$1,0),FALSE),"!!!"))</f>
        <v>design</v>
      </c>
      <c r="T998" s="729">
        <v>10</v>
      </c>
      <c r="U998" s="729">
        <v>40</v>
      </c>
      <c r="V998" s="729">
        <v>30</v>
      </c>
      <c r="W998" s="729" t="str">
        <f>IFERROR(VLOOKUP('General price list'!$C998,Popisy!A:P,MATCH($W$17,Popisy!$A$7:$P$7,0),FALSE),"---------------")</f>
        <v>brocade crackling flower+blue pearl</v>
      </c>
      <c r="X998" s="729" t="str">
        <f t="shared" si="2514"/>
        <v/>
      </c>
      <c r="Y998" s="729" t="str">
        <f t="shared" si="2515"/>
        <v/>
      </c>
      <c r="Z998" s="729" t="str">
        <f>HYPERLINK("https://www.klasekpyrotechnics.cz/cs503x20")</f>
        <v>https://www.klasekpyrotechnics.cz/cs503x20</v>
      </c>
      <c r="AA998" s="729">
        <f>IFERROR(IF(VLOOKUP(C998,[4]List1!$A:$D,4,FALSE)=0,"",VLOOKUP(C998,[4]List1!$A:$D,4,FALSE)),"")</f>
        <v>28</v>
      </c>
      <c r="AB998" s="720"/>
      <c r="AC998" s="733" t="str">
        <f>IFERROR(IF(VLOOKUP(C998,[1]List1!$A:$D,2,FALSE)="VYPRODÁNO",$V$9,IF(VLOOKUP(C998,[1]List1!$A:$D,2,FALSE)="DOCHÁZÍ",$V$3,VLOOKUP(C998,[1]List1!$A:$D,2,FALSE))),"OFFLINE!")</f>
        <v>SKLADEM</v>
      </c>
      <c r="AD998" s="734" t="str">
        <f ca="1">IF(AP998="NE",$V$10,IF(AC998=$V$3,IF(AQ998&lt;1,$V$8,$V$2&amp;" "&amp;AQ998&amp;" "&amp;$V$1),IF(AC998="SKLADEM",$V$6,IFERROR(IF(OR(AC998-TODAY()&gt;45,VLOOKUP(C998,[1]List1!$A:$E,4,FALSE)=0),AC998,DAY(AC998)&amp;"."&amp;MONTH(AC998)&amp;"."&amp;YEAR(AC998)&amp;" "&amp;$V$4&amp;VLOOKUP(C998,[1]List1!$A:$E,4,FALSE)&amp;" "&amp;$V$1),AC998))))</f>
        <v>SKLADEM</v>
      </c>
      <c r="AE998" s="729" t="str">
        <f t="shared" ca="1" si="2516"/>
        <v>SKLADEM</v>
      </c>
      <c r="AF998" s="735">
        <f t="shared" si="2517"/>
        <v>0</v>
      </c>
      <c r="AG998" s="735">
        <f t="shared" si="2518"/>
        <v>0</v>
      </c>
      <c r="AH998" s="736">
        <f t="shared" si="2519"/>
        <v>0</v>
      </c>
      <c r="AI998" s="729">
        <f t="shared" si="2520"/>
        <v>0</v>
      </c>
      <c r="AJ998" s="729">
        <f t="shared" si="2521"/>
        <v>0</v>
      </c>
      <c r="AK998" s="729" t="str">
        <f t="shared" si="2522"/>
        <v/>
      </c>
      <c r="AL998" s="729">
        <f t="shared" si="2523"/>
        <v>0</v>
      </c>
      <c r="AM998" s="729" t="str">
        <f t="shared" si="2524"/>
        <v/>
      </c>
      <c r="AN998" s="729">
        <f t="shared" si="2525"/>
        <v>0</v>
      </c>
      <c r="AO998" s="380"/>
      <c r="AP998" s="322" t="str">
        <f t="shared" si="2504"/>
        <v/>
      </c>
      <c r="AQ998" s="323" t="str">
        <f>IF(AC998=$V$3,IF(VLOOKUP(C998,[1]List1!$A:$E,5,FALSE)=0,1,VLOOKUP(C998,[1]List1!$A:$E,5,FALSE)),"")</f>
        <v/>
      </c>
      <c r="AR998" s="304" t="str">
        <f t="shared" si="2505"/>
        <v/>
      </c>
      <c r="AS998" s="423" t="str">
        <f t="shared" si="2506"/>
        <v/>
      </c>
      <c r="AT998" s="304" t="str">
        <f t="shared" si="2507"/>
        <v/>
      </c>
      <c r="AU998" s="342" t="e">
        <f t="shared" si="2508"/>
        <v>#N/A</v>
      </c>
      <c r="AV998" s="304" t="e">
        <f t="shared" si="2509"/>
        <v>#N/A</v>
      </c>
      <c r="AX998" s="304">
        <f>IF(AND('General price list'!$J998="F4",'General price list'!$AB998+0&gt;0),1,0)</f>
        <v>0</v>
      </c>
      <c r="AY998" s="304">
        <f t="shared" si="2510"/>
        <v>1</v>
      </c>
      <c r="AZ998" s="304">
        <f t="shared" si="2511"/>
        <v>0</v>
      </c>
    </row>
    <row r="999" spans="1:52" ht="15" customHeight="1">
      <c r="A999" s="712" t="str">
        <f>Kat.!C996</f>
        <v>×</v>
      </c>
      <c r="B999" s="737">
        <f>IF(AND('General price list'!$J999="F4",$AI$1=FALSE),0,IF(AC999="SKLADEM",1,IF(AC999=$V$3,1,0)))</f>
        <v>1</v>
      </c>
      <c r="C999" s="714" t="s">
        <v>1904</v>
      </c>
      <c r="D999" s="715" t="s">
        <v>1231</v>
      </c>
      <c r="E999" s="716" t="s">
        <v>1078</v>
      </c>
      <c r="F999" s="712">
        <f>IFERROR(ROUND(IF($AL$3=2,VLOOKUP(C999,[2]List1!$A:$D,2,FALSE)*1.08,VLOOKUP(C999,[2]List1!$A:$D,2,FALSE)),0),"NEUVEDENO!")</f>
        <v>1300</v>
      </c>
      <c r="G999" s="717">
        <f t="shared" si="2512"/>
        <v>1300</v>
      </c>
      <c r="H999" s="718">
        <f t="shared" si="2513"/>
        <v>52.826416459085941</v>
      </c>
      <c r="I999" s="738">
        <v>2</v>
      </c>
      <c r="J999" s="716" t="s">
        <v>137</v>
      </c>
      <c r="K999" s="716" t="s">
        <v>12771</v>
      </c>
      <c r="L999" s="716" t="s">
        <v>24</v>
      </c>
      <c r="M999" s="716" t="s">
        <v>138</v>
      </c>
      <c r="N999" s="716">
        <f>IFERROR(VLOOKUP(C999,[3]List1!$A:$D,4,FALSE),"N/A!")</f>
        <v>5.6629124999999995E-2</v>
      </c>
      <c r="O999" s="716">
        <f>IFERROR(VLOOKUP(C999,[3]List1!$A:$D,3,FALSE),"N/A!")</f>
        <v>1900</v>
      </c>
      <c r="P999" s="716">
        <f>IFERROR(VLOOKUP(C999,[3]List1!$A:$D,2,FALSE),"N/A!")</f>
        <v>14600</v>
      </c>
      <c r="Q999" s="716" t="s">
        <v>1810</v>
      </c>
      <c r="R999" s="716" t="s">
        <v>24</v>
      </c>
      <c r="S999" s="716" t="str">
        <f>IF($W$17=$AF$1,"design",IFERROR(VLOOKUP("design",Jazyky_ceník!$A:$Q,MATCH($W$17,Jazyky_ceník!$A$1:$Q$1,0),FALSE),"!!!"))</f>
        <v>design</v>
      </c>
      <c r="T999" s="716">
        <v>10</v>
      </c>
      <c r="U999" s="716">
        <v>40</v>
      </c>
      <c r="V999" s="716">
        <v>30</v>
      </c>
      <c r="W999" s="716" t="str">
        <f>IFERROR(VLOOKUP('General price list'!$C999,Popisy!A:P,MATCH($W$17,Popisy!$A$7:$P$7,0),FALSE),"---------------")</f>
        <v>purple lemon dahlia+silver chrys.</v>
      </c>
      <c r="X999" s="716" t="str">
        <f t="shared" si="2514"/>
        <v/>
      </c>
      <c r="Y999" s="716" t="str">
        <f t="shared" si="2515"/>
        <v/>
      </c>
      <c r="Z999" s="716" t="str">
        <f>HYPERLINK("https://www.klasekpyrotechnics.cz/cs503x21")</f>
        <v>https://www.klasekpyrotechnics.cz/cs503x21</v>
      </c>
      <c r="AA999" s="716">
        <f>IFERROR(IF(VLOOKUP(C999,[4]List1!$A:$D,4,FALSE)=0,"",VLOOKUP(C999,[4]List1!$A:$D,4,FALSE)),"")</f>
        <v>28</v>
      </c>
      <c r="AB999" s="720"/>
      <c r="AC999" s="739" t="str">
        <f>IFERROR(IF(VLOOKUP(C999,[1]List1!$A:$D,2,FALSE)="VYPRODÁNO",$V$9,IF(VLOOKUP(C999,[1]List1!$A:$D,2,FALSE)="DOCHÁZÍ",$V$3,VLOOKUP(C999,[1]List1!$A:$D,2,FALSE))),"OFFLINE!")</f>
        <v>SKLADEM</v>
      </c>
      <c r="AD999" s="740" t="str">
        <f ca="1">IF(AP999="NE",$V$10,IF(AC999=$V$3,IF(AQ999&lt;1,$V$8,$V$2&amp;" "&amp;AQ999&amp;" "&amp;$V$1),IF(AC999="SKLADEM",$V$6,IFERROR(IF(OR(AC999-TODAY()&gt;45,VLOOKUP(C999,[1]List1!$A:$E,4,FALSE)=0),AC999,DAY(AC999)&amp;"."&amp;MONTH(AC999)&amp;"."&amp;YEAR(AC999)&amp;" "&amp;$V$4&amp;VLOOKUP(C999,[1]List1!$A:$E,4,FALSE)&amp;" "&amp;$V$1),AC999))))</f>
        <v>SKLADEM</v>
      </c>
      <c r="AE999" s="716" t="str">
        <f t="shared" ca="1" si="2516"/>
        <v>SKLADEM</v>
      </c>
      <c r="AF999" s="723">
        <f t="shared" si="2517"/>
        <v>0</v>
      </c>
      <c r="AG999" s="723">
        <f t="shared" si="2518"/>
        <v>0</v>
      </c>
      <c r="AH999" s="724">
        <f t="shared" si="2519"/>
        <v>0</v>
      </c>
      <c r="AI999" s="716">
        <f t="shared" si="2520"/>
        <v>0</v>
      </c>
      <c r="AJ999" s="716">
        <f t="shared" si="2521"/>
        <v>0</v>
      </c>
      <c r="AK999" s="716" t="str">
        <f t="shared" si="2522"/>
        <v/>
      </c>
      <c r="AL999" s="716">
        <f t="shared" si="2523"/>
        <v>0</v>
      </c>
      <c r="AM999" s="716" t="str">
        <f t="shared" si="2524"/>
        <v/>
      </c>
      <c r="AN999" s="716">
        <f t="shared" si="2525"/>
        <v>0</v>
      </c>
      <c r="AO999" s="380"/>
      <c r="AP999" s="322" t="str">
        <f t="shared" si="2504"/>
        <v/>
      </c>
      <c r="AQ999" s="323" t="str">
        <f>IF(AC999=$V$3,IF(VLOOKUP(C999,[1]List1!$A:$E,5,FALSE)=0,1,VLOOKUP(C999,[1]List1!$A:$E,5,FALSE)),"")</f>
        <v/>
      </c>
      <c r="AR999" s="304" t="str">
        <f t="shared" si="2505"/>
        <v/>
      </c>
      <c r="AS999" s="423" t="str">
        <f t="shared" si="2506"/>
        <v/>
      </c>
      <c r="AT999" s="304" t="str">
        <f t="shared" si="2507"/>
        <v/>
      </c>
      <c r="AU999" s="342" t="e">
        <f t="shared" si="2508"/>
        <v>#N/A</v>
      </c>
      <c r="AV999" s="304" t="e">
        <f t="shared" si="2509"/>
        <v>#N/A</v>
      </c>
      <c r="AX999" s="304">
        <f>IF(AND('General price list'!$J999="F4",'General price list'!$AB999+0&gt;0),1,0)</f>
        <v>0</v>
      </c>
      <c r="AY999" s="304">
        <f t="shared" si="2510"/>
        <v>1</v>
      </c>
      <c r="AZ999" s="304">
        <f t="shared" si="2511"/>
        <v>0</v>
      </c>
    </row>
    <row r="1000" spans="1:52" ht="15" customHeight="1">
      <c r="A1000" s="725" t="str">
        <f>Kat.!C997</f>
        <v>×</v>
      </c>
      <c r="B1000" s="726">
        <f>IF(AND('General price list'!$J1000="F4",$AI$1=FALSE),0,IF(AC1000="SKLADEM",1,IF(AC1000=$V$3,1,0)))</f>
        <v>1</v>
      </c>
      <c r="C1000" s="727" t="s">
        <v>1915</v>
      </c>
      <c r="D1000" s="728" t="s">
        <v>1231</v>
      </c>
      <c r="E1000" s="729" t="s">
        <v>1078</v>
      </c>
      <c r="F1000" s="725">
        <f>IFERROR(ROUND(IF($AL$3=2,VLOOKUP(C1000,[2]List1!$A:$D,2,FALSE)*1.08,VLOOKUP(C1000,[2]List1!$A:$D,2,FALSE)),0),"NEUVEDENO!")</f>
        <v>1300</v>
      </c>
      <c r="G1000" s="730">
        <f t="shared" si="2512"/>
        <v>1300</v>
      </c>
      <c r="H1000" s="731">
        <f t="shared" si="2513"/>
        <v>52.826416459085941</v>
      </c>
      <c r="I1000" s="732">
        <v>2</v>
      </c>
      <c r="J1000" s="729" t="s">
        <v>137</v>
      </c>
      <c r="K1000" s="729" t="s">
        <v>12771</v>
      </c>
      <c r="L1000" s="729"/>
      <c r="M1000" s="729" t="s">
        <v>138</v>
      </c>
      <c r="N1000" s="729">
        <f>IFERROR(VLOOKUP(C1000,[3]List1!$A:$D,4,FALSE),"N/A!")</f>
        <v>5.6629124999999995E-2</v>
      </c>
      <c r="O1000" s="729">
        <f>IFERROR(VLOOKUP(C1000,[3]List1!$A:$D,3,FALSE),"N/A!")</f>
        <v>1900</v>
      </c>
      <c r="P1000" s="729">
        <f>IFERROR(VLOOKUP(C1000,[3]List1!$A:$D,2,FALSE),"N/A!")</f>
        <v>14900</v>
      </c>
      <c r="Q1000" s="729" t="s">
        <v>1810</v>
      </c>
      <c r="R1000" s="729" t="s">
        <v>24</v>
      </c>
      <c r="S1000" s="729" t="str">
        <f>IF($W$17=$AF$1,"design",IFERROR(VLOOKUP("design",Jazyky_ceník!$A:$Q,MATCH($W$17,Jazyky_ceník!$A$1:$Q$1,0),FALSE),"!!!"))</f>
        <v>design</v>
      </c>
      <c r="T1000" s="729">
        <v>10</v>
      </c>
      <c r="U1000" s="729">
        <v>40</v>
      </c>
      <c r="V1000" s="729">
        <v>30</v>
      </c>
      <c r="W1000" s="729" t="str">
        <f>IFERROR(VLOOKUP('General price list'!$C1000,Popisy!A:P,MATCH($W$17,Popisy!$A$7:$P$7,0),FALSE),"---------------")</f>
        <v xml:space="preserve">pink+time rain </v>
      </c>
      <c r="X1000" s="729" t="str">
        <f t="shared" si="2514"/>
        <v/>
      </c>
      <c r="Y1000" s="729" t="str">
        <f t="shared" si="2515"/>
        <v/>
      </c>
      <c r="Z1000" s="729" t="str">
        <f>HYPERLINK("https://www.klasekpyrotechnics.cz/cs503x26")</f>
        <v>https://www.klasekpyrotechnics.cz/cs503x26</v>
      </c>
      <c r="AA1000" s="729">
        <f>IFERROR(IF(VLOOKUP(C1000,[4]List1!$A:$D,4,FALSE)=0,"",VLOOKUP(C1000,[4]List1!$A:$D,4,FALSE)),"")</f>
        <v>28</v>
      </c>
      <c r="AB1000" s="720"/>
      <c r="AC1000" s="733" t="str">
        <f>IFERROR(IF(VLOOKUP(C1000,[1]List1!$A:$D,2,FALSE)="VYPRODÁNO",$V$9,IF(VLOOKUP(C1000,[1]List1!$A:$D,2,FALSE)="DOCHÁZÍ",$V$3,VLOOKUP(C1000,[1]List1!$A:$D,2,FALSE))),"OFFLINE!")</f>
        <v>SKLADEM</v>
      </c>
      <c r="AD1000" s="734" t="str">
        <f ca="1">IF(AP1000="NE",$V$10,IF(AC1000=$V$3,IF(AQ1000&lt;1,$V$8,$V$2&amp;" "&amp;AQ1000&amp;" "&amp;$V$1),IF(AC1000="SKLADEM",$V$6,IFERROR(IF(OR(AC1000-TODAY()&gt;45,VLOOKUP(C1000,[1]List1!$A:$E,4,FALSE)=0),AC1000,DAY(AC1000)&amp;"."&amp;MONTH(AC1000)&amp;"."&amp;YEAR(AC1000)&amp;" "&amp;$V$4&amp;VLOOKUP(C1000,[1]List1!$A:$E,4,FALSE)&amp;" "&amp;$V$1),AC1000))))</f>
        <v>SKLADEM</v>
      </c>
      <c r="AE1000" s="729" t="str">
        <f t="shared" ca="1" si="2516"/>
        <v>SKLADEM</v>
      </c>
      <c r="AF1000" s="735">
        <f t="shared" si="2517"/>
        <v>0</v>
      </c>
      <c r="AG1000" s="735">
        <f t="shared" si="2518"/>
        <v>0</v>
      </c>
      <c r="AH1000" s="736">
        <f t="shared" si="2519"/>
        <v>0</v>
      </c>
      <c r="AI1000" s="729">
        <f t="shared" si="2520"/>
        <v>0</v>
      </c>
      <c r="AJ1000" s="729">
        <f t="shared" si="2521"/>
        <v>0</v>
      </c>
      <c r="AK1000" s="729" t="str">
        <f t="shared" si="2522"/>
        <v/>
      </c>
      <c r="AL1000" s="729">
        <f t="shared" si="2523"/>
        <v>0</v>
      </c>
      <c r="AM1000" s="729" t="str">
        <f t="shared" si="2524"/>
        <v/>
      </c>
      <c r="AN1000" s="729">
        <f t="shared" si="2525"/>
        <v>0</v>
      </c>
      <c r="AO1000" s="380"/>
      <c r="AP1000" s="322" t="str">
        <f t="shared" si="2504"/>
        <v/>
      </c>
      <c r="AQ1000" s="323" t="str">
        <f>IF(AC1000=$V$3,IF(VLOOKUP(C1000,[1]List1!$A:$E,5,FALSE)=0,1,VLOOKUP(C1000,[1]List1!$A:$E,5,FALSE)),"")</f>
        <v/>
      </c>
      <c r="AR1000" s="304" t="str">
        <f t="shared" si="2505"/>
        <v/>
      </c>
      <c r="AS1000" s="423" t="str">
        <f t="shared" si="2506"/>
        <v/>
      </c>
      <c r="AT1000" s="304" t="str">
        <f t="shared" si="2507"/>
        <v/>
      </c>
      <c r="AU1000" s="342" t="e">
        <f t="shared" si="2508"/>
        <v>#N/A</v>
      </c>
      <c r="AV1000" s="304" t="e">
        <f t="shared" si="2509"/>
        <v>#N/A</v>
      </c>
      <c r="AX1000" s="304">
        <f>IF(AND('General price list'!$J1000="F4",'General price list'!$AB1000+0&gt;0),1,0)</f>
        <v>0</v>
      </c>
      <c r="AY1000" s="304">
        <f t="shared" si="2510"/>
        <v>1</v>
      </c>
      <c r="AZ1000" s="304">
        <f t="shared" si="2511"/>
        <v>0</v>
      </c>
    </row>
    <row r="1001" spans="1:52" ht="15" customHeight="1">
      <c r="A1001" s="712" t="str">
        <f>Kat.!C998</f>
        <v>×</v>
      </c>
      <c r="B1001" s="737">
        <f>IF(AND('General price list'!$J1001="F4",$AI$1=FALSE),0,IF(AC1001="SKLADEM",1,IF(AC1001=$V$3,1,0)))</f>
        <v>1</v>
      </c>
      <c r="C1001" s="714" t="s">
        <v>1923</v>
      </c>
      <c r="D1001" s="715" t="s">
        <v>1231</v>
      </c>
      <c r="E1001" s="716" t="s">
        <v>1078</v>
      </c>
      <c r="F1001" s="712">
        <f>IFERROR(ROUND(IF($AL$3=2,VLOOKUP(C1001,[2]List1!$A:$D,2,FALSE)*1.08,VLOOKUP(C1001,[2]List1!$A:$D,2,FALSE)),0),"NEUVEDENO!")</f>
        <v>1300</v>
      </c>
      <c r="G1001" s="717">
        <f t="shared" si="2512"/>
        <v>1300</v>
      </c>
      <c r="H1001" s="718">
        <f t="shared" si="2513"/>
        <v>52.826416459085941</v>
      </c>
      <c r="I1001" s="738">
        <v>2</v>
      </c>
      <c r="J1001" s="716" t="s">
        <v>137</v>
      </c>
      <c r="K1001" s="716" t="s">
        <v>12771</v>
      </c>
      <c r="L1001" s="716"/>
      <c r="M1001" s="716" t="s">
        <v>138</v>
      </c>
      <c r="N1001" s="716">
        <f>IFERROR(VLOOKUP(C1001,[3]List1!$A:$D,4,FALSE),"N/A!")</f>
        <v>5.6629124999999995E-2</v>
      </c>
      <c r="O1001" s="716">
        <f>IFERROR(VLOOKUP(C1001,[3]List1!$A:$D,3,FALSE),"N/A!")</f>
        <v>1900</v>
      </c>
      <c r="P1001" s="716">
        <f>IFERROR(VLOOKUP(C1001,[3]List1!$A:$D,2,FALSE),"N/A!")</f>
        <v>14900</v>
      </c>
      <c r="Q1001" s="716" t="s">
        <v>1810</v>
      </c>
      <c r="R1001" s="716" t="s">
        <v>24</v>
      </c>
      <c r="S1001" s="716" t="str">
        <f>IF($W$17=$AF$1,"design",IFERROR(VLOOKUP("design",Jazyky_ceník!$A:$Q,MATCH($W$17,Jazyky_ceník!$A$1:$Q$1,0),FALSE),"!!!"))</f>
        <v>design</v>
      </c>
      <c r="T1001" s="716">
        <v>10</v>
      </c>
      <c r="U1001" s="716">
        <v>40</v>
      </c>
      <c r="V1001" s="716">
        <v>30</v>
      </c>
      <c r="W1001" s="716" t="str">
        <f>IFERROR(VLOOKUP('General price list'!$C1001,Popisy!A:P,MATCH($W$17,Popisy!$A$7:$P$7,0),FALSE),"---------------")</f>
        <v>king brocade + orange pearl</v>
      </c>
      <c r="X1001" s="716" t="str">
        <f t="shared" si="2514"/>
        <v/>
      </c>
      <c r="Y1001" s="716" t="str">
        <f t="shared" si="2515"/>
        <v/>
      </c>
      <c r="Z1001" s="716" t="str">
        <f>HYPERLINK("https://www.klasekpyrotechnics.cz/cs503x29")</f>
        <v>https://www.klasekpyrotechnics.cz/cs503x29</v>
      </c>
      <c r="AA1001" s="716">
        <f>IFERROR(IF(VLOOKUP(C1001,[4]List1!$A:$D,4,FALSE)=0,"",VLOOKUP(C1001,[4]List1!$A:$D,4,FALSE)),"")</f>
        <v>28</v>
      </c>
      <c r="AB1001" s="720"/>
      <c r="AC1001" s="739" t="str">
        <f>IFERROR(IF(VLOOKUP(C1001,[1]List1!$A:$D,2,FALSE)="VYPRODÁNO",$V$9,IF(VLOOKUP(C1001,[1]List1!$A:$D,2,FALSE)="DOCHÁZÍ",$V$3,VLOOKUP(C1001,[1]List1!$A:$D,2,FALSE))),"OFFLINE!")</f>
        <v>SKLADEM</v>
      </c>
      <c r="AD1001" s="740" t="str">
        <f ca="1">IF(AP1001="NE",$V$10,IF(AC1001=$V$3,IF(AQ1001&lt;1,$V$8,$V$2&amp;" "&amp;AQ1001&amp;" "&amp;$V$1),IF(AC1001="SKLADEM",$V$6,IFERROR(IF(OR(AC1001-TODAY()&gt;45,VLOOKUP(C1001,[1]List1!$A:$E,4,FALSE)=0),AC1001,DAY(AC1001)&amp;"."&amp;MONTH(AC1001)&amp;"."&amp;YEAR(AC1001)&amp;" "&amp;$V$4&amp;VLOOKUP(C1001,[1]List1!$A:$E,4,FALSE)&amp;" "&amp;$V$1),AC1001))))</f>
        <v>SKLADEM</v>
      </c>
      <c r="AE1001" s="716" t="str">
        <f t="shared" ca="1" si="2516"/>
        <v>SKLADEM</v>
      </c>
      <c r="AF1001" s="723">
        <f t="shared" si="2517"/>
        <v>0</v>
      </c>
      <c r="AG1001" s="723">
        <f t="shared" si="2518"/>
        <v>0</v>
      </c>
      <c r="AH1001" s="724">
        <f t="shared" si="2519"/>
        <v>0</v>
      </c>
      <c r="AI1001" s="716">
        <f t="shared" si="2520"/>
        <v>0</v>
      </c>
      <c r="AJ1001" s="716">
        <f t="shared" si="2521"/>
        <v>0</v>
      </c>
      <c r="AK1001" s="716" t="str">
        <f t="shared" si="2522"/>
        <v/>
      </c>
      <c r="AL1001" s="716">
        <f t="shared" si="2523"/>
        <v>0</v>
      </c>
      <c r="AM1001" s="716" t="str">
        <f t="shared" si="2524"/>
        <v/>
      </c>
      <c r="AN1001" s="716">
        <f t="shared" si="2525"/>
        <v>0</v>
      </c>
      <c r="AO1001" s="380"/>
      <c r="AP1001" s="322" t="str">
        <f t="shared" si="2504"/>
        <v/>
      </c>
      <c r="AQ1001" s="323" t="str">
        <f>IF(AC1001=$V$3,IF(VLOOKUP(C1001,[1]List1!$A:$E,5,FALSE)=0,1,VLOOKUP(C1001,[1]List1!$A:$E,5,FALSE)),"")</f>
        <v/>
      </c>
      <c r="AR1001" s="304" t="str">
        <f t="shared" si="2505"/>
        <v/>
      </c>
      <c r="AS1001" s="423" t="str">
        <f t="shared" si="2506"/>
        <v/>
      </c>
      <c r="AT1001" s="304" t="str">
        <f t="shared" si="2507"/>
        <v/>
      </c>
      <c r="AU1001" s="342" t="e">
        <f t="shared" si="2508"/>
        <v>#N/A</v>
      </c>
      <c r="AV1001" s="304" t="e">
        <f t="shared" si="2509"/>
        <v>#N/A</v>
      </c>
      <c r="AX1001" s="304">
        <f>IF(AND('General price list'!$J1001="F4",'General price list'!$AB1001+0&gt;0),1,0)</f>
        <v>0</v>
      </c>
      <c r="AY1001" s="304">
        <f t="shared" si="2510"/>
        <v>1</v>
      </c>
      <c r="AZ1001" s="304">
        <f t="shared" si="2511"/>
        <v>0</v>
      </c>
    </row>
    <row r="1002" spans="1:52" ht="15" customHeight="1">
      <c r="A1002" s="725" t="str">
        <f>Kat.!C999</f>
        <v/>
      </c>
      <c r="B1002" s="726">
        <f>IF(AND('General price list'!$J1002="F4",$AI$1=FALSE),0,IF(AC1002="SKLADEM",1,IF(AC1002=$V$3,1,0)))</f>
        <v>1</v>
      </c>
      <c r="C1002" s="727" t="s">
        <v>1927</v>
      </c>
      <c r="D1002" s="728" t="s">
        <v>1231</v>
      </c>
      <c r="E1002" s="729" t="s">
        <v>1078</v>
      </c>
      <c r="F1002" s="725">
        <f>IFERROR(ROUND(IF($AL$3=2,VLOOKUP(C1002,[2]List1!$A:$D,2,FALSE)*1.08,VLOOKUP(C1002,[2]List1!$A:$D,2,FALSE)),0),"NEUVEDENO!")</f>
        <v>1600</v>
      </c>
      <c r="G1002" s="730">
        <f t="shared" si="2512"/>
        <v>1600</v>
      </c>
      <c r="H1002" s="731">
        <f t="shared" si="2513"/>
        <v>65.017127949644234</v>
      </c>
      <c r="I1002" s="732">
        <v>2</v>
      </c>
      <c r="J1002" s="729" t="s">
        <v>137</v>
      </c>
      <c r="K1002" s="729"/>
      <c r="L1002" s="729"/>
      <c r="M1002" s="729" t="s">
        <v>25</v>
      </c>
      <c r="N1002" s="729">
        <f>IFERROR(VLOOKUP(C1002,[3]List1!$A:$D,4,FALSE),"N/A!")</f>
        <v>5.6629124999999995E-2</v>
      </c>
      <c r="O1002" s="729">
        <f>IFERROR(VLOOKUP(C1002,[3]List1!$A:$D,3,FALSE),"N/A!")</f>
        <v>1900</v>
      </c>
      <c r="P1002" s="729">
        <f>IFERROR(VLOOKUP(C1002,[3]List1!$A:$D,2,FALSE),"N/A!")</f>
        <v>14100</v>
      </c>
      <c r="Q1002" s="729" t="s">
        <v>14303</v>
      </c>
      <c r="R1002" s="729" t="s">
        <v>24</v>
      </c>
      <c r="S1002" s="729" t="str">
        <f>IF($W$17=$AF$1,"design",IFERROR(VLOOKUP("design",Jazyky_ceník!$A:$Q,MATCH($W$17,Jazyky_ceník!$A$1:$Q$1,0),FALSE),"!!!"))</f>
        <v>design</v>
      </c>
      <c r="T1002" s="729">
        <v>10</v>
      </c>
      <c r="U1002" s="729">
        <v>40</v>
      </c>
      <c r="V1002" s="729">
        <v>30</v>
      </c>
      <c r="W1002" s="729" t="str">
        <f>IFERROR(VLOOKUP('General price list'!$C1002,Popisy!A:P,MATCH($W$17,Popisy!$A$7:$P$7,0),FALSE),"---------------")</f>
        <v>blue mine tail up to red comet star</v>
      </c>
      <c r="X1002" s="729" t="str">
        <f t="shared" si="2514"/>
        <v/>
      </c>
      <c r="Y1002" s="729" t="str">
        <f t="shared" si="2515"/>
        <v/>
      </c>
      <c r="Z1002" s="729" t="str">
        <f>HYPERLINK("https://www.klasekpyrotechnics.cz/cs503x33")</f>
        <v>https://www.klasekpyrotechnics.cz/cs503x33</v>
      </c>
      <c r="AA1002" s="729">
        <f>IFERROR(IF(VLOOKUP(C1002,[4]List1!$A:$D,4,FALSE)=0,"",VLOOKUP(C1002,[4]List1!$A:$D,4,FALSE)),"")</f>
        <v>28</v>
      </c>
      <c r="AB1002" s="720"/>
      <c r="AC1002" s="733" t="str">
        <f>IFERROR(IF(VLOOKUP(C1002,[1]List1!$A:$D,2,FALSE)="VYPRODÁNO",$V$9,IF(VLOOKUP(C1002,[1]List1!$A:$D,2,FALSE)="DOCHÁZÍ",$V$3,VLOOKUP(C1002,[1]List1!$A:$D,2,FALSE))),"OFFLINE!")</f>
        <v>SKLADEM</v>
      </c>
      <c r="AD1002" s="734" t="str">
        <f ca="1">IF(AP1002="NE",$V$10,IF(AC1002=$V$3,IF(AQ1002&lt;1,$V$8,$V$2&amp;" "&amp;AQ1002&amp;" "&amp;$V$1),IF(AC1002="SKLADEM",$V$6,IFERROR(IF(OR(AC1002-TODAY()&gt;45,VLOOKUP(C1002,[1]List1!$A:$E,4,FALSE)=0),AC1002,DAY(AC1002)&amp;"."&amp;MONTH(AC1002)&amp;"."&amp;YEAR(AC1002)&amp;" "&amp;$V$4&amp;VLOOKUP(C1002,[1]List1!$A:$E,4,FALSE)&amp;" "&amp;$V$1),AC1002))))</f>
        <v>SKLADEM</v>
      </c>
      <c r="AE1002" s="729" t="str">
        <f t="shared" ca="1" si="2516"/>
        <v>SKLADEM</v>
      </c>
      <c r="AF1002" s="735">
        <f t="shared" si="2517"/>
        <v>0</v>
      </c>
      <c r="AG1002" s="735">
        <f t="shared" si="2518"/>
        <v>0</v>
      </c>
      <c r="AH1002" s="736">
        <f t="shared" si="2519"/>
        <v>0</v>
      </c>
      <c r="AI1002" s="729">
        <f t="shared" si="2520"/>
        <v>0</v>
      </c>
      <c r="AJ1002" s="729">
        <f t="shared" si="2521"/>
        <v>0</v>
      </c>
      <c r="AK1002" s="729" t="str">
        <f t="shared" si="2522"/>
        <v/>
      </c>
      <c r="AL1002" s="729" t="str">
        <f t="shared" si="2523"/>
        <v/>
      </c>
      <c r="AM1002" s="729">
        <f t="shared" si="2524"/>
        <v>0</v>
      </c>
      <c r="AN1002" s="729">
        <f t="shared" si="2525"/>
        <v>0</v>
      </c>
      <c r="AO1002" s="380"/>
      <c r="AP1002" s="322" t="str">
        <f t="shared" si="2504"/>
        <v/>
      </c>
      <c r="AQ1002" s="323" t="str">
        <f>IF(AC1002=$V$3,IF(VLOOKUP(C1002,[1]List1!$A:$E,5,FALSE)=0,1,VLOOKUP(C1002,[1]List1!$A:$E,5,FALSE)),"")</f>
        <v/>
      </c>
      <c r="AR1002" s="304" t="str">
        <f t="shared" si="2505"/>
        <v/>
      </c>
      <c r="AS1002" s="423" t="str">
        <f t="shared" si="2506"/>
        <v/>
      </c>
      <c r="AT1002" s="304" t="str">
        <f t="shared" si="2507"/>
        <v/>
      </c>
      <c r="AU1002" s="342" t="e">
        <f t="shared" si="2508"/>
        <v>#N/A</v>
      </c>
      <c r="AV1002" s="304" t="e">
        <f t="shared" si="2509"/>
        <v>#N/A</v>
      </c>
      <c r="AX1002" s="304">
        <f>IF(AND('General price list'!$J1002="F4",'General price list'!$AB1002+0&gt;0),1,0)</f>
        <v>0</v>
      </c>
      <c r="AY1002" s="304">
        <f t="shared" si="2510"/>
        <v>1</v>
      </c>
      <c r="AZ1002" s="304">
        <f t="shared" si="2511"/>
        <v>0</v>
      </c>
    </row>
    <row r="1003" spans="1:52" ht="15" customHeight="1">
      <c r="A1003" s="712" t="str">
        <f>Kat.!C1000</f>
        <v>×</v>
      </c>
      <c r="B1003" s="737">
        <f>IF(AND('General price list'!$J1003="F4",$AI$1=FALSE),0,IF(AC1003="SKLADEM",1,IF(AC1003=$V$3,1,0)))</f>
        <v>1</v>
      </c>
      <c r="C1003" s="714" t="s">
        <v>1929</v>
      </c>
      <c r="D1003" s="715" t="s">
        <v>1231</v>
      </c>
      <c r="E1003" s="716" t="s">
        <v>1078</v>
      </c>
      <c r="F1003" s="712">
        <f>IFERROR(ROUND(IF($AL$3=2,VLOOKUP(C1003,[2]List1!$A:$D,2,FALSE)*1.08,VLOOKUP(C1003,[2]List1!$A:$D,2,FALSE)),0),"NEUVEDENO!")</f>
        <v>1600</v>
      </c>
      <c r="G1003" s="717">
        <f t="shared" si="2512"/>
        <v>1600</v>
      </c>
      <c r="H1003" s="718">
        <f t="shared" si="2513"/>
        <v>65.017127949644234</v>
      </c>
      <c r="I1003" s="738">
        <v>2</v>
      </c>
      <c r="J1003" s="716" t="s">
        <v>137</v>
      </c>
      <c r="K1003" s="716"/>
      <c r="L1003" s="716"/>
      <c r="M1003" s="716" t="s">
        <v>25</v>
      </c>
      <c r="N1003" s="716">
        <f>IFERROR(VLOOKUP(C1003,[3]List1!$A:$D,4,FALSE),"N/A!")</f>
        <v>5.6629124999999995E-2</v>
      </c>
      <c r="O1003" s="716">
        <f>IFERROR(VLOOKUP(C1003,[3]List1!$A:$D,3,FALSE),"N/A!")</f>
        <v>1900</v>
      </c>
      <c r="P1003" s="716">
        <f>IFERROR(VLOOKUP(C1003,[3]List1!$A:$D,2,FALSE),"N/A!")</f>
        <v>14100</v>
      </c>
      <c r="Q1003" s="716" t="s">
        <v>1810</v>
      </c>
      <c r="R1003" s="716" t="s">
        <v>24</v>
      </c>
      <c r="S1003" s="716" t="str">
        <f>IF($W$17=$AF$1,"design",IFERROR(VLOOKUP("design",Jazyky_ceník!$A:$Q,MATCH($W$17,Jazyky_ceník!$A$1:$Q$1,0),FALSE),"!!!"))</f>
        <v>design</v>
      </c>
      <c r="T1003" s="716">
        <v>10</v>
      </c>
      <c r="U1003" s="716">
        <v>40</v>
      </c>
      <c r="V1003" s="716">
        <v>30</v>
      </c>
      <c r="W1003" s="716" t="str">
        <f>IFERROR(VLOOKUP('General price list'!$C1003,Popisy!A:P,MATCH($W$17,Popisy!$A$7:$P$7,0),FALSE),"---------------")</f>
        <v>red comet rain</v>
      </c>
      <c r="X1003" s="716" t="str">
        <f t="shared" si="2514"/>
        <v/>
      </c>
      <c r="Y1003" s="716" t="str">
        <f t="shared" si="2515"/>
        <v/>
      </c>
      <c r="Z1003" s="716" t="str">
        <f>HYPERLINK("https://www.klasekpyrotechnics.cz/cs503x35")</f>
        <v>https://www.klasekpyrotechnics.cz/cs503x35</v>
      </c>
      <c r="AA1003" s="716">
        <f>IFERROR(IF(VLOOKUP(C1003,[4]List1!$A:$D,4,FALSE)=0,"",VLOOKUP(C1003,[4]List1!$A:$D,4,FALSE)),"")</f>
        <v>28</v>
      </c>
      <c r="AB1003" s="720"/>
      <c r="AC1003" s="739" t="str">
        <f>IFERROR(IF(VLOOKUP(C1003,[1]List1!$A:$D,2,FALSE)="VYPRODÁNO",$V$9,IF(VLOOKUP(C1003,[1]List1!$A:$D,2,FALSE)="DOCHÁZÍ",$V$3,VLOOKUP(C1003,[1]List1!$A:$D,2,FALSE))),"OFFLINE!")</f>
        <v>SKLADEM</v>
      </c>
      <c r="AD1003" s="740" t="str">
        <f ca="1">IF(AP1003="NE",$V$10,IF(AC1003=$V$3,IF(AQ1003&lt;1,$V$8,$V$2&amp;" "&amp;AQ1003&amp;" "&amp;$V$1),IF(AC1003="SKLADEM",$V$6,IFERROR(IF(OR(AC1003-TODAY()&gt;45,VLOOKUP(C1003,[1]List1!$A:$E,4,FALSE)=0),AC1003,DAY(AC1003)&amp;"."&amp;MONTH(AC1003)&amp;"."&amp;YEAR(AC1003)&amp;" "&amp;$V$4&amp;VLOOKUP(C1003,[1]List1!$A:$E,4,FALSE)&amp;" "&amp;$V$1),AC1003))))</f>
        <v>SKLADEM</v>
      </c>
      <c r="AE1003" s="716" t="str">
        <f t="shared" ca="1" si="2516"/>
        <v>SKLADEM</v>
      </c>
      <c r="AF1003" s="723">
        <f t="shared" si="2517"/>
        <v>0</v>
      </c>
      <c r="AG1003" s="723">
        <f t="shared" si="2518"/>
        <v>0</v>
      </c>
      <c r="AH1003" s="724">
        <f t="shared" si="2519"/>
        <v>0</v>
      </c>
      <c r="AI1003" s="716">
        <f t="shared" si="2520"/>
        <v>0</v>
      </c>
      <c r="AJ1003" s="716">
        <f t="shared" si="2521"/>
        <v>0</v>
      </c>
      <c r="AK1003" s="716" t="str">
        <f t="shared" si="2522"/>
        <v/>
      </c>
      <c r="AL1003" s="716" t="str">
        <f t="shared" si="2523"/>
        <v/>
      </c>
      <c r="AM1003" s="716">
        <f t="shared" si="2524"/>
        <v>0</v>
      </c>
      <c r="AN1003" s="716">
        <f t="shared" si="2525"/>
        <v>0</v>
      </c>
      <c r="AO1003" s="380"/>
      <c r="AP1003" s="322" t="str">
        <f t="shared" si="2504"/>
        <v/>
      </c>
      <c r="AQ1003" s="323" t="str">
        <f>IF(AC1003=$V$3,IF(VLOOKUP(C1003,[1]List1!$A:$E,5,FALSE)=0,1,VLOOKUP(C1003,[1]List1!$A:$E,5,FALSE)),"")</f>
        <v/>
      </c>
      <c r="AR1003" s="304" t="str">
        <f t="shared" si="2505"/>
        <v/>
      </c>
      <c r="AS1003" s="423" t="str">
        <f t="shared" si="2506"/>
        <v/>
      </c>
      <c r="AT1003" s="304" t="str">
        <f t="shared" si="2507"/>
        <v/>
      </c>
      <c r="AU1003" s="342" t="e">
        <f t="shared" si="2508"/>
        <v>#N/A</v>
      </c>
      <c r="AV1003" s="304" t="e">
        <f t="shared" si="2509"/>
        <v>#N/A</v>
      </c>
      <c r="AX1003" s="304">
        <f>IF(AND('General price list'!$J1003="F4",'General price list'!$AB1003+0&gt;0),1,0)</f>
        <v>0</v>
      </c>
      <c r="AY1003" s="304">
        <f t="shared" si="2510"/>
        <v>1</v>
      </c>
      <c r="AZ1003" s="304">
        <f t="shared" si="2511"/>
        <v>0</v>
      </c>
    </row>
    <row r="1004" spans="1:52" ht="15" customHeight="1">
      <c r="A1004" s="725" t="str">
        <f>Kat.!C1001</f>
        <v>×</v>
      </c>
      <c r="B1004" s="726">
        <f>IF(AND('General price list'!$J1004="F4",$AI$1=FALSE),0,IF(AC1004="SKLADEM",1,IF(AC1004=$V$3,1,0)))</f>
        <v>1</v>
      </c>
      <c r="C1004" s="727" t="s">
        <v>1933</v>
      </c>
      <c r="D1004" s="728" t="s">
        <v>1231</v>
      </c>
      <c r="E1004" s="729" t="s">
        <v>1078</v>
      </c>
      <c r="F1004" s="725">
        <f>IFERROR(ROUND(IF($AL$3=2,VLOOKUP(C1004,[2]List1!$A:$D,2,FALSE)*1.08,VLOOKUP(C1004,[2]List1!$A:$D,2,FALSE)),0),"NEUVEDENO!")</f>
        <v>1600</v>
      </c>
      <c r="G1004" s="730">
        <f t="shared" si="2512"/>
        <v>1600</v>
      </c>
      <c r="H1004" s="731">
        <f t="shared" si="2513"/>
        <v>65.017127949644234</v>
      </c>
      <c r="I1004" s="732">
        <v>2</v>
      </c>
      <c r="J1004" s="729" t="s">
        <v>137</v>
      </c>
      <c r="K1004" s="729"/>
      <c r="L1004" s="729" t="s">
        <v>24</v>
      </c>
      <c r="M1004" s="729" t="s">
        <v>138</v>
      </c>
      <c r="N1004" s="729">
        <f>IFERROR(VLOOKUP(C1004,[3]List1!$A:$D,4,FALSE),"N/A!")</f>
        <v>5.6629124999999995E-2</v>
      </c>
      <c r="O1004" s="729">
        <f>IFERROR(VLOOKUP(C1004,[3]List1!$A:$D,3,FALSE),"N/A!")</f>
        <v>1900</v>
      </c>
      <c r="P1004" s="729">
        <f>IFERROR(VLOOKUP(C1004,[3]List1!$A:$D,2,FALSE),"N/A!")</f>
        <v>14100</v>
      </c>
      <c r="Q1004" s="729" t="s">
        <v>1810</v>
      </c>
      <c r="R1004" s="729" t="s">
        <v>24</v>
      </c>
      <c r="S1004" s="729" t="str">
        <f>IF($W$17=$AF$1,"design",IFERROR(VLOOKUP("design",Jazyky_ceník!$A:$Q,MATCH($W$17,Jazyky_ceník!$A$1:$Q$1,0),FALSE),"!!!"))</f>
        <v>design</v>
      </c>
      <c r="T1004" s="729">
        <v>10</v>
      </c>
      <c r="U1004" s="729">
        <v>40</v>
      </c>
      <c r="V1004" s="729">
        <v>30</v>
      </c>
      <c r="W1004" s="729" t="str">
        <f>IFERROR(VLOOKUP('General price list'!$C1004,Popisy!A:P,MATCH($W$17,Popisy!$A$7:$P$7,0),FALSE),"---------------")</f>
        <v>gold glitter willow with blue bouquet</v>
      </c>
      <c r="X1004" s="729" t="str">
        <f t="shared" si="2514"/>
        <v/>
      </c>
      <c r="Y1004" s="729" t="str">
        <f t="shared" si="2515"/>
        <v/>
      </c>
      <c r="Z1004" s="729" t="str">
        <f>HYPERLINK("https://www.klasekpyrotechnics.cz/cs503x37")</f>
        <v>https://www.klasekpyrotechnics.cz/cs503x37</v>
      </c>
      <c r="AA1004" s="729">
        <f>IFERROR(IF(VLOOKUP(C1004,[4]List1!$A:$D,4,FALSE)=0,"",VLOOKUP(C1004,[4]List1!$A:$D,4,FALSE)),"")</f>
        <v>28</v>
      </c>
      <c r="AB1004" s="720"/>
      <c r="AC1004" s="733" t="str">
        <f>IFERROR(IF(VLOOKUP(C1004,[1]List1!$A:$D,2,FALSE)="VYPRODÁNO",$V$9,IF(VLOOKUP(C1004,[1]List1!$A:$D,2,FALSE)="DOCHÁZÍ",$V$3,VLOOKUP(C1004,[1]List1!$A:$D,2,FALSE))),"OFFLINE!")</f>
        <v>DOCHÁZÍ</v>
      </c>
      <c r="AD1004" s="734" t="str">
        <f ca="1">IF(AP1004="NE",$V$10,IF(AC1004=$V$3,IF(AQ1004&lt;1,$V$8,$V$2&amp;" "&amp;AQ1004&amp;" "&amp;$V$1),IF(AC1004="SKLADEM",$V$6,IFERROR(IF(OR(AC1004-TODAY()&gt;45,VLOOKUP(C1004,[1]List1!$A:$E,4,FALSE)=0),AC1004,DAY(AC1004)&amp;"."&amp;MONTH(AC1004)&amp;"."&amp;YEAR(AC1004)&amp;" "&amp;$V$4&amp;VLOOKUP(C1004,[1]List1!$A:$E,4,FALSE)&amp;" "&amp;$V$1),AC1004))))</f>
        <v>POSLEDNÍCH 5 VK</v>
      </c>
      <c r="AE1004" s="729" t="str">
        <f t="shared" ca="1" si="2516"/>
        <v>POSLEDNÍCH 5 VK</v>
      </c>
      <c r="AF1004" s="735">
        <f t="shared" si="2517"/>
        <v>0</v>
      </c>
      <c r="AG1004" s="735">
        <f t="shared" si="2518"/>
        <v>0</v>
      </c>
      <c r="AH1004" s="736">
        <f t="shared" si="2519"/>
        <v>0</v>
      </c>
      <c r="AI1004" s="729">
        <f t="shared" si="2520"/>
        <v>0</v>
      </c>
      <c r="AJ1004" s="729">
        <f t="shared" si="2521"/>
        <v>0</v>
      </c>
      <c r="AK1004" s="729" t="str">
        <f t="shared" si="2522"/>
        <v/>
      </c>
      <c r="AL1004" s="729">
        <f t="shared" si="2523"/>
        <v>0</v>
      </c>
      <c r="AM1004" s="729" t="str">
        <f t="shared" si="2524"/>
        <v/>
      </c>
      <c r="AN1004" s="729">
        <f t="shared" si="2525"/>
        <v>0</v>
      </c>
      <c r="AO1004" s="380"/>
      <c r="AP1004" s="322" t="str">
        <f t="shared" si="2504"/>
        <v/>
      </c>
      <c r="AQ1004" s="323">
        <f>IF(AC1004=$V$3,IF(VLOOKUP(C1004,[1]List1!$A:$E,5,FALSE)=0,1,VLOOKUP(C1004,[1]List1!$A:$E,5,FALSE)),"")</f>
        <v>5</v>
      </c>
      <c r="AR1004" s="304" t="str">
        <f t="shared" si="2505"/>
        <v/>
      </c>
      <c r="AS1004" s="423" t="str">
        <f t="shared" si="2506"/>
        <v/>
      </c>
      <c r="AT1004" s="304" t="str">
        <f t="shared" si="2507"/>
        <v/>
      </c>
      <c r="AU1004" s="342" t="e">
        <f t="shared" si="2508"/>
        <v>#N/A</v>
      </c>
      <c r="AV1004" s="304" t="e">
        <f t="shared" si="2509"/>
        <v>#N/A</v>
      </c>
      <c r="AX1004" s="304">
        <f>IF(AND('General price list'!$J1004="F4",'General price list'!$AB1004+0&gt;0),1,0)</f>
        <v>0</v>
      </c>
      <c r="AY1004" s="304">
        <f t="shared" si="2510"/>
        <v>1</v>
      </c>
      <c r="AZ1004" s="304">
        <f t="shared" si="2511"/>
        <v>0</v>
      </c>
    </row>
    <row r="1005" spans="1:52" ht="15" customHeight="1">
      <c r="A1005" s="712" t="str">
        <f>Kat.!C1002</f>
        <v/>
      </c>
      <c r="B1005" s="737">
        <f>IF(AND('General price list'!$J1005="F4",$AI$1=FALSE),0,IF(AC1005="SKLADEM",1,IF(AC1005=$V$3,1,0)))</f>
        <v>1</v>
      </c>
      <c r="C1005" s="714" t="s">
        <v>1935</v>
      </c>
      <c r="D1005" s="715" t="s">
        <v>1231</v>
      </c>
      <c r="E1005" s="716" t="s">
        <v>1078</v>
      </c>
      <c r="F1005" s="712">
        <f>IFERROR(ROUND(IF($AL$3=2,VLOOKUP(C1005,[2]List1!$A:$D,2,FALSE)*1.08,VLOOKUP(C1005,[2]List1!$A:$D,2,FALSE)),0),"NEUVEDENO!")</f>
        <v>1600</v>
      </c>
      <c r="G1005" s="717">
        <f t="shared" si="2512"/>
        <v>1600</v>
      </c>
      <c r="H1005" s="718">
        <f t="shared" si="2513"/>
        <v>65.017127949644234</v>
      </c>
      <c r="I1005" s="738">
        <v>2</v>
      </c>
      <c r="J1005" s="716" t="s">
        <v>137</v>
      </c>
      <c r="K1005" s="716"/>
      <c r="L1005" s="716"/>
      <c r="M1005" s="716" t="s">
        <v>138</v>
      </c>
      <c r="N1005" s="716">
        <f>IFERROR(VLOOKUP(C1005,[3]List1!$A:$D,4,FALSE),"N/A!")</f>
        <v>5.6629124999999995E-2</v>
      </c>
      <c r="O1005" s="716">
        <f>IFERROR(VLOOKUP(C1005,[3]List1!$A:$D,3,FALSE),"N/A!")</f>
        <v>1900</v>
      </c>
      <c r="P1005" s="716">
        <f>IFERROR(VLOOKUP(C1005,[3]List1!$A:$D,2,FALSE),"N/A!")</f>
        <v>14100</v>
      </c>
      <c r="Q1005" s="716" t="s">
        <v>1810</v>
      </c>
      <c r="R1005" s="716" t="s">
        <v>24</v>
      </c>
      <c r="S1005" s="716" t="str">
        <f>IF($W$17=$AF$1,"design",IFERROR(VLOOKUP("design",Jazyky_ceník!$A:$Q,MATCH($W$17,Jazyky_ceník!$A$1:$Q$1,0),FALSE),"!!!"))</f>
        <v>design</v>
      </c>
      <c r="T1005" s="716">
        <v>10</v>
      </c>
      <c r="U1005" s="716">
        <v>40</v>
      </c>
      <c r="V1005" s="716">
        <v>30</v>
      </c>
      <c r="W1005" s="716" t="str">
        <f>IFERROR(VLOOKUP('General price list'!$C1005,Popisy!A:P,MATCH($W$17,Popisy!$A$7:$P$7,0),FALSE),"---------------")</f>
        <v>brocade crown bouquet tup to brocade crown king</v>
      </c>
      <c r="X1005" s="716" t="str">
        <f t="shared" si="2514"/>
        <v/>
      </c>
      <c r="Y1005" s="716" t="str">
        <f t="shared" si="2515"/>
        <v/>
      </c>
      <c r="Z1005" s="716" t="str">
        <f>HYPERLINK("https://www.klasekpyrotechnics.cz/cs503x38")</f>
        <v>https://www.klasekpyrotechnics.cz/cs503x38</v>
      </c>
      <c r="AA1005" s="716">
        <f>IFERROR(IF(VLOOKUP(C1005,[4]List1!$A:$D,4,FALSE)=0,"",VLOOKUP(C1005,[4]List1!$A:$D,4,FALSE)),"")</f>
        <v>28</v>
      </c>
      <c r="AB1005" s="720"/>
      <c r="AC1005" s="739" t="str">
        <f>IFERROR(IF(VLOOKUP(C1005,[1]List1!$A:$D,2,FALSE)="VYPRODÁNO",$V$9,IF(VLOOKUP(C1005,[1]List1!$A:$D,2,FALSE)="DOCHÁZÍ",$V$3,VLOOKUP(C1005,[1]List1!$A:$D,2,FALSE))),"OFFLINE!")</f>
        <v>SKLADEM</v>
      </c>
      <c r="AD1005" s="740" t="str">
        <f ca="1">IF(AP1005="NE",$V$10,IF(AC1005=$V$3,IF(AQ1005&lt;1,$V$8,$V$2&amp;" "&amp;AQ1005&amp;" "&amp;$V$1),IF(AC1005="SKLADEM",$V$6,IFERROR(IF(OR(AC1005-TODAY()&gt;45,VLOOKUP(C1005,[1]List1!$A:$E,4,FALSE)=0),AC1005,DAY(AC1005)&amp;"."&amp;MONTH(AC1005)&amp;"."&amp;YEAR(AC1005)&amp;" "&amp;$V$4&amp;VLOOKUP(C1005,[1]List1!$A:$E,4,FALSE)&amp;" "&amp;$V$1),AC1005))))</f>
        <v>SKLADEM</v>
      </c>
      <c r="AE1005" s="716" t="str">
        <f t="shared" ca="1" si="2516"/>
        <v>SKLADEM</v>
      </c>
      <c r="AF1005" s="723">
        <f t="shared" si="2517"/>
        <v>0</v>
      </c>
      <c r="AG1005" s="723">
        <f t="shared" si="2518"/>
        <v>0</v>
      </c>
      <c r="AH1005" s="724">
        <f t="shared" si="2519"/>
        <v>0</v>
      </c>
      <c r="AI1005" s="716">
        <f t="shared" si="2520"/>
        <v>0</v>
      </c>
      <c r="AJ1005" s="716">
        <f t="shared" si="2521"/>
        <v>0</v>
      </c>
      <c r="AK1005" s="716" t="str">
        <f t="shared" si="2522"/>
        <v/>
      </c>
      <c r="AL1005" s="716">
        <f t="shared" si="2523"/>
        <v>0</v>
      </c>
      <c r="AM1005" s="716" t="str">
        <f t="shared" si="2524"/>
        <v/>
      </c>
      <c r="AN1005" s="716">
        <f t="shared" si="2525"/>
        <v>0</v>
      </c>
      <c r="AO1005" s="380"/>
      <c r="AP1005" s="322" t="str">
        <f t="shared" si="2504"/>
        <v/>
      </c>
      <c r="AQ1005" s="323" t="str">
        <f>IF(AC1005=$V$3,IF(VLOOKUP(C1005,[1]List1!$A:$E,5,FALSE)=0,1,VLOOKUP(C1005,[1]List1!$A:$E,5,FALSE)),"")</f>
        <v/>
      </c>
      <c r="AR1005" s="304" t="str">
        <f t="shared" si="2505"/>
        <v/>
      </c>
      <c r="AS1005" s="423" t="str">
        <f t="shared" si="2506"/>
        <v/>
      </c>
      <c r="AT1005" s="304" t="str">
        <f t="shared" si="2507"/>
        <v/>
      </c>
      <c r="AU1005" s="342" t="e">
        <f t="shared" si="2508"/>
        <v>#N/A</v>
      </c>
      <c r="AV1005" s="304" t="e">
        <f t="shared" si="2509"/>
        <v>#N/A</v>
      </c>
      <c r="AX1005" s="304">
        <f>IF(AND('General price list'!$J1005="F4",'General price list'!$AB1005+0&gt;0),1,0)</f>
        <v>0</v>
      </c>
      <c r="AY1005" s="304">
        <f t="shared" si="2510"/>
        <v>1</v>
      </c>
      <c r="AZ1005" s="304">
        <f t="shared" si="2511"/>
        <v>0</v>
      </c>
    </row>
    <row r="1006" spans="1:52" ht="15" customHeight="1">
      <c r="A1006" s="725" t="str">
        <f>Kat.!C1003</f>
        <v>×</v>
      </c>
      <c r="B1006" s="726">
        <f>IF(AND('General price list'!$J1006="F4",$AI$1=FALSE),0,IF(AC1006="SKLADEM",1,IF(AC1006=$V$3,1,0)))</f>
        <v>1</v>
      </c>
      <c r="C1006" s="727" t="s">
        <v>1937</v>
      </c>
      <c r="D1006" s="728" t="s">
        <v>1231</v>
      </c>
      <c r="E1006" s="729" t="s">
        <v>1078</v>
      </c>
      <c r="F1006" s="725">
        <f>IFERROR(ROUND(IF($AL$3=2,VLOOKUP(C1006,[2]List1!$A:$D,2,FALSE)*1.08,VLOOKUP(C1006,[2]List1!$A:$D,2,FALSE)),0),"NEUVEDENO!")</f>
        <v>1600</v>
      </c>
      <c r="G1006" s="730">
        <f t="shared" si="2512"/>
        <v>1600</v>
      </c>
      <c r="H1006" s="731">
        <f t="shared" si="2513"/>
        <v>65.017127949644234</v>
      </c>
      <c r="I1006" s="732">
        <v>2</v>
      </c>
      <c r="J1006" s="729" t="s">
        <v>137</v>
      </c>
      <c r="K1006" s="729"/>
      <c r="L1006" s="729" t="s">
        <v>24</v>
      </c>
      <c r="M1006" s="729" t="s">
        <v>25</v>
      </c>
      <c r="N1006" s="729">
        <f>IFERROR(VLOOKUP(C1006,[3]List1!$A:$D,4,FALSE),"N/A!")</f>
        <v>5.6629124999999995E-2</v>
      </c>
      <c r="O1006" s="729">
        <f>IFERROR(VLOOKUP(C1006,[3]List1!$A:$D,3,FALSE),"N/A!")</f>
        <v>1900</v>
      </c>
      <c r="P1006" s="729">
        <f>IFERROR(VLOOKUP(C1006,[3]List1!$A:$D,2,FALSE),"N/A!")</f>
        <v>12000</v>
      </c>
      <c r="Q1006" s="729" t="s">
        <v>1810</v>
      </c>
      <c r="R1006" s="729" t="s">
        <v>24</v>
      </c>
      <c r="S1006" s="729" t="str">
        <f>IF($W$17=$AF$1,"design",IFERROR(VLOOKUP("design",Jazyky_ceník!$A:$Q,MATCH($W$17,Jazyky_ceník!$A$1:$Q$1,0),FALSE),"!!!"))</f>
        <v>design</v>
      </c>
      <c r="T1006" s="729">
        <v>10</v>
      </c>
      <c r="U1006" s="729">
        <v>40</v>
      </c>
      <c r="V1006" s="729">
        <v>30</v>
      </c>
      <c r="W1006" s="729" t="str">
        <f>IFERROR(VLOOKUP('General price list'!$C1006,Popisy!A:P,MATCH($W$17,Popisy!$A$7:$P$7,0),FALSE),"---------------")</f>
        <v>golden brocade mine</v>
      </c>
      <c r="X1006" s="729" t="str">
        <f t="shared" si="2514"/>
        <v/>
      </c>
      <c r="Y1006" s="729" t="str">
        <f t="shared" si="2515"/>
        <v/>
      </c>
      <c r="Z1006" s="729" t="str">
        <f>HYPERLINK("https://www.klasekpyrotechnics.cz/cs503x55")</f>
        <v>https://www.klasekpyrotechnics.cz/cs503x55</v>
      </c>
      <c r="AA1006" s="729">
        <f>IFERROR(IF(VLOOKUP(C1006,[4]List1!$A:$D,4,FALSE)=0,"",VLOOKUP(C1006,[4]List1!$A:$D,4,FALSE)),"")</f>
        <v>28</v>
      </c>
      <c r="AB1006" s="720"/>
      <c r="AC1006" s="733" t="str">
        <f>IFERROR(IF(VLOOKUP(C1006,[1]List1!$A:$D,2,FALSE)="VYPRODÁNO",$V$9,IF(VLOOKUP(C1006,[1]List1!$A:$D,2,FALSE)="DOCHÁZÍ",$V$3,VLOOKUP(C1006,[1]List1!$A:$D,2,FALSE))),"OFFLINE!")</f>
        <v>SKLADEM</v>
      </c>
      <c r="AD1006" s="734" t="str">
        <f ca="1">IF(AP1006="NE",$V$10,IF(AC1006=$V$3,IF(AQ1006&lt;1,$V$8,$V$2&amp;" "&amp;AQ1006&amp;" "&amp;$V$1),IF(AC1006="SKLADEM",$V$6,IFERROR(IF(OR(AC1006-TODAY()&gt;45,VLOOKUP(C1006,[1]List1!$A:$E,4,FALSE)=0),AC1006,DAY(AC1006)&amp;"."&amp;MONTH(AC1006)&amp;"."&amp;YEAR(AC1006)&amp;" "&amp;$V$4&amp;VLOOKUP(C1006,[1]List1!$A:$E,4,FALSE)&amp;" "&amp;$V$1),AC1006))))</f>
        <v>SKLADEM</v>
      </c>
      <c r="AE1006" s="729" t="str">
        <f t="shared" ca="1" si="2516"/>
        <v>SKLADEM</v>
      </c>
      <c r="AF1006" s="735">
        <f t="shared" si="2517"/>
        <v>0</v>
      </c>
      <c r="AG1006" s="735">
        <f t="shared" si="2518"/>
        <v>0</v>
      </c>
      <c r="AH1006" s="736">
        <f t="shared" si="2519"/>
        <v>0</v>
      </c>
      <c r="AI1006" s="729">
        <f t="shared" si="2520"/>
        <v>0</v>
      </c>
      <c r="AJ1006" s="729">
        <f t="shared" si="2521"/>
        <v>0</v>
      </c>
      <c r="AK1006" s="729" t="str">
        <f t="shared" si="2522"/>
        <v/>
      </c>
      <c r="AL1006" s="729" t="str">
        <f t="shared" si="2523"/>
        <v/>
      </c>
      <c r="AM1006" s="729">
        <f t="shared" si="2524"/>
        <v>0</v>
      </c>
      <c r="AN1006" s="729">
        <f t="shared" si="2525"/>
        <v>0</v>
      </c>
      <c r="AO1006" s="380"/>
      <c r="AP1006" s="322" t="str">
        <f t="shared" si="2504"/>
        <v/>
      </c>
      <c r="AQ1006" s="323" t="str">
        <f>IF(AC1006=$V$3,IF(VLOOKUP(C1006,[1]List1!$A:$E,5,FALSE)=0,1,VLOOKUP(C1006,[1]List1!$A:$E,5,FALSE)),"")</f>
        <v/>
      </c>
      <c r="AR1006" s="304" t="str">
        <f t="shared" si="2505"/>
        <v/>
      </c>
      <c r="AS1006" s="423" t="str">
        <f t="shared" si="2506"/>
        <v/>
      </c>
      <c r="AT1006" s="304" t="str">
        <f t="shared" si="2507"/>
        <v/>
      </c>
      <c r="AU1006" s="342" t="e">
        <f t="shared" si="2508"/>
        <v>#N/A</v>
      </c>
      <c r="AV1006" s="304" t="e">
        <f t="shared" si="2509"/>
        <v>#N/A</v>
      </c>
      <c r="AX1006" s="304">
        <f>IF(AND('General price list'!$J1006="F4",'General price list'!$AB1006+0&gt;0),1,0)</f>
        <v>0</v>
      </c>
      <c r="AY1006" s="304">
        <f t="shared" si="2510"/>
        <v>1</v>
      </c>
      <c r="AZ1006" s="304">
        <f t="shared" si="2511"/>
        <v>0</v>
      </c>
    </row>
    <row r="1007" spans="1:52" ht="15" customHeight="1">
      <c r="A1007" s="773" t="str">
        <f>Kat.!C1004</f>
        <v xml:space="preserve">                                                               Baterie 50ran, 30mm V moždíř</v>
      </c>
      <c r="B1007" s="774"/>
      <c r="C1007" s="774"/>
      <c r="D1007" s="774"/>
      <c r="E1007" s="774"/>
      <c r="F1007" s="774"/>
      <c r="G1007" s="774"/>
      <c r="H1007" s="774"/>
      <c r="I1007" s="774"/>
      <c r="J1007" s="774"/>
      <c r="K1007" s="774"/>
      <c r="L1007" s="774"/>
      <c r="M1007" s="774"/>
      <c r="N1007" s="774"/>
      <c r="O1007" s="774"/>
      <c r="P1007" s="774"/>
      <c r="Q1007" s="774"/>
      <c r="R1007" s="774"/>
      <c r="S1007" s="774"/>
      <c r="T1007" s="774"/>
      <c r="U1007" s="774"/>
      <c r="V1007" s="774"/>
      <c r="W1007" s="774"/>
      <c r="X1007" s="774"/>
      <c r="Y1007" s="774"/>
      <c r="Z1007" s="774"/>
      <c r="AA1007" s="774" t="str">
        <f>IFERROR(IF(VLOOKUP(C1007,[4]List1!$A:$D,4,FALSE)=0,"",VLOOKUP(C1007,[4]List1!$A:$D,4,FALSE)),"")</f>
        <v/>
      </c>
      <c r="AB1007" s="774"/>
      <c r="AC1007" s="775" t="str">
        <f>IFERROR(IF(VLOOKUP(C1007,[1]List1!$A:$D,2,FALSE)="VYPRODÁNO",$V$9,IF(VLOOKUP(C1007,[1]List1!$A:$D,2,FALSE)="DOCHÁZÍ",$V$3,VLOOKUP(C1007,[1]List1!$A:$D,2,FALSE))),"OFFLINE!")</f>
        <v>OFFLINE!</v>
      </c>
      <c r="AD1007" s="774"/>
      <c r="AE1007" s="774"/>
      <c r="AF1007" s="774"/>
      <c r="AG1007" s="774"/>
      <c r="AH1007" s="774"/>
      <c r="AI1007" s="774"/>
      <c r="AJ1007" s="774"/>
      <c r="AK1007" s="774"/>
      <c r="AL1007" s="774"/>
      <c r="AM1007" s="774"/>
      <c r="AN1007" s="774"/>
      <c r="AO1007" s="380"/>
      <c r="AP1007" s="322" t="str">
        <f t="shared" si="2504"/>
        <v/>
      </c>
      <c r="AQ1007" s="323" t="str">
        <f>IF(AC1007=$V$3,IF(VLOOKUP(C1007,[1]List1!$A:$E,5,FALSE)=0,1,VLOOKUP(C1007,[1]List1!$A:$E,5,FALSE)),"")</f>
        <v/>
      </c>
      <c r="AR1007" s="304" t="str">
        <f t="shared" si="2505"/>
        <v/>
      </c>
      <c r="AS1007" s="423" t="str">
        <f t="shared" si="2506"/>
        <v/>
      </c>
      <c r="AT1007" s="304" t="str">
        <f t="shared" si="2507"/>
        <v/>
      </c>
      <c r="AU1007" s="342" t="e">
        <f t="shared" si="2508"/>
        <v>#N/A</v>
      </c>
      <c r="AV1007" s="304" t="e">
        <f t="shared" si="2509"/>
        <v>#N/A</v>
      </c>
      <c r="AX1007" s="304">
        <f>IF(AND('General price list'!$J1007="F4",'General price list'!$AB1007+0&gt;0),1,0)</f>
        <v>0</v>
      </c>
      <c r="AY1007" s="304">
        <f t="shared" si="2510"/>
        <v>0</v>
      </c>
      <c r="AZ1007" s="304">
        <f t="shared" si="2511"/>
        <v>0</v>
      </c>
    </row>
    <row r="1008" spans="1:52" ht="15" customHeight="1">
      <c r="A1008" s="725" t="str">
        <f>Kat.!C1005</f>
        <v>×</v>
      </c>
      <c r="B1008" s="741">
        <f>IF(AND('General price list'!$J1008="F4",$AI$1=FALSE),0,IF(AC1008="SKLADEM",1,IF(AC1008=$V$3,1,0)))</f>
        <v>1</v>
      </c>
      <c r="C1008" s="727" t="s">
        <v>1941</v>
      </c>
      <c r="D1008" s="728" t="s">
        <v>1231</v>
      </c>
      <c r="E1008" s="729" t="s">
        <v>1078</v>
      </c>
      <c r="F1008" s="725">
        <f>IFERROR(ROUND(IF($AL$3=2,VLOOKUP(C1008,[2]List1!$A:$D,2,FALSE)*1.08,VLOOKUP(C1008,[2]List1!$A:$D,2,FALSE)),0),"NEUVEDENO!")</f>
        <v>1300</v>
      </c>
      <c r="G1008" s="730">
        <f t="shared" ref="G1008:G1010" si="2526">(F1008)*$B$19</f>
        <v>1300</v>
      </c>
      <c r="H1008" s="731">
        <f t="shared" ref="H1008:H1010" si="2527">G1008/$F$19</f>
        <v>52.826416459085941</v>
      </c>
      <c r="I1008" s="742">
        <v>2</v>
      </c>
      <c r="J1008" s="729" t="s">
        <v>137</v>
      </c>
      <c r="K1008" s="729" t="s">
        <v>12771</v>
      </c>
      <c r="L1008" s="729" t="s">
        <v>24</v>
      </c>
      <c r="M1008" s="729" t="s">
        <v>25</v>
      </c>
      <c r="N1008" s="729">
        <f>IFERROR(VLOOKUP(C1008,[3]List1!$A:$D,4,FALSE),"N/A!")</f>
        <v>5.6629124999999995E-2</v>
      </c>
      <c r="O1008" s="729">
        <f>IFERROR(VLOOKUP(C1008,[3]List1!$A:$D,3,FALSE),"N/A!")</f>
        <v>1900</v>
      </c>
      <c r="P1008" s="729">
        <f>IFERROR(VLOOKUP(C1008,[3]List1!$A:$D,2,FALSE),"N/A!")</f>
        <v>14700</v>
      </c>
      <c r="Q1008" s="729" t="s">
        <v>1810</v>
      </c>
      <c r="R1008" s="729" t="s">
        <v>24</v>
      </c>
      <c r="S1008" s="729" t="str">
        <f>IF($W$17=$AF$1,"design",IFERROR(VLOOKUP("design",Jazyky_ceník!$A:$Q,MATCH($W$17,Jazyky_ceník!$A$1:$Q$1,0),FALSE),"!!!"))</f>
        <v>design</v>
      </c>
      <c r="T1008" s="729">
        <v>10</v>
      </c>
      <c r="U1008" s="729">
        <v>40</v>
      </c>
      <c r="V1008" s="729">
        <v>30</v>
      </c>
      <c r="W1008" s="729" t="str">
        <f>IFERROR(VLOOKUP('General price list'!$C1008,Popisy!A:P,MATCH($W$17,Popisy!$A$7:$P$7,0),FALSE),"---------------")</f>
        <v xml:space="preserve">blue pistil silver fish </v>
      </c>
      <c r="X1008" s="729" t="str">
        <f t="shared" ref="X1008:X1010" si="2528">IF(AB1008&lt;0.0001,"",AB1008)</f>
        <v/>
      </c>
      <c r="Y1008" s="729" t="str">
        <f t="shared" ref="Y1008:Y1010" si="2529">IF($AL$3=2,IF(OR(AB1008&lt;&gt;"",AB1008&lt;&gt;0),AU1008,""),IF(C1008="","",IF(AB1008&lt;0.0001,"",IF(B1008=0,"",IF(AQ1008&lt;AB1008,"",AB1008)))))</f>
        <v/>
      </c>
      <c r="Z1008" s="729" t="str">
        <f>HYPERLINK("https://www.klasekpyrotechnics.cz/cv503x41")</f>
        <v>https://www.klasekpyrotechnics.cz/cv503x41</v>
      </c>
      <c r="AA1008" s="729">
        <f>IFERROR(IF(VLOOKUP(C1008,[4]List1!$A:$D,4,FALSE)=0,"",VLOOKUP(C1008,[4]List1!$A:$D,4,FALSE)),"")</f>
        <v>28</v>
      </c>
      <c r="AB1008" s="720"/>
      <c r="AC1008" s="743" t="str">
        <f>IFERROR(IF(VLOOKUP(C1008,[1]List1!$A:$D,2,FALSE)="VYPRODÁNO",$V$9,IF(VLOOKUP(C1008,[1]List1!$A:$D,2,FALSE)="DOCHÁZÍ",$V$3,VLOOKUP(C1008,[1]List1!$A:$D,2,FALSE))),"OFFLINE!")</f>
        <v>SKLADEM</v>
      </c>
      <c r="AD1008" s="744" t="str">
        <f ca="1">IF(AP1008="NE",$V$10,IF(AC1008=$V$3,IF(AQ1008&lt;1,$V$8,$V$2&amp;" "&amp;AQ1008&amp;" "&amp;$V$1),IF(AC1008="SKLADEM",$V$6,IFERROR(IF(OR(AC1008-TODAY()&gt;45,VLOOKUP(C1008,[1]List1!$A:$E,4,FALSE)=0),AC1008,DAY(AC1008)&amp;"."&amp;MONTH(AC1008)&amp;"."&amp;YEAR(AC1008)&amp;" "&amp;$V$4&amp;VLOOKUP(C1008,[1]List1!$A:$E,4,FALSE)&amp;" "&amp;$V$1),AC1008))))</f>
        <v>SKLADEM</v>
      </c>
      <c r="AE1008" s="729" t="str">
        <f t="shared" ref="AE1008:AE1010" ca="1" si="2530">IFERROR(IF(AV1008&lt;&gt;"",AV1008,AD1008),AD1008)</f>
        <v>SKLADEM</v>
      </c>
      <c r="AF1008" s="735">
        <f t="shared" ref="AF1008:AF1010" si="2531">IFERROR(IF(AB1008=Y1008,G1008*I1008*Y1008,0),0)</f>
        <v>0</v>
      </c>
      <c r="AG1008" s="735">
        <f t="shared" ref="AG1008:AG1010" si="2532">IF($W$17=$AF$8,AH1008*1.23,AF1008*1.21)</f>
        <v>0</v>
      </c>
      <c r="AH1008" s="736">
        <f t="shared" ref="AH1008:AH1010" si="2533">IFERROR(IF(Y1008=AB1008,H1008*I1008*Y1008,0),0)</f>
        <v>0</v>
      </c>
      <c r="AI1008" s="729">
        <f t="shared" ref="AI1008:AI1010" si="2534">IFERROR(IF(Y1008=AB1008,(P1008*Y1008)/1000,1),0)</f>
        <v>0</v>
      </c>
      <c r="AJ1008" s="729">
        <f t="shared" ref="AJ1008:AJ1010" si="2535">IFERROR(IF(Y1008=AB1008,N1008*Y1008,0.1),0)</f>
        <v>0</v>
      </c>
      <c r="AK1008" s="729" t="str">
        <f t="shared" ref="AK1008:AK1010" si="2536">IFERROR(IF(Y1008=AB1008,IF(M1008="1.1G",(O1008/1000)*Y1008,""),""),0)</f>
        <v/>
      </c>
      <c r="AL1008" s="729" t="str">
        <f t="shared" ref="AL1008:AL1010" si="2537">IFERROR(IF(Y1008=AB1008,IF(M1008="1.3G",(O1008/1000)*AB1008,""),""),0)</f>
        <v/>
      </c>
      <c r="AM1008" s="729">
        <f t="shared" ref="AM1008:AM1010" si="2538">IFERROR(IF(Y1008=AB1008,IF(M1008="1.4G",(O1008/1000)*AB1008,""),""),0)</f>
        <v>0</v>
      </c>
      <c r="AN1008" s="729">
        <f t="shared" ref="AN1008:AN1010" si="2539">SUM(AK1008:AM1008)</f>
        <v>0</v>
      </c>
      <c r="AO1008" s="380"/>
      <c r="AP1008" s="322" t="str">
        <f t="shared" si="2504"/>
        <v/>
      </c>
      <c r="AQ1008" s="323" t="str">
        <f>IF(AC1008=$V$3,IF(VLOOKUP(C1008,[1]List1!$A:$E,5,FALSE)=0,1,VLOOKUP(C1008,[1]List1!$A:$E,5,FALSE)),"")</f>
        <v/>
      </c>
      <c r="AR1008" s="304" t="str">
        <f t="shared" si="2505"/>
        <v/>
      </c>
      <c r="AS1008" s="423" t="str">
        <f t="shared" si="2506"/>
        <v/>
      </c>
      <c r="AT1008" s="304" t="str">
        <f t="shared" si="2507"/>
        <v/>
      </c>
      <c r="AU1008" s="342" t="e">
        <f t="shared" si="2508"/>
        <v>#N/A</v>
      </c>
      <c r="AV1008" s="304" t="e">
        <f t="shared" si="2509"/>
        <v>#N/A</v>
      </c>
      <c r="AX1008" s="304">
        <f>IF(AND('General price list'!$J1008="F4",'General price list'!$AB1008+0&gt;0),1,0)</f>
        <v>0</v>
      </c>
      <c r="AY1008" s="304">
        <f t="shared" si="2510"/>
        <v>1</v>
      </c>
      <c r="AZ1008" s="304">
        <f t="shared" si="2511"/>
        <v>0</v>
      </c>
    </row>
    <row r="1009" spans="1:52" ht="15" customHeight="1">
      <c r="A1009" s="712" t="str">
        <f>Kat.!C1006</f>
        <v>×</v>
      </c>
      <c r="B1009" s="745">
        <f>IF(AND('General price list'!$J1009="F4",$AI$1=FALSE),0,IF(AC1009="SKLADEM",1,IF(AC1009=$V$3,1,0)))</f>
        <v>1</v>
      </c>
      <c r="C1009" s="714" t="s">
        <v>1947</v>
      </c>
      <c r="D1009" s="715" t="s">
        <v>1231</v>
      </c>
      <c r="E1009" s="716" t="s">
        <v>1078</v>
      </c>
      <c r="F1009" s="712">
        <f>IFERROR(ROUND(IF($AL$3=2,VLOOKUP(C1009,[2]List1!$A:$D,2,FALSE)*1.08,VLOOKUP(C1009,[2]List1!$A:$D,2,FALSE)),0),"NEUVEDENO!")</f>
        <v>1300</v>
      </c>
      <c r="G1009" s="717">
        <f t="shared" si="2526"/>
        <v>1300</v>
      </c>
      <c r="H1009" s="718">
        <f t="shared" si="2527"/>
        <v>52.826416459085941</v>
      </c>
      <c r="I1009" s="746">
        <v>2</v>
      </c>
      <c r="J1009" s="716" t="s">
        <v>137</v>
      </c>
      <c r="K1009" s="716" t="s">
        <v>12771</v>
      </c>
      <c r="L1009" s="716" t="s">
        <v>24</v>
      </c>
      <c r="M1009" s="716" t="s">
        <v>25</v>
      </c>
      <c r="N1009" s="716">
        <f>IFERROR(VLOOKUP(C1009,[3]List1!$A:$D,4,FALSE),"N/A!")</f>
        <v>5.6629124999999995E-2</v>
      </c>
      <c r="O1009" s="716">
        <f>IFERROR(VLOOKUP(C1009,[3]List1!$A:$D,3,FALSE),"N/A!")</f>
        <v>1900</v>
      </c>
      <c r="P1009" s="716">
        <f>IFERROR(VLOOKUP(C1009,[3]List1!$A:$D,2,FALSE),"N/A!")</f>
        <v>14500</v>
      </c>
      <c r="Q1009" s="716" t="s">
        <v>1810</v>
      </c>
      <c r="R1009" s="716" t="s">
        <v>24</v>
      </c>
      <c r="S1009" s="716" t="str">
        <f>IF($W$17=$AF$1,"design",IFERROR(VLOOKUP("design",Jazyky_ceník!$A:$Q,MATCH($W$17,Jazyky_ceník!$A$1:$Q$1,0),FALSE),"!!!"))</f>
        <v>design</v>
      </c>
      <c r="T1009" s="716">
        <v>13</v>
      </c>
      <c r="U1009" s="716">
        <v>40</v>
      </c>
      <c r="V1009" s="716">
        <v>30</v>
      </c>
      <c r="W1009" s="716" t="str">
        <f>IFERROR(VLOOKUP('General price list'!$C1009,Popisy!A:P,MATCH($W$17,Popisy!$A$7:$P$7,0),FALSE),"---------------")</f>
        <v xml:space="preserve">red wave tail </v>
      </c>
      <c r="X1009" s="716" t="str">
        <f t="shared" si="2528"/>
        <v/>
      </c>
      <c r="Y1009" s="716" t="str">
        <f t="shared" si="2529"/>
        <v/>
      </c>
      <c r="Z1009" s="716" t="str">
        <f>HYPERLINK("https://www.klasekpyrotechnics.cz/cv503x44")</f>
        <v>https://www.klasekpyrotechnics.cz/cv503x44</v>
      </c>
      <c r="AA1009" s="716">
        <f>IFERROR(IF(VLOOKUP(C1009,[4]List1!$A:$D,4,FALSE)=0,"",VLOOKUP(C1009,[4]List1!$A:$D,4,FALSE)),"")</f>
        <v>28</v>
      </c>
      <c r="AB1009" s="720"/>
      <c r="AC1009" s="747" t="str">
        <f>IFERROR(IF(VLOOKUP(C1009,[1]List1!$A:$D,2,FALSE)="VYPRODÁNO",$V$9,IF(VLOOKUP(C1009,[1]List1!$A:$D,2,FALSE)="DOCHÁZÍ",$V$3,VLOOKUP(C1009,[1]List1!$A:$D,2,FALSE))),"OFFLINE!")</f>
        <v>SKLADEM</v>
      </c>
      <c r="AD1009" s="748" t="str">
        <f ca="1">IF(AP1009="NE",$V$10,IF(AC1009=$V$3,IF(AQ1009&lt;1,$V$8,$V$2&amp;" "&amp;AQ1009&amp;" "&amp;$V$1),IF(AC1009="SKLADEM",$V$6,IFERROR(IF(OR(AC1009-TODAY()&gt;45,VLOOKUP(C1009,[1]List1!$A:$E,4,FALSE)=0),AC1009,DAY(AC1009)&amp;"."&amp;MONTH(AC1009)&amp;"."&amp;YEAR(AC1009)&amp;" "&amp;$V$4&amp;VLOOKUP(C1009,[1]List1!$A:$E,4,FALSE)&amp;" "&amp;$V$1),AC1009))))</f>
        <v>SKLADEM</v>
      </c>
      <c r="AE1009" s="716" t="str">
        <f t="shared" ca="1" si="2530"/>
        <v>SKLADEM</v>
      </c>
      <c r="AF1009" s="723">
        <f t="shared" si="2531"/>
        <v>0</v>
      </c>
      <c r="AG1009" s="723">
        <f t="shared" si="2532"/>
        <v>0</v>
      </c>
      <c r="AH1009" s="724">
        <f t="shared" si="2533"/>
        <v>0</v>
      </c>
      <c r="AI1009" s="716">
        <f t="shared" si="2534"/>
        <v>0</v>
      </c>
      <c r="AJ1009" s="716">
        <f t="shared" si="2535"/>
        <v>0</v>
      </c>
      <c r="AK1009" s="716" t="str">
        <f t="shared" si="2536"/>
        <v/>
      </c>
      <c r="AL1009" s="716" t="str">
        <f t="shared" si="2537"/>
        <v/>
      </c>
      <c r="AM1009" s="716">
        <f t="shared" si="2538"/>
        <v>0</v>
      </c>
      <c r="AN1009" s="716">
        <f t="shared" si="2539"/>
        <v>0</v>
      </c>
      <c r="AO1009" s="380"/>
      <c r="AP1009" s="322" t="str">
        <f t="shared" si="2504"/>
        <v/>
      </c>
      <c r="AQ1009" s="323" t="str">
        <f>IF(AC1009=$V$3,IF(VLOOKUP(C1009,[1]List1!$A:$E,5,FALSE)=0,1,VLOOKUP(C1009,[1]List1!$A:$E,5,FALSE)),"")</f>
        <v/>
      </c>
      <c r="AR1009" s="304" t="str">
        <f t="shared" si="2505"/>
        <v/>
      </c>
      <c r="AS1009" s="423" t="str">
        <f t="shared" si="2506"/>
        <v/>
      </c>
      <c r="AT1009" s="304" t="str">
        <f t="shared" si="2507"/>
        <v/>
      </c>
      <c r="AU1009" s="342" t="e">
        <f t="shared" si="2508"/>
        <v>#N/A</v>
      </c>
      <c r="AV1009" s="304" t="e">
        <f t="shared" si="2509"/>
        <v>#N/A</v>
      </c>
      <c r="AX1009" s="304">
        <f>IF(AND('General price list'!$J1009="F4",'General price list'!$AB1009+0&gt;0),1,0)</f>
        <v>0</v>
      </c>
      <c r="AY1009" s="304">
        <f t="shared" si="2510"/>
        <v>1</v>
      </c>
      <c r="AZ1009" s="304">
        <f t="shared" si="2511"/>
        <v>0</v>
      </c>
    </row>
    <row r="1010" spans="1:52" ht="15" customHeight="1">
      <c r="A1010" s="725" t="str">
        <f>Kat.!C1007</f>
        <v>×</v>
      </c>
      <c r="B1010" s="749">
        <f>IF(AND('General price list'!$J1010="F4",$AI$1=FALSE),0,IF(AC1010="SKLADEM",1,IF(AC1010=$V$3,1,0)))</f>
        <v>1</v>
      </c>
      <c r="C1010" s="727" t="s">
        <v>1949</v>
      </c>
      <c r="D1010" s="728" t="s">
        <v>1231</v>
      </c>
      <c r="E1010" s="729" t="s">
        <v>1078</v>
      </c>
      <c r="F1010" s="725">
        <f>IFERROR(ROUND(IF($AL$3=2,VLOOKUP(C1010,[2]List1!$A:$D,2,FALSE)*1.08,VLOOKUP(C1010,[2]List1!$A:$D,2,FALSE)),0),"NEUVEDENO!")</f>
        <v>1300</v>
      </c>
      <c r="G1010" s="730">
        <f t="shared" si="2526"/>
        <v>1300</v>
      </c>
      <c r="H1010" s="731">
        <f t="shared" si="2527"/>
        <v>52.826416459085941</v>
      </c>
      <c r="I1010" s="750">
        <v>2</v>
      </c>
      <c r="J1010" s="729" t="s">
        <v>137</v>
      </c>
      <c r="K1010" s="729" t="s">
        <v>12771</v>
      </c>
      <c r="L1010" s="729" t="s">
        <v>24</v>
      </c>
      <c r="M1010" s="729" t="s">
        <v>138</v>
      </c>
      <c r="N1010" s="729">
        <f>IFERROR(VLOOKUP(C1010,[3]List1!$A:$D,4,FALSE),"N/A!")</f>
        <v>5.6629124999999995E-2</v>
      </c>
      <c r="O1010" s="729">
        <f>IFERROR(VLOOKUP(C1010,[3]List1!$A:$D,3,FALSE),"N/A!")</f>
        <v>1900</v>
      </c>
      <c r="P1010" s="729">
        <f>IFERROR(VLOOKUP(C1010,[3]List1!$A:$D,2,FALSE),"N/A!")</f>
        <v>14500</v>
      </c>
      <c r="Q1010" s="729" t="s">
        <v>1810</v>
      </c>
      <c r="R1010" s="729" t="s">
        <v>24</v>
      </c>
      <c r="S1010" s="729" t="str">
        <f>IF($W$17=$AF$1,"design",IFERROR(VLOOKUP("design",Jazyky_ceník!$A:$Q,MATCH($W$17,Jazyky_ceník!$A$1:$Q$1,0),FALSE),"!!!"))</f>
        <v>design</v>
      </c>
      <c r="T1010" s="729">
        <v>13</v>
      </c>
      <c r="U1010" s="729">
        <v>40</v>
      </c>
      <c r="V1010" s="729">
        <v>30</v>
      </c>
      <c r="W1010" s="729" t="str">
        <f>IFERROR(VLOOKUP('General price list'!$C1010,Popisy!A:P,MATCH($W$17,Popisy!$A$7:$P$7,0),FALSE),"---------------")</f>
        <v>lemon tail+lemon coconut+silver chrys.</v>
      </c>
      <c r="X1010" s="729" t="str">
        <f t="shared" si="2528"/>
        <v/>
      </c>
      <c r="Y1010" s="729" t="str">
        <f t="shared" si="2529"/>
        <v/>
      </c>
      <c r="Z1010" s="729" t="str">
        <f>HYPERLINK("https://www.klasekpyrotechnics.cz/cv503x45")</f>
        <v>https://www.klasekpyrotechnics.cz/cv503x45</v>
      </c>
      <c r="AA1010" s="729">
        <f>IFERROR(IF(VLOOKUP(C1010,[4]List1!$A:$D,4,FALSE)=0,"",VLOOKUP(C1010,[4]List1!$A:$D,4,FALSE)),"")</f>
        <v>28</v>
      </c>
      <c r="AB1010" s="720"/>
      <c r="AC1010" s="751" t="str">
        <f>IFERROR(IF(VLOOKUP(C1010,[1]List1!$A:$D,2,FALSE)="VYPRODÁNO",$V$9,IF(VLOOKUP(C1010,[1]List1!$A:$D,2,FALSE)="DOCHÁZÍ",$V$3,VLOOKUP(C1010,[1]List1!$A:$D,2,FALSE))),"OFFLINE!")</f>
        <v>SKLADEM</v>
      </c>
      <c r="AD1010" s="752" t="str">
        <f ca="1">IF(AP1010="NE",$V$10,IF(AC1010=$V$3,IF(AQ1010&lt;1,$V$8,$V$2&amp;" "&amp;AQ1010&amp;" "&amp;$V$1),IF(AC1010="SKLADEM",$V$6,IFERROR(IF(OR(AC1010-TODAY()&gt;45,VLOOKUP(C1010,[1]List1!$A:$E,4,FALSE)=0),AC1010,DAY(AC1010)&amp;"."&amp;MONTH(AC1010)&amp;"."&amp;YEAR(AC1010)&amp;" "&amp;$V$4&amp;VLOOKUP(C1010,[1]List1!$A:$E,4,FALSE)&amp;" "&amp;$V$1),AC1010))))</f>
        <v>SKLADEM</v>
      </c>
      <c r="AE1010" s="729" t="str">
        <f t="shared" ca="1" si="2530"/>
        <v>SKLADEM</v>
      </c>
      <c r="AF1010" s="735">
        <f t="shared" si="2531"/>
        <v>0</v>
      </c>
      <c r="AG1010" s="735">
        <f t="shared" si="2532"/>
        <v>0</v>
      </c>
      <c r="AH1010" s="736">
        <f t="shared" si="2533"/>
        <v>0</v>
      </c>
      <c r="AI1010" s="729">
        <f t="shared" si="2534"/>
        <v>0</v>
      </c>
      <c r="AJ1010" s="729">
        <f t="shared" si="2535"/>
        <v>0</v>
      </c>
      <c r="AK1010" s="729" t="str">
        <f t="shared" si="2536"/>
        <v/>
      </c>
      <c r="AL1010" s="729">
        <f t="shared" si="2537"/>
        <v>0</v>
      </c>
      <c r="AM1010" s="729" t="str">
        <f t="shared" si="2538"/>
        <v/>
      </c>
      <c r="AN1010" s="729">
        <f t="shared" si="2539"/>
        <v>0</v>
      </c>
      <c r="AO1010" s="380"/>
      <c r="AP1010" s="322" t="str">
        <f t="shared" si="2504"/>
        <v/>
      </c>
      <c r="AQ1010" s="323" t="str">
        <f>IF(AC1010=$V$3,IF(VLOOKUP(C1010,[1]List1!$A:$E,5,FALSE)=0,1,VLOOKUP(C1010,[1]List1!$A:$E,5,FALSE)),"")</f>
        <v/>
      </c>
      <c r="AR1010" s="304" t="str">
        <f t="shared" si="2505"/>
        <v/>
      </c>
      <c r="AS1010" s="423" t="str">
        <f t="shared" si="2506"/>
        <v/>
      </c>
      <c r="AT1010" s="304" t="str">
        <f t="shared" si="2507"/>
        <v/>
      </c>
      <c r="AU1010" s="342" t="e">
        <f t="shared" si="2508"/>
        <v>#N/A</v>
      </c>
      <c r="AV1010" s="304" t="e">
        <f t="shared" si="2509"/>
        <v>#N/A</v>
      </c>
      <c r="AX1010" s="304">
        <f>IF(AND('General price list'!$J1010="F4",'General price list'!$AB1010+0&gt;0),1,0)</f>
        <v>0</v>
      </c>
      <c r="AY1010" s="304">
        <f t="shared" si="2510"/>
        <v>1</v>
      </c>
      <c r="AZ1010" s="304">
        <f t="shared" si="2511"/>
        <v>0</v>
      </c>
    </row>
    <row r="1011" spans="1:52" ht="15" customHeight="1">
      <c r="A1011" s="773" t="str">
        <f>Kat.!C1008</f>
        <v xml:space="preserve">                                                               Baterie 19ran, 30mm šikmý moždíř</v>
      </c>
      <c r="B1011" s="774"/>
      <c r="C1011" s="774"/>
      <c r="D1011" s="774"/>
      <c r="E1011" s="774"/>
      <c r="F1011" s="774"/>
      <c r="G1011" s="774"/>
      <c r="H1011" s="774"/>
      <c r="I1011" s="774"/>
      <c r="J1011" s="774"/>
      <c r="K1011" s="774"/>
      <c r="L1011" s="774"/>
      <c r="M1011" s="774"/>
      <c r="N1011" s="774"/>
      <c r="O1011" s="774"/>
      <c r="P1011" s="774"/>
      <c r="Q1011" s="774"/>
      <c r="R1011" s="774"/>
      <c r="S1011" s="774"/>
      <c r="T1011" s="774"/>
      <c r="U1011" s="774"/>
      <c r="V1011" s="774"/>
      <c r="W1011" s="774"/>
      <c r="X1011" s="774"/>
      <c r="Y1011" s="774"/>
      <c r="Z1011" s="774"/>
      <c r="AA1011" s="774" t="str">
        <f>IFERROR(IF(VLOOKUP(C1011,[4]List1!$A:$D,4,FALSE)=0,"",VLOOKUP(C1011,[4]List1!$A:$D,4,FALSE)),"")</f>
        <v/>
      </c>
      <c r="AB1011" s="774"/>
      <c r="AC1011" s="775" t="str">
        <f>IFERROR(IF(VLOOKUP(C1011,[1]List1!$A:$D,2,FALSE)="VYPRODÁNO",$V$9,IF(VLOOKUP(C1011,[1]List1!$A:$D,2,FALSE)="DOCHÁZÍ",$V$3,VLOOKUP(C1011,[1]List1!$A:$D,2,FALSE))),"OFFLINE!")</f>
        <v>OFFLINE!</v>
      </c>
      <c r="AD1011" s="774"/>
      <c r="AE1011" s="774"/>
      <c r="AF1011" s="774"/>
      <c r="AG1011" s="774"/>
      <c r="AH1011" s="774"/>
      <c r="AI1011" s="774"/>
      <c r="AJ1011" s="774"/>
      <c r="AK1011" s="774"/>
      <c r="AL1011" s="774"/>
      <c r="AM1011" s="774"/>
      <c r="AN1011" s="774"/>
      <c r="AO1011" s="380"/>
      <c r="AP1011" s="322" t="str">
        <f t="shared" si="2504"/>
        <v/>
      </c>
      <c r="AQ1011" s="323" t="str">
        <f>IF(AC1011=$V$3,IF(VLOOKUP(C1011,[1]List1!$A:$E,5,FALSE)=0,1,VLOOKUP(C1011,[1]List1!$A:$E,5,FALSE)),"")</f>
        <v/>
      </c>
      <c r="AR1011" s="304" t="str">
        <f t="shared" si="2505"/>
        <v/>
      </c>
      <c r="AS1011" s="423" t="str">
        <f t="shared" si="2506"/>
        <v/>
      </c>
      <c r="AT1011" s="304" t="str">
        <f t="shared" si="2507"/>
        <v/>
      </c>
      <c r="AU1011" s="342" t="e">
        <f t="shared" si="2508"/>
        <v>#N/A</v>
      </c>
      <c r="AV1011" s="304" t="e">
        <f t="shared" si="2509"/>
        <v>#N/A</v>
      </c>
      <c r="AX1011" s="304">
        <f>IF(AND('General price list'!$J1011="F4",'General price list'!$AB1011+0&gt;0),1,0)</f>
        <v>0</v>
      </c>
      <c r="AY1011" s="304">
        <f t="shared" si="2510"/>
        <v>0</v>
      </c>
      <c r="AZ1011" s="304">
        <f t="shared" si="2511"/>
        <v>0</v>
      </c>
    </row>
    <row r="1012" spans="1:52" ht="15" customHeight="1">
      <c r="A1012" s="725" t="str">
        <f>Kat.!C1009</f>
        <v>×</v>
      </c>
      <c r="B1012" s="741">
        <f>IF(AND('General price list'!$J1012="F4",$AI$1=FALSE),0,IF(AC1012="SKLADEM",1,IF(AC1012=$V$3,1,0)))</f>
        <v>1</v>
      </c>
      <c r="C1012" s="727" t="s">
        <v>1977</v>
      </c>
      <c r="D1012" s="728" t="s">
        <v>1973</v>
      </c>
      <c r="E1012" s="729" t="s">
        <v>1077</v>
      </c>
      <c r="F1012" s="725">
        <f>IFERROR(ROUND(IF($AL$3=2,VLOOKUP(C1012,[2]List1!$A:$D,2,FALSE)*1.08,VLOOKUP(C1012,[2]List1!$A:$D,2,FALSE)),0),"NEUVEDENO!")</f>
        <v>599</v>
      </c>
      <c r="G1012" s="730">
        <f t="shared" ref="G1012:G1016" si="2540">(F1012)*$B$19</f>
        <v>599</v>
      </c>
      <c r="H1012" s="731">
        <f t="shared" ref="H1012:H1016" si="2541">G1012/$F$19</f>
        <v>24.340787276148063</v>
      </c>
      <c r="I1012" s="742">
        <v>6</v>
      </c>
      <c r="J1012" s="729" t="s">
        <v>137</v>
      </c>
      <c r="K1012" s="729" t="s">
        <v>12771</v>
      </c>
      <c r="L1012" s="729" t="s">
        <v>24</v>
      </c>
      <c r="M1012" s="729" t="s">
        <v>25</v>
      </c>
      <c r="N1012" s="729">
        <f>IFERROR(VLOOKUP(C1012,[3]List1!$A:$D,4,FALSE),"N/A!")</f>
        <v>7.1049999999999988E-2</v>
      </c>
      <c r="O1012" s="729">
        <f>IFERROR(VLOOKUP(C1012,[3]List1!$A:$D,3,FALSE),"N/A!")</f>
        <v>2280</v>
      </c>
      <c r="P1012" s="729">
        <f>IFERROR(VLOOKUP(C1012,[3]List1!$A:$D,2,FALSE),"N/A!")</f>
        <v>14700</v>
      </c>
      <c r="Q1012" s="729" t="s">
        <v>45</v>
      </c>
      <c r="R1012" s="729" t="s">
        <v>24</v>
      </c>
      <c r="S1012" s="729" t="str">
        <f>IF($W$17=$AF$1,"stříbrná fólie",IFERROR(VLOOKUP("stříbrná fólie",Jazyky_ceník!$A:$Q,MATCH($W$17,Jazyky_ceník!$A$1:$Q$1,0),FALSE),"!!!"))</f>
        <v>stříbrná fólie</v>
      </c>
      <c r="T1012" s="729"/>
      <c r="U1012" s="729">
        <v>40</v>
      </c>
      <c r="V1012" s="729">
        <v>30</v>
      </c>
      <c r="W1012" s="729" t="str">
        <f>IFERROR(VLOOKUP('General price list'!$C1012,Popisy!A:P,MATCH($W$17,Popisy!$A$7:$P$7,0),FALSE),"---------------")</f>
        <v>golden/brocade crown mine-19sh salvo together</v>
      </c>
      <c r="X1012" s="729" t="str">
        <f t="shared" ref="X1012:X1016" si="2542">IF(AB1012&lt;0.0001,"",AB1012)</f>
        <v/>
      </c>
      <c r="Y1012" s="729" t="str">
        <f t="shared" ref="Y1012:Y1016" si="2543">IF($AL$3=2,IF(OR(AB1012&lt;&gt;"",AB1012&lt;&gt;0),AU1012,""),IF(C1012="","",IF(AB1012&lt;0.0001,"",IF(B1012=0,"",IF(AQ1012&lt;AB1012,"",AB1012)))))</f>
        <v/>
      </c>
      <c r="Z1012" s="729" t="str">
        <f>HYPERLINK("https://www.klasekpyrotechnics.cz/sr1930d")</f>
        <v>https://www.klasekpyrotechnics.cz/sr1930d</v>
      </c>
      <c r="AA1012" s="729">
        <f>IFERROR(IF(VLOOKUP(C1012,[4]List1!$A:$D,4,FALSE)=0,"",VLOOKUP(C1012,[4]List1!$A:$D,4,FALSE)),"")</f>
        <v>21</v>
      </c>
      <c r="AB1012" s="720"/>
      <c r="AC1012" s="743" t="str">
        <f>IFERROR(IF(VLOOKUP(C1012,[1]List1!$A:$D,2,FALSE)="VYPRODÁNO",$V$9,IF(VLOOKUP(C1012,[1]List1!$A:$D,2,FALSE)="DOCHÁZÍ",$V$3,VLOOKUP(C1012,[1]List1!$A:$D,2,FALSE))),"OFFLINE!")</f>
        <v>DOCHÁZÍ</v>
      </c>
      <c r="AD1012" s="744" t="str">
        <f ca="1">IF(AP1012="NE",$V$10,IF(AC1012=$V$3,IF(AQ1012&lt;1,$V$8,$V$2&amp;" "&amp;AQ1012&amp;" "&amp;$V$1),IF(AC1012="SKLADEM",$V$6,IFERROR(IF(OR(AC1012-TODAY()&gt;45,VLOOKUP(C1012,[1]List1!$A:$E,4,FALSE)=0),AC1012,DAY(AC1012)&amp;"."&amp;MONTH(AC1012)&amp;"."&amp;YEAR(AC1012)&amp;" "&amp;$V$4&amp;VLOOKUP(C1012,[1]List1!$A:$E,4,FALSE)&amp;" "&amp;$V$1),AC1012))))</f>
        <v>POSLEDNÍCH 1 VK</v>
      </c>
      <c r="AE1012" s="729" t="str">
        <f t="shared" ref="AE1012:AE1016" ca="1" si="2544">IFERROR(IF(AV1012&lt;&gt;"",AV1012,AD1012),AD1012)</f>
        <v>POSLEDNÍCH 1 VK</v>
      </c>
      <c r="AF1012" s="735">
        <f t="shared" ref="AF1012:AF1016" si="2545">IFERROR(IF(AB1012=Y1012,G1012*I1012*Y1012,0),0)</f>
        <v>0</v>
      </c>
      <c r="AG1012" s="735">
        <f t="shared" ref="AG1012:AG1016" si="2546">IF($W$17=$AF$8,AH1012*1.23,AF1012*1.21)</f>
        <v>0</v>
      </c>
      <c r="AH1012" s="736">
        <f t="shared" ref="AH1012:AH1016" si="2547">IFERROR(IF(Y1012=AB1012,H1012*I1012*Y1012,0),0)</f>
        <v>0</v>
      </c>
      <c r="AI1012" s="729">
        <f t="shared" ref="AI1012:AI1016" si="2548">IFERROR(IF(Y1012=AB1012,(P1012*Y1012)/1000,1),0)</f>
        <v>0</v>
      </c>
      <c r="AJ1012" s="729">
        <f t="shared" ref="AJ1012:AJ1016" si="2549">IFERROR(IF(Y1012=AB1012,N1012*Y1012,0.1),0)</f>
        <v>0</v>
      </c>
      <c r="AK1012" s="729" t="str">
        <f t="shared" ref="AK1012:AK1016" si="2550">IFERROR(IF(Y1012=AB1012,IF(M1012="1.1G",(O1012/1000)*Y1012,""),""),0)</f>
        <v/>
      </c>
      <c r="AL1012" s="729" t="str">
        <f t="shared" ref="AL1012:AL1016" si="2551">IFERROR(IF(Y1012=AB1012,IF(M1012="1.3G",(O1012/1000)*AB1012,""),""),0)</f>
        <v/>
      </c>
      <c r="AM1012" s="729">
        <f t="shared" ref="AM1012:AM1016" si="2552">IFERROR(IF(Y1012=AB1012,IF(M1012="1.4G",(O1012/1000)*AB1012,""),""),0)</f>
        <v>0</v>
      </c>
      <c r="AN1012" s="729">
        <f t="shared" ref="AN1012:AN1016" si="2553">SUM(AK1012:AM1012)</f>
        <v>0</v>
      </c>
      <c r="AO1012" s="380"/>
      <c r="AP1012" s="322" t="str">
        <f t="shared" si="2504"/>
        <v/>
      </c>
      <c r="AQ1012" s="323">
        <f>IF(AC1012=$V$3,IF(VLOOKUP(C1012,[1]List1!$A:$E,5,FALSE)=0,1,VLOOKUP(C1012,[1]List1!$A:$E,5,FALSE)),"")</f>
        <v>1</v>
      </c>
      <c r="AR1012" s="304" t="str">
        <f t="shared" si="2505"/>
        <v/>
      </c>
      <c r="AS1012" s="423" t="str">
        <f t="shared" si="2506"/>
        <v/>
      </c>
      <c r="AT1012" s="304" t="str">
        <f t="shared" si="2507"/>
        <v/>
      </c>
      <c r="AU1012" s="342" t="e">
        <f t="shared" si="2508"/>
        <v>#N/A</v>
      </c>
      <c r="AV1012" s="304" t="e">
        <f t="shared" si="2509"/>
        <v>#N/A</v>
      </c>
      <c r="AX1012" s="304">
        <f>IF(AND('General price list'!$J1012="F4",'General price list'!$AB1012+0&gt;0),1,0)</f>
        <v>0</v>
      </c>
      <c r="AY1012" s="304">
        <f t="shared" si="2510"/>
        <v>1</v>
      </c>
      <c r="AZ1012" s="304">
        <f t="shared" si="2511"/>
        <v>0</v>
      </c>
    </row>
    <row r="1013" spans="1:52" ht="15" customHeight="1">
      <c r="A1013" s="712" t="str">
        <f>Kat.!C1010</f>
        <v>×</v>
      </c>
      <c r="B1013" s="745">
        <f>IF(AND('General price list'!$J1013="F4",$AI$1=FALSE),0,IF(AC1013="SKLADEM",1,IF(AC1013=$V$3,1,0)))</f>
        <v>1</v>
      </c>
      <c r="C1013" s="714" t="s">
        <v>1979</v>
      </c>
      <c r="D1013" s="715" t="s">
        <v>1973</v>
      </c>
      <c r="E1013" s="716" t="s">
        <v>1077</v>
      </c>
      <c r="F1013" s="712">
        <f>IFERROR(ROUND(IF($AL$3=2,VLOOKUP(C1013,[2]List1!$A:$D,2,FALSE)*1.08,VLOOKUP(C1013,[2]List1!$A:$D,2,FALSE)),0),"NEUVEDENO!")</f>
        <v>599</v>
      </c>
      <c r="G1013" s="717">
        <f t="shared" si="2540"/>
        <v>599</v>
      </c>
      <c r="H1013" s="718">
        <f t="shared" si="2541"/>
        <v>24.340787276148063</v>
      </c>
      <c r="I1013" s="746">
        <v>6</v>
      </c>
      <c r="J1013" s="716" t="s">
        <v>137</v>
      </c>
      <c r="K1013" s="716" t="s">
        <v>12771</v>
      </c>
      <c r="L1013" s="716" t="s">
        <v>24</v>
      </c>
      <c r="M1013" s="716" t="s">
        <v>25</v>
      </c>
      <c r="N1013" s="716">
        <f>IFERROR(VLOOKUP(C1013,[3]List1!$A:$D,4,FALSE),"N/A!")</f>
        <v>7.1049999999999988E-2</v>
      </c>
      <c r="O1013" s="716">
        <f>IFERROR(VLOOKUP(C1013,[3]List1!$A:$D,3,FALSE),"N/A!")</f>
        <v>2280</v>
      </c>
      <c r="P1013" s="716">
        <f>IFERROR(VLOOKUP(C1013,[3]List1!$A:$D,2,FALSE),"N/A!")</f>
        <v>14900</v>
      </c>
      <c r="Q1013" s="716" t="s">
        <v>45</v>
      </c>
      <c r="R1013" s="716" t="s">
        <v>24</v>
      </c>
      <c r="S1013" s="716" t="str">
        <f>IF($W$17=$AF$1,"stříbrná fólie",IFERROR(VLOOKUP("stříbrná fólie",Jazyky_ceník!$A:$Q,MATCH($W$17,Jazyky_ceník!$A$1:$Q$1,0),FALSE),"!!!"))</f>
        <v>stříbrná fólie</v>
      </c>
      <c r="T1013" s="716"/>
      <c r="U1013" s="716">
        <v>40</v>
      </c>
      <c r="V1013" s="716">
        <v>30</v>
      </c>
      <c r="W1013" s="716" t="str">
        <f>IFERROR(VLOOKUP('General price list'!$C1013,Popisy!A:P,MATCH($W$17,Popisy!$A$7:$P$7,0),FALSE),"---------------")</f>
        <v>red glittering mine to red comet-19sh salvo together</v>
      </c>
      <c r="X1013" s="716" t="str">
        <f t="shared" si="2542"/>
        <v/>
      </c>
      <c r="Y1013" s="716" t="str">
        <f t="shared" si="2543"/>
        <v/>
      </c>
      <c r="Z1013" s="716" t="str">
        <f>HYPERLINK("https://www.klasekpyrotechnics.cz/sr1930e")</f>
        <v>https://www.klasekpyrotechnics.cz/sr1930e</v>
      </c>
      <c r="AA1013" s="716">
        <f>IFERROR(IF(VLOOKUP(C1013,[4]List1!$A:$D,4,FALSE)=0,"",VLOOKUP(C1013,[4]List1!$A:$D,4,FALSE)),"")</f>
        <v>21</v>
      </c>
      <c r="AB1013" s="720"/>
      <c r="AC1013" s="747" t="str">
        <f>IFERROR(IF(VLOOKUP(C1013,[1]List1!$A:$D,2,FALSE)="VYPRODÁNO",$V$9,IF(VLOOKUP(C1013,[1]List1!$A:$D,2,FALSE)="DOCHÁZÍ",$V$3,VLOOKUP(C1013,[1]List1!$A:$D,2,FALSE))),"OFFLINE!")</f>
        <v>SKLADEM</v>
      </c>
      <c r="AD1013" s="748" t="str">
        <f ca="1">IF(AP1013="NE",$V$10,IF(AC1013=$V$3,IF(AQ1013&lt;1,$V$8,$V$2&amp;" "&amp;AQ1013&amp;" "&amp;$V$1),IF(AC1013="SKLADEM",$V$6,IFERROR(IF(OR(AC1013-TODAY()&gt;45,VLOOKUP(C1013,[1]List1!$A:$E,4,FALSE)=0),AC1013,DAY(AC1013)&amp;"."&amp;MONTH(AC1013)&amp;"."&amp;YEAR(AC1013)&amp;" "&amp;$V$4&amp;VLOOKUP(C1013,[1]List1!$A:$E,4,FALSE)&amp;" "&amp;$V$1),AC1013))))</f>
        <v>SKLADEM</v>
      </c>
      <c r="AE1013" s="716" t="str">
        <f t="shared" ca="1" si="2544"/>
        <v>SKLADEM</v>
      </c>
      <c r="AF1013" s="723">
        <f t="shared" si="2545"/>
        <v>0</v>
      </c>
      <c r="AG1013" s="723">
        <f t="shared" si="2546"/>
        <v>0</v>
      </c>
      <c r="AH1013" s="724">
        <f t="shared" si="2547"/>
        <v>0</v>
      </c>
      <c r="AI1013" s="716">
        <f t="shared" si="2548"/>
        <v>0</v>
      </c>
      <c r="AJ1013" s="716">
        <f t="shared" si="2549"/>
        <v>0</v>
      </c>
      <c r="AK1013" s="716" t="str">
        <f t="shared" si="2550"/>
        <v/>
      </c>
      <c r="AL1013" s="716" t="str">
        <f t="shared" si="2551"/>
        <v/>
      </c>
      <c r="AM1013" s="716">
        <f t="shared" si="2552"/>
        <v>0</v>
      </c>
      <c r="AN1013" s="716">
        <f t="shared" si="2553"/>
        <v>0</v>
      </c>
      <c r="AO1013" s="380"/>
      <c r="AP1013" s="322" t="str">
        <f t="shared" si="2504"/>
        <v/>
      </c>
      <c r="AQ1013" s="323" t="str">
        <f>IF(AC1013=$V$3,IF(VLOOKUP(C1013,[1]List1!$A:$E,5,FALSE)=0,1,VLOOKUP(C1013,[1]List1!$A:$E,5,FALSE)),"")</f>
        <v/>
      </c>
      <c r="AR1013" s="304" t="str">
        <f t="shared" si="2505"/>
        <v/>
      </c>
      <c r="AS1013" s="423" t="str">
        <f t="shared" si="2506"/>
        <v/>
      </c>
      <c r="AT1013" s="304" t="str">
        <f t="shared" si="2507"/>
        <v/>
      </c>
      <c r="AU1013" s="342" t="e">
        <f t="shared" si="2508"/>
        <v>#N/A</v>
      </c>
      <c r="AV1013" s="304" t="e">
        <f t="shared" si="2509"/>
        <v>#N/A</v>
      </c>
      <c r="AX1013" s="304">
        <f>IF(AND('General price list'!$J1013="F4",'General price list'!$AB1013+0&gt;0),1,0)</f>
        <v>0</v>
      </c>
      <c r="AY1013" s="304">
        <f t="shared" si="2510"/>
        <v>1</v>
      </c>
      <c r="AZ1013" s="304">
        <f t="shared" si="2511"/>
        <v>0</v>
      </c>
    </row>
    <row r="1014" spans="1:52" ht="15" customHeight="1">
      <c r="A1014" s="725" t="str">
        <f>Kat.!C1011</f>
        <v>×</v>
      </c>
      <c r="B1014" s="749">
        <f>IF(AND('General price list'!$J1014="F4",$AI$1=FALSE),0,IF(AC1014="SKLADEM",1,IF(AC1014=$V$3,1,0)))</f>
        <v>1</v>
      </c>
      <c r="C1014" s="727" t="s">
        <v>1981</v>
      </c>
      <c r="D1014" s="728" t="s">
        <v>1973</v>
      </c>
      <c r="E1014" s="729" t="s">
        <v>1077</v>
      </c>
      <c r="F1014" s="725">
        <f>IFERROR(ROUND(IF($AL$3=2,VLOOKUP(C1014,[2]List1!$A:$D,2,FALSE)*1.08,VLOOKUP(C1014,[2]List1!$A:$D,2,FALSE)),0),"NEUVEDENO!")</f>
        <v>599</v>
      </c>
      <c r="G1014" s="730">
        <f t="shared" si="2540"/>
        <v>599</v>
      </c>
      <c r="H1014" s="731">
        <f t="shared" si="2541"/>
        <v>24.340787276148063</v>
      </c>
      <c r="I1014" s="750">
        <v>6</v>
      </c>
      <c r="J1014" s="729" t="s">
        <v>137</v>
      </c>
      <c r="K1014" s="729" t="s">
        <v>12771</v>
      </c>
      <c r="L1014" s="729" t="s">
        <v>24</v>
      </c>
      <c r="M1014" s="729" t="s">
        <v>25</v>
      </c>
      <c r="N1014" s="729">
        <f>IFERROR(VLOOKUP(C1014,[3]List1!$A:$D,4,FALSE),"N/A!")</f>
        <v>7.1049999999999988E-2</v>
      </c>
      <c r="O1014" s="729">
        <f>IFERROR(VLOOKUP(C1014,[3]List1!$A:$D,3,FALSE),"N/A!")</f>
        <v>2280</v>
      </c>
      <c r="P1014" s="729">
        <f>IFERROR(VLOOKUP(C1014,[3]List1!$A:$D,2,FALSE),"N/A!")</f>
        <v>17000</v>
      </c>
      <c r="Q1014" s="729" t="s">
        <v>45</v>
      </c>
      <c r="R1014" s="729" t="s">
        <v>24</v>
      </c>
      <c r="S1014" s="729" t="str">
        <f>IF($W$17=$AF$1,"stříbrná fólie",IFERROR(VLOOKUP("stříbrná fólie",Jazyky_ceník!$A:$Q,MATCH($W$17,Jazyky_ceník!$A$1:$Q$1,0),FALSE),"!!!"))</f>
        <v>stříbrná fólie</v>
      </c>
      <c r="T1014" s="729"/>
      <c r="U1014" s="729">
        <v>40</v>
      </c>
      <c r="V1014" s="729">
        <v>30</v>
      </c>
      <c r="W1014" s="729" t="str">
        <f>IFERROR(VLOOKUP('General price list'!$C1014,Popisy!A:P,MATCH($W$17,Popisy!$A$7:$P$7,0),FALSE),"---------------")</f>
        <v>silver glittering mine w.green glittering comet-19sh salvo together</v>
      </c>
      <c r="X1014" s="729" t="str">
        <f t="shared" si="2542"/>
        <v/>
      </c>
      <c r="Y1014" s="729" t="str">
        <f t="shared" si="2543"/>
        <v/>
      </c>
      <c r="Z1014" s="729" t="str">
        <f>HYPERLINK("https://www.klasekpyrotechnics.cz/sr1930g")</f>
        <v>https://www.klasekpyrotechnics.cz/sr1930g</v>
      </c>
      <c r="AA1014" s="729">
        <f>IFERROR(IF(VLOOKUP(C1014,[4]List1!$A:$D,4,FALSE)=0,"",VLOOKUP(C1014,[4]List1!$A:$D,4,FALSE)),"")</f>
        <v>21</v>
      </c>
      <c r="AB1014" s="720"/>
      <c r="AC1014" s="751" t="str">
        <f>IFERROR(IF(VLOOKUP(C1014,[1]List1!$A:$D,2,FALSE)="VYPRODÁNO",$V$9,IF(VLOOKUP(C1014,[1]List1!$A:$D,2,FALSE)="DOCHÁZÍ",$V$3,VLOOKUP(C1014,[1]List1!$A:$D,2,FALSE))),"OFFLINE!")</f>
        <v>DOCHÁZÍ</v>
      </c>
      <c r="AD1014" s="752" t="str">
        <f ca="1">IF(AP1014="NE",$V$10,IF(AC1014=$V$3,IF(AQ1014&lt;1,$V$8,$V$2&amp;" "&amp;AQ1014&amp;" "&amp;$V$1),IF(AC1014="SKLADEM",$V$6,IFERROR(IF(OR(AC1014-TODAY()&gt;45,VLOOKUP(C1014,[1]List1!$A:$E,4,FALSE)=0),AC1014,DAY(AC1014)&amp;"."&amp;MONTH(AC1014)&amp;"."&amp;YEAR(AC1014)&amp;" "&amp;$V$4&amp;VLOOKUP(C1014,[1]List1!$A:$E,4,FALSE)&amp;" "&amp;$V$1),AC1014))))</f>
        <v>POSLEDNÍCH 2 VK</v>
      </c>
      <c r="AE1014" s="729" t="str">
        <f t="shared" ca="1" si="2544"/>
        <v>POSLEDNÍCH 2 VK</v>
      </c>
      <c r="AF1014" s="735">
        <f t="shared" si="2545"/>
        <v>0</v>
      </c>
      <c r="AG1014" s="735">
        <f t="shared" si="2546"/>
        <v>0</v>
      </c>
      <c r="AH1014" s="736">
        <f t="shared" si="2547"/>
        <v>0</v>
      </c>
      <c r="AI1014" s="729">
        <f t="shared" si="2548"/>
        <v>0</v>
      </c>
      <c r="AJ1014" s="729">
        <f t="shared" si="2549"/>
        <v>0</v>
      </c>
      <c r="AK1014" s="729" t="str">
        <f t="shared" si="2550"/>
        <v/>
      </c>
      <c r="AL1014" s="729" t="str">
        <f t="shared" si="2551"/>
        <v/>
      </c>
      <c r="AM1014" s="729">
        <f t="shared" si="2552"/>
        <v>0</v>
      </c>
      <c r="AN1014" s="729">
        <f t="shared" si="2553"/>
        <v>0</v>
      </c>
      <c r="AO1014" s="380"/>
      <c r="AP1014" s="322" t="str">
        <f t="shared" si="2504"/>
        <v/>
      </c>
      <c r="AQ1014" s="323">
        <f>IF(AC1014=$V$3,IF(VLOOKUP(C1014,[1]List1!$A:$E,5,FALSE)=0,1,VLOOKUP(C1014,[1]List1!$A:$E,5,FALSE)),"")</f>
        <v>2</v>
      </c>
      <c r="AR1014" s="304" t="str">
        <f t="shared" si="2505"/>
        <v/>
      </c>
      <c r="AS1014" s="423" t="str">
        <f t="shared" si="2506"/>
        <v/>
      </c>
      <c r="AT1014" s="304" t="str">
        <f t="shared" si="2507"/>
        <v/>
      </c>
      <c r="AU1014" s="342" t="e">
        <f t="shared" si="2508"/>
        <v>#N/A</v>
      </c>
      <c r="AV1014" s="304" t="e">
        <f t="shared" si="2509"/>
        <v>#N/A</v>
      </c>
      <c r="AX1014" s="304">
        <f>IF(AND('General price list'!$J1014="F4",'General price list'!$AB1014+0&gt;0),1,0)</f>
        <v>0</v>
      </c>
      <c r="AY1014" s="304">
        <f t="shared" si="2510"/>
        <v>1</v>
      </c>
      <c r="AZ1014" s="304">
        <f t="shared" si="2511"/>
        <v>0</v>
      </c>
    </row>
    <row r="1015" spans="1:52" ht="15" customHeight="1">
      <c r="A1015" s="712" t="str">
        <f>Kat.!C1012</f>
        <v>×</v>
      </c>
      <c r="B1015" s="745">
        <f>IF(AND('General price list'!$J1015="F4",$AI$1=FALSE),0,IF(AC1015="SKLADEM",1,IF(AC1015=$V$3,1,0)))</f>
        <v>1</v>
      </c>
      <c r="C1015" s="714" t="s">
        <v>1987</v>
      </c>
      <c r="D1015" s="715" t="s">
        <v>1973</v>
      </c>
      <c r="E1015" s="716" t="s">
        <v>1077</v>
      </c>
      <c r="F1015" s="712">
        <f>IFERROR(ROUND(IF($AL$3=2,VLOOKUP(C1015,[2]List1!$A:$D,2,FALSE)*1.08,VLOOKUP(C1015,[2]List1!$A:$D,2,FALSE)),0),"NEUVEDENO!")</f>
        <v>599</v>
      </c>
      <c r="G1015" s="717">
        <f t="shared" si="2540"/>
        <v>599</v>
      </c>
      <c r="H1015" s="718">
        <f t="shared" si="2541"/>
        <v>24.340787276148063</v>
      </c>
      <c r="I1015" s="746">
        <v>6</v>
      </c>
      <c r="J1015" s="716" t="s">
        <v>137</v>
      </c>
      <c r="K1015" s="716" t="s">
        <v>12771</v>
      </c>
      <c r="L1015" s="716" t="s">
        <v>24</v>
      </c>
      <c r="M1015" s="716" t="s">
        <v>25</v>
      </c>
      <c r="N1015" s="716">
        <f>IFERROR(VLOOKUP(C1015,[3]List1!$A:$D,4,FALSE),"N/A!")</f>
        <v>7.1049999999999988E-2</v>
      </c>
      <c r="O1015" s="716">
        <f>IFERROR(VLOOKUP(C1015,[3]List1!$A:$D,3,FALSE),"N/A!")</f>
        <v>2280</v>
      </c>
      <c r="P1015" s="716">
        <f>IFERROR(VLOOKUP(C1015,[3]List1!$A:$D,2,FALSE),"N/A!")</f>
        <v>17000</v>
      </c>
      <c r="Q1015" s="716" t="s">
        <v>45</v>
      </c>
      <c r="R1015" s="716" t="s">
        <v>24</v>
      </c>
      <c r="S1015" s="716" t="str">
        <f>IF($W$17=$AF$1,"stříbrná fólie",IFERROR(VLOOKUP("stříbrná fólie",Jazyky_ceník!$A:$Q,MATCH($W$17,Jazyky_ceník!$A$1:$Q$1,0),FALSE),"!!!"))</f>
        <v>stříbrná fólie</v>
      </c>
      <c r="T1015" s="716"/>
      <c r="U1015" s="716">
        <v>40</v>
      </c>
      <c r="V1015" s="716">
        <v>30</v>
      </c>
      <c r="W1015" s="716" t="str">
        <f>IFERROR(VLOOKUP('General price list'!$C1015,Popisy!A:P,MATCH($W$17,Popisy!$A$7:$P$7,0),FALSE),"---------------")</f>
        <v>lemon,pink,sea blue w.silver glittering mine-19sh salvo together</v>
      </c>
      <c r="X1015" s="716" t="str">
        <f t="shared" si="2542"/>
        <v/>
      </c>
      <c r="Y1015" s="716" t="str">
        <f t="shared" si="2543"/>
        <v/>
      </c>
      <c r="Z1015" s="716" t="str">
        <f>HYPERLINK("https://www.klasekpyrotechnics.cz/sr1930i")</f>
        <v>https://www.klasekpyrotechnics.cz/sr1930i</v>
      </c>
      <c r="AA1015" s="716">
        <f>IFERROR(IF(VLOOKUP(C1015,[4]List1!$A:$D,4,FALSE)=0,"",VLOOKUP(C1015,[4]List1!$A:$D,4,FALSE)),"")</f>
        <v>21</v>
      </c>
      <c r="AB1015" s="720"/>
      <c r="AC1015" s="747" t="str">
        <f>IFERROR(IF(VLOOKUP(C1015,[1]List1!$A:$D,2,FALSE)="VYPRODÁNO",$V$9,IF(VLOOKUP(C1015,[1]List1!$A:$D,2,FALSE)="DOCHÁZÍ",$V$3,VLOOKUP(C1015,[1]List1!$A:$D,2,FALSE))),"OFFLINE!")</f>
        <v>DOCHÁZÍ</v>
      </c>
      <c r="AD1015" s="748" t="str">
        <f ca="1">IF(AP1015="NE",$V$10,IF(AC1015=$V$3,IF(AQ1015&lt;1,$V$8,$V$2&amp;" "&amp;AQ1015&amp;" "&amp;$V$1),IF(AC1015="SKLADEM",$V$6,IFERROR(IF(OR(AC1015-TODAY()&gt;45,VLOOKUP(C1015,[1]List1!$A:$E,4,FALSE)=0),AC1015,DAY(AC1015)&amp;"."&amp;MONTH(AC1015)&amp;"."&amp;YEAR(AC1015)&amp;" "&amp;$V$4&amp;VLOOKUP(C1015,[1]List1!$A:$E,4,FALSE)&amp;" "&amp;$V$1),AC1015))))</f>
        <v>POSLEDNÍCH 3 VK</v>
      </c>
      <c r="AE1015" s="716" t="str">
        <f t="shared" ca="1" si="2544"/>
        <v>POSLEDNÍCH 3 VK</v>
      </c>
      <c r="AF1015" s="723">
        <f t="shared" si="2545"/>
        <v>0</v>
      </c>
      <c r="AG1015" s="723">
        <f t="shared" si="2546"/>
        <v>0</v>
      </c>
      <c r="AH1015" s="724">
        <f t="shared" si="2547"/>
        <v>0</v>
      </c>
      <c r="AI1015" s="716">
        <f t="shared" si="2548"/>
        <v>0</v>
      </c>
      <c r="AJ1015" s="716">
        <f t="shared" si="2549"/>
        <v>0</v>
      </c>
      <c r="AK1015" s="716" t="str">
        <f t="shared" si="2550"/>
        <v/>
      </c>
      <c r="AL1015" s="716" t="str">
        <f t="shared" si="2551"/>
        <v/>
      </c>
      <c r="AM1015" s="716">
        <f t="shared" si="2552"/>
        <v>0</v>
      </c>
      <c r="AN1015" s="716">
        <f t="shared" si="2553"/>
        <v>0</v>
      </c>
      <c r="AO1015" s="380"/>
      <c r="AP1015" s="322" t="str">
        <f t="shared" si="2504"/>
        <v/>
      </c>
      <c r="AQ1015" s="323">
        <f>IF(AC1015=$V$3,IF(VLOOKUP(C1015,[1]List1!$A:$E,5,FALSE)=0,1,VLOOKUP(C1015,[1]List1!$A:$E,5,FALSE)),"")</f>
        <v>3</v>
      </c>
      <c r="AR1015" s="304" t="str">
        <f t="shared" si="2505"/>
        <v/>
      </c>
      <c r="AS1015" s="423" t="str">
        <f t="shared" si="2506"/>
        <v/>
      </c>
      <c r="AT1015" s="304" t="str">
        <f t="shared" si="2507"/>
        <v/>
      </c>
      <c r="AU1015" s="342" t="e">
        <f t="shared" si="2508"/>
        <v>#N/A</v>
      </c>
      <c r="AV1015" s="304" t="e">
        <f t="shared" si="2509"/>
        <v>#N/A</v>
      </c>
      <c r="AX1015" s="304">
        <f>IF(AND('General price list'!$J1015="F4",'General price list'!$AB1015+0&gt;0),1,0)</f>
        <v>0</v>
      </c>
      <c r="AY1015" s="304">
        <f t="shared" si="2510"/>
        <v>1</v>
      </c>
      <c r="AZ1015" s="304">
        <f t="shared" si="2511"/>
        <v>0</v>
      </c>
    </row>
    <row r="1016" spans="1:52" ht="15" customHeight="1">
      <c r="A1016" s="725" t="str">
        <f>Kat.!C1013</f>
        <v>×</v>
      </c>
      <c r="B1016" s="749">
        <f>IF(AND('General price list'!$J1016="F4",$AI$1=FALSE),0,IF(AC1016="SKLADEM",1,IF(AC1016=$V$3,1,0)))</f>
        <v>1</v>
      </c>
      <c r="C1016" s="727" t="s">
        <v>1989</v>
      </c>
      <c r="D1016" s="728" t="s">
        <v>1973</v>
      </c>
      <c r="E1016" s="729" t="s">
        <v>1077</v>
      </c>
      <c r="F1016" s="725">
        <f>IFERROR(ROUND(IF($AL$3=2,VLOOKUP(C1016,[2]List1!$A:$D,2,FALSE)*1.08,VLOOKUP(C1016,[2]List1!$A:$D,2,FALSE)),0),"NEUVEDENO!")</f>
        <v>599</v>
      </c>
      <c r="G1016" s="730">
        <f t="shared" si="2540"/>
        <v>599</v>
      </c>
      <c r="H1016" s="731">
        <f t="shared" si="2541"/>
        <v>24.340787276148063</v>
      </c>
      <c r="I1016" s="750">
        <v>6</v>
      </c>
      <c r="J1016" s="729" t="s">
        <v>137</v>
      </c>
      <c r="K1016" s="729" t="s">
        <v>12771</v>
      </c>
      <c r="L1016" s="729" t="s">
        <v>24</v>
      </c>
      <c r="M1016" s="729" t="s">
        <v>25</v>
      </c>
      <c r="N1016" s="729">
        <f>IFERROR(VLOOKUP(C1016,[3]List1!$A:$D,4,FALSE),"N/A!")</f>
        <v>7.1049999999999988E-2</v>
      </c>
      <c r="O1016" s="729">
        <f>IFERROR(VLOOKUP(C1016,[3]List1!$A:$D,3,FALSE),"N/A!")</f>
        <v>2280</v>
      </c>
      <c r="P1016" s="729">
        <f>IFERROR(VLOOKUP(C1016,[3]List1!$A:$D,2,FALSE),"N/A!")</f>
        <v>17000</v>
      </c>
      <c r="Q1016" s="729" t="s">
        <v>45</v>
      </c>
      <c r="R1016" s="729" t="s">
        <v>24</v>
      </c>
      <c r="S1016" s="729" t="str">
        <f>IF($W$17=$AF$1,"stříbrná fólie",IFERROR(VLOOKUP("stříbrná fólie",Jazyky_ceník!$A:$Q,MATCH($W$17,Jazyky_ceník!$A$1:$Q$1,0),FALSE),"!!!"))</f>
        <v>stříbrná fólie</v>
      </c>
      <c r="T1016" s="729"/>
      <c r="U1016" s="729">
        <v>40</v>
      </c>
      <c r="V1016" s="729">
        <v>30</v>
      </c>
      <c r="W1016" s="729" t="str">
        <f>IFERROR(VLOOKUP('General price list'!$C1016,Popisy!A:P,MATCH($W$17,Popisy!$A$7:$P$7,0),FALSE),"---------------")</f>
        <v>silver comet w.red tip-19sh salvo together</v>
      </c>
      <c r="X1016" s="729" t="str">
        <f t="shared" si="2542"/>
        <v/>
      </c>
      <c r="Y1016" s="729" t="str">
        <f t="shared" si="2543"/>
        <v/>
      </c>
      <c r="Z1016" s="729" t="str">
        <f>HYPERLINK("https://www.klasekpyrotechnics.cz/sr1930j")</f>
        <v>https://www.klasekpyrotechnics.cz/sr1930j</v>
      </c>
      <c r="AA1016" s="729">
        <f>IFERROR(IF(VLOOKUP(C1016,[4]List1!$A:$D,4,FALSE)=0,"",VLOOKUP(C1016,[4]List1!$A:$D,4,FALSE)),"")</f>
        <v>21</v>
      </c>
      <c r="AB1016" s="720"/>
      <c r="AC1016" s="751" t="str">
        <f>IFERROR(IF(VLOOKUP(C1016,[1]List1!$A:$D,2,FALSE)="VYPRODÁNO",$V$9,IF(VLOOKUP(C1016,[1]List1!$A:$D,2,FALSE)="DOCHÁZÍ",$V$3,VLOOKUP(C1016,[1]List1!$A:$D,2,FALSE))),"OFFLINE!")</f>
        <v>DOCHÁZÍ</v>
      </c>
      <c r="AD1016" s="752" t="str">
        <f ca="1">IF(AP1016="NE",$V$10,IF(AC1016=$V$3,IF(AQ1016&lt;1,$V$8,$V$2&amp;" "&amp;AQ1016&amp;" "&amp;$V$1),IF(AC1016="SKLADEM",$V$6,IFERROR(IF(OR(AC1016-TODAY()&gt;45,VLOOKUP(C1016,[1]List1!$A:$E,4,FALSE)=0),AC1016,DAY(AC1016)&amp;"."&amp;MONTH(AC1016)&amp;"."&amp;YEAR(AC1016)&amp;" "&amp;$V$4&amp;VLOOKUP(C1016,[1]List1!$A:$E,4,FALSE)&amp;" "&amp;$V$1),AC1016))))</f>
        <v>POSLEDNÍCH 3 VK</v>
      </c>
      <c r="AE1016" s="729" t="str">
        <f t="shared" ca="1" si="2544"/>
        <v>POSLEDNÍCH 3 VK</v>
      </c>
      <c r="AF1016" s="735">
        <f t="shared" si="2545"/>
        <v>0</v>
      </c>
      <c r="AG1016" s="735">
        <f t="shared" si="2546"/>
        <v>0</v>
      </c>
      <c r="AH1016" s="736">
        <f t="shared" si="2547"/>
        <v>0</v>
      </c>
      <c r="AI1016" s="729">
        <f t="shared" si="2548"/>
        <v>0</v>
      </c>
      <c r="AJ1016" s="729">
        <f t="shared" si="2549"/>
        <v>0</v>
      </c>
      <c r="AK1016" s="729" t="str">
        <f t="shared" si="2550"/>
        <v/>
      </c>
      <c r="AL1016" s="729" t="str">
        <f t="shared" si="2551"/>
        <v/>
      </c>
      <c r="AM1016" s="729">
        <f t="shared" si="2552"/>
        <v>0</v>
      </c>
      <c r="AN1016" s="729">
        <f t="shared" si="2553"/>
        <v>0</v>
      </c>
      <c r="AO1016" s="380"/>
      <c r="AP1016" s="322" t="str">
        <f t="shared" si="2504"/>
        <v/>
      </c>
      <c r="AQ1016" s="323">
        <f>IF(AC1016=$V$3,IF(VLOOKUP(C1016,[1]List1!$A:$E,5,FALSE)=0,1,VLOOKUP(C1016,[1]List1!$A:$E,5,FALSE)),"")</f>
        <v>3</v>
      </c>
      <c r="AR1016" s="304" t="str">
        <f t="shared" si="2505"/>
        <v/>
      </c>
      <c r="AS1016" s="423" t="str">
        <f t="shared" si="2506"/>
        <v/>
      </c>
      <c r="AT1016" s="304" t="str">
        <f t="shared" si="2507"/>
        <v/>
      </c>
      <c r="AU1016" s="342" t="e">
        <f t="shared" si="2508"/>
        <v>#N/A</v>
      </c>
      <c r="AV1016" s="304" t="e">
        <f t="shared" si="2509"/>
        <v>#N/A</v>
      </c>
      <c r="AX1016" s="304">
        <f>IF(AND('General price list'!$J1016="F4",'General price list'!$AB1016+0&gt;0),1,0)</f>
        <v>0</v>
      </c>
      <c r="AY1016" s="304">
        <f t="shared" si="2510"/>
        <v>1</v>
      </c>
      <c r="AZ1016" s="304">
        <f t="shared" si="2511"/>
        <v>0</v>
      </c>
    </row>
    <row r="1017" spans="1:52" ht="15" customHeight="1">
      <c r="A1017" s="773" t="str">
        <f>Kat.!C1014</f>
        <v xml:space="preserve">                                                               Kulové pumy 50mm</v>
      </c>
      <c r="B1017" s="774"/>
      <c r="C1017" s="774"/>
      <c r="D1017" s="774"/>
      <c r="E1017" s="774"/>
      <c r="F1017" s="774"/>
      <c r="G1017" s="774"/>
      <c r="H1017" s="774"/>
      <c r="I1017" s="774"/>
      <c r="J1017" s="774"/>
      <c r="K1017" s="774"/>
      <c r="L1017" s="774"/>
      <c r="M1017" s="774"/>
      <c r="N1017" s="774"/>
      <c r="O1017" s="774"/>
      <c r="P1017" s="774"/>
      <c r="Q1017" s="774"/>
      <c r="R1017" s="774"/>
      <c r="S1017" s="774"/>
      <c r="T1017" s="774"/>
      <c r="U1017" s="774"/>
      <c r="V1017" s="774"/>
      <c r="W1017" s="774"/>
      <c r="X1017" s="774"/>
      <c r="Y1017" s="774"/>
      <c r="Z1017" s="774"/>
      <c r="AA1017" s="774" t="str">
        <f>IFERROR(IF(VLOOKUP(C1017,[4]List1!$A:$D,4,FALSE)=0,"",VLOOKUP(C1017,[4]List1!$A:$D,4,FALSE)),"")</f>
        <v/>
      </c>
      <c r="AB1017" s="774"/>
      <c r="AC1017" s="775" t="str">
        <f>IFERROR(IF(VLOOKUP(C1017,[1]List1!$A:$D,2,FALSE)="VYPRODÁNO",$V$9,IF(VLOOKUP(C1017,[1]List1!$A:$D,2,FALSE)="DOCHÁZÍ",$V$3,VLOOKUP(C1017,[1]List1!$A:$D,2,FALSE))),"OFFLINE!")</f>
        <v>OFFLINE!</v>
      </c>
      <c r="AD1017" s="774"/>
      <c r="AE1017" s="774"/>
      <c r="AF1017" s="774"/>
      <c r="AG1017" s="774"/>
      <c r="AH1017" s="774"/>
      <c r="AI1017" s="774"/>
      <c r="AJ1017" s="774"/>
      <c r="AK1017" s="774"/>
      <c r="AL1017" s="774"/>
      <c r="AM1017" s="774"/>
      <c r="AN1017" s="774"/>
      <c r="AO1017" s="380"/>
      <c r="AP1017" s="322" t="str">
        <f t="shared" si="2504"/>
        <v/>
      </c>
      <c r="AQ1017" s="323" t="str">
        <f>IF(AC1017=$V$3,IF(VLOOKUP(C1017,[1]List1!$A:$E,5,FALSE)=0,1,VLOOKUP(C1017,[1]List1!$A:$E,5,FALSE)),"")</f>
        <v/>
      </c>
      <c r="AR1017" s="304" t="str">
        <f t="shared" si="2505"/>
        <v/>
      </c>
      <c r="AS1017" s="423" t="str">
        <f t="shared" si="2506"/>
        <v/>
      </c>
      <c r="AT1017" s="304" t="str">
        <f t="shared" si="2507"/>
        <v/>
      </c>
      <c r="AU1017" s="342" t="e">
        <f t="shared" si="2508"/>
        <v>#N/A</v>
      </c>
      <c r="AV1017" s="304" t="e">
        <f t="shared" si="2509"/>
        <v>#N/A</v>
      </c>
      <c r="AX1017" s="304">
        <f>IF(AND('General price list'!$J1017="F4",'General price list'!$AB1017+0&gt;0),1,0)</f>
        <v>0</v>
      </c>
      <c r="AY1017" s="304">
        <f t="shared" si="2510"/>
        <v>0</v>
      </c>
      <c r="AZ1017" s="304">
        <f t="shared" si="2511"/>
        <v>0</v>
      </c>
    </row>
    <row r="1018" spans="1:52" ht="15" customHeight="1">
      <c r="A1018" s="725" t="str">
        <f>Kat.!C1015</f>
        <v/>
      </c>
      <c r="B1018" s="741">
        <f>IF(AND('General price list'!$J1018="F4",$AI$1=FALSE),0,IF(AC1018="SKLADEM",1,IF(AC1018=$V$3,1,0)))</f>
        <v>0</v>
      </c>
      <c r="C1018" s="727" t="s">
        <v>2032</v>
      </c>
      <c r="D1018" s="728" t="s">
        <v>2033</v>
      </c>
      <c r="E1018" s="729" t="s">
        <v>638</v>
      </c>
      <c r="F1018" s="725">
        <f>IFERROR(ROUND(IF($AL$3=2,VLOOKUP(C1018,[2]List1!$A:$D,2,FALSE)*1.08,VLOOKUP(C1018,[2]List1!$A:$D,2,FALSE)),0),"NEUVEDENO!")</f>
        <v>1049</v>
      </c>
      <c r="G1018" s="730">
        <f>(F1018)*$B$19</f>
        <v>1049</v>
      </c>
      <c r="H1018" s="731">
        <f>G1018/$F$19</f>
        <v>42.626854511985506</v>
      </c>
      <c r="I1018" s="742">
        <v>12</v>
      </c>
      <c r="J1018" s="729" t="s">
        <v>709</v>
      </c>
      <c r="K1018" s="729"/>
      <c r="L1018" s="729" t="s">
        <v>14400</v>
      </c>
      <c r="M1018" s="729" t="s">
        <v>138</v>
      </c>
      <c r="N1018" s="729">
        <f>IFERROR(VLOOKUP(C1018,[3]List1!$A:$D,4,FALSE),"N/A!")</f>
        <v>4.0500000000000008E-2</v>
      </c>
      <c r="O1018" s="729">
        <f>IFERROR(VLOOKUP(C1018,[3]List1!$A:$D,3,FALSE),"N/A!")</f>
        <v>7200</v>
      </c>
      <c r="P1018" s="729">
        <f>IFERROR(VLOOKUP(C1018,[3]List1!$A:$D,2,FALSE),"N/A!")</f>
        <v>12000</v>
      </c>
      <c r="Q1018" s="729" t="s">
        <v>160</v>
      </c>
      <c r="R1018" s="729" t="s">
        <v>18</v>
      </c>
      <c r="S1018" s="729" t="s">
        <v>14402</v>
      </c>
      <c r="T1018" s="729"/>
      <c r="U1018" s="729">
        <v>60</v>
      </c>
      <c r="V1018" s="729">
        <v>40</v>
      </c>
      <c r="W1018" s="729" t="str">
        <f>IFERROR(VLOOKUP('General price list'!$C1018,Popisy!A:P,MATCH($W$17,Popisy!$A$7:$P$7,0),FALSE),"---------------")</f>
        <v>Mixed carton contains 1pack of S2A,B,D,E,F,G,H,CH,J,L,N,O</v>
      </c>
      <c r="X1018" s="729" t="str">
        <f>IF(AB1018&lt;0.0001,"",AB1018)</f>
        <v/>
      </c>
      <c r="Y1018" s="729" t="str">
        <f>IF($AL$3=2,IF(OR(AB1018&lt;&gt;"",AB1018&lt;&gt;0),AU1018,""),IF(C1018="","",IF(AB1018&lt;0.0001,"",IF(B1018=0,"",IF(AQ1018&lt;AB1018,"",AB1018)))))</f>
        <v/>
      </c>
      <c r="Z1018" s="729" t="str">
        <f>HYPERLINK("https://www.klasekpyrotechnics.cz/s2m")</f>
        <v>https://www.klasekpyrotechnics.cz/s2m</v>
      </c>
      <c r="AA1018" s="729" t="str">
        <f>IFERROR(IF(VLOOKUP(C1018,[4]List1!$A:$D,4,FALSE)=0,"",VLOOKUP(C1018,[4]List1!$A:$D,4,FALSE)),"")</f>
        <v>23</v>
      </c>
      <c r="AB1018" s="720"/>
      <c r="AC1018" s="743" t="str">
        <f>IFERROR(IF(VLOOKUP(C1018,[1]List1!$A:$D,2,FALSE)="VYPRODÁNO",$V$9,IF(VLOOKUP(C1018,[1]List1!$A:$D,2,FALSE)="DOCHÁZÍ",$V$3,VLOOKUP(C1018,[1]List1!$A:$D,2,FALSE))),"OFFLINE!")</f>
        <v>15.09.2024</v>
      </c>
      <c r="AD1018" s="744" t="str">
        <f ca="1">IF(AP1018="NE",$V$10,IF(AC1018=$V$3,IF(AQ1018&lt;1,$V$8,$V$2&amp;" "&amp;AQ1018&amp;" "&amp;$V$1),IF(AC1018="SKLADEM",$V$6,IFERROR(IF(OR(AC1018-TODAY()&gt;45,VLOOKUP(C1018,[1]List1!$A:$E,4,FALSE)=0),AC1018,DAY(AC1018)&amp;"."&amp;MONTH(AC1018)&amp;"."&amp;YEAR(AC1018)&amp;" "&amp;$V$4&amp;VLOOKUP(C1018,[1]List1!$A:$E,4,FALSE)&amp;" "&amp;$V$1),AC1018))))</f>
        <v>15.09.2024</v>
      </c>
      <c r="AE1018" s="729" t="str">
        <f t="shared" ref="AE1018" ca="1" si="2554">IFERROR(IF(AV1018&lt;&gt;"",AV1018,AD1018),AD1018)</f>
        <v>15.09.2024</v>
      </c>
      <c r="AF1018" s="735">
        <f t="shared" ref="AF1018" si="2555">IFERROR(IF(AB1018=Y1018,G1018*I1018*Y1018,0),0)</f>
        <v>0</v>
      </c>
      <c r="AG1018" s="735">
        <f t="shared" ref="AG1018" si="2556">IF($W$17=$AF$8,AH1018*1.23,AF1018*1.21)</f>
        <v>0</v>
      </c>
      <c r="AH1018" s="736">
        <f t="shared" ref="AH1018" si="2557">IFERROR(IF(Y1018=AB1018,H1018*I1018*Y1018,0),0)</f>
        <v>0</v>
      </c>
      <c r="AI1018" s="729">
        <f t="shared" ref="AI1018" si="2558">IFERROR(IF(Y1018=AB1018,(P1018*Y1018)/1000,1),0)</f>
        <v>0</v>
      </c>
      <c r="AJ1018" s="729">
        <f t="shared" ref="AJ1018" si="2559">IFERROR(IF(Y1018=AB1018,N1018*Y1018,0.1),0)</f>
        <v>0</v>
      </c>
      <c r="AK1018" s="729" t="str">
        <f t="shared" ref="AK1018" si="2560">IFERROR(IF(Y1018=AB1018,IF(M1018="1.1G",(O1018/1000)*Y1018,""),""),0)</f>
        <v/>
      </c>
      <c r="AL1018" s="729">
        <f t="shared" ref="AL1018" si="2561">IFERROR(IF(Y1018=AB1018,IF(M1018="1.3G",(O1018/1000)*AB1018,""),""),0)</f>
        <v>0</v>
      </c>
      <c r="AM1018" s="729" t="str">
        <f t="shared" ref="AM1018" si="2562">IFERROR(IF(Y1018=AB1018,IF(M1018="1.4G",(O1018/1000)*AB1018,""),""),0)</f>
        <v/>
      </c>
      <c r="AN1018" s="729">
        <f t="shared" ref="AN1018" si="2563">SUM(AK1018:AM1018)</f>
        <v>0</v>
      </c>
      <c r="AO1018" s="380"/>
      <c r="AP1018" s="322" t="str">
        <f t="shared" si="2504"/>
        <v/>
      </c>
      <c r="AQ1018" s="323" t="str">
        <f>IF(AC1018=$V$3,IF(VLOOKUP(C1018,[1]List1!$A:$E,5,FALSE)=0,1,VLOOKUP(C1018,[1]List1!$A:$E,5,FALSE)),"")</f>
        <v/>
      </c>
      <c r="AR1018" s="304" t="str">
        <f t="shared" si="2505"/>
        <v/>
      </c>
      <c r="AS1018" s="423" t="str">
        <f t="shared" si="2506"/>
        <v/>
      </c>
      <c r="AT1018" s="304" t="str">
        <f t="shared" si="2507"/>
        <v/>
      </c>
      <c r="AU1018" s="342" t="e">
        <f t="shared" si="2508"/>
        <v>#N/A</v>
      </c>
      <c r="AV1018" s="304" t="e">
        <f t="shared" si="2509"/>
        <v>#N/A</v>
      </c>
      <c r="AX1018" s="304">
        <f>IF(AND('General price list'!$J1018="F4",'General price list'!$AB1018+0&gt;0),1,0)</f>
        <v>0</v>
      </c>
      <c r="AY1018" s="304">
        <f t="shared" si="2510"/>
        <v>1</v>
      </c>
      <c r="AZ1018" s="304">
        <f t="shared" si="2511"/>
        <v>1</v>
      </c>
    </row>
    <row r="1019" spans="1:52" ht="15" customHeight="1">
      <c r="A1019" s="773" t="str">
        <f>Kat.!C1016</f>
        <v xml:space="preserve">                                                               Kulové pumy 75mm, prémiová kvalita</v>
      </c>
      <c r="B1019" s="774"/>
      <c r="C1019" s="774"/>
      <c r="D1019" s="774"/>
      <c r="E1019" s="774"/>
      <c r="F1019" s="774"/>
      <c r="G1019" s="774"/>
      <c r="H1019" s="774"/>
      <c r="I1019" s="774"/>
      <c r="J1019" s="774"/>
      <c r="K1019" s="774"/>
      <c r="L1019" s="774"/>
      <c r="M1019" s="774"/>
      <c r="N1019" s="774"/>
      <c r="O1019" s="774"/>
      <c r="P1019" s="774"/>
      <c r="Q1019" s="774"/>
      <c r="R1019" s="774"/>
      <c r="S1019" s="774"/>
      <c r="T1019" s="774"/>
      <c r="U1019" s="774"/>
      <c r="V1019" s="774"/>
      <c r="W1019" s="774"/>
      <c r="X1019" s="774"/>
      <c r="Y1019" s="774"/>
      <c r="Z1019" s="774"/>
      <c r="AA1019" s="774" t="str">
        <f>IFERROR(IF(VLOOKUP(C1019,[4]List1!$A:$D,4,FALSE)=0,"",VLOOKUP(C1019,[4]List1!$A:$D,4,FALSE)),"")</f>
        <v/>
      </c>
      <c r="AB1019" s="774"/>
      <c r="AC1019" s="775" t="str">
        <f>IFERROR(IF(VLOOKUP(C1019,[1]List1!$A:$D,2,FALSE)="VYPRODÁNO",$V$9,IF(VLOOKUP(C1019,[1]List1!$A:$D,2,FALSE)="DOCHÁZÍ",$V$3,VLOOKUP(C1019,[1]List1!$A:$D,2,FALSE))),"OFFLINE!")</f>
        <v>OFFLINE!</v>
      </c>
      <c r="AD1019" s="774"/>
      <c r="AE1019" s="774"/>
      <c r="AF1019" s="774"/>
      <c r="AG1019" s="774"/>
      <c r="AH1019" s="774"/>
      <c r="AI1019" s="774"/>
      <c r="AJ1019" s="774"/>
      <c r="AK1019" s="774"/>
      <c r="AL1019" s="774"/>
      <c r="AM1019" s="774"/>
      <c r="AN1019" s="774"/>
      <c r="AO1019" s="380"/>
      <c r="AP1019" s="322" t="str">
        <f t="shared" si="2504"/>
        <v/>
      </c>
      <c r="AQ1019" s="323" t="str">
        <f>IF(AC1019=$V$3,IF(VLOOKUP(C1019,[1]List1!$A:$E,5,FALSE)=0,1,VLOOKUP(C1019,[1]List1!$A:$E,5,FALSE)),"")</f>
        <v/>
      </c>
      <c r="AR1019" s="304" t="str">
        <f t="shared" si="2505"/>
        <v/>
      </c>
      <c r="AS1019" s="423" t="str">
        <f t="shared" si="2506"/>
        <v/>
      </c>
      <c r="AT1019" s="304" t="str">
        <f t="shared" si="2507"/>
        <v/>
      </c>
      <c r="AU1019" s="342" t="e">
        <f t="shared" si="2508"/>
        <v>#N/A</v>
      </c>
      <c r="AV1019" s="304" t="e">
        <f t="shared" si="2509"/>
        <v>#N/A</v>
      </c>
      <c r="AX1019" s="304">
        <f>IF(AND('General price list'!$J1019="F4",'General price list'!$AB1019+0&gt;0),1,0)</f>
        <v>0</v>
      </c>
      <c r="AY1019" s="304">
        <f t="shared" si="2510"/>
        <v>0</v>
      </c>
      <c r="AZ1019" s="304">
        <f t="shared" si="2511"/>
        <v>0</v>
      </c>
    </row>
    <row r="1020" spans="1:52" ht="15" customHeight="1">
      <c r="A1020" s="725" t="str">
        <f>Kat.!C1017</f>
        <v/>
      </c>
      <c r="B1020" s="741">
        <f>IF(AND('General price list'!$J1020="F4",$AI$1=FALSE),0,IF(AC1020="SKLADEM",1,IF(AC1020=$V$3,1,0)))</f>
        <v>0</v>
      </c>
      <c r="C1020" s="727" t="s">
        <v>2062</v>
      </c>
      <c r="D1020" s="728" t="s">
        <v>2037</v>
      </c>
      <c r="E1020" s="729" t="s">
        <v>708</v>
      </c>
      <c r="F1020" s="725">
        <f>IFERROR(ROUND(IF($AL$3=2,VLOOKUP(C1020,[2]List1!$A:$D,2,FALSE)*1.08,VLOOKUP(C1020,[2]List1!$A:$D,2,FALSE)),0),"NEUVEDENO!")</f>
        <v>1006</v>
      </c>
      <c r="G1020" s="730">
        <f t="shared" ref="G1020:G1024" si="2564">(F1020)*$B$19</f>
        <v>1006</v>
      </c>
      <c r="H1020" s="731">
        <f t="shared" ref="H1020:H1024" si="2565">G1020/$F$19</f>
        <v>40.879519198338812</v>
      </c>
      <c r="I1020" s="742">
        <v>12</v>
      </c>
      <c r="J1020" s="729" t="s">
        <v>709</v>
      </c>
      <c r="K1020" s="729"/>
      <c r="L1020" s="729" t="s">
        <v>14400</v>
      </c>
      <c r="M1020" s="729" t="s">
        <v>138</v>
      </c>
      <c r="N1020" s="729">
        <f>IFERROR(VLOOKUP(C1020,[3]List1!$A:$D,4,FALSE),"N/A!")</f>
        <v>5.0625000000000003E-2</v>
      </c>
      <c r="O1020" s="729">
        <f>IFERROR(VLOOKUP(C1020,[3]List1!$A:$D,3,FALSE),"N/A!")</f>
        <v>10800</v>
      </c>
      <c r="P1020" s="729">
        <f>IFERROR(VLOOKUP(C1020,[3]List1!$A:$D,2,FALSE),"N/A!")</f>
        <v>15500</v>
      </c>
      <c r="Q1020" s="729" t="s">
        <v>160</v>
      </c>
      <c r="R1020" s="729" t="s">
        <v>18</v>
      </c>
      <c r="S1020" s="729" t="s">
        <v>14402</v>
      </c>
      <c r="T1020" s="729"/>
      <c r="U1020" s="729">
        <v>90</v>
      </c>
      <c r="V1020" s="729">
        <v>55</v>
      </c>
      <c r="W1020" s="729" t="str">
        <f>IFERROR(VLOOKUP('General price list'!$C1020,Popisy!A:P,MATCH($W$17,Popisy!$A$7:$P$7,0),FALSE),"---------------")</f>
        <v>delay cracker willow</v>
      </c>
      <c r="X1020" s="729" t="str">
        <f t="shared" ref="X1020:X1024" si="2566">IF(AB1020&lt;0.0001,"",AB1020)</f>
        <v/>
      </c>
      <c r="Y1020" s="729" t="str">
        <f t="shared" ref="Y1020:Y1024" si="2567">IF($AL$3=2,IF(OR(AB1020&lt;&gt;"",AB1020&lt;&gt;0),AU1020,""),IF(C1020="","",IF(AB1020&lt;0.0001,"",IF(B1020=0,"",IF(AQ1020&lt;AB1020,"",AB1020)))))</f>
        <v/>
      </c>
      <c r="Z1020" s="729" t="str">
        <f>HYPERLINK("https://www.klasekpyrotechnics.cz/s3f-p")</f>
        <v>https://www.klasekpyrotechnics.cz/s3f-p</v>
      </c>
      <c r="AA1020" s="729" t="str">
        <f>IFERROR(IF(VLOOKUP(C1020,[4]List1!$A:$D,4,FALSE)=0,"",VLOOKUP(C1020,[4]List1!$A:$D,4,FALSE)),"")</f>
        <v>21</v>
      </c>
      <c r="AB1020" s="720"/>
      <c r="AC1020" s="743" t="str">
        <f>IFERROR(IF(VLOOKUP(C1020,[1]List1!$A:$D,2,FALSE)="VYPRODÁNO",$V$9,IF(VLOOKUP(C1020,[1]List1!$A:$D,2,FALSE)="DOCHÁZÍ",$V$3,VLOOKUP(C1020,[1]List1!$A:$D,2,FALSE))),"OFFLINE!")</f>
        <v>15.08.2024</v>
      </c>
      <c r="AD1020" s="744" t="str">
        <f ca="1">IF(AP1020="NE",$V$10,IF(AC1020=$V$3,IF(AQ1020&lt;1,$V$8,$V$2&amp;" "&amp;AQ1020&amp;" "&amp;$V$1),IF(AC1020="SKLADEM",$V$6,IFERROR(IF(OR(AC1020-TODAY()&gt;45,VLOOKUP(C1020,[1]List1!$A:$E,4,FALSE)=0),AC1020,DAY(AC1020)&amp;"."&amp;MONTH(AC1020)&amp;"."&amp;YEAR(AC1020)&amp;" "&amp;$V$4&amp;VLOOKUP(C1020,[1]List1!$A:$E,4,FALSE)&amp;" "&amp;$V$1),AC1020))))</f>
        <v>15.08.2024</v>
      </c>
      <c r="AE1020" s="729" t="str">
        <f t="shared" ref="AE1020:AE1024" ca="1" si="2568">IFERROR(IF(AV1020&lt;&gt;"",AV1020,AD1020),AD1020)</f>
        <v>15.08.2024</v>
      </c>
      <c r="AF1020" s="735">
        <f t="shared" ref="AF1020:AF1024" si="2569">IFERROR(IF(AB1020=Y1020,G1020*I1020*Y1020,0),0)</f>
        <v>0</v>
      </c>
      <c r="AG1020" s="735">
        <f t="shared" ref="AG1020:AG1024" si="2570">IF($W$17=$AF$8,AH1020*1.23,AF1020*1.21)</f>
        <v>0</v>
      </c>
      <c r="AH1020" s="736">
        <f t="shared" ref="AH1020:AH1024" si="2571">IFERROR(IF(Y1020=AB1020,H1020*I1020*Y1020,0),0)</f>
        <v>0</v>
      </c>
      <c r="AI1020" s="729">
        <f t="shared" ref="AI1020:AI1024" si="2572">IFERROR(IF(Y1020=AB1020,(P1020*Y1020)/1000,1),0)</f>
        <v>0</v>
      </c>
      <c r="AJ1020" s="729">
        <f t="shared" ref="AJ1020:AJ1024" si="2573">IFERROR(IF(Y1020=AB1020,N1020*Y1020,0.1),0)</f>
        <v>0</v>
      </c>
      <c r="AK1020" s="729" t="str">
        <f t="shared" ref="AK1020:AK1024" si="2574">IFERROR(IF(Y1020=AB1020,IF(M1020="1.1G",(O1020/1000)*Y1020,""),""),0)</f>
        <v/>
      </c>
      <c r="AL1020" s="729">
        <f t="shared" ref="AL1020:AL1024" si="2575">IFERROR(IF(Y1020=AB1020,IF(M1020="1.3G",(O1020/1000)*AB1020,""),""),0)</f>
        <v>0</v>
      </c>
      <c r="AM1020" s="729" t="str">
        <f t="shared" ref="AM1020:AM1024" si="2576">IFERROR(IF(Y1020=AB1020,IF(M1020="1.4G",(O1020/1000)*AB1020,""),""),0)</f>
        <v/>
      </c>
      <c r="AN1020" s="729">
        <f t="shared" ref="AN1020:AN1024" si="2577">SUM(AK1020:AM1020)</f>
        <v>0</v>
      </c>
      <c r="AO1020" s="380"/>
      <c r="AP1020" s="322" t="str">
        <f t="shared" si="2504"/>
        <v/>
      </c>
      <c r="AQ1020" s="323" t="str">
        <f>IF(AC1020=$V$3,IF(VLOOKUP(C1020,[1]List1!$A:$E,5,FALSE)=0,1,VLOOKUP(C1020,[1]List1!$A:$E,5,FALSE)),"")</f>
        <v/>
      </c>
      <c r="AR1020" s="304" t="str">
        <f t="shared" si="2505"/>
        <v/>
      </c>
      <c r="AS1020" s="423" t="str">
        <f t="shared" si="2506"/>
        <v/>
      </c>
      <c r="AT1020" s="304" t="str">
        <f t="shared" si="2507"/>
        <v/>
      </c>
      <c r="AU1020" s="342" t="e">
        <f t="shared" si="2508"/>
        <v>#N/A</v>
      </c>
      <c r="AV1020" s="304" t="e">
        <f t="shared" si="2509"/>
        <v>#N/A</v>
      </c>
      <c r="AX1020" s="304">
        <f>IF(AND('General price list'!$J1020="F4",'General price list'!$AB1020+0&gt;0),1,0)</f>
        <v>0</v>
      </c>
      <c r="AY1020" s="304">
        <f t="shared" si="2510"/>
        <v>1</v>
      </c>
      <c r="AZ1020" s="304">
        <f t="shared" si="2511"/>
        <v>1</v>
      </c>
    </row>
    <row r="1021" spans="1:52" ht="15" customHeight="1">
      <c r="A1021" s="712" t="str">
        <f>Kat.!C1018</f>
        <v/>
      </c>
      <c r="B1021" s="745">
        <f>IF(AND('General price list'!$J1021="F4",$AI$1=FALSE),0,IF(AC1021="SKLADEM",1,IF(AC1021=$V$3,1,0)))</f>
        <v>0</v>
      </c>
      <c r="C1021" s="714" t="s">
        <v>2065</v>
      </c>
      <c r="D1021" s="715" t="s">
        <v>2040</v>
      </c>
      <c r="E1021" s="716" t="s">
        <v>708</v>
      </c>
      <c r="F1021" s="712">
        <f>IFERROR(ROUND(IF($AL$3=2,VLOOKUP(C1021,[2]List1!$A:$D,2,FALSE)*1.08,VLOOKUP(C1021,[2]List1!$A:$D,2,FALSE)),0),"NEUVEDENO!")</f>
        <v>1029</v>
      </c>
      <c r="G1021" s="717">
        <f t="shared" si="2564"/>
        <v>1029</v>
      </c>
      <c r="H1021" s="718">
        <f t="shared" si="2565"/>
        <v>41.814140412614954</v>
      </c>
      <c r="I1021" s="746">
        <v>12</v>
      </c>
      <c r="J1021" s="716" t="s">
        <v>709</v>
      </c>
      <c r="K1021" s="716"/>
      <c r="L1021" s="716" t="s">
        <v>14400</v>
      </c>
      <c r="M1021" s="716" t="s">
        <v>138</v>
      </c>
      <c r="N1021" s="716">
        <f>IFERROR(VLOOKUP(C1021,[3]List1!$A:$D,4,FALSE),"N/A!")</f>
        <v>5.0625000000000003E-2</v>
      </c>
      <c r="O1021" s="716">
        <f>IFERROR(VLOOKUP(C1021,[3]List1!$A:$D,3,FALSE),"N/A!")</f>
        <v>10800</v>
      </c>
      <c r="P1021" s="716">
        <f>IFERROR(VLOOKUP(C1021,[3]List1!$A:$D,2,FALSE),"N/A!")</f>
        <v>15100</v>
      </c>
      <c r="Q1021" s="716" t="s">
        <v>160</v>
      </c>
      <c r="R1021" s="716" t="s">
        <v>18</v>
      </c>
      <c r="S1021" s="716" t="s">
        <v>14402</v>
      </c>
      <c r="T1021" s="716"/>
      <c r="U1021" s="716">
        <v>90</v>
      </c>
      <c r="V1021" s="716">
        <v>55</v>
      </c>
      <c r="W1021" s="716" t="str">
        <f>IFERROR(VLOOKUP('General price list'!$C1021,Popisy!A:P,MATCH($W$17,Popisy!$A$7:$P$7,0),FALSE),"---------------")</f>
        <v>golden Ti-willow</v>
      </c>
      <c r="X1021" s="716" t="str">
        <f t="shared" si="2566"/>
        <v/>
      </c>
      <c r="Y1021" s="716" t="str">
        <f t="shared" si="2567"/>
        <v/>
      </c>
      <c r="Z1021" s="716" t="str">
        <f>HYPERLINK("https://www.klasekpyrotechnics.cz/s3ia-p")</f>
        <v>https://www.klasekpyrotechnics.cz/s3ia-p</v>
      </c>
      <c r="AA1021" s="716" t="str">
        <f>IFERROR(IF(VLOOKUP(C1021,[4]List1!$A:$D,4,FALSE)=0,"",VLOOKUP(C1021,[4]List1!$A:$D,4,FALSE)),"")</f>
        <v>21</v>
      </c>
      <c r="AB1021" s="720"/>
      <c r="AC1021" s="747" t="str">
        <f>IFERROR(IF(VLOOKUP(C1021,[1]List1!$A:$D,2,FALSE)="VYPRODÁNO",$V$9,IF(VLOOKUP(C1021,[1]List1!$A:$D,2,FALSE)="DOCHÁZÍ",$V$3,VLOOKUP(C1021,[1]List1!$A:$D,2,FALSE))),"OFFLINE!")</f>
        <v>SKLADEM</v>
      </c>
      <c r="AD1021" s="748" t="str">
        <f ca="1">IF(AP1021="NE",$V$10,IF(AC1021=$V$3,IF(AQ1021&lt;1,$V$8,$V$2&amp;" "&amp;AQ1021&amp;" "&amp;$V$1),IF(AC1021="SKLADEM",$V$6,IFERROR(IF(OR(AC1021-TODAY()&gt;45,VLOOKUP(C1021,[1]List1!$A:$E,4,FALSE)=0),AC1021,DAY(AC1021)&amp;"."&amp;MONTH(AC1021)&amp;"."&amp;YEAR(AC1021)&amp;" "&amp;$V$4&amp;VLOOKUP(C1021,[1]List1!$A:$E,4,FALSE)&amp;" "&amp;$V$1),AC1021))))</f>
        <v>SKLADEM</v>
      </c>
      <c r="AE1021" s="716" t="str">
        <f t="shared" ca="1" si="2568"/>
        <v>SKLADEM</v>
      </c>
      <c r="AF1021" s="723">
        <f t="shared" si="2569"/>
        <v>0</v>
      </c>
      <c r="AG1021" s="723">
        <f t="shared" si="2570"/>
        <v>0</v>
      </c>
      <c r="AH1021" s="724">
        <f t="shared" si="2571"/>
        <v>0</v>
      </c>
      <c r="AI1021" s="716">
        <f t="shared" si="2572"/>
        <v>0</v>
      </c>
      <c r="AJ1021" s="716">
        <f t="shared" si="2573"/>
        <v>0</v>
      </c>
      <c r="AK1021" s="716" t="str">
        <f t="shared" si="2574"/>
        <v/>
      </c>
      <c r="AL1021" s="716">
        <f t="shared" si="2575"/>
        <v>0</v>
      </c>
      <c r="AM1021" s="716" t="str">
        <f t="shared" si="2576"/>
        <v/>
      </c>
      <c r="AN1021" s="716">
        <f t="shared" si="2577"/>
        <v>0</v>
      </c>
      <c r="AO1021" s="380"/>
      <c r="AP1021" s="322" t="str">
        <f t="shared" si="2504"/>
        <v/>
      </c>
      <c r="AQ1021" s="323" t="str">
        <f>IF(AC1021=$V$3,IF(VLOOKUP(C1021,[1]List1!$A:$E,5,FALSE)=0,1,VLOOKUP(C1021,[1]List1!$A:$E,5,FALSE)),"")</f>
        <v/>
      </c>
      <c r="AR1021" s="304" t="str">
        <f t="shared" si="2505"/>
        <v/>
      </c>
      <c r="AS1021" s="423" t="str">
        <f t="shared" si="2506"/>
        <v/>
      </c>
      <c r="AT1021" s="304" t="str">
        <f t="shared" si="2507"/>
        <v/>
      </c>
      <c r="AU1021" s="342" t="e">
        <f t="shared" si="2508"/>
        <v>#N/A</v>
      </c>
      <c r="AV1021" s="304" t="e">
        <f t="shared" si="2509"/>
        <v>#N/A</v>
      </c>
      <c r="AX1021" s="304">
        <f>IF(AND('General price list'!$J1021="F4",'General price list'!$AB1021+0&gt;0),1,0)</f>
        <v>0</v>
      </c>
      <c r="AY1021" s="304">
        <f t="shared" si="2510"/>
        <v>1</v>
      </c>
      <c r="AZ1021" s="304">
        <f t="shared" si="2511"/>
        <v>1</v>
      </c>
    </row>
    <row r="1022" spans="1:52" ht="15" customHeight="1">
      <c r="A1022" s="725" t="str">
        <f>Kat.!C1019</f>
        <v/>
      </c>
      <c r="B1022" s="749">
        <f>IF(AND('General price list'!$J1022="F4",$AI$1=FALSE),0,IF(AC1022="SKLADEM",1,IF(AC1022=$V$3,1,0)))</f>
        <v>0</v>
      </c>
      <c r="C1022" s="727" t="s">
        <v>2066</v>
      </c>
      <c r="D1022" s="728" t="s">
        <v>2041</v>
      </c>
      <c r="E1022" s="729" t="s">
        <v>708</v>
      </c>
      <c r="F1022" s="725">
        <f>IFERROR(ROUND(IF($AL$3=2,VLOOKUP(C1022,[2]List1!$A:$D,2,FALSE)*1.08,VLOOKUP(C1022,[2]List1!$A:$D,2,FALSE)),0),"NEUVEDENO!")</f>
        <v>1075</v>
      </c>
      <c r="G1022" s="730">
        <f t="shared" si="2564"/>
        <v>1075</v>
      </c>
      <c r="H1022" s="731">
        <f t="shared" si="2565"/>
        <v>43.683382841167223</v>
      </c>
      <c r="I1022" s="750">
        <v>12</v>
      </c>
      <c r="J1022" s="729" t="s">
        <v>709</v>
      </c>
      <c r="K1022" s="729"/>
      <c r="L1022" s="729" t="s">
        <v>14400</v>
      </c>
      <c r="M1022" s="729" t="s">
        <v>138</v>
      </c>
      <c r="N1022" s="729">
        <f>IFERROR(VLOOKUP(C1022,[3]List1!$A:$D,4,FALSE),"N/A!")</f>
        <v>5.0625000000000003E-2</v>
      </c>
      <c r="O1022" s="729">
        <f>IFERROR(VLOOKUP(C1022,[3]List1!$A:$D,3,FALSE),"N/A!")</f>
        <v>10800</v>
      </c>
      <c r="P1022" s="729">
        <f>IFERROR(VLOOKUP(C1022,[3]List1!$A:$D,2,FALSE),"N/A!")</f>
        <v>15000</v>
      </c>
      <c r="Q1022" s="729" t="s">
        <v>160</v>
      </c>
      <c r="R1022" s="729" t="s">
        <v>18</v>
      </c>
      <c r="S1022" s="729" t="s">
        <v>14402</v>
      </c>
      <c r="T1022" s="729"/>
      <c r="U1022" s="729">
        <v>90</v>
      </c>
      <c r="V1022" s="729">
        <v>55</v>
      </c>
      <c r="W1022" s="729" t="str">
        <f>IFERROR(VLOOKUP('General price list'!$C1022,Popisy!A:P,MATCH($W$17,Popisy!$A$7:$P$7,0),FALSE),"---------------")</f>
        <v>brocade crown crossette</v>
      </c>
      <c r="X1022" s="729" t="str">
        <f t="shared" si="2566"/>
        <v/>
      </c>
      <c r="Y1022" s="729" t="str">
        <f t="shared" si="2567"/>
        <v/>
      </c>
      <c r="Z1022" s="729" t="str">
        <f>HYPERLINK("https://www.klasekpyrotechnics.cz/s3j-p")</f>
        <v>https://www.klasekpyrotechnics.cz/s3j-p</v>
      </c>
      <c r="AA1022" s="729" t="str">
        <f>IFERROR(IF(VLOOKUP(C1022,[4]List1!$A:$D,4,FALSE)=0,"",VLOOKUP(C1022,[4]List1!$A:$D,4,FALSE)),"")</f>
        <v>21</v>
      </c>
      <c r="AB1022" s="720"/>
      <c r="AC1022" s="751" t="str">
        <f>IFERROR(IF(VLOOKUP(C1022,[1]List1!$A:$D,2,FALSE)="VYPRODÁNO",$V$9,IF(VLOOKUP(C1022,[1]List1!$A:$D,2,FALSE)="DOCHÁZÍ",$V$3,VLOOKUP(C1022,[1]List1!$A:$D,2,FALSE))),"OFFLINE!")</f>
        <v>20.06.2024</v>
      </c>
      <c r="AD1022" s="752" t="str">
        <f ca="1">IF(AP1022="NE",$V$10,IF(AC1022=$V$3,IF(AQ1022&lt;1,$V$8,$V$2&amp;" "&amp;AQ1022&amp;" "&amp;$V$1),IF(AC1022="SKLADEM",$V$6,IFERROR(IF(OR(AC1022-TODAY()&gt;45,VLOOKUP(C1022,[1]List1!$A:$E,4,FALSE)=0),AC1022,DAY(AC1022)&amp;"."&amp;MONTH(AC1022)&amp;"."&amp;YEAR(AC1022)&amp;" "&amp;$V$4&amp;VLOOKUP(C1022,[1]List1!$A:$E,4,FALSE)&amp;" "&amp;$V$1),AC1022))))</f>
        <v>20.06.2024</v>
      </c>
      <c r="AE1022" s="729" t="str">
        <f t="shared" ca="1" si="2568"/>
        <v>20.06.2024</v>
      </c>
      <c r="AF1022" s="735">
        <f t="shared" si="2569"/>
        <v>0</v>
      </c>
      <c r="AG1022" s="735">
        <f t="shared" si="2570"/>
        <v>0</v>
      </c>
      <c r="AH1022" s="736">
        <f t="shared" si="2571"/>
        <v>0</v>
      </c>
      <c r="AI1022" s="729">
        <f t="shared" si="2572"/>
        <v>0</v>
      </c>
      <c r="AJ1022" s="729">
        <f t="shared" si="2573"/>
        <v>0</v>
      </c>
      <c r="AK1022" s="729" t="str">
        <f t="shared" si="2574"/>
        <v/>
      </c>
      <c r="AL1022" s="729">
        <f t="shared" si="2575"/>
        <v>0</v>
      </c>
      <c r="AM1022" s="729" t="str">
        <f t="shared" si="2576"/>
        <v/>
      </c>
      <c r="AN1022" s="729">
        <f t="shared" si="2577"/>
        <v>0</v>
      </c>
      <c r="AO1022" s="380"/>
      <c r="AP1022" s="322" t="str">
        <f t="shared" si="2504"/>
        <v/>
      </c>
      <c r="AQ1022" s="323" t="str">
        <f>IF(AC1022=$V$3,IF(VLOOKUP(C1022,[1]List1!$A:$E,5,FALSE)=0,1,VLOOKUP(C1022,[1]List1!$A:$E,5,FALSE)),"")</f>
        <v/>
      </c>
      <c r="AR1022" s="304" t="str">
        <f t="shared" si="2505"/>
        <v/>
      </c>
      <c r="AS1022" s="423" t="str">
        <f t="shared" si="2506"/>
        <v/>
      </c>
      <c r="AT1022" s="304" t="str">
        <f t="shared" si="2507"/>
        <v/>
      </c>
      <c r="AU1022" s="342" t="e">
        <f t="shared" si="2508"/>
        <v>#N/A</v>
      </c>
      <c r="AV1022" s="304" t="e">
        <f t="shared" si="2509"/>
        <v>#N/A</v>
      </c>
      <c r="AX1022" s="304">
        <f>IF(AND('General price list'!$J1022="F4",'General price list'!$AB1022+0&gt;0),1,0)</f>
        <v>0</v>
      </c>
      <c r="AY1022" s="304">
        <f t="shared" si="2510"/>
        <v>1</v>
      </c>
      <c r="AZ1022" s="304">
        <f t="shared" si="2511"/>
        <v>1</v>
      </c>
    </row>
    <row r="1023" spans="1:52" ht="15" customHeight="1">
      <c r="A1023" s="712" t="str">
        <f>Kat.!C1020</f>
        <v/>
      </c>
      <c r="B1023" s="745">
        <f>IF(AND('General price list'!$J1023="F4",$AI$1=FALSE),0,IF(AC1023="SKLADEM",1,IF(AC1023=$V$3,1,0)))</f>
        <v>0</v>
      </c>
      <c r="C1023" s="714" t="s">
        <v>2072</v>
      </c>
      <c r="D1023" s="715" t="s">
        <v>2048</v>
      </c>
      <c r="E1023" s="716" t="s">
        <v>708</v>
      </c>
      <c r="F1023" s="712">
        <f>IFERROR(ROUND(IF($AL$3=2,VLOOKUP(C1023,[2]List1!$A:$D,2,FALSE)*1.08,VLOOKUP(C1023,[2]List1!$A:$D,2,FALSE)),0),"NEUVEDENO!")</f>
        <v>967</v>
      </c>
      <c r="G1023" s="717">
        <f t="shared" si="2564"/>
        <v>967</v>
      </c>
      <c r="H1023" s="718">
        <f t="shared" si="2565"/>
        <v>39.294726704566237</v>
      </c>
      <c r="I1023" s="746">
        <v>12</v>
      </c>
      <c r="J1023" s="716" t="s">
        <v>709</v>
      </c>
      <c r="K1023" s="716"/>
      <c r="L1023" s="716" t="s">
        <v>14400</v>
      </c>
      <c r="M1023" s="716" t="s">
        <v>138</v>
      </c>
      <c r="N1023" s="716">
        <f>IFERROR(VLOOKUP(C1023,[3]List1!$A:$D,4,FALSE),"N/A!")</f>
        <v>5.0625000000000003E-2</v>
      </c>
      <c r="O1023" s="716">
        <f>IFERROR(VLOOKUP(C1023,[3]List1!$A:$D,3,FALSE),"N/A!")</f>
        <v>10800</v>
      </c>
      <c r="P1023" s="716">
        <f>IFERROR(VLOOKUP(C1023,[3]List1!$A:$D,2,FALSE),"N/A!")</f>
        <v>16000</v>
      </c>
      <c r="Q1023" s="716" t="s">
        <v>160</v>
      </c>
      <c r="R1023" s="716" t="s">
        <v>18</v>
      </c>
      <c r="S1023" s="716" t="s">
        <v>14402</v>
      </c>
      <c r="T1023" s="716"/>
      <c r="U1023" s="716">
        <v>90</v>
      </c>
      <c r="V1023" s="716">
        <v>55</v>
      </c>
      <c r="W1023" s="716" t="str">
        <f>IFERROR(VLOOKUP('General price list'!$C1023,Popisy!A:P,MATCH($W$17,Popisy!$A$7:$P$7,0),FALSE),"---------------")</f>
        <v>blood red + silver strobe</v>
      </c>
      <c r="X1023" s="716" t="str">
        <f t="shared" si="2566"/>
        <v/>
      </c>
      <c r="Y1023" s="716" t="str">
        <f t="shared" si="2567"/>
        <v/>
      </c>
      <c r="Z1023" s="716" t="str">
        <f>HYPERLINK("https://www.klasekpyrotechnics.cz/s3s-p")</f>
        <v>https://www.klasekpyrotechnics.cz/s3s-p</v>
      </c>
      <c r="AA1023" s="716" t="str">
        <f>IFERROR(IF(VLOOKUP(C1023,[4]List1!$A:$D,4,FALSE)=0,"",VLOOKUP(C1023,[4]List1!$A:$D,4,FALSE)),"")</f>
        <v>21</v>
      </c>
      <c r="AB1023" s="720"/>
      <c r="AC1023" s="747" t="str">
        <f>IFERROR(IF(VLOOKUP(C1023,[1]List1!$A:$D,2,FALSE)="VYPRODÁNO",$V$9,IF(VLOOKUP(C1023,[1]List1!$A:$D,2,FALSE)="DOCHÁZÍ",$V$3,VLOOKUP(C1023,[1]List1!$A:$D,2,FALSE))),"OFFLINE!")</f>
        <v>15.08.2024</v>
      </c>
      <c r="AD1023" s="748" t="str">
        <f ca="1">IF(AP1023="NE",$V$10,IF(AC1023=$V$3,IF(AQ1023&lt;1,$V$8,$V$2&amp;" "&amp;AQ1023&amp;" "&amp;$V$1),IF(AC1023="SKLADEM",$V$6,IFERROR(IF(OR(AC1023-TODAY()&gt;45,VLOOKUP(C1023,[1]List1!$A:$E,4,FALSE)=0),AC1023,DAY(AC1023)&amp;"."&amp;MONTH(AC1023)&amp;"."&amp;YEAR(AC1023)&amp;" "&amp;$V$4&amp;VLOOKUP(C1023,[1]List1!$A:$E,4,FALSE)&amp;" "&amp;$V$1),AC1023))))</f>
        <v>15.08.2024</v>
      </c>
      <c r="AE1023" s="716" t="str">
        <f t="shared" ca="1" si="2568"/>
        <v>15.08.2024</v>
      </c>
      <c r="AF1023" s="723">
        <f t="shared" si="2569"/>
        <v>0</v>
      </c>
      <c r="AG1023" s="723">
        <f t="shared" si="2570"/>
        <v>0</v>
      </c>
      <c r="AH1023" s="724">
        <f t="shared" si="2571"/>
        <v>0</v>
      </c>
      <c r="AI1023" s="716">
        <f t="shared" si="2572"/>
        <v>0</v>
      </c>
      <c r="AJ1023" s="716">
        <f t="shared" si="2573"/>
        <v>0</v>
      </c>
      <c r="AK1023" s="716" t="str">
        <f t="shared" si="2574"/>
        <v/>
      </c>
      <c r="AL1023" s="716">
        <f t="shared" si="2575"/>
        <v>0</v>
      </c>
      <c r="AM1023" s="716" t="str">
        <f t="shared" si="2576"/>
        <v/>
      </c>
      <c r="AN1023" s="716">
        <f t="shared" si="2577"/>
        <v>0</v>
      </c>
      <c r="AO1023" s="380"/>
      <c r="AP1023" s="322" t="str">
        <f t="shared" si="2504"/>
        <v/>
      </c>
      <c r="AQ1023" s="323" t="str">
        <f>IF(AC1023=$V$3,IF(VLOOKUP(C1023,[1]List1!$A:$E,5,FALSE)=0,1,VLOOKUP(C1023,[1]List1!$A:$E,5,FALSE)),"")</f>
        <v/>
      </c>
      <c r="AR1023" s="304" t="str">
        <f t="shared" si="2505"/>
        <v/>
      </c>
      <c r="AS1023" s="423" t="str">
        <f t="shared" si="2506"/>
        <v/>
      </c>
      <c r="AT1023" s="304" t="str">
        <f t="shared" si="2507"/>
        <v/>
      </c>
      <c r="AU1023" s="342" t="e">
        <f t="shared" si="2508"/>
        <v>#N/A</v>
      </c>
      <c r="AV1023" s="304" t="e">
        <f t="shared" si="2509"/>
        <v>#N/A</v>
      </c>
      <c r="AX1023" s="304">
        <f>IF(AND('General price list'!$J1023="F4",'General price list'!$AB1023+0&gt;0),1,0)</f>
        <v>0</v>
      </c>
      <c r="AY1023" s="304">
        <f t="shared" si="2510"/>
        <v>1</v>
      </c>
      <c r="AZ1023" s="304">
        <f t="shared" si="2511"/>
        <v>1</v>
      </c>
    </row>
    <row r="1024" spans="1:52" ht="15" customHeight="1">
      <c r="A1024" s="725" t="str">
        <f>Kat.!C1021</f>
        <v/>
      </c>
      <c r="B1024" s="749">
        <f>IF(AND('General price list'!$J1024="F4",$AI$1=FALSE),0,IF(AC1024="SKLADEM",1,IF(AC1024=$V$3,1,0)))</f>
        <v>0</v>
      </c>
      <c r="C1024" s="727" t="s">
        <v>2077</v>
      </c>
      <c r="D1024" s="728" t="s">
        <v>2078</v>
      </c>
      <c r="E1024" s="729" t="s">
        <v>708</v>
      </c>
      <c r="F1024" s="725">
        <f>IFERROR(ROUND(IF($AL$3=2,VLOOKUP(C1024,[2]List1!$A:$D,2,FALSE)*1.08,VLOOKUP(C1024,[2]List1!$A:$D,2,FALSE)),0),"NEUVEDENO!")</f>
        <v>965</v>
      </c>
      <c r="G1024" s="730">
        <f t="shared" si="2564"/>
        <v>965</v>
      </c>
      <c r="H1024" s="731">
        <f t="shared" si="2565"/>
        <v>39.213455294629185</v>
      </c>
      <c r="I1024" s="750">
        <v>12</v>
      </c>
      <c r="J1024" s="729" t="s">
        <v>709</v>
      </c>
      <c r="K1024" s="729"/>
      <c r="L1024" s="729" t="s">
        <v>14400</v>
      </c>
      <c r="M1024" s="729" t="s">
        <v>138</v>
      </c>
      <c r="N1024" s="729">
        <f>IFERROR(VLOOKUP(C1024,[3]List1!$A:$D,4,FALSE),"N/A!")</f>
        <v>5.0625000000000003E-2</v>
      </c>
      <c r="O1024" s="729">
        <f>IFERROR(VLOOKUP(C1024,[3]List1!$A:$D,3,FALSE),"N/A!")</f>
        <v>10800</v>
      </c>
      <c r="P1024" s="729">
        <f>IFERROR(VLOOKUP(C1024,[3]List1!$A:$D,2,FALSE),"N/A!")</f>
        <v>15600</v>
      </c>
      <c r="Q1024" s="729" t="s">
        <v>160</v>
      </c>
      <c r="R1024" s="729" t="s">
        <v>18</v>
      </c>
      <c r="S1024" s="729" t="s">
        <v>14402</v>
      </c>
      <c r="T1024" s="729"/>
      <c r="U1024" s="729">
        <v>90</v>
      </c>
      <c r="V1024" s="729">
        <v>55</v>
      </c>
      <c r="W1024" s="729" t="str">
        <f>IFERROR(VLOOKUP('General price list'!$C1024,Popisy!A:P,MATCH($W$17,Popisy!$A$7:$P$7,0),FALSE),"---------------")</f>
        <v>Mixed carton contains-premiun quality(each box including: silver tail to red wave w.crackling, flower crown chrysant.to blue, silver tail to silver strobe, delay cracker willow, golden ti willow, silver tail to silver palm tree)</v>
      </c>
      <c r="X1024" s="729" t="str">
        <f t="shared" si="2566"/>
        <v/>
      </c>
      <c r="Y1024" s="729" t="str">
        <f t="shared" si="2567"/>
        <v/>
      </c>
      <c r="Z1024" s="729" t="str">
        <f>HYPERLINK("https://www.klasekpyrotechnics.cz/s3m-p")</f>
        <v>https://www.klasekpyrotechnics.cz/s3m-p</v>
      </c>
      <c r="AA1024" s="729" t="str">
        <f>IFERROR(IF(VLOOKUP(C1024,[4]List1!$A:$D,4,FALSE)=0,"",VLOOKUP(C1024,[4]List1!$A:$D,4,FALSE)),"")</f>
        <v>21</v>
      </c>
      <c r="AB1024" s="720"/>
      <c r="AC1024" s="751" t="str">
        <f>IFERROR(IF(VLOOKUP(C1024,[1]List1!$A:$D,2,FALSE)="VYPRODÁNO",$V$9,IF(VLOOKUP(C1024,[1]List1!$A:$D,2,FALSE)="DOCHÁZÍ",$V$3,VLOOKUP(C1024,[1]List1!$A:$D,2,FALSE))),"OFFLINE!")</f>
        <v>SKLADEM</v>
      </c>
      <c r="AD1024" s="752" t="str">
        <f ca="1">IF(AP1024="NE",$V$10,IF(AC1024=$V$3,IF(AQ1024&lt;1,$V$8,$V$2&amp;" "&amp;AQ1024&amp;" "&amp;$V$1),IF(AC1024="SKLADEM",$V$6,IFERROR(IF(OR(AC1024-TODAY()&gt;45,VLOOKUP(C1024,[1]List1!$A:$E,4,FALSE)=0),AC1024,DAY(AC1024)&amp;"."&amp;MONTH(AC1024)&amp;"."&amp;YEAR(AC1024)&amp;" "&amp;$V$4&amp;VLOOKUP(C1024,[1]List1!$A:$E,4,FALSE)&amp;" "&amp;$V$1),AC1024))))</f>
        <v>SKLADEM</v>
      </c>
      <c r="AE1024" s="729" t="str">
        <f t="shared" ca="1" si="2568"/>
        <v>SKLADEM</v>
      </c>
      <c r="AF1024" s="735">
        <f t="shared" si="2569"/>
        <v>0</v>
      </c>
      <c r="AG1024" s="735">
        <f t="shared" si="2570"/>
        <v>0</v>
      </c>
      <c r="AH1024" s="736">
        <f t="shared" si="2571"/>
        <v>0</v>
      </c>
      <c r="AI1024" s="729">
        <f t="shared" si="2572"/>
        <v>0</v>
      </c>
      <c r="AJ1024" s="729">
        <f t="shared" si="2573"/>
        <v>0</v>
      </c>
      <c r="AK1024" s="729" t="str">
        <f t="shared" si="2574"/>
        <v/>
      </c>
      <c r="AL1024" s="729">
        <f t="shared" si="2575"/>
        <v>0</v>
      </c>
      <c r="AM1024" s="729" t="str">
        <f t="shared" si="2576"/>
        <v/>
      </c>
      <c r="AN1024" s="729">
        <f t="shared" si="2577"/>
        <v>0</v>
      </c>
      <c r="AO1024" s="380"/>
      <c r="AP1024" s="322" t="str">
        <f t="shared" si="2504"/>
        <v/>
      </c>
      <c r="AQ1024" s="323" t="str">
        <f>IF(AC1024=$V$3,IF(VLOOKUP(C1024,[1]List1!$A:$E,5,FALSE)=0,1,VLOOKUP(C1024,[1]List1!$A:$E,5,FALSE)),"")</f>
        <v/>
      </c>
      <c r="AR1024" s="304" t="str">
        <f t="shared" si="2505"/>
        <v/>
      </c>
      <c r="AS1024" s="423" t="str">
        <f t="shared" si="2506"/>
        <v/>
      </c>
      <c r="AT1024" s="304" t="str">
        <f t="shared" si="2507"/>
        <v/>
      </c>
      <c r="AU1024" s="342" t="e">
        <f t="shared" si="2508"/>
        <v>#N/A</v>
      </c>
      <c r="AV1024" s="304" t="e">
        <f t="shared" si="2509"/>
        <v>#N/A</v>
      </c>
      <c r="AX1024" s="304">
        <f>IF(AND('General price list'!$J1024="F4",'General price list'!$AB1024+0&gt;0),1,0)</f>
        <v>0</v>
      </c>
      <c r="AY1024" s="304">
        <f t="shared" si="2510"/>
        <v>1</v>
      </c>
      <c r="AZ1024" s="304">
        <f t="shared" si="2511"/>
        <v>1</v>
      </c>
    </row>
    <row r="1025" spans="1:52" ht="15" customHeight="1">
      <c r="A1025" s="773" t="str">
        <f>Kat.!C1022</f>
        <v xml:space="preserve">                                                               Kulové pumy 100mm</v>
      </c>
      <c r="B1025" s="774"/>
      <c r="C1025" s="774"/>
      <c r="D1025" s="774"/>
      <c r="E1025" s="774"/>
      <c r="F1025" s="774"/>
      <c r="G1025" s="774"/>
      <c r="H1025" s="774"/>
      <c r="I1025" s="774"/>
      <c r="J1025" s="774"/>
      <c r="K1025" s="774"/>
      <c r="L1025" s="774"/>
      <c r="M1025" s="774"/>
      <c r="N1025" s="774"/>
      <c r="O1025" s="774"/>
      <c r="P1025" s="774"/>
      <c r="Q1025" s="774"/>
      <c r="R1025" s="774"/>
      <c r="S1025" s="774"/>
      <c r="T1025" s="774"/>
      <c r="U1025" s="774"/>
      <c r="V1025" s="774"/>
      <c r="W1025" s="774"/>
      <c r="X1025" s="774"/>
      <c r="Y1025" s="774"/>
      <c r="Z1025" s="774"/>
      <c r="AA1025" s="774" t="str">
        <f>IFERROR(IF(VLOOKUP(C1025,[4]List1!$A:$D,4,FALSE)=0,"",VLOOKUP(C1025,[4]List1!$A:$D,4,FALSE)),"")</f>
        <v/>
      </c>
      <c r="AB1025" s="774"/>
      <c r="AC1025" s="775" t="str">
        <f>IFERROR(IF(VLOOKUP(C1025,[1]List1!$A:$D,2,FALSE)="VYPRODÁNO",$V$9,IF(VLOOKUP(C1025,[1]List1!$A:$D,2,FALSE)="DOCHÁZÍ",$V$3,VLOOKUP(C1025,[1]List1!$A:$D,2,FALSE))),"OFFLINE!")</f>
        <v>OFFLINE!</v>
      </c>
      <c r="AD1025" s="774"/>
      <c r="AE1025" s="774"/>
      <c r="AF1025" s="774"/>
      <c r="AG1025" s="774"/>
      <c r="AH1025" s="774"/>
      <c r="AI1025" s="774"/>
      <c r="AJ1025" s="774"/>
      <c r="AK1025" s="774"/>
      <c r="AL1025" s="774"/>
      <c r="AM1025" s="774"/>
      <c r="AN1025" s="774"/>
      <c r="AO1025" s="380"/>
      <c r="AP1025" s="322" t="str">
        <f t="shared" si="2504"/>
        <v/>
      </c>
      <c r="AQ1025" s="323" t="str">
        <f>IF(AC1025=$V$3,IF(VLOOKUP(C1025,[1]List1!$A:$E,5,FALSE)=0,1,VLOOKUP(C1025,[1]List1!$A:$E,5,FALSE)),"")</f>
        <v/>
      </c>
      <c r="AR1025" s="304" t="str">
        <f t="shared" si="2505"/>
        <v/>
      </c>
      <c r="AS1025" s="423" t="str">
        <f t="shared" si="2506"/>
        <v/>
      </c>
      <c r="AT1025" s="304" t="str">
        <f t="shared" si="2507"/>
        <v/>
      </c>
      <c r="AU1025" s="342" t="e">
        <f t="shared" si="2508"/>
        <v>#N/A</v>
      </c>
      <c r="AV1025" s="304" t="e">
        <f t="shared" si="2509"/>
        <v>#N/A</v>
      </c>
      <c r="AX1025" s="304">
        <f>IF(AND('General price list'!$J1025="F4",'General price list'!$AB1025+0&gt;0),1,0)</f>
        <v>0</v>
      </c>
      <c r="AY1025" s="304">
        <f t="shared" si="2510"/>
        <v>0</v>
      </c>
      <c r="AZ1025" s="304">
        <f t="shared" si="2511"/>
        <v>0</v>
      </c>
    </row>
    <row r="1026" spans="1:52" ht="15" customHeight="1">
      <c r="A1026" s="725" t="str">
        <f>Kat.!C1023</f>
        <v/>
      </c>
      <c r="B1026" s="741">
        <f>IF(AND('General price list'!$J1026="F4",$AI$1=FALSE),0,IF(AC1026="SKLADEM",1,IF(AC1026=$V$3,1,0)))</f>
        <v>0</v>
      </c>
      <c r="C1026" s="727" t="s">
        <v>2118</v>
      </c>
      <c r="D1026" s="728" t="s">
        <v>2119</v>
      </c>
      <c r="E1026" s="729" t="s">
        <v>415</v>
      </c>
      <c r="F1026" s="725">
        <f>IFERROR(ROUND(IF($AL$3=2,VLOOKUP(C1026,[2]List1!$A:$D,2,FALSE)*1.08,VLOOKUP(C1026,[2]List1!$A:$D,2,FALSE)),0),"NEUVEDENO!")</f>
        <v>1430</v>
      </c>
      <c r="G1026" s="730">
        <f>(F1026)*$B$19</f>
        <v>1430</v>
      </c>
      <c r="H1026" s="731">
        <f>G1026/$F$19</f>
        <v>58.109058104994538</v>
      </c>
      <c r="I1026" s="742">
        <v>9</v>
      </c>
      <c r="J1026" s="729" t="s">
        <v>709</v>
      </c>
      <c r="K1026" s="729"/>
      <c r="L1026" s="729" t="s">
        <v>14400</v>
      </c>
      <c r="M1026" s="729" t="s">
        <v>138</v>
      </c>
      <c r="N1026" s="729">
        <f>IFERROR(VLOOKUP(C1026,[3]List1!$A:$D,4,FALSE),"N/A!")</f>
        <v>5.0592000000000005E-2</v>
      </c>
      <c r="O1026" s="729">
        <f>IFERROR(VLOOKUP(C1026,[3]List1!$A:$D,3,FALSE),"N/A!")</f>
        <v>10800</v>
      </c>
      <c r="P1026" s="729">
        <f>IFERROR(VLOOKUP(C1026,[3]List1!$A:$D,2,FALSE),"N/A!")</f>
        <v>13600</v>
      </c>
      <c r="Q1026" s="729" t="s">
        <v>160</v>
      </c>
      <c r="R1026" s="729" t="s">
        <v>18</v>
      </c>
      <c r="S1026" s="729" t="s">
        <v>14402</v>
      </c>
      <c r="T1026" s="729"/>
      <c r="U1026" s="729"/>
      <c r="V1026" s="729"/>
      <c r="W1026" s="729" t="str">
        <f>IFERROR(VLOOKUP('General price list'!$C1026,Popisy!A:P,MATCH($W$17,Popisy!$A$7:$P$7,0),FALSE),"---------------")</f>
        <v>silver tail to titanium salute</v>
      </c>
      <c r="X1026" s="729" t="str">
        <f>IF(AB1026&lt;0.0001,"",AB1026)</f>
        <v/>
      </c>
      <c r="Y1026" s="729" t="str">
        <f>IF($AL$3=2,IF(OR(AB1026&lt;&gt;"",AB1026&lt;&gt;0),AU1026,""),IF(C1026="","",IF(AB1026&lt;0.0001,"",IF(B1026=0,"",IF(AQ1026&lt;AB1026,"",AB1026)))))</f>
        <v/>
      </c>
      <c r="Z1026" s="729" t="str">
        <f>HYPERLINK("https://www.klasekpyrotechnics.cz/s4t")</f>
        <v>https://www.klasekpyrotechnics.cz/s4t</v>
      </c>
      <c r="AA1026" s="729" t="str">
        <f>IFERROR(IF(VLOOKUP(C1026,[4]List1!$A:$D,4,FALSE)=0,"",VLOOKUP(C1026,[4]List1!$A:$D,4,FALSE)),"")</f>
        <v>24</v>
      </c>
      <c r="AB1026" s="720"/>
      <c r="AC1026" s="743" t="str">
        <f>IFERROR(IF(VLOOKUP(C1026,[1]List1!$A:$D,2,FALSE)="VYPRODÁNO",$V$9,IF(VLOOKUP(C1026,[1]List1!$A:$D,2,FALSE)="DOCHÁZÍ",$V$3,VLOOKUP(C1026,[1]List1!$A:$D,2,FALSE))),"OFFLINE!")</f>
        <v>15.06.2024</v>
      </c>
      <c r="AD1026" s="744" t="str">
        <f ca="1">IF(AP1026="NE",$V$10,IF(AC1026=$V$3,IF(AQ1026&lt;1,$V$8,$V$2&amp;" "&amp;AQ1026&amp;" "&amp;$V$1),IF(AC1026="SKLADEM",$V$6,IFERROR(IF(OR(AC1026-TODAY()&gt;45,VLOOKUP(C1026,[1]List1!$A:$E,4,FALSE)=0),AC1026,DAY(AC1026)&amp;"."&amp;MONTH(AC1026)&amp;"."&amp;YEAR(AC1026)&amp;" "&amp;$V$4&amp;VLOOKUP(C1026,[1]List1!$A:$E,4,FALSE)&amp;" "&amp;$V$1),AC1026))))</f>
        <v>15.06.2024</v>
      </c>
      <c r="AE1026" s="729" t="str">
        <f t="shared" ref="AE1026" ca="1" si="2578">IFERROR(IF(AV1026&lt;&gt;"",AV1026,AD1026),AD1026)</f>
        <v>15.06.2024</v>
      </c>
      <c r="AF1026" s="735">
        <f t="shared" ref="AF1026" si="2579">IFERROR(IF(AB1026=Y1026,G1026*I1026*Y1026,0),0)</f>
        <v>0</v>
      </c>
      <c r="AG1026" s="735">
        <f t="shared" ref="AG1026" si="2580">IF($W$17=$AF$8,AH1026*1.23,AF1026*1.21)</f>
        <v>0</v>
      </c>
      <c r="AH1026" s="736">
        <f t="shared" ref="AH1026" si="2581">IFERROR(IF(Y1026=AB1026,H1026*I1026*Y1026,0),0)</f>
        <v>0</v>
      </c>
      <c r="AI1026" s="729">
        <f t="shared" ref="AI1026" si="2582">IFERROR(IF(Y1026=AB1026,(P1026*Y1026)/1000,1),0)</f>
        <v>0</v>
      </c>
      <c r="AJ1026" s="729">
        <f t="shared" ref="AJ1026" si="2583">IFERROR(IF(Y1026=AB1026,N1026*Y1026,0.1),0)</f>
        <v>0</v>
      </c>
      <c r="AK1026" s="729" t="str">
        <f t="shared" ref="AK1026" si="2584">IFERROR(IF(Y1026=AB1026,IF(M1026="1.1G",(O1026/1000)*Y1026,""),""),0)</f>
        <v/>
      </c>
      <c r="AL1026" s="729">
        <f t="shared" ref="AL1026" si="2585">IFERROR(IF(Y1026=AB1026,IF(M1026="1.3G",(O1026/1000)*AB1026,""),""),0)</f>
        <v>0</v>
      </c>
      <c r="AM1026" s="729" t="str">
        <f t="shared" ref="AM1026" si="2586">IFERROR(IF(Y1026=AB1026,IF(M1026="1.4G",(O1026/1000)*AB1026,""),""),0)</f>
        <v/>
      </c>
      <c r="AN1026" s="729">
        <f t="shared" ref="AN1026" si="2587">SUM(AK1026:AM1026)</f>
        <v>0</v>
      </c>
      <c r="AO1026" s="380"/>
      <c r="AP1026" s="322" t="str">
        <f t="shared" si="2504"/>
        <v/>
      </c>
      <c r="AQ1026" s="323" t="str">
        <f>IF(AC1026=$V$3,IF(VLOOKUP(C1026,[1]List1!$A:$E,5,FALSE)=0,1,VLOOKUP(C1026,[1]List1!$A:$E,5,FALSE)),"")</f>
        <v/>
      </c>
      <c r="AR1026" s="304" t="str">
        <f t="shared" si="2505"/>
        <v/>
      </c>
      <c r="AS1026" s="423" t="str">
        <f t="shared" si="2506"/>
        <v/>
      </c>
      <c r="AT1026" s="304" t="str">
        <f t="shared" si="2507"/>
        <v/>
      </c>
      <c r="AU1026" s="342" t="e">
        <f t="shared" si="2508"/>
        <v>#N/A</v>
      </c>
      <c r="AV1026" s="304" t="e">
        <f t="shared" si="2509"/>
        <v>#N/A</v>
      </c>
      <c r="AX1026" s="304">
        <f>IF(AND('General price list'!$J1026="F4",'General price list'!$AB1026+0&gt;0),1,0)</f>
        <v>0</v>
      </c>
      <c r="AY1026" s="304">
        <f t="shared" si="2510"/>
        <v>1</v>
      </c>
      <c r="AZ1026" s="304">
        <f t="shared" si="2511"/>
        <v>1</v>
      </c>
    </row>
    <row r="1027" spans="1:52" ht="15" customHeight="1">
      <c r="A1027" s="773" t="str">
        <f>Kat.!C1024</f>
        <v xml:space="preserve">                                                               Kulové pumy 100mm, prémiová kvalita</v>
      </c>
      <c r="B1027" s="774"/>
      <c r="C1027" s="774"/>
      <c r="D1027" s="774"/>
      <c r="E1027" s="774"/>
      <c r="F1027" s="774"/>
      <c r="G1027" s="774"/>
      <c r="H1027" s="774"/>
      <c r="I1027" s="774"/>
      <c r="J1027" s="774"/>
      <c r="K1027" s="774"/>
      <c r="L1027" s="774"/>
      <c r="M1027" s="774"/>
      <c r="N1027" s="774"/>
      <c r="O1027" s="774"/>
      <c r="P1027" s="774"/>
      <c r="Q1027" s="774"/>
      <c r="R1027" s="774"/>
      <c r="S1027" s="774"/>
      <c r="T1027" s="774"/>
      <c r="U1027" s="774"/>
      <c r="V1027" s="774"/>
      <c r="W1027" s="774"/>
      <c r="X1027" s="774"/>
      <c r="Y1027" s="774"/>
      <c r="Z1027" s="774"/>
      <c r="AA1027" s="774" t="str">
        <f>IFERROR(IF(VLOOKUP(C1027,[4]List1!$A:$D,4,FALSE)=0,"",VLOOKUP(C1027,[4]List1!$A:$D,4,FALSE)),"")</f>
        <v/>
      </c>
      <c r="AB1027" s="774"/>
      <c r="AC1027" s="775" t="str">
        <f>IFERROR(IF(VLOOKUP(C1027,[1]List1!$A:$D,2,FALSE)="VYPRODÁNO",$V$9,IF(VLOOKUP(C1027,[1]List1!$A:$D,2,FALSE)="DOCHÁZÍ",$V$3,VLOOKUP(C1027,[1]List1!$A:$D,2,FALSE))),"OFFLINE!")</f>
        <v>OFFLINE!</v>
      </c>
      <c r="AD1027" s="774"/>
      <c r="AE1027" s="774"/>
      <c r="AF1027" s="774"/>
      <c r="AG1027" s="774"/>
      <c r="AH1027" s="774"/>
      <c r="AI1027" s="774"/>
      <c r="AJ1027" s="774"/>
      <c r="AK1027" s="774"/>
      <c r="AL1027" s="774"/>
      <c r="AM1027" s="774"/>
      <c r="AN1027" s="774"/>
      <c r="AO1027" s="380"/>
      <c r="AP1027" s="322" t="str">
        <f t="shared" si="2504"/>
        <v/>
      </c>
      <c r="AQ1027" s="323" t="str">
        <f>IF(AC1027=$V$3,IF(VLOOKUP(C1027,[1]List1!$A:$E,5,FALSE)=0,1,VLOOKUP(C1027,[1]List1!$A:$E,5,FALSE)),"")</f>
        <v/>
      </c>
      <c r="AR1027" s="304" t="str">
        <f t="shared" si="2505"/>
        <v/>
      </c>
      <c r="AS1027" s="423" t="str">
        <f t="shared" si="2506"/>
        <v/>
      </c>
      <c r="AT1027" s="304" t="str">
        <f t="shared" si="2507"/>
        <v/>
      </c>
      <c r="AU1027" s="342" t="e">
        <f t="shared" si="2508"/>
        <v>#N/A</v>
      </c>
      <c r="AV1027" s="304" t="e">
        <f t="shared" si="2509"/>
        <v>#N/A</v>
      </c>
      <c r="AX1027" s="304">
        <f>IF(AND('General price list'!$J1027="F4",'General price list'!$AB1027+0&gt;0),1,0)</f>
        <v>0</v>
      </c>
      <c r="AY1027" s="304">
        <f t="shared" si="2510"/>
        <v>0</v>
      </c>
      <c r="AZ1027" s="304">
        <f t="shared" si="2511"/>
        <v>0</v>
      </c>
    </row>
    <row r="1028" spans="1:52" ht="15" customHeight="1">
      <c r="A1028" s="725" t="str">
        <f>Kat.!C1025</f>
        <v/>
      </c>
      <c r="B1028" s="741">
        <f>IF(AND('General price list'!$J1028="F4",$AI$1=FALSE),0,IF(AC1028="SKLADEM",1,IF(AC1028=$V$3,1,0)))</f>
        <v>0</v>
      </c>
      <c r="C1028" s="727" t="s">
        <v>2124</v>
      </c>
      <c r="D1028" s="728" t="s">
        <v>2082</v>
      </c>
      <c r="E1028" s="729" t="s">
        <v>415</v>
      </c>
      <c r="F1028" s="725">
        <f>IFERROR(ROUND(IF($AL$3=2,VLOOKUP(C1028,[2]List1!$A:$D,2,FALSE)*1.08,VLOOKUP(C1028,[2]List1!$A:$D,2,FALSE)),0),"NEUVEDENO!")</f>
        <v>1200</v>
      </c>
      <c r="G1028" s="730">
        <f t="shared" ref="G1028:G1043" si="2588">(F1028)*$B$19</f>
        <v>1200</v>
      </c>
      <c r="H1028" s="731">
        <f t="shared" ref="H1028:H1043" si="2589">G1028/$F$19</f>
        <v>48.762845962233179</v>
      </c>
      <c r="I1028" s="742">
        <v>9</v>
      </c>
      <c r="J1028" s="729" t="s">
        <v>709</v>
      </c>
      <c r="K1028" s="729"/>
      <c r="L1028" s="729" t="s">
        <v>14400</v>
      </c>
      <c r="M1028" s="729" t="s">
        <v>138</v>
      </c>
      <c r="N1028" s="729">
        <f>IFERROR(VLOOKUP(C1028,[3]List1!$A:$D,4,FALSE),"N/A!")</f>
        <v>5.0592000000000005E-2</v>
      </c>
      <c r="O1028" s="729">
        <f>IFERROR(VLOOKUP(C1028,[3]List1!$A:$D,3,FALSE),"N/A!")</f>
        <v>10800</v>
      </c>
      <c r="P1028" s="729">
        <f>IFERROR(VLOOKUP(C1028,[3]List1!$A:$D,2,FALSE),"N/A!")</f>
        <v>15700</v>
      </c>
      <c r="Q1028" s="729" t="s">
        <v>45</v>
      </c>
      <c r="R1028" s="729" t="s">
        <v>18</v>
      </c>
      <c r="S1028" s="729" t="s">
        <v>14402</v>
      </c>
      <c r="T1028" s="729"/>
      <c r="U1028" s="729">
        <v>120</v>
      </c>
      <c r="V1028" s="729">
        <v>70</v>
      </c>
      <c r="W1028" s="729" t="str">
        <f>IFERROR(VLOOKUP('General price list'!$C1028,Popisy!A:P,MATCH($W$17,Popisy!$A$7:$P$7,0),FALSE),"---------------")</f>
        <v>glitter.palm tree</v>
      </c>
      <c r="X1028" s="729" t="str">
        <f t="shared" ref="X1028:X1043" si="2590">IF(AB1028&lt;0.0001,"",AB1028)</f>
        <v/>
      </c>
      <c r="Y1028" s="729" t="str">
        <f t="shared" ref="Y1028:Y1043" si="2591">IF($AL$3=2,IF(OR(AB1028&lt;&gt;"",AB1028&lt;&gt;0),AU1028,""),IF(C1028="","",IF(AB1028&lt;0.0001,"",IF(B1028=0,"",IF(AQ1028&lt;AB1028,"",AB1028)))))</f>
        <v/>
      </c>
      <c r="Z1028" s="729" t="str">
        <f>HYPERLINK("https://www.klasekpyrotechnics.cz/s4c-p")</f>
        <v>https://www.klasekpyrotechnics.cz/s4c-p</v>
      </c>
      <c r="AA1028" s="729" t="str">
        <f>IFERROR(IF(VLOOKUP(C1028,[4]List1!$A:$D,4,FALSE)=0,"",VLOOKUP(C1028,[4]List1!$A:$D,4,FALSE)),"")</f>
        <v>24</v>
      </c>
      <c r="AB1028" s="720"/>
      <c r="AC1028" s="743" t="str">
        <f>IFERROR(IF(VLOOKUP(C1028,[1]List1!$A:$D,2,FALSE)="VYPRODÁNO",$V$9,IF(VLOOKUP(C1028,[1]List1!$A:$D,2,FALSE)="DOCHÁZÍ",$V$3,VLOOKUP(C1028,[1]List1!$A:$D,2,FALSE))),"OFFLINE!")</f>
        <v>SKLADEM</v>
      </c>
      <c r="AD1028" s="744" t="str">
        <f ca="1">IF(AP1028="NE",$V$10,IF(AC1028=$V$3,IF(AQ1028&lt;1,$V$8,$V$2&amp;" "&amp;AQ1028&amp;" "&amp;$V$1),IF(AC1028="SKLADEM",$V$6,IFERROR(IF(OR(AC1028-TODAY()&gt;45,VLOOKUP(C1028,[1]List1!$A:$E,4,FALSE)=0),AC1028,DAY(AC1028)&amp;"."&amp;MONTH(AC1028)&amp;"."&amp;YEAR(AC1028)&amp;" "&amp;$V$4&amp;VLOOKUP(C1028,[1]List1!$A:$E,4,FALSE)&amp;" "&amp;$V$1),AC1028))))</f>
        <v>SKLADEM</v>
      </c>
      <c r="AE1028" s="729" t="str">
        <f t="shared" ref="AE1028:AE1043" ca="1" si="2592">IFERROR(IF(AV1028&lt;&gt;"",AV1028,AD1028),AD1028)</f>
        <v>SKLADEM</v>
      </c>
      <c r="AF1028" s="735">
        <f t="shared" ref="AF1028:AF1043" si="2593">IFERROR(IF(AB1028=Y1028,G1028*I1028*Y1028,0),0)</f>
        <v>0</v>
      </c>
      <c r="AG1028" s="735">
        <f t="shared" ref="AG1028:AG1043" si="2594">IF($W$17=$AF$8,AH1028*1.23,AF1028*1.21)</f>
        <v>0</v>
      </c>
      <c r="AH1028" s="736">
        <f t="shared" ref="AH1028:AH1043" si="2595">IFERROR(IF(Y1028=AB1028,H1028*I1028*Y1028,0),0)</f>
        <v>0</v>
      </c>
      <c r="AI1028" s="729">
        <f t="shared" ref="AI1028:AI1043" si="2596">IFERROR(IF(Y1028=AB1028,(P1028*Y1028)/1000,1),0)</f>
        <v>0</v>
      </c>
      <c r="AJ1028" s="729">
        <f t="shared" ref="AJ1028:AJ1043" si="2597">IFERROR(IF(Y1028=AB1028,N1028*Y1028,0.1),0)</f>
        <v>0</v>
      </c>
      <c r="AK1028" s="729" t="str">
        <f t="shared" ref="AK1028:AK1043" si="2598">IFERROR(IF(Y1028=AB1028,IF(M1028="1.1G",(O1028/1000)*Y1028,""),""),0)</f>
        <v/>
      </c>
      <c r="AL1028" s="729">
        <f t="shared" ref="AL1028:AL1043" si="2599">IFERROR(IF(Y1028=AB1028,IF(M1028="1.3G",(O1028/1000)*AB1028,""),""),0)</f>
        <v>0</v>
      </c>
      <c r="AM1028" s="729" t="str">
        <f t="shared" ref="AM1028:AM1043" si="2600">IFERROR(IF(Y1028=AB1028,IF(M1028="1.4G",(O1028/1000)*AB1028,""),""),0)</f>
        <v/>
      </c>
      <c r="AN1028" s="729">
        <f t="shared" ref="AN1028:AN1043" si="2601">SUM(AK1028:AM1028)</f>
        <v>0</v>
      </c>
      <c r="AO1028" s="380"/>
      <c r="AP1028" s="322" t="str">
        <f t="shared" si="2504"/>
        <v/>
      </c>
      <c r="AQ1028" s="323" t="str">
        <f>IF(AC1028=$V$3,IF(VLOOKUP(C1028,[1]List1!$A:$E,5,FALSE)=0,1,VLOOKUP(C1028,[1]List1!$A:$E,5,FALSE)),"")</f>
        <v/>
      </c>
      <c r="AR1028" s="304" t="str">
        <f t="shared" si="2505"/>
        <v/>
      </c>
      <c r="AS1028" s="423" t="str">
        <f t="shared" si="2506"/>
        <v/>
      </c>
      <c r="AT1028" s="304" t="str">
        <f t="shared" si="2507"/>
        <v/>
      </c>
      <c r="AU1028" s="342" t="e">
        <f t="shared" si="2508"/>
        <v>#N/A</v>
      </c>
      <c r="AV1028" s="304" t="e">
        <f t="shared" si="2509"/>
        <v>#N/A</v>
      </c>
      <c r="AX1028" s="304">
        <f>IF(AND('General price list'!$J1028="F4",'General price list'!$AB1028+0&gt;0),1,0)</f>
        <v>0</v>
      </c>
      <c r="AY1028" s="304">
        <f t="shared" si="2510"/>
        <v>1</v>
      </c>
      <c r="AZ1028" s="304">
        <f t="shared" si="2511"/>
        <v>1</v>
      </c>
    </row>
    <row r="1029" spans="1:52" ht="15" customHeight="1">
      <c r="A1029" s="712" t="str">
        <f>Kat.!C1026</f>
        <v/>
      </c>
      <c r="B1029" s="745">
        <f>IF(AND('General price list'!$J1029="F4",$AI$1=FALSE),0,IF(AC1029="SKLADEM",1,IF(AC1029=$V$3,1,0)))</f>
        <v>0</v>
      </c>
      <c r="C1029" s="714" t="s">
        <v>2131</v>
      </c>
      <c r="D1029" s="715" t="s">
        <v>2088</v>
      </c>
      <c r="E1029" s="716" t="s">
        <v>415</v>
      </c>
      <c r="F1029" s="712">
        <f>IFERROR(ROUND(IF($AL$3=2,VLOOKUP(C1029,[2]List1!$A:$D,2,FALSE)*1.08,VLOOKUP(C1029,[2]List1!$A:$D,2,FALSE)),0),"NEUVEDENO!")</f>
        <v>1200</v>
      </c>
      <c r="G1029" s="717">
        <f t="shared" si="2588"/>
        <v>1200</v>
      </c>
      <c r="H1029" s="718">
        <f t="shared" si="2589"/>
        <v>48.762845962233179</v>
      </c>
      <c r="I1029" s="746">
        <v>9</v>
      </c>
      <c r="J1029" s="716" t="s">
        <v>709</v>
      </c>
      <c r="K1029" s="716"/>
      <c r="L1029" s="716" t="s">
        <v>14400</v>
      </c>
      <c r="M1029" s="716" t="s">
        <v>138</v>
      </c>
      <c r="N1029" s="716">
        <f>IFERROR(VLOOKUP(C1029,[3]List1!$A:$D,4,FALSE),"N/A!")</f>
        <v>5.0592000000000005E-2</v>
      </c>
      <c r="O1029" s="716">
        <f>IFERROR(VLOOKUP(C1029,[3]List1!$A:$D,3,FALSE),"N/A!")</f>
        <v>10800</v>
      </c>
      <c r="P1029" s="716">
        <f>IFERROR(VLOOKUP(C1029,[3]List1!$A:$D,2,FALSE),"N/A!")</f>
        <v>16500</v>
      </c>
      <c r="Q1029" s="716" t="s">
        <v>160</v>
      </c>
      <c r="R1029" s="716" t="s">
        <v>18</v>
      </c>
      <c r="S1029" s="716" t="s">
        <v>14402</v>
      </c>
      <c r="T1029" s="716"/>
      <c r="U1029" s="716">
        <v>120</v>
      </c>
      <c r="V1029" s="716">
        <v>70</v>
      </c>
      <c r="W1029" s="716" t="str">
        <f>IFERROR(VLOOKUP('General price list'!$C1029,Popisy!A:P,MATCH($W$17,Popisy!$A$7:$P$7,0),FALSE),"---------------")</f>
        <v>crackling nishiki kamuro</v>
      </c>
      <c r="X1029" s="716" t="str">
        <f t="shared" si="2590"/>
        <v/>
      </c>
      <c r="Y1029" s="716" t="str">
        <f t="shared" si="2591"/>
        <v/>
      </c>
      <c r="Z1029" s="716" t="str">
        <f>HYPERLINK("https://www.klasekpyrotechnics.cz/s4j-p")</f>
        <v>https://www.klasekpyrotechnics.cz/s4j-p</v>
      </c>
      <c r="AA1029" s="716" t="str">
        <f>IFERROR(IF(VLOOKUP(C1029,[4]List1!$A:$D,4,FALSE)=0,"",VLOOKUP(C1029,[4]List1!$A:$D,4,FALSE)),"")</f>
        <v>24</v>
      </c>
      <c r="AB1029" s="720"/>
      <c r="AC1029" s="747" t="str">
        <f>IFERROR(IF(VLOOKUP(C1029,[1]List1!$A:$D,2,FALSE)="VYPRODÁNO",$V$9,IF(VLOOKUP(C1029,[1]List1!$A:$D,2,FALSE)="DOCHÁZÍ",$V$3,VLOOKUP(C1029,[1]List1!$A:$D,2,FALSE))),"OFFLINE!")</f>
        <v>15.06.2024</v>
      </c>
      <c r="AD1029" s="748" t="str">
        <f ca="1">IF(AP1029="NE",$V$10,IF(AC1029=$V$3,IF(AQ1029&lt;1,$V$8,$V$2&amp;" "&amp;AQ1029&amp;" "&amp;$V$1),IF(AC1029="SKLADEM",$V$6,IFERROR(IF(OR(AC1029-TODAY()&gt;45,VLOOKUP(C1029,[1]List1!$A:$E,4,FALSE)=0),AC1029,DAY(AC1029)&amp;"."&amp;MONTH(AC1029)&amp;"."&amp;YEAR(AC1029)&amp;" "&amp;$V$4&amp;VLOOKUP(C1029,[1]List1!$A:$E,4,FALSE)&amp;" "&amp;$V$1),AC1029))))</f>
        <v>15.06.2024</v>
      </c>
      <c r="AE1029" s="716" t="str">
        <f t="shared" ca="1" si="2592"/>
        <v>15.06.2024</v>
      </c>
      <c r="AF1029" s="723">
        <f t="shared" si="2593"/>
        <v>0</v>
      </c>
      <c r="AG1029" s="723">
        <f t="shared" si="2594"/>
        <v>0</v>
      </c>
      <c r="AH1029" s="724">
        <f t="shared" si="2595"/>
        <v>0</v>
      </c>
      <c r="AI1029" s="716">
        <f t="shared" si="2596"/>
        <v>0</v>
      </c>
      <c r="AJ1029" s="716">
        <f t="shared" si="2597"/>
        <v>0</v>
      </c>
      <c r="AK1029" s="716" t="str">
        <f t="shared" si="2598"/>
        <v/>
      </c>
      <c r="AL1029" s="716">
        <f t="shared" si="2599"/>
        <v>0</v>
      </c>
      <c r="AM1029" s="716" t="str">
        <f t="shared" si="2600"/>
        <v/>
      </c>
      <c r="AN1029" s="716">
        <f t="shared" si="2601"/>
        <v>0</v>
      </c>
      <c r="AO1029" s="380"/>
      <c r="AP1029" s="322" t="str">
        <f t="shared" si="2504"/>
        <v/>
      </c>
      <c r="AQ1029" s="323" t="str">
        <f>IF(AC1029=$V$3,IF(VLOOKUP(C1029,[1]List1!$A:$E,5,FALSE)=0,1,VLOOKUP(C1029,[1]List1!$A:$E,5,FALSE)),"")</f>
        <v/>
      </c>
      <c r="AR1029" s="304" t="str">
        <f t="shared" si="2505"/>
        <v/>
      </c>
      <c r="AS1029" s="423" t="str">
        <f t="shared" si="2506"/>
        <v/>
      </c>
      <c r="AT1029" s="304" t="str">
        <f t="shared" si="2507"/>
        <v/>
      </c>
      <c r="AU1029" s="342" t="e">
        <f t="shared" si="2508"/>
        <v>#N/A</v>
      </c>
      <c r="AV1029" s="304" t="e">
        <f t="shared" si="2509"/>
        <v>#N/A</v>
      </c>
      <c r="AX1029" s="304">
        <f>IF(AND('General price list'!$J1029="F4",'General price list'!$AB1029+0&gt;0),1,0)</f>
        <v>0</v>
      </c>
      <c r="AY1029" s="304">
        <f t="shared" si="2510"/>
        <v>1</v>
      </c>
      <c r="AZ1029" s="304">
        <f t="shared" si="2511"/>
        <v>1</v>
      </c>
    </row>
    <row r="1030" spans="1:52" ht="15" customHeight="1">
      <c r="A1030" s="725" t="str">
        <f>Kat.!C1027</f>
        <v/>
      </c>
      <c r="B1030" s="749">
        <f>IF(AND('General price list'!$J1030="F4",$AI$1=FALSE),0,IF(AC1030="SKLADEM",1,IF(AC1030=$V$3,1,0)))</f>
        <v>0</v>
      </c>
      <c r="C1030" s="727" t="s">
        <v>2132</v>
      </c>
      <c r="D1030" s="728" t="s">
        <v>2090</v>
      </c>
      <c r="E1030" s="729" t="s">
        <v>415</v>
      </c>
      <c r="F1030" s="725">
        <f>IFERROR(ROUND(IF($AL$3=2,VLOOKUP(C1030,[2]List1!$A:$D,2,FALSE)*1.08,VLOOKUP(C1030,[2]List1!$A:$D,2,FALSE)),0),"NEUVEDENO!")</f>
        <v>1200</v>
      </c>
      <c r="G1030" s="730">
        <f t="shared" si="2588"/>
        <v>1200</v>
      </c>
      <c r="H1030" s="731">
        <f t="shared" si="2589"/>
        <v>48.762845962233179</v>
      </c>
      <c r="I1030" s="750">
        <v>9</v>
      </c>
      <c r="J1030" s="729" t="s">
        <v>709</v>
      </c>
      <c r="K1030" s="729"/>
      <c r="L1030" s="729" t="s">
        <v>14400</v>
      </c>
      <c r="M1030" s="729" t="s">
        <v>138</v>
      </c>
      <c r="N1030" s="729">
        <f>IFERROR(VLOOKUP(C1030,[3]List1!$A:$D,4,FALSE),"N/A!")</f>
        <v>5.0592000000000005E-2</v>
      </c>
      <c r="O1030" s="729">
        <f>IFERROR(VLOOKUP(C1030,[3]List1!$A:$D,3,FALSE),"N/A!")</f>
        <v>10800</v>
      </c>
      <c r="P1030" s="729">
        <f>IFERROR(VLOOKUP(C1030,[3]List1!$A:$D,2,FALSE),"N/A!")</f>
        <v>17600</v>
      </c>
      <c r="Q1030" s="729" t="s">
        <v>45</v>
      </c>
      <c r="R1030" s="729" t="s">
        <v>18</v>
      </c>
      <c r="S1030" s="729" t="s">
        <v>14402</v>
      </c>
      <c r="T1030" s="729"/>
      <c r="U1030" s="729">
        <v>120</v>
      </c>
      <c r="V1030" s="729">
        <v>70</v>
      </c>
      <c r="W1030" s="729" t="str">
        <f>IFERROR(VLOOKUP('General price list'!$C1030,Popisy!A:P,MATCH($W$17,Popisy!$A$7:$P$7,0),FALSE),"---------------")</f>
        <v>silver crown w.red pistil</v>
      </c>
      <c r="X1030" s="729" t="str">
        <f t="shared" si="2590"/>
        <v/>
      </c>
      <c r="Y1030" s="729" t="str">
        <f t="shared" si="2591"/>
        <v/>
      </c>
      <c r="Z1030" s="729" t="str">
        <f>HYPERLINK("https://www.klasekpyrotechnics.cz/s4k-p")</f>
        <v>https://www.klasekpyrotechnics.cz/s4k-p</v>
      </c>
      <c r="AA1030" s="729" t="str">
        <f>IFERROR(IF(VLOOKUP(C1030,[4]List1!$A:$D,4,FALSE)=0,"",VLOOKUP(C1030,[4]List1!$A:$D,4,FALSE)),"")</f>
        <v>24</v>
      </c>
      <c r="AB1030" s="720"/>
      <c r="AC1030" s="751" t="str">
        <f>IFERROR(IF(VLOOKUP(C1030,[1]List1!$A:$D,2,FALSE)="VYPRODÁNO",$V$9,IF(VLOOKUP(C1030,[1]List1!$A:$D,2,FALSE)="DOCHÁZÍ",$V$3,VLOOKUP(C1030,[1]List1!$A:$D,2,FALSE))),"OFFLINE!")</f>
        <v>SKLADEM</v>
      </c>
      <c r="AD1030" s="752" t="str">
        <f ca="1">IF(AP1030="NE",$V$10,IF(AC1030=$V$3,IF(AQ1030&lt;1,$V$8,$V$2&amp;" "&amp;AQ1030&amp;" "&amp;$V$1),IF(AC1030="SKLADEM",$V$6,IFERROR(IF(OR(AC1030-TODAY()&gt;45,VLOOKUP(C1030,[1]List1!$A:$E,4,FALSE)=0),AC1030,DAY(AC1030)&amp;"."&amp;MONTH(AC1030)&amp;"."&amp;YEAR(AC1030)&amp;" "&amp;$V$4&amp;VLOOKUP(C1030,[1]List1!$A:$E,4,FALSE)&amp;" "&amp;$V$1),AC1030))))</f>
        <v>SKLADEM</v>
      </c>
      <c r="AE1030" s="729" t="str">
        <f t="shared" ca="1" si="2592"/>
        <v>SKLADEM</v>
      </c>
      <c r="AF1030" s="735">
        <f t="shared" si="2593"/>
        <v>0</v>
      </c>
      <c r="AG1030" s="735">
        <f t="shared" si="2594"/>
        <v>0</v>
      </c>
      <c r="AH1030" s="736">
        <f t="shared" si="2595"/>
        <v>0</v>
      </c>
      <c r="AI1030" s="729">
        <f t="shared" si="2596"/>
        <v>0</v>
      </c>
      <c r="AJ1030" s="729">
        <f t="shared" si="2597"/>
        <v>0</v>
      </c>
      <c r="AK1030" s="729" t="str">
        <f t="shared" si="2598"/>
        <v/>
      </c>
      <c r="AL1030" s="729">
        <f t="shared" si="2599"/>
        <v>0</v>
      </c>
      <c r="AM1030" s="729" t="str">
        <f t="shared" si="2600"/>
        <v/>
      </c>
      <c r="AN1030" s="729">
        <f t="shared" si="2601"/>
        <v>0</v>
      </c>
      <c r="AO1030" s="380"/>
      <c r="AP1030" s="322" t="str">
        <f t="shared" si="2504"/>
        <v/>
      </c>
      <c r="AQ1030" s="323" t="str">
        <f>IF(AC1030=$V$3,IF(VLOOKUP(C1030,[1]List1!$A:$E,5,FALSE)=0,1,VLOOKUP(C1030,[1]List1!$A:$E,5,FALSE)),"")</f>
        <v/>
      </c>
      <c r="AR1030" s="304" t="str">
        <f t="shared" si="2505"/>
        <v/>
      </c>
      <c r="AS1030" s="423" t="str">
        <f t="shared" si="2506"/>
        <v/>
      </c>
      <c r="AT1030" s="304" t="str">
        <f t="shared" si="2507"/>
        <v/>
      </c>
      <c r="AU1030" s="342" t="e">
        <f t="shared" si="2508"/>
        <v>#N/A</v>
      </c>
      <c r="AV1030" s="304" t="e">
        <f t="shared" si="2509"/>
        <v>#N/A</v>
      </c>
      <c r="AX1030" s="304">
        <f>IF(AND('General price list'!$J1030="F4",'General price list'!$AB1030+0&gt;0),1,0)</f>
        <v>0</v>
      </c>
      <c r="AY1030" s="304">
        <f t="shared" si="2510"/>
        <v>1</v>
      </c>
      <c r="AZ1030" s="304">
        <f t="shared" si="2511"/>
        <v>1</v>
      </c>
    </row>
    <row r="1031" spans="1:52" ht="15" customHeight="1">
      <c r="A1031" s="712" t="str">
        <f>Kat.!C1028</f>
        <v/>
      </c>
      <c r="B1031" s="745">
        <f>IF(AND('General price list'!$J1031="F4",$AI$1=FALSE),0,IF(AC1031="SKLADEM",1,IF(AC1031=$V$3,1,0)))</f>
        <v>0</v>
      </c>
      <c r="C1031" s="714" t="s">
        <v>2133</v>
      </c>
      <c r="D1031" s="715" t="s">
        <v>2092</v>
      </c>
      <c r="E1031" s="716" t="s">
        <v>415</v>
      </c>
      <c r="F1031" s="712">
        <f>IFERROR(ROUND(IF($AL$3=2,VLOOKUP(C1031,[2]List1!$A:$D,2,FALSE)*1.08,VLOOKUP(C1031,[2]List1!$A:$D,2,FALSE)),0),"NEUVEDENO!")</f>
        <v>1200</v>
      </c>
      <c r="G1031" s="717">
        <f t="shared" si="2588"/>
        <v>1200</v>
      </c>
      <c r="H1031" s="718">
        <f t="shared" si="2589"/>
        <v>48.762845962233179</v>
      </c>
      <c r="I1031" s="746">
        <v>9</v>
      </c>
      <c r="J1031" s="716" t="s">
        <v>709</v>
      </c>
      <c r="K1031" s="716"/>
      <c r="L1031" s="716" t="s">
        <v>14400</v>
      </c>
      <c r="M1031" s="716" t="s">
        <v>138</v>
      </c>
      <c r="N1031" s="716">
        <f>IFERROR(VLOOKUP(C1031,[3]List1!$A:$D,4,FALSE),"N/A!")</f>
        <v>5.0592000000000005E-2</v>
      </c>
      <c r="O1031" s="716">
        <f>IFERROR(VLOOKUP(C1031,[3]List1!$A:$D,3,FALSE),"N/A!")</f>
        <v>10800</v>
      </c>
      <c r="P1031" s="716">
        <f>IFERROR(VLOOKUP(C1031,[3]List1!$A:$D,2,FALSE),"N/A!")</f>
        <v>17300</v>
      </c>
      <c r="Q1031" s="716" t="s">
        <v>45</v>
      </c>
      <c r="R1031" s="716" t="s">
        <v>18</v>
      </c>
      <c r="S1031" s="716"/>
      <c r="T1031" s="716"/>
      <c r="U1031" s="716">
        <v>120</v>
      </c>
      <c r="V1031" s="716">
        <v>70</v>
      </c>
      <c r="W1031" s="716" t="str">
        <f>IFERROR(VLOOKUP('General price list'!$C1031,Popisy!A:P,MATCH($W$17,Popisy!$A$7:$P$7,0),FALSE),"---------------")</f>
        <v>blood red+silver strobe</v>
      </c>
      <c r="X1031" s="716" t="str">
        <f t="shared" si="2590"/>
        <v/>
      </c>
      <c r="Y1031" s="716" t="str">
        <f t="shared" si="2591"/>
        <v/>
      </c>
      <c r="Z1031" s="716" t="str">
        <f>HYPERLINK("https://www.klasekpyrotechnics.cz/s4l-p")</f>
        <v>https://www.klasekpyrotechnics.cz/s4l-p</v>
      </c>
      <c r="AA1031" s="716" t="str">
        <f>IFERROR(IF(VLOOKUP(C1031,[4]List1!$A:$D,4,FALSE)=0,"",VLOOKUP(C1031,[4]List1!$A:$D,4,FALSE)),"")</f>
        <v>24</v>
      </c>
      <c r="AB1031" s="720"/>
      <c r="AC1031" s="747" t="str">
        <f>IFERROR(IF(VLOOKUP(C1031,[1]List1!$A:$D,2,FALSE)="VYPRODÁNO",$V$9,IF(VLOOKUP(C1031,[1]List1!$A:$D,2,FALSE)="DOCHÁZÍ",$V$3,VLOOKUP(C1031,[1]List1!$A:$D,2,FALSE))),"OFFLINE!")</f>
        <v>30.09.2024</v>
      </c>
      <c r="AD1031" s="748" t="str">
        <f ca="1">IF(AP1031="NE",$V$10,IF(AC1031=$V$3,IF(AQ1031&lt;1,$V$8,$V$2&amp;" "&amp;AQ1031&amp;" "&amp;$V$1),IF(AC1031="SKLADEM",$V$6,IFERROR(IF(OR(AC1031-TODAY()&gt;45,VLOOKUP(C1031,[1]List1!$A:$E,4,FALSE)=0),AC1031,DAY(AC1031)&amp;"."&amp;MONTH(AC1031)&amp;"."&amp;YEAR(AC1031)&amp;" "&amp;$V$4&amp;VLOOKUP(C1031,[1]List1!$A:$E,4,FALSE)&amp;" "&amp;$V$1),AC1031))))</f>
        <v>30.09.2024</v>
      </c>
      <c r="AE1031" s="716" t="str">
        <f t="shared" ca="1" si="2592"/>
        <v>30.09.2024</v>
      </c>
      <c r="AF1031" s="723">
        <f t="shared" si="2593"/>
        <v>0</v>
      </c>
      <c r="AG1031" s="723">
        <f t="shared" si="2594"/>
        <v>0</v>
      </c>
      <c r="AH1031" s="724">
        <f t="shared" si="2595"/>
        <v>0</v>
      </c>
      <c r="AI1031" s="716">
        <f t="shared" si="2596"/>
        <v>0</v>
      </c>
      <c r="AJ1031" s="716">
        <f t="shared" si="2597"/>
        <v>0</v>
      </c>
      <c r="AK1031" s="716" t="str">
        <f t="shared" si="2598"/>
        <v/>
      </c>
      <c r="AL1031" s="716">
        <f t="shared" si="2599"/>
        <v>0</v>
      </c>
      <c r="AM1031" s="716" t="str">
        <f t="shared" si="2600"/>
        <v/>
      </c>
      <c r="AN1031" s="716">
        <f t="shared" si="2601"/>
        <v>0</v>
      </c>
      <c r="AO1031" s="380"/>
      <c r="AP1031" s="322" t="str">
        <f t="shared" si="2504"/>
        <v/>
      </c>
      <c r="AQ1031" s="323" t="str">
        <f>IF(AC1031=$V$3,IF(VLOOKUP(C1031,[1]List1!$A:$E,5,FALSE)=0,1,VLOOKUP(C1031,[1]List1!$A:$E,5,FALSE)),"")</f>
        <v/>
      </c>
      <c r="AR1031" s="304" t="str">
        <f t="shared" si="2505"/>
        <v/>
      </c>
      <c r="AS1031" s="423" t="str">
        <f t="shared" si="2506"/>
        <v/>
      </c>
      <c r="AT1031" s="304" t="str">
        <f t="shared" si="2507"/>
        <v/>
      </c>
      <c r="AU1031" s="342" t="e">
        <f t="shared" si="2508"/>
        <v>#N/A</v>
      </c>
      <c r="AV1031" s="304" t="e">
        <f t="shared" si="2509"/>
        <v>#N/A</v>
      </c>
      <c r="AX1031" s="304">
        <f>IF(AND('General price list'!$J1031="F4",'General price list'!$AB1031+0&gt;0),1,0)</f>
        <v>0</v>
      </c>
      <c r="AY1031" s="304">
        <f t="shared" si="2510"/>
        <v>1</v>
      </c>
      <c r="AZ1031" s="304">
        <f t="shared" si="2511"/>
        <v>1</v>
      </c>
    </row>
    <row r="1032" spans="1:52" ht="15" customHeight="1">
      <c r="A1032" s="725" t="str">
        <f>Kat.!C1029</f>
        <v/>
      </c>
      <c r="B1032" s="749">
        <f>IF(AND('General price list'!$J1032="F4",$AI$1=FALSE),0,IF(AC1032="SKLADEM",1,IF(AC1032=$V$3,1,0)))</f>
        <v>0</v>
      </c>
      <c r="C1032" s="727" t="s">
        <v>2134</v>
      </c>
      <c r="D1032" s="728" t="s">
        <v>2093</v>
      </c>
      <c r="E1032" s="729" t="s">
        <v>415</v>
      </c>
      <c r="F1032" s="725">
        <f>IFERROR(ROUND(IF($AL$3=2,VLOOKUP(C1032,[2]List1!$A:$D,2,FALSE)*1.08,VLOOKUP(C1032,[2]List1!$A:$D,2,FALSE)),0),"NEUVEDENO!")</f>
        <v>1246</v>
      </c>
      <c r="G1032" s="730">
        <f t="shared" si="2588"/>
        <v>1246</v>
      </c>
      <c r="H1032" s="731">
        <f t="shared" si="2589"/>
        <v>50.632088390785448</v>
      </c>
      <c r="I1032" s="750">
        <v>9</v>
      </c>
      <c r="J1032" s="729" t="s">
        <v>709</v>
      </c>
      <c r="K1032" s="729"/>
      <c r="L1032" s="729" t="s">
        <v>14400</v>
      </c>
      <c r="M1032" s="729" t="s">
        <v>138</v>
      </c>
      <c r="N1032" s="729">
        <f>IFERROR(VLOOKUP(C1032,[3]List1!$A:$D,4,FALSE),"N/A!")</f>
        <v>5.0592000000000005E-2</v>
      </c>
      <c r="O1032" s="729">
        <f>IFERROR(VLOOKUP(C1032,[3]List1!$A:$D,3,FALSE),"N/A!")</f>
        <v>10800</v>
      </c>
      <c r="P1032" s="729">
        <f>IFERROR(VLOOKUP(C1032,[3]List1!$A:$D,2,FALSE),"N/A!")</f>
        <v>15200</v>
      </c>
      <c r="Q1032" s="729" t="s">
        <v>160</v>
      </c>
      <c r="R1032" s="729" t="s">
        <v>18</v>
      </c>
      <c r="S1032" s="729" t="s">
        <v>14402</v>
      </c>
      <c r="T1032" s="729"/>
      <c r="U1032" s="729">
        <v>120</v>
      </c>
      <c r="V1032" s="729">
        <v>70</v>
      </c>
      <c r="W1032" s="729" t="str">
        <f>IFERROR(VLOOKUP('General price list'!$C1032,Popisy!A:P,MATCH($W$17,Popisy!$A$7:$P$7,0),FALSE),"---------------")</f>
        <v>golden Ti-willow</v>
      </c>
      <c r="X1032" s="729" t="str">
        <f t="shared" si="2590"/>
        <v/>
      </c>
      <c r="Y1032" s="729" t="str">
        <f t="shared" si="2591"/>
        <v/>
      </c>
      <c r="Z1032" s="729" t="str">
        <f>HYPERLINK("https://www.klasekpyrotechnics.cz/s4na-p")</f>
        <v>https://www.klasekpyrotechnics.cz/s4na-p</v>
      </c>
      <c r="AA1032" s="729" t="str">
        <f>IFERROR(IF(VLOOKUP(C1032,[4]List1!$A:$D,4,FALSE)=0,"",VLOOKUP(C1032,[4]List1!$A:$D,4,FALSE)),"")</f>
        <v>24</v>
      </c>
      <c r="AB1032" s="720"/>
      <c r="AC1032" s="751" t="str">
        <f>IFERROR(IF(VLOOKUP(C1032,[1]List1!$A:$D,2,FALSE)="VYPRODÁNO",$V$9,IF(VLOOKUP(C1032,[1]List1!$A:$D,2,FALSE)="DOCHÁZÍ",$V$3,VLOOKUP(C1032,[1]List1!$A:$D,2,FALSE))),"OFFLINE!")</f>
        <v>15.06.2024</v>
      </c>
      <c r="AD1032" s="752" t="str">
        <f ca="1">IF(AP1032="NE",$V$10,IF(AC1032=$V$3,IF(AQ1032&lt;1,$V$8,$V$2&amp;" "&amp;AQ1032&amp;" "&amp;$V$1),IF(AC1032="SKLADEM",$V$6,IFERROR(IF(OR(AC1032-TODAY()&gt;45,VLOOKUP(C1032,[1]List1!$A:$E,4,FALSE)=0),AC1032,DAY(AC1032)&amp;"."&amp;MONTH(AC1032)&amp;"."&amp;YEAR(AC1032)&amp;" "&amp;$V$4&amp;VLOOKUP(C1032,[1]List1!$A:$E,4,FALSE)&amp;" "&amp;$V$1),AC1032))))</f>
        <v>15.06.2024</v>
      </c>
      <c r="AE1032" s="729" t="str">
        <f t="shared" ca="1" si="2592"/>
        <v>15.06.2024</v>
      </c>
      <c r="AF1032" s="735">
        <f t="shared" si="2593"/>
        <v>0</v>
      </c>
      <c r="AG1032" s="735">
        <f t="shared" si="2594"/>
        <v>0</v>
      </c>
      <c r="AH1032" s="736">
        <f t="shared" si="2595"/>
        <v>0</v>
      </c>
      <c r="AI1032" s="729">
        <f t="shared" si="2596"/>
        <v>0</v>
      </c>
      <c r="AJ1032" s="729">
        <f t="shared" si="2597"/>
        <v>0</v>
      </c>
      <c r="AK1032" s="729" t="str">
        <f t="shared" si="2598"/>
        <v/>
      </c>
      <c r="AL1032" s="729">
        <f t="shared" si="2599"/>
        <v>0</v>
      </c>
      <c r="AM1032" s="729" t="str">
        <f t="shared" si="2600"/>
        <v/>
      </c>
      <c r="AN1032" s="729">
        <f t="shared" si="2601"/>
        <v>0</v>
      </c>
      <c r="AO1032" s="380"/>
      <c r="AP1032" s="322" t="str">
        <f t="shared" si="2504"/>
        <v/>
      </c>
      <c r="AQ1032" s="323" t="str">
        <f>IF(AC1032=$V$3,IF(VLOOKUP(C1032,[1]List1!$A:$E,5,FALSE)=0,1,VLOOKUP(C1032,[1]List1!$A:$E,5,FALSE)),"")</f>
        <v/>
      </c>
      <c r="AR1032" s="304" t="str">
        <f t="shared" si="2505"/>
        <v/>
      </c>
      <c r="AS1032" s="423" t="str">
        <f t="shared" si="2506"/>
        <v/>
      </c>
      <c r="AT1032" s="304" t="str">
        <f t="shared" si="2507"/>
        <v/>
      </c>
      <c r="AU1032" s="342" t="e">
        <f t="shared" si="2508"/>
        <v>#N/A</v>
      </c>
      <c r="AV1032" s="304" t="e">
        <f t="shared" si="2509"/>
        <v>#N/A</v>
      </c>
      <c r="AX1032" s="304">
        <f>IF(AND('General price list'!$J1032="F4",'General price list'!$AB1032+0&gt;0),1,0)</f>
        <v>0</v>
      </c>
      <c r="AY1032" s="304">
        <f t="shared" si="2510"/>
        <v>1</v>
      </c>
      <c r="AZ1032" s="304">
        <f t="shared" si="2511"/>
        <v>1</v>
      </c>
    </row>
    <row r="1033" spans="1:52" ht="15" customHeight="1">
      <c r="A1033" s="712" t="str">
        <f>Kat.!C1030</f>
        <v/>
      </c>
      <c r="B1033" s="745">
        <f>IF(AND('General price list'!$J1033="F4",$AI$1=FALSE),0,IF(AC1033="SKLADEM",1,IF(AC1033=$V$3,1,0)))</f>
        <v>0</v>
      </c>
      <c r="C1033" s="714" t="s">
        <v>2135</v>
      </c>
      <c r="D1033" s="715" t="s">
        <v>2094</v>
      </c>
      <c r="E1033" s="716" t="s">
        <v>415</v>
      </c>
      <c r="F1033" s="712">
        <f>IFERROR(ROUND(IF($AL$3=2,VLOOKUP(C1033,[2]List1!$A:$D,2,FALSE)*1.08,VLOOKUP(C1033,[2]List1!$A:$D,2,FALSE)),0),"NEUVEDENO!")</f>
        <v>1200</v>
      </c>
      <c r="G1033" s="717">
        <f t="shared" si="2588"/>
        <v>1200</v>
      </c>
      <c r="H1033" s="718">
        <f t="shared" si="2589"/>
        <v>48.762845962233179</v>
      </c>
      <c r="I1033" s="746">
        <v>9</v>
      </c>
      <c r="J1033" s="716" t="s">
        <v>709</v>
      </c>
      <c r="K1033" s="716"/>
      <c r="L1033" s="716" t="s">
        <v>14400</v>
      </c>
      <c r="M1033" s="716" t="s">
        <v>138</v>
      </c>
      <c r="N1033" s="716">
        <f>IFERROR(VLOOKUP(C1033,[3]List1!$A:$D,4,FALSE),"N/A!")</f>
        <v>5.0592000000000005E-2</v>
      </c>
      <c r="O1033" s="716">
        <f>IFERROR(VLOOKUP(C1033,[3]List1!$A:$D,3,FALSE),"N/A!")</f>
        <v>10800</v>
      </c>
      <c r="P1033" s="716">
        <f>IFERROR(VLOOKUP(C1033,[3]List1!$A:$D,2,FALSE),"N/A!")</f>
        <v>16500</v>
      </c>
      <c r="Q1033" s="716" t="s">
        <v>45</v>
      </c>
      <c r="R1033" s="716" t="s">
        <v>18</v>
      </c>
      <c r="S1033" s="716" t="s">
        <v>14402</v>
      </c>
      <c r="T1033" s="716"/>
      <c r="U1033" s="716">
        <v>120</v>
      </c>
      <c r="V1033" s="716">
        <v>70</v>
      </c>
      <c r="W1033" s="716" t="str">
        <f>IFERROR(VLOOKUP('General price list'!$C1033,Popisy!A:P,MATCH($W$17,Popisy!$A$7:$P$7,0),FALSE),"---------------")</f>
        <v>silver strobe</v>
      </c>
      <c r="X1033" s="716" t="str">
        <f t="shared" si="2590"/>
        <v/>
      </c>
      <c r="Y1033" s="716" t="str">
        <f t="shared" si="2591"/>
        <v/>
      </c>
      <c r="Z1033" s="716" t="str">
        <f>HYPERLINK("https://www.klasekpyrotechnics.cz/s4o-p")</f>
        <v>https://www.klasekpyrotechnics.cz/s4o-p</v>
      </c>
      <c r="AA1033" s="716" t="str">
        <f>IFERROR(IF(VLOOKUP(C1033,[4]List1!$A:$D,4,FALSE)=0,"",VLOOKUP(C1033,[4]List1!$A:$D,4,FALSE)),"")</f>
        <v>24</v>
      </c>
      <c r="AB1033" s="720"/>
      <c r="AC1033" s="747" t="str">
        <f>IFERROR(IF(VLOOKUP(C1033,[1]List1!$A:$D,2,FALSE)="VYPRODÁNO",$V$9,IF(VLOOKUP(C1033,[1]List1!$A:$D,2,FALSE)="DOCHÁZÍ",$V$3,VLOOKUP(C1033,[1]List1!$A:$D,2,FALSE))),"OFFLINE!")</f>
        <v>SKLADEM</v>
      </c>
      <c r="AD1033" s="748" t="str">
        <f ca="1">IF(AP1033="NE",$V$10,IF(AC1033=$V$3,IF(AQ1033&lt;1,$V$8,$V$2&amp;" "&amp;AQ1033&amp;" "&amp;$V$1),IF(AC1033="SKLADEM",$V$6,IFERROR(IF(OR(AC1033-TODAY()&gt;45,VLOOKUP(C1033,[1]List1!$A:$E,4,FALSE)=0),AC1033,DAY(AC1033)&amp;"."&amp;MONTH(AC1033)&amp;"."&amp;YEAR(AC1033)&amp;" "&amp;$V$4&amp;VLOOKUP(C1033,[1]List1!$A:$E,4,FALSE)&amp;" "&amp;$V$1),AC1033))))</f>
        <v>SKLADEM</v>
      </c>
      <c r="AE1033" s="716" t="str">
        <f t="shared" ca="1" si="2592"/>
        <v>SKLADEM</v>
      </c>
      <c r="AF1033" s="723">
        <f t="shared" si="2593"/>
        <v>0</v>
      </c>
      <c r="AG1033" s="723">
        <f t="shared" si="2594"/>
        <v>0</v>
      </c>
      <c r="AH1033" s="724">
        <f t="shared" si="2595"/>
        <v>0</v>
      </c>
      <c r="AI1033" s="716">
        <f t="shared" si="2596"/>
        <v>0</v>
      </c>
      <c r="AJ1033" s="716">
        <f t="shared" si="2597"/>
        <v>0</v>
      </c>
      <c r="AK1033" s="716" t="str">
        <f t="shared" si="2598"/>
        <v/>
      </c>
      <c r="AL1033" s="716">
        <f t="shared" si="2599"/>
        <v>0</v>
      </c>
      <c r="AM1033" s="716" t="str">
        <f t="shared" si="2600"/>
        <v/>
      </c>
      <c r="AN1033" s="716">
        <f t="shared" si="2601"/>
        <v>0</v>
      </c>
      <c r="AO1033" s="380"/>
      <c r="AP1033" s="322" t="str">
        <f t="shared" si="2504"/>
        <v/>
      </c>
      <c r="AQ1033" s="323" t="str">
        <f>IF(AC1033=$V$3,IF(VLOOKUP(C1033,[1]List1!$A:$E,5,FALSE)=0,1,VLOOKUP(C1033,[1]List1!$A:$E,5,FALSE)),"")</f>
        <v/>
      </c>
      <c r="AR1033" s="304" t="str">
        <f t="shared" si="2505"/>
        <v/>
      </c>
      <c r="AS1033" s="423" t="str">
        <f t="shared" si="2506"/>
        <v/>
      </c>
      <c r="AT1033" s="304" t="str">
        <f t="shared" si="2507"/>
        <v/>
      </c>
      <c r="AU1033" s="342" t="e">
        <f t="shared" si="2508"/>
        <v>#N/A</v>
      </c>
      <c r="AV1033" s="304" t="e">
        <f t="shared" si="2509"/>
        <v>#N/A</v>
      </c>
      <c r="AX1033" s="304">
        <f>IF(AND('General price list'!$J1033="F4",'General price list'!$AB1033+0&gt;0),1,0)</f>
        <v>0</v>
      </c>
      <c r="AY1033" s="304">
        <f t="shared" si="2510"/>
        <v>1</v>
      </c>
      <c r="AZ1033" s="304">
        <f t="shared" si="2511"/>
        <v>1</v>
      </c>
    </row>
    <row r="1034" spans="1:52" ht="15" customHeight="1">
      <c r="A1034" s="725" t="str">
        <f>Kat.!C1031</f>
        <v/>
      </c>
      <c r="B1034" s="749">
        <f>IF(AND('General price list'!$J1034="F4",$AI$1=FALSE),0,IF(AC1034="SKLADEM",1,IF(AC1034=$V$3,1,0)))</f>
        <v>0</v>
      </c>
      <c r="C1034" s="727" t="s">
        <v>2136</v>
      </c>
      <c r="D1034" s="728" t="s">
        <v>2096</v>
      </c>
      <c r="E1034" s="729" t="s">
        <v>415</v>
      </c>
      <c r="F1034" s="725">
        <f>IFERROR(ROUND(IF($AL$3=2,VLOOKUP(C1034,[2]List1!$A:$D,2,FALSE)*1.08,VLOOKUP(C1034,[2]List1!$A:$D,2,FALSE)),0),"NEUVEDENO!")</f>
        <v>1200</v>
      </c>
      <c r="G1034" s="730">
        <f t="shared" si="2588"/>
        <v>1200</v>
      </c>
      <c r="H1034" s="731">
        <f t="shared" si="2589"/>
        <v>48.762845962233179</v>
      </c>
      <c r="I1034" s="750">
        <v>9</v>
      </c>
      <c r="J1034" s="729" t="s">
        <v>709</v>
      </c>
      <c r="K1034" s="729"/>
      <c r="L1034" s="729" t="s">
        <v>14400</v>
      </c>
      <c r="M1034" s="729" t="s">
        <v>138</v>
      </c>
      <c r="N1034" s="729">
        <f>IFERROR(VLOOKUP(C1034,[3]List1!$A:$D,4,FALSE),"N/A!")</f>
        <v>5.0592000000000005E-2</v>
      </c>
      <c r="O1034" s="729">
        <f>IFERROR(VLOOKUP(C1034,[3]List1!$A:$D,3,FALSE),"N/A!")</f>
        <v>10800</v>
      </c>
      <c r="P1034" s="729">
        <f>IFERROR(VLOOKUP(C1034,[3]List1!$A:$D,2,FALSE),"N/A!")</f>
        <v>16700</v>
      </c>
      <c r="Q1034" s="729" t="s">
        <v>45</v>
      </c>
      <c r="R1034" s="729" t="s">
        <v>18</v>
      </c>
      <c r="S1034" s="729" t="s">
        <v>14402</v>
      </c>
      <c r="T1034" s="729"/>
      <c r="U1034" s="729">
        <v>120</v>
      </c>
      <c r="V1034" s="729">
        <v>70</v>
      </c>
      <c r="W1034" s="729" t="str">
        <f>IFERROR(VLOOKUP('General price list'!$C1034,Popisy!A:P,MATCH($W$17,Popisy!$A$7:$P$7,0),FALSE),"---------------")</f>
        <v>silver tail to silver palm tree</v>
      </c>
      <c r="X1034" s="729" t="str">
        <f t="shared" si="2590"/>
        <v/>
      </c>
      <c r="Y1034" s="729" t="str">
        <f t="shared" si="2591"/>
        <v/>
      </c>
      <c r="Z1034" s="729" t="str">
        <f>HYPERLINK("https://www.klasekpyrotechnics.cz/s4p-p")</f>
        <v>https://www.klasekpyrotechnics.cz/s4p-p</v>
      </c>
      <c r="AA1034" s="729" t="str">
        <f>IFERROR(IF(VLOOKUP(C1034,[4]List1!$A:$D,4,FALSE)=0,"",VLOOKUP(C1034,[4]List1!$A:$D,4,FALSE)),"")</f>
        <v>24</v>
      </c>
      <c r="AB1034" s="720"/>
      <c r="AC1034" s="751" t="str">
        <f>IFERROR(IF(VLOOKUP(C1034,[1]List1!$A:$D,2,FALSE)="VYPRODÁNO",$V$9,IF(VLOOKUP(C1034,[1]List1!$A:$D,2,FALSE)="DOCHÁZÍ",$V$3,VLOOKUP(C1034,[1]List1!$A:$D,2,FALSE))),"OFFLINE!")</f>
        <v>SKLADEM</v>
      </c>
      <c r="AD1034" s="752" t="str">
        <f ca="1">IF(AP1034="NE",$V$10,IF(AC1034=$V$3,IF(AQ1034&lt;1,$V$8,$V$2&amp;" "&amp;AQ1034&amp;" "&amp;$V$1),IF(AC1034="SKLADEM",$V$6,IFERROR(IF(OR(AC1034-TODAY()&gt;45,VLOOKUP(C1034,[1]List1!$A:$E,4,FALSE)=0),AC1034,DAY(AC1034)&amp;"."&amp;MONTH(AC1034)&amp;"."&amp;YEAR(AC1034)&amp;" "&amp;$V$4&amp;VLOOKUP(C1034,[1]List1!$A:$E,4,FALSE)&amp;" "&amp;$V$1),AC1034))))</f>
        <v>SKLADEM</v>
      </c>
      <c r="AE1034" s="729" t="str">
        <f t="shared" ca="1" si="2592"/>
        <v>SKLADEM</v>
      </c>
      <c r="AF1034" s="735">
        <f t="shared" si="2593"/>
        <v>0</v>
      </c>
      <c r="AG1034" s="735">
        <f t="shared" si="2594"/>
        <v>0</v>
      </c>
      <c r="AH1034" s="736">
        <f t="shared" si="2595"/>
        <v>0</v>
      </c>
      <c r="AI1034" s="729">
        <f t="shared" si="2596"/>
        <v>0</v>
      </c>
      <c r="AJ1034" s="729">
        <f t="shared" si="2597"/>
        <v>0</v>
      </c>
      <c r="AK1034" s="729" t="str">
        <f t="shared" si="2598"/>
        <v/>
      </c>
      <c r="AL1034" s="729">
        <f t="shared" si="2599"/>
        <v>0</v>
      </c>
      <c r="AM1034" s="729" t="str">
        <f t="shared" si="2600"/>
        <v/>
      </c>
      <c r="AN1034" s="729">
        <f t="shared" si="2601"/>
        <v>0</v>
      </c>
      <c r="AO1034" s="380"/>
      <c r="AP1034" s="322" t="str">
        <f t="shared" si="2504"/>
        <v/>
      </c>
      <c r="AQ1034" s="323" t="str">
        <f>IF(AC1034=$V$3,IF(VLOOKUP(C1034,[1]List1!$A:$E,5,FALSE)=0,1,VLOOKUP(C1034,[1]List1!$A:$E,5,FALSE)),"")</f>
        <v/>
      </c>
      <c r="AR1034" s="304" t="str">
        <f t="shared" si="2505"/>
        <v/>
      </c>
      <c r="AS1034" s="423" t="str">
        <f t="shared" si="2506"/>
        <v/>
      </c>
      <c r="AT1034" s="304" t="str">
        <f t="shared" si="2507"/>
        <v/>
      </c>
      <c r="AU1034" s="342" t="e">
        <f t="shared" si="2508"/>
        <v>#N/A</v>
      </c>
      <c r="AV1034" s="304" t="e">
        <f t="shared" si="2509"/>
        <v>#N/A</v>
      </c>
      <c r="AX1034" s="304">
        <f>IF(AND('General price list'!$J1034="F4",'General price list'!$AB1034+0&gt;0),1,0)</f>
        <v>0</v>
      </c>
      <c r="AY1034" s="304">
        <f t="shared" si="2510"/>
        <v>1</v>
      </c>
      <c r="AZ1034" s="304">
        <f t="shared" si="2511"/>
        <v>1</v>
      </c>
    </row>
    <row r="1035" spans="1:52" ht="15" customHeight="1">
      <c r="A1035" s="712" t="str">
        <f>Kat.!C1032</f>
        <v/>
      </c>
      <c r="B1035" s="745">
        <f>IF(AND('General price list'!$J1035="F4",$AI$1=FALSE),0,IF(AC1035="SKLADEM",1,IF(AC1035=$V$3,1,0)))</f>
        <v>0</v>
      </c>
      <c r="C1035" s="714" t="s">
        <v>2137</v>
      </c>
      <c r="D1035" s="715" t="s">
        <v>2097</v>
      </c>
      <c r="E1035" s="716" t="s">
        <v>415</v>
      </c>
      <c r="F1035" s="712">
        <f>IFERROR(ROUND(IF($AL$3=2,VLOOKUP(C1035,[2]List1!$A:$D,2,FALSE)*1.08,VLOOKUP(C1035,[2]List1!$A:$D,2,FALSE)),0),"NEUVEDENO!")</f>
        <v>1200</v>
      </c>
      <c r="G1035" s="717">
        <f t="shared" si="2588"/>
        <v>1200</v>
      </c>
      <c r="H1035" s="718">
        <f t="shared" si="2589"/>
        <v>48.762845962233179</v>
      </c>
      <c r="I1035" s="746">
        <v>9</v>
      </c>
      <c r="J1035" s="716" t="s">
        <v>709</v>
      </c>
      <c r="K1035" s="716"/>
      <c r="L1035" s="716" t="s">
        <v>14400</v>
      </c>
      <c r="M1035" s="716" t="s">
        <v>138</v>
      </c>
      <c r="N1035" s="716">
        <f>IFERROR(VLOOKUP(C1035,[3]List1!$A:$D,4,FALSE),"N/A!")</f>
        <v>5.0592000000000005E-2</v>
      </c>
      <c r="O1035" s="716">
        <f>IFERROR(VLOOKUP(C1035,[3]List1!$A:$D,3,FALSE),"N/A!")</f>
        <v>10800</v>
      </c>
      <c r="P1035" s="716">
        <f>IFERROR(VLOOKUP(C1035,[3]List1!$A:$D,2,FALSE),"N/A!")</f>
        <v>15000</v>
      </c>
      <c r="Q1035" s="716" t="s">
        <v>160</v>
      </c>
      <c r="R1035" s="716" t="s">
        <v>18</v>
      </c>
      <c r="S1035" s="716" t="s">
        <v>14402</v>
      </c>
      <c r="T1035" s="716"/>
      <c r="U1035" s="716">
        <v>120</v>
      </c>
      <c r="V1035" s="716">
        <v>70</v>
      </c>
      <c r="W1035" s="716" t="str">
        <f>IFERROR(VLOOKUP('General price list'!$C1035,Popisy!A:P,MATCH($W$17,Popisy!$A$7:$P$7,0),FALSE),"---------------")</f>
        <v>special strobe red</v>
      </c>
      <c r="X1035" s="716" t="str">
        <f t="shared" si="2590"/>
        <v/>
      </c>
      <c r="Y1035" s="716" t="str">
        <f t="shared" si="2591"/>
        <v/>
      </c>
      <c r="Z1035" s="716" t="str">
        <f>HYPERLINK("https://www.klasekpyrotechnics.cz/s4q-p")</f>
        <v>https://www.klasekpyrotechnics.cz/s4q-p</v>
      </c>
      <c r="AA1035" s="716" t="str">
        <f>IFERROR(IF(VLOOKUP(C1035,[4]List1!$A:$D,4,FALSE)=0,"",VLOOKUP(C1035,[4]List1!$A:$D,4,FALSE)),"")</f>
        <v>24</v>
      </c>
      <c r="AB1035" s="720"/>
      <c r="AC1035" s="747" t="str">
        <f>IFERROR(IF(VLOOKUP(C1035,[1]List1!$A:$D,2,FALSE)="VYPRODÁNO",$V$9,IF(VLOOKUP(C1035,[1]List1!$A:$D,2,FALSE)="DOCHÁZÍ",$V$3,VLOOKUP(C1035,[1]List1!$A:$D,2,FALSE))),"OFFLINE!")</f>
        <v>DOCHÁZÍ</v>
      </c>
      <c r="AD1035" s="748" t="str">
        <f ca="1">IF(AP1035="NE",$V$10,IF(AC1035=$V$3,IF(AQ1035&lt;1,$V$8,$V$2&amp;" "&amp;AQ1035&amp;" "&amp;$V$1),IF(AC1035="SKLADEM",$V$6,IFERROR(IF(OR(AC1035-TODAY()&gt;45,VLOOKUP(C1035,[1]List1!$A:$E,4,FALSE)=0),AC1035,DAY(AC1035)&amp;"."&amp;MONTH(AC1035)&amp;"."&amp;YEAR(AC1035)&amp;" "&amp;$V$4&amp;VLOOKUP(C1035,[1]List1!$A:$E,4,FALSE)&amp;" "&amp;$V$1),AC1035))))</f>
        <v>POSLEDNÍCH 1 VK</v>
      </c>
      <c r="AE1035" s="716" t="str">
        <f t="shared" ca="1" si="2592"/>
        <v>POSLEDNÍCH 1 VK</v>
      </c>
      <c r="AF1035" s="723">
        <f t="shared" si="2593"/>
        <v>0</v>
      </c>
      <c r="AG1035" s="723">
        <f t="shared" si="2594"/>
        <v>0</v>
      </c>
      <c r="AH1035" s="724">
        <f t="shared" si="2595"/>
        <v>0</v>
      </c>
      <c r="AI1035" s="716">
        <f t="shared" si="2596"/>
        <v>0</v>
      </c>
      <c r="AJ1035" s="716">
        <f t="shared" si="2597"/>
        <v>0</v>
      </c>
      <c r="AK1035" s="716" t="str">
        <f t="shared" si="2598"/>
        <v/>
      </c>
      <c r="AL1035" s="716">
        <f t="shared" si="2599"/>
        <v>0</v>
      </c>
      <c r="AM1035" s="716" t="str">
        <f t="shared" si="2600"/>
        <v/>
      </c>
      <c r="AN1035" s="716">
        <f t="shared" si="2601"/>
        <v>0</v>
      </c>
      <c r="AO1035" s="380"/>
      <c r="AP1035" s="322" t="str">
        <f t="shared" si="2504"/>
        <v/>
      </c>
      <c r="AQ1035" s="323">
        <f>IF(AC1035=$V$3,IF(VLOOKUP(C1035,[1]List1!$A:$E,5,FALSE)=0,1,VLOOKUP(C1035,[1]List1!$A:$E,5,FALSE)),"")</f>
        <v>1</v>
      </c>
      <c r="AR1035" s="304" t="str">
        <f t="shared" si="2505"/>
        <v/>
      </c>
      <c r="AS1035" s="423" t="str">
        <f t="shared" si="2506"/>
        <v/>
      </c>
      <c r="AT1035" s="304" t="str">
        <f t="shared" si="2507"/>
        <v/>
      </c>
      <c r="AU1035" s="342" t="e">
        <f t="shared" si="2508"/>
        <v>#N/A</v>
      </c>
      <c r="AV1035" s="304" t="e">
        <f t="shared" si="2509"/>
        <v>#N/A</v>
      </c>
      <c r="AX1035" s="304">
        <f>IF(AND('General price list'!$J1035="F4",'General price list'!$AB1035+0&gt;0),1,0)</f>
        <v>0</v>
      </c>
      <c r="AY1035" s="304">
        <f t="shared" si="2510"/>
        <v>1</v>
      </c>
      <c r="AZ1035" s="304">
        <f t="shared" si="2511"/>
        <v>1</v>
      </c>
    </row>
    <row r="1036" spans="1:52" ht="15" customHeight="1">
      <c r="A1036" s="725" t="str">
        <f>Kat.!C1033</f>
        <v/>
      </c>
      <c r="B1036" s="749">
        <f>IF(AND('General price list'!$J1036="F4",$AI$1=FALSE),0,IF(AC1036="SKLADEM",1,IF(AC1036=$V$3,1,0)))</f>
        <v>0</v>
      </c>
      <c r="C1036" s="727" t="s">
        <v>2139</v>
      </c>
      <c r="D1036" s="728" t="s">
        <v>2100</v>
      </c>
      <c r="E1036" s="729" t="s">
        <v>415</v>
      </c>
      <c r="F1036" s="725">
        <f>IFERROR(ROUND(IF($AL$3=2,VLOOKUP(C1036,[2]List1!$A:$D,2,FALSE)*1.08,VLOOKUP(C1036,[2]List1!$A:$D,2,FALSE)),0),"NEUVEDENO!")</f>
        <v>1200</v>
      </c>
      <c r="G1036" s="730">
        <f t="shared" si="2588"/>
        <v>1200</v>
      </c>
      <c r="H1036" s="731">
        <f t="shared" si="2589"/>
        <v>48.762845962233179</v>
      </c>
      <c r="I1036" s="750">
        <v>9</v>
      </c>
      <c r="J1036" s="729" t="s">
        <v>709</v>
      </c>
      <c r="K1036" s="729"/>
      <c r="L1036" s="729" t="s">
        <v>14400</v>
      </c>
      <c r="M1036" s="729" t="s">
        <v>138</v>
      </c>
      <c r="N1036" s="729">
        <f>IFERROR(VLOOKUP(C1036,[3]List1!$A:$D,4,FALSE),"N/A!")</f>
        <v>5.0592000000000005E-2</v>
      </c>
      <c r="O1036" s="729">
        <f>IFERROR(VLOOKUP(C1036,[3]List1!$A:$D,3,FALSE),"N/A!")</f>
        <v>10800</v>
      </c>
      <c r="P1036" s="729">
        <f>IFERROR(VLOOKUP(C1036,[3]List1!$A:$D,2,FALSE),"N/A!")</f>
        <v>18400</v>
      </c>
      <c r="Q1036" s="729" t="s">
        <v>160</v>
      </c>
      <c r="R1036" s="729" t="s">
        <v>18</v>
      </c>
      <c r="S1036" s="729"/>
      <c r="T1036" s="729"/>
      <c r="U1036" s="729">
        <v>120</v>
      </c>
      <c r="V1036" s="729">
        <v>70</v>
      </c>
      <c r="W1036" s="729" t="str">
        <f>IFERROR(VLOOKUP('General price list'!$C1036,Popisy!A:P,MATCH($W$17,Popisy!$A$7:$P$7,0),FALSE),"---------------")</f>
        <v>silver wave to blue w.crackling</v>
      </c>
      <c r="X1036" s="729" t="str">
        <f t="shared" si="2590"/>
        <v/>
      </c>
      <c r="Y1036" s="729" t="str">
        <f t="shared" si="2591"/>
        <v/>
      </c>
      <c r="Z1036" s="729" t="str">
        <f>HYPERLINK("https://www.klasekpyrotechnics.cz/s4s-p")</f>
        <v>https://www.klasekpyrotechnics.cz/s4s-p</v>
      </c>
      <c r="AA1036" s="729" t="str">
        <f>IFERROR(IF(VLOOKUP(C1036,[4]List1!$A:$D,4,FALSE)=0,"",VLOOKUP(C1036,[4]List1!$A:$D,4,FALSE)),"")</f>
        <v>24</v>
      </c>
      <c r="AB1036" s="720"/>
      <c r="AC1036" s="751" t="str">
        <f>IFERROR(IF(VLOOKUP(C1036,[1]List1!$A:$D,2,FALSE)="VYPRODÁNO",$V$9,IF(VLOOKUP(C1036,[1]List1!$A:$D,2,FALSE)="DOCHÁZÍ",$V$3,VLOOKUP(C1036,[1]List1!$A:$D,2,FALSE))),"OFFLINE!")</f>
        <v>SKLADEM</v>
      </c>
      <c r="AD1036" s="752" t="str">
        <f ca="1">IF(AP1036="NE",$V$10,IF(AC1036=$V$3,IF(AQ1036&lt;1,$V$8,$V$2&amp;" "&amp;AQ1036&amp;" "&amp;$V$1),IF(AC1036="SKLADEM",$V$6,IFERROR(IF(OR(AC1036-TODAY()&gt;45,VLOOKUP(C1036,[1]List1!$A:$E,4,FALSE)=0),AC1036,DAY(AC1036)&amp;"."&amp;MONTH(AC1036)&amp;"."&amp;YEAR(AC1036)&amp;" "&amp;$V$4&amp;VLOOKUP(C1036,[1]List1!$A:$E,4,FALSE)&amp;" "&amp;$V$1),AC1036))))</f>
        <v>SKLADEM</v>
      </c>
      <c r="AE1036" s="729" t="str">
        <f t="shared" ca="1" si="2592"/>
        <v>SKLADEM</v>
      </c>
      <c r="AF1036" s="735">
        <f t="shared" si="2593"/>
        <v>0</v>
      </c>
      <c r="AG1036" s="735">
        <f t="shared" si="2594"/>
        <v>0</v>
      </c>
      <c r="AH1036" s="736">
        <f t="shared" si="2595"/>
        <v>0</v>
      </c>
      <c r="AI1036" s="729">
        <f t="shared" si="2596"/>
        <v>0</v>
      </c>
      <c r="AJ1036" s="729">
        <f t="shared" si="2597"/>
        <v>0</v>
      </c>
      <c r="AK1036" s="729" t="str">
        <f t="shared" si="2598"/>
        <v/>
      </c>
      <c r="AL1036" s="729">
        <f t="shared" si="2599"/>
        <v>0</v>
      </c>
      <c r="AM1036" s="729" t="str">
        <f t="shared" si="2600"/>
        <v/>
      </c>
      <c r="AN1036" s="729">
        <f t="shared" si="2601"/>
        <v>0</v>
      </c>
      <c r="AO1036" s="380"/>
      <c r="AP1036" s="322" t="str">
        <f t="shared" si="2504"/>
        <v/>
      </c>
      <c r="AQ1036" s="323" t="str">
        <f>IF(AC1036=$V$3,IF(VLOOKUP(C1036,[1]List1!$A:$E,5,FALSE)=0,1,VLOOKUP(C1036,[1]List1!$A:$E,5,FALSE)),"")</f>
        <v/>
      </c>
      <c r="AR1036" s="304" t="str">
        <f t="shared" si="2505"/>
        <v/>
      </c>
      <c r="AS1036" s="423" t="str">
        <f t="shared" si="2506"/>
        <v/>
      </c>
      <c r="AT1036" s="304" t="str">
        <f t="shared" si="2507"/>
        <v/>
      </c>
      <c r="AU1036" s="342" t="e">
        <f t="shared" si="2508"/>
        <v>#N/A</v>
      </c>
      <c r="AV1036" s="304" t="e">
        <f t="shared" si="2509"/>
        <v>#N/A</v>
      </c>
      <c r="AX1036" s="304">
        <f>IF(AND('General price list'!$J1036="F4",'General price list'!$AB1036+0&gt;0),1,0)</f>
        <v>0</v>
      </c>
      <c r="AY1036" s="304">
        <f t="shared" si="2510"/>
        <v>1</v>
      </c>
      <c r="AZ1036" s="304">
        <f t="shared" si="2511"/>
        <v>1</v>
      </c>
    </row>
    <row r="1037" spans="1:52" ht="15" customHeight="1">
      <c r="A1037" s="712" t="str">
        <f>Kat.!C1034</f>
        <v/>
      </c>
      <c r="B1037" s="745">
        <f>IF(AND('General price list'!$J1037="F4",$AI$1=FALSE),0,IF(AC1037="SKLADEM",1,IF(AC1037=$V$3,1,0)))</f>
        <v>0</v>
      </c>
      <c r="C1037" s="714" t="s">
        <v>2142</v>
      </c>
      <c r="D1037" s="715" t="s">
        <v>2103</v>
      </c>
      <c r="E1037" s="716" t="s">
        <v>415</v>
      </c>
      <c r="F1037" s="712">
        <f>IFERROR(ROUND(IF($AL$3=2,VLOOKUP(C1037,[2]List1!$A:$D,2,FALSE)*1.08,VLOOKUP(C1037,[2]List1!$A:$D,2,FALSE)),0),"NEUVEDENO!")</f>
        <v>1200</v>
      </c>
      <c r="G1037" s="717">
        <f t="shared" si="2588"/>
        <v>1200</v>
      </c>
      <c r="H1037" s="718">
        <f t="shared" si="2589"/>
        <v>48.762845962233179</v>
      </c>
      <c r="I1037" s="746">
        <v>9</v>
      </c>
      <c r="J1037" s="716" t="s">
        <v>709</v>
      </c>
      <c r="K1037" s="716"/>
      <c r="L1037" s="716" t="s">
        <v>14400</v>
      </c>
      <c r="M1037" s="716" t="s">
        <v>138</v>
      </c>
      <c r="N1037" s="716">
        <f>IFERROR(VLOOKUP(C1037,[3]List1!$A:$D,4,FALSE),"N/A!")</f>
        <v>5.0592000000000005E-2</v>
      </c>
      <c r="O1037" s="716">
        <f>IFERROR(VLOOKUP(C1037,[3]List1!$A:$D,3,FALSE),"N/A!")</f>
        <v>10800</v>
      </c>
      <c r="P1037" s="716">
        <f>IFERROR(VLOOKUP(C1037,[3]List1!$A:$D,2,FALSE),"N/A!")</f>
        <v>16500</v>
      </c>
      <c r="Q1037" s="716" t="s">
        <v>160</v>
      </c>
      <c r="R1037" s="716" t="s">
        <v>18</v>
      </c>
      <c r="S1037" s="716" t="s">
        <v>14402</v>
      </c>
      <c r="T1037" s="716"/>
      <c r="U1037" s="716">
        <v>120</v>
      </c>
      <c r="V1037" s="716">
        <v>70</v>
      </c>
      <c r="W1037" s="716" t="str">
        <f>IFERROR(VLOOKUP('General price list'!$C1037,Popisy!A:P,MATCH($W$17,Popisy!$A$7:$P$7,0),FALSE),"---------------")</f>
        <v>golden wave to red</v>
      </c>
      <c r="X1037" s="716" t="str">
        <f t="shared" si="2590"/>
        <v/>
      </c>
      <c r="Y1037" s="716" t="str">
        <f t="shared" si="2591"/>
        <v/>
      </c>
      <c r="Z1037" s="716" t="str">
        <f>HYPERLINK("https://www.klasekpyrotechnics.cz/s4w-p")</f>
        <v>https://www.klasekpyrotechnics.cz/s4w-p</v>
      </c>
      <c r="AA1037" s="716" t="str">
        <f>IFERROR(IF(VLOOKUP(C1037,[4]List1!$A:$D,4,FALSE)=0,"",VLOOKUP(C1037,[4]List1!$A:$D,4,FALSE)),"")</f>
        <v>24</v>
      </c>
      <c r="AB1037" s="720"/>
      <c r="AC1037" s="747" t="str">
        <f>IFERROR(IF(VLOOKUP(C1037,[1]List1!$A:$D,2,FALSE)="VYPRODÁNO",$V$9,IF(VLOOKUP(C1037,[1]List1!$A:$D,2,FALSE)="DOCHÁZÍ",$V$3,VLOOKUP(C1037,[1]List1!$A:$D,2,FALSE))),"OFFLINE!")</f>
        <v>DOCHÁZÍ</v>
      </c>
      <c r="AD1037" s="748" t="str">
        <f ca="1">IF(AP1037="NE",$V$10,IF(AC1037=$V$3,IF(AQ1037&lt;1,$V$8,$V$2&amp;" "&amp;AQ1037&amp;" "&amp;$V$1),IF(AC1037="SKLADEM",$V$6,IFERROR(IF(OR(AC1037-TODAY()&gt;45,VLOOKUP(C1037,[1]List1!$A:$E,4,FALSE)=0),AC1037,DAY(AC1037)&amp;"."&amp;MONTH(AC1037)&amp;"."&amp;YEAR(AC1037)&amp;" "&amp;$V$4&amp;VLOOKUP(C1037,[1]List1!$A:$E,4,FALSE)&amp;" "&amp;$V$1),AC1037))))</f>
        <v>POSLEDNÍCH 2 VK</v>
      </c>
      <c r="AE1037" s="716" t="str">
        <f t="shared" ca="1" si="2592"/>
        <v>POSLEDNÍCH 2 VK</v>
      </c>
      <c r="AF1037" s="723">
        <f t="shared" si="2593"/>
        <v>0</v>
      </c>
      <c r="AG1037" s="723">
        <f t="shared" si="2594"/>
        <v>0</v>
      </c>
      <c r="AH1037" s="724">
        <f t="shared" si="2595"/>
        <v>0</v>
      </c>
      <c r="AI1037" s="716">
        <f t="shared" si="2596"/>
        <v>0</v>
      </c>
      <c r="AJ1037" s="716">
        <f t="shared" si="2597"/>
        <v>0</v>
      </c>
      <c r="AK1037" s="716" t="str">
        <f t="shared" si="2598"/>
        <v/>
      </c>
      <c r="AL1037" s="716">
        <f t="shared" si="2599"/>
        <v>0</v>
      </c>
      <c r="AM1037" s="716" t="str">
        <f t="shared" si="2600"/>
        <v/>
      </c>
      <c r="AN1037" s="716">
        <f t="shared" si="2601"/>
        <v>0</v>
      </c>
      <c r="AO1037" s="380"/>
      <c r="AP1037" s="322" t="str">
        <f t="shared" si="2504"/>
        <v/>
      </c>
      <c r="AQ1037" s="323">
        <f>IF(AC1037=$V$3,IF(VLOOKUP(C1037,[1]List1!$A:$E,5,FALSE)=0,1,VLOOKUP(C1037,[1]List1!$A:$E,5,FALSE)),"")</f>
        <v>2</v>
      </c>
      <c r="AR1037" s="304" t="str">
        <f t="shared" si="2505"/>
        <v/>
      </c>
      <c r="AS1037" s="423" t="str">
        <f t="shared" si="2506"/>
        <v/>
      </c>
      <c r="AT1037" s="304" t="str">
        <f t="shared" si="2507"/>
        <v/>
      </c>
      <c r="AU1037" s="342" t="e">
        <f t="shared" si="2508"/>
        <v>#N/A</v>
      </c>
      <c r="AV1037" s="304" t="e">
        <f t="shared" si="2509"/>
        <v>#N/A</v>
      </c>
      <c r="AX1037" s="304">
        <f>IF(AND('General price list'!$J1037="F4",'General price list'!$AB1037+0&gt;0),1,0)</f>
        <v>0</v>
      </c>
      <c r="AY1037" s="304">
        <f t="shared" si="2510"/>
        <v>1</v>
      </c>
      <c r="AZ1037" s="304">
        <f t="shared" si="2511"/>
        <v>1</v>
      </c>
    </row>
    <row r="1038" spans="1:52" ht="15" customHeight="1">
      <c r="A1038" s="725" t="str">
        <f>Kat.!C1035</f>
        <v/>
      </c>
      <c r="B1038" s="749">
        <f>IF(AND('General price list'!$J1038="F4",$AI$1=FALSE),0,IF(AC1038="SKLADEM",1,IF(AC1038=$V$3,1,0)))</f>
        <v>0</v>
      </c>
      <c r="C1038" s="727" t="s">
        <v>2150</v>
      </c>
      <c r="D1038" s="728" t="s">
        <v>2111</v>
      </c>
      <c r="E1038" s="729" t="s">
        <v>415</v>
      </c>
      <c r="F1038" s="725">
        <f>IFERROR(ROUND(IF($AL$3=2,VLOOKUP(C1038,[2]List1!$A:$D,2,FALSE)*1.08,VLOOKUP(C1038,[2]List1!$A:$D,2,FALSE)),0),"NEUVEDENO!")</f>
        <v>1200</v>
      </c>
      <c r="G1038" s="730">
        <f t="shared" si="2588"/>
        <v>1200</v>
      </c>
      <c r="H1038" s="731">
        <f t="shared" si="2589"/>
        <v>48.762845962233179</v>
      </c>
      <c r="I1038" s="750">
        <v>9</v>
      </c>
      <c r="J1038" s="729" t="s">
        <v>709</v>
      </c>
      <c r="K1038" s="729"/>
      <c r="L1038" s="729" t="s">
        <v>14400</v>
      </c>
      <c r="M1038" s="729" t="s">
        <v>138</v>
      </c>
      <c r="N1038" s="729">
        <f>IFERROR(VLOOKUP(C1038,[3]List1!$A:$D,4,FALSE),"N/A!")</f>
        <v>5.0592000000000005E-2</v>
      </c>
      <c r="O1038" s="729">
        <f>IFERROR(VLOOKUP(C1038,[3]List1!$A:$D,3,FALSE),"N/A!")</f>
        <v>10800</v>
      </c>
      <c r="P1038" s="729">
        <f>IFERROR(VLOOKUP(C1038,[3]List1!$A:$D,2,FALSE),"N/A!")</f>
        <v>15000</v>
      </c>
      <c r="Q1038" s="729" t="s">
        <v>160</v>
      </c>
      <c r="R1038" s="729" t="s">
        <v>18</v>
      </c>
      <c r="S1038" s="729"/>
      <c r="T1038" s="729"/>
      <c r="U1038" s="729">
        <v>120</v>
      </c>
      <c r="V1038" s="729">
        <v>70</v>
      </c>
      <c r="W1038" s="729" t="str">
        <f>IFERROR(VLOOKUP('General price list'!$C1038,Popisy!A:P,MATCH($W$17,Popisy!$A$7:$P$7,0),FALSE),"---------------")</f>
        <v>red strobe willow</v>
      </c>
      <c r="X1038" s="729" t="str">
        <f t="shared" si="2590"/>
        <v/>
      </c>
      <c r="Y1038" s="729" t="str">
        <f t="shared" si="2591"/>
        <v/>
      </c>
      <c r="Z1038" s="729" t="str">
        <f>HYPERLINK("https://www.klasekpyrotechnics.cz/s4z5-p")</f>
        <v>https://www.klasekpyrotechnics.cz/s4z5-p</v>
      </c>
      <c r="AA1038" s="729" t="str">
        <f>IFERROR(IF(VLOOKUP(C1038,[4]List1!$A:$D,4,FALSE)=0,"",VLOOKUP(C1038,[4]List1!$A:$D,4,FALSE)),"")</f>
        <v>24</v>
      </c>
      <c r="AB1038" s="720"/>
      <c r="AC1038" s="751" t="str">
        <f>IFERROR(IF(VLOOKUP(C1038,[1]List1!$A:$D,2,FALSE)="VYPRODÁNO",$V$9,IF(VLOOKUP(C1038,[1]List1!$A:$D,2,FALSE)="DOCHÁZÍ",$V$3,VLOOKUP(C1038,[1]List1!$A:$D,2,FALSE))),"OFFLINE!")</f>
        <v>20.06.2024</v>
      </c>
      <c r="AD1038" s="752" t="str">
        <f ca="1">IF(AP1038="NE",$V$10,IF(AC1038=$V$3,IF(AQ1038&lt;1,$V$8,$V$2&amp;" "&amp;AQ1038&amp;" "&amp;$V$1),IF(AC1038="SKLADEM",$V$6,IFERROR(IF(OR(AC1038-TODAY()&gt;45,VLOOKUP(C1038,[1]List1!$A:$E,4,FALSE)=0),AC1038,DAY(AC1038)&amp;"."&amp;MONTH(AC1038)&amp;"."&amp;YEAR(AC1038)&amp;" "&amp;$V$4&amp;VLOOKUP(C1038,[1]List1!$A:$E,4,FALSE)&amp;" "&amp;$V$1),AC1038))))</f>
        <v>20.06.2024</v>
      </c>
      <c r="AE1038" s="729" t="str">
        <f t="shared" ca="1" si="2592"/>
        <v>20.06.2024</v>
      </c>
      <c r="AF1038" s="735">
        <f t="shared" si="2593"/>
        <v>0</v>
      </c>
      <c r="AG1038" s="735">
        <f t="shared" si="2594"/>
        <v>0</v>
      </c>
      <c r="AH1038" s="736">
        <f t="shared" si="2595"/>
        <v>0</v>
      </c>
      <c r="AI1038" s="729">
        <f t="shared" si="2596"/>
        <v>0</v>
      </c>
      <c r="AJ1038" s="729">
        <f t="shared" si="2597"/>
        <v>0</v>
      </c>
      <c r="AK1038" s="729" t="str">
        <f t="shared" si="2598"/>
        <v/>
      </c>
      <c r="AL1038" s="729">
        <f t="shared" si="2599"/>
        <v>0</v>
      </c>
      <c r="AM1038" s="729" t="str">
        <f t="shared" si="2600"/>
        <v/>
      </c>
      <c r="AN1038" s="729">
        <f t="shared" si="2601"/>
        <v>0</v>
      </c>
      <c r="AO1038" s="380"/>
      <c r="AP1038" s="322" t="str">
        <f t="shared" si="2504"/>
        <v/>
      </c>
      <c r="AQ1038" s="323" t="str">
        <f>IF(AC1038=$V$3,IF(VLOOKUP(C1038,[1]List1!$A:$E,5,FALSE)=0,1,VLOOKUP(C1038,[1]List1!$A:$E,5,FALSE)),"")</f>
        <v/>
      </c>
      <c r="AR1038" s="304" t="str">
        <f t="shared" si="2505"/>
        <v/>
      </c>
      <c r="AS1038" s="423" t="str">
        <f t="shared" si="2506"/>
        <v/>
      </c>
      <c r="AT1038" s="304" t="str">
        <f t="shared" si="2507"/>
        <v/>
      </c>
      <c r="AU1038" s="342" t="e">
        <f t="shared" si="2508"/>
        <v>#N/A</v>
      </c>
      <c r="AV1038" s="304" t="e">
        <f t="shared" si="2509"/>
        <v>#N/A</v>
      </c>
      <c r="AX1038" s="304">
        <f>IF(AND('General price list'!$J1038="F4",'General price list'!$AB1038+0&gt;0),1,0)</f>
        <v>0</v>
      </c>
      <c r="AY1038" s="304">
        <f t="shared" si="2510"/>
        <v>1</v>
      </c>
      <c r="AZ1038" s="304">
        <f t="shared" si="2511"/>
        <v>1</v>
      </c>
    </row>
    <row r="1039" spans="1:52" ht="15" customHeight="1">
      <c r="A1039" s="712" t="str">
        <f>Kat.!C1036</f>
        <v/>
      </c>
      <c r="B1039" s="745">
        <f>IF(AND('General price list'!$J1039="F4",$AI$1=FALSE),0,IF(AC1039="SKLADEM",1,IF(AC1039=$V$3,1,0)))</f>
        <v>0</v>
      </c>
      <c r="C1039" s="714" t="s">
        <v>2151</v>
      </c>
      <c r="D1039" s="715" t="s">
        <v>2113</v>
      </c>
      <c r="E1039" s="716" t="s">
        <v>415</v>
      </c>
      <c r="F1039" s="712">
        <f>IFERROR(ROUND(IF($AL$3=2,VLOOKUP(C1039,[2]List1!$A:$D,2,FALSE)*1.08,VLOOKUP(C1039,[2]List1!$A:$D,2,FALSE)),0),"NEUVEDENO!")</f>
        <v>1200</v>
      </c>
      <c r="G1039" s="717">
        <f t="shared" si="2588"/>
        <v>1200</v>
      </c>
      <c r="H1039" s="718">
        <f t="shared" si="2589"/>
        <v>48.762845962233179</v>
      </c>
      <c r="I1039" s="746">
        <v>9</v>
      </c>
      <c r="J1039" s="716" t="s">
        <v>709</v>
      </c>
      <c r="K1039" s="716"/>
      <c r="L1039" s="716" t="s">
        <v>14400</v>
      </c>
      <c r="M1039" s="716" t="s">
        <v>138</v>
      </c>
      <c r="N1039" s="716">
        <f>IFERROR(VLOOKUP(C1039,[3]List1!$A:$D,4,FALSE),"N/A!")</f>
        <v>5.0592000000000005E-2</v>
      </c>
      <c r="O1039" s="716">
        <f>IFERROR(VLOOKUP(C1039,[3]List1!$A:$D,3,FALSE),"N/A!")</f>
        <v>10800</v>
      </c>
      <c r="P1039" s="716">
        <f>IFERROR(VLOOKUP(C1039,[3]List1!$A:$D,2,FALSE),"N/A!")</f>
        <v>15000</v>
      </c>
      <c r="Q1039" s="716" t="s">
        <v>160</v>
      </c>
      <c r="R1039" s="716" t="s">
        <v>18</v>
      </c>
      <c r="S1039" s="716" t="s">
        <v>14403</v>
      </c>
      <c r="T1039" s="716"/>
      <c r="U1039" s="716">
        <v>120</v>
      </c>
      <c r="V1039" s="716">
        <v>70</v>
      </c>
      <c r="W1039" s="716" t="str">
        <f>IFERROR(VLOOKUP('General price list'!$C1039,Popisy!A:P,MATCH($W$17,Popisy!$A$7:$P$7,0),FALSE),"---------------")</f>
        <v>red three swords man</v>
      </c>
      <c r="X1039" s="716" t="str">
        <f t="shared" si="2590"/>
        <v/>
      </c>
      <c r="Y1039" s="716" t="str">
        <f t="shared" si="2591"/>
        <v/>
      </c>
      <c r="Z1039" s="716" t="str">
        <f>HYPERLINK("https://www.klasekpyrotechnics.cz/s4z6-p")</f>
        <v>https://www.klasekpyrotechnics.cz/s4z6-p</v>
      </c>
      <c r="AA1039" s="716" t="str">
        <f>IFERROR(IF(VLOOKUP(C1039,[4]List1!$A:$D,4,FALSE)=0,"",VLOOKUP(C1039,[4]List1!$A:$D,4,FALSE)),"")</f>
        <v>24</v>
      </c>
      <c r="AB1039" s="720"/>
      <c r="AC1039" s="747" t="str">
        <f>IFERROR(IF(VLOOKUP(C1039,[1]List1!$A:$D,2,FALSE)="VYPRODÁNO",$V$9,IF(VLOOKUP(C1039,[1]List1!$A:$D,2,FALSE)="DOCHÁZÍ",$V$3,VLOOKUP(C1039,[1]List1!$A:$D,2,FALSE))),"OFFLINE!")</f>
        <v>30.09.2024</v>
      </c>
      <c r="AD1039" s="748" t="str">
        <f ca="1">IF(AP1039="NE",$V$10,IF(AC1039=$V$3,IF(AQ1039&lt;1,$V$8,$V$2&amp;" "&amp;AQ1039&amp;" "&amp;$V$1),IF(AC1039="SKLADEM",$V$6,IFERROR(IF(OR(AC1039-TODAY()&gt;45,VLOOKUP(C1039,[1]List1!$A:$E,4,FALSE)=0),AC1039,DAY(AC1039)&amp;"."&amp;MONTH(AC1039)&amp;"."&amp;YEAR(AC1039)&amp;" "&amp;$V$4&amp;VLOOKUP(C1039,[1]List1!$A:$E,4,FALSE)&amp;" "&amp;$V$1),AC1039))))</f>
        <v>30.09.2024</v>
      </c>
      <c r="AE1039" s="716" t="str">
        <f t="shared" ca="1" si="2592"/>
        <v>30.09.2024</v>
      </c>
      <c r="AF1039" s="723">
        <f t="shared" si="2593"/>
        <v>0</v>
      </c>
      <c r="AG1039" s="723">
        <f t="shared" si="2594"/>
        <v>0</v>
      </c>
      <c r="AH1039" s="724">
        <f t="shared" si="2595"/>
        <v>0</v>
      </c>
      <c r="AI1039" s="716">
        <f t="shared" si="2596"/>
        <v>0</v>
      </c>
      <c r="AJ1039" s="716">
        <f t="shared" si="2597"/>
        <v>0</v>
      </c>
      <c r="AK1039" s="716" t="str">
        <f t="shared" si="2598"/>
        <v/>
      </c>
      <c r="AL1039" s="716">
        <f t="shared" si="2599"/>
        <v>0</v>
      </c>
      <c r="AM1039" s="716" t="str">
        <f t="shared" si="2600"/>
        <v/>
      </c>
      <c r="AN1039" s="716">
        <f t="shared" si="2601"/>
        <v>0</v>
      </c>
      <c r="AO1039" s="380"/>
      <c r="AP1039" s="322" t="str">
        <f t="shared" si="2504"/>
        <v/>
      </c>
      <c r="AQ1039" s="323" t="str">
        <f>IF(AC1039=$V$3,IF(VLOOKUP(C1039,[1]List1!$A:$E,5,FALSE)=0,1,VLOOKUP(C1039,[1]List1!$A:$E,5,FALSE)),"")</f>
        <v/>
      </c>
      <c r="AR1039" s="304" t="str">
        <f t="shared" si="2505"/>
        <v/>
      </c>
      <c r="AS1039" s="423" t="str">
        <f t="shared" si="2506"/>
        <v/>
      </c>
      <c r="AT1039" s="304" t="str">
        <f t="shared" si="2507"/>
        <v/>
      </c>
      <c r="AU1039" s="342" t="e">
        <f t="shared" si="2508"/>
        <v>#N/A</v>
      </c>
      <c r="AV1039" s="304" t="e">
        <f t="shared" si="2509"/>
        <v>#N/A</v>
      </c>
      <c r="AX1039" s="304">
        <f>IF(AND('General price list'!$J1039="F4",'General price list'!$AB1039+0&gt;0),1,0)</f>
        <v>0</v>
      </c>
      <c r="AY1039" s="304">
        <f t="shared" si="2510"/>
        <v>1</v>
      </c>
      <c r="AZ1039" s="304">
        <f t="shared" si="2511"/>
        <v>1</v>
      </c>
    </row>
    <row r="1040" spans="1:52" ht="15" customHeight="1">
      <c r="A1040" s="725" t="str">
        <f>Kat.!C1037</f>
        <v/>
      </c>
      <c r="B1040" s="749">
        <f>IF(AND('General price list'!$J1040="F4",$AI$1=FALSE),0,IF(AC1040="SKLADEM",1,IF(AC1040=$V$3,1,0)))</f>
        <v>0</v>
      </c>
      <c r="C1040" s="727" t="s">
        <v>2153</v>
      </c>
      <c r="D1040" s="728" t="s">
        <v>2116</v>
      </c>
      <c r="E1040" s="729" t="s">
        <v>415</v>
      </c>
      <c r="F1040" s="725">
        <f>IFERROR(ROUND(IF($AL$3=2,VLOOKUP(C1040,[2]List1!$A:$D,2,FALSE)*1.08,VLOOKUP(C1040,[2]List1!$A:$D,2,FALSE)),0),"NEUVEDENO!")</f>
        <v>1338</v>
      </c>
      <c r="G1040" s="730">
        <f t="shared" si="2588"/>
        <v>1338</v>
      </c>
      <c r="H1040" s="731">
        <f t="shared" si="2589"/>
        <v>54.370573247889993</v>
      </c>
      <c r="I1040" s="750">
        <v>9</v>
      </c>
      <c r="J1040" s="729" t="s">
        <v>709</v>
      </c>
      <c r="K1040" s="729"/>
      <c r="L1040" s="729" t="s">
        <v>14400</v>
      </c>
      <c r="M1040" s="729" t="s">
        <v>138</v>
      </c>
      <c r="N1040" s="729">
        <f>IFERROR(VLOOKUP(C1040,[3]List1!$A:$D,4,FALSE),"N/A!")</f>
        <v>5.0592000000000005E-2</v>
      </c>
      <c r="O1040" s="729">
        <f>IFERROR(VLOOKUP(C1040,[3]List1!$A:$D,3,FALSE),"N/A!")</f>
        <v>10800</v>
      </c>
      <c r="P1040" s="729">
        <f>IFERROR(VLOOKUP(C1040,[3]List1!$A:$D,2,FALSE),"N/A!")</f>
        <v>17000</v>
      </c>
      <c r="Q1040" s="729" t="s">
        <v>160</v>
      </c>
      <c r="R1040" s="729" t="s">
        <v>18</v>
      </c>
      <c r="S1040" s="729"/>
      <c r="T1040" s="729"/>
      <c r="U1040" s="729">
        <v>120</v>
      </c>
      <c r="V1040" s="729">
        <v>70</v>
      </c>
      <c r="W1040" s="729" t="str">
        <f>IFERROR(VLOOKUP('General price list'!$C1040,Popisy!A:P,MATCH($W$17,Popisy!$A$7:$P$7,0),FALSE),"---------------")</f>
        <v>brocade crown to color</v>
      </c>
      <c r="X1040" s="729" t="str">
        <f t="shared" si="2590"/>
        <v/>
      </c>
      <c r="Y1040" s="729" t="str">
        <f t="shared" si="2591"/>
        <v/>
      </c>
      <c r="Z1040" s="729" t="str">
        <f>HYPERLINK("https://www.klasekpyrotechnics.cz/s4z8-p")</f>
        <v>https://www.klasekpyrotechnics.cz/s4z8-p</v>
      </c>
      <c r="AA1040" s="729" t="str">
        <f>IFERROR(IF(VLOOKUP(C1040,[4]List1!$A:$D,4,FALSE)=0,"",VLOOKUP(C1040,[4]List1!$A:$D,4,FALSE)),"")</f>
        <v>24</v>
      </c>
      <c r="AB1040" s="720"/>
      <c r="AC1040" s="751" t="str">
        <f>IFERROR(IF(VLOOKUP(C1040,[1]List1!$A:$D,2,FALSE)="VYPRODÁNO",$V$9,IF(VLOOKUP(C1040,[1]List1!$A:$D,2,FALSE)="DOCHÁZÍ",$V$3,VLOOKUP(C1040,[1]List1!$A:$D,2,FALSE))),"OFFLINE!")</f>
        <v>30.09.2024</v>
      </c>
      <c r="AD1040" s="752" t="str">
        <f ca="1">IF(AP1040="NE",$V$10,IF(AC1040=$V$3,IF(AQ1040&lt;1,$V$8,$V$2&amp;" "&amp;AQ1040&amp;" "&amp;$V$1),IF(AC1040="SKLADEM",$V$6,IFERROR(IF(OR(AC1040-TODAY()&gt;45,VLOOKUP(C1040,[1]List1!$A:$E,4,FALSE)=0),AC1040,DAY(AC1040)&amp;"."&amp;MONTH(AC1040)&amp;"."&amp;YEAR(AC1040)&amp;" "&amp;$V$4&amp;VLOOKUP(C1040,[1]List1!$A:$E,4,FALSE)&amp;" "&amp;$V$1),AC1040))))</f>
        <v>30.09.2024</v>
      </c>
      <c r="AE1040" s="729" t="str">
        <f t="shared" ca="1" si="2592"/>
        <v>30.09.2024</v>
      </c>
      <c r="AF1040" s="735">
        <f t="shared" si="2593"/>
        <v>0</v>
      </c>
      <c r="AG1040" s="735">
        <f t="shared" si="2594"/>
        <v>0</v>
      </c>
      <c r="AH1040" s="736">
        <f t="shared" si="2595"/>
        <v>0</v>
      </c>
      <c r="AI1040" s="729">
        <f t="shared" si="2596"/>
        <v>0</v>
      </c>
      <c r="AJ1040" s="729">
        <f t="shared" si="2597"/>
        <v>0</v>
      </c>
      <c r="AK1040" s="729" t="str">
        <f t="shared" si="2598"/>
        <v/>
      </c>
      <c r="AL1040" s="729">
        <f t="shared" si="2599"/>
        <v>0</v>
      </c>
      <c r="AM1040" s="729" t="str">
        <f t="shared" si="2600"/>
        <v/>
      </c>
      <c r="AN1040" s="729">
        <f t="shared" si="2601"/>
        <v>0</v>
      </c>
      <c r="AO1040" s="380"/>
      <c r="AP1040" s="322" t="str">
        <f t="shared" ref="AP1040:AP1043" si="2602">IF($AL$3=1,IF(Y1040=AB1040,"","NE"),IF(AR1040=$V$10,"NE",""))</f>
        <v/>
      </c>
      <c r="AQ1040" s="323" t="str">
        <f>IF(AC1040=$V$3,IF(VLOOKUP(C1040,[1]List1!$A:$E,5,FALSE)=0,1,VLOOKUP(C1040,[1]List1!$A:$E,5,FALSE)),"")</f>
        <v/>
      </c>
      <c r="AR1040" s="304" t="str">
        <f t="shared" ref="AR1040:AR1043" si="2603">IF($AL$3=1,"",IF(OR(AB1040&lt;&gt;"",AB1040&lt;&gt;0),IF(OR(AC1040=$V$6,AC1040=$V$3,AC1040=$V$9),$V$10,""),""))</f>
        <v/>
      </c>
      <c r="AS1040" s="423" t="str">
        <f t="shared" ref="AS1040:AS1043" si="2604">IF(AT1040&lt;&gt;"","X","")</f>
        <v/>
      </c>
      <c r="AT1040" s="304" t="str">
        <f t="shared" ref="AT1040:AT1043" si="2605">IF(AND($AL$3=2,AR1040="",AB1040&lt;&gt;""),AD1040,"")</f>
        <v/>
      </c>
      <c r="AU1040" s="342" t="e">
        <f t="shared" ref="AU1040:AU1043" si="2606">IF(AT1040=$AS$21,AB1040,"")</f>
        <v>#N/A</v>
      </c>
      <c r="AV1040" s="304" t="e">
        <f t="shared" ref="AV1040:AV1043" si="2607">IF(OR(AB1040="",AND(AT1040&lt;&gt;"",AU1040&lt;&gt;"")),"",$V$10)</f>
        <v>#N/A</v>
      </c>
      <c r="AX1040" s="304">
        <f>IF(AND('General price list'!$J1040="F4",'General price list'!$AB1040+0&gt;0),1,0)</f>
        <v>0</v>
      </c>
      <c r="AY1040" s="304">
        <f t="shared" ref="AY1040:AY1043" si="2608">IFERROR(FIND(VLOOKUP($AC$7,$AD$1:$AE$12,2,FALSE),Q1040,1),0)</f>
        <v>1</v>
      </c>
      <c r="AZ1040" s="304">
        <f t="shared" ref="AZ1040:AZ1043" si="2609">IFERROR(FIND(VLOOKUP($AC$7,$AD$1:$AE$12,2,FALSE),R1040,1),0)</f>
        <v>1</v>
      </c>
    </row>
    <row r="1041" spans="1:52" ht="15" customHeight="1">
      <c r="A1041" s="712" t="str">
        <f>Kat.!C1038</f>
        <v/>
      </c>
      <c r="B1041" s="745">
        <f>IF(AND('General price list'!$J1041="F4",$AI$1=FALSE),0,IF(AC1041="SKLADEM",1,IF(AC1041=$V$3,1,0)))</f>
        <v>0</v>
      </c>
      <c r="C1041" s="714" t="s">
        <v>2630</v>
      </c>
      <c r="D1041" s="715" t="s">
        <v>2631</v>
      </c>
      <c r="E1041" s="716" t="s">
        <v>415</v>
      </c>
      <c r="F1041" s="712">
        <f>IFERROR(ROUND(IF($AL$3=2,VLOOKUP(C1041,[2]List1!$A:$D,2,FALSE)*1.08,VLOOKUP(C1041,[2]List1!$A:$D,2,FALSE)),0),"NEUVEDENO!")</f>
        <v>1200</v>
      </c>
      <c r="G1041" s="717">
        <f t="shared" si="2588"/>
        <v>1200</v>
      </c>
      <c r="H1041" s="718">
        <f t="shared" si="2589"/>
        <v>48.762845962233179</v>
      </c>
      <c r="I1041" s="746">
        <v>9</v>
      </c>
      <c r="J1041" s="716" t="s">
        <v>709</v>
      </c>
      <c r="K1041" s="716"/>
      <c r="L1041" s="716" t="s">
        <v>24</v>
      </c>
      <c r="M1041" s="716" t="s">
        <v>138</v>
      </c>
      <c r="N1041" s="716">
        <f>IFERROR(VLOOKUP(C1041,[3]List1!$A:$D,4,FALSE),"N/A!")</f>
        <v>5.0592000000000005E-2</v>
      </c>
      <c r="O1041" s="716">
        <f>IFERROR(VLOOKUP(C1041,[3]List1!$A:$D,3,FALSE),"N/A!")</f>
        <v>10800</v>
      </c>
      <c r="P1041" s="716">
        <f>IFERROR(VLOOKUP(C1041,[3]List1!$A:$D,2,FALSE),"N/A!")</f>
        <v>16600</v>
      </c>
      <c r="Q1041" s="716" t="s">
        <v>160</v>
      </c>
      <c r="R1041" s="716" t="s">
        <v>18</v>
      </c>
      <c r="S1041" s="716" t="s">
        <v>14403</v>
      </c>
      <c r="T1041" s="716"/>
      <c r="U1041" s="716">
        <v>120</v>
      </c>
      <c r="V1041" s="716">
        <v>70</v>
      </c>
      <c r="W1041" s="716" t="str">
        <f>IFERROR(VLOOKUP('General price list'!$C1041,Popisy!A:P,MATCH($W$17,Popisy!$A$7:$P$7,0),FALSE),"---------------")</f>
        <v>crackling waterfall</v>
      </c>
      <c r="X1041" s="716" t="str">
        <f t="shared" si="2590"/>
        <v/>
      </c>
      <c r="Y1041" s="716" t="str">
        <f t="shared" si="2591"/>
        <v/>
      </c>
      <c r="Z1041" s="716" t="str">
        <f>HYPERLINK("https://www.klasekpyrotechnics.cz/s4z11-p")</f>
        <v>https://www.klasekpyrotechnics.cz/s4z11-p</v>
      </c>
      <c r="AA1041" s="716" t="str">
        <f>IFERROR(IF(VLOOKUP(C1041,[4]List1!$A:$D,4,FALSE)=0,"",VLOOKUP(C1041,[4]List1!$A:$D,4,FALSE)),"")</f>
        <v>24</v>
      </c>
      <c r="AB1041" s="720"/>
      <c r="AC1041" s="747" t="str">
        <f>IFERROR(IF(VLOOKUP(C1041,[1]List1!$A:$D,2,FALSE)="VYPRODÁNO",$V$9,IF(VLOOKUP(C1041,[1]List1!$A:$D,2,FALSE)="DOCHÁZÍ",$V$3,VLOOKUP(C1041,[1]List1!$A:$D,2,FALSE))),"OFFLINE!")</f>
        <v>15.09.2024</v>
      </c>
      <c r="AD1041" s="748" t="str">
        <f ca="1">IF(AP1041="NE",$V$10,IF(AC1041=$V$3,IF(AQ1041&lt;1,$V$8,$V$2&amp;" "&amp;AQ1041&amp;" "&amp;$V$1),IF(AC1041="SKLADEM",$V$6,IFERROR(IF(OR(AC1041-TODAY()&gt;45,VLOOKUP(C1041,[1]List1!$A:$E,4,FALSE)=0),AC1041,DAY(AC1041)&amp;"."&amp;MONTH(AC1041)&amp;"."&amp;YEAR(AC1041)&amp;" "&amp;$V$4&amp;VLOOKUP(C1041,[1]List1!$A:$E,4,FALSE)&amp;" "&amp;$V$1),AC1041))))</f>
        <v>15.09.2024</v>
      </c>
      <c r="AE1041" s="716" t="str">
        <f t="shared" ca="1" si="2592"/>
        <v>15.09.2024</v>
      </c>
      <c r="AF1041" s="723">
        <f t="shared" si="2593"/>
        <v>0</v>
      </c>
      <c r="AG1041" s="723">
        <f t="shared" si="2594"/>
        <v>0</v>
      </c>
      <c r="AH1041" s="724">
        <f t="shared" si="2595"/>
        <v>0</v>
      </c>
      <c r="AI1041" s="716">
        <f t="shared" si="2596"/>
        <v>0</v>
      </c>
      <c r="AJ1041" s="716">
        <f t="shared" si="2597"/>
        <v>0</v>
      </c>
      <c r="AK1041" s="716" t="str">
        <f t="shared" si="2598"/>
        <v/>
      </c>
      <c r="AL1041" s="716">
        <f t="shared" si="2599"/>
        <v>0</v>
      </c>
      <c r="AM1041" s="716" t="str">
        <f t="shared" si="2600"/>
        <v/>
      </c>
      <c r="AN1041" s="716">
        <f t="shared" si="2601"/>
        <v>0</v>
      </c>
      <c r="AO1041" s="380"/>
      <c r="AP1041" s="322" t="str">
        <f t="shared" si="2602"/>
        <v/>
      </c>
      <c r="AQ1041" s="323" t="str">
        <f>IF(AC1041=$V$3,IF(VLOOKUP(C1041,[1]List1!$A:$E,5,FALSE)=0,1,VLOOKUP(C1041,[1]List1!$A:$E,5,FALSE)),"")</f>
        <v/>
      </c>
      <c r="AR1041" s="304" t="str">
        <f t="shared" si="2603"/>
        <v/>
      </c>
      <c r="AS1041" s="423" t="str">
        <f t="shared" si="2604"/>
        <v/>
      </c>
      <c r="AT1041" s="304" t="str">
        <f t="shared" si="2605"/>
        <v/>
      </c>
      <c r="AU1041" s="342" t="e">
        <f t="shared" si="2606"/>
        <v>#N/A</v>
      </c>
      <c r="AV1041" s="304" t="e">
        <f t="shared" si="2607"/>
        <v>#N/A</v>
      </c>
      <c r="AX1041" s="304">
        <f>IF(AND('General price list'!$J1041="F4",'General price list'!$AB1041+0&gt;0),1,0)</f>
        <v>0</v>
      </c>
      <c r="AY1041" s="304">
        <f t="shared" si="2608"/>
        <v>1</v>
      </c>
      <c r="AZ1041" s="304">
        <f t="shared" si="2609"/>
        <v>1</v>
      </c>
    </row>
    <row r="1042" spans="1:52" ht="15" customHeight="1">
      <c r="A1042" s="725" t="str">
        <f>Kat.!C1039</f>
        <v>×</v>
      </c>
      <c r="B1042" s="749">
        <f>IF(AND('General price list'!$J1042="F4",$AI$1=FALSE),0,IF(AC1042="SKLADEM",1,IF(AC1042=$V$3,1,0)))</f>
        <v>0</v>
      </c>
      <c r="C1042" s="727" t="s">
        <v>2632</v>
      </c>
      <c r="D1042" s="728" t="s">
        <v>2633</v>
      </c>
      <c r="E1042" s="729" t="s">
        <v>415</v>
      </c>
      <c r="F1042" s="725">
        <f>IFERROR(ROUND(IF($AL$3=2,VLOOKUP(C1042,[2]List1!$A:$D,2,FALSE)*1.08,VLOOKUP(C1042,[2]List1!$A:$D,2,FALSE)),0),"NEUVEDENO!")</f>
        <v>1200</v>
      </c>
      <c r="G1042" s="730">
        <f t="shared" si="2588"/>
        <v>1200</v>
      </c>
      <c r="H1042" s="731">
        <f t="shared" si="2589"/>
        <v>48.762845962233179</v>
      </c>
      <c r="I1042" s="750">
        <v>9</v>
      </c>
      <c r="J1042" s="729" t="s">
        <v>709</v>
      </c>
      <c r="K1042" s="729"/>
      <c r="L1042" s="729" t="s">
        <v>24</v>
      </c>
      <c r="M1042" s="729" t="s">
        <v>138</v>
      </c>
      <c r="N1042" s="729">
        <f>IFERROR(VLOOKUP(C1042,[3]List1!$A:$D,4,FALSE),"N/A!")</f>
        <v>5.0592000000000005E-2</v>
      </c>
      <c r="O1042" s="729">
        <f>IFERROR(VLOOKUP(C1042,[3]List1!$A:$D,3,FALSE),"N/A!")</f>
        <v>10800</v>
      </c>
      <c r="P1042" s="729">
        <f>IFERROR(VLOOKUP(C1042,[3]List1!$A:$D,2,FALSE),"N/A!")</f>
        <v>16600</v>
      </c>
      <c r="Q1042" s="729" t="s">
        <v>45</v>
      </c>
      <c r="R1042" s="729" t="s">
        <v>18</v>
      </c>
      <c r="S1042" s="729" t="s">
        <v>14403</v>
      </c>
      <c r="T1042" s="729"/>
      <c r="U1042" s="729">
        <v>120</v>
      </c>
      <c r="V1042" s="729">
        <v>70</v>
      </c>
      <c r="W1042" s="729" t="str">
        <f>IFERROR(VLOOKUP('General price list'!$C1042,Popisy!A:P,MATCH($W$17,Popisy!$A$7:$P$7,0),FALSE),"---------------")</f>
        <v>crackling willow crossette</v>
      </c>
      <c r="X1042" s="729" t="str">
        <f t="shared" si="2590"/>
        <v/>
      </c>
      <c r="Y1042" s="729" t="str">
        <f t="shared" si="2591"/>
        <v/>
      </c>
      <c r="Z1042" s="729" t="str">
        <f>HYPERLINK("https://www.klasekpyrotechnics.cz/s4z12-p")</f>
        <v>https://www.klasekpyrotechnics.cz/s4z12-p</v>
      </c>
      <c r="AA1042" s="729" t="str">
        <f>IFERROR(IF(VLOOKUP(C1042,[4]List1!$A:$D,4,FALSE)=0,"",VLOOKUP(C1042,[4]List1!$A:$D,4,FALSE)),"")</f>
        <v>24</v>
      </c>
      <c r="AB1042" s="720"/>
      <c r="AC1042" s="751" t="str">
        <f>IFERROR(IF(VLOOKUP(C1042,[1]List1!$A:$D,2,FALSE)="VYPRODÁNO",$V$9,IF(VLOOKUP(C1042,[1]List1!$A:$D,2,FALSE)="DOCHÁZÍ",$V$3,VLOOKUP(C1042,[1]List1!$A:$D,2,FALSE))),"OFFLINE!")</f>
        <v>DOCHÁZÍ</v>
      </c>
      <c r="AD1042" s="752" t="str">
        <f ca="1">IF(AP1042="NE",$V$10,IF(AC1042=$V$3,IF(AQ1042&lt;1,$V$8,$V$2&amp;" "&amp;AQ1042&amp;" "&amp;$V$1),IF(AC1042="SKLADEM",$V$6,IFERROR(IF(OR(AC1042-TODAY()&gt;45,VLOOKUP(C1042,[1]List1!$A:$E,4,FALSE)=0),AC1042,DAY(AC1042)&amp;"."&amp;MONTH(AC1042)&amp;"."&amp;YEAR(AC1042)&amp;" "&amp;$V$4&amp;VLOOKUP(C1042,[1]List1!$A:$E,4,FALSE)&amp;" "&amp;$V$1),AC1042))))</f>
        <v>POSLEDNÍCH 5 VK</v>
      </c>
      <c r="AE1042" s="729" t="str">
        <f t="shared" ca="1" si="2592"/>
        <v>POSLEDNÍCH 5 VK</v>
      </c>
      <c r="AF1042" s="735">
        <f t="shared" si="2593"/>
        <v>0</v>
      </c>
      <c r="AG1042" s="735">
        <f t="shared" si="2594"/>
        <v>0</v>
      </c>
      <c r="AH1042" s="736">
        <f t="shared" si="2595"/>
        <v>0</v>
      </c>
      <c r="AI1042" s="729">
        <f t="shared" si="2596"/>
        <v>0</v>
      </c>
      <c r="AJ1042" s="729">
        <f t="shared" si="2597"/>
        <v>0</v>
      </c>
      <c r="AK1042" s="729" t="str">
        <f t="shared" si="2598"/>
        <v/>
      </c>
      <c r="AL1042" s="729">
        <f t="shared" si="2599"/>
        <v>0</v>
      </c>
      <c r="AM1042" s="729" t="str">
        <f t="shared" si="2600"/>
        <v/>
      </c>
      <c r="AN1042" s="729">
        <f t="shared" si="2601"/>
        <v>0</v>
      </c>
      <c r="AO1042" s="380"/>
      <c r="AP1042" s="322" t="str">
        <f t="shared" si="2602"/>
        <v/>
      </c>
      <c r="AQ1042" s="323">
        <f>IF(AC1042=$V$3,IF(VLOOKUP(C1042,[1]List1!$A:$E,5,FALSE)=0,1,VLOOKUP(C1042,[1]List1!$A:$E,5,FALSE)),"")</f>
        <v>5</v>
      </c>
      <c r="AR1042" s="304" t="str">
        <f t="shared" si="2603"/>
        <v/>
      </c>
      <c r="AS1042" s="423" t="str">
        <f t="shared" si="2604"/>
        <v/>
      </c>
      <c r="AT1042" s="304" t="str">
        <f t="shared" si="2605"/>
        <v/>
      </c>
      <c r="AU1042" s="342" t="e">
        <f t="shared" si="2606"/>
        <v>#N/A</v>
      </c>
      <c r="AV1042" s="304" t="e">
        <f t="shared" si="2607"/>
        <v>#N/A</v>
      </c>
      <c r="AX1042" s="304">
        <f>IF(AND('General price list'!$J1042="F4",'General price list'!$AB1042+0&gt;0),1,0)</f>
        <v>0</v>
      </c>
      <c r="AY1042" s="304">
        <f t="shared" si="2608"/>
        <v>1</v>
      </c>
      <c r="AZ1042" s="304">
        <f t="shared" si="2609"/>
        <v>1</v>
      </c>
    </row>
    <row r="1043" spans="1:52" ht="15" customHeight="1">
      <c r="A1043" s="712" t="str">
        <f>Kat.!C1040</f>
        <v/>
      </c>
      <c r="B1043" s="745">
        <f>IF(AND('General price list'!$J1043="F4",$AI$1=FALSE),0,IF(AC1043="SKLADEM",1,IF(AC1043=$V$3,1,0)))</f>
        <v>0</v>
      </c>
      <c r="C1043" s="714" t="s">
        <v>2154</v>
      </c>
      <c r="D1043" s="715" t="s">
        <v>2155</v>
      </c>
      <c r="E1043" s="716" t="s">
        <v>415</v>
      </c>
      <c r="F1043" s="712">
        <f>IFERROR(ROUND(IF($AL$3=2,VLOOKUP(C1043,[2]List1!$A:$D,2,FALSE)*1.08,VLOOKUP(C1043,[2]List1!$A:$D,2,FALSE)),0),"NEUVEDENO!")</f>
        <v>1272</v>
      </c>
      <c r="G1043" s="717">
        <f t="shared" si="2588"/>
        <v>1272</v>
      </c>
      <c r="H1043" s="718">
        <f t="shared" si="2589"/>
        <v>51.688616719967172</v>
      </c>
      <c r="I1043" s="746">
        <v>9</v>
      </c>
      <c r="J1043" s="716" t="s">
        <v>709</v>
      </c>
      <c r="K1043" s="716"/>
      <c r="L1043" s="716" t="s">
        <v>14400</v>
      </c>
      <c r="M1043" s="716" t="s">
        <v>138</v>
      </c>
      <c r="N1043" s="716">
        <f>IFERROR(VLOOKUP(C1043,[3]List1!$A:$D,4,FALSE),"N/A!")</f>
        <v>5.0592000000000005E-2</v>
      </c>
      <c r="O1043" s="716">
        <f>IFERROR(VLOOKUP(C1043,[3]List1!$A:$D,3,FALSE),"N/A!")</f>
        <v>10800</v>
      </c>
      <c r="P1043" s="716">
        <f>IFERROR(VLOOKUP(C1043,[3]List1!$A:$D,2,FALSE),"N/A!")</f>
        <v>17500</v>
      </c>
      <c r="Q1043" s="716" t="s">
        <v>160</v>
      </c>
      <c r="R1043" s="716" t="s">
        <v>18</v>
      </c>
      <c r="S1043" s="716" t="s">
        <v>14403</v>
      </c>
      <c r="T1043" s="716"/>
      <c r="U1043" s="716">
        <v>120</v>
      </c>
      <c r="V1043" s="716">
        <v>70</v>
      </c>
      <c r="W1043" s="716" t="str">
        <f>IFERROR(VLOOKUP('General price list'!$C1043,Popisy!A:P,MATCH($W$17,Popisy!$A$7:$P$7,0),FALSE),"---------------")</f>
        <v>Mixed carton contains-premium quality-each box including: S4L blood red+silver strobe, S4CH flower crown with red glitter pistil, S4Z/8 brocade crown to color, S4Z/7 orange wave to green</v>
      </c>
      <c r="X1043" s="716" t="str">
        <f t="shared" si="2590"/>
        <v/>
      </c>
      <c r="Y1043" s="716" t="str">
        <f t="shared" si="2591"/>
        <v/>
      </c>
      <c r="Z1043" s="716" t="str">
        <f>HYPERLINK("https://www.klasekpyrotechnics.cz/s4m-p")</f>
        <v>https://www.klasekpyrotechnics.cz/s4m-p</v>
      </c>
      <c r="AA1043" s="716" t="str">
        <f>IFERROR(IF(VLOOKUP(C1043,[4]List1!$A:$D,4,FALSE)=0,"",VLOOKUP(C1043,[4]List1!$A:$D,4,FALSE)),"")</f>
        <v>24</v>
      </c>
      <c r="AB1043" s="720"/>
      <c r="AC1043" s="747" t="str">
        <f>IFERROR(IF(VLOOKUP(C1043,[1]List1!$A:$D,2,FALSE)="VYPRODÁNO",$V$9,IF(VLOOKUP(C1043,[1]List1!$A:$D,2,FALSE)="DOCHÁZÍ",$V$3,VLOOKUP(C1043,[1]List1!$A:$D,2,FALSE))),"OFFLINE!")</f>
        <v>30.09.2024</v>
      </c>
      <c r="AD1043" s="748" t="str">
        <f ca="1">IF(AP1043="NE",$V$10,IF(AC1043=$V$3,IF(AQ1043&lt;1,$V$8,$V$2&amp;" "&amp;AQ1043&amp;" "&amp;$V$1),IF(AC1043="SKLADEM",$V$6,IFERROR(IF(OR(AC1043-TODAY()&gt;45,VLOOKUP(C1043,[1]List1!$A:$E,4,FALSE)=0),AC1043,DAY(AC1043)&amp;"."&amp;MONTH(AC1043)&amp;"."&amp;YEAR(AC1043)&amp;" "&amp;$V$4&amp;VLOOKUP(C1043,[1]List1!$A:$E,4,FALSE)&amp;" "&amp;$V$1),AC1043))))</f>
        <v>30.09.2024</v>
      </c>
      <c r="AE1043" s="716" t="str">
        <f t="shared" ca="1" si="2592"/>
        <v>30.09.2024</v>
      </c>
      <c r="AF1043" s="723">
        <f t="shared" si="2593"/>
        <v>0</v>
      </c>
      <c r="AG1043" s="723">
        <f t="shared" si="2594"/>
        <v>0</v>
      </c>
      <c r="AH1043" s="724">
        <f t="shared" si="2595"/>
        <v>0</v>
      </c>
      <c r="AI1043" s="716">
        <f t="shared" si="2596"/>
        <v>0</v>
      </c>
      <c r="AJ1043" s="716">
        <f t="shared" si="2597"/>
        <v>0</v>
      </c>
      <c r="AK1043" s="716" t="str">
        <f t="shared" si="2598"/>
        <v/>
      </c>
      <c r="AL1043" s="716">
        <f t="shared" si="2599"/>
        <v>0</v>
      </c>
      <c r="AM1043" s="716" t="str">
        <f t="shared" si="2600"/>
        <v/>
      </c>
      <c r="AN1043" s="716">
        <f t="shared" si="2601"/>
        <v>0</v>
      </c>
      <c r="AO1043" s="380"/>
      <c r="AP1043" s="322" t="str">
        <f t="shared" si="2602"/>
        <v/>
      </c>
      <c r="AQ1043" s="323" t="str">
        <f>IF(AC1043=$V$3,IF(VLOOKUP(C1043,[1]List1!$A:$E,5,FALSE)=0,1,VLOOKUP(C1043,[1]List1!$A:$E,5,FALSE)),"")</f>
        <v/>
      </c>
      <c r="AR1043" s="304" t="str">
        <f t="shared" si="2603"/>
        <v/>
      </c>
      <c r="AS1043" s="423" t="str">
        <f t="shared" si="2604"/>
        <v/>
      </c>
      <c r="AT1043" s="304" t="str">
        <f t="shared" si="2605"/>
        <v/>
      </c>
      <c r="AU1043" s="342" t="e">
        <f t="shared" si="2606"/>
        <v>#N/A</v>
      </c>
      <c r="AV1043" s="304" t="e">
        <f t="shared" si="2607"/>
        <v>#N/A</v>
      </c>
      <c r="AX1043" s="304">
        <f>IF(AND('General price list'!$J1043="F4",'General price list'!$AB1043+0&gt;0),1,0)</f>
        <v>0</v>
      </c>
      <c r="AY1043" s="304">
        <f t="shared" si="2608"/>
        <v>1</v>
      </c>
      <c r="AZ1043" s="304">
        <f t="shared" si="2609"/>
        <v>1</v>
      </c>
    </row>
    <row r="1044" spans="1:52" ht="15" customHeight="1">
      <c r="A1044" s="773" t="str">
        <f>Kat.!C1041</f>
        <v xml:space="preserve">                                                               Kulové pumy 125mm, prémiová kvalita</v>
      </c>
      <c r="B1044" s="774"/>
      <c r="C1044" s="774"/>
      <c r="D1044" s="774"/>
      <c r="E1044" s="774"/>
      <c r="F1044" s="774"/>
      <c r="G1044" s="774"/>
      <c r="H1044" s="774"/>
      <c r="I1044" s="774"/>
      <c r="J1044" s="774"/>
      <c r="K1044" s="774"/>
      <c r="L1044" s="774"/>
      <c r="M1044" s="774"/>
      <c r="N1044" s="774"/>
      <c r="O1044" s="774"/>
      <c r="P1044" s="774"/>
      <c r="Q1044" s="774"/>
      <c r="R1044" s="774"/>
      <c r="S1044" s="774"/>
      <c r="T1044" s="774"/>
      <c r="U1044" s="774"/>
      <c r="V1044" s="774"/>
      <c r="W1044" s="774"/>
      <c r="X1044" s="774"/>
      <c r="Y1044" s="774"/>
      <c r="Z1044" s="774"/>
      <c r="AA1044" s="774" t="str">
        <f>IFERROR(IF(VLOOKUP(C1044,[4]List1!$A:$D,4,FALSE)=0,"",VLOOKUP(C1044,[4]List1!$A:$D,4,FALSE)),"")</f>
        <v/>
      </c>
      <c r="AB1044" s="774"/>
      <c r="AC1044" s="775" t="str">
        <f>IFERROR(IF(VLOOKUP(C1044,[1]List1!$A:$D,2,FALSE)="VYPRODÁNO",$V$9,IF(VLOOKUP(C1044,[1]List1!$A:$D,2,FALSE)="DOCHÁZÍ",$V$3,VLOOKUP(C1044,[1]List1!$A:$D,2,FALSE))),"OFFLINE!")</f>
        <v>OFFLINE!</v>
      </c>
      <c r="AD1044" s="774"/>
      <c r="AE1044" s="774"/>
      <c r="AF1044" s="774"/>
      <c r="AG1044" s="774"/>
      <c r="AH1044" s="774"/>
      <c r="AI1044" s="774"/>
      <c r="AJ1044" s="774"/>
      <c r="AK1044" s="774"/>
      <c r="AL1044" s="774"/>
      <c r="AM1044" s="774"/>
      <c r="AN1044" s="774"/>
      <c r="AO1044" s="380"/>
      <c r="AP1044" s="322" t="str">
        <f t="shared" ref="AP1044:AP1102" si="2610">IF($AL$3=1,IF(Y1044=AB1044,"","NE"),IF(AR1044=$V$10,"NE",""))</f>
        <v/>
      </c>
      <c r="AQ1044" s="323" t="str">
        <f>IF(AC1044=$V$3,IF(VLOOKUP(C1044,[1]List1!$A:$E,5,FALSE)=0,1,VLOOKUP(C1044,[1]List1!$A:$E,5,FALSE)),"")</f>
        <v/>
      </c>
      <c r="AR1044" s="304" t="str">
        <f t="shared" ref="AR1044:AR1102" si="2611">IF($AL$3=1,"",IF(OR(AB1044&lt;&gt;"",AB1044&lt;&gt;0),IF(OR(AC1044=$V$6,AC1044=$V$3,AC1044=$V$9),$V$10,""),""))</f>
        <v/>
      </c>
      <c r="AS1044" s="423" t="str">
        <f t="shared" ref="AS1044:AS1102" si="2612">IF(AT1044&lt;&gt;"","X","")</f>
        <v/>
      </c>
      <c r="AT1044" s="304" t="str">
        <f t="shared" ref="AT1044:AT1102" si="2613">IF(AND($AL$3=2,AR1044="",AB1044&lt;&gt;""),AD1044,"")</f>
        <v/>
      </c>
      <c r="AU1044" s="342" t="e">
        <f t="shared" ref="AU1044:AU1102" si="2614">IF(AT1044=$AS$21,AB1044,"")</f>
        <v>#N/A</v>
      </c>
      <c r="AV1044" s="304" t="e">
        <f t="shared" ref="AV1044:AV1102" si="2615">IF(OR(AB1044="",AND(AT1044&lt;&gt;"",AU1044&lt;&gt;"")),"",$V$10)</f>
        <v>#N/A</v>
      </c>
      <c r="AX1044" s="304">
        <f>IF(AND('General price list'!$J1044="F4",'General price list'!$AB1044+0&gt;0),1,0)</f>
        <v>0</v>
      </c>
      <c r="AY1044" s="304">
        <f t="shared" ref="AY1044:AY1102" si="2616">IFERROR(FIND(VLOOKUP($AC$7,$AD$1:$AE$12,2,FALSE),Q1044,1),0)</f>
        <v>0</v>
      </c>
      <c r="AZ1044" s="304">
        <f t="shared" ref="AZ1044:AZ1102" si="2617">IFERROR(FIND(VLOOKUP($AC$7,$AD$1:$AE$12,2,FALSE),R1044,1),0)</f>
        <v>0</v>
      </c>
    </row>
    <row r="1045" spans="1:52" ht="15" customHeight="1">
      <c r="A1045" s="712" t="str">
        <f>Kat.!C1042</f>
        <v/>
      </c>
      <c r="B1045" s="713">
        <f>IF(AND('General price list'!$J1045="F4",$AI$1=FALSE),0,IF(AC1045="SKLADEM",1,IF(AC1045=$V$3,1,0)))</f>
        <v>0</v>
      </c>
      <c r="C1045" s="714" t="s">
        <v>2168</v>
      </c>
      <c r="D1045" s="715" t="s">
        <v>2169</v>
      </c>
      <c r="E1045" s="716" t="s">
        <v>806</v>
      </c>
      <c r="F1045" s="712">
        <f>IFERROR(ROUND(IF($AL$3=2,VLOOKUP(C1045,[2]List1!$A:$D,2,FALSE)*1.08,VLOOKUP(C1045,[2]List1!$A:$D,2,FALSE)),0),"NEUVEDENO!")</f>
        <v>580</v>
      </c>
      <c r="G1045" s="717">
        <f t="shared" ref="G1045:G1048" si="2618">(F1045)*$B$19</f>
        <v>580</v>
      </c>
      <c r="H1045" s="718">
        <f t="shared" ref="H1045:H1048" si="2619">G1045/$F$19</f>
        <v>23.568708881746037</v>
      </c>
      <c r="I1045" s="719">
        <v>16</v>
      </c>
      <c r="J1045" s="716" t="s">
        <v>709</v>
      </c>
      <c r="K1045" s="716"/>
      <c r="L1045" s="716" t="s">
        <v>14400</v>
      </c>
      <c r="M1045" s="716" t="s">
        <v>138</v>
      </c>
      <c r="N1045" s="716">
        <f>IFERROR(VLOOKUP(C1045,[3]List1!$A:$D,4,FALSE),"N/A!")</f>
        <v>3.7128000000000001E-2</v>
      </c>
      <c r="O1045" s="716">
        <f>IFERROR(VLOOKUP(C1045,[3]List1!$A:$D,3,FALSE),"N/A!")</f>
        <v>9600</v>
      </c>
      <c r="P1045" s="716">
        <f>IFERROR(VLOOKUP(C1045,[3]List1!$A:$D,2,FALSE),"N/A!")</f>
        <v>12600</v>
      </c>
      <c r="Q1045" s="716" t="s">
        <v>160</v>
      </c>
      <c r="R1045" s="716" t="s">
        <v>18</v>
      </c>
      <c r="S1045" s="716" t="s">
        <v>14403</v>
      </c>
      <c r="T1045" s="716"/>
      <c r="U1045" s="716">
        <v>160</v>
      </c>
      <c r="V1045" s="716">
        <v>85</v>
      </c>
      <c r="W1045" s="716" t="str">
        <f>IFERROR(VLOOKUP('General price list'!$C1045,Popisy!A:P,MATCH($W$17,Popisy!$A$7:$P$7,0),FALSE),"---------------")</f>
        <v xml:space="preserve">silver glittering red coco crossette </v>
      </c>
      <c r="X1045" s="716" t="str">
        <f t="shared" ref="X1045:X1048" si="2620">IF(AB1045&lt;0.0001,"",AB1045)</f>
        <v/>
      </c>
      <c r="Y1045" s="716" t="str">
        <f t="shared" ref="Y1045:Y1048" si="2621">IF($AL$3=2,IF(OR(AB1045&lt;&gt;"",AB1045&lt;&gt;0),AU1045,""),IF(C1045="","",IF(AB1045&lt;0.0001,"",IF(B1045=0,"",IF(AQ1045&lt;AB1045,"",AB1045)))))</f>
        <v/>
      </c>
      <c r="Z1045" s="716" t="str">
        <f>HYPERLINK("https://www.klasekpyrotechnics.cz/s5e-p")</f>
        <v>https://www.klasekpyrotechnics.cz/s5e-p</v>
      </c>
      <c r="AA1045" s="716">
        <f>IFERROR(IF(VLOOKUP(C1045,[4]List1!$A:$D,4,FALSE)=0,"",VLOOKUP(C1045,[4]List1!$A:$D,4,FALSE)),"")</f>
        <v>24</v>
      </c>
      <c r="AB1045" s="720"/>
      <c r="AC1045" s="721" t="str">
        <f>IFERROR(IF(VLOOKUP(C1045,[1]List1!$A:$D,2,FALSE)="VYPRODÁNO",$V$9,IF(VLOOKUP(C1045,[1]List1!$A:$D,2,FALSE)="DOCHÁZÍ",$V$3,VLOOKUP(C1045,[1]List1!$A:$D,2,FALSE))),"OFFLINE!")</f>
        <v>15.06.2024</v>
      </c>
      <c r="AD1045" s="722" t="str">
        <f ca="1">IF(AP1045="NE",$V$10,IF(AC1045=$V$3,IF(AQ1045&lt;1,$V$8,$V$2&amp;" "&amp;AQ1045&amp;" "&amp;$V$1),IF(AC1045="SKLADEM",$V$6,IFERROR(IF(OR(AC1045-TODAY()&gt;45,VLOOKUP(C1045,[1]List1!$A:$E,4,FALSE)=0),AC1045,DAY(AC1045)&amp;"."&amp;MONTH(AC1045)&amp;"."&amp;YEAR(AC1045)&amp;" "&amp;$V$4&amp;VLOOKUP(C1045,[1]List1!$A:$E,4,FALSE)&amp;" "&amp;$V$1),AC1045))))</f>
        <v>15.06.2024</v>
      </c>
      <c r="AE1045" s="716" t="str">
        <f t="shared" ref="AE1045:AE1048" ca="1" si="2622">IFERROR(IF(AV1045&lt;&gt;"",AV1045,AD1045),AD1045)</f>
        <v>15.06.2024</v>
      </c>
      <c r="AF1045" s="723">
        <f t="shared" ref="AF1045:AF1048" si="2623">IFERROR(IF(AB1045=Y1045,G1045*I1045*Y1045,0),0)</f>
        <v>0</v>
      </c>
      <c r="AG1045" s="723">
        <f t="shared" ref="AG1045:AG1048" si="2624">IF($W$17=$AF$8,AH1045*1.23,AF1045*1.21)</f>
        <v>0</v>
      </c>
      <c r="AH1045" s="724">
        <f t="shared" ref="AH1045:AH1048" si="2625">IFERROR(IF(Y1045=AB1045,H1045*I1045*Y1045,0),0)</f>
        <v>0</v>
      </c>
      <c r="AI1045" s="716">
        <f t="shared" ref="AI1045:AI1048" si="2626">IFERROR(IF(Y1045=AB1045,(P1045*Y1045)/1000,1),0)</f>
        <v>0</v>
      </c>
      <c r="AJ1045" s="716">
        <f t="shared" ref="AJ1045:AJ1048" si="2627">IFERROR(IF(Y1045=AB1045,N1045*Y1045,0.1),0)</f>
        <v>0</v>
      </c>
      <c r="AK1045" s="716" t="str">
        <f t="shared" ref="AK1045:AK1048" si="2628">IFERROR(IF(Y1045=AB1045,IF(M1045="1.1G",(O1045/1000)*Y1045,""),""),0)</f>
        <v/>
      </c>
      <c r="AL1045" s="716">
        <f t="shared" ref="AL1045:AL1048" si="2629">IFERROR(IF(Y1045=AB1045,IF(M1045="1.3G",(O1045/1000)*AB1045,""),""),0)</f>
        <v>0</v>
      </c>
      <c r="AM1045" s="716" t="str">
        <f t="shared" ref="AM1045:AM1048" si="2630">IFERROR(IF(Y1045=AB1045,IF(M1045="1.4G",(O1045/1000)*AB1045,""),""),0)</f>
        <v/>
      </c>
      <c r="AN1045" s="716">
        <f t="shared" ref="AN1045:AN1048" si="2631">SUM(AK1045:AM1045)</f>
        <v>0</v>
      </c>
      <c r="AO1045" s="380"/>
      <c r="AP1045" s="322" t="str">
        <f t="shared" si="2610"/>
        <v/>
      </c>
      <c r="AQ1045" s="323" t="str">
        <f>IF(AC1045=$V$3,IF(VLOOKUP(C1045,[1]List1!$A:$E,5,FALSE)=0,1,VLOOKUP(C1045,[1]List1!$A:$E,5,FALSE)),"")</f>
        <v/>
      </c>
      <c r="AR1045" s="304" t="str">
        <f t="shared" si="2611"/>
        <v/>
      </c>
      <c r="AS1045" s="423" t="str">
        <f t="shared" si="2612"/>
        <v/>
      </c>
      <c r="AT1045" s="304" t="str">
        <f t="shared" si="2613"/>
        <v/>
      </c>
      <c r="AU1045" s="342" t="e">
        <f t="shared" si="2614"/>
        <v>#N/A</v>
      </c>
      <c r="AV1045" s="304" t="e">
        <f t="shared" si="2615"/>
        <v>#N/A</v>
      </c>
      <c r="AX1045" s="304">
        <f>IF(AND('General price list'!$J1045="F4",'General price list'!$AB1045+0&gt;0),1,0)</f>
        <v>0</v>
      </c>
      <c r="AY1045" s="304">
        <f t="shared" si="2616"/>
        <v>1</v>
      </c>
      <c r="AZ1045" s="304">
        <f t="shared" si="2617"/>
        <v>1</v>
      </c>
    </row>
    <row r="1046" spans="1:52" ht="15" customHeight="1">
      <c r="A1046" s="725" t="str">
        <f>Kat.!C1043</f>
        <v/>
      </c>
      <c r="B1046" s="726">
        <f>IF(AND('General price list'!$J1046="F4",$AI$1=FALSE),0,IF(AC1046="SKLADEM",1,IF(AC1046=$V$3,1,0)))</f>
        <v>0</v>
      </c>
      <c r="C1046" s="727" t="s">
        <v>2171</v>
      </c>
      <c r="D1046" s="728" t="s">
        <v>2158</v>
      </c>
      <c r="E1046" s="729" t="s">
        <v>806</v>
      </c>
      <c r="F1046" s="725">
        <f>IFERROR(ROUND(IF($AL$3=2,VLOOKUP(C1046,[2]List1!$A:$D,2,FALSE)*1.08,VLOOKUP(C1046,[2]List1!$A:$D,2,FALSE)),0),"NEUVEDENO!")</f>
        <v>580</v>
      </c>
      <c r="G1046" s="730">
        <f t="shared" si="2618"/>
        <v>580</v>
      </c>
      <c r="H1046" s="731">
        <f t="shared" si="2619"/>
        <v>23.568708881746037</v>
      </c>
      <c r="I1046" s="732">
        <v>16</v>
      </c>
      <c r="J1046" s="729" t="s">
        <v>709</v>
      </c>
      <c r="K1046" s="729"/>
      <c r="L1046" s="729" t="s">
        <v>14400</v>
      </c>
      <c r="M1046" s="729" t="s">
        <v>138</v>
      </c>
      <c r="N1046" s="729">
        <f>IFERROR(VLOOKUP(C1046,[3]List1!$A:$D,4,FALSE),"N/A!")</f>
        <v>3.7128000000000001E-2</v>
      </c>
      <c r="O1046" s="729">
        <f>IFERROR(VLOOKUP(C1046,[3]List1!$A:$D,3,FALSE),"N/A!")</f>
        <v>9600</v>
      </c>
      <c r="P1046" s="729">
        <f>IFERROR(VLOOKUP(C1046,[3]List1!$A:$D,2,FALSE),"N/A!")</f>
        <v>13500</v>
      </c>
      <c r="Q1046" s="729" t="s">
        <v>160</v>
      </c>
      <c r="R1046" s="729" t="s">
        <v>18</v>
      </c>
      <c r="S1046" s="729"/>
      <c r="T1046" s="729"/>
      <c r="U1046" s="729">
        <v>160</v>
      </c>
      <c r="V1046" s="729">
        <v>85</v>
      </c>
      <c r="W1046" s="729" t="str">
        <f>IFERROR(VLOOKUP('General price list'!$C1046,Popisy!A:P,MATCH($W$17,Popisy!$A$7:$P$7,0),FALSE),"---------------")</f>
        <v xml:space="preserve">golden Ti-willow </v>
      </c>
      <c r="X1046" s="729" t="str">
        <f t="shared" si="2620"/>
        <v/>
      </c>
      <c r="Y1046" s="729" t="str">
        <f t="shared" si="2621"/>
        <v/>
      </c>
      <c r="Z1046" s="729" t="str">
        <f>HYPERLINK("https://www.klasekpyrotechnics.cz/s5f-p")</f>
        <v>https://www.klasekpyrotechnics.cz/s5f-p</v>
      </c>
      <c r="AA1046" s="729">
        <f>IFERROR(IF(VLOOKUP(C1046,[4]List1!$A:$D,4,FALSE)=0,"",VLOOKUP(C1046,[4]List1!$A:$D,4,FALSE)),"")</f>
        <v>24</v>
      </c>
      <c r="AB1046" s="720"/>
      <c r="AC1046" s="733" t="str">
        <f>IFERROR(IF(VLOOKUP(C1046,[1]List1!$A:$D,2,FALSE)="VYPRODÁNO",$V$9,IF(VLOOKUP(C1046,[1]List1!$A:$D,2,FALSE)="DOCHÁZÍ",$V$3,VLOOKUP(C1046,[1]List1!$A:$D,2,FALSE))),"OFFLINE!")</f>
        <v>30.09.2024</v>
      </c>
      <c r="AD1046" s="734" t="str">
        <f ca="1">IF(AP1046="NE",$V$10,IF(AC1046=$V$3,IF(AQ1046&lt;1,$V$8,$V$2&amp;" "&amp;AQ1046&amp;" "&amp;$V$1),IF(AC1046="SKLADEM",$V$6,IFERROR(IF(OR(AC1046-TODAY()&gt;45,VLOOKUP(C1046,[1]List1!$A:$E,4,FALSE)=0),AC1046,DAY(AC1046)&amp;"."&amp;MONTH(AC1046)&amp;"."&amp;YEAR(AC1046)&amp;" "&amp;$V$4&amp;VLOOKUP(C1046,[1]List1!$A:$E,4,FALSE)&amp;" "&amp;$V$1),AC1046))))</f>
        <v>30.09.2024</v>
      </c>
      <c r="AE1046" s="729" t="str">
        <f t="shared" ca="1" si="2622"/>
        <v>30.09.2024</v>
      </c>
      <c r="AF1046" s="735">
        <f t="shared" si="2623"/>
        <v>0</v>
      </c>
      <c r="AG1046" s="735">
        <f t="shared" si="2624"/>
        <v>0</v>
      </c>
      <c r="AH1046" s="736">
        <f t="shared" si="2625"/>
        <v>0</v>
      </c>
      <c r="AI1046" s="729">
        <f t="shared" si="2626"/>
        <v>0</v>
      </c>
      <c r="AJ1046" s="729">
        <f t="shared" si="2627"/>
        <v>0</v>
      </c>
      <c r="AK1046" s="729" t="str">
        <f t="shared" si="2628"/>
        <v/>
      </c>
      <c r="AL1046" s="729">
        <f t="shared" si="2629"/>
        <v>0</v>
      </c>
      <c r="AM1046" s="729" t="str">
        <f t="shared" si="2630"/>
        <v/>
      </c>
      <c r="AN1046" s="729">
        <f t="shared" si="2631"/>
        <v>0</v>
      </c>
      <c r="AO1046" s="380"/>
      <c r="AP1046" s="322" t="str">
        <f t="shared" si="2610"/>
        <v/>
      </c>
      <c r="AQ1046" s="323" t="str">
        <f>IF(AC1046=$V$3,IF(VLOOKUP(C1046,[1]List1!$A:$E,5,FALSE)=0,1,VLOOKUP(C1046,[1]List1!$A:$E,5,FALSE)),"")</f>
        <v/>
      </c>
      <c r="AR1046" s="304" t="str">
        <f t="shared" si="2611"/>
        <v/>
      </c>
      <c r="AS1046" s="423" t="str">
        <f t="shared" si="2612"/>
        <v/>
      </c>
      <c r="AT1046" s="304" t="str">
        <f t="shared" si="2613"/>
        <v/>
      </c>
      <c r="AU1046" s="342" t="e">
        <f t="shared" si="2614"/>
        <v>#N/A</v>
      </c>
      <c r="AV1046" s="304" t="e">
        <f t="shared" si="2615"/>
        <v>#N/A</v>
      </c>
      <c r="AX1046" s="304">
        <f>IF(AND('General price list'!$J1046="F4",'General price list'!$AB1046+0&gt;0),1,0)</f>
        <v>0</v>
      </c>
      <c r="AY1046" s="304">
        <f t="shared" si="2616"/>
        <v>1</v>
      </c>
      <c r="AZ1046" s="304">
        <f t="shared" si="2617"/>
        <v>1</v>
      </c>
    </row>
    <row r="1047" spans="1:52" ht="15" customHeight="1">
      <c r="A1047" s="712" t="str">
        <f>Kat.!C1044</f>
        <v/>
      </c>
      <c r="B1047" s="737">
        <f>IF(AND('General price list'!$J1047="F4",$AI$1=FALSE),0,IF(AC1047="SKLADEM",1,IF(AC1047=$V$3,1,0)))</f>
        <v>0</v>
      </c>
      <c r="C1047" s="714" t="s">
        <v>2174</v>
      </c>
      <c r="D1047" s="715" t="s">
        <v>2161</v>
      </c>
      <c r="E1047" s="716" t="s">
        <v>806</v>
      </c>
      <c r="F1047" s="712">
        <f>IFERROR(ROUND(IF($AL$3=2,VLOOKUP(C1047,[2]List1!$A:$D,2,FALSE)*1.08,VLOOKUP(C1047,[2]List1!$A:$D,2,FALSE)),0),"NEUVEDENO!")</f>
        <v>580</v>
      </c>
      <c r="G1047" s="717">
        <f t="shared" si="2618"/>
        <v>580</v>
      </c>
      <c r="H1047" s="718">
        <f t="shared" si="2619"/>
        <v>23.568708881746037</v>
      </c>
      <c r="I1047" s="738">
        <v>16</v>
      </c>
      <c r="J1047" s="716" t="s">
        <v>709</v>
      </c>
      <c r="K1047" s="716"/>
      <c r="L1047" s="716" t="s">
        <v>14400</v>
      </c>
      <c r="M1047" s="716" t="s">
        <v>138</v>
      </c>
      <c r="N1047" s="716">
        <f>IFERROR(VLOOKUP(C1047,[3]List1!$A:$D,4,FALSE),"N/A!")</f>
        <v>3.7128000000000001E-2</v>
      </c>
      <c r="O1047" s="716">
        <f>IFERROR(VLOOKUP(C1047,[3]List1!$A:$D,3,FALSE),"N/A!")</f>
        <v>9600</v>
      </c>
      <c r="P1047" s="716">
        <f>IFERROR(VLOOKUP(C1047,[3]List1!$A:$D,2,FALSE),"N/A!")</f>
        <v>14800</v>
      </c>
      <c r="Q1047" s="716" t="s">
        <v>160</v>
      </c>
      <c r="R1047" s="716" t="s">
        <v>18</v>
      </c>
      <c r="S1047" s="716"/>
      <c r="T1047" s="716"/>
      <c r="U1047" s="716">
        <v>160</v>
      </c>
      <c r="V1047" s="716">
        <v>85</v>
      </c>
      <c r="W1047" s="716" t="str">
        <f>IFERROR(VLOOKUP('General price list'!$C1047,Popisy!A:P,MATCH($W$17,Popisy!$A$7:$P$7,0),FALSE),"---------------")</f>
        <v>brocade crown</v>
      </c>
      <c r="X1047" s="716" t="str">
        <f t="shared" si="2620"/>
        <v/>
      </c>
      <c r="Y1047" s="716" t="str">
        <f t="shared" si="2621"/>
        <v/>
      </c>
      <c r="Z1047" s="716" t="str">
        <f>HYPERLINK("https://www.klasekpyrotechnics.cz/s5k-p")</f>
        <v>https://www.klasekpyrotechnics.cz/s5k-p</v>
      </c>
      <c r="AA1047" s="716">
        <f>IFERROR(IF(VLOOKUP(C1047,[4]List1!$A:$D,4,FALSE)=0,"",VLOOKUP(C1047,[4]List1!$A:$D,4,FALSE)),"")</f>
        <v>24</v>
      </c>
      <c r="AB1047" s="720"/>
      <c r="AC1047" s="739" t="str">
        <f>IFERROR(IF(VLOOKUP(C1047,[1]List1!$A:$D,2,FALSE)="VYPRODÁNO",$V$9,IF(VLOOKUP(C1047,[1]List1!$A:$D,2,FALSE)="DOCHÁZÍ",$V$3,VLOOKUP(C1047,[1]List1!$A:$D,2,FALSE))),"OFFLINE!")</f>
        <v>30.09.2024</v>
      </c>
      <c r="AD1047" s="740" t="str">
        <f ca="1">IF(AP1047="NE",$V$10,IF(AC1047=$V$3,IF(AQ1047&lt;1,$V$8,$V$2&amp;" "&amp;AQ1047&amp;" "&amp;$V$1),IF(AC1047="SKLADEM",$V$6,IFERROR(IF(OR(AC1047-TODAY()&gt;45,VLOOKUP(C1047,[1]List1!$A:$E,4,FALSE)=0),AC1047,DAY(AC1047)&amp;"."&amp;MONTH(AC1047)&amp;"."&amp;YEAR(AC1047)&amp;" "&amp;$V$4&amp;VLOOKUP(C1047,[1]List1!$A:$E,4,FALSE)&amp;" "&amp;$V$1),AC1047))))</f>
        <v>30.09.2024</v>
      </c>
      <c r="AE1047" s="716" t="str">
        <f t="shared" ca="1" si="2622"/>
        <v>30.09.2024</v>
      </c>
      <c r="AF1047" s="723">
        <f t="shared" si="2623"/>
        <v>0</v>
      </c>
      <c r="AG1047" s="723">
        <f t="shared" si="2624"/>
        <v>0</v>
      </c>
      <c r="AH1047" s="724">
        <f t="shared" si="2625"/>
        <v>0</v>
      </c>
      <c r="AI1047" s="716">
        <f t="shared" si="2626"/>
        <v>0</v>
      </c>
      <c r="AJ1047" s="716">
        <f t="shared" si="2627"/>
        <v>0</v>
      </c>
      <c r="AK1047" s="716" t="str">
        <f t="shared" si="2628"/>
        <v/>
      </c>
      <c r="AL1047" s="716">
        <f t="shared" si="2629"/>
        <v>0</v>
      </c>
      <c r="AM1047" s="716" t="str">
        <f t="shared" si="2630"/>
        <v/>
      </c>
      <c r="AN1047" s="716">
        <f t="shared" si="2631"/>
        <v>0</v>
      </c>
      <c r="AO1047" s="380"/>
      <c r="AP1047" s="322" t="str">
        <f t="shared" si="2610"/>
        <v/>
      </c>
      <c r="AQ1047" s="323" t="str">
        <f>IF(AC1047=$V$3,IF(VLOOKUP(C1047,[1]List1!$A:$E,5,FALSE)=0,1,VLOOKUP(C1047,[1]List1!$A:$E,5,FALSE)),"")</f>
        <v/>
      </c>
      <c r="AR1047" s="304" t="str">
        <f t="shared" si="2611"/>
        <v/>
      </c>
      <c r="AS1047" s="423" t="str">
        <f t="shared" si="2612"/>
        <v/>
      </c>
      <c r="AT1047" s="304" t="str">
        <f t="shared" si="2613"/>
        <v/>
      </c>
      <c r="AU1047" s="342" t="e">
        <f t="shared" si="2614"/>
        <v>#N/A</v>
      </c>
      <c r="AV1047" s="304" t="e">
        <f t="shared" si="2615"/>
        <v>#N/A</v>
      </c>
      <c r="AX1047" s="304">
        <f>IF(AND('General price list'!$J1047="F4",'General price list'!$AB1047+0&gt;0),1,0)</f>
        <v>0</v>
      </c>
      <c r="AY1047" s="304">
        <f t="shared" si="2616"/>
        <v>1</v>
      </c>
      <c r="AZ1047" s="304">
        <f t="shared" si="2617"/>
        <v>1</v>
      </c>
    </row>
    <row r="1048" spans="1:52" ht="15" customHeight="1">
      <c r="A1048" s="725" t="str">
        <f>Kat.!C1045</f>
        <v/>
      </c>
      <c r="B1048" s="726">
        <f>IF(AND('General price list'!$J1048="F4",$AI$1=FALSE),0,IF(AC1048="SKLADEM",1,IF(AC1048=$V$3,1,0)))</f>
        <v>0</v>
      </c>
      <c r="C1048" s="727" t="s">
        <v>2177</v>
      </c>
      <c r="D1048" s="728" t="s">
        <v>2178</v>
      </c>
      <c r="E1048" s="729" t="s">
        <v>806</v>
      </c>
      <c r="F1048" s="725">
        <f>IFERROR(ROUND(IF($AL$3=2,VLOOKUP(C1048,[2]List1!$A:$D,2,FALSE)*1.08,VLOOKUP(C1048,[2]List1!$A:$D,2,FALSE)),0),"NEUVEDENO!")</f>
        <v>580</v>
      </c>
      <c r="G1048" s="730">
        <f t="shared" si="2618"/>
        <v>580</v>
      </c>
      <c r="H1048" s="731">
        <f t="shared" si="2619"/>
        <v>23.568708881746037</v>
      </c>
      <c r="I1048" s="732">
        <v>16</v>
      </c>
      <c r="J1048" s="729" t="s">
        <v>709</v>
      </c>
      <c r="K1048" s="729"/>
      <c r="L1048" s="729" t="s">
        <v>14400</v>
      </c>
      <c r="M1048" s="729" t="s">
        <v>138</v>
      </c>
      <c r="N1048" s="729">
        <f>IFERROR(VLOOKUP(C1048,[3]List1!$A:$D,4,FALSE),"N/A!")</f>
        <v>3.7128000000000001E-2</v>
      </c>
      <c r="O1048" s="729">
        <f>IFERROR(VLOOKUP(C1048,[3]List1!$A:$D,3,FALSE),"N/A!")</f>
        <v>9600</v>
      </c>
      <c r="P1048" s="729">
        <f>IFERROR(VLOOKUP(C1048,[3]List1!$A:$D,2,FALSE),"N/A!")</f>
        <v>14000</v>
      </c>
      <c r="Q1048" s="729" t="s">
        <v>160</v>
      </c>
      <c r="R1048" s="729" t="s">
        <v>18</v>
      </c>
      <c r="S1048" s="729"/>
      <c r="T1048" s="729"/>
      <c r="U1048" s="729">
        <v>160</v>
      </c>
      <c r="V1048" s="729">
        <v>85</v>
      </c>
      <c r="W1048" s="729" t="str">
        <f>IFERROR(VLOOKUP('General price list'!$C1048,Popisy!A:P,MATCH($W$17,Popisy!$A$7:$P$7,0),FALSE),"---------------")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48" s="729" t="str">
        <f t="shared" si="2620"/>
        <v/>
      </c>
      <c r="Y1048" s="729" t="str">
        <f t="shared" si="2621"/>
        <v/>
      </c>
      <c r="Z1048" s="729" t="str">
        <f>HYPERLINK("https://www.klasekpyrotechnics.cz/s5m-p")</f>
        <v>https://www.klasekpyrotechnics.cz/s5m-p</v>
      </c>
      <c r="AA1048" s="729">
        <f>IFERROR(IF(VLOOKUP(C1048,[4]List1!$A:$D,4,FALSE)=0,"",VLOOKUP(C1048,[4]List1!$A:$D,4,FALSE)),"")</f>
        <v>24</v>
      </c>
      <c r="AB1048" s="720"/>
      <c r="AC1048" s="733" t="str">
        <f>IFERROR(IF(VLOOKUP(C1048,[1]List1!$A:$D,2,FALSE)="VYPRODÁNO",$V$9,IF(VLOOKUP(C1048,[1]List1!$A:$D,2,FALSE)="DOCHÁZÍ",$V$3,VLOOKUP(C1048,[1]List1!$A:$D,2,FALSE))),"OFFLINE!")</f>
        <v>20.06.2024</v>
      </c>
      <c r="AD1048" s="734" t="str">
        <f ca="1">IF(AP1048="NE",$V$10,IF(AC1048=$V$3,IF(AQ1048&lt;1,$V$8,$V$2&amp;" "&amp;AQ1048&amp;" "&amp;$V$1),IF(AC1048="SKLADEM",$V$6,IFERROR(IF(OR(AC1048-TODAY()&gt;45,VLOOKUP(C1048,[1]List1!$A:$E,4,FALSE)=0),AC1048,DAY(AC1048)&amp;"."&amp;MONTH(AC1048)&amp;"."&amp;YEAR(AC1048)&amp;" "&amp;$V$4&amp;VLOOKUP(C1048,[1]List1!$A:$E,4,FALSE)&amp;" "&amp;$V$1),AC1048))))</f>
        <v>20.06.2024</v>
      </c>
      <c r="AE1048" s="729" t="str">
        <f t="shared" ca="1" si="2622"/>
        <v>20.06.2024</v>
      </c>
      <c r="AF1048" s="735">
        <f t="shared" si="2623"/>
        <v>0</v>
      </c>
      <c r="AG1048" s="735">
        <f t="shared" si="2624"/>
        <v>0</v>
      </c>
      <c r="AH1048" s="736">
        <f t="shared" si="2625"/>
        <v>0</v>
      </c>
      <c r="AI1048" s="729">
        <f t="shared" si="2626"/>
        <v>0</v>
      </c>
      <c r="AJ1048" s="729">
        <f t="shared" si="2627"/>
        <v>0</v>
      </c>
      <c r="AK1048" s="729" t="str">
        <f t="shared" si="2628"/>
        <v/>
      </c>
      <c r="AL1048" s="729">
        <f t="shared" si="2629"/>
        <v>0</v>
      </c>
      <c r="AM1048" s="729" t="str">
        <f t="shared" si="2630"/>
        <v/>
      </c>
      <c r="AN1048" s="729">
        <f t="shared" si="2631"/>
        <v>0</v>
      </c>
      <c r="AO1048" s="380"/>
      <c r="AP1048" s="322" t="str">
        <f t="shared" si="2610"/>
        <v/>
      </c>
      <c r="AQ1048" s="323" t="str">
        <f>IF(AC1048=$V$3,IF(VLOOKUP(C1048,[1]List1!$A:$E,5,FALSE)=0,1,VLOOKUP(C1048,[1]List1!$A:$E,5,FALSE)),"")</f>
        <v/>
      </c>
      <c r="AR1048" s="304" t="str">
        <f t="shared" si="2611"/>
        <v/>
      </c>
      <c r="AS1048" s="423" t="str">
        <f t="shared" si="2612"/>
        <v/>
      </c>
      <c r="AT1048" s="304" t="str">
        <f t="shared" si="2613"/>
        <v/>
      </c>
      <c r="AU1048" s="342" t="e">
        <f t="shared" si="2614"/>
        <v>#N/A</v>
      </c>
      <c r="AV1048" s="304" t="e">
        <f t="shared" si="2615"/>
        <v>#N/A</v>
      </c>
      <c r="AX1048" s="304">
        <f>IF(AND('General price list'!$J1048="F4",'General price list'!$AB1048+0&gt;0),1,0)</f>
        <v>0</v>
      </c>
      <c r="AY1048" s="304">
        <f t="shared" si="2616"/>
        <v>1</v>
      </c>
      <c r="AZ1048" s="304">
        <f t="shared" si="2617"/>
        <v>1</v>
      </c>
    </row>
    <row r="1049" spans="1:52" ht="15" customHeight="1">
      <c r="A1049" s="773" t="str">
        <f>Kat.!C1046</f>
        <v xml:space="preserve">                                                               Kulové pumy 150mm</v>
      </c>
      <c r="B1049" s="774"/>
      <c r="C1049" s="774"/>
      <c r="D1049" s="774"/>
      <c r="E1049" s="774"/>
      <c r="F1049" s="774"/>
      <c r="G1049" s="774"/>
      <c r="H1049" s="774"/>
      <c r="I1049" s="774"/>
      <c r="J1049" s="774"/>
      <c r="K1049" s="774"/>
      <c r="L1049" s="774"/>
      <c r="M1049" s="774"/>
      <c r="N1049" s="774"/>
      <c r="O1049" s="774"/>
      <c r="P1049" s="774"/>
      <c r="Q1049" s="774"/>
      <c r="R1049" s="774"/>
      <c r="S1049" s="774"/>
      <c r="T1049" s="774"/>
      <c r="U1049" s="774"/>
      <c r="V1049" s="774"/>
      <c r="W1049" s="774"/>
      <c r="X1049" s="774"/>
      <c r="Y1049" s="774"/>
      <c r="Z1049" s="774"/>
      <c r="AA1049" s="774" t="str">
        <f>IFERROR(IF(VLOOKUP(C1049,[4]List1!$A:$D,4,FALSE)=0,"",VLOOKUP(C1049,[4]List1!$A:$D,4,FALSE)),"")</f>
        <v/>
      </c>
      <c r="AB1049" s="774"/>
      <c r="AC1049" s="775" t="str">
        <f>IFERROR(IF(VLOOKUP(C1049,[1]List1!$A:$D,2,FALSE)="VYPRODÁNO",$V$9,IF(VLOOKUP(C1049,[1]List1!$A:$D,2,FALSE)="DOCHÁZÍ",$V$3,VLOOKUP(C1049,[1]List1!$A:$D,2,FALSE))),"OFFLINE!")</f>
        <v>OFFLINE!</v>
      </c>
      <c r="AD1049" s="774"/>
      <c r="AE1049" s="774"/>
      <c r="AF1049" s="774"/>
      <c r="AG1049" s="774"/>
      <c r="AH1049" s="774"/>
      <c r="AI1049" s="774"/>
      <c r="AJ1049" s="774"/>
      <c r="AK1049" s="774"/>
      <c r="AL1049" s="774"/>
      <c r="AM1049" s="774"/>
      <c r="AN1049" s="774"/>
      <c r="AO1049" s="380"/>
      <c r="AP1049" s="322" t="str">
        <f t="shared" si="2610"/>
        <v/>
      </c>
      <c r="AQ1049" s="323" t="str">
        <f>IF(AC1049=$V$3,IF(VLOOKUP(C1049,[1]List1!$A:$E,5,FALSE)=0,1,VLOOKUP(C1049,[1]List1!$A:$E,5,FALSE)),"")</f>
        <v/>
      </c>
      <c r="AR1049" s="304" t="str">
        <f t="shared" si="2611"/>
        <v/>
      </c>
      <c r="AS1049" s="423" t="str">
        <f t="shared" si="2612"/>
        <v/>
      </c>
      <c r="AT1049" s="304" t="str">
        <f t="shared" si="2613"/>
        <v/>
      </c>
      <c r="AU1049" s="342" t="e">
        <f t="shared" si="2614"/>
        <v>#N/A</v>
      </c>
      <c r="AV1049" s="304" t="e">
        <f t="shared" si="2615"/>
        <v>#N/A</v>
      </c>
      <c r="AX1049" s="304">
        <f>IF(AND('General price list'!$J1049="F4",'General price list'!$AB1049+0&gt;0),1,0)</f>
        <v>0</v>
      </c>
      <c r="AY1049" s="304">
        <f t="shared" si="2616"/>
        <v>0</v>
      </c>
      <c r="AZ1049" s="304">
        <f t="shared" si="2617"/>
        <v>0</v>
      </c>
    </row>
    <row r="1050" spans="1:52" ht="15" customHeight="1">
      <c r="A1050" s="725" t="str">
        <f>Kat.!C1047</f>
        <v/>
      </c>
      <c r="B1050" s="741">
        <f>IF(AND('General price list'!$J1050="F4",$AI$1=FALSE),0,IF(AC1050="SKLADEM",1,IF(AC1050=$V$3,1,0)))</f>
        <v>0</v>
      </c>
      <c r="C1050" s="727" t="s">
        <v>2637</v>
      </c>
      <c r="D1050" s="728" t="s">
        <v>2194</v>
      </c>
      <c r="E1050" s="729" t="s">
        <v>2205</v>
      </c>
      <c r="F1050" s="725">
        <f>IFERROR(ROUND(IF($AL$3=2,VLOOKUP(C1050,[2]List1!$A:$D,2,FALSE)*1.08,VLOOKUP(C1050,[2]List1!$A:$D,2,FALSE)),0),"NEUVEDENO!")</f>
        <v>809</v>
      </c>
      <c r="G1050" s="730">
        <f>(F1050)*$B$19</f>
        <v>809</v>
      </c>
      <c r="H1050" s="731">
        <f>G1050/$F$19</f>
        <v>32.87428531953887</v>
      </c>
      <c r="I1050" s="742">
        <v>9</v>
      </c>
      <c r="J1050" s="729" t="s">
        <v>709</v>
      </c>
      <c r="K1050" s="729" t="s">
        <v>14734</v>
      </c>
      <c r="L1050" s="729" t="s">
        <v>14400</v>
      </c>
      <c r="M1050" s="729" t="s">
        <v>138</v>
      </c>
      <c r="N1050" s="729">
        <f>IFERROR(VLOOKUP(C1050,[3]List1!$A:$D,4,FALSE),"N/A!")</f>
        <v>4.6575000000000005E-2</v>
      </c>
      <c r="O1050" s="729">
        <f>IFERROR(VLOOKUP(C1050,[3]List1!$A:$D,3,FALSE),"N/A!")</f>
        <v>9000</v>
      </c>
      <c r="P1050" s="729">
        <f>IFERROR(VLOOKUP(C1050,[3]List1!$A:$D,2,FALSE),"N/A!")</f>
        <v>13700</v>
      </c>
      <c r="Q1050" s="729" t="s">
        <v>160</v>
      </c>
      <c r="R1050" s="729" t="s">
        <v>18</v>
      </c>
      <c r="S1050" s="729"/>
      <c r="T1050" s="729"/>
      <c r="U1050" s="729">
        <v>200</v>
      </c>
      <c r="V1050" s="729">
        <v>100</v>
      </c>
      <c r="W1050" s="729" t="str">
        <f>IFERROR(VLOOKUP('General price list'!$C1050,Popisy!A:P,MATCH($W$17,Popisy!$A$7:$P$7,0),FALSE),"---------------")</f>
        <v>Mixed carton contains: S6CH gold wave w.purple peony double rings to special orange strobing pistil(2pc), S6H color chrysanthemum(2pc), S6S silver tail to silver palm(2pc), S6O colorfull dahlia(1pc), S6K red glitter w.brocade crown(2pc)</v>
      </c>
      <c r="X1050" s="729" t="str">
        <f>IF(AB1050&lt;0.0001,"",AB1050)</f>
        <v/>
      </c>
      <c r="Y1050" s="729" t="str">
        <f>IF($AL$3=2,IF(OR(AB1050&lt;&gt;"",AB1050&lt;&gt;0),AU1050,""),IF(C1050="","",IF(AB1050&lt;0.0001,"",IF(B1050=0,"",IF(AQ1050&lt;AB1050,"",AB1050)))))</f>
        <v/>
      </c>
      <c r="Z1050" s="729" t="str">
        <f>HYPERLINK("https://www.klasekpyrotechnics.cz/s6m")</f>
        <v>https://www.klasekpyrotechnics.cz/s6m</v>
      </c>
      <c r="AA1050" s="729" t="str">
        <f>IFERROR(IF(VLOOKUP(C1050,[4]List1!$A:$D,4,FALSE)=0,"",VLOOKUP(C1050,[4]List1!$A:$D,4,FALSE)),"")</f>
        <v>24</v>
      </c>
      <c r="AB1050" s="720"/>
      <c r="AC1050" s="743" t="str">
        <f>IFERROR(IF(VLOOKUP(C1050,[1]List1!$A:$D,2,FALSE)="VYPRODÁNO",$V$9,IF(VLOOKUP(C1050,[1]List1!$A:$D,2,FALSE)="DOCHÁZÍ",$V$3,VLOOKUP(C1050,[1]List1!$A:$D,2,FALSE))),"OFFLINE!")</f>
        <v>20.06.2024</v>
      </c>
      <c r="AD1050" s="744" t="str">
        <f ca="1">IF(AP1050="NE",$V$10,IF(AC1050=$V$3,IF(AQ1050&lt;1,$V$8,$V$2&amp;" "&amp;AQ1050&amp;" "&amp;$V$1),IF(AC1050="SKLADEM",$V$6,IFERROR(IF(OR(AC1050-TODAY()&gt;45,VLOOKUP(C1050,[1]List1!$A:$E,4,FALSE)=0),AC1050,DAY(AC1050)&amp;"."&amp;MONTH(AC1050)&amp;"."&amp;YEAR(AC1050)&amp;" "&amp;$V$4&amp;VLOOKUP(C1050,[1]List1!$A:$E,4,FALSE)&amp;" "&amp;$V$1),AC1050))))</f>
        <v>20.06.2024</v>
      </c>
      <c r="AE1050" s="729" t="str">
        <f t="shared" ref="AE1050" ca="1" si="2632">IFERROR(IF(AV1050&lt;&gt;"",AV1050,AD1050),AD1050)</f>
        <v>20.06.2024</v>
      </c>
      <c r="AF1050" s="735">
        <f t="shared" ref="AF1050" si="2633">IFERROR(IF(AB1050=Y1050,G1050*I1050*Y1050,0),0)</f>
        <v>0</v>
      </c>
      <c r="AG1050" s="735">
        <f t="shared" ref="AG1050" si="2634">IF($W$17=$AF$8,AH1050*1.23,AF1050*1.21)</f>
        <v>0</v>
      </c>
      <c r="AH1050" s="736">
        <f t="shared" ref="AH1050" si="2635">IFERROR(IF(Y1050=AB1050,H1050*I1050*Y1050,0),0)</f>
        <v>0</v>
      </c>
      <c r="AI1050" s="729">
        <f t="shared" ref="AI1050" si="2636">IFERROR(IF(Y1050=AB1050,(P1050*Y1050)/1000,1),0)</f>
        <v>0</v>
      </c>
      <c r="AJ1050" s="729">
        <f t="shared" ref="AJ1050" si="2637">IFERROR(IF(Y1050=AB1050,N1050*Y1050,0.1),0)</f>
        <v>0</v>
      </c>
      <c r="AK1050" s="729" t="str">
        <f t="shared" ref="AK1050" si="2638">IFERROR(IF(Y1050=AB1050,IF(M1050="1.1G",(O1050/1000)*Y1050,""),""),0)</f>
        <v/>
      </c>
      <c r="AL1050" s="729">
        <f t="shared" ref="AL1050" si="2639">IFERROR(IF(Y1050=AB1050,IF(M1050="1.3G",(O1050/1000)*AB1050,""),""),0)</f>
        <v>0</v>
      </c>
      <c r="AM1050" s="729" t="str">
        <f t="shared" ref="AM1050" si="2640">IFERROR(IF(Y1050=AB1050,IF(M1050="1.4G",(O1050/1000)*AB1050,""),""),0)</f>
        <v/>
      </c>
      <c r="AN1050" s="729">
        <f t="shared" ref="AN1050" si="2641">SUM(AK1050:AM1050)</f>
        <v>0</v>
      </c>
      <c r="AO1050" s="380"/>
      <c r="AP1050" s="322" t="str">
        <f t="shared" si="2610"/>
        <v/>
      </c>
      <c r="AQ1050" s="323" t="str">
        <f>IF(AC1050=$V$3,IF(VLOOKUP(C1050,[1]List1!$A:$E,5,FALSE)=0,1,VLOOKUP(C1050,[1]List1!$A:$E,5,FALSE)),"")</f>
        <v/>
      </c>
      <c r="AR1050" s="304" t="str">
        <f t="shared" si="2611"/>
        <v/>
      </c>
      <c r="AS1050" s="423" t="str">
        <f t="shared" si="2612"/>
        <v/>
      </c>
      <c r="AT1050" s="304" t="str">
        <f t="shared" si="2613"/>
        <v/>
      </c>
      <c r="AU1050" s="342" t="e">
        <f t="shared" si="2614"/>
        <v>#N/A</v>
      </c>
      <c r="AV1050" s="304" t="e">
        <f t="shared" si="2615"/>
        <v>#N/A</v>
      </c>
      <c r="AX1050" s="304">
        <f>IF(AND('General price list'!$J1050="F4",'General price list'!$AB1050+0&gt;0),1,0)</f>
        <v>0</v>
      </c>
      <c r="AY1050" s="304">
        <f t="shared" si="2616"/>
        <v>1</v>
      </c>
      <c r="AZ1050" s="304">
        <f t="shared" si="2617"/>
        <v>1</v>
      </c>
    </row>
    <row r="1051" spans="1:52" ht="15" customHeight="1">
      <c r="A1051" s="773" t="str">
        <f>Kat.!C1048</f>
        <v xml:space="preserve">                                                               Kulové pumy 150mm, prémiová kvalita</v>
      </c>
      <c r="B1051" s="774"/>
      <c r="C1051" s="774"/>
      <c r="D1051" s="774"/>
      <c r="E1051" s="774"/>
      <c r="F1051" s="774"/>
      <c r="G1051" s="774"/>
      <c r="H1051" s="774"/>
      <c r="I1051" s="774"/>
      <c r="J1051" s="774"/>
      <c r="K1051" s="774"/>
      <c r="L1051" s="774"/>
      <c r="M1051" s="774"/>
      <c r="N1051" s="774"/>
      <c r="O1051" s="774"/>
      <c r="P1051" s="774"/>
      <c r="Q1051" s="774"/>
      <c r="R1051" s="774"/>
      <c r="S1051" s="774"/>
      <c r="T1051" s="774"/>
      <c r="U1051" s="774"/>
      <c r="V1051" s="774"/>
      <c r="W1051" s="774"/>
      <c r="X1051" s="774"/>
      <c r="Y1051" s="774"/>
      <c r="Z1051" s="774"/>
      <c r="AA1051" s="774" t="str">
        <f>IFERROR(IF(VLOOKUP(C1051,[4]List1!$A:$D,4,FALSE)=0,"",VLOOKUP(C1051,[4]List1!$A:$D,4,FALSE)),"")</f>
        <v/>
      </c>
      <c r="AB1051" s="774"/>
      <c r="AC1051" s="775" t="str">
        <f>IFERROR(IF(VLOOKUP(C1051,[1]List1!$A:$D,2,FALSE)="VYPRODÁNO",$V$9,IF(VLOOKUP(C1051,[1]List1!$A:$D,2,FALSE)="DOCHÁZÍ",$V$3,VLOOKUP(C1051,[1]List1!$A:$D,2,FALSE))),"OFFLINE!")</f>
        <v>OFFLINE!</v>
      </c>
      <c r="AD1051" s="774"/>
      <c r="AE1051" s="774"/>
      <c r="AF1051" s="774"/>
      <c r="AG1051" s="774"/>
      <c r="AH1051" s="774"/>
      <c r="AI1051" s="774"/>
      <c r="AJ1051" s="774"/>
      <c r="AK1051" s="774"/>
      <c r="AL1051" s="774"/>
      <c r="AM1051" s="774"/>
      <c r="AN1051" s="774"/>
      <c r="AO1051" s="380"/>
      <c r="AP1051" s="322" t="str">
        <f t="shared" si="2610"/>
        <v/>
      </c>
      <c r="AQ1051" s="323" t="str">
        <f>IF(AC1051=$V$3,IF(VLOOKUP(C1051,[1]List1!$A:$E,5,FALSE)=0,1,VLOOKUP(C1051,[1]List1!$A:$E,5,FALSE)),"")</f>
        <v/>
      </c>
      <c r="AR1051" s="304" t="str">
        <f t="shared" si="2611"/>
        <v/>
      </c>
      <c r="AS1051" s="423" t="str">
        <f t="shared" si="2612"/>
        <v/>
      </c>
      <c r="AT1051" s="304" t="str">
        <f t="shared" si="2613"/>
        <v/>
      </c>
      <c r="AU1051" s="342" t="e">
        <f t="shared" si="2614"/>
        <v>#N/A</v>
      </c>
      <c r="AV1051" s="304" t="e">
        <f t="shared" si="2615"/>
        <v>#N/A</v>
      </c>
      <c r="AX1051" s="304">
        <f>IF(AND('General price list'!$J1051="F4",'General price list'!$AB1051+0&gt;0),1,0)</f>
        <v>0</v>
      </c>
      <c r="AY1051" s="304">
        <f t="shared" si="2616"/>
        <v>0</v>
      </c>
      <c r="AZ1051" s="304">
        <f t="shared" si="2617"/>
        <v>0</v>
      </c>
    </row>
    <row r="1052" spans="1:52" ht="15" customHeight="1">
      <c r="A1052" s="725" t="str">
        <f>Kat.!C1049</f>
        <v/>
      </c>
      <c r="B1052" s="741">
        <f>IF(AND('General price list'!$J1052="F4",$AI$1=FALSE),0,IF(AC1052="SKLADEM",1,IF(AC1052=$V$3,1,0)))</f>
        <v>0</v>
      </c>
      <c r="C1052" s="727" t="s">
        <v>2639</v>
      </c>
      <c r="D1052" s="728" t="s">
        <v>2184</v>
      </c>
      <c r="E1052" s="729" t="s">
        <v>2205</v>
      </c>
      <c r="F1052" s="725">
        <f>IFERROR(ROUND(IF($AL$3=2,VLOOKUP(C1052,[2]List1!$A:$D,2,FALSE)*1.08,VLOOKUP(C1052,[2]List1!$A:$D,2,FALSE)),0),"NEUVEDENO!")</f>
        <v>886</v>
      </c>
      <c r="G1052" s="730">
        <f t="shared" ref="G1052:G1055" si="2642">(F1052)*$B$19</f>
        <v>886</v>
      </c>
      <c r="H1052" s="731">
        <f t="shared" ref="H1052:H1055" si="2643">G1052/$F$19</f>
        <v>36.003234602115498</v>
      </c>
      <c r="I1052" s="742">
        <v>9</v>
      </c>
      <c r="J1052" s="729" t="s">
        <v>709</v>
      </c>
      <c r="K1052" s="729"/>
      <c r="L1052" s="729" t="s">
        <v>14400</v>
      </c>
      <c r="M1052" s="729" t="s">
        <v>138</v>
      </c>
      <c r="N1052" s="729">
        <f>IFERROR(VLOOKUP(C1052,[3]List1!$A:$D,4,FALSE),"N/A!")</f>
        <v>4.6575000000000005E-2</v>
      </c>
      <c r="O1052" s="729">
        <f>IFERROR(VLOOKUP(C1052,[3]List1!$A:$D,3,FALSE),"N/A!")</f>
        <v>9000</v>
      </c>
      <c r="P1052" s="729">
        <f>IFERROR(VLOOKUP(C1052,[3]List1!$A:$D,2,FALSE),"N/A!")</f>
        <v>12000</v>
      </c>
      <c r="Q1052" s="729" t="s">
        <v>160</v>
      </c>
      <c r="R1052" s="729" t="s">
        <v>18</v>
      </c>
      <c r="S1052" s="729"/>
      <c r="T1052" s="729"/>
      <c r="U1052" s="729">
        <v>200</v>
      </c>
      <c r="V1052" s="729">
        <v>100</v>
      </c>
      <c r="W1052" s="729" t="str">
        <f>IFERROR(VLOOKUP('General price list'!$C1052,Popisy!A:P,MATCH($W$17,Popisy!$A$7:$P$7,0),FALSE),"---------------")</f>
        <v>ghost silver to red</v>
      </c>
      <c r="X1052" s="729" t="str">
        <f t="shared" ref="X1052:X1055" si="2644">IF(AB1052&lt;0.0001,"",AB1052)</f>
        <v/>
      </c>
      <c r="Y1052" s="729" t="str">
        <f t="shared" ref="Y1052:Y1055" si="2645">IF($AL$3=2,IF(OR(AB1052&lt;&gt;"",AB1052&lt;&gt;0),AU1052,""),IF(C1052="","",IF(AB1052&lt;0.0001,"",IF(B1052=0,"",IF(AQ1052&lt;AB1052,"",AB1052)))))</f>
        <v/>
      </c>
      <c r="Z1052" s="729" t="str">
        <f>HYPERLINK("https://www.klasekpyrotechnics.cz/s6f-p_9")</f>
        <v>https://www.klasekpyrotechnics.cz/s6f-p_9</v>
      </c>
      <c r="AA1052" s="729" t="str">
        <f>IFERROR(IF(VLOOKUP(C1052,[4]List1!$A:$D,4,FALSE)=0,"",VLOOKUP(C1052,[4]List1!$A:$D,4,FALSE)),"")</f>
        <v>24</v>
      </c>
      <c r="AB1052" s="720"/>
      <c r="AC1052" s="743" t="str">
        <f>IFERROR(IF(VLOOKUP(C1052,[1]List1!$A:$D,2,FALSE)="VYPRODÁNO",$V$9,IF(VLOOKUP(C1052,[1]List1!$A:$D,2,FALSE)="DOCHÁZÍ",$V$3,VLOOKUP(C1052,[1]List1!$A:$D,2,FALSE))),"OFFLINE!")</f>
        <v>30.09.2024</v>
      </c>
      <c r="AD1052" s="744" t="str">
        <f ca="1">IF(AP1052="NE",$V$10,IF(AC1052=$V$3,IF(AQ1052&lt;1,$V$8,$V$2&amp;" "&amp;AQ1052&amp;" "&amp;$V$1),IF(AC1052="SKLADEM",$V$6,IFERROR(IF(OR(AC1052-TODAY()&gt;45,VLOOKUP(C1052,[1]List1!$A:$E,4,FALSE)=0),AC1052,DAY(AC1052)&amp;"."&amp;MONTH(AC1052)&amp;"."&amp;YEAR(AC1052)&amp;" "&amp;$V$4&amp;VLOOKUP(C1052,[1]List1!$A:$E,4,FALSE)&amp;" "&amp;$V$1),AC1052))))</f>
        <v>30.09.2024</v>
      </c>
      <c r="AE1052" s="729" t="str">
        <f t="shared" ref="AE1052:AE1055" ca="1" si="2646">IFERROR(IF(AV1052&lt;&gt;"",AV1052,AD1052),AD1052)</f>
        <v>30.09.2024</v>
      </c>
      <c r="AF1052" s="735">
        <f t="shared" ref="AF1052:AF1055" si="2647">IFERROR(IF(AB1052=Y1052,G1052*I1052*Y1052,0),0)</f>
        <v>0</v>
      </c>
      <c r="AG1052" s="735">
        <f t="shared" ref="AG1052:AG1055" si="2648">IF($W$17=$AF$8,AH1052*1.23,AF1052*1.21)</f>
        <v>0</v>
      </c>
      <c r="AH1052" s="736">
        <f t="shared" ref="AH1052:AH1055" si="2649">IFERROR(IF(Y1052=AB1052,H1052*I1052*Y1052,0),0)</f>
        <v>0</v>
      </c>
      <c r="AI1052" s="729">
        <f t="shared" ref="AI1052:AI1055" si="2650">IFERROR(IF(Y1052=AB1052,(P1052*Y1052)/1000,1),0)</f>
        <v>0</v>
      </c>
      <c r="AJ1052" s="729">
        <f t="shared" ref="AJ1052:AJ1055" si="2651">IFERROR(IF(Y1052=AB1052,N1052*Y1052,0.1),0)</f>
        <v>0</v>
      </c>
      <c r="AK1052" s="729" t="str">
        <f t="shared" ref="AK1052:AK1055" si="2652">IFERROR(IF(Y1052=AB1052,IF(M1052="1.1G",(O1052/1000)*Y1052,""),""),0)</f>
        <v/>
      </c>
      <c r="AL1052" s="729">
        <f t="shared" ref="AL1052:AL1055" si="2653">IFERROR(IF(Y1052=AB1052,IF(M1052="1.3G",(O1052/1000)*AB1052,""),""),0)</f>
        <v>0</v>
      </c>
      <c r="AM1052" s="729" t="str">
        <f t="shared" ref="AM1052:AM1055" si="2654">IFERROR(IF(Y1052=AB1052,IF(M1052="1.4G",(O1052/1000)*AB1052,""),""),0)</f>
        <v/>
      </c>
      <c r="AN1052" s="729">
        <f t="shared" ref="AN1052:AN1055" si="2655">SUM(AK1052:AM1052)</f>
        <v>0</v>
      </c>
      <c r="AO1052" s="380"/>
      <c r="AP1052" s="322" t="str">
        <f t="shared" si="2610"/>
        <v/>
      </c>
      <c r="AQ1052" s="323" t="str">
        <f>IF(AC1052=$V$3,IF(VLOOKUP(C1052,[1]List1!$A:$E,5,FALSE)=0,1,VLOOKUP(C1052,[1]List1!$A:$E,5,FALSE)),"")</f>
        <v/>
      </c>
      <c r="AR1052" s="304" t="str">
        <f t="shared" si="2611"/>
        <v/>
      </c>
      <c r="AS1052" s="423" t="str">
        <f t="shared" si="2612"/>
        <v/>
      </c>
      <c r="AT1052" s="304" t="str">
        <f t="shared" si="2613"/>
        <v/>
      </c>
      <c r="AU1052" s="342" t="e">
        <f t="shared" si="2614"/>
        <v>#N/A</v>
      </c>
      <c r="AV1052" s="304" t="e">
        <f t="shared" si="2615"/>
        <v>#N/A</v>
      </c>
      <c r="AX1052" s="304">
        <f>IF(AND('General price list'!$J1052="F4",'General price list'!$AB1052+0&gt;0),1,0)</f>
        <v>0</v>
      </c>
      <c r="AY1052" s="304">
        <f t="shared" si="2616"/>
        <v>1</v>
      </c>
      <c r="AZ1052" s="304">
        <f t="shared" si="2617"/>
        <v>1</v>
      </c>
    </row>
    <row r="1053" spans="1:52" ht="15" customHeight="1">
      <c r="A1053" s="712" t="str">
        <f>Kat.!C1050</f>
        <v/>
      </c>
      <c r="B1053" s="745">
        <f>IF(AND('General price list'!$J1053="F4",$AI$1=FALSE),0,IF(AC1053="SKLADEM",1,IF(AC1053=$V$3,1,0)))</f>
        <v>0</v>
      </c>
      <c r="C1053" s="714" t="s">
        <v>2208</v>
      </c>
      <c r="D1053" s="715" t="s">
        <v>2187</v>
      </c>
      <c r="E1053" s="716" t="s">
        <v>2205</v>
      </c>
      <c r="F1053" s="712">
        <f>IFERROR(ROUND(IF($AL$3=2,VLOOKUP(C1053,[2]List1!$A:$D,2,FALSE)*1.08,VLOOKUP(C1053,[2]List1!$A:$D,2,FALSE)),0),"NEUVEDENO!")</f>
        <v>971</v>
      </c>
      <c r="G1053" s="717">
        <f t="shared" si="2642"/>
        <v>971</v>
      </c>
      <c r="H1053" s="718">
        <f t="shared" si="2643"/>
        <v>39.457269524440349</v>
      </c>
      <c r="I1053" s="746">
        <v>9</v>
      </c>
      <c r="J1053" s="716" t="s">
        <v>709</v>
      </c>
      <c r="K1053" s="716"/>
      <c r="L1053" s="716" t="s">
        <v>14400</v>
      </c>
      <c r="M1053" s="716" t="s">
        <v>138</v>
      </c>
      <c r="N1053" s="716">
        <f>IFERROR(VLOOKUP(C1053,[3]List1!$A:$D,4,FALSE),"N/A!")</f>
        <v>4.6575000000000005E-2</v>
      </c>
      <c r="O1053" s="716">
        <f>IFERROR(VLOOKUP(C1053,[3]List1!$A:$D,3,FALSE),"N/A!")</f>
        <v>9000</v>
      </c>
      <c r="P1053" s="716">
        <f>IFERROR(VLOOKUP(C1053,[3]List1!$A:$D,2,FALSE),"N/A!")</f>
        <v>12000</v>
      </c>
      <c r="Q1053" s="716" t="s">
        <v>160</v>
      </c>
      <c r="R1053" s="716" t="s">
        <v>18</v>
      </c>
      <c r="S1053" s="716"/>
      <c r="T1053" s="716"/>
      <c r="U1053" s="716">
        <v>200</v>
      </c>
      <c r="V1053" s="716">
        <v>100</v>
      </c>
      <c r="W1053" s="716" t="str">
        <f>IFERROR(VLOOKUP('General price list'!$C1053,Popisy!A:P,MATCH($W$17,Popisy!$A$7:$P$7,0),FALSE),"---------------")</f>
        <v>golden Ti-willow</v>
      </c>
      <c r="X1053" s="716" t="str">
        <f t="shared" si="2644"/>
        <v/>
      </c>
      <c r="Y1053" s="716" t="str">
        <f t="shared" si="2645"/>
        <v/>
      </c>
      <c r="Z1053" s="716" t="str">
        <f>HYPERLINK("https://www.klasekpyrotechnics.cz/s6i-p_9")</f>
        <v>https://www.klasekpyrotechnics.cz/s6i-p_9</v>
      </c>
      <c r="AA1053" s="716" t="str">
        <f>IFERROR(IF(VLOOKUP(C1053,[4]List1!$A:$D,4,FALSE)=0,"",VLOOKUP(C1053,[4]List1!$A:$D,4,FALSE)),"")</f>
        <v>24</v>
      </c>
      <c r="AB1053" s="720"/>
      <c r="AC1053" s="747" t="str">
        <f>IFERROR(IF(VLOOKUP(C1053,[1]List1!$A:$D,2,FALSE)="VYPRODÁNO",$V$9,IF(VLOOKUP(C1053,[1]List1!$A:$D,2,FALSE)="DOCHÁZÍ",$V$3,VLOOKUP(C1053,[1]List1!$A:$D,2,FALSE))),"OFFLINE!")</f>
        <v>SKLADEM</v>
      </c>
      <c r="AD1053" s="748" t="str">
        <f ca="1">IF(AP1053="NE",$V$10,IF(AC1053=$V$3,IF(AQ1053&lt;1,$V$8,$V$2&amp;" "&amp;AQ1053&amp;" "&amp;$V$1),IF(AC1053="SKLADEM",$V$6,IFERROR(IF(OR(AC1053-TODAY()&gt;45,VLOOKUP(C1053,[1]List1!$A:$E,4,FALSE)=0),AC1053,DAY(AC1053)&amp;"."&amp;MONTH(AC1053)&amp;"."&amp;YEAR(AC1053)&amp;" "&amp;$V$4&amp;VLOOKUP(C1053,[1]List1!$A:$E,4,FALSE)&amp;" "&amp;$V$1),AC1053))))</f>
        <v>SKLADEM</v>
      </c>
      <c r="AE1053" s="716" t="str">
        <f t="shared" ca="1" si="2646"/>
        <v>SKLADEM</v>
      </c>
      <c r="AF1053" s="723">
        <f t="shared" si="2647"/>
        <v>0</v>
      </c>
      <c r="AG1053" s="723">
        <f t="shared" si="2648"/>
        <v>0</v>
      </c>
      <c r="AH1053" s="724">
        <f t="shared" si="2649"/>
        <v>0</v>
      </c>
      <c r="AI1053" s="716">
        <f t="shared" si="2650"/>
        <v>0</v>
      </c>
      <c r="AJ1053" s="716">
        <f t="shared" si="2651"/>
        <v>0</v>
      </c>
      <c r="AK1053" s="716" t="str">
        <f t="shared" si="2652"/>
        <v/>
      </c>
      <c r="AL1053" s="716">
        <f t="shared" si="2653"/>
        <v>0</v>
      </c>
      <c r="AM1053" s="716" t="str">
        <f t="shared" si="2654"/>
        <v/>
      </c>
      <c r="AN1053" s="716">
        <f t="shared" si="2655"/>
        <v>0</v>
      </c>
      <c r="AO1053" s="380"/>
      <c r="AP1053" s="322" t="str">
        <f t="shared" si="2610"/>
        <v/>
      </c>
      <c r="AQ1053" s="323" t="str">
        <f>IF(AC1053=$V$3,IF(VLOOKUP(C1053,[1]List1!$A:$E,5,FALSE)=0,1,VLOOKUP(C1053,[1]List1!$A:$E,5,FALSE)),"")</f>
        <v/>
      </c>
      <c r="AR1053" s="304" t="str">
        <f t="shared" si="2611"/>
        <v/>
      </c>
      <c r="AS1053" s="423" t="str">
        <f t="shared" si="2612"/>
        <v/>
      </c>
      <c r="AT1053" s="304" t="str">
        <f t="shared" si="2613"/>
        <v/>
      </c>
      <c r="AU1053" s="342" t="e">
        <f t="shared" si="2614"/>
        <v>#N/A</v>
      </c>
      <c r="AV1053" s="304" t="e">
        <f t="shared" si="2615"/>
        <v>#N/A</v>
      </c>
      <c r="AX1053" s="304">
        <f>IF(AND('General price list'!$J1053="F4",'General price list'!$AB1053+0&gt;0),1,0)</f>
        <v>0</v>
      </c>
      <c r="AY1053" s="304">
        <f t="shared" si="2616"/>
        <v>1</v>
      </c>
      <c r="AZ1053" s="304">
        <f t="shared" si="2617"/>
        <v>1</v>
      </c>
    </row>
    <row r="1054" spans="1:52" ht="15" customHeight="1">
      <c r="A1054" s="725" t="str">
        <f>Kat.!C1051</f>
        <v/>
      </c>
      <c r="B1054" s="749">
        <f>IF(AND('General price list'!$J1054="F4",$AI$1=FALSE),0,IF(AC1054="SKLADEM",1,IF(AC1054=$V$3,1,0)))</f>
        <v>0</v>
      </c>
      <c r="C1054" s="727" t="s">
        <v>2209</v>
      </c>
      <c r="D1054" s="728" t="s">
        <v>2190</v>
      </c>
      <c r="E1054" s="729" t="s">
        <v>2205</v>
      </c>
      <c r="F1054" s="725">
        <f>IFERROR(ROUND(IF($AL$3=2,VLOOKUP(C1054,[2]List1!$A:$D,2,FALSE)*1.08,VLOOKUP(C1054,[2]List1!$A:$D,2,FALSE)),0),"NEUVEDENO!")</f>
        <v>987</v>
      </c>
      <c r="G1054" s="730">
        <f t="shared" si="2642"/>
        <v>987</v>
      </c>
      <c r="H1054" s="731">
        <f t="shared" si="2643"/>
        <v>40.10744080393679</v>
      </c>
      <c r="I1054" s="750">
        <v>9</v>
      </c>
      <c r="J1054" s="729" t="s">
        <v>709</v>
      </c>
      <c r="K1054" s="729"/>
      <c r="L1054" s="729" t="s">
        <v>14400</v>
      </c>
      <c r="M1054" s="729" t="s">
        <v>138</v>
      </c>
      <c r="N1054" s="729">
        <f>IFERROR(VLOOKUP(C1054,[3]List1!$A:$D,4,FALSE),"N/A!")</f>
        <v>4.6575000000000005E-2</v>
      </c>
      <c r="O1054" s="729">
        <f>IFERROR(VLOOKUP(C1054,[3]List1!$A:$D,3,FALSE),"N/A!")</f>
        <v>9000</v>
      </c>
      <c r="P1054" s="729">
        <f>IFERROR(VLOOKUP(C1054,[3]List1!$A:$D,2,FALSE),"N/A!")</f>
        <v>12000</v>
      </c>
      <c r="Q1054" s="729" t="s">
        <v>160</v>
      </c>
      <c r="R1054" s="729" t="s">
        <v>18</v>
      </c>
      <c r="S1054" s="729"/>
      <c r="T1054" s="729"/>
      <c r="U1054" s="729">
        <v>200</v>
      </c>
      <c r="V1054" s="729">
        <v>100</v>
      </c>
      <c r="W1054" s="729" t="str">
        <f>IFERROR(VLOOKUP('General price list'!$C1054,Popisy!A:P,MATCH($W$17,Popisy!$A$7:$P$7,0),FALSE),"---------------")</f>
        <v>silver glittering red coco crossettte</v>
      </c>
      <c r="X1054" s="729" t="str">
        <f t="shared" si="2644"/>
        <v/>
      </c>
      <c r="Y1054" s="729" t="str">
        <f t="shared" si="2645"/>
        <v/>
      </c>
      <c r="Z1054" s="729" t="str">
        <f>HYPERLINK("https://www.klasekpyrotechnics.cz/s6r-p_9")</f>
        <v>https://www.klasekpyrotechnics.cz/s6r-p_9</v>
      </c>
      <c r="AA1054" s="729" t="str">
        <f>IFERROR(IF(VLOOKUP(C1054,[4]List1!$A:$D,4,FALSE)=0,"",VLOOKUP(C1054,[4]List1!$A:$D,4,FALSE)),"")</f>
        <v>24</v>
      </c>
      <c r="AB1054" s="720"/>
      <c r="AC1054" s="751" t="str">
        <f>IFERROR(IF(VLOOKUP(C1054,[1]List1!$A:$D,2,FALSE)="VYPRODÁNO",$V$9,IF(VLOOKUP(C1054,[1]List1!$A:$D,2,FALSE)="DOCHÁZÍ",$V$3,VLOOKUP(C1054,[1]List1!$A:$D,2,FALSE))),"OFFLINE!")</f>
        <v>30.09.2024</v>
      </c>
      <c r="AD1054" s="752" t="str">
        <f ca="1">IF(AP1054="NE",$V$10,IF(AC1054=$V$3,IF(AQ1054&lt;1,$V$8,$V$2&amp;" "&amp;AQ1054&amp;" "&amp;$V$1),IF(AC1054="SKLADEM",$V$6,IFERROR(IF(OR(AC1054-TODAY()&gt;45,VLOOKUP(C1054,[1]List1!$A:$E,4,FALSE)=0),AC1054,DAY(AC1054)&amp;"."&amp;MONTH(AC1054)&amp;"."&amp;YEAR(AC1054)&amp;" "&amp;$V$4&amp;VLOOKUP(C1054,[1]List1!$A:$E,4,FALSE)&amp;" "&amp;$V$1),AC1054))))</f>
        <v>30.09.2024</v>
      </c>
      <c r="AE1054" s="729" t="str">
        <f t="shared" ca="1" si="2646"/>
        <v>30.09.2024</v>
      </c>
      <c r="AF1054" s="735">
        <f t="shared" si="2647"/>
        <v>0</v>
      </c>
      <c r="AG1054" s="735">
        <f t="shared" si="2648"/>
        <v>0</v>
      </c>
      <c r="AH1054" s="736">
        <f t="shared" si="2649"/>
        <v>0</v>
      </c>
      <c r="AI1054" s="729">
        <f t="shared" si="2650"/>
        <v>0</v>
      </c>
      <c r="AJ1054" s="729">
        <f t="shared" si="2651"/>
        <v>0</v>
      </c>
      <c r="AK1054" s="729" t="str">
        <f t="shared" si="2652"/>
        <v/>
      </c>
      <c r="AL1054" s="729">
        <f t="shared" si="2653"/>
        <v>0</v>
      </c>
      <c r="AM1054" s="729" t="str">
        <f t="shared" si="2654"/>
        <v/>
      </c>
      <c r="AN1054" s="729">
        <f t="shared" si="2655"/>
        <v>0</v>
      </c>
      <c r="AO1054" s="380"/>
      <c r="AP1054" s="322" t="str">
        <f t="shared" si="2610"/>
        <v/>
      </c>
      <c r="AQ1054" s="323" t="str">
        <f>IF(AC1054=$V$3,IF(VLOOKUP(C1054,[1]List1!$A:$E,5,FALSE)=0,1,VLOOKUP(C1054,[1]List1!$A:$E,5,FALSE)),"")</f>
        <v/>
      </c>
      <c r="AR1054" s="304" t="str">
        <f t="shared" si="2611"/>
        <v/>
      </c>
      <c r="AS1054" s="423" t="str">
        <f t="shared" si="2612"/>
        <v/>
      </c>
      <c r="AT1054" s="304" t="str">
        <f t="shared" si="2613"/>
        <v/>
      </c>
      <c r="AU1054" s="342" t="e">
        <f t="shared" si="2614"/>
        <v>#N/A</v>
      </c>
      <c r="AV1054" s="304" t="e">
        <f t="shared" si="2615"/>
        <v>#N/A</v>
      </c>
      <c r="AX1054" s="304">
        <f>IF(AND('General price list'!$J1054="F4",'General price list'!$AB1054+0&gt;0),1,0)</f>
        <v>0</v>
      </c>
      <c r="AY1054" s="304">
        <f t="shared" si="2616"/>
        <v>1</v>
      </c>
      <c r="AZ1054" s="304">
        <f t="shared" si="2617"/>
        <v>1</v>
      </c>
    </row>
    <row r="1055" spans="1:52" ht="15" customHeight="1">
      <c r="A1055" s="712" t="str">
        <f>Kat.!C1052</f>
        <v/>
      </c>
      <c r="B1055" s="745">
        <f>IF(AND('General price list'!$J1055="F4",$AI$1=FALSE),0,IF(AC1055="SKLADEM",1,IF(AC1055=$V$3,1,0)))</f>
        <v>0</v>
      </c>
      <c r="C1055" s="714" t="s">
        <v>2645</v>
      </c>
      <c r="D1055" s="715" t="s">
        <v>14627</v>
      </c>
      <c r="E1055" s="716" t="s">
        <v>2205</v>
      </c>
      <c r="F1055" s="712">
        <f>IFERROR(ROUND(IF($AL$3=2,VLOOKUP(C1055,[2]List1!$A:$D,2,FALSE)*1.08,VLOOKUP(C1055,[2]List1!$A:$D,2,FALSE)),0),"NEUVEDENO!")</f>
        <v>886</v>
      </c>
      <c r="G1055" s="717">
        <f t="shared" si="2642"/>
        <v>886</v>
      </c>
      <c r="H1055" s="718">
        <f t="shared" si="2643"/>
        <v>36.003234602115498</v>
      </c>
      <c r="I1055" s="746">
        <v>9</v>
      </c>
      <c r="J1055" s="716" t="s">
        <v>709</v>
      </c>
      <c r="K1055" s="716"/>
      <c r="L1055" s="716" t="s">
        <v>24</v>
      </c>
      <c r="M1055" s="716" t="s">
        <v>138</v>
      </c>
      <c r="N1055" s="716">
        <f>IFERROR(VLOOKUP(C1055,[3]List1!$A:$D,4,FALSE),"N/A!")</f>
        <v>4.6575000000000005E-2</v>
      </c>
      <c r="O1055" s="716">
        <f>IFERROR(VLOOKUP(C1055,[3]List1!$A:$D,3,FALSE),"N/A!")</f>
        <v>9000</v>
      </c>
      <c r="P1055" s="716">
        <f>IFERROR(VLOOKUP(C1055,[3]List1!$A:$D,2,FALSE),"N/A!")</f>
        <v>12000</v>
      </c>
      <c r="Q1055" s="716" t="s">
        <v>160</v>
      </c>
      <c r="R1055" s="716" t="s">
        <v>18</v>
      </c>
      <c r="S1055" s="716"/>
      <c r="T1055" s="716"/>
      <c r="U1055" s="716">
        <v>200</v>
      </c>
      <c r="V1055" s="716">
        <v>100</v>
      </c>
      <c r="W1055" s="716" t="str">
        <f>IFERROR(VLOOKUP('General price list'!$C1055,Popisy!A:P,MATCH($W$17,Popisy!$A$7:$P$7,0),FALSE),"---------------")</f>
        <v>brocade crown to blue to red strobe w/red strobe pistil</v>
      </c>
      <c r="X1055" s="716" t="str">
        <f t="shared" si="2644"/>
        <v/>
      </c>
      <c r="Y1055" s="716" t="str">
        <f t="shared" si="2645"/>
        <v/>
      </c>
      <c r="Z1055" s="716" t="str">
        <f>HYPERLINK("https://www.klasekpyrotechnics.cz/s6z3-p_9")</f>
        <v>https://www.klasekpyrotechnics.cz/s6z3-p_9</v>
      </c>
      <c r="AA1055" s="716" t="str">
        <f>IFERROR(IF(VLOOKUP(C1055,[4]List1!$A:$D,4,FALSE)=0,"",VLOOKUP(C1055,[4]List1!$A:$D,4,FALSE)),"")</f>
        <v>24</v>
      </c>
      <c r="AB1055" s="720"/>
      <c r="AC1055" s="747" t="str">
        <f>IFERROR(IF(VLOOKUP(C1055,[1]List1!$A:$D,2,FALSE)="VYPRODÁNO",$V$9,IF(VLOOKUP(C1055,[1]List1!$A:$D,2,FALSE)="DOCHÁZÍ",$V$3,VLOOKUP(C1055,[1]List1!$A:$D,2,FALSE))),"OFFLINE!")</f>
        <v>30.04.2024</v>
      </c>
      <c r="AD1055" s="748" t="str">
        <f ca="1">IF(AP1055="NE",$V$10,IF(AC1055=$V$3,IF(AQ1055&lt;1,$V$8,$V$2&amp;" "&amp;AQ1055&amp;" "&amp;$V$1),IF(AC1055="SKLADEM",$V$6,IFERROR(IF(OR(AC1055-TODAY()&gt;45,VLOOKUP(C1055,[1]List1!$A:$E,4,FALSE)=0),AC1055,DAY(AC1055)&amp;"."&amp;MONTH(AC1055)&amp;"."&amp;YEAR(AC1055)&amp;" "&amp;$V$4&amp;VLOOKUP(C1055,[1]List1!$A:$E,4,FALSE)&amp;" "&amp;$V$1),AC1055))))</f>
        <v>30.04.2024</v>
      </c>
      <c r="AE1055" s="716" t="str">
        <f t="shared" ca="1" si="2646"/>
        <v>30.04.2024</v>
      </c>
      <c r="AF1055" s="723">
        <f t="shared" si="2647"/>
        <v>0</v>
      </c>
      <c r="AG1055" s="723">
        <f t="shared" si="2648"/>
        <v>0</v>
      </c>
      <c r="AH1055" s="724">
        <f t="shared" si="2649"/>
        <v>0</v>
      </c>
      <c r="AI1055" s="716">
        <f t="shared" si="2650"/>
        <v>0</v>
      </c>
      <c r="AJ1055" s="716">
        <f t="shared" si="2651"/>
        <v>0</v>
      </c>
      <c r="AK1055" s="716" t="str">
        <f t="shared" si="2652"/>
        <v/>
      </c>
      <c r="AL1055" s="716">
        <f t="shared" si="2653"/>
        <v>0</v>
      </c>
      <c r="AM1055" s="716" t="str">
        <f t="shared" si="2654"/>
        <v/>
      </c>
      <c r="AN1055" s="716">
        <f t="shared" si="2655"/>
        <v>0</v>
      </c>
      <c r="AO1055" s="380"/>
      <c r="AP1055" s="322" t="str">
        <f t="shared" si="2610"/>
        <v/>
      </c>
      <c r="AQ1055" s="323" t="str">
        <f>IF(AC1055=$V$3,IF(VLOOKUP(C1055,[1]List1!$A:$E,5,FALSE)=0,1,VLOOKUP(C1055,[1]List1!$A:$E,5,FALSE)),"")</f>
        <v/>
      </c>
      <c r="AR1055" s="304" t="str">
        <f t="shared" si="2611"/>
        <v/>
      </c>
      <c r="AS1055" s="423" t="str">
        <f t="shared" si="2612"/>
        <v/>
      </c>
      <c r="AT1055" s="304" t="str">
        <f t="shared" si="2613"/>
        <v/>
      </c>
      <c r="AU1055" s="342" t="e">
        <f t="shared" si="2614"/>
        <v>#N/A</v>
      </c>
      <c r="AV1055" s="304" t="e">
        <f t="shared" si="2615"/>
        <v>#N/A</v>
      </c>
      <c r="AX1055" s="304">
        <f>IF(AND('General price list'!$J1055="F4",'General price list'!$AB1055+0&gt;0),1,0)</f>
        <v>0</v>
      </c>
      <c r="AY1055" s="304">
        <f t="shared" si="2616"/>
        <v>1</v>
      </c>
      <c r="AZ1055" s="304">
        <f t="shared" si="2617"/>
        <v>1</v>
      </c>
    </row>
    <row r="1056" spans="1:52" ht="15" customHeight="1">
      <c r="A1056" s="773" t="str">
        <f>Kat.!C1053</f>
        <v xml:space="preserve">                                                               Nezničitelné moždíře</v>
      </c>
      <c r="B1056" s="774"/>
      <c r="C1056" s="774"/>
      <c r="D1056" s="774"/>
      <c r="E1056" s="774"/>
      <c r="F1056" s="774"/>
      <c r="G1056" s="774"/>
      <c r="H1056" s="774"/>
      <c r="I1056" s="774"/>
      <c r="J1056" s="774"/>
      <c r="K1056" s="774"/>
      <c r="L1056" s="774"/>
      <c r="M1056" s="774"/>
      <c r="N1056" s="774"/>
      <c r="O1056" s="774"/>
      <c r="P1056" s="774"/>
      <c r="Q1056" s="774"/>
      <c r="R1056" s="774"/>
      <c r="S1056" s="774"/>
      <c r="T1056" s="774"/>
      <c r="U1056" s="774"/>
      <c r="V1056" s="774"/>
      <c r="W1056" s="774"/>
      <c r="X1056" s="774"/>
      <c r="Y1056" s="774"/>
      <c r="Z1056" s="774"/>
      <c r="AA1056" s="774" t="str">
        <f>IFERROR(IF(VLOOKUP(C1056,[4]List1!$A:$D,4,FALSE)=0,"",VLOOKUP(C1056,[4]List1!$A:$D,4,FALSE)),"")</f>
        <v/>
      </c>
      <c r="AB1056" s="774"/>
      <c r="AC1056" s="775" t="str">
        <f>IFERROR(IF(VLOOKUP(C1056,[1]List1!$A:$D,2,FALSE)="VYPRODÁNO",$V$9,IF(VLOOKUP(C1056,[1]List1!$A:$D,2,FALSE)="DOCHÁZÍ",$V$3,VLOOKUP(C1056,[1]List1!$A:$D,2,FALSE))),"OFFLINE!")</f>
        <v>OFFLINE!</v>
      </c>
      <c r="AD1056" s="774"/>
      <c r="AE1056" s="774"/>
      <c r="AF1056" s="774"/>
      <c r="AG1056" s="774"/>
      <c r="AH1056" s="774"/>
      <c r="AI1056" s="774"/>
      <c r="AJ1056" s="774"/>
      <c r="AK1056" s="774"/>
      <c r="AL1056" s="774"/>
      <c r="AM1056" s="774"/>
      <c r="AN1056" s="774"/>
      <c r="AO1056" s="380"/>
      <c r="AP1056" s="322" t="str">
        <f t="shared" si="2610"/>
        <v/>
      </c>
      <c r="AQ1056" s="323" t="str">
        <f>IF(AC1056=$V$3,IF(VLOOKUP(C1056,[1]List1!$A:$E,5,FALSE)=0,1,VLOOKUP(C1056,[1]List1!$A:$E,5,FALSE)),"")</f>
        <v/>
      </c>
      <c r="AR1056" s="304" t="str">
        <f t="shared" si="2611"/>
        <v/>
      </c>
      <c r="AS1056" s="423" t="str">
        <f t="shared" si="2612"/>
        <v/>
      </c>
      <c r="AT1056" s="304" t="str">
        <f t="shared" si="2613"/>
        <v/>
      </c>
      <c r="AU1056" s="342" t="e">
        <f t="shared" si="2614"/>
        <v>#N/A</v>
      </c>
      <c r="AV1056" s="304" t="e">
        <f t="shared" si="2615"/>
        <v>#N/A</v>
      </c>
      <c r="AX1056" s="304">
        <f>IF(AND('General price list'!$J1056="F4",'General price list'!$AB1056+0&gt;0),1,0)</f>
        <v>0</v>
      </c>
      <c r="AY1056" s="304">
        <f t="shared" si="2616"/>
        <v>0</v>
      </c>
      <c r="AZ1056" s="304">
        <f t="shared" si="2617"/>
        <v>0</v>
      </c>
    </row>
    <row r="1057" spans="1:52" ht="15" customHeight="1">
      <c r="A1057" s="712" t="str">
        <f>Kat.!C1054</f>
        <v/>
      </c>
      <c r="B1057" s="713">
        <f>IF(AND('General price list'!$J1057="F4",$AI$1=FALSE),0,IF(AC1057="SKLADEM",1,IF(AC1057=$V$3,1,0)))</f>
        <v>1</v>
      </c>
      <c r="C1057" s="714" t="s">
        <v>2210</v>
      </c>
      <c r="D1057" s="715" t="s">
        <v>2211</v>
      </c>
      <c r="E1057" s="716" t="s">
        <v>136</v>
      </c>
      <c r="F1057" s="712">
        <f>IFERROR(ROUND(IF($AL$3=2,VLOOKUP(C1057,[2]List1!$A:$D,2,FALSE)*1.08,VLOOKUP(C1057,[2]List1!$A:$D,2,FALSE)),0),"NEUVEDENO!")</f>
        <v>86</v>
      </c>
      <c r="G1057" s="717">
        <f t="shared" ref="G1057:G1061" si="2656">(F1057)*$B$19</f>
        <v>86</v>
      </c>
      <c r="H1057" s="718">
        <f t="shared" ref="H1057:H1061" si="2657">G1057/$F$19</f>
        <v>3.4946706272933779</v>
      </c>
      <c r="I1057" s="719">
        <v>1</v>
      </c>
      <c r="J1057" s="716"/>
      <c r="K1057" s="716"/>
      <c r="L1057" s="716" t="s">
        <v>14464</v>
      </c>
      <c r="M1057" s="716"/>
      <c r="N1057" s="716">
        <f>IFERROR(VLOOKUP(C1057,[3]List1!$A:$D,4,FALSE),"N/A!")</f>
        <v>7.7019536822819652E-4</v>
      </c>
      <c r="O1057" s="716">
        <f>IFERROR(VLOOKUP(C1057,[3]List1!$A:$D,3,FALSE),"N/A!")</f>
        <v>0</v>
      </c>
      <c r="P1057" s="716">
        <f>IFERROR(VLOOKUP(C1057,[3]List1!$A:$D,2,FALSE),"N/A!")</f>
        <v>400</v>
      </c>
      <c r="Q1057" s="716"/>
      <c r="R1057" s="716"/>
      <c r="S1057" s="716"/>
      <c r="T1057" s="716"/>
      <c r="U1057" s="716"/>
      <c r="V1057" s="716"/>
      <c r="W1057" s="716" t="str">
        <f>IFERROR(VLOOKUP('General price list'!$C1057,Popisy!A:P,MATCH($W$17,Popisy!$A$7:$P$7,0),FALSE),"---------------")</f>
        <v>nezničitelný, tenkostěnný moždíř, výška 38cm,síla stěny 2,2mm</v>
      </c>
      <c r="X1057" s="716" t="str">
        <f t="shared" ref="X1057:X1061" si="2658">IF(AB1057&lt;0.0001,"",AB1057)</f>
        <v/>
      </c>
      <c r="Y1057" s="716" t="str">
        <f t="shared" ref="Y1057:Y1061" si="2659">IF($AL$3=2,IF(OR(AB1057&lt;&gt;"",AB1057&lt;&gt;0),AU1057,""),IF(C1057="","",IF(AB1057&lt;0.0001,"",IF(B1057=0,"",IF(AQ1057&lt;AB1057,"",AB1057)))))</f>
        <v/>
      </c>
      <c r="Z1057" s="716" t="str">
        <f>HYPERLINK("https://www.klasekpyrotechnics.cz/m2")</f>
        <v>https://www.klasekpyrotechnics.cz/m2</v>
      </c>
      <c r="AA1057" s="716" t="str">
        <f>IFERROR(IF(VLOOKUP(C1057,[4]List1!$A:$D,4,FALSE)=0,"",VLOOKUP(C1057,[4]List1!$A:$D,4,FALSE)),"")</f>
        <v/>
      </c>
      <c r="AB1057" s="720"/>
      <c r="AC1057" s="721" t="str">
        <f>IFERROR(IF(VLOOKUP(C1057,[1]List1!$A:$D,2,FALSE)="VYPRODÁNO",$V$9,IF(VLOOKUP(C1057,[1]List1!$A:$D,2,FALSE)="DOCHÁZÍ",$V$3,VLOOKUP(C1057,[1]List1!$A:$D,2,FALSE))),"OFFLINE!")</f>
        <v>SKLADEM</v>
      </c>
      <c r="AD1057" s="722" t="str">
        <f ca="1">IF(AP1057="NE",$V$10,IF(AC1057=$V$3,IF(AQ1057&lt;1,$V$8,$V$2&amp;" "&amp;AQ1057&amp;" "&amp;$V$1),IF(AC1057="SKLADEM",$V$6,IFERROR(IF(OR(AC1057-TODAY()&gt;45,VLOOKUP(C1057,[1]List1!$A:$E,4,FALSE)=0),AC1057,DAY(AC1057)&amp;"."&amp;MONTH(AC1057)&amp;"."&amp;YEAR(AC1057)&amp;" "&amp;$V$4&amp;VLOOKUP(C1057,[1]List1!$A:$E,4,FALSE)&amp;" "&amp;$V$1),AC1057))))</f>
        <v>SKLADEM</v>
      </c>
      <c r="AE1057" s="716" t="str">
        <f t="shared" ref="AE1057:AE1061" ca="1" si="2660">IFERROR(IF(AV1057&lt;&gt;"",AV1057,AD1057),AD1057)</f>
        <v>SKLADEM</v>
      </c>
      <c r="AF1057" s="723">
        <f t="shared" ref="AF1057:AF1061" si="2661">IFERROR(IF(AB1057=Y1057,G1057*I1057*Y1057,0),0)</f>
        <v>0</v>
      </c>
      <c r="AG1057" s="723">
        <f t="shared" ref="AG1057:AG1061" si="2662">IF($W$17=$AF$8,AH1057*1.23,AF1057*1.21)</f>
        <v>0</v>
      </c>
      <c r="AH1057" s="724">
        <f t="shared" ref="AH1057:AH1061" si="2663">IFERROR(IF(Y1057=AB1057,H1057*I1057*Y1057,0),0)</f>
        <v>0</v>
      </c>
      <c r="AI1057" s="716">
        <f t="shared" ref="AI1057:AI1061" si="2664">IFERROR(IF(Y1057=AB1057,(P1057*Y1057)/1000,1),0)</f>
        <v>0</v>
      </c>
      <c r="AJ1057" s="716">
        <f t="shared" ref="AJ1057:AJ1061" si="2665">IFERROR(IF(Y1057=AB1057,N1057*Y1057,0.1),0)</f>
        <v>0</v>
      </c>
      <c r="AK1057" s="716" t="str">
        <f t="shared" ref="AK1057:AK1061" si="2666">IFERROR(IF(Y1057=AB1057,IF(M1057="1.1G",(O1057/1000)*Y1057,""),""),0)</f>
        <v/>
      </c>
      <c r="AL1057" s="716" t="str">
        <f t="shared" ref="AL1057:AL1061" si="2667">IFERROR(IF(Y1057=AB1057,IF(M1057="1.3G",(O1057/1000)*AB1057,""),""),0)</f>
        <v/>
      </c>
      <c r="AM1057" s="716" t="str">
        <f t="shared" ref="AM1057:AM1061" si="2668">IFERROR(IF(Y1057=AB1057,IF(M1057="1.4G",(O1057/1000)*AB1057,""),""),0)</f>
        <v/>
      </c>
      <c r="AN1057" s="716">
        <f t="shared" ref="AN1057:AN1061" si="2669">SUM(AK1057:AM1057)</f>
        <v>0</v>
      </c>
      <c r="AO1057" s="380"/>
      <c r="AP1057" s="322" t="str">
        <f t="shared" si="2610"/>
        <v/>
      </c>
      <c r="AQ1057" s="323" t="str">
        <f>IF(AC1057=$V$3,IF(VLOOKUP(C1057,[1]List1!$A:$E,5,FALSE)=0,1,VLOOKUP(C1057,[1]List1!$A:$E,5,FALSE)),"")</f>
        <v/>
      </c>
      <c r="AR1057" s="304" t="str">
        <f t="shared" si="2611"/>
        <v/>
      </c>
      <c r="AS1057" s="423" t="str">
        <f t="shared" si="2612"/>
        <v/>
      </c>
      <c r="AT1057" s="304" t="str">
        <f t="shared" si="2613"/>
        <v/>
      </c>
      <c r="AU1057" s="342" t="e">
        <f t="shared" si="2614"/>
        <v>#N/A</v>
      </c>
      <c r="AV1057" s="304" t="e">
        <f t="shared" si="2615"/>
        <v>#N/A</v>
      </c>
      <c r="AX1057" s="304">
        <f>IF(AND('General price list'!$J1057="F4",'General price list'!$AB1057+0&gt;0),1,0)</f>
        <v>0</v>
      </c>
      <c r="AY1057" s="304">
        <f t="shared" si="2616"/>
        <v>0</v>
      </c>
      <c r="AZ1057" s="304">
        <f t="shared" si="2617"/>
        <v>0</v>
      </c>
    </row>
    <row r="1058" spans="1:52" ht="15" customHeight="1">
      <c r="A1058" s="725" t="str">
        <f>Kat.!C1055</f>
        <v/>
      </c>
      <c r="B1058" s="726">
        <f>IF(AND('General price list'!$J1058="F4",$AI$1=FALSE),0,IF(AC1058="SKLADEM",1,IF(AC1058=$V$3,1,0)))</f>
        <v>1</v>
      </c>
      <c r="C1058" s="727" t="s">
        <v>2219</v>
      </c>
      <c r="D1058" s="728" t="s">
        <v>2220</v>
      </c>
      <c r="E1058" s="729" t="s">
        <v>136</v>
      </c>
      <c r="F1058" s="725">
        <f>IFERROR(ROUND(IF($AL$3=2,VLOOKUP(C1058,[2]List1!$A:$D,2,FALSE)*1.08,VLOOKUP(C1058,[2]List1!$A:$D,2,FALSE)),0),"NEUVEDENO!")</f>
        <v>231</v>
      </c>
      <c r="G1058" s="730">
        <f t="shared" si="2656"/>
        <v>231</v>
      </c>
      <c r="H1058" s="731">
        <f t="shared" si="2657"/>
        <v>9.3868478477298876</v>
      </c>
      <c r="I1058" s="732">
        <v>1</v>
      </c>
      <c r="J1058" s="729"/>
      <c r="K1058" s="729"/>
      <c r="L1058" s="729" t="s">
        <v>14464</v>
      </c>
      <c r="M1058" s="729"/>
      <c r="N1058" s="729">
        <f>IFERROR(VLOOKUP(C1058,[3]List1!$A:$D,4,FALSE),"N/A!")</f>
        <v>2.1889763097011901E-3</v>
      </c>
      <c r="O1058" s="729">
        <f>IFERROR(VLOOKUP(C1058,[3]List1!$A:$D,3,FALSE),"N/A!")</f>
        <v>0</v>
      </c>
      <c r="P1058" s="729">
        <f>IFERROR(VLOOKUP(C1058,[3]List1!$A:$D,2,FALSE),"N/A!")</f>
        <v>700</v>
      </c>
      <c r="Q1058" s="729"/>
      <c r="R1058" s="729"/>
      <c r="S1058" s="729"/>
      <c r="T1058" s="729"/>
      <c r="U1058" s="729"/>
      <c r="V1058" s="729"/>
      <c r="W1058" s="729" t="str">
        <f>IFERROR(VLOOKUP('General price list'!$C1058,Popisy!A:P,MATCH($W$17,Popisy!$A$7:$P$7,0),FALSE),"---------------")</f>
        <v>nezničitelný, tenkostěnný moždíř, výška 48cm,síla stěny 2,5mm</v>
      </c>
      <c r="X1058" s="729" t="str">
        <f t="shared" si="2658"/>
        <v/>
      </c>
      <c r="Y1058" s="729" t="str">
        <f t="shared" si="2659"/>
        <v/>
      </c>
      <c r="Z1058" s="729" t="str">
        <f>HYPERLINK("https://www.klasekpyrotechnics.cz/m3")</f>
        <v>https://www.klasekpyrotechnics.cz/m3</v>
      </c>
      <c r="AA1058" s="729" t="str">
        <f>IFERROR(IF(VLOOKUP(C1058,[4]List1!$A:$D,4,FALSE)=0,"",VLOOKUP(C1058,[4]List1!$A:$D,4,FALSE)),"")</f>
        <v/>
      </c>
      <c r="AB1058" s="720"/>
      <c r="AC1058" s="733" t="str">
        <f>IFERROR(IF(VLOOKUP(C1058,[1]List1!$A:$D,2,FALSE)="VYPRODÁNO",$V$9,IF(VLOOKUP(C1058,[1]List1!$A:$D,2,FALSE)="DOCHÁZÍ",$V$3,VLOOKUP(C1058,[1]List1!$A:$D,2,FALSE))),"OFFLINE!")</f>
        <v>SKLADEM</v>
      </c>
      <c r="AD1058" s="734" t="str">
        <f ca="1">IF(AP1058="NE",$V$10,IF(AC1058=$V$3,IF(AQ1058&lt;1,$V$8,$V$2&amp;" "&amp;AQ1058&amp;" "&amp;$V$1),IF(AC1058="SKLADEM",$V$6,IFERROR(IF(OR(AC1058-TODAY()&gt;45,VLOOKUP(C1058,[1]List1!$A:$E,4,FALSE)=0),AC1058,DAY(AC1058)&amp;"."&amp;MONTH(AC1058)&amp;"."&amp;YEAR(AC1058)&amp;" "&amp;$V$4&amp;VLOOKUP(C1058,[1]List1!$A:$E,4,FALSE)&amp;" "&amp;$V$1),AC1058))))</f>
        <v>SKLADEM</v>
      </c>
      <c r="AE1058" s="729" t="str">
        <f t="shared" ca="1" si="2660"/>
        <v>SKLADEM</v>
      </c>
      <c r="AF1058" s="735">
        <f t="shared" si="2661"/>
        <v>0</v>
      </c>
      <c r="AG1058" s="735">
        <f t="shared" si="2662"/>
        <v>0</v>
      </c>
      <c r="AH1058" s="736">
        <f t="shared" si="2663"/>
        <v>0</v>
      </c>
      <c r="AI1058" s="729">
        <f t="shared" si="2664"/>
        <v>0</v>
      </c>
      <c r="AJ1058" s="729">
        <f t="shared" si="2665"/>
        <v>0</v>
      </c>
      <c r="AK1058" s="729" t="str">
        <f t="shared" si="2666"/>
        <v/>
      </c>
      <c r="AL1058" s="729" t="str">
        <f t="shared" si="2667"/>
        <v/>
      </c>
      <c r="AM1058" s="729" t="str">
        <f t="shared" si="2668"/>
        <v/>
      </c>
      <c r="AN1058" s="729">
        <f t="shared" si="2669"/>
        <v>0</v>
      </c>
      <c r="AO1058" s="380"/>
      <c r="AP1058" s="322" t="str">
        <f t="shared" si="2610"/>
        <v/>
      </c>
      <c r="AQ1058" s="323" t="str">
        <f>IF(AC1058=$V$3,IF(VLOOKUP(C1058,[1]List1!$A:$E,5,FALSE)=0,1,VLOOKUP(C1058,[1]List1!$A:$E,5,FALSE)),"")</f>
        <v/>
      </c>
      <c r="AR1058" s="304" t="str">
        <f t="shared" si="2611"/>
        <v/>
      </c>
      <c r="AS1058" s="423" t="str">
        <f t="shared" si="2612"/>
        <v/>
      </c>
      <c r="AT1058" s="304" t="str">
        <f t="shared" si="2613"/>
        <v/>
      </c>
      <c r="AU1058" s="342" t="e">
        <f t="shared" si="2614"/>
        <v>#N/A</v>
      </c>
      <c r="AV1058" s="304" t="e">
        <f t="shared" si="2615"/>
        <v>#N/A</v>
      </c>
      <c r="AX1058" s="304">
        <f>IF(AND('General price list'!$J1058="F4",'General price list'!$AB1058+0&gt;0),1,0)</f>
        <v>0</v>
      </c>
      <c r="AY1058" s="304">
        <f t="shared" si="2616"/>
        <v>0</v>
      </c>
      <c r="AZ1058" s="304">
        <f t="shared" si="2617"/>
        <v>0</v>
      </c>
    </row>
    <row r="1059" spans="1:52" ht="15" customHeight="1">
      <c r="A1059" s="712" t="str">
        <f>Kat.!C1056</f>
        <v/>
      </c>
      <c r="B1059" s="737">
        <f>IF(AND('General price list'!$J1059="F4",$AI$1=FALSE),0,IF(AC1059="SKLADEM",1,IF(AC1059=$V$3,1,0)))</f>
        <v>0</v>
      </c>
      <c r="C1059" s="714" t="s">
        <v>2224</v>
      </c>
      <c r="D1059" s="715" t="s">
        <v>2225</v>
      </c>
      <c r="E1059" s="716" t="s">
        <v>136</v>
      </c>
      <c r="F1059" s="712">
        <f>IFERROR(ROUND(IF($AL$3=2,VLOOKUP(C1059,[2]List1!$A:$D,2,FALSE)*1.08,VLOOKUP(C1059,[2]List1!$A:$D,2,FALSE)),0),"NEUVEDENO!")</f>
        <v>411</v>
      </c>
      <c r="G1059" s="717">
        <f t="shared" si="2656"/>
        <v>411</v>
      </c>
      <c r="H1059" s="718">
        <f t="shared" si="2657"/>
        <v>16.701274742064864</v>
      </c>
      <c r="I1059" s="738">
        <v>1</v>
      </c>
      <c r="J1059" s="716"/>
      <c r="K1059" s="716"/>
      <c r="L1059" s="716" t="s">
        <v>14464</v>
      </c>
      <c r="M1059" s="716"/>
      <c r="N1059" s="716">
        <f>IFERROR(VLOOKUP(C1059,[3]List1!$A:$D,4,FALSE),"N/A!")</f>
        <v>4.7022454060247779E-3</v>
      </c>
      <c r="O1059" s="716">
        <f>IFERROR(VLOOKUP(C1059,[3]List1!$A:$D,3,FALSE),"N/A!")</f>
        <v>0</v>
      </c>
      <c r="P1059" s="716">
        <f>IFERROR(VLOOKUP(C1059,[3]List1!$A:$D,2,FALSE),"N/A!")</f>
        <v>1350</v>
      </c>
      <c r="Q1059" s="716"/>
      <c r="R1059" s="716"/>
      <c r="S1059" s="716"/>
      <c r="T1059" s="716"/>
      <c r="U1059" s="716"/>
      <c r="V1059" s="716"/>
      <c r="W1059" s="716" t="str">
        <f>IFERROR(VLOOKUP('General price list'!$C1059,Popisy!A:P,MATCH($W$17,Popisy!$A$7:$P$7,0),FALSE),"---------------")</f>
        <v>nezničitelný, tenkostěnný moždíř, výška 58cm,síla stěny 3mm</v>
      </c>
      <c r="X1059" s="716" t="str">
        <f t="shared" si="2658"/>
        <v/>
      </c>
      <c r="Y1059" s="716" t="str">
        <f t="shared" si="2659"/>
        <v/>
      </c>
      <c r="Z1059" s="716" t="str">
        <f>HYPERLINK("https://www.klasekpyrotechnics.cz/m4")</f>
        <v>https://www.klasekpyrotechnics.cz/m4</v>
      </c>
      <c r="AA1059" s="716" t="str">
        <f>IFERROR(IF(VLOOKUP(C1059,[4]List1!$A:$D,4,FALSE)=0,"",VLOOKUP(C1059,[4]List1!$A:$D,4,FALSE)),"")</f>
        <v/>
      </c>
      <c r="AB1059" s="720"/>
      <c r="AC1059" s="739" t="str">
        <f>IFERROR(IF(VLOOKUP(C1059,[1]List1!$A:$D,2,FALSE)="VYPRODÁNO",$V$9,IF(VLOOKUP(C1059,[1]List1!$A:$D,2,FALSE)="DOCHÁZÍ",$V$3,VLOOKUP(C1059,[1]List1!$A:$D,2,FALSE))),"OFFLINE!")</f>
        <v>15.06.2024</v>
      </c>
      <c r="AD1059" s="740" t="str">
        <f ca="1">IF(AP1059="NE",$V$10,IF(AC1059=$V$3,IF(AQ1059&lt;1,$V$8,$V$2&amp;" "&amp;AQ1059&amp;" "&amp;$V$1),IF(AC1059="SKLADEM",$V$6,IFERROR(IF(OR(AC1059-TODAY()&gt;45,VLOOKUP(C1059,[1]List1!$A:$E,4,FALSE)=0),AC1059,DAY(AC1059)&amp;"."&amp;MONTH(AC1059)&amp;"."&amp;YEAR(AC1059)&amp;" "&amp;$V$4&amp;VLOOKUP(C1059,[1]List1!$A:$E,4,FALSE)&amp;" "&amp;$V$1),AC1059))))</f>
        <v>15.06.2024</v>
      </c>
      <c r="AE1059" s="716" t="str">
        <f t="shared" ca="1" si="2660"/>
        <v>15.06.2024</v>
      </c>
      <c r="AF1059" s="723">
        <f t="shared" si="2661"/>
        <v>0</v>
      </c>
      <c r="AG1059" s="723">
        <f t="shared" si="2662"/>
        <v>0</v>
      </c>
      <c r="AH1059" s="724">
        <f t="shared" si="2663"/>
        <v>0</v>
      </c>
      <c r="AI1059" s="716">
        <f t="shared" si="2664"/>
        <v>0</v>
      </c>
      <c r="AJ1059" s="716">
        <f t="shared" si="2665"/>
        <v>0</v>
      </c>
      <c r="AK1059" s="716" t="str">
        <f t="shared" si="2666"/>
        <v/>
      </c>
      <c r="AL1059" s="716" t="str">
        <f t="shared" si="2667"/>
        <v/>
      </c>
      <c r="AM1059" s="716" t="str">
        <f t="shared" si="2668"/>
        <v/>
      </c>
      <c r="AN1059" s="716">
        <f t="shared" si="2669"/>
        <v>0</v>
      </c>
      <c r="AO1059" s="380"/>
      <c r="AP1059" s="322" t="str">
        <f t="shared" si="2610"/>
        <v/>
      </c>
      <c r="AQ1059" s="323" t="str">
        <f>IF(AC1059=$V$3,IF(VLOOKUP(C1059,[1]List1!$A:$E,5,FALSE)=0,1,VLOOKUP(C1059,[1]List1!$A:$E,5,FALSE)),"")</f>
        <v/>
      </c>
      <c r="AR1059" s="304" t="str">
        <f t="shared" si="2611"/>
        <v/>
      </c>
      <c r="AS1059" s="423" t="str">
        <f t="shared" si="2612"/>
        <v/>
      </c>
      <c r="AT1059" s="304" t="str">
        <f t="shared" si="2613"/>
        <v/>
      </c>
      <c r="AU1059" s="342" t="e">
        <f t="shared" si="2614"/>
        <v>#N/A</v>
      </c>
      <c r="AV1059" s="304" t="e">
        <f t="shared" si="2615"/>
        <v>#N/A</v>
      </c>
      <c r="AX1059" s="304">
        <f>IF(AND('General price list'!$J1059="F4",'General price list'!$AB1059+0&gt;0),1,0)</f>
        <v>0</v>
      </c>
      <c r="AY1059" s="304">
        <f t="shared" si="2616"/>
        <v>0</v>
      </c>
      <c r="AZ1059" s="304">
        <f t="shared" si="2617"/>
        <v>0</v>
      </c>
    </row>
    <row r="1060" spans="1:52" ht="15" customHeight="1">
      <c r="A1060" s="725" t="str">
        <f>Kat.!C1057</f>
        <v/>
      </c>
      <c r="B1060" s="726">
        <f>IF(AND('General price list'!$J1060="F4",$AI$1=FALSE),0,IF(AC1060="SKLADEM",1,IF(AC1060=$V$3,1,0)))</f>
        <v>1</v>
      </c>
      <c r="C1060" s="727" t="s">
        <v>2228</v>
      </c>
      <c r="D1060" s="728" t="s">
        <v>2229</v>
      </c>
      <c r="E1060" s="729" t="s">
        <v>136</v>
      </c>
      <c r="F1060" s="725">
        <f>IFERROR(ROUND(IF($AL$3=2,VLOOKUP(C1060,[2]List1!$A:$D,2,FALSE)*1.08,VLOOKUP(C1060,[2]List1!$A:$D,2,FALSE)),0),"NEUVEDENO!")</f>
        <v>651</v>
      </c>
      <c r="G1060" s="730">
        <f t="shared" si="2656"/>
        <v>651</v>
      </c>
      <c r="H1060" s="731">
        <f t="shared" si="2657"/>
        <v>26.4538439345115</v>
      </c>
      <c r="I1060" s="732">
        <v>1</v>
      </c>
      <c r="J1060" s="729"/>
      <c r="K1060" s="729"/>
      <c r="L1060" s="729" t="s">
        <v>14464</v>
      </c>
      <c r="M1060" s="729"/>
      <c r="N1060" s="729">
        <f>IFERROR(VLOOKUP(C1060,[3]List1!$A:$D,4,FALSE),"N/A!")</f>
        <v>1.0134149581949956E-2</v>
      </c>
      <c r="O1060" s="729">
        <f>IFERROR(VLOOKUP(C1060,[3]List1!$A:$D,3,FALSE),"N/A!")</f>
        <v>0</v>
      </c>
      <c r="P1060" s="729">
        <f>IFERROR(VLOOKUP(C1060,[3]List1!$A:$D,2,FALSE),"N/A!")</f>
        <v>3000</v>
      </c>
      <c r="Q1060" s="729"/>
      <c r="R1060" s="729"/>
      <c r="S1060" s="729"/>
      <c r="T1060" s="729"/>
      <c r="U1060" s="729"/>
      <c r="V1060" s="729"/>
      <c r="W1060" s="729" t="str">
        <f>IFERROR(VLOOKUP('General price list'!$C1060,Popisy!A:P,MATCH($W$17,Popisy!$A$7:$P$7,0),FALSE),"---------------")</f>
        <v>nezničitelný, tenkostěnný moždíř, výška 80cm, síla stěny 4mm</v>
      </c>
      <c r="X1060" s="729" t="str">
        <f t="shared" si="2658"/>
        <v/>
      </c>
      <c r="Y1060" s="729" t="str">
        <f t="shared" si="2659"/>
        <v/>
      </c>
      <c r="Z1060" s="729" t="str">
        <f>HYPERLINK("https://www.klasekpyrotechnics.cz/m5")</f>
        <v>https://www.klasekpyrotechnics.cz/m5</v>
      </c>
      <c r="AA1060" s="729" t="str">
        <f>IFERROR(IF(VLOOKUP(C1060,[4]List1!$A:$D,4,FALSE)=0,"",VLOOKUP(C1060,[4]List1!$A:$D,4,FALSE)),"")</f>
        <v/>
      </c>
      <c r="AB1060" s="720"/>
      <c r="AC1060" s="733" t="str">
        <f>IFERROR(IF(VLOOKUP(C1060,[1]List1!$A:$D,2,FALSE)="VYPRODÁNO",$V$9,IF(VLOOKUP(C1060,[1]List1!$A:$D,2,FALSE)="DOCHÁZÍ",$V$3,VLOOKUP(C1060,[1]List1!$A:$D,2,FALSE))),"OFFLINE!")</f>
        <v>SKLADEM</v>
      </c>
      <c r="AD1060" s="734" t="str">
        <f ca="1">IF(AP1060="NE",$V$10,IF(AC1060=$V$3,IF(AQ1060&lt;1,$V$8,$V$2&amp;" "&amp;AQ1060&amp;" "&amp;$V$1),IF(AC1060="SKLADEM",$V$6,IFERROR(IF(OR(AC1060-TODAY()&gt;45,VLOOKUP(C1060,[1]List1!$A:$E,4,FALSE)=0),AC1060,DAY(AC1060)&amp;"."&amp;MONTH(AC1060)&amp;"."&amp;YEAR(AC1060)&amp;" "&amp;$V$4&amp;VLOOKUP(C1060,[1]List1!$A:$E,4,FALSE)&amp;" "&amp;$V$1),AC1060))))</f>
        <v>SKLADEM</v>
      </c>
      <c r="AE1060" s="729" t="str">
        <f t="shared" ca="1" si="2660"/>
        <v>SKLADEM</v>
      </c>
      <c r="AF1060" s="735">
        <f t="shared" si="2661"/>
        <v>0</v>
      </c>
      <c r="AG1060" s="735">
        <f t="shared" si="2662"/>
        <v>0</v>
      </c>
      <c r="AH1060" s="736">
        <f t="shared" si="2663"/>
        <v>0</v>
      </c>
      <c r="AI1060" s="729">
        <f t="shared" si="2664"/>
        <v>0</v>
      </c>
      <c r="AJ1060" s="729">
        <f t="shared" si="2665"/>
        <v>0</v>
      </c>
      <c r="AK1060" s="729" t="str">
        <f t="shared" si="2666"/>
        <v/>
      </c>
      <c r="AL1060" s="729" t="str">
        <f t="shared" si="2667"/>
        <v/>
      </c>
      <c r="AM1060" s="729" t="str">
        <f t="shared" si="2668"/>
        <v/>
      </c>
      <c r="AN1060" s="729">
        <f t="shared" si="2669"/>
        <v>0</v>
      </c>
      <c r="AO1060" s="380"/>
      <c r="AP1060" s="322" t="str">
        <f t="shared" si="2610"/>
        <v/>
      </c>
      <c r="AQ1060" s="323" t="str">
        <f>IF(AC1060=$V$3,IF(VLOOKUP(C1060,[1]List1!$A:$E,5,FALSE)=0,1,VLOOKUP(C1060,[1]List1!$A:$E,5,FALSE)),"")</f>
        <v/>
      </c>
      <c r="AR1060" s="304" t="str">
        <f t="shared" si="2611"/>
        <v/>
      </c>
      <c r="AS1060" s="423" t="str">
        <f t="shared" si="2612"/>
        <v/>
      </c>
      <c r="AT1060" s="304" t="str">
        <f t="shared" si="2613"/>
        <v/>
      </c>
      <c r="AU1060" s="342" t="e">
        <f t="shared" si="2614"/>
        <v>#N/A</v>
      </c>
      <c r="AV1060" s="304" t="e">
        <f t="shared" si="2615"/>
        <v>#N/A</v>
      </c>
      <c r="AX1060" s="304">
        <f>IF(AND('General price list'!$J1060="F4",'General price list'!$AB1060+0&gt;0),1,0)</f>
        <v>0</v>
      </c>
      <c r="AY1060" s="304">
        <f t="shared" si="2616"/>
        <v>0</v>
      </c>
      <c r="AZ1060" s="304">
        <f t="shared" si="2617"/>
        <v>0</v>
      </c>
    </row>
    <row r="1061" spans="1:52" ht="15" customHeight="1">
      <c r="A1061" s="712" t="str">
        <f>Kat.!C1058</f>
        <v/>
      </c>
      <c r="B1061" s="737">
        <f>IF(AND('General price list'!$J1061="F4",$AI$1=FALSE),0,IF(AC1061="SKLADEM",1,IF(AC1061=$V$3,1,0)))</f>
        <v>1</v>
      </c>
      <c r="C1061" s="714" t="s">
        <v>2233</v>
      </c>
      <c r="D1061" s="715" t="s">
        <v>2234</v>
      </c>
      <c r="E1061" s="716" t="s">
        <v>136</v>
      </c>
      <c r="F1061" s="712">
        <f>IFERROR(ROUND(IF($AL$3=2,VLOOKUP(C1061,[2]List1!$A:$D,2,FALSE)*1.08,VLOOKUP(C1061,[2]List1!$A:$D,2,FALSE)),0),"NEUVEDENO!")</f>
        <v>835</v>
      </c>
      <c r="G1061" s="717">
        <f t="shared" si="2656"/>
        <v>835</v>
      </c>
      <c r="H1061" s="718">
        <f t="shared" si="2657"/>
        <v>33.930813648720587</v>
      </c>
      <c r="I1061" s="738">
        <v>1</v>
      </c>
      <c r="J1061" s="716"/>
      <c r="K1061" s="716"/>
      <c r="L1061" s="716" t="s">
        <v>14464</v>
      </c>
      <c r="M1061" s="716"/>
      <c r="N1061" s="716">
        <f>IFERROR(VLOOKUP(C1061,[3]List1!$A:$D,4,FALSE),"N/A!")</f>
        <v>1.6417322322758929E-2</v>
      </c>
      <c r="O1061" s="716">
        <f>IFERROR(VLOOKUP(C1061,[3]List1!$A:$D,3,FALSE),"N/A!")</f>
        <v>0</v>
      </c>
      <c r="P1061" s="716">
        <f>IFERROR(VLOOKUP(C1061,[3]List1!$A:$D,2,FALSE),"N/A!")</f>
        <v>4300</v>
      </c>
      <c r="Q1061" s="716"/>
      <c r="R1061" s="716"/>
      <c r="S1061" s="716"/>
      <c r="T1061" s="716"/>
      <c r="U1061" s="716"/>
      <c r="V1061" s="716"/>
      <c r="W1061" s="716" t="str">
        <f>IFERROR(VLOOKUP('General price list'!$C1061,Popisy!A:P,MATCH($W$17,Popisy!$A$7:$P$7,0),FALSE),"---------------")</f>
        <v>nezničitelný, tenkostěnný moždíř, výška 90cm, síla stěny 4mm</v>
      </c>
      <c r="X1061" s="716" t="str">
        <f t="shared" si="2658"/>
        <v/>
      </c>
      <c r="Y1061" s="716" t="str">
        <f t="shared" si="2659"/>
        <v/>
      </c>
      <c r="Z1061" s="716" t="str">
        <f>HYPERLINK("https://www.klasekpyrotechnics.cz/m6")</f>
        <v>https://www.klasekpyrotechnics.cz/m6</v>
      </c>
      <c r="AA1061" s="716" t="str">
        <f>IFERROR(IF(VLOOKUP(C1061,[4]List1!$A:$D,4,FALSE)=0,"",VLOOKUP(C1061,[4]List1!$A:$D,4,FALSE)),"")</f>
        <v/>
      </c>
      <c r="AB1061" s="720"/>
      <c r="AC1061" s="739" t="str">
        <f>IFERROR(IF(VLOOKUP(C1061,[1]List1!$A:$D,2,FALSE)="VYPRODÁNO",$V$9,IF(VLOOKUP(C1061,[1]List1!$A:$D,2,FALSE)="DOCHÁZÍ",$V$3,VLOOKUP(C1061,[1]List1!$A:$D,2,FALSE))),"OFFLINE!")</f>
        <v>SKLADEM</v>
      </c>
      <c r="AD1061" s="740" t="str">
        <f ca="1">IF(AP1061="NE",$V$10,IF(AC1061=$V$3,IF(AQ1061&lt;1,$V$8,$V$2&amp;" "&amp;AQ1061&amp;" "&amp;$V$1),IF(AC1061="SKLADEM",$V$6,IFERROR(IF(OR(AC1061-TODAY()&gt;45,VLOOKUP(C1061,[1]List1!$A:$E,4,FALSE)=0),AC1061,DAY(AC1061)&amp;"."&amp;MONTH(AC1061)&amp;"."&amp;YEAR(AC1061)&amp;" "&amp;$V$4&amp;VLOOKUP(C1061,[1]List1!$A:$E,4,FALSE)&amp;" "&amp;$V$1),AC1061))))</f>
        <v>SKLADEM</v>
      </c>
      <c r="AE1061" s="716" t="str">
        <f t="shared" ca="1" si="2660"/>
        <v>SKLADEM</v>
      </c>
      <c r="AF1061" s="723">
        <f t="shared" si="2661"/>
        <v>0</v>
      </c>
      <c r="AG1061" s="723">
        <f t="shared" si="2662"/>
        <v>0</v>
      </c>
      <c r="AH1061" s="724">
        <f t="shared" si="2663"/>
        <v>0</v>
      </c>
      <c r="AI1061" s="716">
        <f t="shared" si="2664"/>
        <v>0</v>
      </c>
      <c r="AJ1061" s="716">
        <f t="shared" si="2665"/>
        <v>0</v>
      </c>
      <c r="AK1061" s="716" t="str">
        <f t="shared" si="2666"/>
        <v/>
      </c>
      <c r="AL1061" s="716" t="str">
        <f t="shared" si="2667"/>
        <v/>
      </c>
      <c r="AM1061" s="716" t="str">
        <f t="shared" si="2668"/>
        <v/>
      </c>
      <c r="AN1061" s="716">
        <f t="shared" si="2669"/>
        <v>0</v>
      </c>
      <c r="AO1061" s="380"/>
      <c r="AP1061" s="322" t="str">
        <f t="shared" si="2610"/>
        <v/>
      </c>
      <c r="AQ1061" s="323" t="str">
        <f>IF(AC1061=$V$3,IF(VLOOKUP(C1061,[1]List1!$A:$E,5,FALSE)=0,1,VLOOKUP(C1061,[1]List1!$A:$E,5,FALSE)),"")</f>
        <v/>
      </c>
      <c r="AR1061" s="304" t="str">
        <f t="shared" si="2611"/>
        <v/>
      </c>
      <c r="AS1061" s="423" t="str">
        <f t="shared" si="2612"/>
        <v/>
      </c>
      <c r="AT1061" s="304" t="str">
        <f t="shared" si="2613"/>
        <v/>
      </c>
      <c r="AU1061" s="342" t="e">
        <f t="shared" si="2614"/>
        <v>#N/A</v>
      </c>
      <c r="AV1061" s="304" t="e">
        <f t="shared" si="2615"/>
        <v>#N/A</v>
      </c>
      <c r="AX1061" s="304">
        <f>IF(AND('General price list'!$J1061="F4",'General price list'!$AB1061+0&gt;0),1,0)</f>
        <v>0</v>
      </c>
      <c r="AY1061" s="304">
        <f t="shared" si="2616"/>
        <v>0</v>
      </c>
      <c r="AZ1061" s="304">
        <f t="shared" si="2617"/>
        <v>0</v>
      </c>
    </row>
    <row r="1062" spans="1:52" ht="15" customHeight="1">
      <c r="A1062" s="773" t="str">
        <f>Kat.!C1059</f>
        <v xml:space="preserve">                                                               Interiérové fontány, výstřiky, vodopády</v>
      </c>
      <c r="B1062" s="774"/>
      <c r="C1062" s="774"/>
      <c r="D1062" s="774"/>
      <c r="E1062" s="774"/>
      <c r="F1062" s="774"/>
      <c r="G1062" s="774"/>
      <c r="H1062" s="774"/>
      <c r="I1062" s="774"/>
      <c r="J1062" s="774"/>
      <c r="K1062" s="774"/>
      <c r="L1062" s="774"/>
      <c r="M1062" s="774"/>
      <c r="N1062" s="774"/>
      <c r="O1062" s="774"/>
      <c r="P1062" s="774"/>
      <c r="Q1062" s="774"/>
      <c r="R1062" s="774"/>
      <c r="S1062" s="774"/>
      <c r="T1062" s="774"/>
      <c r="U1062" s="774"/>
      <c r="V1062" s="774"/>
      <c r="W1062" s="774"/>
      <c r="X1062" s="774"/>
      <c r="Y1062" s="774"/>
      <c r="Z1062" s="774"/>
      <c r="AA1062" s="774" t="str">
        <f>IFERROR(IF(VLOOKUP(C1062,[4]List1!$A:$D,4,FALSE)=0,"",VLOOKUP(C1062,[4]List1!$A:$D,4,FALSE)),"")</f>
        <v/>
      </c>
      <c r="AB1062" s="774"/>
      <c r="AC1062" s="775" t="str">
        <f>IFERROR(IF(VLOOKUP(C1062,[1]List1!$A:$D,2,FALSE)="VYPRODÁNO",$V$9,IF(VLOOKUP(C1062,[1]List1!$A:$D,2,FALSE)="DOCHÁZÍ",$V$3,VLOOKUP(C1062,[1]List1!$A:$D,2,FALSE))),"OFFLINE!")</f>
        <v>OFFLINE!</v>
      </c>
      <c r="AD1062" s="774"/>
      <c r="AE1062" s="774"/>
      <c r="AF1062" s="774"/>
      <c r="AG1062" s="774"/>
      <c r="AH1062" s="774"/>
      <c r="AI1062" s="774"/>
      <c r="AJ1062" s="774"/>
      <c r="AK1062" s="774"/>
      <c r="AL1062" s="774"/>
      <c r="AM1062" s="774"/>
      <c r="AN1062" s="774"/>
      <c r="AO1062" s="380"/>
      <c r="AP1062" s="322" t="str">
        <f t="shared" si="2610"/>
        <v/>
      </c>
      <c r="AQ1062" s="323" t="str">
        <f>IF(AC1062=$V$3,IF(VLOOKUP(C1062,[1]List1!$A:$E,5,FALSE)=0,1,VLOOKUP(C1062,[1]List1!$A:$E,5,FALSE)),"")</f>
        <v/>
      </c>
      <c r="AR1062" s="304" t="str">
        <f t="shared" si="2611"/>
        <v/>
      </c>
      <c r="AS1062" s="423" t="str">
        <f t="shared" si="2612"/>
        <v/>
      </c>
      <c r="AT1062" s="304" t="str">
        <f t="shared" si="2613"/>
        <v/>
      </c>
      <c r="AU1062" s="342" t="e">
        <f t="shared" si="2614"/>
        <v>#N/A</v>
      </c>
      <c r="AV1062" s="304" t="e">
        <f t="shared" si="2615"/>
        <v>#N/A</v>
      </c>
      <c r="AX1062" s="304">
        <f>IF(AND('General price list'!$J1062="F4",'General price list'!$AB1062+0&gt;0),1,0)</f>
        <v>0</v>
      </c>
      <c r="AY1062" s="304">
        <f t="shared" si="2616"/>
        <v>0</v>
      </c>
      <c r="AZ1062" s="304">
        <f t="shared" si="2617"/>
        <v>0</v>
      </c>
    </row>
    <row r="1063" spans="1:52" ht="15" customHeight="1">
      <c r="A1063" s="712" t="str">
        <f>Kat.!C1060</f>
        <v/>
      </c>
      <c r="B1063" s="713">
        <f>IF(AND('General price list'!$J1063="F4",$AI$1=FALSE),0,IF(AC1063="SKLADEM",1,IF(AC1063=$V$3,1,0)))</f>
        <v>1</v>
      </c>
      <c r="C1063" s="714" t="s">
        <v>2246</v>
      </c>
      <c r="D1063" s="715" t="s">
        <v>2247</v>
      </c>
      <c r="E1063" s="716" t="s">
        <v>895</v>
      </c>
      <c r="F1063" s="712">
        <f>IFERROR(ROUND(IF($AL$3=2,VLOOKUP(C1063,[2]List1!$A:$D,2,FALSE)*1.08,VLOOKUP(C1063,[2]List1!$A:$D,2,FALSE)),0),"NEUVEDENO!")</f>
        <v>244</v>
      </c>
      <c r="G1063" s="717">
        <f t="shared" ref="G1063:G1066" si="2670">(F1063)*$B$19</f>
        <v>244</v>
      </c>
      <c r="H1063" s="718">
        <f t="shared" ref="H1063:H1066" si="2671">G1063/$F$19</f>
        <v>9.9151120123207459</v>
      </c>
      <c r="I1063" s="719">
        <v>24</v>
      </c>
      <c r="J1063" s="716" t="s">
        <v>240</v>
      </c>
      <c r="K1063" s="716"/>
      <c r="L1063" s="716" t="s">
        <v>14363</v>
      </c>
      <c r="M1063" s="716" t="s">
        <v>25</v>
      </c>
      <c r="N1063" s="716">
        <f>IFERROR(VLOOKUP(C1063,[3]List1!$A:$D,4,FALSE),"N/A!")</f>
        <v>2.0064000000000002E-2</v>
      </c>
      <c r="O1063" s="716">
        <f>IFERROR(VLOOKUP(C1063,[3]List1!$A:$D,3,FALSE),"N/A!")</f>
        <v>2400</v>
      </c>
      <c r="P1063" s="716">
        <f>IFERROR(VLOOKUP(C1063,[3]List1!$A:$D,2,FALSE),"N/A!")</f>
        <v>12000</v>
      </c>
      <c r="Q1063" s="716" t="s">
        <v>217</v>
      </c>
      <c r="R1063" s="716" t="s">
        <v>24</v>
      </c>
      <c r="S1063" s="716"/>
      <c r="T1063" s="716">
        <v>20</v>
      </c>
      <c r="U1063" s="716"/>
      <c r="V1063" s="716"/>
      <c r="W1063" s="716" t="str">
        <f>IFERROR(VLOOKUP('General price list'!$C1063,Popisy!A:P,MATCH($W$17,Popisy!$A$7:$P$7,0),FALSE),"---------------")</f>
        <v>stříbrná fontána-bez kouře, 2m výška efektu,elektrický odpal</v>
      </c>
      <c r="X1063" s="716" t="str">
        <f t="shared" ref="X1063:X1066" si="2672">IF(AB1063&lt;0.0001,"",AB1063)</f>
        <v/>
      </c>
      <c r="Y1063" s="716" t="str">
        <f t="shared" ref="Y1063:Y1066" si="2673">IF($AL$3=2,IF(OR(AB1063&lt;&gt;"",AB1063&lt;&gt;0),AU1063,""),IF(C1063="","",IF(AB1063&lt;0.0001,"",IF(B1063=0,"",IF(AQ1063&lt;AB1063,"",AB1063)))))</f>
        <v/>
      </c>
      <c r="Z1063" s="716" t="str">
        <f>HYPERLINK("https://www.klasekpyrotechnics.cz/if220a")</f>
        <v>https://www.klasekpyrotechnics.cz/if220a</v>
      </c>
      <c r="AA1063" s="716">
        <f>IFERROR(IF(VLOOKUP(C1063,[4]List1!$A:$D,4,FALSE)=0,"",VLOOKUP(C1063,[4]List1!$A:$D,4,FALSE)),"")</f>
        <v>70</v>
      </c>
      <c r="AB1063" s="720"/>
      <c r="AC1063" s="721" t="str">
        <f>IFERROR(IF(VLOOKUP(C1063,[1]List1!$A:$D,2,FALSE)="VYPRODÁNO",$V$9,IF(VLOOKUP(C1063,[1]List1!$A:$D,2,FALSE)="DOCHÁZÍ",$V$3,VLOOKUP(C1063,[1]List1!$A:$D,2,FALSE))),"OFFLINE!")</f>
        <v>SKLADEM</v>
      </c>
      <c r="AD1063" s="722" t="str">
        <f ca="1">IF(AP1063="NE",$V$10,IF(AC1063=$V$3,IF(AQ1063&lt;1,$V$8,$V$2&amp;" "&amp;AQ1063&amp;" "&amp;$V$1),IF(AC1063="SKLADEM",$V$6,IFERROR(IF(OR(AC1063-TODAY()&gt;45,VLOOKUP(C1063,[1]List1!$A:$E,4,FALSE)=0),AC1063,DAY(AC1063)&amp;"."&amp;MONTH(AC1063)&amp;"."&amp;YEAR(AC1063)&amp;" "&amp;$V$4&amp;VLOOKUP(C1063,[1]List1!$A:$E,4,FALSE)&amp;" "&amp;$V$1),AC1063))))</f>
        <v>SKLADEM</v>
      </c>
      <c r="AE1063" s="716" t="str">
        <f t="shared" ref="AE1063:AE1066" ca="1" si="2674">IFERROR(IF(AV1063&lt;&gt;"",AV1063,AD1063),AD1063)</f>
        <v>SKLADEM</v>
      </c>
      <c r="AF1063" s="723">
        <f t="shared" ref="AF1063:AF1066" si="2675">IFERROR(IF(AB1063=Y1063,G1063*I1063*Y1063,0),0)</f>
        <v>0</v>
      </c>
      <c r="AG1063" s="723">
        <f t="shared" ref="AG1063:AG1066" si="2676">IF($W$17=$AF$8,AH1063*1.23,AF1063*1.21)</f>
        <v>0</v>
      </c>
      <c r="AH1063" s="724">
        <f t="shared" ref="AH1063:AH1066" si="2677">IFERROR(IF(Y1063=AB1063,H1063*I1063*Y1063,0),0)</f>
        <v>0</v>
      </c>
      <c r="AI1063" s="716">
        <f t="shared" ref="AI1063:AI1066" si="2678">IFERROR(IF(Y1063=AB1063,(P1063*Y1063)/1000,1),0)</f>
        <v>0</v>
      </c>
      <c r="AJ1063" s="716">
        <f t="shared" ref="AJ1063:AJ1066" si="2679">IFERROR(IF(Y1063=AB1063,N1063*Y1063,0.1),0)</f>
        <v>0</v>
      </c>
      <c r="AK1063" s="716" t="str">
        <f t="shared" ref="AK1063:AK1066" si="2680">IFERROR(IF(Y1063=AB1063,IF(M1063="1.1G",(O1063/1000)*Y1063,""),""),0)</f>
        <v/>
      </c>
      <c r="AL1063" s="716" t="str">
        <f t="shared" ref="AL1063:AL1066" si="2681">IFERROR(IF(Y1063=AB1063,IF(M1063="1.3G",(O1063/1000)*AB1063,""),""),0)</f>
        <v/>
      </c>
      <c r="AM1063" s="716">
        <f t="shared" ref="AM1063:AM1066" si="2682">IFERROR(IF(Y1063=AB1063,IF(M1063="1.4G",(O1063/1000)*AB1063,""),""),0)</f>
        <v>0</v>
      </c>
      <c r="AN1063" s="716">
        <f t="shared" ref="AN1063:AN1066" si="2683">SUM(AK1063:AM1063)</f>
        <v>0</v>
      </c>
      <c r="AO1063" s="380"/>
      <c r="AP1063" s="322" t="str">
        <f t="shared" si="2610"/>
        <v/>
      </c>
      <c r="AQ1063" s="323" t="str">
        <f>IF(AC1063=$V$3,IF(VLOOKUP(C1063,[1]List1!$A:$E,5,FALSE)=0,1,VLOOKUP(C1063,[1]List1!$A:$E,5,FALSE)),"")</f>
        <v/>
      </c>
      <c r="AR1063" s="304" t="str">
        <f t="shared" si="2611"/>
        <v/>
      </c>
      <c r="AS1063" s="423" t="str">
        <f t="shared" si="2612"/>
        <v/>
      </c>
      <c r="AT1063" s="304" t="str">
        <f t="shared" si="2613"/>
        <v/>
      </c>
      <c r="AU1063" s="342" t="e">
        <f t="shared" si="2614"/>
        <v>#N/A</v>
      </c>
      <c r="AV1063" s="304" t="e">
        <f t="shared" si="2615"/>
        <v>#N/A</v>
      </c>
      <c r="AX1063" s="304">
        <f>IF(AND('General price list'!$J1063="F4",'General price list'!$AB1063+0&gt;0),1,0)</f>
        <v>0</v>
      </c>
      <c r="AY1063" s="304">
        <f t="shared" si="2616"/>
        <v>1</v>
      </c>
      <c r="AZ1063" s="304">
        <f t="shared" si="2617"/>
        <v>0</v>
      </c>
    </row>
    <row r="1064" spans="1:52" ht="15" customHeight="1">
      <c r="A1064" s="725" t="str">
        <f>Kat.!C1061</f>
        <v/>
      </c>
      <c r="B1064" s="726">
        <f>IF(AND('General price list'!$J1064="F4",$AI$1=FALSE),0,IF(AC1064="SKLADEM",1,IF(AC1064=$V$3,1,0)))</f>
        <v>0</v>
      </c>
      <c r="C1064" s="727" t="s">
        <v>2251</v>
      </c>
      <c r="D1064" s="728" t="s">
        <v>2252</v>
      </c>
      <c r="E1064" s="729" t="s">
        <v>895</v>
      </c>
      <c r="F1064" s="725">
        <f>IFERROR(ROUND(IF($AL$3=2,VLOOKUP(C1064,[2]List1!$A:$D,2,FALSE)*1.08,VLOOKUP(C1064,[2]List1!$A:$D,2,FALSE)),0),"NEUVEDENO!")</f>
        <v>314</v>
      </c>
      <c r="G1064" s="730">
        <f t="shared" si="2670"/>
        <v>314</v>
      </c>
      <c r="H1064" s="731">
        <f t="shared" si="2671"/>
        <v>12.759611360117681</v>
      </c>
      <c r="I1064" s="732">
        <v>24</v>
      </c>
      <c r="J1064" s="729" t="s">
        <v>240</v>
      </c>
      <c r="K1064" s="729"/>
      <c r="L1064" s="729" t="s">
        <v>14363</v>
      </c>
      <c r="M1064" s="729" t="s">
        <v>25</v>
      </c>
      <c r="N1064" s="729">
        <f>IFERROR(VLOOKUP(C1064,[3]List1!$A:$D,4,FALSE),"N/A!")</f>
        <v>2.68515E-2</v>
      </c>
      <c r="O1064" s="729">
        <f>IFERROR(VLOOKUP(C1064,[3]List1!$A:$D,3,FALSE),"N/A!")</f>
        <v>3600</v>
      </c>
      <c r="P1064" s="729">
        <f>IFERROR(VLOOKUP(C1064,[3]List1!$A:$D,2,FALSE),"N/A!")</f>
        <v>12520</v>
      </c>
      <c r="Q1064" s="729" t="s">
        <v>217</v>
      </c>
      <c r="R1064" s="729" t="s">
        <v>24</v>
      </c>
      <c r="S1064" s="729"/>
      <c r="T1064" s="729">
        <v>30</v>
      </c>
      <c r="U1064" s="729"/>
      <c r="V1064" s="729"/>
      <c r="W1064" s="729" t="str">
        <f>IFERROR(VLOOKUP('General price list'!$C1064,Popisy!A:P,MATCH($W$17,Popisy!$A$7:$P$7,0),FALSE),"---------------")</f>
        <v>stříbrná fontána-bez kouře, 3m výška efektu,elektrický odpal</v>
      </c>
      <c r="X1064" s="729" t="str">
        <f t="shared" si="2672"/>
        <v/>
      </c>
      <c r="Y1064" s="729" t="str">
        <f t="shared" si="2673"/>
        <v/>
      </c>
      <c r="Z1064" s="729" t="str">
        <f>HYPERLINK("https://www.klasekpyrotechnics.cz/if3ma")</f>
        <v>https://www.klasekpyrotechnics.cz/if3ma</v>
      </c>
      <c r="AA1064" s="729">
        <f>IFERROR(IF(VLOOKUP(C1064,[4]List1!$A:$D,4,FALSE)=0,"",VLOOKUP(C1064,[4]List1!$A:$D,4,FALSE)),"")</f>
        <v>48</v>
      </c>
      <c r="AB1064" s="720"/>
      <c r="AC1064" s="733" t="str">
        <f>IFERROR(IF(VLOOKUP(C1064,[1]List1!$A:$D,2,FALSE)="VYPRODÁNO",$V$9,IF(VLOOKUP(C1064,[1]List1!$A:$D,2,FALSE)="DOCHÁZÍ",$V$3,VLOOKUP(C1064,[1]List1!$A:$D,2,FALSE))),"OFFLINE!")</f>
        <v>15.08.2024</v>
      </c>
      <c r="AD1064" s="734" t="str">
        <f ca="1">IF(AP1064="NE",$V$10,IF(AC1064=$V$3,IF(AQ1064&lt;1,$V$8,$V$2&amp;" "&amp;AQ1064&amp;" "&amp;$V$1),IF(AC1064="SKLADEM",$V$6,IFERROR(IF(OR(AC1064-TODAY()&gt;45,VLOOKUP(C1064,[1]List1!$A:$E,4,FALSE)=0),AC1064,DAY(AC1064)&amp;"."&amp;MONTH(AC1064)&amp;"."&amp;YEAR(AC1064)&amp;" "&amp;$V$4&amp;VLOOKUP(C1064,[1]List1!$A:$E,4,FALSE)&amp;" "&amp;$V$1),AC1064))))</f>
        <v>15.08.2024</v>
      </c>
      <c r="AE1064" s="729" t="str">
        <f t="shared" ca="1" si="2674"/>
        <v>15.08.2024</v>
      </c>
      <c r="AF1064" s="735">
        <f t="shared" si="2675"/>
        <v>0</v>
      </c>
      <c r="AG1064" s="735">
        <f t="shared" si="2676"/>
        <v>0</v>
      </c>
      <c r="AH1064" s="736">
        <f t="shared" si="2677"/>
        <v>0</v>
      </c>
      <c r="AI1064" s="729">
        <f t="shared" si="2678"/>
        <v>0</v>
      </c>
      <c r="AJ1064" s="729">
        <f t="shared" si="2679"/>
        <v>0</v>
      </c>
      <c r="AK1064" s="729" t="str">
        <f t="shared" si="2680"/>
        <v/>
      </c>
      <c r="AL1064" s="729" t="str">
        <f t="shared" si="2681"/>
        <v/>
      </c>
      <c r="AM1064" s="729">
        <f t="shared" si="2682"/>
        <v>0</v>
      </c>
      <c r="AN1064" s="729">
        <f t="shared" si="2683"/>
        <v>0</v>
      </c>
      <c r="AO1064" s="380"/>
      <c r="AP1064" s="322" t="str">
        <f t="shared" si="2610"/>
        <v/>
      </c>
      <c r="AQ1064" s="323" t="str">
        <f>IF(AC1064=$V$3,IF(VLOOKUP(C1064,[1]List1!$A:$E,5,FALSE)=0,1,VLOOKUP(C1064,[1]List1!$A:$E,5,FALSE)),"")</f>
        <v/>
      </c>
      <c r="AR1064" s="304" t="str">
        <f t="shared" si="2611"/>
        <v/>
      </c>
      <c r="AS1064" s="423" t="str">
        <f t="shared" si="2612"/>
        <v/>
      </c>
      <c r="AT1064" s="304" t="str">
        <f t="shared" si="2613"/>
        <v/>
      </c>
      <c r="AU1064" s="342" t="e">
        <f t="shared" si="2614"/>
        <v>#N/A</v>
      </c>
      <c r="AV1064" s="304" t="e">
        <f t="shared" si="2615"/>
        <v>#N/A</v>
      </c>
      <c r="AX1064" s="304">
        <f>IF(AND('General price list'!$J1064="F4",'General price list'!$AB1064+0&gt;0),1,0)</f>
        <v>0</v>
      </c>
      <c r="AY1064" s="304">
        <f t="shared" si="2616"/>
        <v>1</v>
      </c>
      <c r="AZ1064" s="304">
        <f t="shared" si="2617"/>
        <v>0</v>
      </c>
    </row>
    <row r="1065" spans="1:52" ht="15" customHeight="1">
      <c r="A1065" s="712" t="str">
        <f>Kat.!C1062</f>
        <v/>
      </c>
      <c r="B1065" s="737">
        <f>IF(AND('General price list'!$J1065="F4",$AI$1=FALSE),0,IF(AC1065="SKLADEM",1,IF(AC1065=$V$3,1,0)))</f>
        <v>1</v>
      </c>
      <c r="C1065" s="714" t="s">
        <v>2260</v>
      </c>
      <c r="D1065" s="715" t="s">
        <v>2261</v>
      </c>
      <c r="E1065" s="716" t="s">
        <v>2256</v>
      </c>
      <c r="F1065" s="712">
        <f>IFERROR(ROUND(IF($AL$3=2,VLOOKUP(C1065,[2]List1!$A:$D,2,FALSE)*1.08,VLOOKUP(C1065,[2]List1!$A:$D,2,FALSE)),0),"NEUVEDENO!")</f>
        <v>1180</v>
      </c>
      <c r="G1065" s="717">
        <f t="shared" si="2670"/>
        <v>1180</v>
      </c>
      <c r="H1065" s="718">
        <f t="shared" si="2671"/>
        <v>47.950131862862627</v>
      </c>
      <c r="I1065" s="738">
        <v>10</v>
      </c>
      <c r="J1065" s="716" t="s">
        <v>240</v>
      </c>
      <c r="K1065" s="716"/>
      <c r="L1065" s="716" t="s">
        <v>14363</v>
      </c>
      <c r="M1065" s="716" t="s">
        <v>25</v>
      </c>
      <c r="N1065" s="716">
        <f>IFERROR(VLOOKUP(C1065,[3]List1!$A:$D,4,FALSE),"N/A!")</f>
        <v>2.9792000000000006E-2</v>
      </c>
      <c r="O1065" s="716">
        <f>IFERROR(VLOOKUP(C1065,[3]List1!$A:$D,3,FALSE),"N/A!")</f>
        <v>6000</v>
      </c>
      <c r="P1065" s="716">
        <f>IFERROR(VLOOKUP(C1065,[3]List1!$A:$D,2,FALSE),"N/A!")</f>
        <v>14000</v>
      </c>
      <c r="Q1065" s="716" t="s">
        <v>14071</v>
      </c>
      <c r="R1065" s="716" t="s">
        <v>24</v>
      </c>
      <c r="S1065" s="716"/>
      <c r="T1065" s="716">
        <v>60</v>
      </c>
      <c r="U1065" s="716"/>
      <c r="V1065" s="716"/>
      <c r="W1065" s="716" t="str">
        <f>IFERROR(VLOOKUP('General price list'!$C1065,Popisy!A:P,MATCH($W$17,Popisy!$A$7:$P$7,0),FALSE),"---------------")</f>
        <v>stříbrná fontána-bez kouře, 5m výška efektu,elektrický odpal</v>
      </c>
      <c r="X1065" s="716" t="str">
        <f t="shared" si="2672"/>
        <v/>
      </c>
      <c r="Y1065" s="716" t="str">
        <f t="shared" si="2673"/>
        <v/>
      </c>
      <c r="Z1065" s="716" t="str">
        <f>HYPERLINK("https://www.klasekpyrotechnics.cz/if560b")</f>
        <v>https://www.klasekpyrotechnics.cz/if560b</v>
      </c>
      <c r="AA1065" s="716">
        <f>IFERROR(IF(VLOOKUP(C1065,[4]List1!$A:$D,4,FALSE)=0,"",VLOOKUP(C1065,[4]List1!$A:$D,4,FALSE)),"")</f>
        <v>32</v>
      </c>
      <c r="AB1065" s="720"/>
      <c r="AC1065" s="739" t="str">
        <f>IFERROR(IF(VLOOKUP(C1065,[1]List1!$A:$D,2,FALSE)="VYPRODÁNO",$V$9,IF(VLOOKUP(C1065,[1]List1!$A:$D,2,FALSE)="DOCHÁZÍ",$V$3,VLOOKUP(C1065,[1]List1!$A:$D,2,FALSE))),"OFFLINE!")</f>
        <v>SKLADEM</v>
      </c>
      <c r="AD1065" s="740" t="str">
        <f ca="1">IF(AP1065="NE",$V$10,IF(AC1065=$V$3,IF(AQ1065&lt;1,$V$8,$V$2&amp;" "&amp;AQ1065&amp;" "&amp;$V$1),IF(AC1065="SKLADEM",$V$6,IFERROR(IF(OR(AC1065-TODAY()&gt;45,VLOOKUP(C1065,[1]List1!$A:$E,4,FALSE)=0),AC1065,DAY(AC1065)&amp;"."&amp;MONTH(AC1065)&amp;"."&amp;YEAR(AC1065)&amp;" "&amp;$V$4&amp;VLOOKUP(C1065,[1]List1!$A:$E,4,FALSE)&amp;" "&amp;$V$1),AC1065))))</f>
        <v>SKLADEM</v>
      </c>
      <c r="AE1065" s="716" t="str">
        <f t="shared" ca="1" si="2674"/>
        <v>SKLADEM</v>
      </c>
      <c r="AF1065" s="723">
        <f t="shared" si="2675"/>
        <v>0</v>
      </c>
      <c r="AG1065" s="723">
        <f t="shared" si="2676"/>
        <v>0</v>
      </c>
      <c r="AH1065" s="724">
        <f t="shared" si="2677"/>
        <v>0</v>
      </c>
      <c r="AI1065" s="716">
        <f t="shared" si="2678"/>
        <v>0</v>
      </c>
      <c r="AJ1065" s="716">
        <f t="shared" si="2679"/>
        <v>0</v>
      </c>
      <c r="AK1065" s="716" t="str">
        <f t="shared" si="2680"/>
        <v/>
      </c>
      <c r="AL1065" s="716" t="str">
        <f t="shared" si="2681"/>
        <v/>
      </c>
      <c r="AM1065" s="716">
        <f t="shared" si="2682"/>
        <v>0</v>
      </c>
      <c r="AN1065" s="716">
        <f t="shared" si="2683"/>
        <v>0</v>
      </c>
      <c r="AO1065" s="380"/>
      <c r="AP1065" s="322" t="str">
        <f t="shared" si="2610"/>
        <v/>
      </c>
      <c r="AQ1065" s="323" t="str">
        <f>IF(AC1065=$V$3,IF(VLOOKUP(C1065,[1]List1!$A:$E,5,FALSE)=0,1,VLOOKUP(C1065,[1]List1!$A:$E,5,FALSE)),"")</f>
        <v/>
      </c>
      <c r="AR1065" s="304" t="str">
        <f t="shared" si="2611"/>
        <v/>
      </c>
      <c r="AS1065" s="423" t="str">
        <f t="shared" si="2612"/>
        <v/>
      </c>
      <c r="AT1065" s="304" t="str">
        <f t="shared" si="2613"/>
        <v/>
      </c>
      <c r="AU1065" s="342" t="e">
        <f t="shared" si="2614"/>
        <v>#N/A</v>
      </c>
      <c r="AV1065" s="304" t="e">
        <f t="shared" si="2615"/>
        <v>#N/A</v>
      </c>
      <c r="AX1065" s="304">
        <f>IF(AND('General price list'!$J1065="F4",'General price list'!$AB1065+0&gt;0),1,0)</f>
        <v>0</v>
      </c>
      <c r="AY1065" s="304">
        <f t="shared" si="2616"/>
        <v>1</v>
      </c>
      <c r="AZ1065" s="304">
        <f t="shared" si="2617"/>
        <v>0</v>
      </c>
    </row>
    <row r="1066" spans="1:52" ht="15" customHeight="1">
      <c r="A1066" s="725" t="str">
        <f>Kat.!C1063</f>
        <v/>
      </c>
      <c r="B1066" s="726">
        <f>IF(AND('General price list'!$J1066="F4",$AI$1=FALSE),0,IF(AC1066="SKLADEM",1,IF(AC1066=$V$3,1,0)))</f>
        <v>1</v>
      </c>
      <c r="C1066" s="727" t="s">
        <v>2877</v>
      </c>
      <c r="D1066" s="728" t="s">
        <v>2646</v>
      </c>
      <c r="E1066" s="729" t="s">
        <v>575</v>
      </c>
      <c r="F1066" s="725">
        <f>IFERROR(ROUND(IF($AL$3=2,VLOOKUP(C1066,[2]List1!$A:$D,2,FALSE)*1.08,VLOOKUP(C1066,[2]List1!$A:$D,2,FALSE)),0),"NEUVEDENO!")</f>
        <v>328</v>
      </c>
      <c r="G1066" s="730">
        <f t="shared" si="2670"/>
        <v>328</v>
      </c>
      <c r="H1066" s="731">
        <f t="shared" si="2671"/>
        <v>13.328511229677069</v>
      </c>
      <c r="I1066" s="732">
        <v>36</v>
      </c>
      <c r="J1066" s="729" t="s">
        <v>240</v>
      </c>
      <c r="K1066" s="729"/>
      <c r="L1066" s="729" t="s">
        <v>14363</v>
      </c>
      <c r="M1066" s="729" t="s">
        <v>25</v>
      </c>
      <c r="N1066" s="729">
        <f>IFERROR(VLOOKUP(C1066,[3]List1!$A:$D,4,FALSE),"N/A!")</f>
        <v>3.1768000000000005E-2</v>
      </c>
      <c r="O1066" s="729">
        <f>IFERROR(VLOOKUP(C1066,[3]List1!$A:$D,3,FALSE),"N/A!")</f>
        <v>5040</v>
      </c>
      <c r="P1066" s="729">
        <f>IFERROR(VLOOKUP(C1066,[3]List1!$A:$D,2,FALSE),"N/A!")</f>
        <v>19000</v>
      </c>
      <c r="Q1066" s="729" t="s">
        <v>217</v>
      </c>
      <c r="R1066" s="729" t="s">
        <v>24</v>
      </c>
      <c r="S1066" s="729"/>
      <c r="T1066" s="729">
        <v>60</v>
      </c>
      <c r="U1066" s="729">
        <v>6</v>
      </c>
      <c r="V1066" s="729">
        <v>4</v>
      </c>
      <c r="W1066" s="729" t="str">
        <f>IFERROR(VLOOKUP('General price list'!$C1066,Popisy!A:P,MATCH($W$17,Popisy!$A$7:$P$7,0),FALSE),"---------------")</f>
        <v>stříbrná fontána-bez kouře, 6m výška efektu,elektrický odpal</v>
      </c>
      <c r="X1066" s="729" t="str">
        <f t="shared" si="2672"/>
        <v/>
      </c>
      <c r="Y1066" s="729" t="str">
        <f t="shared" si="2673"/>
        <v/>
      </c>
      <c r="Z1066" s="729" t="str">
        <f>HYPERLINK("https://www.klasekpyrotechnics.cz/if660b")</f>
        <v>https://www.klasekpyrotechnics.cz/if660b</v>
      </c>
      <c r="AA1066" s="729" t="str">
        <f>IFERROR(IF(VLOOKUP(C1066,[4]List1!$A:$D,4,FALSE)=0,"",VLOOKUP(C1066,[4]List1!$A:$D,4,FALSE)),"")</f>
        <v>42</v>
      </c>
      <c r="AB1066" s="720"/>
      <c r="AC1066" s="733" t="str">
        <f>IFERROR(IF(VLOOKUP(C1066,[1]List1!$A:$D,2,FALSE)="VYPRODÁNO",$V$9,IF(VLOOKUP(C1066,[1]List1!$A:$D,2,FALSE)="DOCHÁZÍ",$V$3,VLOOKUP(C1066,[1]List1!$A:$D,2,FALSE))),"OFFLINE!")</f>
        <v>SKLADEM</v>
      </c>
      <c r="AD1066" s="734" t="str">
        <f ca="1">IF(AP1066="NE",$V$10,IF(AC1066=$V$3,IF(AQ1066&lt;1,$V$8,$V$2&amp;" "&amp;AQ1066&amp;" "&amp;$V$1),IF(AC1066="SKLADEM",$V$6,IFERROR(IF(OR(AC1066-TODAY()&gt;45,VLOOKUP(C1066,[1]List1!$A:$E,4,FALSE)=0),AC1066,DAY(AC1066)&amp;"."&amp;MONTH(AC1066)&amp;"."&amp;YEAR(AC1066)&amp;" "&amp;$V$4&amp;VLOOKUP(C1066,[1]List1!$A:$E,4,FALSE)&amp;" "&amp;$V$1),AC1066))))</f>
        <v>SKLADEM</v>
      </c>
      <c r="AE1066" s="729" t="str">
        <f t="shared" ca="1" si="2674"/>
        <v>SKLADEM</v>
      </c>
      <c r="AF1066" s="735">
        <f t="shared" si="2675"/>
        <v>0</v>
      </c>
      <c r="AG1066" s="735">
        <f t="shared" si="2676"/>
        <v>0</v>
      </c>
      <c r="AH1066" s="736">
        <f t="shared" si="2677"/>
        <v>0</v>
      </c>
      <c r="AI1066" s="729">
        <f t="shared" si="2678"/>
        <v>0</v>
      </c>
      <c r="AJ1066" s="729">
        <f t="shared" si="2679"/>
        <v>0</v>
      </c>
      <c r="AK1066" s="729" t="str">
        <f t="shared" si="2680"/>
        <v/>
      </c>
      <c r="AL1066" s="729" t="str">
        <f t="shared" si="2681"/>
        <v/>
      </c>
      <c r="AM1066" s="729">
        <f t="shared" si="2682"/>
        <v>0</v>
      </c>
      <c r="AN1066" s="729">
        <f t="shared" si="2683"/>
        <v>0</v>
      </c>
      <c r="AO1066" s="380"/>
      <c r="AP1066" s="322" t="str">
        <f t="shared" si="2610"/>
        <v/>
      </c>
      <c r="AQ1066" s="323" t="str">
        <f>IF(AC1066=$V$3,IF(VLOOKUP(C1066,[1]List1!$A:$E,5,FALSE)=0,1,VLOOKUP(C1066,[1]List1!$A:$E,5,FALSE)),"")</f>
        <v/>
      </c>
      <c r="AR1066" s="304" t="str">
        <f t="shared" si="2611"/>
        <v/>
      </c>
      <c r="AS1066" s="423" t="str">
        <f t="shared" si="2612"/>
        <v/>
      </c>
      <c r="AT1066" s="304" t="str">
        <f t="shared" si="2613"/>
        <v/>
      </c>
      <c r="AU1066" s="342" t="e">
        <f t="shared" si="2614"/>
        <v>#N/A</v>
      </c>
      <c r="AV1066" s="304" t="e">
        <f t="shared" si="2615"/>
        <v>#N/A</v>
      </c>
      <c r="AX1066" s="304">
        <f>IF(AND('General price list'!$J1066="F4",'General price list'!$AB1066+0&gt;0),1,0)</f>
        <v>0</v>
      </c>
      <c r="AY1066" s="304">
        <f t="shared" si="2616"/>
        <v>1</v>
      </c>
      <c r="AZ1066" s="304">
        <f t="shared" si="2617"/>
        <v>0</v>
      </c>
    </row>
    <row r="1067" spans="1:52" ht="15" customHeight="1">
      <c r="A1067" s="773" t="str">
        <f>Kat.!C1064</f>
        <v xml:space="preserve">                                                               Ostatní</v>
      </c>
      <c r="B1067" s="774"/>
      <c r="C1067" s="774"/>
      <c r="D1067" s="774"/>
      <c r="E1067" s="774"/>
      <c r="F1067" s="774"/>
      <c r="G1067" s="774"/>
      <c r="H1067" s="774"/>
      <c r="I1067" s="774"/>
      <c r="J1067" s="774"/>
      <c r="K1067" s="774"/>
      <c r="L1067" s="774"/>
      <c r="M1067" s="774"/>
      <c r="N1067" s="774"/>
      <c r="O1067" s="774"/>
      <c r="P1067" s="774"/>
      <c r="Q1067" s="774"/>
      <c r="R1067" s="774"/>
      <c r="S1067" s="774"/>
      <c r="T1067" s="774"/>
      <c r="U1067" s="774"/>
      <c r="V1067" s="774"/>
      <c r="W1067" s="774"/>
      <c r="X1067" s="774"/>
      <c r="Y1067" s="774"/>
      <c r="Z1067" s="774"/>
      <c r="AA1067" s="774" t="str">
        <f>IFERROR(IF(VLOOKUP(C1067,[4]List1!$A:$D,4,FALSE)=0,"",VLOOKUP(C1067,[4]List1!$A:$D,4,FALSE)),"")</f>
        <v/>
      </c>
      <c r="AB1067" s="774"/>
      <c r="AC1067" s="775" t="str">
        <f>IFERROR(IF(VLOOKUP(C1067,[1]List1!$A:$D,2,FALSE)="VYPRODÁNO",$V$9,IF(VLOOKUP(C1067,[1]List1!$A:$D,2,FALSE)="DOCHÁZÍ",$V$3,VLOOKUP(C1067,[1]List1!$A:$D,2,FALSE))),"OFFLINE!")</f>
        <v>OFFLINE!</v>
      </c>
      <c r="AD1067" s="774"/>
      <c r="AE1067" s="774"/>
      <c r="AF1067" s="774"/>
      <c r="AG1067" s="774"/>
      <c r="AH1067" s="774"/>
      <c r="AI1067" s="774"/>
      <c r="AJ1067" s="774"/>
      <c r="AK1067" s="774"/>
      <c r="AL1067" s="774"/>
      <c r="AM1067" s="774"/>
      <c r="AN1067" s="774"/>
      <c r="AO1067" s="380"/>
      <c r="AP1067" s="322" t="str">
        <f t="shared" si="2610"/>
        <v/>
      </c>
      <c r="AQ1067" s="323" t="str">
        <f>IF(AC1067=$V$3,IF(VLOOKUP(C1067,[1]List1!$A:$E,5,FALSE)=0,1,VLOOKUP(C1067,[1]List1!$A:$E,5,FALSE)),"")</f>
        <v/>
      </c>
      <c r="AR1067" s="304" t="str">
        <f t="shared" si="2611"/>
        <v/>
      </c>
      <c r="AS1067" s="423" t="str">
        <f t="shared" si="2612"/>
        <v/>
      </c>
      <c r="AT1067" s="304" t="str">
        <f t="shared" si="2613"/>
        <v/>
      </c>
      <c r="AU1067" s="342" t="e">
        <f t="shared" si="2614"/>
        <v>#N/A</v>
      </c>
      <c r="AV1067" s="304" t="e">
        <f t="shared" si="2615"/>
        <v>#N/A</v>
      </c>
      <c r="AX1067" s="304">
        <f>IF(AND('General price list'!$J1067="F4",'General price list'!$AB1067+0&gt;0),1,0)</f>
        <v>0</v>
      </c>
      <c r="AY1067" s="304">
        <f t="shared" si="2616"/>
        <v>0</v>
      </c>
      <c r="AZ1067" s="304">
        <f t="shared" si="2617"/>
        <v>0</v>
      </c>
    </row>
    <row r="1068" spans="1:52" ht="15" customHeight="1">
      <c r="A1068" s="725" t="str">
        <f>Kat.!C1065</f>
        <v/>
      </c>
      <c r="B1068" s="741">
        <f>IF(AND('General price list'!$J1068="F4",$AI$1=FALSE),0,IF(AC1068="SKLADEM",1,IF(AC1068=$V$3,1,0)))</f>
        <v>0</v>
      </c>
      <c r="C1068" s="727" t="s">
        <v>2270</v>
      </c>
      <c r="D1068" s="728" t="s">
        <v>2271</v>
      </c>
      <c r="E1068" s="729" t="s">
        <v>2272</v>
      </c>
      <c r="F1068" s="725">
        <f>IFERROR(ROUND(IF($AL$3=2,VLOOKUP(C1068,[2]List1!$A:$D,2,FALSE)*1.08,VLOOKUP(C1068,[2]List1!$A:$D,2,FALSE)),0),"NEUVEDENO!")</f>
        <v>1047</v>
      </c>
      <c r="G1068" s="730">
        <f t="shared" ref="G1068:G1072" si="2684">(F1068)*$B$19</f>
        <v>1047</v>
      </c>
      <c r="H1068" s="731">
        <f t="shared" ref="H1068:H1072" si="2685">G1068/$F$19</f>
        <v>42.545583102048447</v>
      </c>
      <c r="I1068" s="742">
        <v>20</v>
      </c>
      <c r="J1068" s="729" t="s">
        <v>257</v>
      </c>
      <c r="K1068" s="729"/>
      <c r="L1068" s="729" t="s">
        <v>14364</v>
      </c>
      <c r="M1068" s="729" t="s">
        <v>25</v>
      </c>
      <c r="N1068" s="729">
        <f>IFERROR(VLOOKUP(C1068,[3]List1!$A:$D,4,FALSE),"N/A!")</f>
        <v>2.4192000000000005E-2</v>
      </c>
      <c r="O1068" s="729">
        <f>IFERROR(VLOOKUP(C1068,[3]List1!$A:$D,3,FALSE),"N/A!")</f>
        <v>4</v>
      </c>
      <c r="P1068" s="729">
        <f>IFERROR(VLOOKUP(C1068,[3]List1!$A:$D,2,FALSE),"N/A!")</f>
        <v>9200</v>
      </c>
      <c r="Q1068" s="729" t="s">
        <v>2805</v>
      </c>
      <c r="R1068" s="729" t="s">
        <v>24</v>
      </c>
      <c r="S1068" s="729"/>
      <c r="T1068" s="729"/>
      <c r="U1068" s="729"/>
      <c r="V1068" s="729"/>
      <c r="W1068" s="729" t="str">
        <f>IFERROR(VLOOKUP('General price list'!$C1068,Popisy!A:P,MATCH($W$17,Popisy!$A$7:$P$7,0),FALSE),"---------------")</f>
        <v>elektrický palník, délka 30cm</v>
      </c>
      <c r="X1068" s="729" t="str">
        <f t="shared" ref="X1068:X1072" si="2686">IF(AB1068&lt;0.0001,"",AB1068)</f>
        <v/>
      </c>
      <c r="Y1068" s="729" t="str">
        <f t="shared" ref="Y1068:Y1072" si="2687">IF($AL$3=2,IF(OR(AB1068&lt;&gt;"",AB1068&lt;&gt;0),AU1068,""),IF(C1068="","",IF(AB1068&lt;0.0001,"",IF(B1068=0,"",IF(AQ1068&lt;AB1068,"",AB1068)))))</f>
        <v/>
      </c>
      <c r="Z1068" s="729" t="str">
        <f>HYPERLINK("https://www.klasekpyrotechnics.cz/ep03m")</f>
        <v>https://www.klasekpyrotechnics.cz/ep03m</v>
      </c>
      <c r="AA1068" s="729">
        <f>IFERROR(IF(VLOOKUP(C1068,[4]List1!$A:$D,4,FALSE)=0,"",VLOOKUP(C1068,[4]List1!$A:$D,4,FALSE)),"")</f>
        <v>30</v>
      </c>
      <c r="AB1068" s="720"/>
      <c r="AC1068" s="743" t="str">
        <f>IFERROR(IF(VLOOKUP(C1068,[1]List1!$A:$D,2,FALSE)="VYPRODÁNO",$V$9,IF(VLOOKUP(C1068,[1]List1!$A:$D,2,FALSE)="DOCHÁZÍ",$V$3,VLOOKUP(C1068,[1]List1!$A:$D,2,FALSE))),"OFFLINE!")</f>
        <v>VYPRODÁNO</v>
      </c>
      <c r="AD1068" s="744" t="str">
        <f ca="1">IF(AP1068="NE",$V$10,IF(AC1068=$V$3,IF(AQ1068&lt;1,$V$8,$V$2&amp;" "&amp;AQ1068&amp;" "&amp;$V$1),IF(AC1068="SKLADEM",$V$6,IFERROR(IF(OR(AC1068-TODAY()&gt;45,VLOOKUP(C1068,[1]List1!$A:$E,4,FALSE)=0),AC1068,DAY(AC1068)&amp;"."&amp;MONTH(AC1068)&amp;"."&amp;YEAR(AC1068)&amp;" "&amp;$V$4&amp;VLOOKUP(C1068,[1]List1!$A:$E,4,FALSE)&amp;" "&amp;$V$1),AC1068))))</f>
        <v>VYPRODÁNO</v>
      </c>
      <c r="AE1068" s="729" t="str">
        <f t="shared" ref="AE1068:AE1072" ca="1" si="2688">IFERROR(IF(AV1068&lt;&gt;"",AV1068,AD1068),AD1068)</f>
        <v>VYPRODÁNO</v>
      </c>
      <c r="AF1068" s="735">
        <f t="shared" ref="AF1068:AF1072" si="2689">IFERROR(IF(AB1068=Y1068,G1068*I1068*Y1068,0),0)</f>
        <v>0</v>
      </c>
      <c r="AG1068" s="735">
        <f t="shared" ref="AG1068:AG1072" si="2690">IF($W$17=$AF$8,AH1068*1.23,AF1068*1.21)</f>
        <v>0</v>
      </c>
      <c r="AH1068" s="736">
        <f t="shared" ref="AH1068:AH1072" si="2691">IFERROR(IF(Y1068=AB1068,H1068*I1068*Y1068,0),0)</f>
        <v>0</v>
      </c>
      <c r="AI1068" s="729">
        <f t="shared" ref="AI1068:AI1072" si="2692">IFERROR(IF(Y1068=AB1068,(P1068*Y1068)/1000,1),0)</f>
        <v>0</v>
      </c>
      <c r="AJ1068" s="729">
        <f t="shared" ref="AJ1068:AJ1072" si="2693">IFERROR(IF(Y1068=AB1068,N1068*Y1068,0.1),0)</f>
        <v>0</v>
      </c>
      <c r="AK1068" s="729" t="str">
        <f t="shared" ref="AK1068:AK1072" si="2694">IFERROR(IF(Y1068=AB1068,IF(M1068="1.1G",(O1068/1000)*Y1068,""),""),0)</f>
        <v/>
      </c>
      <c r="AL1068" s="729" t="str">
        <f t="shared" ref="AL1068:AL1072" si="2695">IFERROR(IF(Y1068=AB1068,IF(M1068="1.3G",(O1068/1000)*AB1068,""),""),0)</f>
        <v/>
      </c>
      <c r="AM1068" s="729">
        <f t="shared" ref="AM1068:AM1072" si="2696">IFERROR(IF(Y1068=AB1068,IF(M1068="1.4G",(O1068/1000)*AB1068,""),""),0)</f>
        <v>0</v>
      </c>
      <c r="AN1068" s="729">
        <f t="shared" ref="AN1068:AN1072" si="2697">SUM(AK1068:AM1068)</f>
        <v>0</v>
      </c>
      <c r="AO1068" s="380"/>
      <c r="AP1068" s="322" t="str">
        <f t="shared" si="2610"/>
        <v/>
      </c>
      <c r="AQ1068" s="323" t="str">
        <f>IF(AC1068=$V$3,IF(VLOOKUP(C1068,[1]List1!$A:$E,5,FALSE)=0,1,VLOOKUP(C1068,[1]List1!$A:$E,5,FALSE)),"")</f>
        <v/>
      </c>
      <c r="AR1068" s="304" t="str">
        <f t="shared" si="2611"/>
        <v/>
      </c>
      <c r="AS1068" s="423" t="str">
        <f t="shared" si="2612"/>
        <v/>
      </c>
      <c r="AT1068" s="304" t="str">
        <f t="shared" si="2613"/>
        <v/>
      </c>
      <c r="AU1068" s="342" t="e">
        <f t="shared" si="2614"/>
        <v>#N/A</v>
      </c>
      <c r="AV1068" s="304" t="e">
        <f t="shared" si="2615"/>
        <v>#N/A</v>
      </c>
      <c r="AX1068" s="304">
        <f>IF(AND('General price list'!$J1068="F4",'General price list'!$AB1068+0&gt;0),1,0)</f>
        <v>0</v>
      </c>
      <c r="AY1068" s="304">
        <f t="shared" si="2616"/>
        <v>4</v>
      </c>
      <c r="AZ1068" s="304">
        <f t="shared" si="2617"/>
        <v>0</v>
      </c>
    </row>
    <row r="1069" spans="1:52" ht="15" customHeight="1">
      <c r="A1069" s="712" t="str">
        <f>Kat.!C1066</f>
        <v/>
      </c>
      <c r="B1069" s="745">
        <f>IF(AND('General price list'!$J1069="F4",$AI$1=FALSE),0,IF(AC1069="SKLADEM",1,IF(AC1069=$V$3,1,0)))</f>
        <v>1</v>
      </c>
      <c r="C1069" s="714" t="s">
        <v>2276</v>
      </c>
      <c r="D1069" s="715" t="s">
        <v>2277</v>
      </c>
      <c r="E1069" s="716" t="s">
        <v>2278</v>
      </c>
      <c r="F1069" s="712">
        <f>IFERROR(ROUND(IF($AL$3=2,VLOOKUP(C1069,[2]List1!$A:$D,2,FALSE)*1.08,VLOOKUP(C1069,[2]List1!$A:$D,2,FALSE)),0),"NEUVEDENO!")</f>
        <v>736</v>
      </c>
      <c r="G1069" s="717">
        <f t="shared" si="2684"/>
        <v>736</v>
      </c>
      <c r="H1069" s="718">
        <f t="shared" si="2685"/>
        <v>29.907878856836351</v>
      </c>
      <c r="I1069" s="746">
        <v>20</v>
      </c>
      <c r="J1069" s="716" t="s">
        <v>257</v>
      </c>
      <c r="K1069" s="716"/>
      <c r="L1069" s="716" t="s">
        <v>14364</v>
      </c>
      <c r="M1069" s="716" t="s">
        <v>25</v>
      </c>
      <c r="N1069" s="716">
        <f>IFERROR(VLOOKUP(C1069,[3]List1!$A:$D,4,FALSE),"N/A!")</f>
        <v>2.2464000000000005E-2</v>
      </c>
      <c r="O1069" s="716">
        <f>IFERROR(VLOOKUP(C1069,[3]List1!$A:$D,3,FALSE),"N/A!")</f>
        <v>1</v>
      </c>
      <c r="P1069" s="716">
        <f>IFERROR(VLOOKUP(C1069,[3]List1!$A:$D,2,FALSE),"N/A!")</f>
        <v>7800</v>
      </c>
      <c r="Q1069" s="716" t="s">
        <v>2805</v>
      </c>
      <c r="R1069" s="716" t="s">
        <v>24</v>
      </c>
      <c r="S1069" s="716"/>
      <c r="T1069" s="716"/>
      <c r="U1069" s="716"/>
      <c r="V1069" s="716"/>
      <c r="W1069" s="716" t="str">
        <f>IFERROR(VLOOKUP('General price list'!$C1069,Popisy!A:P,MATCH($W$17,Popisy!$A$7:$P$7,0),FALSE),"---------------")</f>
        <v>elektrický palník, délka 100cm</v>
      </c>
      <c r="X1069" s="716" t="str">
        <f t="shared" si="2686"/>
        <v/>
      </c>
      <c r="Y1069" s="716" t="str">
        <f t="shared" si="2687"/>
        <v/>
      </c>
      <c r="Z1069" s="716" t="str">
        <f>HYPERLINK("https://www.klasekpyrotechnics.cz/ep1m")</f>
        <v>https://www.klasekpyrotechnics.cz/ep1m</v>
      </c>
      <c r="AA1069" s="716">
        <f>IFERROR(IF(VLOOKUP(C1069,[4]List1!$A:$D,4,FALSE)=0,"",VLOOKUP(C1069,[4]List1!$A:$D,4,FALSE)),"")</f>
        <v>40</v>
      </c>
      <c r="AB1069" s="720"/>
      <c r="AC1069" s="747" t="str">
        <f>IFERROR(IF(VLOOKUP(C1069,[1]List1!$A:$D,2,FALSE)="VYPRODÁNO",$V$9,IF(VLOOKUP(C1069,[1]List1!$A:$D,2,FALSE)="DOCHÁZÍ",$V$3,VLOOKUP(C1069,[1]List1!$A:$D,2,FALSE))),"OFFLINE!")</f>
        <v>SKLADEM</v>
      </c>
      <c r="AD1069" s="748" t="str">
        <f ca="1">IF(AP1069="NE",$V$10,IF(AC1069=$V$3,IF(AQ1069&lt;1,$V$8,$V$2&amp;" "&amp;AQ1069&amp;" "&amp;$V$1),IF(AC1069="SKLADEM",$V$6,IFERROR(IF(OR(AC1069-TODAY()&gt;45,VLOOKUP(C1069,[1]List1!$A:$E,4,FALSE)=0),AC1069,DAY(AC1069)&amp;"."&amp;MONTH(AC1069)&amp;"."&amp;YEAR(AC1069)&amp;" "&amp;$V$4&amp;VLOOKUP(C1069,[1]List1!$A:$E,4,FALSE)&amp;" "&amp;$V$1),AC1069))))</f>
        <v>SKLADEM</v>
      </c>
      <c r="AE1069" s="716" t="str">
        <f t="shared" ca="1" si="2688"/>
        <v>SKLADEM</v>
      </c>
      <c r="AF1069" s="723">
        <f t="shared" si="2689"/>
        <v>0</v>
      </c>
      <c r="AG1069" s="723">
        <f t="shared" si="2690"/>
        <v>0</v>
      </c>
      <c r="AH1069" s="724">
        <f t="shared" si="2691"/>
        <v>0</v>
      </c>
      <c r="AI1069" s="716">
        <f t="shared" si="2692"/>
        <v>0</v>
      </c>
      <c r="AJ1069" s="716">
        <f t="shared" si="2693"/>
        <v>0</v>
      </c>
      <c r="AK1069" s="716" t="str">
        <f t="shared" si="2694"/>
        <v/>
      </c>
      <c r="AL1069" s="716" t="str">
        <f t="shared" si="2695"/>
        <v/>
      </c>
      <c r="AM1069" s="716">
        <f t="shared" si="2696"/>
        <v>0</v>
      </c>
      <c r="AN1069" s="716">
        <f t="shared" si="2697"/>
        <v>0</v>
      </c>
      <c r="AO1069" s="380"/>
      <c r="AP1069" s="322" t="str">
        <f t="shared" si="2610"/>
        <v/>
      </c>
      <c r="AQ1069" s="323" t="str">
        <f>IF(AC1069=$V$3,IF(VLOOKUP(C1069,[1]List1!$A:$E,5,FALSE)=0,1,VLOOKUP(C1069,[1]List1!$A:$E,5,FALSE)),"")</f>
        <v/>
      </c>
      <c r="AR1069" s="304" t="str">
        <f t="shared" si="2611"/>
        <v/>
      </c>
      <c r="AS1069" s="423" t="str">
        <f t="shared" si="2612"/>
        <v/>
      </c>
      <c r="AT1069" s="304" t="str">
        <f t="shared" si="2613"/>
        <v/>
      </c>
      <c r="AU1069" s="342" t="e">
        <f t="shared" si="2614"/>
        <v>#N/A</v>
      </c>
      <c r="AV1069" s="304" t="e">
        <f t="shared" si="2615"/>
        <v>#N/A</v>
      </c>
      <c r="AX1069" s="304">
        <f>IF(AND('General price list'!$J1069="F4",'General price list'!$AB1069+0&gt;0),1,0)</f>
        <v>0</v>
      </c>
      <c r="AY1069" s="304">
        <f t="shared" si="2616"/>
        <v>4</v>
      </c>
      <c r="AZ1069" s="304">
        <f t="shared" si="2617"/>
        <v>0</v>
      </c>
    </row>
    <row r="1070" spans="1:52" ht="15" customHeight="1">
      <c r="A1070" s="725" t="str">
        <f>Kat.!C1067</f>
        <v/>
      </c>
      <c r="B1070" s="749">
        <f>IF(AND('General price list'!$J1070="F4",$AI$1=FALSE),0,IF(AC1070="SKLADEM",1,IF(AC1070=$V$3,1,0)))</f>
        <v>1</v>
      </c>
      <c r="C1070" s="727" t="s">
        <v>2282</v>
      </c>
      <c r="D1070" s="728" t="s">
        <v>2283</v>
      </c>
      <c r="E1070" s="729" t="s">
        <v>2278</v>
      </c>
      <c r="F1070" s="725">
        <f>IFERROR(ROUND(IF($AL$3=2,VLOOKUP(C1070,[2]List1!$A:$D,2,FALSE)*1.08,VLOOKUP(C1070,[2]List1!$A:$D,2,FALSE)),0),"NEUVEDENO!")</f>
        <v>925</v>
      </c>
      <c r="G1070" s="730">
        <f t="shared" si="2684"/>
        <v>925</v>
      </c>
      <c r="H1070" s="731">
        <f t="shared" si="2685"/>
        <v>37.588027095888073</v>
      </c>
      <c r="I1070" s="750">
        <v>20</v>
      </c>
      <c r="J1070" s="729" t="s">
        <v>257</v>
      </c>
      <c r="K1070" s="729"/>
      <c r="L1070" s="729" t="s">
        <v>14364</v>
      </c>
      <c r="M1070" s="729" t="s">
        <v>25</v>
      </c>
      <c r="N1070" s="729">
        <f>IFERROR(VLOOKUP(C1070,[3]List1!$A:$D,4,FALSE),"N/A!")</f>
        <v>4.1160000000000002E-2</v>
      </c>
      <c r="O1070" s="729">
        <f>IFERROR(VLOOKUP(C1070,[3]List1!$A:$D,3,FALSE),"N/A!")</f>
        <v>1</v>
      </c>
      <c r="P1070" s="729">
        <f>IFERROR(VLOOKUP(C1070,[3]List1!$A:$D,2,FALSE),"N/A!")</f>
        <v>12000</v>
      </c>
      <c r="Q1070" s="729" t="s">
        <v>2805</v>
      </c>
      <c r="R1070" s="729" t="s">
        <v>24</v>
      </c>
      <c r="S1070" s="729"/>
      <c r="T1070" s="729"/>
      <c r="U1070" s="729"/>
      <c r="V1070" s="729"/>
      <c r="W1070" s="729" t="str">
        <f>IFERROR(VLOOKUP('General price list'!$C1070,Popisy!A:P,MATCH($W$17,Popisy!$A$7:$P$7,0),FALSE),"---------------")</f>
        <v>elektrický palník, délka 200cm</v>
      </c>
      <c r="X1070" s="729" t="str">
        <f t="shared" si="2686"/>
        <v/>
      </c>
      <c r="Y1070" s="729" t="str">
        <f t="shared" si="2687"/>
        <v/>
      </c>
      <c r="Z1070" s="729" t="str">
        <f>HYPERLINK("https://www.klasekpyrotechnics.cz/ep2m")</f>
        <v>https://www.klasekpyrotechnics.cz/ep2m</v>
      </c>
      <c r="AA1070" s="729">
        <f>IFERROR(IF(VLOOKUP(C1070,[4]List1!$A:$D,4,FALSE)=0,"",VLOOKUP(C1070,[4]List1!$A:$D,4,FALSE)),"")</f>
        <v>48</v>
      </c>
      <c r="AB1070" s="720"/>
      <c r="AC1070" s="751" t="str">
        <f>IFERROR(IF(VLOOKUP(C1070,[1]List1!$A:$D,2,FALSE)="VYPRODÁNO",$V$9,IF(VLOOKUP(C1070,[1]List1!$A:$D,2,FALSE)="DOCHÁZÍ",$V$3,VLOOKUP(C1070,[1]List1!$A:$D,2,FALSE))),"OFFLINE!")</f>
        <v>SKLADEM</v>
      </c>
      <c r="AD1070" s="752" t="str">
        <f ca="1">IF(AP1070="NE",$V$10,IF(AC1070=$V$3,IF(AQ1070&lt;1,$V$8,$V$2&amp;" "&amp;AQ1070&amp;" "&amp;$V$1),IF(AC1070="SKLADEM",$V$6,IFERROR(IF(OR(AC1070-TODAY()&gt;45,VLOOKUP(C1070,[1]List1!$A:$E,4,FALSE)=0),AC1070,DAY(AC1070)&amp;"."&amp;MONTH(AC1070)&amp;"."&amp;YEAR(AC1070)&amp;" "&amp;$V$4&amp;VLOOKUP(C1070,[1]List1!$A:$E,4,FALSE)&amp;" "&amp;$V$1),AC1070))))</f>
        <v>SKLADEM</v>
      </c>
      <c r="AE1070" s="729" t="str">
        <f t="shared" ca="1" si="2688"/>
        <v>SKLADEM</v>
      </c>
      <c r="AF1070" s="735">
        <f t="shared" si="2689"/>
        <v>0</v>
      </c>
      <c r="AG1070" s="735">
        <f t="shared" si="2690"/>
        <v>0</v>
      </c>
      <c r="AH1070" s="736">
        <f t="shared" si="2691"/>
        <v>0</v>
      </c>
      <c r="AI1070" s="729">
        <f t="shared" si="2692"/>
        <v>0</v>
      </c>
      <c r="AJ1070" s="729">
        <f t="shared" si="2693"/>
        <v>0</v>
      </c>
      <c r="AK1070" s="729" t="str">
        <f t="shared" si="2694"/>
        <v/>
      </c>
      <c r="AL1070" s="729" t="str">
        <f t="shared" si="2695"/>
        <v/>
      </c>
      <c r="AM1070" s="729">
        <f t="shared" si="2696"/>
        <v>0</v>
      </c>
      <c r="AN1070" s="729">
        <f t="shared" si="2697"/>
        <v>0</v>
      </c>
      <c r="AO1070" s="380"/>
      <c r="AP1070" s="322" t="str">
        <f t="shared" si="2610"/>
        <v/>
      </c>
      <c r="AQ1070" s="323" t="str">
        <f>IF(AC1070=$V$3,IF(VLOOKUP(C1070,[1]List1!$A:$E,5,FALSE)=0,1,VLOOKUP(C1070,[1]List1!$A:$E,5,FALSE)),"")</f>
        <v/>
      </c>
      <c r="AR1070" s="304" t="str">
        <f t="shared" si="2611"/>
        <v/>
      </c>
      <c r="AS1070" s="423" t="str">
        <f t="shared" si="2612"/>
        <v/>
      </c>
      <c r="AT1070" s="304" t="str">
        <f t="shared" si="2613"/>
        <v/>
      </c>
      <c r="AU1070" s="342" t="e">
        <f t="shared" si="2614"/>
        <v>#N/A</v>
      </c>
      <c r="AV1070" s="304" t="e">
        <f t="shared" si="2615"/>
        <v>#N/A</v>
      </c>
      <c r="AX1070" s="304">
        <f>IF(AND('General price list'!$J1070="F4",'General price list'!$AB1070+0&gt;0),1,0)</f>
        <v>0</v>
      </c>
      <c r="AY1070" s="304">
        <f t="shared" si="2616"/>
        <v>4</v>
      </c>
      <c r="AZ1070" s="304">
        <f t="shared" si="2617"/>
        <v>0</v>
      </c>
    </row>
    <row r="1071" spans="1:52" ht="15" customHeight="1">
      <c r="A1071" s="712" t="str">
        <f>Kat.!C1068</f>
        <v/>
      </c>
      <c r="B1071" s="745">
        <f>IF(AND('General price list'!$J1071="F4",$AI$1=FALSE),0,IF(AC1071="SKLADEM",1,IF(AC1071=$V$3,1,0)))</f>
        <v>1</v>
      </c>
      <c r="C1071" s="714" t="s">
        <v>2287</v>
      </c>
      <c r="D1071" s="715" t="s">
        <v>2288</v>
      </c>
      <c r="E1071" s="716" t="s">
        <v>2289</v>
      </c>
      <c r="F1071" s="712">
        <f>IFERROR(ROUND(IF($AL$3=2,VLOOKUP(C1071,[2]List1!$A:$D,2,FALSE)*1.08,VLOOKUP(C1071,[2]List1!$A:$D,2,FALSE)),0),"NEUVEDENO!")</f>
        <v>633</v>
      </c>
      <c r="G1071" s="717">
        <f t="shared" si="2684"/>
        <v>633</v>
      </c>
      <c r="H1071" s="718">
        <f t="shared" si="2685"/>
        <v>25.722401245078</v>
      </c>
      <c r="I1071" s="746">
        <v>20</v>
      </c>
      <c r="J1071" s="716" t="s">
        <v>257</v>
      </c>
      <c r="K1071" s="716"/>
      <c r="L1071" s="716" t="s">
        <v>14364</v>
      </c>
      <c r="M1071" s="716" t="s">
        <v>25</v>
      </c>
      <c r="N1071" s="716">
        <f>IFERROR(VLOOKUP(C1071,[3]List1!$A:$D,4,FALSE),"N/A!")</f>
        <v>2.4192000000000005E-2</v>
      </c>
      <c r="O1071" s="716">
        <f>IFERROR(VLOOKUP(C1071,[3]List1!$A:$D,3,FALSE),"N/A!")</f>
        <v>0.5</v>
      </c>
      <c r="P1071" s="716">
        <f>IFERROR(VLOOKUP(C1071,[3]List1!$A:$D,2,FALSE),"N/A!")</f>
        <v>10000</v>
      </c>
      <c r="Q1071" s="716" t="s">
        <v>2805</v>
      </c>
      <c r="R1071" s="716" t="s">
        <v>24</v>
      </c>
      <c r="S1071" s="716"/>
      <c r="T1071" s="716"/>
      <c r="U1071" s="716"/>
      <c r="V1071" s="716"/>
      <c r="W1071" s="716" t="str">
        <f>IFERROR(VLOOKUP('General price list'!$C1071,Popisy!A:P,MATCH($W$17,Popisy!$A$7:$P$7,0),FALSE),"---------------")</f>
        <v>elektrický palník, délka 300cm</v>
      </c>
      <c r="X1071" s="716" t="str">
        <f t="shared" si="2686"/>
        <v/>
      </c>
      <c r="Y1071" s="716" t="str">
        <f t="shared" si="2687"/>
        <v/>
      </c>
      <c r="Z1071" s="716" t="str">
        <f>HYPERLINK("https://www.klasekpyrotechnics.cz/ep3m")</f>
        <v>https://www.klasekpyrotechnics.cz/ep3m</v>
      </c>
      <c r="AA1071" s="716">
        <f>IFERROR(IF(VLOOKUP(C1071,[4]List1!$A:$D,4,FALSE)=0,"",VLOOKUP(C1071,[4]List1!$A:$D,4,FALSE)),"")</f>
        <v>48</v>
      </c>
      <c r="AB1071" s="720"/>
      <c r="AC1071" s="747" t="str">
        <f>IFERROR(IF(VLOOKUP(C1071,[1]List1!$A:$D,2,FALSE)="VYPRODÁNO",$V$9,IF(VLOOKUP(C1071,[1]List1!$A:$D,2,FALSE)="DOCHÁZÍ",$V$3,VLOOKUP(C1071,[1]List1!$A:$D,2,FALSE))),"OFFLINE!")</f>
        <v>SKLADEM</v>
      </c>
      <c r="AD1071" s="748" t="str">
        <f ca="1">IF(AP1071="NE",$V$10,IF(AC1071=$V$3,IF(AQ1071&lt;1,$V$8,$V$2&amp;" "&amp;AQ1071&amp;" "&amp;$V$1),IF(AC1071="SKLADEM",$V$6,IFERROR(IF(OR(AC1071-TODAY()&gt;45,VLOOKUP(C1071,[1]List1!$A:$E,4,FALSE)=0),AC1071,DAY(AC1071)&amp;"."&amp;MONTH(AC1071)&amp;"."&amp;YEAR(AC1071)&amp;" "&amp;$V$4&amp;VLOOKUP(C1071,[1]List1!$A:$E,4,FALSE)&amp;" "&amp;$V$1),AC1071))))</f>
        <v>SKLADEM</v>
      </c>
      <c r="AE1071" s="716" t="str">
        <f t="shared" ca="1" si="2688"/>
        <v>SKLADEM</v>
      </c>
      <c r="AF1071" s="723">
        <f t="shared" si="2689"/>
        <v>0</v>
      </c>
      <c r="AG1071" s="723">
        <f t="shared" si="2690"/>
        <v>0</v>
      </c>
      <c r="AH1071" s="724">
        <f t="shared" si="2691"/>
        <v>0</v>
      </c>
      <c r="AI1071" s="716">
        <f t="shared" si="2692"/>
        <v>0</v>
      </c>
      <c r="AJ1071" s="716">
        <f t="shared" si="2693"/>
        <v>0</v>
      </c>
      <c r="AK1071" s="716" t="str">
        <f t="shared" si="2694"/>
        <v/>
      </c>
      <c r="AL1071" s="716" t="str">
        <f t="shared" si="2695"/>
        <v/>
      </c>
      <c r="AM1071" s="716">
        <f t="shared" si="2696"/>
        <v>0</v>
      </c>
      <c r="AN1071" s="716">
        <f t="shared" si="2697"/>
        <v>0</v>
      </c>
      <c r="AO1071" s="380"/>
      <c r="AP1071" s="322" t="str">
        <f t="shared" si="2610"/>
        <v/>
      </c>
      <c r="AQ1071" s="323" t="str">
        <f>IF(AC1071=$V$3,IF(VLOOKUP(C1071,[1]List1!$A:$E,5,FALSE)=0,1,VLOOKUP(C1071,[1]List1!$A:$E,5,FALSE)),"")</f>
        <v/>
      </c>
      <c r="AR1071" s="304" t="str">
        <f t="shared" si="2611"/>
        <v/>
      </c>
      <c r="AS1071" s="423" t="str">
        <f t="shared" si="2612"/>
        <v/>
      </c>
      <c r="AT1071" s="304" t="str">
        <f t="shared" si="2613"/>
        <v/>
      </c>
      <c r="AU1071" s="342" t="e">
        <f t="shared" si="2614"/>
        <v>#N/A</v>
      </c>
      <c r="AV1071" s="304" t="e">
        <f t="shared" si="2615"/>
        <v>#N/A</v>
      </c>
      <c r="AX1071" s="304">
        <f>IF(AND('General price list'!$J1071="F4",'General price list'!$AB1071+0&gt;0),1,0)</f>
        <v>0</v>
      </c>
      <c r="AY1071" s="304">
        <f t="shared" si="2616"/>
        <v>4</v>
      </c>
      <c r="AZ1071" s="304">
        <f t="shared" si="2617"/>
        <v>0</v>
      </c>
    </row>
    <row r="1072" spans="1:52" ht="15" customHeight="1">
      <c r="A1072" s="725" t="str">
        <f>Kat.!C1069</f>
        <v/>
      </c>
      <c r="B1072" s="749">
        <f>IF(AND('General price list'!$J1072="F4",$AI$1=FALSE),0,IF(AC1072="SKLADEM",1,IF(AC1072=$V$3,1,0)))</f>
        <v>1</v>
      </c>
      <c r="C1072" s="727" t="s">
        <v>2293</v>
      </c>
      <c r="D1072" s="728" t="s">
        <v>2294</v>
      </c>
      <c r="E1072" s="729" t="s">
        <v>2289</v>
      </c>
      <c r="F1072" s="725">
        <f>IFERROR(ROUND(IF($AL$3=2,VLOOKUP(C1072,[2]List1!$A:$D,2,FALSE)*1.08,VLOOKUP(C1072,[2]List1!$A:$D,2,FALSE)),0),"NEUVEDENO!")</f>
        <v>903</v>
      </c>
      <c r="G1072" s="730">
        <f t="shared" si="2684"/>
        <v>903</v>
      </c>
      <c r="H1072" s="731">
        <f t="shared" si="2685"/>
        <v>36.694041586580468</v>
      </c>
      <c r="I1072" s="750">
        <v>20</v>
      </c>
      <c r="J1072" s="729" t="s">
        <v>257</v>
      </c>
      <c r="K1072" s="729"/>
      <c r="L1072" s="729" t="s">
        <v>14364</v>
      </c>
      <c r="M1072" s="729" t="s">
        <v>25</v>
      </c>
      <c r="N1072" s="729">
        <f>IFERROR(VLOOKUP(C1072,[3]List1!$A:$D,4,FALSE),"N/A!")</f>
        <v>4.1160000000000002E-2</v>
      </c>
      <c r="O1072" s="729">
        <f>IFERROR(VLOOKUP(C1072,[3]List1!$A:$D,3,FALSE),"N/A!")</f>
        <v>0.5</v>
      </c>
      <c r="P1072" s="729">
        <f>IFERROR(VLOOKUP(C1072,[3]List1!$A:$D,2,FALSE),"N/A!")</f>
        <v>15600</v>
      </c>
      <c r="Q1072" s="729" t="s">
        <v>2805</v>
      </c>
      <c r="R1072" s="729" t="s">
        <v>24</v>
      </c>
      <c r="S1072" s="729"/>
      <c r="T1072" s="729"/>
      <c r="U1072" s="729"/>
      <c r="V1072" s="729"/>
      <c r="W1072" s="729" t="str">
        <f>IFERROR(VLOOKUP('General price list'!$C1072,Popisy!A:P,MATCH($W$17,Popisy!$A$7:$P$7,0),FALSE),"---------------")</f>
        <v>elektrický palník, délka 500cm</v>
      </c>
      <c r="X1072" s="729" t="str">
        <f t="shared" si="2686"/>
        <v/>
      </c>
      <c r="Y1072" s="729" t="str">
        <f t="shared" si="2687"/>
        <v/>
      </c>
      <c r="Z1072" s="729" t="str">
        <f>HYPERLINK("https://www.klasekpyrotechnics.cz/ep5m")</f>
        <v>https://www.klasekpyrotechnics.cz/ep5m</v>
      </c>
      <c r="AA1072" s="729">
        <f>IFERROR(IF(VLOOKUP(C1072,[4]List1!$A:$D,4,FALSE)=0,"",VLOOKUP(C1072,[4]List1!$A:$D,4,FALSE)),"")</f>
        <v>36</v>
      </c>
      <c r="AB1072" s="720"/>
      <c r="AC1072" s="751" t="str">
        <f>IFERROR(IF(VLOOKUP(C1072,[1]List1!$A:$D,2,FALSE)="VYPRODÁNO",$V$9,IF(VLOOKUP(C1072,[1]List1!$A:$D,2,FALSE)="DOCHÁZÍ",$V$3,VLOOKUP(C1072,[1]List1!$A:$D,2,FALSE))),"OFFLINE!")</f>
        <v>SKLADEM</v>
      </c>
      <c r="AD1072" s="752" t="str">
        <f ca="1">IF(AP1072="NE",$V$10,IF(AC1072=$V$3,IF(AQ1072&lt;1,$V$8,$V$2&amp;" "&amp;AQ1072&amp;" "&amp;$V$1),IF(AC1072="SKLADEM",$V$6,IFERROR(IF(OR(AC1072-TODAY()&gt;45,VLOOKUP(C1072,[1]List1!$A:$E,4,FALSE)=0),AC1072,DAY(AC1072)&amp;"."&amp;MONTH(AC1072)&amp;"."&amp;YEAR(AC1072)&amp;" "&amp;$V$4&amp;VLOOKUP(C1072,[1]List1!$A:$E,4,FALSE)&amp;" "&amp;$V$1),AC1072))))</f>
        <v>SKLADEM</v>
      </c>
      <c r="AE1072" s="729" t="str">
        <f t="shared" ca="1" si="2688"/>
        <v>SKLADEM</v>
      </c>
      <c r="AF1072" s="735">
        <f t="shared" si="2689"/>
        <v>0</v>
      </c>
      <c r="AG1072" s="735">
        <f t="shared" si="2690"/>
        <v>0</v>
      </c>
      <c r="AH1072" s="736">
        <f t="shared" si="2691"/>
        <v>0</v>
      </c>
      <c r="AI1072" s="729">
        <f t="shared" si="2692"/>
        <v>0</v>
      </c>
      <c r="AJ1072" s="729">
        <f t="shared" si="2693"/>
        <v>0</v>
      </c>
      <c r="AK1072" s="729" t="str">
        <f t="shared" si="2694"/>
        <v/>
      </c>
      <c r="AL1072" s="729" t="str">
        <f t="shared" si="2695"/>
        <v/>
      </c>
      <c r="AM1072" s="729">
        <f t="shared" si="2696"/>
        <v>0</v>
      </c>
      <c r="AN1072" s="729">
        <f t="shared" si="2697"/>
        <v>0</v>
      </c>
      <c r="AO1072" s="380"/>
      <c r="AP1072" s="322" t="str">
        <f t="shared" si="2610"/>
        <v/>
      </c>
      <c r="AQ1072" s="323" t="str">
        <f>IF(AC1072=$V$3,IF(VLOOKUP(C1072,[1]List1!$A:$E,5,FALSE)=0,1,VLOOKUP(C1072,[1]List1!$A:$E,5,FALSE)),"")</f>
        <v/>
      </c>
      <c r="AR1072" s="304" t="str">
        <f t="shared" si="2611"/>
        <v/>
      </c>
      <c r="AS1072" s="423" t="str">
        <f t="shared" si="2612"/>
        <v/>
      </c>
      <c r="AT1072" s="304" t="str">
        <f t="shared" si="2613"/>
        <v/>
      </c>
      <c r="AU1072" s="342" t="e">
        <f t="shared" si="2614"/>
        <v>#N/A</v>
      </c>
      <c r="AV1072" s="304" t="e">
        <f t="shared" si="2615"/>
        <v>#N/A</v>
      </c>
      <c r="AX1072" s="304">
        <f>IF(AND('General price list'!$J1072="F4",'General price list'!$AB1072+0&gt;0),1,0)</f>
        <v>0</v>
      </c>
      <c r="AY1072" s="304">
        <f t="shared" si="2616"/>
        <v>4</v>
      </c>
      <c r="AZ1072" s="304">
        <f t="shared" si="2617"/>
        <v>0</v>
      </c>
    </row>
    <row r="1073" spans="1:52" ht="24" customHeight="1">
      <c r="A1073" s="773" t="str">
        <f>Kat.!C1070</f>
        <v xml:space="preserve">                                                               DUMMIES</v>
      </c>
      <c r="B1073" s="774"/>
      <c r="C1073" s="774"/>
      <c r="D1073" s="774"/>
      <c r="E1073" s="774"/>
      <c r="F1073" s="774"/>
      <c r="G1073" s="774"/>
      <c r="H1073" s="774"/>
      <c r="I1073" s="774"/>
      <c r="J1073" s="774"/>
      <c r="K1073" s="774"/>
      <c r="L1073" s="774"/>
      <c r="M1073" s="774"/>
      <c r="N1073" s="774"/>
      <c r="O1073" s="774"/>
      <c r="P1073" s="774"/>
      <c r="Q1073" s="774"/>
      <c r="R1073" s="774"/>
      <c r="S1073" s="774"/>
      <c r="T1073" s="774"/>
      <c r="U1073" s="774"/>
      <c r="V1073" s="774"/>
      <c r="W1073" s="774"/>
      <c r="X1073" s="774"/>
      <c r="Y1073" s="774"/>
      <c r="Z1073" s="774"/>
      <c r="AA1073" s="774" t="str">
        <f>IFERROR(IF(VLOOKUP(C1073,[4]List1!$A:$D,4,FALSE)=0,"",VLOOKUP(C1073,[4]List1!$A:$D,4,FALSE)),"")</f>
        <v/>
      </c>
      <c r="AB1073" s="774"/>
      <c r="AC1073" s="775" t="str">
        <f>IFERROR(IF(VLOOKUP(C1073,[1]List1!$A:$D,2,FALSE)="VYPRODÁNO",$V$9,IF(VLOOKUP(C1073,[1]List1!$A:$D,2,FALSE)="DOCHÁZÍ",$V$3,VLOOKUP(C1073,[1]List1!$A:$D,2,FALSE))),"OFFLINE!")</f>
        <v>OFFLINE!</v>
      </c>
      <c r="AD1073" s="774"/>
      <c r="AE1073" s="774"/>
      <c r="AF1073" s="774"/>
      <c r="AG1073" s="774"/>
      <c r="AH1073" s="774"/>
      <c r="AI1073" s="774"/>
      <c r="AJ1073" s="774"/>
      <c r="AK1073" s="774"/>
      <c r="AL1073" s="774"/>
      <c r="AM1073" s="774"/>
      <c r="AN1073" s="774"/>
      <c r="AO1073" s="380"/>
      <c r="AP1073" s="322" t="str">
        <f t="shared" si="2610"/>
        <v/>
      </c>
      <c r="AQ1073" s="323" t="str">
        <f>IF(AC1073=$V$3,IF(VLOOKUP(C1073,[1]List1!$A:$E,5,FALSE)=0,1,VLOOKUP(C1073,[1]List1!$A:$E,5,FALSE)),"")</f>
        <v/>
      </c>
      <c r="AR1073" s="304" t="str">
        <f t="shared" si="2611"/>
        <v/>
      </c>
      <c r="AS1073" s="423" t="str">
        <f t="shared" si="2612"/>
        <v/>
      </c>
      <c r="AT1073" s="304" t="str">
        <f t="shared" si="2613"/>
        <v/>
      </c>
      <c r="AU1073" s="342" t="e">
        <f t="shared" si="2614"/>
        <v>#N/A</v>
      </c>
      <c r="AV1073" s="304" t="e">
        <f t="shared" si="2615"/>
        <v>#N/A</v>
      </c>
      <c r="AX1073" s="304">
        <f>IF(AND('General price list'!$J1073="F4",'General price list'!$AB1073+0&gt;0),1,0)</f>
        <v>0</v>
      </c>
      <c r="AY1073" s="304">
        <f t="shared" si="2616"/>
        <v>0</v>
      </c>
      <c r="AZ1073" s="304">
        <f t="shared" si="2617"/>
        <v>0</v>
      </c>
    </row>
    <row r="1074" spans="1:52" ht="15" customHeight="1">
      <c r="A1074" s="773" t="str">
        <f>Kat.!C1071</f>
        <v xml:space="preserve">                                                               Interiérové fontány</v>
      </c>
      <c r="B1074" s="774"/>
      <c r="C1074" s="774"/>
      <c r="D1074" s="774"/>
      <c r="E1074" s="774"/>
      <c r="F1074" s="774"/>
      <c r="G1074" s="774"/>
      <c r="H1074" s="774"/>
      <c r="I1074" s="774"/>
      <c r="J1074" s="774"/>
      <c r="K1074" s="774"/>
      <c r="L1074" s="774"/>
      <c r="M1074" s="774"/>
      <c r="N1074" s="774"/>
      <c r="O1074" s="774"/>
      <c r="P1074" s="774"/>
      <c r="Q1074" s="774"/>
      <c r="R1074" s="774"/>
      <c r="S1074" s="774"/>
      <c r="T1074" s="774"/>
      <c r="U1074" s="774"/>
      <c r="V1074" s="774"/>
      <c r="W1074" s="774"/>
      <c r="X1074" s="774"/>
      <c r="Y1074" s="774"/>
      <c r="Z1074" s="774"/>
      <c r="AA1074" s="774" t="str">
        <f>IFERROR(IF(VLOOKUP(C1074,[4]List1!$A:$D,4,FALSE)=0,"",VLOOKUP(C1074,[4]List1!$A:$D,4,FALSE)),"")</f>
        <v/>
      </c>
      <c r="AB1074" s="774"/>
      <c r="AC1074" s="775" t="str">
        <f>IFERROR(IF(VLOOKUP(C1074,[1]List1!$A:$D,2,FALSE)="VYPRODÁNO",$V$9,IF(VLOOKUP(C1074,[1]List1!$A:$D,2,FALSE)="DOCHÁZÍ",$V$3,VLOOKUP(C1074,[1]List1!$A:$D,2,FALSE))),"OFFLINE!")</f>
        <v>OFFLINE!</v>
      </c>
      <c r="AD1074" s="774"/>
      <c r="AE1074" s="774"/>
      <c r="AF1074" s="774"/>
      <c r="AG1074" s="774"/>
      <c r="AH1074" s="774"/>
      <c r="AI1074" s="774"/>
      <c r="AJ1074" s="774"/>
      <c r="AK1074" s="774"/>
      <c r="AL1074" s="774"/>
      <c r="AM1074" s="774"/>
      <c r="AN1074" s="774"/>
      <c r="AO1074" s="380"/>
      <c r="AP1074" s="322" t="str">
        <f t="shared" si="2610"/>
        <v/>
      </c>
      <c r="AQ1074" s="323" t="str">
        <f>IF(AC1074=$V$3,IF(VLOOKUP(C1074,[1]List1!$A:$E,5,FALSE)=0,1,VLOOKUP(C1074,[1]List1!$A:$E,5,FALSE)),"")</f>
        <v/>
      </c>
      <c r="AR1074" s="304" t="str">
        <f t="shared" si="2611"/>
        <v/>
      </c>
      <c r="AS1074" s="423" t="str">
        <f t="shared" si="2612"/>
        <v/>
      </c>
      <c r="AT1074" s="304" t="str">
        <f t="shared" si="2613"/>
        <v/>
      </c>
      <c r="AU1074" s="342" t="e">
        <f t="shared" si="2614"/>
        <v>#N/A</v>
      </c>
      <c r="AV1074" s="304" t="e">
        <f t="shared" si="2615"/>
        <v>#N/A</v>
      </c>
      <c r="AX1074" s="304">
        <f>IF(AND('General price list'!$J1074="F4",'General price list'!$AB1074+0&gt;0),1,0)</f>
        <v>0</v>
      </c>
      <c r="AY1074" s="304">
        <f t="shared" si="2616"/>
        <v>0</v>
      </c>
      <c r="AZ1074" s="304">
        <f t="shared" si="2617"/>
        <v>0</v>
      </c>
    </row>
    <row r="1075" spans="1:52" ht="15" customHeight="1">
      <c r="A1075" s="712" t="str">
        <f>Kat.!C1072</f>
        <v/>
      </c>
      <c r="B1075" s="713">
        <f>IF(AND('General price list'!$J1075="F4",$AI$1=FALSE),0,IF(AC1075="SKLADEM",1,IF(AC1075=$V$3,1,0)))</f>
        <v>1</v>
      </c>
      <c r="C1075" s="714" t="s">
        <v>2310</v>
      </c>
      <c r="D1075" s="715" t="s">
        <v>2311</v>
      </c>
      <c r="E1075" s="716" t="s">
        <v>136</v>
      </c>
      <c r="F1075" s="712">
        <f>IFERROR(ROUND(IF($AL$3=2,VLOOKUP(C1075,[2]List1!$A:$D,2,FALSE)*1.08,VLOOKUP(C1075,[2]List1!$A:$D,2,FALSE)),0),"NEUVEDENO!")</f>
        <v>21</v>
      </c>
      <c r="G1075" s="717">
        <f>(F1075)*$B$19</f>
        <v>21</v>
      </c>
      <c r="H1075" s="718">
        <f>G1075/$F$19</f>
        <v>0.85334980433908059</v>
      </c>
      <c r="I1075" s="719">
        <v>1</v>
      </c>
      <c r="J1075" s="716"/>
      <c r="K1075" s="716">
        <v>7</v>
      </c>
      <c r="L1075" s="716" t="s">
        <v>14464</v>
      </c>
      <c r="M1075" s="716"/>
      <c r="N1075" s="716">
        <f>IFERROR(VLOOKUP(C1075,[3]List1!$A:$D,4,FALSE),"N/A!")</f>
        <v>2.3714999999999999E-4</v>
      </c>
      <c r="O1075" s="716">
        <f>IFERROR(VLOOKUP(C1075,[3]List1!$A:$D,3,FALSE),"N/A!")</f>
        <v>0</v>
      </c>
      <c r="P1075" s="716">
        <f>IFERROR(VLOOKUP(C1075,[3]List1!$A:$D,2,FALSE),"N/A!")</f>
        <v>62</v>
      </c>
      <c r="Q1075" s="716"/>
      <c r="R1075" s="716"/>
      <c r="S1075" s="716"/>
      <c r="T1075" s="716"/>
      <c r="U1075" s="716"/>
      <c r="V1075" s="716"/>
      <c r="W1075" s="716" t="str">
        <f>IFERROR(VLOOKUP('General price list'!$C1075,Popisy!A:P,MATCH($W$17,Popisy!$A$7:$P$7,0),FALSE),"---------------")</f>
        <v>Maketa výrobku - bez složí</v>
      </c>
      <c r="X1075" s="716" t="str">
        <f>IF(AB1075&lt;0.0001,"",AB1075)</f>
        <v/>
      </c>
      <c r="Y1075" s="716" t="str">
        <f>IF($AL$3=2,IF(OR(AB1075&lt;&gt;"",AB1075&lt;&gt;0),AU1075,""),IF(C1075="","",IF(AB1075&lt;0.0001,"",IF(B1075=0,"",IF(AQ1075&lt;AB1075,"",AB1075)))))</f>
        <v/>
      </c>
      <c r="Z1075" s="716" t="str">
        <f>HYPERLINK("https://www.klasekpyrotechnics.cz/df10cm")</f>
        <v>https://www.klasekpyrotechnics.cz/df10cm</v>
      </c>
      <c r="AA1075" s="716" t="str">
        <f>IFERROR(IF(VLOOKUP(C1075,[4]List1!$A:$D,4,FALSE)=0,"",VLOOKUP(C1075,[4]List1!$A:$D,4,FALSE)),"")</f>
        <v/>
      </c>
      <c r="AB1075" s="720"/>
      <c r="AC1075" s="721" t="str">
        <f>IFERROR(IF(VLOOKUP(C1075,[1]List1!$A:$D,2,FALSE)="VYPRODÁNO",$V$9,IF(VLOOKUP(C1075,[1]List1!$A:$D,2,FALSE)="DOCHÁZÍ",$V$3,VLOOKUP(C1075,[1]List1!$A:$D,2,FALSE))),"OFFLINE!")</f>
        <v>SKLADEM</v>
      </c>
      <c r="AD1075" s="722" t="str">
        <f ca="1">IF(AP1075="NE",$V$10,IF(AC1075=$V$3,IF(AQ1075&lt;1,$V$8,$V$2&amp;" "&amp;AQ1075&amp;" "&amp;$V$1),IF(AC1075="SKLADEM",$V$6,IFERROR(IF(OR(AC1075-TODAY()&gt;45,VLOOKUP(C1075,[1]List1!$A:$E,4,FALSE)=0),AC1075,DAY(AC1075)&amp;"."&amp;MONTH(AC1075)&amp;"."&amp;YEAR(AC1075)&amp;" "&amp;$V$4&amp;VLOOKUP(C1075,[1]List1!$A:$E,4,FALSE)&amp;" "&amp;$V$1),AC1075))))</f>
        <v>SKLADEM</v>
      </c>
      <c r="AE1075" s="716" t="str">
        <f t="shared" ref="AE1075" ca="1" si="2698">IFERROR(IF(AV1075&lt;&gt;"",AV1075,AD1075),AD1075)</f>
        <v>SKLADEM</v>
      </c>
      <c r="AF1075" s="723">
        <f t="shared" ref="AF1075" si="2699">IFERROR(IF(AB1075=Y1075,G1075*I1075*Y1075,0),0)</f>
        <v>0</v>
      </c>
      <c r="AG1075" s="723">
        <f t="shared" ref="AG1075" si="2700">IF($W$17=$AF$8,AH1075*1.23,AF1075*1.21)</f>
        <v>0</v>
      </c>
      <c r="AH1075" s="724">
        <f t="shared" ref="AH1075" si="2701">IFERROR(IF(Y1075=AB1075,H1075*I1075*Y1075,0),0)</f>
        <v>0</v>
      </c>
      <c r="AI1075" s="716">
        <f t="shared" ref="AI1075" si="2702">IFERROR(IF(Y1075=AB1075,(P1075*Y1075)/1000,1),0)</f>
        <v>0</v>
      </c>
      <c r="AJ1075" s="716">
        <f t="shared" ref="AJ1075" si="2703">IFERROR(IF(Y1075=AB1075,N1075*Y1075,0.1),0)</f>
        <v>0</v>
      </c>
      <c r="AK1075" s="716" t="str">
        <f t="shared" ref="AK1075" si="2704">IFERROR(IF(Y1075=AB1075,IF(M1075="1.1G",(O1075/1000)*Y1075,""),""),0)</f>
        <v/>
      </c>
      <c r="AL1075" s="716" t="str">
        <f t="shared" ref="AL1075" si="2705">IFERROR(IF(Y1075=AB1075,IF(M1075="1.3G",(O1075/1000)*AB1075,""),""),0)</f>
        <v/>
      </c>
      <c r="AM1075" s="716" t="str">
        <f t="shared" ref="AM1075" si="2706">IFERROR(IF(Y1075=AB1075,IF(M1075="1.4G",(O1075/1000)*AB1075,""),""),0)</f>
        <v/>
      </c>
      <c r="AN1075" s="716">
        <f t="shared" ref="AN1075" si="2707">SUM(AK1075:AM1075)</f>
        <v>0</v>
      </c>
      <c r="AO1075" s="380"/>
      <c r="AP1075" s="322" t="str">
        <f t="shared" si="2610"/>
        <v/>
      </c>
      <c r="AQ1075" s="323" t="str">
        <f>IF(AC1075=$V$3,IF(VLOOKUP(C1075,[1]List1!$A:$E,5,FALSE)=0,1,VLOOKUP(C1075,[1]List1!$A:$E,5,FALSE)),"")</f>
        <v/>
      </c>
      <c r="AR1075" s="304" t="str">
        <f t="shared" si="2611"/>
        <v/>
      </c>
      <c r="AS1075" s="423" t="str">
        <f t="shared" si="2612"/>
        <v/>
      </c>
      <c r="AT1075" s="304" t="str">
        <f t="shared" si="2613"/>
        <v/>
      </c>
      <c r="AU1075" s="342" t="e">
        <f t="shared" si="2614"/>
        <v>#N/A</v>
      </c>
      <c r="AV1075" s="304" t="e">
        <f t="shared" si="2615"/>
        <v>#N/A</v>
      </c>
      <c r="AX1075" s="304">
        <f>IF(AND('General price list'!$J1075="F4",'General price list'!$AB1075+0&gt;0),1,0)</f>
        <v>0</v>
      </c>
      <c r="AY1075" s="304">
        <f t="shared" si="2616"/>
        <v>0</v>
      </c>
      <c r="AZ1075" s="304">
        <f t="shared" si="2617"/>
        <v>0</v>
      </c>
    </row>
    <row r="1076" spans="1:52" ht="15" customHeight="1">
      <c r="A1076" s="773" t="str">
        <f>Kat.!C1073</f>
        <v xml:space="preserve">                                                               Raketové sety 1.3G</v>
      </c>
      <c r="B1076" s="774"/>
      <c r="C1076" s="774"/>
      <c r="D1076" s="774"/>
      <c r="E1076" s="774"/>
      <c r="F1076" s="774"/>
      <c r="G1076" s="774"/>
      <c r="H1076" s="774"/>
      <c r="I1076" s="774"/>
      <c r="J1076" s="774"/>
      <c r="K1076" s="774"/>
      <c r="L1076" s="774"/>
      <c r="M1076" s="774"/>
      <c r="N1076" s="774"/>
      <c r="O1076" s="774"/>
      <c r="P1076" s="774"/>
      <c r="Q1076" s="774"/>
      <c r="R1076" s="774"/>
      <c r="S1076" s="774"/>
      <c r="T1076" s="774"/>
      <c r="U1076" s="774"/>
      <c r="V1076" s="774"/>
      <c r="W1076" s="774"/>
      <c r="X1076" s="774"/>
      <c r="Y1076" s="774"/>
      <c r="Z1076" s="774"/>
      <c r="AA1076" s="774" t="str">
        <f>IFERROR(IF(VLOOKUP(C1076,[4]List1!$A:$D,4,FALSE)=0,"",VLOOKUP(C1076,[4]List1!$A:$D,4,FALSE)),"")</f>
        <v/>
      </c>
      <c r="AB1076" s="774"/>
      <c r="AC1076" s="775" t="str">
        <f>IFERROR(IF(VLOOKUP(C1076,[1]List1!$A:$D,2,FALSE)="VYPRODÁNO",$V$9,IF(VLOOKUP(C1076,[1]List1!$A:$D,2,FALSE)="DOCHÁZÍ",$V$3,VLOOKUP(C1076,[1]List1!$A:$D,2,FALSE))),"OFFLINE!")</f>
        <v>OFFLINE!</v>
      </c>
      <c r="AD1076" s="774"/>
      <c r="AE1076" s="774"/>
      <c r="AF1076" s="774"/>
      <c r="AG1076" s="774"/>
      <c r="AH1076" s="774"/>
      <c r="AI1076" s="774"/>
      <c r="AJ1076" s="774"/>
      <c r="AK1076" s="774"/>
      <c r="AL1076" s="774"/>
      <c r="AM1076" s="774"/>
      <c r="AN1076" s="774"/>
      <c r="AO1076" s="380"/>
      <c r="AP1076" s="322" t="str">
        <f t="shared" si="2610"/>
        <v/>
      </c>
      <c r="AQ1076" s="323" t="str">
        <f>IF(AC1076=$V$3,IF(VLOOKUP(C1076,[1]List1!$A:$E,5,FALSE)=0,1,VLOOKUP(C1076,[1]List1!$A:$E,5,FALSE)),"")</f>
        <v/>
      </c>
      <c r="AR1076" s="304" t="str">
        <f t="shared" si="2611"/>
        <v/>
      </c>
      <c r="AS1076" s="423" t="str">
        <f t="shared" si="2612"/>
        <v/>
      </c>
      <c r="AT1076" s="304" t="str">
        <f t="shared" si="2613"/>
        <v/>
      </c>
      <c r="AU1076" s="342" t="e">
        <f t="shared" si="2614"/>
        <v>#N/A</v>
      </c>
      <c r="AV1076" s="304" t="e">
        <f t="shared" si="2615"/>
        <v>#N/A</v>
      </c>
      <c r="AX1076" s="304">
        <f>IF(AND('General price list'!$J1076="F4",'General price list'!$AB1076+0&gt;0),1,0)</f>
        <v>0</v>
      </c>
      <c r="AY1076" s="304">
        <f t="shared" si="2616"/>
        <v>0</v>
      </c>
      <c r="AZ1076" s="304">
        <f t="shared" si="2617"/>
        <v>0</v>
      </c>
    </row>
    <row r="1077" spans="1:52" ht="15" customHeight="1">
      <c r="A1077" s="712" t="str">
        <f>Kat.!C1074</f>
        <v/>
      </c>
      <c r="B1077" s="713">
        <f>IF(AND('General price list'!$J1077="F4",$AI$1=FALSE),0,IF(AC1077="SKLADEM",1,IF(AC1077=$V$3,1,0)))</f>
        <v>1</v>
      </c>
      <c r="C1077" s="714" t="s">
        <v>2648</v>
      </c>
      <c r="D1077" s="715" t="s">
        <v>2649</v>
      </c>
      <c r="E1077" s="716" t="s">
        <v>136</v>
      </c>
      <c r="F1077" s="712">
        <f>IFERROR(ROUND(IF($AL$3=2,VLOOKUP(C1077,[2]List1!$A:$D,2,FALSE)*1.08,VLOOKUP(C1077,[2]List1!$A:$D,2,FALSE)),0),"NEUVEDENO!")</f>
        <v>64</v>
      </c>
      <c r="G1077" s="717">
        <f>(F1077)*$B$19</f>
        <v>64</v>
      </c>
      <c r="H1077" s="718">
        <f>G1077/$F$19</f>
        <v>2.6006851179857695</v>
      </c>
      <c r="I1077" s="719">
        <v>1</v>
      </c>
      <c r="J1077" s="716"/>
      <c r="K1077" s="716">
        <v>7</v>
      </c>
      <c r="L1077" s="716" t="s">
        <v>14464</v>
      </c>
      <c r="M1077" s="716"/>
      <c r="N1077" s="716">
        <f>IFERROR(VLOOKUP(C1077,[3]List1!$A:$D,4,FALSE),"N/A!")</f>
        <v>5.4872000000000005E-4</v>
      </c>
      <c r="O1077" s="716">
        <f>IFERROR(VLOOKUP(C1077,[3]List1!$A:$D,3,FALSE),"N/A!")</f>
        <v>0</v>
      </c>
      <c r="P1077" s="716">
        <f>IFERROR(VLOOKUP(C1077,[3]List1!$A:$D,2,FALSE),"N/A!")</f>
        <v>248</v>
      </c>
      <c r="Q1077" s="716"/>
      <c r="R1077" s="716"/>
      <c r="S1077" s="716"/>
      <c r="T1077" s="716"/>
      <c r="U1077" s="716"/>
      <c r="V1077" s="716"/>
      <c r="W1077" s="716" t="str">
        <f>IFERROR(VLOOKUP('General price list'!$C1077,Popisy!A:P,MATCH($W$17,Popisy!$A$7:$P$7,0),FALSE),"---------------")</f>
        <v>Maketa výrobku - bez složí</v>
      </c>
      <c r="X1077" s="716" t="str">
        <f>IF(AB1077&lt;0.0001,"",AB1077)</f>
        <v/>
      </c>
      <c r="Y1077" s="716" t="str">
        <f>IF($AL$3=2,IF(OR(AB1077&lt;&gt;"",AB1077&lt;&gt;0),AU1077,""),IF(C1077="","",IF(AB1077&lt;0.0001,"",IF(B1077=0,"",IF(AQ1077&lt;AB1077,"",AB1077)))))</f>
        <v/>
      </c>
      <c r="Z1077" s="716" t="str">
        <f>HYPERLINK("https://www.klasekpyrotechnics.cz/c1614e14")</f>
        <v>https://www.klasekpyrotechnics.cz/c1614e14</v>
      </c>
      <c r="AA1077" s="716" t="str">
        <f>IFERROR(IF(VLOOKUP(C1077,[4]List1!$A:$D,4,FALSE)=0,"",VLOOKUP(C1077,[4]List1!$A:$D,4,FALSE)),"")</f>
        <v/>
      </c>
      <c r="AB1077" s="720"/>
      <c r="AC1077" s="721" t="str">
        <f>IFERROR(IF(VLOOKUP(C1077,[1]List1!$A:$D,2,FALSE)="VYPRODÁNO",$V$9,IF(VLOOKUP(C1077,[1]List1!$A:$D,2,FALSE)="DOCHÁZÍ",$V$3,VLOOKUP(C1077,[1]List1!$A:$D,2,FALSE))),"OFFLINE!")</f>
        <v>SKLADEM</v>
      </c>
      <c r="AD1077" s="722" t="str">
        <f ca="1">IF(AP1077="NE",$V$10,IF(AC1077=$V$3,IF(AQ1077&lt;1,$V$8,$V$2&amp;" "&amp;AQ1077&amp;" "&amp;$V$1),IF(AC1077="SKLADEM",$V$6,IFERROR(IF(OR(AC1077-TODAY()&gt;45,VLOOKUP(C1077,[1]List1!$A:$E,4,FALSE)=0),AC1077,DAY(AC1077)&amp;"."&amp;MONTH(AC1077)&amp;"."&amp;YEAR(AC1077)&amp;" "&amp;$V$4&amp;VLOOKUP(C1077,[1]List1!$A:$E,4,FALSE)&amp;" "&amp;$V$1),AC1077))))</f>
        <v>SKLADEM</v>
      </c>
      <c r="AE1077" s="716" t="str">
        <f t="shared" ref="AE1077" ca="1" si="2708">IFERROR(IF(AV1077&lt;&gt;"",AV1077,AD1077),AD1077)</f>
        <v>SKLADEM</v>
      </c>
      <c r="AF1077" s="723">
        <f t="shared" ref="AF1077" si="2709">IFERROR(IF(AB1077=Y1077,G1077*I1077*Y1077,0),0)</f>
        <v>0</v>
      </c>
      <c r="AG1077" s="723">
        <f t="shared" ref="AG1077" si="2710">IF($W$17=$AF$8,AH1077*1.23,AF1077*1.21)</f>
        <v>0</v>
      </c>
      <c r="AH1077" s="724">
        <f t="shared" ref="AH1077" si="2711">IFERROR(IF(Y1077=AB1077,H1077*I1077*Y1077,0),0)</f>
        <v>0</v>
      </c>
      <c r="AI1077" s="716">
        <f t="shared" ref="AI1077" si="2712">IFERROR(IF(Y1077=AB1077,(P1077*Y1077)/1000,1),0)</f>
        <v>0</v>
      </c>
      <c r="AJ1077" s="716">
        <f t="shared" ref="AJ1077" si="2713">IFERROR(IF(Y1077=AB1077,N1077*Y1077,0.1),0)</f>
        <v>0</v>
      </c>
      <c r="AK1077" s="716" t="str">
        <f t="shared" ref="AK1077" si="2714">IFERROR(IF(Y1077=AB1077,IF(M1077="1.1G",(O1077/1000)*Y1077,""),""),0)</f>
        <v/>
      </c>
      <c r="AL1077" s="716" t="str">
        <f t="shared" ref="AL1077" si="2715">IFERROR(IF(Y1077=AB1077,IF(M1077="1.3G",(O1077/1000)*AB1077,""),""),0)</f>
        <v/>
      </c>
      <c r="AM1077" s="716" t="str">
        <f t="shared" ref="AM1077" si="2716">IFERROR(IF(Y1077=AB1077,IF(M1077="1.4G",(O1077/1000)*AB1077,""),""),0)</f>
        <v/>
      </c>
      <c r="AN1077" s="716">
        <f t="shared" ref="AN1077" si="2717">SUM(AK1077:AM1077)</f>
        <v>0</v>
      </c>
      <c r="AO1077" s="380"/>
      <c r="AP1077" s="322" t="str">
        <f t="shared" si="2610"/>
        <v/>
      </c>
      <c r="AQ1077" s="323" t="str">
        <f>IF(AC1077=$V$3,IF(VLOOKUP(C1077,[1]List1!$A:$E,5,FALSE)=0,1,VLOOKUP(C1077,[1]List1!$A:$E,5,FALSE)),"")</f>
        <v/>
      </c>
      <c r="AR1077" s="304" t="str">
        <f t="shared" si="2611"/>
        <v/>
      </c>
      <c r="AS1077" s="423" t="str">
        <f t="shared" si="2612"/>
        <v/>
      </c>
      <c r="AT1077" s="304" t="str">
        <f t="shared" si="2613"/>
        <v/>
      </c>
      <c r="AU1077" s="342" t="e">
        <f t="shared" si="2614"/>
        <v>#N/A</v>
      </c>
      <c r="AV1077" s="304" t="e">
        <f t="shared" si="2615"/>
        <v>#N/A</v>
      </c>
      <c r="AX1077" s="304">
        <f>IF(AND('General price list'!$J1077="F4",'General price list'!$AB1077+0&gt;0),1,0)</f>
        <v>0</v>
      </c>
      <c r="AY1077" s="304">
        <f t="shared" si="2616"/>
        <v>0</v>
      </c>
      <c r="AZ1077" s="304">
        <f t="shared" si="2617"/>
        <v>0</v>
      </c>
    </row>
    <row r="1078" spans="1:52" ht="15" customHeight="1">
      <c r="A1078" s="773" t="str">
        <f>Kat.!C1075</f>
        <v xml:space="preserve">                                                               Baterie 25ran, 20mm moždíř-1.3G</v>
      </c>
      <c r="B1078" s="774"/>
      <c r="C1078" s="774"/>
      <c r="D1078" s="774"/>
      <c r="E1078" s="774"/>
      <c r="F1078" s="774"/>
      <c r="G1078" s="774"/>
      <c r="H1078" s="774"/>
      <c r="I1078" s="774"/>
      <c r="J1078" s="774"/>
      <c r="K1078" s="774"/>
      <c r="L1078" s="774"/>
      <c r="M1078" s="774"/>
      <c r="N1078" s="774"/>
      <c r="O1078" s="774"/>
      <c r="P1078" s="774"/>
      <c r="Q1078" s="774"/>
      <c r="R1078" s="774"/>
      <c r="S1078" s="774"/>
      <c r="T1078" s="774"/>
      <c r="U1078" s="774"/>
      <c r="V1078" s="774"/>
      <c r="W1078" s="774"/>
      <c r="X1078" s="774"/>
      <c r="Y1078" s="774"/>
      <c r="Z1078" s="774"/>
      <c r="AA1078" s="774" t="str">
        <f>IFERROR(IF(VLOOKUP(C1078,[4]List1!$A:$D,4,FALSE)=0,"",VLOOKUP(C1078,[4]List1!$A:$D,4,FALSE)),"")</f>
        <v/>
      </c>
      <c r="AB1078" s="774"/>
      <c r="AC1078" s="775" t="str">
        <f>IFERROR(IF(VLOOKUP(C1078,[1]List1!$A:$D,2,FALSE)="VYPRODÁNO",$V$9,IF(VLOOKUP(C1078,[1]List1!$A:$D,2,FALSE)="DOCHÁZÍ",$V$3,VLOOKUP(C1078,[1]List1!$A:$D,2,FALSE))),"OFFLINE!")</f>
        <v>OFFLINE!</v>
      </c>
      <c r="AD1078" s="774"/>
      <c r="AE1078" s="774"/>
      <c r="AF1078" s="774"/>
      <c r="AG1078" s="774"/>
      <c r="AH1078" s="774"/>
      <c r="AI1078" s="774"/>
      <c r="AJ1078" s="774"/>
      <c r="AK1078" s="774"/>
      <c r="AL1078" s="774"/>
      <c r="AM1078" s="774"/>
      <c r="AN1078" s="774"/>
      <c r="AO1078" s="380"/>
      <c r="AP1078" s="322" t="str">
        <f t="shared" si="2610"/>
        <v/>
      </c>
      <c r="AQ1078" s="323" t="str">
        <f>IF(AC1078=$V$3,IF(VLOOKUP(C1078,[1]List1!$A:$E,5,FALSE)=0,1,VLOOKUP(C1078,[1]List1!$A:$E,5,FALSE)),"")</f>
        <v/>
      </c>
      <c r="AR1078" s="304" t="str">
        <f t="shared" si="2611"/>
        <v/>
      </c>
      <c r="AS1078" s="423" t="str">
        <f t="shared" si="2612"/>
        <v/>
      </c>
      <c r="AT1078" s="304" t="str">
        <f t="shared" si="2613"/>
        <v/>
      </c>
      <c r="AU1078" s="342" t="e">
        <f t="shared" si="2614"/>
        <v>#N/A</v>
      </c>
      <c r="AV1078" s="304" t="e">
        <f t="shared" si="2615"/>
        <v>#N/A</v>
      </c>
      <c r="AX1078" s="304">
        <f>IF(AND('General price list'!$J1078="F4",'General price list'!$AB1078+0&gt;0),1,0)</f>
        <v>0</v>
      </c>
      <c r="AY1078" s="304">
        <f t="shared" si="2616"/>
        <v>0</v>
      </c>
      <c r="AZ1078" s="304">
        <f t="shared" si="2617"/>
        <v>0</v>
      </c>
    </row>
    <row r="1079" spans="1:52" ht="15" customHeight="1">
      <c r="A1079" s="712" t="str">
        <f>Kat.!C1076</f>
        <v/>
      </c>
      <c r="B1079" s="713">
        <f>IF(AND('General price list'!$J1079="F4",$AI$1=FALSE),0,IF(AC1079="SKLADEM",1,IF(AC1079=$V$3,1,0)))</f>
        <v>1</v>
      </c>
      <c r="C1079" s="714" t="s">
        <v>3075</v>
      </c>
      <c r="D1079" s="715" t="s">
        <v>3076</v>
      </c>
      <c r="E1079" s="716" t="s">
        <v>136</v>
      </c>
      <c r="F1079" s="712">
        <f>IFERROR(ROUND(IF($AL$3=2,VLOOKUP(C1079,[2]List1!$A:$D,2,FALSE)*1.08,VLOOKUP(C1079,[2]List1!$A:$D,2,FALSE)),0),"NEUVEDENO!")</f>
        <v>129</v>
      </c>
      <c r="G1079" s="717">
        <f t="shared" ref="G1079:G1080" si="2718">(F1079)*$B$19</f>
        <v>129</v>
      </c>
      <c r="H1079" s="718">
        <f t="shared" ref="H1079:H1080" si="2719">G1079/$F$19</f>
        <v>5.242005940940067</v>
      </c>
      <c r="I1079" s="719">
        <v>1</v>
      </c>
      <c r="J1079" s="716"/>
      <c r="K1079" s="716">
        <v>7</v>
      </c>
      <c r="L1079" s="716" t="s">
        <v>14464</v>
      </c>
      <c r="M1079" s="716"/>
      <c r="N1079" s="716">
        <f>IFERROR(VLOOKUP(C1079,[3]List1!$A:$D,4,FALSE),"N/A!")</f>
        <v>2.2392500000000004E-3</v>
      </c>
      <c r="O1079" s="716">
        <f>IFERROR(VLOOKUP(C1079,[3]List1!$A:$D,3,FALSE),"N/A!")</f>
        <v>0</v>
      </c>
      <c r="P1079" s="716">
        <f>IFERROR(VLOOKUP(C1079,[3]List1!$A:$D,2,FALSE),"N/A!")</f>
        <v>825</v>
      </c>
      <c r="Q1079" s="716"/>
      <c r="R1079" s="716"/>
      <c r="S1079" s="716"/>
      <c r="T1079" s="716"/>
      <c r="U1079" s="716"/>
      <c r="V1079" s="716"/>
      <c r="W1079" s="716" t="str">
        <f>IFERROR(VLOOKUP('General price list'!$C1079,Popisy!A:P,MATCH($W$17,Popisy!$A$7:$P$7,0),FALSE),"---------------")</f>
        <v>Maketa výrobku - bez složí</v>
      </c>
      <c r="X1079" s="716" t="str">
        <f t="shared" ref="X1079:X1080" si="2720">IF(AB1079&lt;0.0001,"",AB1079)</f>
        <v/>
      </c>
      <c r="Y1079" s="716" t="str">
        <f t="shared" ref="Y1079:Y1080" si="2721">IF($AL$3=2,IF(OR(AB1079&lt;&gt;"",AB1079&lt;&gt;0),AU1079,""),IF(C1079="","",IF(AB1079&lt;0.0001,"",IF(B1079=0,"",IF(AQ1079&lt;AB1079,"",AB1079)))))</f>
        <v/>
      </c>
      <c r="Z1079" s="716" t="str">
        <f>HYPERLINK("https://www.klasekpyrotechnics.cz/c2520st")</f>
        <v>https://www.klasekpyrotechnics.cz/c2520st</v>
      </c>
      <c r="AA1079" s="716" t="str">
        <f>IFERROR(IF(VLOOKUP(C1079,[4]List1!$A:$D,4,FALSE)=0,"",VLOOKUP(C1079,[4]List1!$A:$D,4,FALSE)),"")</f>
        <v/>
      </c>
      <c r="AB1079" s="720"/>
      <c r="AC1079" s="721" t="str">
        <f>IFERROR(IF(VLOOKUP(C1079,[1]List1!$A:$D,2,FALSE)="VYPRODÁNO",$V$9,IF(VLOOKUP(C1079,[1]List1!$A:$D,2,FALSE)="DOCHÁZÍ",$V$3,VLOOKUP(C1079,[1]List1!$A:$D,2,FALSE))),"OFFLINE!")</f>
        <v>SKLADEM</v>
      </c>
      <c r="AD1079" s="722" t="str">
        <f ca="1">IF(AP1079="NE",$V$10,IF(AC1079=$V$3,IF(AQ1079&lt;1,$V$8,$V$2&amp;" "&amp;AQ1079&amp;" "&amp;$V$1),IF(AC1079="SKLADEM",$V$6,IFERROR(IF(OR(AC1079-TODAY()&gt;45,VLOOKUP(C1079,[1]List1!$A:$E,4,FALSE)=0),AC1079,DAY(AC1079)&amp;"."&amp;MONTH(AC1079)&amp;"."&amp;YEAR(AC1079)&amp;" "&amp;$V$4&amp;VLOOKUP(C1079,[1]List1!$A:$E,4,FALSE)&amp;" "&amp;$V$1),AC1079))))</f>
        <v>SKLADEM</v>
      </c>
      <c r="AE1079" s="716" t="str">
        <f t="shared" ref="AE1079:AE1080" ca="1" si="2722">IFERROR(IF(AV1079&lt;&gt;"",AV1079,AD1079),AD1079)</f>
        <v>SKLADEM</v>
      </c>
      <c r="AF1079" s="723">
        <f t="shared" ref="AF1079:AF1080" si="2723">IFERROR(IF(AB1079=Y1079,G1079*I1079*Y1079,0),0)</f>
        <v>0</v>
      </c>
      <c r="AG1079" s="723">
        <f t="shared" ref="AG1079:AG1080" si="2724">IF($W$17=$AF$8,AH1079*1.23,AF1079*1.21)</f>
        <v>0</v>
      </c>
      <c r="AH1079" s="724">
        <f t="shared" ref="AH1079:AH1080" si="2725">IFERROR(IF(Y1079=AB1079,H1079*I1079*Y1079,0),0)</f>
        <v>0</v>
      </c>
      <c r="AI1079" s="716">
        <f t="shared" ref="AI1079:AI1080" si="2726">IFERROR(IF(Y1079=AB1079,(P1079*Y1079)/1000,1),0)</f>
        <v>0</v>
      </c>
      <c r="AJ1079" s="716">
        <f t="shared" ref="AJ1079:AJ1080" si="2727">IFERROR(IF(Y1079=AB1079,N1079*Y1079,0.1),0)</f>
        <v>0</v>
      </c>
      <c r="AK1079" s="716" t="str">
        <f t="shared" ref="AK1079:AK1080" si="2728">IFERROR(IF(Y1079=AB1079,IF(M1079="1.1G",(O1079/1000)*Y1079,""),""),0)</f>
        <v/>
      </c>
      <c r="AL1079" s="716" t="str">
        <f t="shared" ref="AL1079:AL1080" si="2729">IFERROR(IF(Y1079=AB1079,IF(M1079="1.3G",(O1079/1000)*AB1079,""),""),0)</f>
        <v/>
      </c>
      <c r="AM1079" s="716" t="str">
        <f t="shared" ref="AM1079:AM1080" si="2730">IFERROR(IF(Y1079=AB1079,IF(M1079="1.4G",(O1079/1000)*AB1079,""),""),0)</f>
        <v/>
      </c>
      <c r="AN1079" s="716">
        <f t="shared" ref="AN1079:AN1080" si="2731">SUM(AK1079:AM1079)</f>
        <v>0</v>
      </c>
      <c r="AO1079" s="380"/>
      <c r="AP1079" s="322" t="str">
        <f t="shared" si="2610"/>
        <v/>
      </c>
      <c r="AQ1079" s="323" t="str">
        <f>IF(AC1079=$V$3,IF(VLOOKUP(C1079,[1]List1!$A:$E,5,FALSE)=0,1,VLOOKUP(C1079,[1]List1!$A:$E,5,FALSE)),"")</f>
        <v/>
      </c>
      <c r="AR1079" s="304" t="str">
        <f t="shared" si="2611"/>
        <v/>
      </c>
      <c r="AS1079" s="423" t="str">
        <f t="shared" si="2612"/>
        <v/>
      </c>
      <c r="AT1079" s="304" t="str">
        <f t="shared" si="2613"/>
        <v/>
      </c>
      <c r="AU1079" s="342" t="e">
        <f t="shared" si="2614"/>
        <v>#N/A</v>
      </c>
      <c r="AV1079" s="304" t="e">
        <f t="shared" si="2615"/>
        <v>#N/A</v>
      </c>
      <c r="AX1079" s="304">
        <f>IF(AND('General price list'!$J1079="F4",'General price list'!$AB1079+0&gt;0),1,0)</f>
        <v>0</v>
      </c>
      <c r="AY1079" s="304">
        <f t="shared" si="2616"/>
        <v>0</v>
      </c>
      <c r="AZ1079" s="304">
        <f t="shared" si="2617"/>
        <v>0</v>
      </c>
    </row>
    <row r="1080" spans="1:52" ht="15" customHeight="1">
      <c r="A1080" s="725" t="str">
        <f>Kat.!C1077</f>
        <v/>
      </c>
      <c r="B1080" s="726">
        <f>IF(AND('General price list'!$J1080="F4",$AI$1=FALSE),0,IF(AC1080="SKLADEM",1,IF(AC1080=$V$3,1,0)))</f>
        <v>1</v>
      </c>
      <c r="C1080" s="727" t="s">
        <v>2313</v>
      </c>
      <c r="D1080" s="728" t="s">
        <v>2312</v>
      </c>
      <c r="E1080" s="729" t="s">
        <v>136</v>
      </c>
      <c r="F1080" s="725">
        <f>IFERROR(ROUND(IF($AL$3=2,VLOOKUP(C1080,[2]List1!$A:$D,2,FALSE)*1.08,VLOOKUP(C1080,[2]List1!$A:$D,2,FALSE)),0),"NEUVEDENO!")</f>
        <v>129</v>
      </c>
      <c r="G1080" s="730">
        <f t="shared" si="2718"/>
        <v>129</v>
      </c>
      <c r="H1080" s="731">
        <f t="shared" si="2719"/>
        <v>5.242005940940067</v>
      </c>
      <c r="I1080" s="732">
        <v>1</v>
      </c>
      <c r="J1080" s="729"/>
      <c r="K1080" s="729">
        <v>7</v>
      </c>
      <c r="L1080" s="729" t="s">
        <v>14464</v>
      </c>
      <c r="M1080" s="729"/>
      <c r="N1080" s="729">
        <f>IFERROR(VLOOKUP(C1080,[3]List1!$A:$D,4,FALSE),"N/A!")</f>
        <v>2.2392500000000004E-3</v>
      </c>
      <c r="O1080" s="729">
        <f>IFERROR(VLOOKUP(C1080,[3]List1!$A:$D,3,FALSE),"N/A!")</f>
        <v>0</v>
      </c>
      <c r="P1080" s="729">
        <f>IFERROR(VLOOKUP(C1080,[3]List1!$A:$D,2,FALSE),"N/A!")</f>
        <v>884</v>
      </c>
      <c r="Q1080" s="729"/>
      <c r="R1080" s="729"/>
      <c r="S1080" s="729"/>
      <c r="T1080" s="729"/>
      <c r="U1080" s="729"/>
      <c r="V1080" s="729"/>
      <c r="W1080" s="729" t="str">
        <f>IFERROR(VLOOKUP('General price list'!$C1080,Popisy!A:P,MATCH($W$17,Popisy!$A$7:$P$7,0),FALSE),"---------------")</f>
        <v>Maketa výrobku - bez složí</v>
      </c>
      <c r="X1080" s="729" t="str">
        <f t="shared" si="2720"/>
        <v/>
      </c>
      <c r="Y1080" s="729" t="str">
        <f t="shared" si="2721"/>
        <v/>
      </c>
      <c r="Z1080" s="729" t="str">
        <f>HYPERLINK("https://www.klasekpyrotechnics.cz/c2520vi")</f>
        <v>https://www.klasekpyrotechnics.cz/c2520vi</v>
      </c>
      <c r="AA1080" s="729" t="str">
        <f>IFERROR(IF(VLOOKUP(C1080,[4]List1!$A:$D,4,FALSE)=0,"",VLOOKUP(C1080,[4]List1!$A:$D,4,FALSE)),"")</f>
        <v/>
      </c>
      <c r="AB1080" s="720"/>
      <c r="AC1080" s="733" t="str">
        <f>IFERROR(IF(VLOOKUP(C1080,[1]List1!$A:$D,2,FALSE)="VYPRODÁNO",$V$9,IF(VLOOKUP(C1080,[1]List1!$A:$D,2,FALSE)="DOCHÁZÍ",$V$3,VLOOKUP(C1080,[1]List1!$A:$D,2,FALSE))),"OFFLINE!")</f>
        <v>SKLADEM</v>
      </c>
      <c r="AD1080" s="734" t="str">
        <f ca="1">IF(AP1080="NE",$V$10,IF(AC1080=$V$3,IF(AQ1080&lt;1,$V$8,$V$2&amp;" "&amp;AQ1080&amp;" "&amp;$V$1),IF(AC1080="SKLADEM",$V$6,IFERROR(IF(OR(AC1080-TODAY()&gt;45,VLOOKUP(C1080,[1]List1!$A:$E,4,FALSE)=0),AC1080,DAY(AC1080)&amp;"."&amp;MONTH(AC1080)&amp;"."&amp;YEAR(AC1080)&amp;" "&amp;$V$4&amp;VLOOKUP(C1080,[1]List1!$A:$E,4,FALSE)&amp;" "&amp;$V$1),AC1080))))</f>
        <v>SKLADEM</v>
      </c>
      <c r="AE1080" s="729" t="str">
        <f t="shared" ca="1" si="2722"/>
        <v>SKLADEM</v>
      </c>
      <c r="AF1080" s="735">
        <f t="shared" si="2723"/>
        <v>0</v>
      </c>
      <c r="AG1080" s="735">
        <f t="shared" si="2724"/>
        <v>0</v>
      </c>
      <c r="AH1080" s="736">
        <f t="shared" si="2725"/>
        <v>0</v>
      </c>
      <c r="AI1080" s="729">
        <f t="shared" si="2726"/>
        <v>0</v>
      </c>
      <c r="AJ1080" s="729">
        <f t="shared" si="2727"/>
        <v>0</v>
      </c>
      <c r="AK1080" s="729" t="str">
        <f t="shared" si="2728"/>
        <v/>
      </c>
      <c r="AL1080" s="729" t="str">
        <f t="shared" si="2729"/>
        <v/>
      </c>
      <c r="AM1080" s="729" t="str">
        <f t="shared" si="2730"/>
        <v/>
      </c>
      <c r="AN1080" s="729">
        <f t="shared" si="2731"/>
        <v>0</v>
      </c>
      <c r="AO1080" s="380"/>
      <c r="AP1080" s="322" t="str">
        <f t="shared" si="2610"/>
        <v/>
      </c>
      <c r="AQ1080" s="323" t="str">
        <f>IF(AC1080=$V$3,IF(VLOOKUP(C1080,[1]List1!$A:$E,5,FALSE)=0,1,VLOOKUP(C1080,[1]List1!$A:$E,5,FALSE)),"")</f>
        <v/>
      </c>
      <c r="AR1080" s="304" t="str">
        <f t="shared" si="2611"/>
        <v/>
      </c>
      <c r="AS1080" s="423" t="str">
        <f t="shared" si="2612"/>
        <v/>
      </c>
      <c r="AT1080" s="304" t="str">
        <f t="shared" si="2613"/>
        <v/>
      </c>
      <c r="AU1080" s="342" t="e">
        <f t="shared" si="2614"/>
        <v>#N/A</v>
      </c>
      <c r="AV1080" s="304" t="e">
        <f t="shared" si="2615"/>
        <v>#N/A</v>
      </c>
      <c r="AX1080" s="304">
        <f>IF(AND('General price list'!$J1080="F4",'General price list'!$AB1080+0&gt;0),1,0)</f>
        <v>0</v>
      </c>
      <c r="AY1080" s="304">
        <f t="shared" si="2616"/>
        <v>0</v>
      </c>
      <c r="AZ1080" s="304">
        <f t="shared" si="2617"/>
        <v>0</v>
      </c>
    </row>
    <row r="1081" spans="1:52" ht="15" customHeight="1">
      <c r="A1081" s="773" t="str">
        <f>Kat.!C1078</f>
        <v xml:space="preserve">                                                               Baterie 90ran, 20mm moždíř-1.3G</v>
      </c>
      <c r="B1081" s="774"/>
      <c r="C1081" s="774"/>
      <c r="D1081" s="774"/>
      <c r="E1081" s="774"/>
      <c r="F1081" s="774"/>
      <c r="G1081" s="774"/>
      <c r="H1081" s="774"/>
      <c r="I1081" s="774"/>
      <c r="J1081" s="774"/>
      <c r="K1081" s="774"/>
      <c r="L1081" s="774"/>
      <c r="M1081" s="774"/>
      <c r="N1081" s="774"/>
      <c r="O1081" s="774"/>
      <c r="P1081" s="774"/>
      <c r="Q1081" s="774"/>
      <c r="R1081" s="774"/>
      <c r="S1081" s="774"/>
      <c r="T1081" s="774"/>
      <c r="U1081" s="774"/>
      <c r="V1081" s="774"/>
      <c r="W1081" s="774"/>
      <c r="X1081" s="774"/>
      <c r="Y1081" s="774"/>
      <c r="Z1081" s="774"/>
      <c r="AA1081" s="774" t="str">
        <f>IFERROR(IF(VLOOKUP(C1081,[4]List1!$A:$D,4,FALSE)=0,"",VLOOKUP(C1081,[4]List1!$A:$D,4,FALSE)),"")</f>
        <v/>
      </c>
      <c r="AB1081" s="774"/>
      <c r="AC1081" s="775" t="str">
        <f>IFERROR(IF(VLOOKUP(C1081,[1]List1!$A:$D,2,FALSE)="VYPRODÁNO",$V$9,IF(VLOOKUP(C1081,[1]List1!$A:$D,2,FALSE)="DOCHÁZÍ",$V$3,VLOOKUP(C1081,[1]List1!$A:$D,2,FALSE))),"OFFLINE!")</f>
        <v>OFFLINE!</v>
      </c>
      <c r="AD1081" s="774"/>
      <c r="AE1081" s="774"/>
      <c r="AF1081" s="774"/>
      <c r="AG1081" s="774"/>
      <c r="AH1081" s="774"/>
      <c r="AI1081" s="774"/>
      <c r="AJ1081" s="774"/>
      <c r="AK1081" s="774"/>
      <c r="AL1081" s="774"/>
      <c r="AM1081" s="774"/>
      <c r="AN1081" s="774"/>
      <c r="AO1081" s="380"/>
      <c r="AP1081" s="322" t="str">
        <f t="shared" si="2610"/>
        <v/>
      </c>
      <c r="AQ1081" s="323" t="str">
        <f>IF(AC1081=$V$3,IF(VLOOKUP(C1081,[1]List1!$A:$E,5,FALSE)=0,1,VLOOKUP(C1081,[1]List1!$A:$E,5,FALSE)),"")</f>
        <v/>
      </c>
      <c r="AR1081" s="304" t="str">
        <f t="shared" si="2611"/>
        <v/>
      </c>
      <c r="AS1081" s="423" t="str">
        <f t="shared" si="2612"/>
        <v/>
      </c>
      <c r="AT1081" s="304" t="str">
        <f t="shared" si="2613"/>
        <v/>
      </c>
      <c r="AU1081" s="342" t="e">
        <f t="shared" si="2614"/>
        <v>#N/A</v>
      </c>
      <c r="AV1081" s="304" t="e">
        <f t="shared" si="2615"/>
        <v>#N/A</v>
      </c>
      <c r="AX1081" s="304">
        <f>IF(AND('General price list'!$J1081="F4",'General price list'!$AB1081+0&gt;0),1,0)</f>
        <v>0</v>
      </c>
      <c r="AY1081" s="304">
        <f t="shared" si="2616"/>
        <v>0</v>
      </c>
      <c r="AZ1081" s="304">
        <f t="shared" si="2617"/>
        <v>0</v>
      </c>
    </row>
    <row r="1082" spans="1:52" ht="15" customHeight="1">
      <c r="A1082" s="725" t="str">
        <f>Kat.!C1079</f>
        <v/>
      </c>
      <c r="B1082" s="741">
        <f>IF(AND('General price list'!$J1082="F4",$AI$1=FALSE),0,IF(AC1082="SKLADEM",1,IF(AC1082=$V$3,1,0)))</f>
        <v>1</v>
      </c>
      <c r="C1082" s="727" t="s">
        <v>2316</v>
      </c>
      <c r="D1082" s="728" t="s">
        <v>2317</v>
      </c>
      <c r="E1082" s="729" t="s">
        <v>136</v>
      </c>
      <c r="F1082" s="725">
        <f>IFERROR(ROUND(IF($AL$3=2,VLOOKUP(C1082,[2]List1!$A:$D,2,FALSE)*1.08,VLOOKUP(C1082,[2]List1!$A:$D,2,FALSE)),0),"NEUVEDENO!")</f>
        <v>435</v>
      </c>
      <c r="G1082" s="730">
        <f>(F1082)*$B$19</f>
        <v>435</v>
      </c>
      <c r="H1082" s="731">
        <f>G1082/$F$19</f>
        <v>17.676531661309529</v>
      </c>
      <c r="I1082" s="742">
        <v>1</v>
      </c>
      <c r="J1082" s="729"/>
      <c r="K1082" s="729">
        <v>7</v>
      </c>
      <c r="L1082" s="729" t="s">
        <v>14464</v>
      </c>
      <c r="M1082" s="729"/>
      <c r="N1082" s="729">
        <f>IFERROR(VLOOKUP(C1082,[3]List1!$A:$D,4,FALSE),"N/A!")</f>
        <v>8.372000000000001E-3</v>
      </c>
      <c r="O1082" s="729">
        <f>IFERROR(VLOOKUP(C1082,[3]List1!$A:$D,3,FALSE),"N/A!")</f>
        <v>0</v>
      </c>
      <c r="P1082" s="729">
        <f>IFERROR(VLOOKUP(C1082,[3]List1!$A:$D,2,FALSE),"N/A!")</f>
        <v>3497</v>
      </c>
      <c r="Q1082" s="729"/>
      <c r="R1082" s="729"/>
      <c r="S1082" s="729"/>
      <c r="T1082" s="729"/>
      <c r="U1082" s="729"/>
      <c r="V1082" s="729"/>
      <c r="W1082" s="729" t="str">
        <f>IFERROR(VLOOKUP('General price list'!$C1082,Popisy!A:P,MATCH($W$17,Popisy!$A$7:$P$7,0),FALSE),"---------------")</f>
        <v>Maketa výrobku - bez složí</v>
      </c>
      <c r="X1082" s="729" t="str">
        <f>IF(AB1082&lt;0.0001,"",AB1082)</f>
        <v/>
      </c>
      <c r="Y1082" s="729" t="str">
        <f>IF($AL$3=2,IF(OR(AB1082&lt;&gt;"",AB1082&lt;&gt;0),AU1082,""),IF(C1082="","",IF(AB1082&lt;0.0001,"",IF(B1082=0,"",IF(AQ1082&lt;AB1082,"",AB1082)))))</f>
        <v/>
      </c>
      <c r="Z1082" s="729" t="str">
        <f>HYPERLINK("https://www.klasekpyrotechnics.cz/c9020x")</f>
        <v>https://www.klasekpyrotechnics.cz/c9020x</v>
      </c>
      <c r="AA1082" s="729" t="str">
        <f>IFERROR(IF(VLOOKUP(C1082,[4]List1!$A:$D,4,FALSE)=0,"",VLOOKUP(C1082,[4]List1!$A:$D,4,FALSE)),"")</f>
        <v/>
      </c>
      <c r="AB1082" s="720"/>
      <c r="AC1082" s="743" t="str">
        <f>IFERROR(IF(VLOOKUP(C1082,[1]List1!$A:$D,2,FALSE)="VYPRODÁNO",$V$9,IF(VLOOKUP(C1082,[1]List1!$A:$D,2,FALSE)="DOCHÁZÍ",$V$3,VLOOKUP(C1082,[1]List1!$A:$D,2,FALSE))),"OFFLINE!")</f>
        <v>SKLADEM</v>
      </c>
      <c r="AD1082" s="744" t="str">
        <f ca="1">IF(AP1082="NE",$V$10,IF(AC1082=$V$3,IF(AQ1082&lt;1,$V$8,$V$2&amp;" "&amp;AQ1082&amp;" "&amp;$V$1),IF(AC1082="SKLADEM",$V$6,IFERROR(IF(OR(AC1082-TODAY()&gt;45,VLOOKUP(C1082,[1]List1!$A:$E,4,FALSE)=0),AC1082,DAY(AC1082)&amp;"."&amp;MONTH(AC1082)&amp;"."&amp;YEAR(AC1082)&amp;" "&amp;$V$4&amp;VLOOKUP(C1082,[1]List1!$A:$E,4,FALSE)&amp;" "&amp;$V$1),AC1082))))</f>
        <v>SKLADEM</v>
      </c>
      <c r="AE1082" s="729" t="str">
        <f t="shared" ref="AE1082" ca="1" si="2732">IFERROR(IF(AV1082&lt;&gt;"",AV1082,AD1082),AD1082)</f>
        <v>SKLADEM</v>
      </c>
      <c r="AF1082" s="735">
        <f t="shared" ref="AF1082" si="2733">IFERROR(IF(AB1082=Y1082,G1082*I1082*Y1082,0),0)</f>
        <v>0</v>
      </c>
      <c r="AG1082" s="735">
        <f t="shared" ref="AG1082" si="2734">IF($W$17=$AF$8,AH1082*1.23,AF1082*1.21)</f>
        <v>0</v>
      </c>
      <c r="AH1082" s="736">
        <f t="shared" ref="AH1082" si="2735">IFERROR(IF(Y1082=AB1082,H1082*I1082*Y1082,0),0)</f>
        <v>0</v>
      </c>
      <c r="AI1082" s="729">
        <f t="shared" ref="AI1082" si="2736">IFERROR(IF(Y1082=AB1082,(P1082*Y1082)/1000,1),0)</f>
        <v>0</v>
      </c>
      <c r="AJ1082" s="729">
        <f t="shared" ref="AJ1082" si="2737">IFERROR(IF(Y1082=AB1082,N1082*Y1082,0.1),0)</f>
        <v>0</v>
      </c>
      <c r="AK1082" s="729" t="str">
        <f t="shared" ref="AK1082" si="2738">IFERROR(IF(Y1082=AB1082,IF(M1082="1.1G",(O1082/1000)*Y1082,""),""),0)</f>
        <v/>
      </c>
      <c r="AL1082" s="729" t="str">
        <f t="shared" ref="AL1082" si="2739">IFERROR(IF(Y1082=AB1082,IF(M1082="1.3G",(O1082/1000)*AB1082,""),""),0)</f>
        <v/>
      </c>
      <c r="AM1082" s="729" t="str">
        <f t="shared" ref="AM1082" si="2740">IFERROR(IF(Y1082=AB1082,IF(M1082="1.4G",(O1082/1000)*AB1082,""),""),0)</f>
        <v/>
      </c>
      <c r="AN1082" s="729">
        <f t="shared" ref="AN1082" si="2741">SUM(AK1082:AM1082)</f>
        <v>0</v>
      </c>
      <c r="AO1082" s="380"/>
      <c r="AP1082" s="322" t="str">
        <f t="shared" si="2610"/>
        <v/>
      </c>
      <c r="AQ1082" s="323" t="str">
        <f>IF(AC1082=$V$3,IF(VLOOKUP(C1082,[1]List1!$A:$E,5,FALSE)=0,1,VLOOKUP(C1082,[1]List1!$A:$E,5,FALSE)),"")</f>
        <v/>
      </c>
      <c r="AR1082" s="304" t="str">
        <f t="shared" si="2611"/>
        <v/>
      </c>
      <c r="AS1082" s="423" t="str">
        <f t="shared" si="2612"/>
        <v/>
      </c>
      <c r="AT1082" s="304" t="str">
        <f t="shared" si="2613"/>
        <v/>
      </c>
      <c r="AU1082" s="342" t="e">
        <f t="shared" si="2614"/>
        <v>#N/A</v>
      </c>
      <c r="AV1082" s="304" t="e">
        <f t="shared" si="2615"/>
        <v>#N/A</v>
      </c>
      <c r="AX1082" s="304">
        <f>IF(AND('General price list'!$J1082="F4",'General price list'!$AB1082+0&gt;0),1,0)</f>
        <v>0</v>
      </c>
      <c r="AY1082" s="304">
        <f t="shared" si="2616"/>
        <v>0</v>
      </c>
      <c r="AZ1082" s="304">
        <f t="shared" si="2617"/>
        <v>0</v>
      </c>
    </row>
    <row r="1083" spans="1:52" ht="15" customHeight="1">
      <c r="A1083" s="773" t="str">
        <f>Kat.!C1080</f>
        <v xml:space="preserve">                                                               Baterie 100ran, 20mm moždíř-1.4G</v>
      </c>
      <c r="B1083" s="774"/>
      <c r="C1083" s="774"/>
      <c r="D1083" s="774"/>
      <c r="E1083" s="774"/>
      <c r="F1083" s="774"/>
      <c r="G1083" s="774"/>
      <c r="H1083" s="774"/>
      <c r="I1083" s="774"/>
      <c r="J1083" s="774"/>
      <c r="K1083" s="774"/>
      <c r="L1083" s="774"/>
      <c r="M1083" s="774"/>
      <c r="N1083" s="774"/>
      <c r="O1083" s="774"/>
      <c r="P1083" s="774"/>
      <c r="Q1083" s="774"/>
      <c r="R1083" s="774"/>
      <c r="S1083" s="774"/>
      <c r="T1083" s="774"/>
      <c r="U1083" s="774"/>
      <c r="V1083" s="774"/>
      <c r="W1083" s="774"/>
      <c r="X1083" s="774"/>
      <c r="Y1083" s="774"/>
      <c r="Z1083" s="774"/>
      <c r="AA1083" s="774" t="str">
        <f>IFERROR(IF(VLOOKUP(C1083,[4]List1!$A:$D,4,FALSE)=0,"",VLOOKUP(C1083,[4]List1!$A:$D,4,FALSE)),"")</f>
        <v/>
      </c>
      <c r="AB1083" s="774"/>
      <c r="AC1083" s="775" t="str">
        <f>IFERROR(IF(VLOOKUP(C1083,[1]List1!$A:$D,2,FALSE)="VYPRODÁNO",$V$9,IF(VLOOKUP(C1083,[1]List1!$A:$D,2,FALSE)="DOCHÁZÍ",$V$3,VLOOKUP(C1083,[1]List1!$A:$D,2,FALSE))),"OFFLINE!")</f>
        <v>OFFLINE!</v>
      </c>
      <c r="AD1083" s="774"/>
      <c r="AE1083" s="774"/>
      <c r="AF1083" s="774"/>
      <c r="AG1083" s="774"/>
      <c r="AH1083" s="774"/>
      <c r="AI1083" s="774"/>
      <c r="AJ1083" s="774"/>
      <c r="AK1083" s="774"/>
      <c r="AL1083" s="774"/>
      <c r="AM1083" s="774"/>
      <c r="AN1083" s="774"/>
      <c r="AO1083" s="380"/>
      <c r="AP1083" s="322" t="str">
        <f t="shared" si="2610"/>
        <v/>
      </c>
      <c r="AQ1083" s="323" t="str">
        <f>IF(AC1083=$V$3,IF(VLOOKUP(C1083,[1]List1!$A:$E,5,FALSE)=0,1,VLOOKUP(C1083,[1]List1!$A:$E,5,FALSE)),"")</f>
        <v/>
      </c>
      <c r="AR1083" s="304" t="str">
        <f t="shared" si="2611"/>
        <v/>
      </c>
      <c r="AS1083" s="423" t="str">
        <f t="shared" si="2612"/>
        <v/>
      </c>
      <c r="AT1083" s="304" t="str">
        <f t="shared" si="2613"/>
        <v/>
      </c>
      <c r="AU1083" s="342" t="e">
        <f t="shared" si="2614"/>
        <v>#N/A</v>
      </c>
      <c r="AV1083" s="304" t="e">
        <f t="shared" si="2615"/>
        <v>#N/A</v>
      </c>
      <c r="AX1083" s="304">
        <f>IF(AND('General price list'!$J1083="F4",'General price list'!$AB1083+0&gt;0),1,0)</f>
        <v>0</v>
      </c>
      <c r="AY1083" s="304">
        <f t="shared" si="2616"/>
        <v>0</v>
      </c>
      <c r="AZ1083" s="304">
        <f t="shared" si="2617"/>
        <v>0</v>
      </c>
    </row>
    <row r="1084" spans="1:52" ht="15" customHeight="1">
      <c r="A1084" s="725" t="str">
        <f>Kat.!C1081</f>
        <v/>
      </c>
      <c r="B1084" s="741">
        <f>IF(AND('General price list'!$J1084="F4",$AI$1=FALSE),0,IF(AC1084="SKLADEM",1,IF(AC1084=$V$3,1,0)))</f>
        <v>1</v>
      </c>
      <c r="C1084" s="727" t="s">
        <v>13485</v>
      </c>
      <c r="D1084" s="728" t="s">
        <v>14628</v>
      </c>
      <c r="E1084" s="729" t="s">
        <v>136</v>
      </c>
      <c r="F1084" s="725">
        <f>IFERROR(ROUND(IF($AL$3=2,VLOOKUP(C1084,[2]List1!$A:$D,2,FALSE)*1.08,VLOOKUP(C1084,[2]List1!$A:$D,2,FALSE)),0),"NEUVEDENO!")</f>
        <v>479</v>
      </c>
      <c r="G1084" s="730">
        <f>(F1084)*$B$19</f>
        <v>479</v>
      </c>
      <c r="H1084" s="731">
        <f>G1084/$F$19</f>
        <v>19.464502679924745</v>
      </c>
      <c r="I1084" s="742">
        <v>1</v>
      </c>
      <c r="J1084" s="729"/>
      <c r="K1084" s="729"/>
      <c r="L1084" s="729" t="s">
        <v>14464</v>
      </c>
      <c r="M1084" s="729"/>
      <c r="N1084" s="729">
        <f>IFERROR(VLOOKUP(C1084,[3]List1!$A:$D,4,FALSE),"N/A!")</f>
        <v>9.1035000000000005E-3</v>
      </c>
      <c r="O1084" s="729">
        <f>IFERROR(VLOOKUP(C1084,[3]List1!$A:$D,3,FALSE),"N/A!")</f>
        <v>0</v>
      </c>
      <c r="P1084" s="729">
        <f>IFERROR(VLOOKUP(C1084,[3]List1!$A:$D,2,FALSE),"N/A!")</f>
        <v>3700</v>
      </c>
      <c r="Q1084" s="729"/>
      <c r="R1084" s="729"/>
      <c r="S1084" s="729"/>
      <c r="T1084" s="729"/>
      <c r="U1084" s="729"/>
      <c r="V1084" s="729"/>
      <c r="W1084" s="729" t="str">
        <f>IFERROR(VLOOKUP('General price list'!$C1084,Popisy!A:P,MATCH($W$17,Popisy!$A$7:$P$7,0),FALSE),"---------------")</f>
        <v>Maketa výrobku - bez složí</v>
      </c>
      <c r="X1084" s="729" t="str">
        <f>IF(AB1084&lt;0.0001,"",AB1084)</f>
        <v/>
      </c>
      <c r="Y1084" s="729" t="str">
        <f>IF($AL$3=2,IF(OR(AB1084&lt;&gt;"",AB1084&lt;&gt;0),AU1084,""),IF(C1084="","",IF(AB1084&lt;0.0001,"",IF(B1084=0,"",IF(AQ1084&lt;AB1084,"",AB1084)))))</f>
        <v/>
      </c>
      <c r="Z1084" s="729"/>
      <c r="AA1084" s="729" t="str">
        <f>IFERROR(IF(VLOOKUP(C1084,[4]List1!$A:$D,4,FALSE)=0,"",VLOOKUP(C1084,[4]List1!$A:$D,4,FALSE)),"")</f>
        <v/>
      </c>
      <c r="AB1084" s="720"/>
      <c r="AC1084" s="743" t="str">
        <f>IFERROR(IF(VLOOKUP(C1084,[1]List1!$A:$D,2,FALSE)="VYPRODÁNO",$V$9,IF(VLOOKUP(C1084,[1]List1!$A:$D,2,FALSE)="DOCHÁZÍ",$V$3,VLOOKUP(C1084,[1]List1!$A:$D,2,FALSE))),"OFFLINE!")</f>
        <v>SKLADEM</v>
      </c>
      <c r="AD1084" s="744" t="str">
        <f ca="1">IF(AP1084="NE",$V$10,IF(AC1084=$V$3,IF(AQ1084&lt;1,$V$8,$V$2&amp;" "&amp;AQ1084&amp;" "&amp;$V$1),IF(AC1084="SKLADEM",$V$6,IFERROR(IF(OR(AC1084-TODAY()&gt;45,VLOOKUP(C1084,[1]List1!$A:$E,4,FALSE)=0),AC1084,DAY(AC1084)&amp;"."&amp;MONTH(AC1084)&amp;"."&amp;YEAR(AC1084)&amp;" "&amp;$V$4&amp;VLOOKUP(C1084,[1]List1!$A:$E,4,FALSE)&amp;" "&amp;$V$1),AC1084))))</f>
        <v>SKLADEM</v>
      </c>
      <c r="AE1084" s="729" t="str">
        <f t="shared" ref="AE1084" ca="1" si="2742">IFERROR(IF(AV1084&lt;&gt;"",AV1084,AD1084),AD1084)</f>
        <v>SKLADEM</v>
      </c>
      <c r="AF1084" s="735">
        <f t="shared" ref="AF1084" si="2743">IFERROR(IF(AB1084=Y1084,G1084*I1084*Y1084,0),0)</f>
        <v>0</v>
      </c>
      <c r="AG1084" s="735">
        <f t="shared" ref="AG1084" si="2744">IF($W$17=$AF$8,AH1084*1.23,AF1084*1.21)</f>
        <v>0</v>
      </c>
      <c r="AH1084" s="736">
        <f t="shared" ref="AH1084" si="2745">IFERROR(IF(Y1084=AB1084,H1084*I1084*Y1084,0),0)</f>
        <v>0</v>
      </c>
      <c r="AI1084" s="729">
        <f t="shared" ref="AI1084" si="2746">IFERROR(IF(Y1084=AB1084,(P1084*Y1084)/1000,1),0)</f>
        <v>0</v>
      </c>
      <c r="AJ1084" s="729">
        <f t="shared" ref="AJ1084" si="2747">IFERROR(IF(Y1084=AB1084,N1084*Y1084,0.1),0)</f>
        <v>0</v>
      </c>
      <c r="AK1084" s="729" t="str">
        <f t="shared" ref="AK1084" si="2748">IFERROR(IF(Y1084=AB1084,IF(M1084="1.1G",(O1084/1000)*Y1084,""),""),0)</f>
        <v/>
      </c>
      <c r="AL1084" s="729" t="str">
        <f t="shared" ref="AL1084" si="2749">IFERROR(IF(Y1084=AB1084,IF(M1084="1.3G",(O1084/1000)*AB1084,""),""),0)</f>
        <v/>
      </c>
      <c r="AM1084" s="729" t="str">
        <f t="shared" ref="AM1084" si="2750">IFERROR(IF(Y1084=AB1084,IF(M1084="1.4G",(O1084/1000)*AB1084,""),""),0)</f>
        <v/>
      </c>
      <c r="AN1084" s="729">
        <f t="shared" ref="AN1084" si="2751">SUM(AK1084:AM1084)</f>
        <v>0</v>
      </c>
      <c r="AO1084" s="380"/>
      <c r="AP1084" s="322" t="str">
        <f t="shared" si="2610"/>
        <v/>
      </c>
      <c r="AQ1084" s="323" t="str">
        <f>IF(AC1084=$V$3,IF(VLOOKUP(C1084,[1]List1!$A:$E,5,FALSE)=0,1,VLOOKUP(C1084,[1]List1!$A:$E,5,FALSE)),"")</f>
        <v/>
      </c>
      <c r="AR1084" s="304" t="str">
        <f t="shared" si="2611"/>
        <v/>
      </c>
      <c r="AS1084" s="423" t="str">
        <f t="shared" si="2612"/>
        <v/>
      </c>
      <c r="AT1084" s="304" t="str">
        <f t="shared" si="2613"/>
        <v/>
      </c>
      <c r="AU1084" s="342" t="e">
        <f t="shared" si="2614"/>
        <v>#N/A</v>
      </c>
      <c r="AV1084" s="304" t="e">
        <f t="shared" si="2615"/>
        <v>#N/A</v>
      </c>
      <c r="AX1084" s="304">
        <f>IF(AND('General price list'!$J1084="F4",'General price list'!$AB1084+0&gt;0),1,0)</f>
        <v>0</v>
      </c>
      <c r="AY1084" s="304">
        <f t="shared" si="2616"/>
        <v>0</v>
      </c>
      <c r="AZ1084" s="304">
        <f t="shared" si="2617"/>
        <v>0</v>
      </c>
    </row>
    <row r="1085" spans="1:52" ht="15" customHeight="1">
      <c r="A1085" s="773" t="str">
        <f>Kat.!C1082</f>
        <v xml:space="preserve">                                                               Baterie 100ran, 20mm šikmý moždíř-1.3G</v>
      </c>
      <c r="B1085" s="774"/>
      <c r="C1085" s="774"/>
      <c r="D1085" s="774"/>
      <c r="E1085" s="774"/>
      <c r="F1085" s="774"/>
      <c r="G1085" s="774"/>
      <c r="H1085" s="774"/>
      <c r="I1085" s="774"/>
      <c r="J1085" s="774"/>
      <c r="K1085" s="774"/>
      <c r="L1085" s="774"/>
      <c r="M1085" s="774"/>
      <c r="N1085" s="774"/>
      <c r="O1085" s="774"/>
      <c r="P1085" s="774"/>
      <c r="Q1085" s="774"/>
      <c r="R1085" s="774"/>
      <c r="S1085" s="774"/>
      <c r="T1085" s="774"/>
      <c r="U1085" s="774"/>
      <c r="V1085" s="774"/>
      <c r="W1085" s="774"/>
      <c r="X1085" s="774"/>
      <c r="Y1085" s="774"/>
      <c r="Z1085" s="774"/>
      <c r="AA1085" s="774" t="str">
        <f>IFERROR(IF(VLOOKUP(C1085,[4]List1!$A:$D,4,FALSE)=0,"",VLOOKUP(C1085,[4]List1!$A:$D,4,FALSE)),"")</f>
        <v/>
      </c>
      <c r="AB1085" s="774"/>
      <c r="AC1085" s="775" t="str">
        <f>IFERROR(IF(VLOOKUP(C1085,[1]List1!$A:$D,2,FALSE)="VYPRODÁNO",$V$9,IF(VLOOKUP(C1085,[1]List1!$A:$D,2,FALSE)="DOCHÁZÍ",$V$3,VLOOKUP(C1085,[1]List1!$A:$D,2,FALSE))),"OFFLINE!")</f>
        <v>OFFLINE!</v>
      </c>
      <c r="AD1085" s="774"/>
      <c r="AE1085" s="774"/>
      <c r="AF1085" s="774"/>
      <c r="AG1085" s="774"/>
      <c r="AH1085" s="774"/>
      <c r="AI1085" s="774"/>
      <c r="AJ1085" s="774"/>
      <c r="AK1085" s="774"/>
      <c r="AL1085" s="774"/>
      <c r="AM1085" s="774"/>
      <c r="AN1085" s="774"/>
      <c r="AO1085" s="380"/>
      <c r="AP1085" s="322" t="str">
        <f t="shared" si="2610"/>
        <v/>
      </c>
      <c r="AQ1085" s="323" t="str">
        <f>IF(AC1085=$V$3,IF(VLOOKUP(C1085,[1]List1!$A:$E,5,FALSE)=0,1,VLOOKUP(C1085,[1]List1!$A:$E,5,FALSE)),"")</f>
        <v/>
      </c>
      <c r="AR1085" s="304" t="str">
        <f t="shared" si="2611"/>
        <v/>
      </c>
      <c r="AS1085" s="423" t="str">
        <f t="shared" si="2612"/>
        <v/>
      </c>
      <c r="AT1085" s="304" t="str">
        <f t="shared" si="2613"/>
        <v/>
      </c>
      <c r="AU1085" s="342" t="e">
        <f t="shared" si="2614"/>
        <v>#N/A</v>
      </c>
      <c r="AV1085" s="304" t="e">
        <f t="shared" si="2615"/>
        <v>#N/A</v>
      </c>
      <c r="AX1085" s="304">
        <f>IF(AND('General price list'!$J1085="F4",'General price list'!$AB1085+0&gt;0),1,0)</f>
        <v>0</v>
      </c>
      <c r="AY1085" s="304">
        <f t="shared" si="2616"/>
        <v>0</v>
      </c>
      <c r="AZ1085" s="304">
        <f t="shared" si="2617"/>
        <v>0</v>
      </c>
    </row>
    <row r="1086" spans="1:52" ht="15" customHeight="1">
      <c r="A1086" s="725" t="str">
        <f>Kat.!C1083</f>
        <v/>
      </c>
      <c r="B1086" s="741">
        <f>IF(AND('General price list'!$J1086="F4",$AI$1=FALSE),0,IF(AC1086="SKLADEM",1,IF(AC1086=$V$3,1,0)))</f>
        <v>1</v>
      </c>
      <c r="C1086" s="727" t="s">
        <v>2318</v>
      </c>
      <c r="D1086" s="728" t="s">
        <v>2319</v>
      </c>
      <c r="E1086" s="729" t="s">
        <v>136</v>
      </c>
      <c r="F1086" s="725">
        <f>IFERROR(ROUND(IF($AL$3=2,VLOOKUP(C1086,[2]List1!$A:$D,2,FALSE)*1.08,VLOOKUP(C1086,[2]List1!$A:$D,2,FALSE)),0),"NEUVEDENO!")</f>
        <v>636</v>
      </c>
      <c r="G1086" s="730">
        <f>(F1086)*$B$19</f>
        <v>636</v>
      </c>
      <c r="H1086" s="731">
        <f>G1086/$F$19</f>
        <v>25.844308359983586</v>
      </c>
      <c r="I1086" s="742">
        <v>1</v>
      </c>
      <c r="J1086" s="729"/>
      <c r="K1086" s="729">
        <v>7</v>
      </c>
      <c r="L1086" s="729" t="s">
        <v>14464</v>
      </c>
      <c r="M1086" s="729"/>
      <c r="N1086" s="729">
        <f>IFERROR(VLOOKUP(C1086,[3]List1!$A:$D,4,FALSE),"N/A!")</f>
        <v>1.4976000000000001E-2</v>
      </c>
      <c r="O1086" s="729">
        <f>IFERROR(VLOOKUP(C1086,[3]List1!$A:$D,3,FALSE),"N/A!")</f>
        <v>0</v>
      </c>
      <c r="P1086" s="729">
        <f>IFERROR(VLOOKUP(C1086,[3]List1!$A:$D,2,FALSE),"N/A!")</f>
        <v>4300</v>
      </c>
      <c r="Q1086" s="729"/>
      <c r="R1086" s="729"/>
      <c r="S1086" s="729"/>
      <c r="T1086" s="729"/>
      <c r="U1086" s="729"/>
      <c r="V1086" s="729"/>
      <c r="W1086" s="729" t="str">
        <f>IFERROR(VLOOKUP('General price list'!$C1086,Popisy!A:P,MATCH($W$17,Popisy!$A$7:$P$7,0),FALSE),"---------------")</f>
        <v>Maketa výrobku - bez složí</v>
      </c>
      <c r="X1086" s="729" t="str">
        <f>IF(AB1086&lt;0.0001,"",AB1086)</f>
        <v/>
      </c>
      <c r="Y1086" s="729" t="str">
        <f>IF($AL$3=2,IF(OR(AB1086&lt;&gt;"",AB1086&lt;&gt;0),AU1086,""),IF(C1086="","",IF(AB1086&lt;0.0001,"",IF(B1086=0,"",IF(AQ1086&lt;AB1086,"",AB1086)))))</f>
        <v/>
      </c>
      <c r="Z1086" s="729" t="str">
        <f>HYPERLINK("https://www.klasekpyrotechnics.cz/cf10020g")</f>
        <v>https://www.klasekpyrotechnics.cz/cf10020g</v>
      </c>
      <c r="AA1086" s="729" t="str">
        <f>IFERROR(IF(VLOOKUP(C1086,[4]List1!$A:$D,4,FALSE)=0,"",VLOOKUP(C1086,[4]List1!$A:$D,4,FALSE)),"")</f>
        <v/>
      </c>
      <c r="AB1086" s="720"/>
      <c r="AC1086" s="743" t="str">
        <f>IFERROR(IF(VLOOKUP(C1086,[1]List1!$A:$D,2,FALSE)="VYPRODÁNO",$V$9,IF(VLOOKUP(C1086,[1]List1!$A:$D,2,FALSE)="DOCHÁZÍ",$V$3,VLOOKUP(C1086,[1]List1!$A:$D,2,FALSE))),"OFFLINE!")</f>
        <v>SKLADEM</v>
      </c>
      <c r="AD1086" s="744" t="str">
        <f ca="1">IF(AP1086="NE",$V$10,IF(AC1086=$V$3,IF(AQ1086&lt;1,$V$8,$V$2&amp;" "&amp;AQ1086&amp;" "&amp;$V$1),IF(AC1086="SKLADEM",$V$6,IFERROR(IF(OR(AC1086-TODAY()&gt;45,VLOOKUP(C1086,[1]List1!$A:$E,4,FALSE)=0),AC1086,DAY(AC1086)&amp;"."&amp;MONTH(AC1086)&amp;"."&amp;YEAR(AC1086)&amp;" "&amp;$V$4&amp;VLOOKUP(C1086,[1]List1!$A:$E,4,FALSE)&amp;" "&amp;$V$1),AC1086))))</f>
        <v>SKLADEM</v>
      </c>
      <c r="AE1086" s="729" t="str">
        <f t="shared" ref="AE1086" ca="1" si="2752">IFERROR(IF(AV1086&lt;&gt;"",AV1086,AD1086),AD1086)</f>
        <v>SKLADEM</v>
      </c>
      <c r="AF1086" s="735">
        <f t="shared" ref="AF1086" si="2753">IFERROR(IF(AB1086=Y1086,G1086*I1086*Y1086,0),0)</f>
        <v>0</v>
      </c>
      <c r="AG1086" s="735">
        <f t="shared" ref="AG1086" si="2754">IF($W$17=$AF$8,AH1086*1.23,AF1086*1.21)</f>
        <v>0</v>
      </c>
      <c r="AH1086" s="736">
        <f t="shared" ref="AH1086" si="2755">IFERROR(IF(Y1086=AB1086,H1086*I1086*Y1086,0),0)</f>
        <v>0</v>
      </c>
      <c r="AI1086" s="729">
        <f t="shared" ref="AI1086" si="2756">IFERROR(IF(Y1086=AB1086,(P1086*Y1086)/1000,1),0)</f>
        <v>0</v>
      </c>
      <c r="AJ1086" s="729">
        <f t="shared" ref="AJ1086" si="2757">IFERROR(IF(Y1086=AB1086,N1086*Y1086,0.1),0)</f>
        <v>0</v>
      </c>
      <c r="AK1086" s="729" t="str">
        <f t="shared" ref="AK1086" si="2758">IFERROR(IF(Y1086=AB1086,IF(M1086="1.1G",(O1086/1000)*Y1086,""),""),0)</f>
        <v/>
      </c>
      <c r="AL1086" s="729" t="str">
        <f t="shared" ref="AL1086" si="2759">IFERROR(IF(Y1086=AB1086,IF(M1086="1.3G",(O1086/1000)*AB1086,""),""),0)</f>
        <v/>
      </c>
      <c r="AM1086" s="729" t="str">
        <f t="shared" ref="AM1086" si="2760">IFERROR(IF(Y1086=AB1086,IF(M1086="1.4G",(O1086/1000)*AB1086,""),""),0)</f>
        <v/>
      </c>
      <c r="AN1086" s="729">
        <f t="shared" ref="AN1086" si="2761">SUM(AK1086:AM1086)</f>
        <v>0</v>
      </c>
      <c r="AO1086" s="380"/>
      <c r="AP1086" s="322" t="str">
        <f t="shared" si="2610"/>
        <v/>
      </c>
      <c r="AQ1086" s="323" t="str">
        <f>IF(AC1086=$V$3,IF(VLOOKUP(C1086,[1]List1!$A:$E,5,FALSE)=0,1,VLOOKUP(C1086,[1]List1!$A:$E,5,FALSE)),"")</f>
        <v/>
      </c>
      <c r="AR1086" s="304" t="str">
        <f t="shared" si="2611"/>
        <v/>
      </c>
      <c r="AS1086" s="423" t="str">
        <f t="shared" si="2612"/>
        <v/>
      </c>
      <c r="AT1086" s="304" t="str">
        <f t="shared" si="2613"/>
        <v/>
      </c>
      <c r="AU1086" s="342" t="e">
        <f t="shared" si="2614"/>
        <v>#N/A</v>
      </c>
      <c r="AV1086" s="304" t="e">
        <f t="shared" si="2615"/>
        <v>#N/A</v>
      </c>
      <c r="AX1086" s="304">
        <f>IF(AND('General price list'!$J1086="F4",'General price list'!$AB1086+0&gt;0),1,0)</f>
        <v>0</v>
      </c>
      <c r="AY1086" s="304">
        <f t="shared" si="2616"/>
        <v>0</v>
      </c>
      <c r="AZ1086" s="304">
        <f t="shared" si="2617"/>
        <v>0</v>
      </c>
    </row>
    <row r="1087" spans="1:52" ht="15" customHeight="1">
      <c r="A1087" s="773" t="str">
        <f>Kat.!C1084</f>
        <v xml:space="preserve">                                                               Baterie 130ran, 20mm moždíř-1.3G</v>
      </c>
      <c r="B1087" s="774"/>
      <c r="C1087" s="774"/>
      <c r="D1087" s="774"/>
      <c r="E1087" s="774"/>
      <c r="F1087" s="774"/>
      <c r="G1087" s="774"/>
      <c r="H1087" s="774"/>
      <c r="I1087" s="774"/>
      <c r="J1087" s="774"/>
      <c r="K1087" s="774"/>
      <c r="L1087" s="774"/>
      <c r="M1087" s="774"/>
      <c r="N1087" s="774"/>
      <c r="O1087" s="774"/>
      <c r="P1087" s="774"/>
      <c r="Q1087" s="774"/>
      <c r="R1087" s="774"/>
      <c r="S1087" s="774"/>
      <c r="T1087" s="774"/>
      <c r="U1087" s="774"/>
      <c r="V1087" s="774"/>
      <c r="W1087" s="774"/>
      <c r="X1087" s="774"/>
      <c r="Y1087" s="774"/>
      <c r="Z1087" s="774"/>
      <c r="AA1087" s="774" t="str">
        <f>IFERROR(IF(VLOOKUP(C1087,[4]List1!$A:$D,4,FALSE)=0,"",VLOOKUP(C1087,[4]List1!$A:$D,4,FALSE)),"")</f>
        <v/>
      </c>
      <c r="AB1087" s="774"/>
      <c r="AC1087" s="775" t="str">
        <f>IFERROR(IF(VLOOKUP(C1087,[1]List1!$A:$D,2,FALSE)="VYPRODÁNO",$V$9,IF(VLOOKUP(C1087,[1]List1!$A:$D,2,FALSE)="DOCHÁZÍ",$V$3,VLOOKUP(C1087,[1]List1!$A:$D,2,FALSE))),"OFFLINE!")</f>
        <v>OFFLINE!</v>
      </c>
      <c r="AD1087" s="774"/>
      <c r="AE1087" s="774"/>
      <c r="AF1087" s="774"/>
      <c r="AG1087" s="774"/>
      <c r="AH1087" s="774"/>
      <c r="AI1087" s="774"/>
      <c r="AJ1087" s="774"/>
      <c r="AK1087" s="774"/>
      <c r="AL1087" s="774"/>
      <c r="AM1087" s="774"/>
      <c r="AN1087" s="774"/>
      <c r="AO1087" s="380"/>
      <c r="AP1087" s="322" t="str">
        <f t="shared" si="2610"/>
        <v/>
      </c>
      <c r="AQ1087" s="323" t="str">
        <f>IF(AC1087=$V$3,IF(VLOOKUP(C1087,[1]List1!$A:$E,5,FALSE)=0,1,VLOOKUP(C1087,[1]List1!$A:$E,5,FALSE)),"")</f>
        <v/>
      </c>
      <c r="AR1087" s="304" t="str">
        <f t="shared" si="2611"/>
        <v/>
      </c>
      <c r="AS1087" s="423" t="str">
        <f t="shared" si="2612"/>
        <v/>
      </c>
      <c r="AT1087" s="304" t="str">
        <f t="shared" si="2613"/>
        <v/>
      </c>
      <c r="AU1087" s="342" t="e">
        <f t="shared" si="2614"/>
        <v>#N/A</v>
      </c>
      <c r="AV1087" s="304" t="e">
        <f t="shared" si="2615"/>
        <v>#N/A</v>
      </c>
      <c r="AX1087" s="304">
        <f>IF(AND('General price list'!$J1087="F4",'General price list'!$AB1087+0&gt;0),1,0)</f>
        <v>0</v>
      </c>
      <c r="AY1087" s="304">
        <f t="shared" si="2616"/>
        <v>0</v>
      </c>
      <c r="AZ1087" s="304">
        <f t="shared" si="2617"/>
        <v>0</v>
      </c>
    </row>
    <row r="1088" spans="1:52" ht="15" customHeight="1">
      <c r="A1088" s="725" t="str">
        <f>Kat.!C1085</f>
        <v/>
      </c>
      <c r="B1088" s="741">
        <f>IF(AND('General price list'!$J1088="F4",$AI$1=FALSE),0,IF(AC1088="SKLADEM",1,IF(AC1088=$V$3,1,0)))</f>
        <v>1</v>
      </c>
      <c r="C1088" s="727" t="s">
        <v>2320</v>
      </c>
      <c r="D1088" s="728" t="s">
        <v>2321</v>
      </c>
      <c r="E1088" s="729" t="s">
        <v>136</v>
      </c>
      <c r="F1088" s="725">
        <f>IFERROR(ROUND(IF($AL$3=2,VLOOKUP(C1088,[2]List1!$A:$D,2,FALSE)*1.08,VLOOKUP(C1088,[2]List1!$A:$D,2,FALSE)),0),"NEUVEDENO!")</f>
        <v>648</v>
      </c>
      <c r="G1088" s="730">
        <f>(F1088)*$B$19</f>
        <v>648</v>
      </c>
      <c r="H1088" s="731">
        <f>G1088/$F$19</f>
        <v>26.331936819605918</v>
      </c>
      <c r="I1088" s="742">
        <v>1</v>
      </c>
      <c r="J1088" s="729"/>
      <c r="K1088" s="729">
        <v>7</v>
      </c>
      <c r="L1088" s="729" t="s">
        <v>14464</v>
      </c>
      <c r="M1088" s="729"/>
      <c r="N1088" s="729">
        <f>IFERROR(VLOOKUP(C1088,[3]List1!$A:$D,4,FALSE),"N/A!")</f>
        <v>1.2936000000000001E-2</v>
      </c>
      <c r="O1088" s="729">
        <f>IFERROR(VLOOKUP(C1088,[3]List1!$A:$D,3,FALSE),"N/A!")</f>
        <v>0</v>
      </c>
      <c r="P1088" s="729">
        <f>IFERROR(VLOOKUP(C1088,[3]List1!$A:$D,2,FALSE),"N/A!")</f>
        <v>4737</v>
      </c>
      <c r="Q1088" s="729"/>
      <c r="R1088" s="729"/>
      <c r="S1088" s="729"/>
      <c r="T1088" s="729"/>
      <c r="U1088" s="729"/>
      <c r="V1088" s="729"/>
      <c r="W1088" s="729" t="str">
        <f>IFERROR(VLOOKUP('General price list'!$C1088,Popisy!A:P,MATCH($W$17,Popisy!$A$7:$P$7,0),FALSE),"---------------")</f>
        <v>Maketa výrobku - bez složí</v>
      </c>
      <c r="X1088" s="729" t="str">
        <f>IF(AB1088&lt;0.0001,"",AB1088)</f>
        <v/>
      </c>
      <c r="Y1088" s="729" t="str">
        <f>IF($AL$3=2,IF(OR(AB1088&lt;&gt;"",AB1088&lt;&gt;0),AU1088,""),IF(C1088="","",IF(AB1088&lt;0.0001,"",IF(B1088=0,"",IF(AQ1088&lt;AB1088,"",AB1088)))))</f>
        <v/>
      </c>
      <c r="Z1088" s="729" t="str">
        <f>HYPERLINK("https://www.klasekpyrotechnics.cz/c13020b")</f>
        <v>https://www.klasekpyrotechnics.cz/c13020b</v>
      </c>
      <c r="AA1088" s="729" t="str">
        <f>IFERROR(IF(VLOOKUP(C1088,[4]List1!$A:$D,4,FALSE)=0,"",VLOOKUP(C1088,[4]List1!$A:$D,4,FALSE)),"")</f>
        <v/>
      </c>
      <c r="AB1088" s="720"/>
      <c r="AC1088" s="743" t="str">
        <f>IFERROR(IF(VLOOKUP(C1088,[1]List1!$A:$D,2,FALSE)="VYPRODÁNO",$V$9,IF(VLOOKUP(C1088,[1]List1!$A:$D,2,FALSE)="DOCHÁZÍ",$V$3,VLOOKUP(C1088,[1]List1!$A:$D,2,FALSE))),"OFFLINE!")</f>
        <v>SKLADEM</v>
      </c>
      <c r="AD1088" s="744" t="str">
        <f ca="1">IF(AP1088="NE",$V$10,IF(AC1088=$V$3,IF(AQ1088&lt;1,$V$8,$V$2&amp;" "&amp;AQ1088&amp;" "&amp;$V$1),IF(AC1088="SKLADEM",$V$6,IFERROR(IF(OR(AC1088-TODAY()&gt;45,VLOOKUP(C1088,[1]List1!$A:$E,4,FALSE)=0),AC1088,DAY(AC1088)&amp;"."&amp;MONTH(AC1088)&amp;"."&amp;YEAR(AC1088)&amp;" "&amp;$V$4&amp;VLOOKUP(C1088,[1]List1!$A:$E,4,FALSE)&amp;" "&amp;$V$1),AC1088))))</f>
        <v>SKLADEM</v>
      </c>
      <c r="AE1088" s="729" t="str">
        <f t="shared" ref="AE1088" ca="1" si="2762">IFERROR(IF(AV1088&lt;&gt;"",AV1088,AD1088),AD1088)</f>
        <v>SKLADEM</v>
      </c>
      <c r="AF1088" s="735">
        <f t="shared" ref="AF1088" si="2763">IFERROR(IF(AB1088=Y1088,G1088*I1088*Y1088,0),0)</f>
        <v>0</v>
      </c>
      <c r="AG1088" s="735">
        <f t="shared" ref="AG1088" si="2764">IF($W$17=$AF$8,AH1088*1.23,AF1088*1.21)</f>
        <v>0</v>
      </c>
      <c r="AH1088" s="736">
        <f t="shared" ref="AH1088" si="2765">IFERROR(IF(Y1088=AB1088,H1088*I1088*Y1088,0),0)</f>
        <v>0</v>
      </c>
      <c r="AI1088" s="729">
        <f t="shared" ref="AI1088" si="2766">IFERROR(IF(Y1088=AB1088,(P1088*Y1088)/1000,1),0)</f>
        <v>0</v>
      </c>
      <c r="AJ1088" s="729">
        <f t="shared" ref="AJ1088" si="2767">IFERROR(IF(Y1088=AB1088,N1088*Y1088,0.1),0)</f>
        <v>0</v>
      </c>
      <c r="AK1088" s="729" t="str">
        <f t="shared" ref="AK1088" si="2768">IFERROR(IF(Y1088=AB1088,IF(M1088="1.1G",(O1088/1000)*Y1088,""),""),0)</f>
        <v/>
      </c>
      <c r="AL1088" s="729" t="str">
        <f t="shared" ref="AL1088" si="2769">IFERROR(IF(Y1088=AB1088,IF(M1088="1.3G",(O1088/1000)*AB1088,""),""),0)</f>
        <v/>
      </c>
      <c r="AM1088" s="729" t="str">
        <f t="shared" ref="AM1088" si="2770">IFERROR(IF(Y1088=AB1088,IF(M1088="1.4G",(O1088/1000)*AB1088,""),""),0)</f>
        <v/>
      </c>
      <c r="AN1088" s="729">
        <f t="shared" ref="AN1088" si="2771">SUM(AK1088:AM1088)</f>
        <v>0</v>
      </c>
      <c r="AO1088" s="380"/>
      <c r="AP1088" s="322" t="str">
        <f t="shared" si="2610"/>
        <v/>
      </c>
      <c r="AQ1088" s="323" t="str">
        <f>IF(AC1088=$V$3,IF(VLOOKUP(C1088,[1]List1!$A:$E,5,FALSE)=0,1,VLOOKUP(C1088,[1]List1!$A:$E,5,FALSE)),"")</f>
        <v/>
      </c>
      <c r="AR1088" s="304" t="str">
        <f t="shared" si="2611"/>
        <v/>
      </c>
      <c r="AS1088" s="423" t="str">
        <f t="shared" si="2612"/>
        <v/>
      </c>
      <c r="AT1088" s="304" t="str">
        <f t="shared" si="2613"/>
        <v/>
      </c>
      <c r="AU1088" s="342" t="e">
        <f t="shared" si="2614"/>
        <v>#N/A</v>
      </c>
      <c r="AV1088" s="304" t="e">
        <f t="shared" si="2615"/>
        <v>#N/A</v>
      </c>
      <c r="AX1088" s="304">
        <f>IF(AND('General price list'!$J1088="F4",'General price list'!$AB1088+0&gt;0),1,0)</f>
        <v>0</v>
      </c>
      <c r="AY1088" s="304">
        <f t="shared" si="2616"/>
        <v>0</v>
      </c>
      <c r="AZ1088" s="304">
        <f t="shared" si="2617"/>
        <v>0</v>
      </c>
    </row>
    <row r="1089" spans="1:52" ht="15" customHeight="1">
      <c r="A1089" s="773" t="str">
        <f>Kat.!C1086</f>
        <v xml:space="preserve">                                                               Baterie 134ran, 20mm I+V+W+šikmý moždíř-1.3G</v>
      </c>
      <c r="B1089" s="774"/>
      <c r="C1089" s="774"/>
      <c r="D1089" s="774"/>
      <c r="E1089" s="774"/>
      <c r="F1089" s="774"/>
      <c r="G1089" s="774"/>
      <c r="H1089" s="774"/>
      <c r="I1089" s="774"/>
      <c r="J1089" s="774"/>
      <c r="K1089" s="774"/>
      <c r="L1089" s="774"/>
      <c r="M1089" s="774"/>
      <c r="N1089" s="774"/>
      <c r="O1089" s="774"/>
      <c r="P1089" s="774"/>
      <c r="Q1089" s="774"/>
      <c r="R1089" s="774"/>
      <c r="S1089" s="774"/>
      <c r="T1089" s="774"/>
      <c r="U1089" s="774"/>
      <c r="V1089" s="774"/>
      <c r="W1089" s="774"/>
      <c r="X1089" s="774"/>
      <c r="Y1089" s="774"/>
      <c r="Z1089" s="774"/>
      <c r="AA1089" s="774" t="str">
        <f>IFERROR(IF(VLOOKUP(C1089,[4]List1!$A:$D,4,FALSE)=0,"",VLOOKUP(C1089,[4]List1!$A:$D,4,FALSE)),"")</f>
        <v/>
      </c>
      <c r="AB1089" s="774"/>
      <c r="AC1089" s="775" t="str">
        <f>IFERROR(IF(VLOOKUP(C1089,[1]List1!$A:$D,2,FALSE)="VYPRODÁNO",$V$9,IF(VLOOKUP(C1089,[1]List1!$A:$D,2,FALSE)="DOCHÁZÍ",$V$3,VLOOKUP(C1089,[1]List1!$A:$D,2,FALSE))),"OFFLINE!")</f>
        <v>OFFLINE!</v>
      </c>
      <c r="AD1089" s="774"/>
      <c r="AE1089" s="774"/>
      <c r="AF1089" s="774"/>
      <c r="AG1089" s="774"/>
      <c r="AH1089" s="774"/>
      <c r="AI1089" s="774"/>
      <c r="AJ1089" s="774"/>
      <c r="AK1089" s="774"/>
      <c r="AL1089" s="774"/>
      <c r="AM1089" s="774"/>
      <c r="AN1089" s="774"/>
      <c r="AO1089" s="380"/>
      <c r="AP1089" s="322" t="str">
        <f t="shared" si="2610"/>
        <v/>
      </c>
      <c r="AQ1089" s="323" t="str">
        <f>IF(AC1089=$V$3,IF(VLOOKUP(C1089,[1]List1!$A:$E,5,FALSE)=0,1,VLOOKUP(C1089,[1]List1!$A:$E,5,FALSE)),"")</f>
        <v/>
      </c>
      <c r="AR1089" s="304" t="str">
        <f t="shared" si="2611"/>
        <v/>
      </c>
      <c r="AS1089" s="423" t="str">
        <f t="shared" si="2612"/>
        <v/>
      </c>
      <c r="AT1089" s="304" t="str">
        <f t="shared" si="2613"/>
        <v/>
      </c>
      <c r="AU1089" s="342" t="e">
        <f t="shared" si="2614"/>
        <v>#N/A</v>
      </c>
      <c r="AV1089" s="304" t="e">
        <f t="shared" si="2615"/>
        <v>#N/A</v>
      </c>
      <c r="AX1089" s="304">
        <f>IF(AND('General price list'!$J1089="F4",'General price list'!$AB1089+0&gt;0),1,0)</f>
        <v>0</v>
      </c>
      <c r="AY1089" s="304">
        <f t="shared" si="2616"/>
        <v>0</v>
      </c>
      <c r="AZ1089" s="304">
        <f t="shared" si="2617"/>
        <v>0</v>
      </c>
    </row>
    <row r="1090" spans="1:52" ht="15" customHeight="1">
      <c r="A1090" s="725" t="str">
        <f>Kat.!C1087</f>
        <v/>
      </c>
      <c r="B1090" s="741">
        <f>IF(AND('General price list'!$J1090="F4",$AI$1=FALSE),0,IF(AC1090="SKLADEM",1,IF(AC1090=$V$3,1,0)))</f>
        <v>1</v>
      </c>
      <c r="C1090" s="727" t="s">
        <v>2322</v>
      </c>
      <c r="D1090" s="728" t="s">
        <v>2323</v>
      </c>
      <c r="E1090" s="729" t="s">
        <v>136</v>
      </c>
      <c r="F1090" s="725">
        <f>IFERROR(ROUND(IF($AL$3=2,VLOOKUP(C1090,[2]List1!$A:$D,2,FALSE)*1.08,VLOOKUP(C1090,[2]List1!$A:$D,2,FALSE)),0),"NEUVEDENO!")</f>
        <v>903</v>
      </c>
      <c r="G1090" s="730">
        <f t="shared" ref="G1090:G1091" si="2772">(F1090)*$B$19</f>
        <v>903</v>
      </c>
      <c r="H1090" s="731">
        <f t="shared" ref="H1090:H1091" si="2773">G1090/$F$19</f>
        <v>36.694041586580468</v>
      </c>
      <c r="I1090" s="742">
        <v>1</v>
      </c>
      <c r="J1090" s="729"/>
      <c r="K1090" s="729">
        <v>7</v>
      </c>
      <c r="L1090" s="729" t="s">
        <v>14464</v>
      </c>
      <c r="M1090" s="729"/>
      <c r="N1090" s="729">
        <f>IFERROR(VLOOKUP(C1090,[3]List1!$A:$D,4,FALSE),"N/A!")</f>
        <v>2.3239999999999997E-2</v>
      </c>
      <c r="O1090" s="729">
        <f>IFERROR(VLOOKUP(C1090,[3]List1!$A:$D,3,FALSE),"N/A!")</f>
        <v>0</v>
      </c>
      <c r="P1090" s="729">
        <f>IFERROR(VLOOKUP(C1090,[3]List1!$A:$D,2,FALSE),"N/A!")</f>
        <v>5751</v>
      </c>
      <c r="Q1090" s="729"/>
      <c r="R1090" s="729"/>
      <c r="S1090" s="729"/>
      <c r="T1090" s="729"/>
      <c r="U1090" s="729"/>
      <c r="V1090" s="729"/>
      <c r="W1090" s="729" t="str">
        <f>IFERROR(VLOOKUP('General price list'!$C1090,Popisy!A:P,MATCH($W$17,Popisy!$A$7:$P$7,0),FALSE),"---------------")</f>
        <v>Maketa výrobku - bez složí</v>
      </c>
      <c r="X1090" s="729" t="str">
        <f t="shared" ref="X1090:X1091" si="2774">IF(AB1090&lt;0.0001,"",AB1090)</f>
        <v/>
      </c>
      <c r="Y1090" s="729" t="str">
        <f t="shared" ref="Y1090:Y1091" si="2775">IF($AL$3=2,IF(OR(AB1090&lt;&gt;"",AB1090&lt;&gt;0),AU1090,""),IF(C1090="","",IF(AB1090&lt;0.0001,"",IF(B1090=0,"",IF(AQ1090&lt;AB1090,"",AB1090)))))</f>
        <v/>
      </c>
      <c r="Z1090" s="729" t="str">
        <f>HYPERLINK("https://www.klasekpyrotechnics.cz/c13420b")</f>
        <v>https://www.klasekpyrotechnics.cz/c13420b</v>
      </c>
      <c r="AA1090" s="729" t="str">
        <f>IFERROR(IF(VLOOKUP(C1090,[4]List1!$A:$D,4,FALSE)=0,"",VLOOKUP(C1090,[4]List1!$A:$D,4,FALSE)),"")</f>
        <v/>
      </c>
      <c r="AB1090" s="720"/>
      <c r="AC1090" s="743" t="str">
        <f>IFERROR(IF(VLOOKUP(C1090,[1]List1!$A:$D,2,FALSE)="VYPRODÁNO",$V$9,IF(VLOOKUP(C1090,[1]List1!$A:$D,2,FALSE)="DOCHÁZÍ",$V$3,VLOOKUP(C1090,[1]List1!$A:$D,2,FALSE))),"OFFLINE!")</f>
        <v>SKLADEM</v>
      </c>
      <c r="AD1090" s="744" t="str">
        <f ca="1">IF(AP1090="NE",$V$10,IF(AC1090=$V$3,IF(AQ1090&lt;1,$V$8,$V$2&amp;" "&amp;AQ1090&amp;" "&amp;$V$1),IF(AC1090="SKLADEM",$V$6,IFERROR(IF(OR(AC1090-TODAY()&gt;45,VLOOKUP(C1090,[1]List1!$A:$E,4,FALSE)=0),AC1090,DAY(AC1090)&amp;"."&amp;MONTH(AC1090)&amp;"."&amp;YEAR(AC1090)&amp;" "&amp;$V$4&amp;VLOOKUP(C1090,[1]List1!$A:$E,4,FALSE)&amp;" "&amp;$V$1),AC1090))))</f>
        <v>SKLADEM</v>
      </c>
      <c r="AE1090" s="729" t="str">
        <f t="shared" ref="AE1090:AE1091" ca="1" si="2776">IFERROR(IF(AV1090&lt;&gt;"",AV1090,AD1090),AD1090)</f>
        <v>SKLADEM</v>
      </c>
      <c r="AF1090" s="735">
        <f t="shared" ref="AF1090:AF1091" si="2777">IFERROR(IF(AB1090=Y1090,G1090*I1090*Y1090,0),0)</f>
        <v>0</v>
      </c>
      <c r="AG1090" s="735">
        <f t="shared" ref="AG1090:AG1091" si="2778">IF($W$17=$AF$8,AH1090*1.23,AF1090*1.21)</f>
        <v>0</v>
      </c>
      <c r="AH1090" s="736">
        <f t="shared" ref="AH1090:AH1091" si="2779">IFERROR(IF(Y1090=AB1090,H1090*I1090*Y1090,0),0)</f>
        <v>0</v>
      </c>
      <c r="AI1090" s="729">
        <f t="shared" ref="AI1090:AI1091" si="2780">IFERROR(IF(Y1090=AB1090,(P1090*Y1090)/1000,1),0)</f>
        <v>0</v>
      </c>
      <c r="AJ1090" s="729">
        <f t="shared" ref="AJ1090:AJ1091" si="2781">IFERROR(IF(Y1090=AB1090,N1090*Y1090,0.1),0)</f>
        <v>0</v>
      </c>
      <c r="AK1090" s="729" t="str">
        <f t="shared" ref="AK1090:AK1091" si="2782">IFERROR(IF(Y1090=AB1090,IF(M1090="1.1G",(O1090/1000)*Y1090,""),""),0)</f>
        <v/>
      </c>
      <c r="AL1090" s="729" t="str">
        <f t="shared" ref="AL1090:AL1091" si="2783">IFERROR(IF(Y1090=AB1090,IF(M1090="1.3G",(O1090/1000)*AB1090,""),""),0)</f>
        <v/>
      </c>
      <c r="AM1090" s="729" t="str">
        <f t="shared" ref="AM1090:AM1091" si="2784">IFERROR(IF(Y1090=AB1090,IF(M1090="1.4G",(O1090/1000)*AB1090,""),""),0)</f>
        <v/>
      </c>
      <c r="AN1090" s="729">
        <f t="shared" ref="AN1090:AN1091" si="2785">SUM(AK1090:AM1090)</f>
        <v>0</v>
      </c>
      <c r="AO1090" s="380"/>
      <c r="AP1090" s="322" t="str">
        <f t="shared" si="2610"/>
        <v/>
      </c>
      <c r="AQ1090" s="323" t="str">
        <f>IF(AC1090=$V$3,IF(VLOOKUP(C1090,[1]List1!$A:$E,5,FALSE)=0,1,VLOOKUP(C1090,[1]List1!$A:$E,5,FALSE)),"")</f>
        <v/>
      </c>
      <c r="AR1090" s="304" t="str">
        <f t="shared" si="2611"/>
        <v/>
      </c>
      <c r="AS1090" s="423" t="str">
        <f t="shared" si="2612"/>
        <v/>
      </c>
      <c r="AT1090" s="304" t="str">
        <f t="shared" si="2613"/>
        <v/>
      </c>
      <c r="AU1090" s="342" t="e">
        <f t="shared" si="2614"/>
        <v>#N/A</v>
      </c>
      <c r="AV1090" s="304" t="e">
        <f t="shared" si="2615"/>
        <v>#N/A</v>
      </c>
      <c r="AX1090" s="304">
        <f>IF(AND('General price list'!$J1090="F4",'General price list'!$AB1090+0&gt;0),1,0)</f>
        <v>0</v>
      </c>
      <c r="AY1090" s="304">
        <f t="shared" si="2616"/>
        <v>0</v>
      </c>
      <c r="AZ1090" s="304">
        <f t="shared" si="2617"/>
        <v>0</v>
      </c>
    </row>
    <row r="1091" spans="1:52" ht="15" customHeight="1">
      <c r="A1091" s="712" t="str">
        <f>Kat.!C1088</f>
        <v/>
      </c>
      <c r="B1091" s="745">
        <f>IF(AND('General price list'!$J1091="F4",$AI$1=FALSE),0,IF(AC1091="SKLADEM",1,IF(AC1091=$V$3,1,0)))</f>
        <v>1</v>
      </c>
      <c r="C1091" s="714" t="s">
        <v>2324</v>
      </c>
      <c r="D1091" s="715" t="s">
        <v>2325</v>
      </c>
      <c r="E1091" s="716" t="s">
        <v>136</v>
      </c>
      <c r="F1091" s="712">
        <f>IFERROR(ROUND(IF($AL$3=2,VLOOKUP(C1091,[2]List1!$A:$D,2,FALSE)*1.08,VLOOKUP(C1091,[2]List1!$A:$D,2,FALSE)),0),"NEUVEDENO!")</f>
        <v>903</v>
      </c>
      <c r="G1091" s="717">
        <f t="shared" si="2772"/>
        <v>903</v>
      </c>
      <c r="H1091" s="718">
        <f t="shared" si="2773"/>
        <v>36.694041586580468</v>
      </c>
      <c r="I1091" s="746">
        <v>1</v>
      </c>
      <c r="J1091" s="716"/>
      <c r="K1091" s="716">
        <v>7</v>
      </c>
      <c r="L1091" s="716" t="s">
        <v>14464</v>
      </c>
      <c r="M1091" s="716"/>
      <c r="N1091" s="716">
        <f>IFERROR(VLOOKUP(C1091,[3]List1!$A:$D,4,FALSE),"N/A!")</f>
        <v>2.3239999999999997E-2</v>
      </c>
      <c r="O1091" s="716">
        <f>IFERROR(VLOOKUP(C1091,[3]List1!$A:$D,3,FALSE),"N/A!")</f>
        <v>0</v>
      </c>
      <c r="P1091" s="716">
        <f>IFERROR(VLOOKUP(C1091,[3]List1!$A:$D,2,FALSE),"N/A!")</f>
        <v>5751</v>
      </c>
      <c r="Q1091" s="716"/>
      <c r="R1091" s="716"/>
      <c r="S1091" s="716"/>
      <c r="T1091" s="716"/>
      <c r="U1091" s="716"/>
      <c r="V1091" s="716"/>
      <c r="W1091" s="716" t="str">
        <f>IFERROR(VLOOKUP('General price list'!$C1091,Popisy!A:P,MATCH($W$17,Popisy!$A$7:$P$7,0),FALSE),"---------------")</f>
        <v>Maketa výrobku - bez složí</v>
      </c>
      <c r="X1091" s="716" t="str">
        <f t="shared" si="2774"/>
        <v/>
      </c>
      <c r="Y1091" s="716" t="str">
        <f t="shared" si="2775"/>
        <v/>
      </c>
      <c r="Z1091" s="716" t="str">
        <f>HYPERLINK("https://www.klasekpyrotechnics.cz/c13420h")</f>
        <v>https://www.klasekpyrotechnics.cz/c13420h</v>
      </c>
      <c r="AA1091" s="716" t="str">
        <f>IFERROR(IF(VLOOKUP(C1091,[4]List1!$A:$D,4,FALSE)=0,"",VLOOKUP(C1091,[4]List1!$A:$D,4,FALSE)),"")</f>
        <v/>
      </c>
      <c r="AB1091" s="720"/>
      <c r="AC1091" s="747" t="str">
        <f>IFERROR(IF(VLOOKUP(C1091,[1]List1!$A:$D,2,FALSE)="VYPRODÁNO",$V$9,IF(VLOOKUP(C1091,[1]List1!$A:$D,2,FALSE)="DOCHÁZÍ",$V$3,VLOOKUP(C1091,[1]List1!$A:$D,2,FALSE))),"OFFLINE!")</f>
        <v>SKLADEM</v>
      </c>
      <c r="AD1091" s="748" t="str">
        <f ca="1">IF(AP1091="NE",$V$10,IF(AC1091=$V$3,IF(AQ1091&lt;1,$V$8,$V$2&amp;" "&amp;AQ1091&amp;" "&amp;$V$1),IF(AC1091="SKLADEM",$V$6,IFERROR(IF(OR(AC1091-TODAY()&gt;45,VLOOKUP(C1091,[1]List1!$A:$E,4,FALSE)=0),AC1091,DAY(AC1091)&amp;"."&amp;MONTH(AC1091)&amp;"."&amp;YEAR(AC1091)&amp;" "&amp;$V$4&amp;VLOOKUP(C1091,[1]List1!$A:$E,4,FALSE)&amp;" "&amp;$V$1),AC1091))))</f>
        <v>SKLADEM</v>
      </c>
      <c r="AE1091" s="716" t="str">
        <f t="shared" ca="1" si="2776"/>
        <v>SKLADEM</v>
      </c>
      <c r="AF1091" s="723">
        <f t="shared" si="2777"/>
        <v>0</v>
      </c>
      <c r="AG1091" s="723">
        <f t="shared" si="2778"/>
        <v>0</v>
      </c>
      <c r="AH1091" s="724">
        <f t="shared" si="2779"/>
        <v>0</v>
      </c>
      <c r="AI1091" s="716">
        <f t="shared" si="2780"/>
        <v>0</v>
      </c>
      <c r="AJ1091" s="716">
        <f t="shared" si="2781"/>
        <v>0</v>
      </c>
      <c r="AK1091" s="716" t="str">
        <f t="shared" si="2782"/>
        <v/>
      </c>
      <c r="AL1091" s="716" t="str">
        <f t="shared" si="2783"/>
        <v/>
      </c>
      <c r="AM1091" s="716" t="str">
        <f t="shared" si="2784"/>
        <v/>
      </c>
      <c r="AN1091" s="716">
        <f t="shared" si="2785"/>
        <v>0</v>
      </c>
      <c r="AO1091" s="380"/>
      <c r="AP1091" s="322" t="str">
        <f t="shared" si="2610"/>
        <v/>
      </c>
      <c r="AQ1091" s="323" t="str">
        <f>IF(AC1091=$V$3,IF(VLOOKUP(C1091,[1]List1!$A:$E,5,FALSE)=0,1,VLOOKUP(C1091,[1]List1!$A:$E,5,FALSE)),"")</f>
        <v/>
      </c>
      <c r="AR1091" s="304" t="str">
        <f t="shared" si="2611"/>
        <v/>
      </c>
      <c r="AS1091" s="423" t="str">
        <f t="shared" si="2612"/>
        <v/>
      </c>
      <c r="AT1091" s="304" t="str">
        <f t="shared" si="2613"/>
        <v/>
      </c>
      <c r="AU1091" s="342" t="e">
        <f t="shared" si="2614"/>
        <v>#N/A</v>
      </c>
      <c r="AV1091" s="304" t="e">
        <f t="shared" si="2615"/>
        <v>#N/A</v>
      </c>
      <c r="AX1091" s="304">
        <f>IF(AND('General price list'!$J1091="F4",'General price list'!$AB1091+0&gt;0),1,0)</f>
        <v>0</v>
      </c>
      <c r="AY1091" s="304">
        <f t="shared" si="2616"/>
        <v>0</v>
      </c>
      <c r="AZ1091" s="304">
        <f t="shared" si="2617"/>
        <v>0</v>
      </c>
    </row>
    <row r="1092" spans="1:52" ht="15" customHeight="1">
      <c r="A1092" s="773" t="str">
        <f>Kat.!C1089</f>
        <v xml:space="preserve">                                                               Složený ohňostroj F3 - 1.3G</v>
      </c>
      <c r="B1092" s="774"/>
      <c r="C1092" s="774"/>
      <c r="D1092" s="774"/>
      <c r="E1092" s="774"/>
      <c r="F1092" s="774"/>
      <c r="G1092" s="774"/>
      <c r="H1092" s="774"/>
      <c r="I1092" s="774"/>
      <c r="J1092" s="774"/>
      <c r="K1092" s="774"/>
      <c r="L1092" s="774"/>
      <c r="M1092" s="774"/>
      <c r="N1092" s="774"/>
      <c r="O1092" s="774"/>
      <c r="P1092" s="774"/>
      <c r="Q1092" s="774"/>
      <c r="R1092" s="774"/>
      <c r="S1092" s="774"/>
      <c r="T1092" s="774"/>
      <c r="U1092" s="774"/>
      <c r="V1092" s="774"/>
      <c r="W1092" s="774"/>
      <c r="X1092" s="774"/>
      <c r="Y1092" s="774"/>
      <c r="Z1092" s="774"/>
      <c r="AA1092" s="774" t="str">
        <f>IFERROR(IF(VLOOKUP(C1092,[4]List1!$A:$D,4,FALSE)=0,"",VLOOKUP(C1092,[4]List1!$A:$D,4,FALSE)),"")</f>
        <v/>
      </c>
      <c r="AB1092" s="774"/>
      <c r="AC1092" s="775" t="str">
        <f>IFERROR(IF(VLOOKUP(C1092,[1]List1!$A:$D,2,FALSE)="VYPRODÁNO",$V$9,IF(VLOOKUP(C1092,[1]List1!$A:$D,2,FALSE)="DOCHÁZÍ",$V$3,VLOOKUP(C1092,[1]List1!$A:$D,2,FALSE))),"OFFLINE!")</f>
        <v>OFFLINE!</v>
      </c>
      <c r="AD1092" s="774"/>
      <c r="AE1092" s="774"/>
      <c r="AF1092" s="774"/>
      <c r="AG1092" s="774"/>
      <c r="AH1092" s="774"/>
      <c r="AI1092" s="774"/>
      <c r="AJ1092" s="774"/>
      <c r="AK1092" s="774"/>
      <c r="AL1092" s="774"/>
      <c r="AM1092" s="774"/>
      <c r="AN1092" s="774"/>
      <c r="AO1092" s="380"/>
      <c r="AP1092" s="322" t="str">
        <f t="shared" si="2610"/>
        <v/>
      </c>
      <c r="AQ1092" s="323" t="str">
        <f>IF(AC1092=$V$3,IF(VLOOKUP(C1092,[1]List1!$A:$E,5,FALSE)=0,1,VLOOKUP(C1092,[1]List1!$A:$E,5,FALSE)),"")</f>
        <v/>
      </c>
      <c r="AR1092" s="304" t="str">
        <f t="shared" si="2611"/>
        <v/>
      </c>
      <c r="AS1092" s="423" t="str">
        <f t="shared" si="2612"/>
        <v/>
      </c>
      <c r="AT1092" s="304" t="str">
        <f t="shared" si="2613"/>
        <v/>
      </c>
      <c r="AU1092" s="342" t="e">
        <f t="shared" si="2614"/>
        <v>#N/A</v>
      </c>
      <c r="AV1092" s="304" t="e">
        <f t="shared" si="2615"/>
        <v>#N/A</v>
      </c>
      <c r="AX1092" s="304">
        <f>IF(AND('General price list'!$J1092="F4",'General price list'!$AB1092+0&gt;0),1,0)</f>
        <v>0</v>
      </c>
      <c r="AY1092" s="304">
        <f t="shared" si="2616"/>
        <v>0</v>
      </c>
      <c r="AZ1092" s="304">
        <f t="shared" si="2617"/>
        <v>0</v>
      </c>
    </row>
    <row r="1093" spans="1:52" ht="15" customHeight="1">
      <c r="A1093" s="712" t="str">
        <f>Kat.!C1090</f>
        <v/>
      </c>
      <c r="B1093" s="713">
        <f>IF(AND('General price list'!$J1093="F4",$AI$1=FALSE),0,IF(AC1093="SKLADEM",1,IF(AC1093=$V$3,1,0)))</f>
        <v>1</v>
      </c>
      <c r="C1093" s="714" t="s">
        <v>2326</v>
      </c>
      <c r="D1093" s="715" t="s">
        <v>2327</v>
      </c>
      <c r="E1093" s="716" t="s">
        <v>136</v>
      </c>
      <c r="F1093" s="712">
        <f>IFERROR(ROUND(IF($AL$3=2,VLOOKUP(C1093,[2]List1!$A:$D,2,FALSE)*1.08,VLOOKUP(C1093,[2]List1!$A:$D,2,FALSE)),0),"NEUVEDENO!")</f>
        <v>1949</v>
      </c>
      <c r="G1093" s="717">
        <f>(F1093)*$B$19</f>
        <v>1949</v>
      </c>
      <c r="H1093" s="718">
        <f>G1093/$F$19</f>
        <v>79.198988983660385</v>
      </c>
      <c r="I1093" s="719">
        <v>1</v>
      </c>
      <c r="J1093" s="716"/>
      <c r="K1093" s="716">
        <v>7</v>
      </c>
      <c r="L1093" s="716" t="s">
        <v>14464</v>
      </c>
      <c r="M1093" s="716"/>
      <c r="N1093" s="716">
        <f>IFERROR(VLOOKUP(C1093,[3]List1!$A:$D,4,FALSE),"N/A!")</f>
        <v>4.6304999999999992E-2</v>
      </c>
      <c r="O1093" s="716">
        <f>IFERROR(VLOOKUP(C1093,[3]List1!$A:$D,3,FALSE),"N/A!")</f>
        <v>0</v>
      </c>
      <c r="P1093" s="716">
        <f>IFERROR(VLOOKUP(C1093,[3]List1!$A:$D,2,FALSE),"N/A!")</f>
        <v>12502</v>
      </c>
      <c r="Q1093" s="716"/>
      <c r="R1093" s="716"/>
      <c r="S1093" s="716"/>
      <c r="T1093" s="716"/>
      <c r="U1093" s="716"/>
      <c r="V1093" s="716"/>
      <c r="W1093" s="716" t="str">
        <f>IFERROR(VLOOKUP('General price list'!$C1093,Popisy!A:P,MATCH($W$17,Popisy!$A$7:$P$7,0),FALSE),"---------------")</f>
        <v>Maketa výrobku - bez složí</v>
      </c>
      <c r="X1093" s="716" t="str">
        <f>IF(AB1093&lt;0.0001,"",AB1093)</f>
        <v/>
      </c>
      <c r="Y1093" s="716" t="str">
        <f>IF($AL$3=2,IF(OR(AB1093&lt;&gt;"",AB1093&lt;&gt;0),AU1093,""),IF(C1093="","",IF(AB1093&lt;0.0001,"",IF(B1093=0,"",IF(AQ1093&lt;AB1093,"",AB1093)))))</f>
        <v/>
      </c>
      <c r="Z1093" s="716" t="str">
        <f>HYPERLINK("https://www.klasekpyrotechnics.cz/c26820f-c")</f>
        <v>https://www.klasekpyrotechnics.cz/c26820f-c</v>
      </c>
      <c r="AA1093" s="716" t="str">
        <f>IFERROR(IF(VLOOKUP(C1093,[4]List1!$A:$D,4,FALSE)=0,"",VLOOKUP(C1093,[4]List1!$A:$D,4,FALSE)),"")</f>
        <v/>
      </c>
      <c r="AB1093" s="720"/>
      <c r="AC1093" s="721" t="str">
        <f>IFERROR(IF(VLOOKUP(C1093,[1]List1!$A:$D,2,FALSE)="VYPRODÁNO",$V$9,IF(VLOOKUP(C1093,[1]List1!$A:$D,2,FALSE)="DOCHÁZÍ",$V$3,VLOOKUP(C1093,[1]List1!$A:$D,2,FALSE))),"OFFLINE!")</f>
        <v>SKLADEM</v>
      </c>
      <c r="AD1093" s="722" t="str">
        <f ca="1">IF(AP1093="NE",$V$10,IF(AC1093=$V$3,IF(AQ1093&lt;1,$V$8,$V$2&amp;" "&amp;AQ1093&amp;" "&amp;$V$1),IF(AC1093="SKLADEM",$V$6,IFERROR(IF(OR(AC1093-TODAY()&gt;45,VLOOKUP(C1093,[1]List1!$A:$E,4,FALSE)=0),AC1093,DAY(AC1093)&amp;"."&amp;MONTH(AC1093)&amp;"."&amp;YEAR(AC1093)&amp;" "&amp;$V$4&amp;VLOOKUP(C1093,[1]List1!$A:$E,4,FALSE)&amp;" "&amp;$V$1),AC1093))))</f>
        <v>SKLADEM</v>
      </c>
      <c r="AE1093" s="716" t="str">
        <f t="shared" ref="AE1093" ca="1" si="2786">IFERROR(IF(AV1093&lt;&gt;"",AV1093,AD1093),AD1093)</f>
        <v>SKLADEM</v>
      </c>
      <c r="AF1093" s="723">
        <f t="shared" ref="AF1093" si="2787">IFERROR(IF(AB1093=Y1093,G1093*I1093*Y1093,0),0)</f>
        <v>0</v>
      </c>
      <c r="AG1093" s="723">
        <f t="shared" ref="AG1093" si="2788">IF($W$17=$AF$8,AH1093*1.23,AF1093*1.21)</f>
        <v>0</v>
      </c>
      <c r="AH1093" s="724">
        <f t="shared" ref="AH1093" si="2789">IFERROR(IF(Y1093=AB1093,H1093*I1093*Y1093,0),0)</f>
        <v>0</v>
      </c>
      <c r="AI1093" s="716">
        <f t="shared" ref="AI1093" si="2790">IFERROR(IF(Y1093=AB1093,(P1093*Y1093)/1000,1),0)</f>
        <v>0</v>
      </c>
      <c r="AJ1093" s="716">
        <f t="shared" ref="AJ1093" si="2791">IFERROR(IF(Y1093=AB1093,N1093*Y1093,0.1),0)</f>
        <v>0</v>
      </c>
      <c r="AK1093" s="716" t="str">
        <f t="shared" ref="AK1093" si="2792">IFERROR(IF(Y1093=AB1093,IF(M1093="1.1G",(O1093/1000)*Y1093,""),""),0)</f>
        <v/>
      </c>
      <c r="AL1093" s="716" t="str">
        <f t="shared" ref="AL1093" si="2793">IFERROR(IF(Y1093=AB1093,IF(M1093="1.3G",(O1093/1000)*AB1093,""),""),0)</f>
        <v/>
      </c>
      <c r="AM1093" s="716" t="str">
        <f t="shared" ref="AM1093" si="2794">IFERROR(IF(Y1093=AB1093,IF(M1093="1.4G",(O1093/1000)*AB1093,""),""),0)</f>
        <v/>
      </c>
      <c r="AN1093" s="716">
        <f t="shared" ref="AN1093" si="2795">SUM(AK1093:AM1093)</f>
        <v>0</v>
      </c>
      <c r="AO1093" s="380"/>
      <c r="AP1093" s="322" t="str">
        <f t="shared" si="2610"/>
        <v/>
      </c>
      <c r="AQ1093" s="323" t="str">
        <f>IF(AC1093=$V$3,IF(VLOOKUP(C1093,[1]List1!$A:$E,5,FALSE)=0,1,VLOOKUP(C1093,[1]List1!$A:$E,5,FALSE)),"")</f>
        <v/>
      </c>
      <c r="AR1093" s="304" t="str">
        <f t="shared" si="2611"/>
        <v/>
      </c>
      <c r="AS1093" s="423" t="str">
        <f t="shared" si="2612"/>
        <v/>
      </c>
      <c r="AT1093" s="304" t="str">
        <f t="shared" si="2613"/>
        <v/>
      </c>
      <c r="AU1093" s="342" t="e">
        <f t="shared" si="2614"/>
        <v>#N/A</v>
      </c>
      <c r="AV1093" s="304" t="e">
        <f t="shared" si="2615"/>
        <v>#N/A</v>
      </c>
      <c r="AX1093" s="304">
        <f>IF(AND('General price list'!$J1093="F4",'General price list'!$AB1093+0&gt;0),1,0)</f>
        <v>0</v>
      </c>
      <c r="AY1093" s="304">
        <f t="shared" si="2616"/>
        <v>0</v>
      </c>
      <c r="AZ1093" s="304">
        <f t="shared" si="2617"/>
        <v>0</v>
      </c>
    </row>
    <row r="1094" spans="1:52" ht="15" customHeight="1">
      <c r="A1094" s="773" t="str">
        <f>Kat.!C1091</f>
        <v xml:space="preserve">                                                               Baterie 88ran, 25mm moždíř-1.3G</v>
      </c>
      <c r="B1094" s="774"/>
      <c r="C1094" s="774"/>
      <c r="D1094" s="774"/>
      <c r="E1094" s="774"/>
      <c r="F1094" s="774"/>
      <c r="G1094" s="774"/>
      <c r="H1094" s="774"/>
      <c r="I1094" s="774"/>
      <c r="J1094" s="774"/>
      <c r="K1094" s="774"/>
      <c r="L1094" s="774"/>
      <c r="M1094" s="774"/>
      <c r="N1094" s="774"/>
      <c r="O1094" s="774"/>
      <c r="P1094" s="774"/>
      <c r="Q1094" s="774"/>
      <c r="R1094" s="774"/>
      <c r="S1094" s="774"/>
      <c r="T1094" s="774"/>
      <c r="U1094" s="774"/>
      <c r="V1094" s="774"/>
      <c r="W1094" s="774"/>
      <c r="X1094" s="774"/>
      <c r="Y1094" s="774"/>
      <c r="Z1094" s="774"/>
      <c r="AA1094" s="774" t="str">
        <f>IFERROR(IF(VLOOKUP(C1094,[4]List1!$A:$D,4,FALSE)=0,"",VLOOKUP(C1094,[4]List1!$A:$D,4,FALSE)),"")</f>
        <v/>
      </c>
      <c r="AB1094" s="774"/>
      <c r="AC1094" s="775" t="str">
        <f>IFERROR(IF(VLOOKUP(C1094,[1]List1!$A:$D,2,FALSE)="VYPRODÁNO",$V$9,IF(VLOOKUP(C1094,[1]List1!$A:$D,2,FALSE)="DOCHÁZÍ",$V$3,VLOOKUP(C1094,[1]List1!$A:$D,2,FALSE))),"OFFLINE!")</f>
        <v>OFFLINE!</v>
      </c>
      <c r="AD1094" s="774"/>
      <c r="AE1094" s="774"/>
      <c r="AF1094" s="774"/>
      <c r="AG1094" s="774"/>
      <c r="AH1094" s="774"/>
      <c r="AI1094" s="774"/>
      <c r="AJ1094" s="774"/>
      <c r="AK1094" s="774"/>
      <c r="AL1094" s="774"/>
      <c r="AM1094" s="774"/>
      <c r="AN1094" s="774"/>
      <c r="AO1094" s="380"/>
      <c r="AP1094" s="322" t="str">
        <f t="shared" si="2610"/>
        <v/>
      </c>
      <c r="AQ1094" s="323" t="str">
        <f>IF(AC1094=$V$3,IF(VLOOKUP(C1094,[1]List1!$A:$E,5,FALSE)=0,1,VLOOKUP(C1094,[1]List1!$A:$E,5,FALSE)),"")</f>
        <v/>
      </c>
      <c r="AR1094" s="304" t="str">
        <f t="shared" si="2611"/>
        <v/>
      </c>
      <c r="AS1094" s="423" t="str">
        <f t="shared" si="2612"/>
        <v/>
      </c>
      <c r="AT1094" s="304" t="str">
        <f t="shared" si="2613"/>
        <v/>
      </c>
      <c r="AU1094" s="342" t="e">
        <f t="shared" si="2614"/>
        <v>#N/A</v>
      </c>
      <c r="AV1094" s="304" t="e">
        <f t="shared" si="2615"/>
        <v>#N/A</v>
      </c>
      <c r="AX1094" s="304">
        <f>IF(AND('General price list'!$J1094="F4",'General price list'!$AB1094+0&gt;0),1,0)</f>
        <v>0</v>
      </c>
      <c r="AY1094" s="304">
        <f t="shared" si="2616"/>
        <v>0</v>
      </c>
      <c r="AZ1094" s="304">
        <f t="shared" si="2617"/>
        <v>0</v>
      </c>
    </row>
    <row r="1095" spans="1:52" ht="15" customHeight="1">
      <c r="A1095" s="712" t="str">
        <f>Kat.!C1092</f>
        <v/>
      </c>
      <c r="B1095" s="713">
        <f>IF(AND('General price list'!$J1095="F4",$AI$1=FALSE),0,IF(AC1095="SKLADEM",1,IF(AC1095=$V$3,1,0)))</f>
        <v>1</v>
      </c>
      <c r="C1095" s="714" t="s">
        <v>2328</v>
      </c>
      <c r="D1095" s="715" t="s">
        <v>2329</v>
      </c>
      <c r="E1095" s="716" t="s">
        <v>136</v>
      </c>
      <c r="F1095" s="712">
        <f>IFERROR(ROUND(IF($AL$3=2,VLOOKUP(C1095,[2]List1!$A:$D,2,FALSE)*1.08,VLOOKUP(C1095,[2]List1!$A:$D,2,FALSE)),0),"NEUVEDENO!")</f>
        <v>774</v>
      </c>
      <c r="G1095" s="717">
        <f t="shared" ref="G1095:G1096" si="2796">(F1095)*$B$19</f>
        <v>774</v>
      </c>
      <c r="H1095" s="718">
        <f t="shared" ref="H1095:H1096" si="2797">G1095/$F$19</f>
        <v>31.4520356456404</v>
      </c>
      <c r="I1095" s="719">
        <v>1</v>
      </c>
      <c r="J1095" s="716"/>
      <c r="K1095" s="716">
        <v>7</v>
      </c>
      <c r="L1095" s="716" t="s">
        <v>14464</v>
      </c>
      <c r="M1095" s="716"/>
      <c r="N1095" s="716">
        <f>IFERROR(VLOOKUP(C1095,[3]List1!$A:$D,4,FALSE),"N/A!")</f>
        <v>1.5389250000000002E-2</v>
      </c>
      <c r="O1095" s="716">
        <f>IFERROR(VLOOKUP(C1095,[3]List1!$A:$D,3,FALSE),"N/A!")</f>
        <v>0</v>
      </c>
      <c r="P1095" s="716">
        <f>IFERROR(VLOOKUP(C1095,[3]List1!$A:$D,2,FALSE),"N/A!")</f>
        <v>5252</v>
      </c>
      <c r="Q1095" s="716"/>
      <c r="R1095" s="716"/>
      <c r="S1095" s="716"/>
      <c r="T1095" s="716"/>
      <c r="U1095" s="716"/>
      <c r="V1095" s="716"/>
      <c r="W1095" s="716" t="str">
        <f>IFERROR(VLOOKUP('General price list'!$C1095,Popisy!A:P,MATCH($W$17,Popisy!$A$7:$P$7,0),FALSE),"---------------")</f>
        <v>Maketa výrobku - bez složí</v>
      </c>
      <c r="X1095" s="716" t="str">
        <f t="shared" ref="X1095:X1096" si="2798">IF(AB1095&lt;0.0001,"",AB1095)</f>
        <v/>
      </c>
      <c r="Y1095" s="716" t="str">
        <f t="shared" ref="Y1095:Y1096" si="2799">IF($AL$3=2,IF(OR(AB1095&lt;&gt;"",AB1095&lt;&gt;0),AU1095,""),IF(C1095="","",IF(AB1095&lt;0.0001,"",IF(B1095=0,"",IF(AQ1095&lt;AB1095,"",AB1095)))))</f>
        <v/>
      </c>
      <c r="Z1095" s="716" t="str">
        <f>HYPERLINK("https://www.klasekpyrotechnics.cz/c8825m")</f>
        <v>https://www.klasekpyrotechnics.cz/c8825m</v>
      </c>
      <c r="AA1095" s="716" t="str">
        <f>IFERROR(IF(VLOOKUP(C1095,[4]List1!$A:$D,4,FALSE)=0,"",VLOOKUP(C1095,[4]List1!$A:$D,4,FALSE)),"")</f>
        <v/>
      </c>
      <c r="AB1095" s="720"/>
      <c r="AC1095" s="721" t="str">
        <f>IFERROR(IF(VLOOKUP(C1095,[1]List1!$A:$D,2,FALSE)="VYPRODÁNO",$V$9,IF(VLOOKUP(C1095,[1]List1!$A:$D,2,FALSE)="DOCHÁZÍ",$V$3,VLOOKUP(C1095,[1]List1!$A:$D,2,FALSE))),"OFFLINE!")</f>
        <v>SKLADEM</v>
      </c>
      <c r="AD1095" s="722" t="str">
        <f ca="1">IF(AP1095="NE",$V$10,IF(AC1095=$V$3,IF(AQ1095&lt;1,$V$8,$V$2&amp;" "&amp;AQ1095&amp;" "&amp;$V$1),IF(AC1095="SKLADEM",$V$6,IFERROR(IF(OR(AC1095-TODAY()&gt;45,VLOOKUP(C1095,[1]List1!$A:$E,4,FALSE)=0),AC1095,DAY(AC1095)&amp;"."&amp;MONTH(AC1095)&amp;"."&amp;YEAR(AC1095)&amp;" "&amp;$V$4&amp;VLOOKUP(C1095,[1]List1!$A:$E,4,FALSE)&amp;" "&amp;$V$1),AC1095))))</f>
        <v>SKLADEM</v>
      </c>
      <c r="AE1095" s="716" t="str">
        <f t="shared" ref="AE1095:AE1096" ca="1" si="2800">IFERROR(IF(AV1095&lt;&gt;"",AV1095,AD1095),AD1095)</f>
        <v>SKLADEM</v>
      </c>
      <c r="AF1095" s="723">
        <f t="shared" ref="AF1095:AF1096" si="2801">IFERROR(IF(AB1095=Y1095,G1095*I1095*Y1095,0),0)</f>
        <v>0</v>
      </c>
      <c r="AG1095" s="723">
        <f t="shared" ref="AG1095:AG1096" si="2802">IF($W$17=$AF$8,AH1095*1.23,AF1095*1.21)</f>
        <v>0</v>
      </c>
      <c r="AH1095" s="724">
        <f t="shared" ref="AH1095:AH1096" si="2803">IFERROR(IF(Y1095=AB1095,H1095*I1095*Y1095,0),0)</f>
        <v>0</v>
      </c>
      <c r="AI1095" s="716">
        <f t="shared" ref="AI1095:AI1096" si="2804">IFERROR(IF(Y1095=AB1095,(P1095*Y1095)/1000,1),0)</f>
        <v>0</v>
      </c>
      <c r="AJ1095" s="716">
        <f t="shared" ref="AJ1095:AJ1096" si="2805">IFERROR(IF(Y1095=AB1095,N1095*Y1095,0.1),0)</f>
        <v>0</v>
      </c>
      <c r="AK1095" s="716" t="str">
        <f t="shared" ref="AK1095:AK1096" si="2806">IFERROR(IF(Y1095=AB1095,IF(M1095="1.1G",(O1095/1000)*Y1095,""),""),0)</f>
        <v/>
      </c>
      <c r="AL1095" s="716" t="str">
        <f t="shared" ref="AL1095:AL1096" si="2807">IFERROR(IF(Y1095=AB1095,IF(M1095="1.3G",(O1095/1000)*AB1095,""),""),0)</f>
        <v/>
      </c>
      <c r="AM1095" s="716" t="str">
        <f t="shared" ref="AM1095:AM1096" si="2808">IFERROR(IF(Y1095=AB1095,IF(M1095="1.4G",(O1095/1000)*AB1095,""),""),0)</f>
        <v/>
      </c>
      <c r="AN1095" s="716">
        <f t="shared" ref="AN1095:AN1096" si="2809">SUM(AK1095:AM1095)</f>
        <v>0</v>
      </c>
      <c r="AO1095" s="380"/>
      <c r="AP1095" s="322" t="str">
        <f t="shared" si="2610"/>
        <v/>
      </c>
      <c r="AQ1095" s="323" t="str">
        <f>IF(AC1095=$V$3,IF(VLOOKUP(C1095,[1]List1!$A:$E,5,FALSE)=0,1,VLOOKUP(C1095,[1]List1!$A:$E,5,FALSE)),"")</f>
        <v/>
      </c>
      <c r="AR1095" s="304" t="str">
        <f t="shared" si="2611"/>
        <v/>
      </c>
      <c r="AS1095" s="423" t="str">
        <f t="shared" si="2612"/>
        <v/>
      </c>
      <c r="AT1095" s="304" t="str">
        <f t="shared" si="2613"/>
        <v/>
      </c>
      <c r="AU1095" s="342" t="e">
        <f t="shared" si="2614"/>
        <v>#N/A</v>
      </c>
      <c r="AV1095" s="304" t="e">
        <f t="shared" si="2615"/>
        <v>#N/A</v>
      </c>
      <c r="AX1095" s="304">
        <f>IF(AND('General price list'!$J1095="F4",'General price list'!$AB1095+0&gt;0),1,0)</f>
        <v>0</v>
      </c>
      <c r="AY1095" s="304">
        <f t="shared" si="2616"/>
        <v>0</v>
      </c>
      <c r="AZ1095" s="304">
        <f t="shared" si="2617"/>
        <v>0</v>
      </c>
    </row>
    <row r="1096" spans="1:52" ht="15" customHeight="1">
      <c r="A1096" s="725" t="str">
        <f>Kat.!C1093</f>
        <v/>
      </c>
      <c r="B1096" s="726">
        <f>IF(AND('General price list'!$J1096="F4",$AI$1=FALSE),0,IF(AC1096="SKLADEM",1,IF(AC1096=$V$3,1,0)))</f>
        <v>1</v>
      </c>
      <c r="C1096" s="727" t="s">
        <v>2330</v>
      </c>
      <c r="D1096" s="728" t="s">
        <v>2331</v>
      </c>
      <c r="E1096" s="729" t="s">
        <v>136</v>
      </c>
      <c r="F1096" s="725">
        <f>IFERROR(ROUND(IF($AL$3=2,VLOOKUP(C1096,[2]List1!$A:$D,2,FALSE)*1.08,VLOOKUP(C1096,[2]List1!$A:$D,2,FALSE)),0),"NEUVEDENO!")</f>
        <v>774</v>
      </c>
      <c r="G1096" s="730">
        <f t="shared" si="2796"/>
        <v>774</v>
      </c>
      <c r="H1096" s="731">
        <f t="shared" si="2797"/>
        <v>31.4520356456404</v>
      </c>
      <c r="I1096" s="732">
        <v>1</v>
      </c>
      <c r="J1096" s="729"/>
      <c r="K1096" s="729">
        <v>7</v>
      </c>
      <c r="L1096" s="729" t="s">
        <v>14464</v>
      </c>
      <c r="M1096" s="729"/>
      <c r="N1096" s="729">
        <f>IFERROR(VLOOKUP(C1096,[3]List1!$A:$D,4,FALSE),"N/A!")</f>
        <v>1.5389250000000002E-2</v>
      </c>
      <c r="O1096" s="729">
        <f>IFERROR(VLOOKUP(C1096,[3]List1!$A:$D,3,FALSE),"N/A!")</f>
        <v>0</v>
      </c>
      <c r="P1096" s="729">
        <f>IFERROR(VLOOKUP(C1096,[3]List1!$A:$D,2,FALSE),"N/A!")</f>
        <v>5252</v>
      </c>
      <c r="Q1096" s="729"/>
      <c r="R1096" s="729"/>
      <c r="S1096" s="729"/>
      <c r="T1096" s="729"/>
      <c r="U1096" s="729"/>
      <c r="V1096" s="729"/>
      <c r="W1096" s="729" t="str">
        <f>IFERROR(VLOOKUP('General price list'!$C1096,Popisy!A:P,MATCH($W$17,Popisy!$A$7:$P$7,0),FALSE),"---------------")</f>
        <v>Maketa výrobku - bez složí</v>
      </c>
      <c r="X1096" s="729" t="str">
        <f t="shared" si="2798"/>
        <v/>
      </c>
      <c r="Y1096" s="729" t="str">
        <f t="shared" si="2799"/>
        <v/>
      </c>
      <c r="Z1096" s="729" t="str">
        <f>HYPERLINK("https://www.klasekpyrotechnics.cz/c8825pa")</f>
        <v>https://www.klasekpyrotechnics.cz/c8825pa</v>
      </c>
      <c r="AA1096" s="729" t="str">
        <f>IFERROR(IF(VLOOKUP(C1096,[4]List1!$A:$D,4,FALSE)=0,"",VLOOKUP(C1096,[4]List1!$A:$D,4,FALSE)),"")</f>
        <v/>
      </c>
      <c r="AB1096" s="720"/>
      <c r="AC1096" s="733" t="str">
        <f>IFERROR(IF(VLOOKUP(C1096,[1]List1!$A:$D,2,FALSE)="VYPRODÁNO",$V$9,IF(VLOOKUP(C1096,[1]List1!$A:$D,2,FALSE)="DOCHÁZÍ",$V$3,VLOOKUP(C1096,[1]List1!$A:$D,2,FALSE))),"OFFLINE!")</f>
        <v>SKLADEM</v>
      </c>
      <c r="AD1096" s="734" t="str">
        <f ca="1">IF(AP1096="NE",$V$10,IF(AC1096=$V$3,IF(AQ1096&lt;1,$V$8,$V$2&amp;" "&amp;AQ1096&amp;" "&amp;$V$1),IF(AC1096="SKLADEM",$V$6,IFERROR(IF(OR(AC1096-TODAY()&gt;45,VLOOKUP(C1096,[1]List1!$A:$E,4,FALSE)=0),AC1096,DAY(AC1096)&amp;"."&amp;MONTH(AC1096)&amp;"."&amp;YEAR(AC1096)&amp;" "&amp;$V$4&amp;VLOOKUP(C1096,[1]List1!$A:$E,4,FALSE)&amp;" "&amp;$V$1),AC1096))))</f>
        <v>SKLADEM</v>
      </c>
      <c r="AE1096" s="729" t="str">
        <f t="shared" ca="1" si="2800"/>
        <v>SKLADEM</v>
      </c>
      <c r="AF1096" s="735">
        <f t="shared" si="2801"/>
        <v>0</v>
      </c>
      <c r="AG1096" s="735">
        <f t="shared" si="2802"/>
        <v>0</v>
      </c>
      <c r="AH1096" s="736">
        <f t="shared" si="2803"/>
        <v>0</v>
      </c>
      <c r="AI1096" s="729">
        <f t="shared" si="2804"/>
        <v>0</v>
      </c>
      <c r="AJ1096" s="729">
        <f t="shared" si="2805"/>
        <v>0</v>
      </c>
      <c r="AK1096" s="729" t="str">
        <f t="shared" si="2806"/>
        <v/>
      </c>
      <c r="AL1096" s="729" t="str">
        <f t="shared" si="2807"/>
        <v/>
      </c>
      <c r="AM1096" s="729" t="str">
        <f t="shared" si="2808"/>
        <v/>
      </c>
      <c r="AN1096" s="729">
        <f t="shared" si="2809"/>
        <v>0</v>
      </c>
      <c r="AO1096" s="380"/>
      <c r="AP1096" s="322" t="str">
        <f t="shared" si="2610"/>
        <v/>
      </c>
      <c r="AQ1096" s="323" t="str">
        <f>IF(AC1096=$V$3,IF(VLOOKUP(C1096,[1]List1!$A:$E,5,FALSE)=0,1,VLOOKUP(C1096,[1]List1!$A:$E,5,FALSE)),"")</f>
        <v/>
      </c>
      <c r="AR1096" s="304" t="str">
        <f t="shared" si="2611"/>
        <v/>
      </c>
      <c r="AS1096" s="423" t="str">
        <f t="shared" si="2612"/>
        <v/>
      </c>
      <c r="AT1096" s="304" t="str">
        <f t="shared" si="2613"/>
        <v/>
      </c>
      <c r="AU1096" s="342" t="e">
        <f t="shared" si="2614"/>
        <v>#N/A</v>
      </c>
      <c r="AV1096" s="304" t="e">
        <f t="shared" si="2615"/>
        <v>#N/A</v>
      </c>
      <c r="AX1096" s="304">
        <f>IF(AND('General price list'!$J1096="F4",'General price list'!$AB1096+0&gt;0),1,0)</f>
        <v>0</v>
      </c>
      <c r="AY1096" s="304">
        <f t="shared" si="2616"/>
        <v>0</v>
      </c>
      <c r="AZ1096" s="304">
        <f t="shared" si="2617"/>
        <v>0</v>
      </c>
    </row>
    <row r="1097" spans="1:52" ht="15" customHeight="1">
      <c r="A1097" s="773" t="str">
        <f>Kat.!C1094</f>
        <v xml:space="preserve">                                                               Baterie 89ran, 25mm I+W+šikmý moždíř-1.3G</v>
      </c>
      <c r="B1097" s="774"/>
      <c r="C1097" s="774"/>
      <c r="D1097" s="774"/>
      <c r="E1097" s="774"/>
      <c r="F1097" s="774"/>
      <c r="G1097" s="774"/>
      <c r="H1097" s="774"/>
      <c r="I1097" s="774"/>
      <c r="J1097" s="774"/>
      <c r="K1097" s="774"/>
      <c r="L1097" s="774"/>
      <c r="M1097" s="774"/>
      <c r="N1097" s="774"/>
      <c r="O1097" s="774"/>
      <c r="P1097" s="774"/>
      <c r="Q1097" s="774"/>
      <c r="R1097" s="774"/>
      <c r="S1097" s="774"/>
      <c r="T1097" s="774"/>
      <c r="U1097" s="774"/>
      <c r="V1097" s="774"/>
      <c r="W1097" s="774"/>
      <c r="X1097" s="774"/>
      <c r="Y1097" s="774"/>
      <c r="Z1097" s="774"/>
      <c r="AA1097" s="774" t="str">
        <f>IFERROR(IF(VLOOKUP(C1097,[4]List1!$A:$D,4,FALSE)=0,"",VLOOKUP(C1097,[4]List1!$A:$D,4,FALSE)),"")</f>
        <v/>
      </c>
      <c r="AB1097" s="774"/>
      <c r="AC1097" s="775" t="str">
        <f>IFERROR(IF(VLOOKUP(C1097,[1]List1!$A:$D,2,FALSE)="VYPRODÁNO",$V$9,IF(VLOOKUP(C1097,[1]List1!$A:$D,2,FALSE)="DOCHÁZÍ",$V$3,VLOOKUP(C1097,[1]List1!$A:$D,2,FALSE))),"OFFLINE!")</f>
        <v>OFFLINE!</v>
      </c>
      <c r="AD1097" s="774"/>
      <c r="AE1097" s="774"/>
      <c r="AF1097" s="774"/>
      <c r="AG1097" s="774"/>
      <c r="AH1097" s="774"/>
      <c r="AI1097" s="774"/>
      <c r="AJ1097" s="774"/>
      <c r="AK1097" s="774"/>
      <c r="AL1097" s="774"/>
      <c r="AM1097" s="774"/>
      <c r="AN1097" s="774"/>
      <c r="AO1097" s="380"/>
      <c r="AP1097" s="322" t="str">
        <f t="shared" si="2610"/>
        <v/>
      </c>
      <c r="AQ1097" s="323" t="str">
        <f>IF(AC1097=$V$3,IF(VLOOKUP(C1097,[1]List1!$A:$E,5,FALSE)=0,1,VLOOKUP(C1097,[1]List1!$A:$E,5,FALSE)),"")</f>
        <v/>
      </c>
      <c r="AR1097" s="304" t="str">
        <f t="shared" si="2611"/>
        <v/>
      </c>
      <c r="AS1097" s="423" t="str">
        <f t="shared" si="2612"/>
        <v/>
      </c>
      <c r="AT1097" s="304" t="str">
        <f t="shared" si="2613"/>
        <v/>
      </c>
      <c r="AU1097" s="342" t="e">
        <f t="shared" si="2614"/>
        <v>#N/A</v>
      </c>
      <c r="AV1097" s="304" t="e">
        <f t="shared" si="2615"/>
        <v>#N/A</v>
      </c>
      <c r="AX1097" s="304">
        <f>IF(AND('General price list'!$J1097="F4",'General price list'!$AB1097+0&gt;0),1,0)</f>
        <v>0</v>
      </c>
      <c r="AY1097" s="304">
        <f t="shared" si="2616"/>
        <v>0</v>
      </c>
      <c r="AZ1097" s="304">
        <f t="shared" si="2617"/>
        <v>0</v>
      </c>
    </row>
    <row r="1098" spans="1:52" ht="15" customHeight="1">
      <c r="A1098" s="725" t="str">
        <f>Kat.!C1095</f>
        <v/>
      </c>
      <c r="B1098" s="741">
        <f>IF(AND('General price list'!$J1098="F4",$AI$1=FALSE),0,IF(AC1098="SKLADEM",1,IF(AC1098=$V$3,1,0)))</f>
        <v>0</v>
      </c>
      <c r="C1098" s="727" t="s">
        <v>2332</v>
      </c>
      <c r="D1098" s="728" t="s">
        <v>2333</v>
      </c>
      <c r="E1098" s="729" t="s">
        <v>136</v>
      </c>
      <c r="F1098" s="725">
        <f>IFERROR(ROUND(IF($AL$3=2,VLOOKUP(C1098,[2]List1!$A:$D,2,FALSE)*1.08,VLOOKUP(C1098,[2]List1!$A:$D,2,FALSE)),0),"NEUVEDENO!")</f>
        <v>955</v>
      </c>
      <c r="G1098" s="730">
        <f>(F1098)*$B$19</f>
        <v>955</v>
      </c>
      <c r="H1098" s="731">
        <f>G1098/$F$19</f>
        <v>38.807098244943901</v>
      </c>
      <c r="I1098" s="742">
        <v>1</v>
      </c>
      <c r="J1098" s="729"/>
      <c r="K1098" s="729">
        <v>7</v>
      </c>
      <c r="L1098" s="729" t="s">
        <v>14464</v>
      </c>
      <c r="M1098" s="729"/>
      <c r="N1098" s="729">
        <f>IFERROR(VLOOKUP(C1098,[3]List1!$A:$D,4,FALSE),"N/A!")</f>
        <v>2.3688499999999998E-2</v>
      </c>
      <c r="O1098" s="729">
        <f>IFERROR(VLOOKUP(C1098,[3]List1!$A:$D,3,FALSE),"N/A!")</f>
        <v>0</v>
      </c>
      <c r="P1098" s="729">
        <f>IFERROR(VLOOKUP(C1098,[3]List1!$A:$D,2,FALSE),"N/A!")</f>
        <v>6355</v>
      </c>
      <c r="Q1098" s="729"/>
      <c r="R1098" s="729"/>
      <c r="S1098" s="729"/>
      <c r="T1098" s="729"/>
      <c r="U1098" s="729"/>
      <c r="V1098" s="729"/>
      <c r="W1098" s="729" t="str">
        <f>IFERROR(VLOOKUP('General price list'!$C1098,Popisy!A:P,MATCH($W$17,Popisy!$A$7:$P$7,0),FALSE),"---------------")</f>
        <v>Maketa výrobku - bez složí</v>
      </c>
      <c r="X1098" s="729" t="str">
        <f>IF(AB1098&lt;0.0001,"",AB1098)</f>
        <v/>
      </c>
      <c r="Y1098" s="729" t="str">
        <f>IF($AL$3=2,IF(OR(AB1098&lt;&gt;"",AB1098&lt;&gt;0),AU1098,""),IF(C1098="","",IF(AB1098&lt;0.0001,"",IF(B1098=0,"",IF(AQ1098&lt;AB1098,"",AB1098)))))</f>
        <v/>
      </c>
      <c r="Z1098" s="729" t="str">
        <f>HYPERLINK("https://www.klasekpyrotechnics.cz/c8925n")</f>
        <v>https://www.klasekpyrotechnics.cz/c8925n</v>
      </c>
      <c r="AA1098" s="729" t="str">
        <f>IFERROR(IF(VLOOKUP(C1098,[4]List1!$A:$D,4,FALSE)=0,"",VLOOKUP(C1098,[4]List1!$A:$D,4,FALSE)),"")</f>
        <v/>
      </c>
      <c r="AB1098" s="720"/>
      <c r="AC1098" s="743" t="str">
        <f>IFERROR(IF(VLOOKUP(C1098,[1]List1!$A:$D,2,FALSE)="VYPRODÁNO",$V$9,IF(VLOOKUP(C1098,[1]List1!$A:$D,2,FALSE)="DOCHÁZÍ",$V$3,VLOOKUP(C1098,[1]List1!$A:$D,2,FALSE))),"OFFLINE!")</f>
        <v>VYPRODÁNO</v>
      </c>
      <c r="AD1098" s="744" t="str">
        <f ca="1">IF(AP1098="NE",$V$10,IF(AC1098=$V$3,IF(AQ1098&lt;1,$V$8,$V$2&amp;" "&amp;AQ1098&amp;" "&amp;$V$1),IF(AC1098="SKLADEM",$V$6,IFERROR(IF(OR(AC1098-TODAY()&gt;45,VLOOKUP(C1098,[1]List1!$A:$E,4,FALSE)=0),AC1098,DAY(AC1098)&amp;"."&amp;MONTH(AC1098)&amp;"."&amp;YEAR(AC1098)&amp;" "&amp;$V$4&amp;VLOOKUP(C1098,[1]List1!$A:$E,4,FALSE)&amp;" "&amp;$V$1),AC1098))))</f>
        <v>VYPRODÁNO</v>
      </c>
      <c r="AE1098" s="729" t="str">
        <f t="shared" ref="AE1098" ca="1" si="2810">IFERROR(IF(AV1098&lt;&gt;"",AV1098,AD1098),AD1098)</f>
        <v>VYPRODÁNO</v>
      </c>
      <c r="AF1098" s="735">
        <f t="shared" ref="AF1098" si="2811">IFERROR(IF(AB1098=Y1098,G1098*I1098*Y1098,0),0)</f>
        <v>0</v>
      </c>
      <c r="AG1098" s="735">
        <f t="shared" ref="AG1098" si="2812">IF($W$17=$AF$8,AH1098*1.23,AF1098*1.21)</f>
        <v>0</v>
      </c>
      <c r="AH1098" s="736">
        <f t="shared" ref="AH1098" si="2813">IFERROR(IF(Y1098=AB1098,H1098*I1098*Y1098,0),0)</f>
        <v>0</v>
      </c>
      <c r="AI1098" s="729">
        <f t="shared" ref="AI1098" si="2814">IFERROR(IF(Y1098=AB1098,(P1098*Y1098)/1000,1),0)</f>
        <v>0</v>
      </c>
      <c r="AJ1098" s="729">
        <f t="shared" ref="AJ1098" si="2815">IFERROR(IF(Y1098=AB1098,N1098*Y1098,0.1),0)</f>
        <v>0</v>
      </c>
      <c r="AK1098" s="729" t="str">
        <f t="shared" ref="AK1098" si="2816">IFERROR(IF(Y1098=AB1098,IF(M1098="1.1G",(O1098/1000)*Y1098,""),""),0)</f>
        <v/>
      </c>
      <c r="AL1098" s="729" t="str">
        <f t="shared" ref="AL1098" si="2817">IFERROR(IF(Y1098=AB1098,IF(M1098="1.3G",(O1098/1000)*AB1098,""),""),0)</f>
        <v/>
      </c>
      <c r="AM1098" s="729" t="str">
        <f t="shared" ref="AM1098" si="2818">IFERROR(IF(Y1098=AB1098,IF(M1098="1.4G",(O1098/1000)*AB1098,""),""),0)</f>
        <v/>
      </c>
      <c r="AN1098" s="729">
        <f t="shared" ref="AN1098" si="2819">SUM(AK1098:AM1098)</f>
        <v>0</v>
      </c>
      <c r="AO1098" s="380"/>
      <c r="AP1098" s="322" t="str">
        <f t="shared" si="2610"/>
        <v/>
      </c>
      <c r="AQ1098" s="323" t="str">
        <f>IF(AC1098=$V$3,IF(VLOOKUP(C1098,[1]List1!$A:$E,5,FALSE)=0,1,VLOOKUP(C1098,[1]List1!$A:$E,5,FALSE)),"")</f>
        <v/>
      </c>
      <c r="AR1098" s="304" t="str">
        <f t="shared" si="2611"/>
        <v/>
      </c>
      <c r="AS1098" s="423" t="str">
        <f t="shared" si="2612"/>
        <v/>
      </c>
      <c r="AT1098" s="304" t="str">
        <f t="shared" si="2613"/>
        <v/>
      </c>
      <c r="AU1098" s="342" t="e">
        <f t="shared" si="2614"/>
        <v>#N/A</v>
      </c>
      <c r="AV1098" s="304" t="e">
        <f t="shared" si="2615"/>
        <v>#N/A</v>
      </c>
      <c r="AX1098" s="304">
        <f>IF(AND('General price list'!$J1098="F4",'General price list'!$AB1098+0&gt;0),1,0)</f>
        <v>0</v>
      </c>
      <c r="AY1098" s="304">
        <f t="shared" si="2616"/>
        <v>0</v>
      </c>
      <c r="AZ1098" s="304">
        <f t="shared" si="2617"/>
        <v>0</v>
      </c>
    </row>
    <row r="1099" spans="1:52" ht="15" customHeight="1">
      <c r="A1099" s="773" t="str">
        <f>Kat.!C1096</f>
        <v xml:space="preserve">                                                               Baterie 100ran, 25mm moždíř-1.3G</v>
      </c>
      <c r="B1099" s="774"/>
      <c r="C1099" s="774"/>
      <c r="D1099" s="774"/>
      <c r="E1099" s="774"/>
      <c r="F1099" s="774"/>
      <c r="G1099" s="774"/>
      <c r="H1099" s="774"/>
      <c r="I1099" s="774"/>
      <c r="J1099" s="774"/>
      <c r="K1099" s="774"/>
      <c r="L1099" s="774"/>
      <c r="M1099" s="774"/>
      <c r="N1099" s="774"/>
      <c r="O1099" s="774"/>
      <c r="P1099" s="774"/>
      <c r="Q1099" s="774"/>
      <c r="R1099" s="774"/>
      <c r="S1099" s="774"/>
      <c r="T1099" s="774"/>
      <c r="U1099" s="774"/>
      <c r="V1099" s="774"/>
      <c r="W1099" s="774"/>
      <c r="X1099" s="774"/>
      <c r="Y1099" s="774"/>
      <c r="Z1099" s="774"/>
      <c r="AA1099" s="774" t="str">
        <f>IFERROR(IF(VLOOKUP(C1099,[4]List1!$A:$D,4,FALSE)=0,"",VLOOKUP(C1099,[4]List1!$A:$D,4,FALSE)),"")</f>
        <v/>
      </c>
      <c r="AB1099" s="774"/>
      <c r="AC1099" s="775" t="str">
        <f>IFERROR(IF(VLOOKUP(C1099,[1]List1!$A:$D,2,FALSE)="VYPRODÁNO",$V$9,IF(VLOOKUP(C1099,[1]List1!$A:$D,2,FALSE)="DOCHÁZÍ",$V$3,VLOOKUP(C1099,[1]List1!$A:$D,2,FALSE))),"OFFLINE!")</f>
        <v>OFFLINE!</v>
      </c>
      <c r="AD1099" s="774"/>
      <c r="AE1099" s="774"/>
      <c r="AF1099" s="774"/>
      <c r="AG1099" s="774"/>
      <c r="AH1099" s="774"/>
      <c r="AI1099" s="774"/>
      <c r="AJ1099" s="774"/>
      <c r="AK1099" s="774"/>
      <c r="AL1099" s="774"/>
      <c r="AM1099" s="774"/>
      <c r="AN1099" s="774"/>
      <c r="AO1099" s="380"/>
      <c r="AP1099" s="322" t="str">
        <f t="shared" si="2610"/>
        <v/>
      </c>
      <c r="AQ1099" s="323" t="str">
        <f>IF(AC1099=$V$3,IF(VLOOKUP(C1099,[1]List1!$A:$E,5,FALSE)=0,1,VLOOKUP(C1099,[1]List1!$A:$E,5,FALSE)),"")</f>
        <v/>
      </c>
      <c r="AR1099" s="304" t="str">
        <f t="shared" si="2611"/>
        <v/>
      </c>
      <c r="AS1099" s="423" t="str">
        <f t="shared" si="2612"/>
        <v/>
      </c>
      <c r="AT1099" s="304" t="str">
        <f t="shared" si="2613"/>
        <v/>
      </c>
      <c r="AU1099" s="342" t="e">
        <f t="shared" si="2614"/>
        <v>#N/A</v>
      </c>
      <c r="AV1099" s="304" t="e">
        <f t="shared" si="2615"/>
        <v>#N/A</v>
      </c>
      <c r="AX1099" s="304">
        <f>IF(AND('General price list'!$J1099="F4",'General price list'!$AB1099+0&gt;0),1,0)</f>
        <v>0</v>
      </c>
      <c r="AY1099" s="304">
        <f t="shared" si="2616"/>
        <v>0</v>
      </c>
      <c r="AZ1099" s="304">
        <f t="shared" si="2617"/>
        <v>0</v>
      </c>
    </row>
    <row r="1100" spans="1:52" ht="15" customHeight="1">
      <c r="A1100" s="725" t="str">
        <f>Kat.!C1097</f>
        <v/>
      </c>
      <c r="B1100" s="741">
        <f>IF(AND('General price list'!$J1100="F4",$AI$1=FALSE),0,IF(AC1100="SKLADEM",1,IF(AC1100=$V$3,1,0)))</f>
        <v>1</v>
      </c>
      <c r="C1100" s="727" t="s">
        <v>2334</v>
      </c>
      <c r="D1100" s="728" t="s">
        <v>2335</v>
      </c>
      <c r="E1100" s="729" t="s">
        <v>136</v>
      </c>
      <c r="F1100" s="725">
        <f>IFERROR(ROUND(IF($AL$3=2,VLOOKUP(C1100,[2]List1!$A:$D,2,FALSE)*1.08,VLOOKUP(C1100,[2]List1!$A:$D,2,FALSE)),0),"NEUVEDENO!")</f>
        <v>835</v>
      </c>
      <c r="G1100" s="730">
        <f>(F1100)*$B$19</f>
        <v>835</v>
      </c>
      <c r="H1100" s="731">
        <f>G1100/$F$19</f>
        <v>33.930813648720587</v>
      </c>
      <c r="I1100" s="742">
        <v>1</v>
      </c>
      <c r="J1100" s="729"/>
      <c r="K1100" s="729">
        <v>7</v>
      </c>
      <c r="L1100" s="729" t="s">
        <v>14464</v>
      </c>
      <c r="M1100" s="729"/>
      <c r="N1100" s="729">
        <f>IFERROR(VLOOKUP(C1100,[3]List1!$A:$D,4,FALSE),"N/A!")</f>
        <v>1.6864000000000001E-2</v>
      </c>
      <c r="O1100" s="729">
        <f>IFERROR(VLOOKUP(C1100,[3]List1!$A:$D,3,FALSE),"N/A!")</f>
        <v>0</v>
      </c>
      <c r="P1100" s="729">
        <f>IFERROR(VLOOKUP(C1100,[3]List1!$A:$D,2,FALSE),"N/A!")</f>
        <v>3400</v>
      </c>
      <c r="Q1100" s="729"/>
      <c r="R1100" s="729"/>
      <c r="S1100" s="729"/>
      <c r="T1100" s="729"/>
      <c r="U1100" s="729"/>
      <c r="V1100" s="729"/>
      <c r="W1100" s="729" t="str">
        <f>IFERROR(VLOOKUP('General price list'!$C1100,Popisy!A:P,MATCH($W$17,Popisy!$A$7:$P$7,0),FALSE),"---------------")</f>
        <v>Maketa výrobku - bez složí</v>
      </c>
      <c r="X1100" s="729" t="str">
        <f>IF(AB1100&lt;0.0001,"",AB1100)</f>
        <v/>
      </c>
      <c r="Y1100" s="729" t="str">
        <f>IF($AL$3=2,IF(OR(AB1100&lt;&gt;"",AB1100&lt;&gt;0),AU1100,""),IF(C1100="","",IF(AB1100&lt;0.0001,"",IF(B1100=0,"",IF(AQ1100&lt;AB1100,"",AB1100)))))</f>
        <v/>
      </c>
      <c r="Z1100" s="729" t="str">
        <f>HYPERLINK("https://www.klasekpyrotechnics.cz/c10025s")</f>
        <v>https://www.klasekpyrotechnics.cz/c10025s</v>
      </c>
      <c r="AA1100" s="729" t="str">
        <f>IFERROR(IF(VLOOKUP(C1100,[4]List1!$A:$D,4,FALSE)=0,"",VLOOKUP(C1100,[4]List1!$A:$D,4,FALSE)),"")</f>
        <v/>
      </c>
      <c r="AB1100" s="720"/>
      <c r="AC1100" s="743" t="str">
        <f>IFERROR(IF(VLOOKUP(C1100,[1]List1!$A:$D,2,FALSE)="VYPRODÁNO",$V$9,IF(VLOOKUP(C1100,[1]List1!$A:$D,2,FALSE)="DOCHÁZÍ",$V$3,VLOOKUP(C1100,[1]List1!$A:$D,2,FALSE))),"OFFLINE!")</f>
        <v>SKLADEM</v>
      </c>
      <c r="AD1100" s="744" t="str">
        <f ca="1">IF(AP1100="NE",$V$10,IF(AC1100=$V$3,IF(AQ1100&lt;1,$V$8,$V$2&amp;" "&amp;AQ1100&amp;" "&amp;$V$1),IF(AC1100="SKLADEM",$V$6,IFERROR(IF(OR(AC1100-TODAY()&gt;45,VLOOKUP(C1100,[1]List1!$A:$E,4,FALSE)=0),AC1100,DAY(AC1100)&amp;"."&amp;MONTH(AC1100)&amp;"."&amp;YEAR(AC1100)&amp;" "&amp;$V$4&amp;VLOOKUP(C1100,[1]List1!$A:$E,4,FALSE)&amp;" "&amp;$V$1),AC1100))))</f>
        <v>SKLADEM</v>
      </c>
      <c r="AE1100" s="729" t="str">
        <f t="shared" ref="AE1100" ca="1" si="2820">IFERROR(IF(AV1100&lt;&gt;"",AV1100,AD1100),AD1100)</f>
        <v>SKLADEM</v>
      </c>
      <c r="AF1100" s="735">
        <f t="shared" ref="AF1100" si="2821">IFERROR(IF(AB1100=Y1100,G1100*I1100*Y1100,0),0)</f>
        <v>0</v>
      </c>
      <c r="AG1100" s="735">
        <f t="shared" ref="AG1100" si="2822">IF($W$17=$AF$8,AH1100*1.23,AF1100*1.21)</f>
        <v>0</v>
      </c>
      <c r="AH1100" s="736">
        <f t="shared" ref="AH1100" si="2823">IFERROR(IF(Y1100=AB1100,H1100*I1100*Y1100,0),0)</f>
        <v>0</v>
      </c>
      <c r="AI1100" s="729">
        <f t="shared" ref="AI1100" si="2824">IFERROR(IF(Y1100=AB1100,(P1100*Y1100)/1000,1),0)</f>
        <v>0</v>
      </c>
      <c r="AJ1100" s="729">
        <f t="shared" ref="AJ1100" si="2825">IFERROR(IF(Y1100=AB1100,N1100*Y1100,0.1),0)</f>
        <v>0</v>
      </c>
      <c r="AK1100" s="729" t="str">
        <f t="shared" ref="AK1100" si="2826">IFERROR(IF(Y1100=AB1100,IF(M1100="1.1G",(O1100/1000)*Y1100,""),""),0)</f>
        <v/>
      </c>
      <c r="AL1100" s="729" t="str">
        <f t="shared" ref="AL1100" si="2827">IFERROR(IF(Y1100=AB1100,IF(M1100="1.3G",(O1100/1000)*AB1100,""),""),0)</f>
        <v/>
      </c>
      <c r="AM1100" s="729" t="str">
        <f t="shared" ref="AM1100" si="2828">IFERROR(IF(Y1100=AB1100,IF(M1100="1.4G",(O1100/1000)*AB1100,""),""),0)</f>
        <v/>
      </c>
      <c r="AN1100" s="729">
        <f t="shared" ref="AN1100" si="2829">SUM(AK1100:AM1100)</f>
        <v>0</v>
      </c>
      <c r="AO1100" s="380"/>
      <c r="AP1100" s="322" t="str">
        <f t="shared" si="2610"/>
        <v/>
      </c>
      <c r="AQ1100" s="323" t="str">
        <f>IF(AC1100=$V$3,IF(VLOOKUP(C1100,[1]List1!$A:$E,5,FALSE)=0,1,VLOOKUP(C1100,[1]List1!$A:$E,5,FALSE)),"")</f>
        <v/>
      </c>
      <c r="AR1100" s="304" t="str">
        <f t="shared" si="2611"/>
        <v/>
      </c>
      <c r="AS1100" s="423" t="str">
        <f t="shared" si="2612"/>
        <v/>
      </c>
      <c r="AT1100" s="304" t="str">
        <f t="shared" si="2613"/>
        <v/>
      </c>
      <c r="AU1100" s="342" t="e">
        <f t="shared" si="2614"/>
        <v>#N/A</v>
      </c>
      <c r="AV1100" s="304" t="e">
        <f t="shared" si="2615"/>
        <v>#N/A</v>
      </c>
      <c r="AX1100" s="304">
        <f>IF(AND('General price list'!$J1100="F4",'General price list'!$AB1100+0&gt;0),1,0)</f>
        <v>0</v>
      </c>
      <c r="AY1100" s="304">
        <f t="shared" si="2616"/>
        <v>0</v>
      </c>
      <c r="AZ1100" s="304">
        <f t="shared" si="2617"/>
        <v>0</v>
      </c>
    </row>
    <row r="1101" spans="1:52" ht="15" customHeight="1">
      <c r="A1101" s="773" t="str">
        <f>Kat.!C1098</f>
        <v xml:space="preserve">                                                               Složený ohňostroj 25mm - F3 - 1.3G</v>
      </c>
      <c r="B1101" s="774"/>
      <c r="C1101" s="774"/>
      <c r="D1101" s="774"/>
      <c r="E1101" s="774"/>
      <c r="F1101" s="774"/>
      <c r="G1101" s="774"/>
      <c r="H1101" s="774"/>
      <c r="I1101" s="774"/>
      <c r="J1101" s="774"/>
      <c r="K1101" s="774"/>
      <c r="L1101" s="774"/>
      <c r="M1101" s="774"/>
      <c r="N1101" s="774"/>
      <c r="O1101" s="774"/>
      <c r="P1101" s="774"/>
      <c r="Q1101" s="774"/>
      <c r="R1101" s="774"/>
      <c r="S1101" s="774"/>
      <c r="T1101" s="774"/>
      <c r="U1101" s="774"/>
      <c r="V1101" s="774"/>
      <c r="W1101" s="774"/>
      <c r="X1101" s="774"/>
      <c r="Y1101" s="774"/>
      <c r="Z1101" s="774"/>
      <c r="AA1101" s="774" t="str">
        <f>IFERROR(IF(VLOOKUP(C1101,[4]List1!$A:$D,4,FALSE)=0,"",VLOOKUP(C1101,[4]List1!$A:$D,4,FALSE)),"")</f>
        <v/>
      </c>
      <c r="AB1101" s="774"/>
      <c r="AC1101" s="775" t="str">
        <f>IFERROR(IF(VLOOKUP(C1101,[1]List1!$A:$D,2,FALSE)="VYPRODÁNO",$V$9,IF(VLOOKUP(C1101,[1]List1!$A:$D,2,FALSE)="DOCHÁZÍ",$V$3,VLOOKUP(C1101,[1]List1!$A:$D,2,FALSE))),"OFFLINE!")</f>
        <v>OFFLINE!</v>
      </c>
      <c r="AD1101" s="774"/>
      <c r="AE1101" s="774"/>
      <c r="AF1101" s="774"/>
      <c r="AG1101" s="774"/>
      <c r="AH1101" s="774"/>
      <c r="AI1101" s="774"/>
      <c r="AJ1101" s="774"/>
      <c r="AK1101" s="774"/>
      <c r="AL1101" s="774"/>
      <c r="AM1101" s="774"/>
      <c r="AN1101" s="774"/>
      <c r="AO1101" s="380"/>
      <c r="AP1101" s="322" t="str">
        <f t="shared" si="2610"/>
        <v/>
      </c>
      <c r="AQ1101" s="323" t="str">
        <f>IF(AC1101=$V$3,IF(VLOOKUP(C1101,[1]List1!$A:$E,5,FALSE)=0,1,VLOOKUP(C1101,[1]List1!$A:$E,5,FALSE)),"")</f>
        <v/>
      </c>
      <c r="AR1101" s="304" t="str">
        <f t="shared" si="2611"/>
        <v/>
      </c>
      <c r="AS1101" s="423" t="str">
        <f t="shared" si="2612"/>
        <v/>
      </c>
      <c r="AT1101" s="304" t="str">
        <f t="shared" si="2613"/>
        <v/>
      </c>
      <c r="AU1101" s="342" t="e">
        <f t="shared" si="2614"/>
        <v>#N/A</v>
      </c>
      <c r="AV1101" s="304" t="e">
        <f t="shared" si="2615"/>
        <v>#N/A</v>
      </c>
      <c r="AX1101" s="304">
        <f>IF(AND('General price list'!$J1101="F4",'General price list'!$AB1101+0&gt;0),1,0)</f>
        <v>0</v>
      </c>
      <c r="AY1101" s="304">
        <f t="shared" si="2616"/>
        <v>0</v>
      </c>
      <c r="AZ1101" s="304">
        <f t="shared" si="2617"/>
        <v>0</v>
      </c>
    </row>
    <row r="1102" spans="1:52" ht="15" customHeight="1">
      <c r="A1102" s="725" t="str">
        <f>Kat.!C1099</f>
        <v/>
      </c>
      <c r="B1102" s="741">
        <f>IF(AND('General price list'!$J1102="F4",$AI$1=FALSE),0,IF(AC1102="SKLADEM",1,IF(AC1102=$V$3,1,0)))</f>
        <v>1</v>
      </c>
      <c r="C1102" s="727" t="s">
        <v>2336</v>
      </c>
      <c r="D1102" s="728" t="s">
        <v>2337</v>
      </c>
      <c r="E1102" s="729" t="s">
        <v>136</v>
      </c>
      <c r="F1102" s="725">
        <f>IFERROR(ROUND(IF($AL$3=2,VLOOKUP(C1102,[2]List1!$A:$D,2,FALSE)*1.08,VLOOKUP(C1102,[2]List1!$A:$D,2,FALSE)),0),"NEUVEDENO!")</f>
        <v>1097</v>
      </c>
      <c r="G1102" s="730">
        <f>(F1102)*$B$19</f>
        <v>1097</v>
      </c>
      <c r="H1102" s="731">
        <f>G1102/$F$19</f>
        <v>44.577368350474828</v>
      </c>
      <c r="I1102" s="742">
        <v>1</v>
      </c>
      <c r="J1102" s="729"/>
      <c r="K1102" s="729">
        <v>7</v>
      </c>
      <c r="L1102" s="729" t="s">
        <v>14464</v>
      </c>
      <c r="M1102" s="729"/>
      <c r="N1102" s="729">
        <f>IFERROR(VLOOKUP(C1102,[3]List1!$A:$D,4,FALSE),"N/A!")</f>
        <v>1.81125E-2</v>
      </c>
      <c r="O1102" s="729">
        <f>IFERROR(VLOOKUP(C1102,[3]List1!$A:$D,3,FALSE),"N/A!")</f>
        <v>0</v>
      </c>
      <c r="P1102" s="729">
        <f>IFERROR(VLOOKUP(C1102,[3]List1!$A:$D,2,FALSE),"N/A!")</f>
        <v>6340</v>
      </c>
      <c r="Q1102" s="729"/>
      <c r="R1102" s="729"/>
      <c r="S1102" s="729"/>
      <c r="T1102" s="729"/>
      <c r="U1102" s="729"/>
      <c r="V1102" s="729"/>
      <c r="W1102" s="729" t="str">
        <f>IFERROR(VLOOKUP('General price list'!$C1102,Popisy!A:P,MATCH($W$17,Popisy!$A$7:$P$7,0),FALSE),"---------------")</f>
        <v>Maketa výrobku - bez složí</v>
      </c>
      <c r="X1102" s="729" t="str">
        <f>IF(AB1102&lt;0.0001,"",AB1102)</f>
        <v/>
      </c>
      <c r="Y1102" s="729" t="str">
        <f>IF($AL$3=2,IF(OR(AB1102&lt;&gt;"",AB1102&lt;&gt;0),AU1102,""),IF(C1102="","",IF(AB1102&lt;0.0001,"",IF(B1102=0,"",IF(AQ1102&lt;AB1102,"",AB1102)))))</f>
        <v/>
      </c>
      <c r="Z1102" s="729" t="str">
        <f>HYPERLINK("https://www.klasekpyrotechnics.cz/c9825sig-c")</f>
        <v>https://www.klasekpyrotechnics.cz/c9825sig-c</v>
      </c>
      <c r="AA1102" s="729" t="str">
        <f>IFERROR(IF(VLOOKUP(C1102,[4]List1!$A:$D,4,FALSE)=0,"",VLOOKUP(C1102,[4]List1!$A:$D,4,FALSE)),"")</f>
        <v/>
      </c>
      <c r="AB1102" s="720"/>
      <c r="AC1102" s="743" t="str">
        <f>IFERROR(IF(VLOOKUP(C1102,[1]List1!$A:$D,2,FALSE)="VYPRODÁNO",$V$9,IF(VLOOKUP(C1102,[1]List1!$A:$D,2,FALSE)="DOCHÁZÍ",$V$3,VLOOKUP(C1102,[1]List1!$A:$D,2,FALSE))),"OFFLINE!")</f>
        <v>SKLADEM</v>
      </c>
      <c r="AD1102" s="744" t="str">
        <f ca="1">IF(AP1102="NE",$V$10,IF(AC1102=$V$3,IF(AQ1102&lt;1,$V$8,$V$2&amp;" "&amp;AQ1102&amp;" "&amp;$V$1),IF(AC1102="SKLADEM",$V$6,IFERROR(IF(OR(AC1102-TODAY()&gt;45,VLOOKUP(C1102,[1]List1!$A:$E,4,FALSE)=0),AC1102,DAY(AC1102)&amp;"."&amp;MONTH(AC1102)&amp;"."&amp;YEAR(AC1102)&amp;" "&amp;$V$4&amp;VLOOKUP(C1102,[1]List1!$A:$E,4,FALSE)&amp;" "&amp;$V$1),AC1102))))</f>
        <v>SKLADEM</v>
      </c>
      <c r="AE1102" s="729" t="str">
        <f t="shared" ref="AE1102" ca="1" si="2830">IFERROR(IF(AV1102&lt;&gt;"",AV1102,AD1102),AD1102)</f>
        <v>SKLADEM</v>
      </c>
      <c r="AF1102" s="735">
        <f t="shared" ref="AF1102" si="2831">IFERROR(IF(AB1102=Y1102,G1102*I1102*Y1102,0),0)</f>
        <v>0</v>
      </c>
      <c r="AG1102" s="735">
        <f t="shared" ref="AG1102" si="2832">IF($W$17=$AF$8,AH1102*1.23,AF1102*1.21)</f>
        <v>0</v>
      </c>
      <c r="AH1102" s="736">
        <f t="shared" ref="AH1102" si="2833">IFERROR(IF(Y1102=AB1102,H1102*I1102*Y1102,0),0)</f>
        <v>0</v>
      </c>
      <c r="AI1102" s="729">
        <f t="shared" ref="AI1102" si="2834">IFERROR(IF(Y1102=AB1102,(P1102*Y1102)/1000,1),0)</f>
        <v>0</v>
      </c>
      <c r="AJ1102" s="729">
        <f t="shared" ref="AJ1102" si="2835">IFERROR(IF(Y1102=AB1102,N1102*Y1102,0.1),0)</f>
        <v>0</v>
      </c>
      <c r="AK1102" s="729" t="str">
        <f t="shared" ref="AK1102" si="2836">IFERROR(IF(Y1102=AB1102,IF(M1102="1.1G",(O1102/1000)*Y1102,""),""),0)</f>
        <v/>
      </c>
      <c r="AL1102" s="729" t="str">
        <f t="shared" ref="AL1102" si="2837">IFERROR(IF(Y1102=AB1102,IF(M1102="1.3G",(O1102/1000)*AB1102,""),""),0)</f>
        <v/>
      </c>
      <c r="AM1102" s="729" t="str">
        <f t="shared" ref="AM1102" si="2838">IFERROR(IF(Y1102=AB1102,IF(M1102="1.4G",(O1102/1000)*AB1102,""),""),0)</f>
        <v/>
      </c>
      <c r="AN1102" s="729">
        <f t="shared" ref="AN1102" si="2839">SUM(AK1102:AM1102)</f>
        <v>0</v>
      </c>
      <c r="AO1102" s="380"/>
      <c r="AP1102" s="322" t="str">
        <f t="shared" si="2610"/>
        <v/>
      </c>
      <c r="AQ1102" s="323" t="str">
        <f>IF(AC1102=$V$3,IF(VLOOKUP(C1102,[1]List1!$A:$E,5,FALSE)=0,1,VLOOKUP(C1102,[1]List1!$A:$E,5,FALSE)),"")</f>
        <v/>
      </c>
      <c r="AR1102" s="304" t="str">
        <f t="shared" si="2611"/>
        <v/>
      </c>
      <c r="AS1102" s="423" t="str">
        <f t="shared" si="2612"/>
        <v/>
      </c>
      <c r="AT1102" s="304" t="str">
        <f t="shared" si="2613"/>
        <v/>
      </c>
      <c r="AU1102" s="342" t="e">
        <f t="shared" si="2614"/>
        <v>#N/A</v>
      </c>
      <c r="AV1102" s="304" t="e">
        <f t="shared" si="2615"/>
        <v>#N/A</v>
      </c>
      <c r="AX1102" s="304">
        <f>IF(AND('General price list'!$J1102="F4",'General price list'!$AB1102+0&gt;0),1,0)</f>
        <v>0</v>
      </c>
      <c r="AY1102" s="304">
        <f t="shared" si="2616"/>
        <v>0</v>
      </c>
      <c r="AZ1102" s="304">
        <f t="shared" si="2617"/>
        <v>0</v>
      </c>
    </row>
    <row r="1103" spans="1:52" ht="15" customHeight="1">
      <c r="A1103" s="773" t="str">
        <f>Kat.!C1100</f>
        <v xml:space="preserve">                                                               Baterie 49ran, 30mm moždíř-1.3G</v>
      </c>
      <c r="B1103" s="774"/>
      <c r="C1103" s="774"/>
      <c r="D1103" s="774"/>
      <c r="E1103" s="774"/>
      <c r="F1103" s="774"/>
      <c r="G1103" s="774"/>
      <c r="H1103" s="774"/>
      <c r="I1103" s="774"/>
      <c r="J1103" s="774"/>
      <c r="K1103" s="774"/>
      <c r="L1103" s="774"/>
      <c r="M1103" s="774"/>
      <c r="N1103" s="774"/>
      <c r="O1103" s="774"/>
      <c r="P1103" s="774"/>
      <c r="Q1103" s="774"/>
      <c r="R1103" s="774"/>
      <c r="S1103" s="774"/>
      <c r="T1103" s="774"/>
      <c r="U1103" s="774"/>
      <c r="V1103" s="774"/>
      <c r="W1103" s="774"/>
      <c r="X1103" s="774"/>
      <c r="Y1103" s="774"/>
      <c r="Z1103" s="774"/>
      <c r="AA1103" s="774" t="str">
        <f>IFERROR(IF(VLOOKUP(C1103,[4]List1!$A:$D,4,FALSE)=0,"",VLOOKUP(C1103,[4]List1!$A:$D,4,FALSE)),"")</f>
        <v/>
      </c>
      <c r="AB1103" s="774"/>
      <c r="AC1103" s="775" t="str">
        <f>IFERROR(IF(VLOOKUP(C1103,[1]List1!$A:$D,2,FALSE)="VYPRODÁNO",$V$9,IF(VLOOKUP(C1103,[1]List1!$A:$D,2,FALSE)="DOCHÁZÍ",$V$3,VLOOKUP(C1103,[1]List1!$A:$D,2,FALSE))),"OFFLINE!")</f>
        <v>OFFLINE!</v>
      </c>
      <c r="AD1103" s="774"/>
      <c r="AE1103" s="774"/>
      <c r="AF1103" s="774"/>
      <c r="AG1103" s="774"/>
      <c r="AH1103" s="774"/>
      <c r="AI1103" s="774"/>
      <c r="AJ1103" s="774"/>
      <c r="AK1103" s="774"/>
      <c r="AL1103" s="774"/>
      <c r="AM1103" s="774"/>
      <c r="AN1103" s="774"/>
      <c r="AO1103" s="380"/>
      <c r="AP1103" s="322" t="str">
        <f t="shared" ref="AP1103:AP1126" si="2840">IF($AL$3=1,IF(Y1103=AB1103,"","NE"),IF(AR1103=$V$10,"NE",""))</f>
        <v/>
      </c>
      <c r="AQ1103" s="323" t="str">
        <f>IF(AC1103=$V$3,IF(VLOOKUP(C1103,[1]List1!$A:$E,5,FALSE)=0,1,VLOOKUP(C1103,[1]List1!$A:$E,5,FALSE)),"")</f>
        <v/>
      </c>
      <c r="AR1103" s="304" t="str">
        <f t="shared" ref="AR1103:AR1126" si="2841">IF($AL$3=1,"",IF(OR(AB1103&lt;&gt;"",AB1103&lt;&gt;0),IF(OR(AC1103=$V$6,AC1103=$V$3,AC1103=$V$9),$V$10,""),""))</f>
        <v/>
      </c>
      <c r="AS1103" s="423" t="str">
        <f t="shared" ref="AS1103:AS1126" si="2842">IF(AT1103&lt;&gt;"","X","")</f>
        <v/>
      </c>
      <c r="AT1103" s="304" t="str">
        <f t="shared" ref="AT1103:AT1126" si="2843">IF(AND($AL$3=2,AR1103="",AB1103&lt;&gt;""),AD1103,"")</f>
        <v/>
      </c>
      <c r="AU1103" s="342" t="e">
        <f t="shared" ref="AU1103:AU1126" si="2844">IF(AT1103=$AS$21,AB1103,"")</f>
        <v>#N/A</v>
      </c>
      <c r="AV1103" s="304" t="e">
        <f t="shared" ref="AV1103:AV1126" si="2845">IF(OR(AB1103="",AND(AT1103&lt;&gt;"",AU1103&lt;&gt;"")),"",$V$10)</f>
        <v>#N/A</v>
      </c>
      <c r="AX1103" s="304">
        <f>IF(AND('General price list'!$J1103="F4",'General price list'!$AB1103+0&gt;0),1,0)</f>
        <v>0</v>
      </c>
      <c r="AY1103" s="304">
        <f t="shared" ref="AY1103:AY1126" si="2846">IFERROR(FIND(VLOOKUP($AC$7,$AD$1:$AE$12,2,FALSE),Q1103,1),0)</f>
        <v>0</v>
      </c>
      <c r="AZ1103" s="304">
        <f t="shared" ref="AZ1103:AZ1126" si="2847">IFERROR(FIND(VLOOKUP($AC$7,$AD$1:$AE$12,2,FALSE),R1103,1),0)</f>
        <v>0</v>
      </c>
    </row>
    <row r="1104" spans="1:52" ht="15" customHeight="1">
      <c r="A1104" s="725" t="str">
        <f>Kat.!C1101</f>
        <v/>
      </c>
      <c r="B1104" s="741">
        <f>IF(AND('General price list'!$J1104="F4",$AI$1=FALSE),0,IF(AC1104="SKLADEM",1,IF(AC1104=$V$3,1,0)))</f>
        <v>1</v>
      </c>
      <c r="C1104" s="727" t="s">
        <v>2338</v>
      </c>
      <c r="D1104" s="728" t="s">
        <v>2339</v>
      </c>
      <c r="E1104" s="729" t="s">
        <v>136</v>
      </c>
      <c r="F1104" s="725">
        <f>IFERROR(ROUND(IF($AL$3=2,VLOOKUP(C1104,[2]List1!$A:$D,2,FALSE)*1.08,VLOOKUP(C1104,[2]List1!$A:$D,2,FALSE)),0),"NEUVEDENO!")</f>
        <v>668</v>
      </c>
      <c r="G1104" s="730">
        <f t="shared" ref="G1104:G1105" si="2848">(F1104)*$B$19</f>
        <v>668</v>
      </c>
      <c r="H1104" s="731">
        <f t="shared" ref="H1104:H1105" si="2849">G1104/$F$19</f>
        <v>27.14465091897647</v>
      </c>
      <c r="I1104" s="742">
        <v>1</v>
      </c>
      <c r="J1104" s="729"/>
      <c r="K1104" s="729">
        <v>7</v>
      </c>
      <c r="L1104" s="729" t="s">
        <v>14464</v>
      </c>
      <c r="M1104" s="729"/>
      <c r="N1104" s="729">
        <f>IFERROR(VLOOKUP(C1104,[3]List1!$A:$D,4,FALSE),"N/A!")</f>
        <v>1.752975E-2</v>
      </c>
      <c r="O1104" s="729">
        <f>IFERROR(VLOOKUP(C1104,[3]List1!$A:$D,3,FALSE),"N/A!")</f>
        <v>0</v>
      </c>
      <c r="P1104" s="729">
        <f>IFERROR(VLOOKUP(C1104,[3]List1!$A:$D,2,FALSE),"N/A!")</f>
        <v>6069</v>
      </c>
      <c r="Q1104" s="729"/>
      <c r="R1104" s="729"/>
      <c r="S1104" s="729"/>
      <c r="T1104" s="729"/>
      <c r="U1104" s="729"/>
      <c r="V1104" s="729"/>
      <c r="W1104" s="729" t="str">
        <f>IFERROR(VLOOKUP('General price list'!$C1104,Popisy!A:P,MATCH($W$17,Popisy!$A$7:$P$7,0),FALSE),"---------------")</f>
        <v>Maketa výrobku - bez složí</v>
      </c>
      <c r="X1104" s="729" t="str">
        <f t="shared" ref="X1104:X1105" si="2850">IF(AB1104&lt;0.0001,"",AB1104)</f>
        <v/>
      </c>
      <c r="Y1104" s="729" t="str">
        <f t="shared" ref="Y1104:Y1105" si="2851">IF($AL$3=2,IF(OR(AB1104&lt;&gt;"",AB1104&lt;&gt;0),AU1104,""),IF(C1104="","",IF(AB1104&lt;0.0001,"",IF(B1104=0,"",IF(AQ1104&lt;AB1104,"",AB1104)))))</f>
        <v/>
      </c>
      <c r="Z1104" s="729" t="str">
        <f>HYPERLINK("https://www.klasekpyrotechnics.cz/c493ru")</f>
        <v>https://www.klasekpyrotechnics.cz/c493ru</v>
      </c>
      <c r="AA1104" s="729" t="str">
        <f>IFERROR(IF(VLOOKUP(C1104,[4]List1!$A:$D,4,FALSE)=0,"",VLOOKUP(C1104,[4]List1!$A:$D,4,FALSE)),"")</f>
        <v/>
      </c>
      <c r="AB1104" s="720"/>
      <c r="AC1104" s="743" t="str">
        <f>IFERROR(IF(VLOOKUP(C1104,[1]List1!$A:$D,2,FALSE)="VYPRODÁNO",$V$9,IF(VLOOKUP(C1104,[1]List1!$A:$D,2,FALSE)="DOCHÁZÍ",$V$3,VLOOKUP(C1104,[1]List1!$A:$D,2,FALSE))),"OFFLINE!")</f>
        <v>SKLADEM</v>
      </c>
      <c r="AD1104" s="744" t="str">
        <f ca="1">IF(AP1104="NE",$V$10,IF(AC1104=$V$3,IF(AQ1104&lt;1,$V$8,$V$2&amp;" "&amp;AQ1104&amp;" "&amp;$V$1),IF(AC1104="SKLADEM",$V$6,IFERROR(IF(OR(AC1104-TODAY()&gt;45,VLOOKUP(C1104,[1]List1!$A:$E,4,FALSE)=0),AC1104,DAY(AC1104)&amp;"."&amp;MONTH(AC1104)&amp;"."&amp;YEAR(AC1104)&amp;" "&amp;$V$4&amp;VLOOKUP(C1104,[1]List1!$A:$E,4,FALSE)&amp;" "&amp;$V$1),AC1104))))</f>
        <v>SKLADEM</v>
      </c>
      <c r="AE1104" s="729" t="str">
        <f t="shared" ref="AE1104:AE1105" ca="1" si="2852">IFERROR(IF(AV1104&lt;&gt;"",AV1104,AD1104),AD1104)</f>
        <v>SKLADEM</v>
      </c>
      <c r="AF1104" s="735">
        <f t="shared" ref="AF1104:AF1105" si="2853">IFERROR(IF(AB1104=Y1104,G1104*I1104*Y1104,0),0)</f>
        <v>0</v>
      </c>
      <c r="AG1104" s="735">
        <f t="shared" ref="AG1104:AG1105" si="2854">IF($W$17=$AF$8,AH1104*1.23,AF1104*1.21)</f>
        <v>0</v>
      </c>
      <c r="AH1104" s="736">
        <f t="shared" ref="AH1104:AH1105" si="2855">IFERROR(IF(Y1104=AB1104,H1104*I1104*Y1104,0),0)</f>
        <v>0</v>
      </c>
      <c r="AI1104" s="729">
        <f t="shared" ref="AI1104:AI1105" si="2856">IFERROR(IF(Y1104=AB1104,(P1104*Y1104)/1000,1),0)</f>
        <v>0</v>
      </c>
      <c r="AJ1104" s="729">
        <f t="shared" ref="AJ1104:AJ1105" si="2857">IFERROR(IF(Y1104=AB1104,N1104*Y1104,0.1),0)</f>
        <v>0</v>
      </c>
      <c r="AK1104" s="729" t="str">
        <f t="shared" ref="AK1104:AK1105" si="2858">IFERROR(IF(Y1104=AB1104,IF(M1104="1.1G",(O1104/1000)*Y1104,""),""),0)</f>
        <v/>
      </c>
      <c r="AL1104" s="729" t="str">
        <f t="shared" ref="AL1104:AL1105" si="2859">IFERROR(IF(Y1104=AB1104,IF(M1104="1.3G",(O1104/1000)*AB1104,""),""),0)</f>
        <v/>
      </c>
      <c r="AM1104" s="729" t="str">
        <f t="shared" ref="AM1104:AM1105" si="2860">IFERROR(IF(Y1104=AB1104,IF(M1104="1.4G",(O1104/1000)*AB1104,""),""),0)</f>
        <v/>
      </c>
      <c r="AN1104" s="729">
        <f t="shared" ref="AN1104:AN1105" si="2861">SUM(AK1104:AM1104)</f>
        <v>0</v>
      </c>
      <c r="AO1104" s="380"/>
      <c r="AP1104" s="322" t="str">
        <f t="shared" si="2840"/>
        <v/>
      </c>
      <c r="AQ1104" s="323" t="str">
        <f>IF(AC1104=$V$3,IF(VLOOKUP(C1104,[1]List1!$A:$E,5,FALSE)=0,1,VLOOKUP(C1104,[1]List1!$A:$E,5,FALSE)),"")</f>
        <v/>
      </c>
      <c r="AR1104" s="304" t="str">
        <f t="shared" si="2841"/>
        <v/>
      </c>
      <c r="AS1104" s="423" t="str">
        <f t="shared" si="2842"/>
        <v/>
      </c>
      <c r="AT1104" s="304" t="str">
        <f t="shared" si="2843"/>
        <v/>
      </c>
      <c r="AU1104" s="342" t="e">
        <f t="shared" si="2844"/>
        <v>#N/A</v>
      </c>
      <c r="AV1104" s="304" t="e">
        <f t="shared" si="2845"/>
        <v>#N/A</v>
      </c>
      <c r="AX1104" s="304">
        <f>IF(AND('General price list'!$J1104="F4",'General price list'!$AB1104+0&gt;0),1,0)</f>
        <v>0</v>
      </c>
      <c r="AY1104" s="304">
        <f t="shared" si="2846"/>
        <v>0</v>
      </c>
      <c r="AZ1104" s="304">
        <f t="shared" si="2847"/>
        <v>0</v>
      </c>
    </row>
    <row r="1105" spans="1:52" ht="15" customHeight="1">
      <c r="A1105" s="712" t="str">
        <f>Kat.!C1102</f>
        <v/>
      </c>
      <c r="B1105" s="745">
        <f>IF(AND('General price list'!$J1105="F4",$AI$1=FALSE),0,IF(AC1105="SKLADEM",1,IF(AC1105=$V$3,1,0)))</f>
        <v>1</v>
      </c>
      <c r="C1105" s="714" t="s">
        <v>13489</v>
      </c>
      <c r="D1105" s="715" t="s">
        <v>14629</v>
      </c>
      <c r="E1105" s="716" t="s">
        <v>136</v>
      </c>
      <c r="F1105" s="712">
        <f>IFERROR(ROUND(IF($AL$3=2,VLOOKUP(C1105,[2]List1!$A:$D,2,FALSE)*1.08,VLOOKUP(C1105,[2]List1!$A:$D,2,FALSE)),0),"NEUVEDENO!")</f>
        <v>668</v>
      </c>
      <c r="G1105" s="717">
        <f t="shared" si="2848"/>
        <v>668</v>
      </c>
      <c r="H1105" s="718">
        <f t="shared" si="2849"/>
        <v>27.14465091897647</v>
      </c>
      <c r="I1105" s="746">
        <v>1</v>
      </c>
      <c r="J1105" s="716"/>
      <c r="K1105" s="716"/>
      <c r="L1105" s="716" t="s">
        <v>14464</v>
      </c>
      <c r="M1105" s="716"/>
      <c r="N1105" s="716">
        <f>IFERROR(VLOOKUP(C1105,[3]List1!$A:$D,4,FALSE),"N/A!")</f>
        <v>1.752975E-2</v>
      </c>
      <c r="O1105" s="716">
        <f>IFERROR(VLOOKUP(C1105,[3]List1!$A:$D,3,FALSE),"N/A!")</f>
        <v>0</v>
      </c>
      <c r="P1105" s="716">
        <f>IFERROR(VLOOKUP(C1105,[3]List1!$A:$D,2,FALSE),"N/A!")</f>
        <v>5319</v>
      </c>
      <c r="Q1105" s="716"/>
      <c r="R1105" s="716"/>
      <c r="S1105" s="716"/>
      <c r="T1105" s="716"/>
      <c r="U1105" s="716"/>
      <c r="V1105" s="716"/>
      <c r="W1105" s="716" t="str">
        <f>IFERROR(VLOOKUP('General price list'!$C1105,Popisy!A:P,MATCH($W$17,Popisy!$A$7:$P$7,0),FALSE),"---------------")</f>
        <v>Maketa výrobku - bez složí</v>
      </c>
      <c r="X1105" s="716" t="str">
        <f t="shared" si="2850"/>
        <v/>
      </c>
      <c r="Y1105" s="716" t="str">
        <f t="shared" si="2851"/>
        <v/>
      </c>
      <c r="Z1105" s="716"/>
      <c r="AA1105" s="716" t="str">
        <f>IFERROR(IF(VLOOKUP(C1105,[4]List1!$A:$D,4,FALSE)=0,"",VLOOKUP(C1105,[4]List1!$A:$D,4,FALSE)),"")</f>
        <v/>
      </c>
      <c r="AB1105" s="720"/>
      <c r="AC1105" s="747" t="str">
        <f>IFERROR(IF(VLOOKUP(C1105,[1]List1!$A:$D,2,FALSE)="VYPRODÁNO",$V$9,IF(VLOOKUP(C1105,[1]List1!$A:$D,2,FALSE)="DOCHÁZÍ",$V$3,VLOOKUP(C1105,[1]List1!$A:$D,2,FALSE))),"OFFLINE!")</f>
        <v>SKLADEM</v>
      </c>
      <c r="AD1105" s="748" t="str">
        <f ca="1">IF(AP1105="NE",$V$10,IF(AC1105=$V$3,IF(AQ1105&lt;1,$V$8,$V$2&amp;" "&amp;AQ1105&amp;" "&amp;$V$1),IF(AC1105="SKLADEM",$V$6,IFERROR(IF(OR(AC1105-TODAY()&gt;45,VLOOKUP(C1105,[1]List1!$A:$E,4,FALSE)=0),AC1105,DAY(AC1105)&amp;"."&amp;MONTH(AC1105)&amp;"."&amp;YEAR(AC1105)&amp;" "&amp;$V$4&amp;VLOOKUP(C1105,[1]List1!$A:$E,4,FALSE)&amp;" "&amp;$V$1),AC1105))))</f>
        <v>SKLADEM</v>
      </c>
      <c r="AE1105" s="716" t="str">
        <f t="shared" ca="1" si="2852"/>
        <v>SKLADEM</v>
      </c>
      <c r="AF1105" s="723">
        <f t="shared" si="2853"/>
        <v>0</v>
      </c>
      <c r="AG1105" s="723">
        <f t="shared" si="2854"/>
        <v>0</v>
      </c>
      <c r="AH1105" s="724">
        <f t="shared" si="2855"/>
        <v>0</v>
      </c>
      <c r="AI1105" s="716">
        <f t="shared" si="2856"/>
        <v>0</v>
      </c>
      <c r="AJ1105" s="716">
        <f t="shared" si="2857"/>
        <v>0</v>
      </c>
      <c r="AK1105" s="716" t="str">
        <f t="shared" si="2858"/>
        <v/>
      </c>
      <c r="AL1105" s="716" t="str">
        <f t="shared" si="2859"/>
        <v/>
      </c>
      <c r="AM1105" s="716" t="str">
        <f t="shared" si="2860"/>
        <v/>
      </c>
      <c r="AN1105" s="716">
        <f t="shared" si="2861"/>
        <v>0</v>
      </c>
      <c r="AO1105" s="380"/>
      <c r="AP1105" s="322" t="str">
        <f t="shared" si="2840"/>
        <v/>
      </c>
      <c r="AQ1105" s="323" t="str">
        <f>IF(AC1105=$V$3,IF(VLOOKUP(C1105,[1]List1!$A:$E,5,FALSE)=0,1,VLOOKUP(C1105,[1]List1!$A:$E,5,FALSE)),"")</f>
        <v/>
      </c>
      <c r="AR1105" s="304" t="str">
        <f t="shared" si="2841"/>
        <v/>
      </c>
      <c r="AS1105" s="423" t="str">
        <f t="shared" si="2842"/>
        <v/>
      </c>
      <c r="AT1105" s="304" t="str">
        <f t="shared" si="2843"/>
        <v/>
      </c>
      <c r="AU1105" s="342" t="e">
        <f t="shared" si="2844"/>
        <v>#N/A</v>
      </c>
      <c r="AV1105" s="304" t="e">
        <f t="shared" si="2845"/>
        <v>#N/A</v>
      </c>
      <c r="AX1105" s="304">
        <f>IF(AND('General price list'!$J1105="F4",'General price list'!$AB1105+0&gt;0),1,0)</f>
        <v>0</v>
      </c>
      <c r="AY1105" s="304">
        <f t="shared" si="2846"/>
        <v>0</v>
      </c>
      <c r="AZ1105" s="304">
        <f t="shared" si="2847"/>
        <v>0</v>
      </c>
    </row>
    <row r="1106" spans="1:52" ht="15" customHeight="1">
      <c r="A1106" s="773" t="str">
        <f>Kat.!C1103</f>
        <v xml:space="preserve">                                                               Baterie 49ran, 30mm šikmý moždíř-1.3G</v>
      </c>
      <c r="B1106" s="774"/>
      <c r="C1106" s="774"/>
      <c r="D1106" s="774"/>
      <c r="E1106" s="774"/>
      <c r="F1106" s="774"/>
      <c r="G1106" s="774"/>
      <c r="H1106" s="774"/>
      <c r="I1106" s="774"/>
      <c r="J1106" s="774"/>
      <c r="K1106" s="774"/>
      <c r="L1106" s="774"/>
      <c r="M1106" s="774"/>
      <c r="N1106" s="774"/>
      <c r="O1106" s="774"/>
      <c r="P1106" s="774"/>
      <c r="Q1106" s="774"/>
      <c r="R1106" s="774"/>
      <c r="S1106" s="774"/>
      <c r="T1106" s="774"/>
      <c r="U1106" s="774"/>
      <c r="V1106" s="774"/>
      <c r="W1106" s="774"/>
      <c r="X1106" s="774"/>
      <c r="Y1106" s="774"/>
      <c r="Z1106" s="774"/>
      <c r="AA1106" s="774" t="str">
        <f>IFERROR(IF(VLOOKUP(C1106,[4]List1!$A:$D,4,FALSE)=0,"",VLOOKUP(C1106,[4]List1!$A:$D,4,FALSE)),"")</f>
        <v/>
      </c>
      <c r="AB1106" s="774"/>
      <c r="AC1106" s="775" t="str">
        <f>IFERROR(IF(VLOOKUP(C1106,[1]List1!$A:$D,2,FALSE)="VYPRODÁNO",$V$9,IF(VLOOKUP(C1106,[1]List1!$A:$D,2,FALSE)="DOCHÁZÍ",$V$3,VLOOKUP(C1106,[1]List1!$A:$D,2,FALSE))),"OFFLINE!")</f>
        <v>OFFLINE!</v>
      </c>
      <c r="AD1106" s="774"/>
      <c r="AE1106" s="774"/>
      <c r="AF1106" s="774"/>
      <c r="AG1106" s="774"/>
      <c r="AH1106" s="774"/>
      <c r="AI1106" s="774"/>
      <c r="AJ1106" s="774"/>
      <c r="AK1106" s="774"/>
      <c r="AL1106" s="774"/>
      <c r="AM1106" s="774"/>
      <c r="AN1106" s="774"/>
      <c r="AO1106" s="380"/>
      <c r="AP1106" s="322" t="str">
        <f t="shared" si="2840"/>
        <v/>
      </c>
      <c r="AQ1106" s="323" t="str">
        <f>IF(AC1106=$V$3,IF(VLOOKUP(C1106,[1]List1!$A:$E,5,FALSE)=0,1,VLOOKUP(C1106,[1]List1!$A:$E,5,FALSE)),"")</f>
        <v/>
      </c>
      <c r="AR1106" s="304" t="str">
        <f t="shared" si="2841"/>
        <v/>
      </c>
      <c r="AS1106" s="423" t="str">
        <f t="shared" si="2842"/>
        <v/>
      </c>
      <c r="AT1106" s="304" t="str">
        <f t="shared" si="2843"/>
        <v/>
      </c>
      <c r="AU1106" s="342" t="e">
        <f t="shared" si="2844"/>
        <v>#N/A</v>
      </c>
      <c r="AV1106" s="304" t="e">
        <f t="shared" si="2845"/>
        <v>#N/A</v>
      </c>
      <c r="AX1106" s="304">
        <f>IF(AND('General price list'!$J1106="F4",'General price list'!$AB1106+0&gt;0),1,0)</f>
        <v>0</v>
      </c>
      <c r="AY1106" s="304">
        <f t="shared" si="2846"/>
        <v>0</v>
      </c>
      <c r="AZ1106" s="304">
        <f t="shared" si="2847"/>
        <v>0</v>
      </c>
    </row>
    <row r="1107" spans="1:52" ht="15" customHeight="1">
      <c r="A1107" s="712" t="str">
        <f>Kat.!C1104</f>
        <v/>
      </c>
      <c r="B1107" s="713">
        <f>IF(AND('General price list'!$J1107="F4",$AI$1=FALSE),0,IF(AC1107="SKLADEM",1,IF(AC1107=$V$3,1,0)))</f>
        <v>1</v>
      </c>
      <c r="C1107" s="714" t="s">
        <v>2340</v>
      </c>
      <c r="D1107" s="715" t="s">
        <v>2341</v>
      </c>
      <c r="E1107" s="716" t="s">
        <v>136</v>
      </c>
      <c r="F1107" s="712">
        <f>IFERROR(ROUND(IF($AL$3=2,VLOOKUP(C1107,[2]List1!$A:$D,2,FALSE)*1.08,VLOOKUP(C1107,[2]List1!$A:$D,2,FALSE)),0),"NEUVEDENO!")</f>
        <v>814</v>
      </c>
      <c r="G1107" s="717">
        <f>(F1107)*$B$19</f>
        <v>814</v>
      </c>
      <c r="H1107" s="718">
        <f>G1107/$F$19</f>
        <v>33.077463844381505</v>
      </c>
      <c r="I1107" s="719">
        <v>1</v>
      </c>
      <c r="J1107" s="716"/>
      <c r="K1107" s="716">
        <v>7</v>
      </c>
      <c r="L1107" s="716" t="s">
        <v>14464</v>
      </c>
      <c r="M1107" s="716"/>
      <c r="N1107" s="716">
        <f>IFERROR(VLOOKUP(C1107,[3]List1!$A:$D,4,FALSE),"N/A!")</f>
        <v>2.9819562500000001E-2</v>
      </c>
      <c r="O1107" s="716">
        <f>IFERROR(VLOOKUP(C1107,[3]List1!$A:$D,3,FALSE),"N/A!")</f>
        <v>0</v>
      </c>
      <c r="P1107" s="716">
        <f>IFERROR(VLOOKUP(C1107,[3]List1!$A:$D,2,FALSE),"N/A!")</f>
        <v>6319</v>
      </c>
      <c r="Q1107" s="716"/>
      <c r="R1107" s="716"/>
      <c r="S1107" s="716"/>
      <c r="T1107" s="716"/>
      <c r="U1107" s="716"/>
      <c r="V1107" s="716"/>
      <c r="W1107" s="716" t="str">
        <f>IFERROR(VLOOKUP('General price list'!$C1107,Popisy!A:P,MATCH($W$17,Popisy!$A$7:$P$7,0),FALSE),"---------------")</f>
        <v>Maketa výrobku - bez složí</v>
      </c>
      <c r="X1107" s="716" t="str">
        <f>IF(AB1107&lt;0.0001,"",AB1107)</f>
        <v/>
      </c>
      <c r="Y1107" s="716" t="str">
        <f>IF($AL$3=2,IF(OR(AB1107&lt;&gt;"",AB1107&lt;&gt;0),AU1107,""),IF(C1107="","",IF(AB1107&lt;0.0001,"",IF(B1107=0,"",IF(AQ1107&lt;AB1107,"",AB1107)))))</f>
        <v/>
      </c>
      <c r="Z1107" s="716" t="str">
        <f>HYPERLINK("https://www.klasekpyrotechnics.cz/cf493me")</f>
        <v>https://www.klasekpyrotechnics.cz/cf493me</v>
      </c>
      <c r="AA1107" s="716" t="str">
        <f>IFERROR(IF(VLOOKUP(C1107,[4]List1!$A:$D,4,FALSE)=0,"",VLOOKUP(C1107,[4]List1!$A:$D,4,FALSE)),"")</f>
        <v/>
      </c>
      <c r="AB1107" s="720"/>
      <c r="AC1107" s="721" t="str">
        <f>IFERROR(IF(VLOOKUP(C1107,[1]List1!$A:$D,2,FALSE)="VYPRODÁNO",$V$9,IF(VLOOKUP(C1107,[1]List1!$A:$D,2,FALSE)="DOCHÁZÍ",$V$3,VLOOKUP(C1107,[1]List1!$A:$D,2,FALSE))),"OFFLINE!")</f>
        <v>SKLADEM</v>
      </c>
      <c r="AD1107" s="722" t="str">
        <f ca="1">IF(AP1107="NE",$V$10,IF(AC1107=$V$3,IF(AQ1107&lt;1,$V$8,$V$2&amp;" "&amp;AQ1107&amp;" "&amp;$V$1),IF(AC1107="SKLADEM",$V$6,IFERROR(IF(OR(AC1107-TODAY()&gt;45,VLOOKUP(C1107,[1]List1!$A:$E,4,FALSE)=0),AC1107,DAY(AC1107)&amp;"."&amp;MONTH(AC1107)&amp;"."&amp;YEAR(AC1107)&amp;" "&amp;$V$4&amp;VLOOKUP(C1107,[1]List1!$A:$E,4,FALSE)&amp;" "&amp;$V$1),AC1107))))</f>
        <v>SKLADEM</v>
      </c>
      <c r="AE1107" s="716" t="str">
        <f t="shared" ref="AE1107" ca="1" si="2862">IFERROR(IF(AV1107&lt;&gt;"",AV1107,AD1107),AD1107)</f>
        <v>SKLADEM</v>
      </c>
      <c r="AF1107" s="723">
        <f t="shared" ref="AF1107" si="2863">IFERROR(IF(AB1107=Y1107,G1107*I1107*Y1107,0),0)</f>
        <v>0</v>
      </c>
      <c r="AG1107" s="723">
        <f t="shared" ref="AG1107" si="2864">IF($W$17=$AF$8,AH1107*1.23,AF1107*1.21)</f>
        <v>0</v>
      </c>
      <c r="AH1107" s="724">
        <f t="shared" ref="AH1107" si="2865">IFERROR(IF(Y1107=AB1107,H1107*I1107*Y1107,0),0)</f>
        <v>0</v>
      </c>
      <c r="AI1107" s="716">
        <f t="shared" ref="AI1107" si="2866">IFERROR(IF(Y1107=AB1107,(P1107*Y1107)/1000,1),0)</f>
        <v>0</v>
      </c>
      <c r="AJ1107" s="716">
        <f t="shared" ref="AJ1107" si="2867">IFERROR(IF(Y1107=AB1107,N1107*Y1107,0.1),0)</f>
        <v>0</v>
      </c>
      <c r="AK1107" s="716" t="str">
        <f t="shared" ref="AK1107" si="2868">IFERROR(IF(Y1107=AB1107,IF(M1107="1.1G",(O1107/1000)*Y1107,""),""),0)</f>
        <v/>
      </c>
      <c r="AL1107" s="716" t="str">
        <f t="shared" ref="AL1107" si="2869">IFERROR(IF(Y1107=AB1107,IF(M1107="1.3G",(O1107/1000)*AB1107,""),""),0)</f>
        <v/>
      </c>
      <c r="AM1107" s="716" t="str">
        <f t="shared" ref="AM1107" si="2870">IFERROR(IF(Y1107=AB1107,IF(M1107="1.4G",(O1107/1000)*AB1107,""),""),0)</f>
        <v/>
      </c>
      <c r="AN1107" s="716">
        <f t="shared" ref="AN1107" si="2871">SUM(AK1107:AM1107)</f>
        <v>0</v>
      </c>
      <c r="AO1107" s="380"/>
      <c r="AP1107" s="322" t="str">
        <f t="shared" si="2840"/>
        <v/>
      </c>
      <c r="AQ1107" s="323" t="str">
        <f>IF(AC1107=$V$3,IF(VLOOKUP(C1107,[1]List1!$A:$E,5,FALSE)=0,1,VLOOKUP(C1107,[1]List1!$A:$E,5,FALSE)),"")</f>
        <v/>
      </c>
      <c r="AR1107" s="304" t="str">
        <f t="shared" si="2841"/>
        <v/>
      </c>
      <c r="AS1107" s="423" t="str">
        <f t="shared" si="2842"/>
        <v/>
      </c>
      <c r="AT1107" s="304" t="str">
        <f t="shared" si="2843"/>
        <v/>
      </c>
      <c r="AU1107" s="342" t="e">
        <f t="shared" si="2844"/>
        <v>#N/A</v>
      </c>
      <c r="AV1107" s="304" t="e">
        <f t="shared" si="2845"/>
        <v>#N/A</v>
      </c>
      <c r="AX1107" s="304">
        <f>IF(AND('General price list'!$J1107="F4",'General price list'!$AB1107+0&gt;0),1,0)</f>
        <v>0</v>
      </c>
      <c r="AY1107" s="304">
        <f t="shared" si="2846"/>
        <v>0</v>
      </c>
      <c r="AZ1107" s="304">
        <f t="shared" si="2847"/>
        <v>0</v>
      </c>
    </row>
    <row r="1108" spans="1:52" ht="15" customHeight="1">
      <c r="A1108" s="773" t="str">
        <f>Kat.!C1105</f>
        <v xml:space="preserve">                                                               Baterie 64ran, 30mm šikmý moždíř-1.3G</v>
      </c>
      <c r="B1108" s="774"/>
      <c r="C1108" s="774"/>
      <c r="D1108" s="774"/>
      <c r="E1108" s="774"/>
      <c r="F1108" s="774"/>
      <c r="G1108" s="774"/>
      <c r="H1108" s="774"/>
      <c r="I1108" s="774"/>
      <c r="J1108" s="774"/>
      <c r="K1108" s="774"/>
      <c r="L1108" s="774"/>
      <c r="M1108" s="774"/>
      <c r="N1108" s="774"/>
      <c r="O1108" s="774"/>
      <c r="P1108" s="774"/>
      <c r="Q1108" s="774"/>
      <c r="R1108" s="774"/>
      <c r="S1108" s="774"/>
      <c r="T1108" s="774"/>
      <c r="U1108" s="774"/>
      <c r="V1108" s="774"/>
      <c r="W1108" s="774"/>
      <c r="X1108" s="774"/>
      <c r="Y1108" s="774"/>
      <c r="Z1108" s="774"/>
      <c r="AA1108" s="774" t="str">
        <f>IFERROR(IF(VLOOKUP(C1108,[4]List1!$A:$D,4,FALSE)=0,"",VLOOKUP(C1108,[4]List1!$A:$D,4,FALSE)),"")</f>
        <v/>
      </c>
      <c r="AB1108" s="774"/>
      <c r="AC1108" s="775" t="str">
        <f>IFERROR(IF(VLOOKUP(C1108,[1]List1!$A:$D,2,FALSE)="VYPRODÁNO",$V$9,IF(VLOOKUP(C1108,[1]List1!$A:$D,2,FALSE)="DOCHÁZÍ",$V$3,VLOOKUP(C1108,[1]List1!$A:$D,2,FALSE))),"OFFLINE!")</f>
        <v>OFFLINE!</v>
      </c>
      <c r="AD1108" s="774"/>
      <c r="AE1108" s="774"/>
      <c r="AF1108" s="774"/>
      <c r="AG1108" s="774"/>
      <c r="AH1108" s="774"/>
      <c r="AI1108" s="774"/>
      <c r="AJ1108" s="774"/>
      <c r="AK1108" s="774"/>
      <c r="AL1108" s="774"/>
      <c r="AM1108" s="774"/>
      <c r="AN1108" s="774"/>
      <c r="AO1108" s="380"/>
      <c r="AP1108" s="322" t="str">
        <f t="shared" si="2840"/>
        <v/>
      </c>
      <c r="AQ1108" s="323" t="str">
        <f>IF(AC1108=$V$3,IF(VLOOKUP(C1108,[1]List1!$A:$E,5,FALSE)=0,1,VLOOKUP(C1108,[1]List1!$A:$E,5,FALSE)),"")</f>
        <v/>
      </c>
      <c r="AR1108" s="304" t="str">
        <f t="shared" si="2841"/>
        <v/>
      </c>
      <c r="AS1108" s="423" t="str">
        <f t="shared" si="2842"/>
        <v/>
      </c>
      <c r="AT1108" s="304" t="str">
        <f t="shared" si="2843"/>
        <v/>
      </c>
      <c r="AU1108" s="342" t="e">
        <f t="shared" si="2844"/>
        <v>#N/A</v>
      </c>
      <c r="AV1108" s="304" t="e">
        <f t="shared" si="2845"/>
        <v>#N/A</v>
      </c>
      <c r="AX1108" s="304">
        <f>IF(AND('General price list'!$J1108="F4",'General price list'!$AB1108+0&gt;0),1,0)</f>
        <v>0</v>
      </c>
      <c r="AY1108" s="304">
        <f t="shared" si="2846"/>
        <v>0</v>
      </c>
      <c r="AZ1108" s="304">
        <f t="shared" si="2847"/>
        <v>0</v>
      </c>
    </row>
    <row r="1109" spans="1:52" ht="15" customHeight="1">
      <c r="A1109" s="712" t="str">
        <f>Kat.!C1106</f>
        <v/>
      </c>
      <c r="B1109" s="713">
        <f>IF(AND('General price list'!$J1109="F4",$AI$1=FALSE),0,IF(AC1109="SKLADEM",1,IF(AC1109=$V$3,1,0)))</f>
        <v>1</v>
      </c>
      <c r="C1109" s="714" t="s">
        <v>2344</v>
      </c>
      <c r="D1109" s="715" t="s">
        <v>2345</v>
      </c>
      <c r="E1109" s="716" t="s">
        <v>136</v>
      </c>
      <c r="F1109" s="712">
        <f>IFERROR(ROUND(IF($AL$3=2,VLOOKUP(C1109,[2]List1!$A:$D,2,FALSE)*1.08,VLOOKUP(C1109,[2]List1!$A:$D,2,FALSE)),0),"NEUVEDENO!")</f>
        <v>1058</v>
      </c>
      <c r="G1109" s="717">
        <f>(F1109)*$B$19</f>
        <v>1058</v>
      </c>
      <c r="H1109" s="718">
        <f>G1109/$F$19</f>
        <v>42.992575856702253</v>
      </c>
      <c r="I1109" s="719">
        <v>1</v>
      </c>
      <c r="J1109" s="716"/>
      <c r="K1109" s="716">
        <v>7</v>
      </c>
      <c r="L1109" s="716" t="s">
        <v>14464</v>
      </c>
      <c r="M1109" s="716"/>
      <c r="N1109" s="716">
        <f>IFERROR(VLOOKUP(C1109,[3]List1!$A:$D,4,FALSE),"N/A!")</f>
        <v>3.6915375E-2</v>
      </c>
      <c r="O1109" s="716">
        <f>IFERROR(VLOOKUP(C1109,[3]List1!$A:$D,3,FALSE),"N/A!")</f>
        <v>0</v>
      </c>
      <c r="P1109" s="716">
        <f>IFERROR(VLOOKUP(C1109,[3]List1!$A:$D,2,FALSE),"N/A!")</f>
        <v>8502</v>
      </c>
      <c r="Q1109" s="716"/>
      <c r="R1109" s="716"/>
      <c r="S1109" s="716"/>
      <c r="T1109" s="716"/>
      <c r="U1109" s="716"/>
      <c r="V1109" s="716"/>
      <c r="W1109" s="716" t="str">
        <f>IFERROR(VLOOKUP('General price list'!$C1109,Popisy!A:P,MATCH($W$17,Popisy!$A$7:$P$7,0),FALSE),"---------------")</f>
        <v>Maketa výrobku - bez složí</v>
      </c>
      <c r="X1109" s="716" t="str">
        <f>IF(AB1109&lt;0.0001,"",AB1109)</f>
        <v/>
      </c>
      <c r="Y1109" s="716" t="str">
        <f>IF($AL$3=2,IF(OR(AB1109&lt;&gt;"",AB1109&lt;&gt;0),AU1109,""),IF(C1109="","",IF(AB1109&lt;0.0001,"",IF(B1109=0,"",IF(AQ1109&lt;AB1109,"",AB1109)))))</f>
        <v/>
      </c>
      <c r="Z1109" s="716" t="str">
        <f>HYPERLINK("https://www.klasekpyrotechnics.cz/cf643m")</f>
        <v>https://www.klasekpyrotechnics.cz/cf643m</v>
      </c>
      <c r="AA1109" s="716" t="str">
        <f>IFERROR(IF(VLOOKUP(C1109,[4]List1!$A:$D,4,FALSE)=0,"",VLOOKUP(C1109,[4]List1!$A:$D,4,FALSE)),"")</f>
        <v/>
      </c>
      <c r="AB1109" s="720"/>
      <c r="AC1109" s="721" t="str">
        <f>IFERROR(IF(VLOOKUP(C1109,[1]List1!$A:$D,2,FALSE)="VYPRODÁNO",$V$9,IF(VLOOKUP(C1109,[1]List1!$A:$D,2,FALSE)="DOCHÁZÍ",$V$3,VLOOKUP(C1109,[1]List1!$A:$D,2,FALSE))),"OFFLINE!")</f>
        <v>SKLADEM</v>
      </c>
      <c r="AD1109" s="722" t="str">
        <f ca="1">IF(AP1109="NE",$V$10,IF(AC1109=$V$3,IF(AQ1109&lt;1,$V$8,$V$2&amp;" "&amp;AQ1109&amp;" "&amp;$V$1),IF(AC1109="SKLADEM",$V$6,IFERROR(IF(OR(AC1109-TODAY()&gt;45,VLOOKUP(C1109,[1]List1!$A:$E,4,FALSE)=0),AC1109,DAY(AC1109)&amp;"."&amp;MONTH(AC1109)&amp;"."&amp;YEAR(AC1109)&amp;" "&amp;$V$4&amp;VLOOKUP(C1109,[1]List1!$A:$E,4,FALSE)&amp;" "&amp;$V$1),AC1109))))</f>
        <v>SKLADEM</v>
      </c>
      <c r="AE1109" s="716" t="str">
        <f t="shared" ref="AE1109" ca="1" si="2872">IFERROR(IF(AV1109&lt;&gt;"",AV1109,AD1109),AD1109)</f>
        <v>SKLADEM</v>
      </c>
      <c r="AF1109" s="723">
        <f t="shared" ref="AF1109" si="2873">IFERROR(IF(AB1109=Y1109,G1109*I1109*Y1109,0),0)</f>
        <v>0</v>
      </c>
      <c r="AG1109" s="723">
        <f t="shared" ref="AG1109" si="2874">IF($W$17=$AF$8,AH1109*1.23,AF1109*1.21)</f>
        <v>0</v>
      </c>
      <c r="AH1109" s="724">
        <f t="shared" ref="AH1109" si="2875">IFERROR(IF(Y1109=AB1109,H1109*I1109*Y1109,0),0)</f>
        <v>0</v>
      </c>
      <c r="AI1109" s="716">
        <f t="shared" ref="AI1109" si="2876">IFERROR(IF(Y1109=AB1109,(P1109*Y1109)/1000,1),0)</f>
        <v>0</v>
      </c>
      <c r="AJ1109" s="716">
        <f t="shared" ref="AJ1109" si="2877">IFERROR(IF(Y1109=AB1109,N1109*Y1109,0.1),0)</f>
        <v>0</v>
      </c>
      <c r="AK1109" s="716" t="str">
        <f t="shared" ref="AK1109" si="2878">IFERROR(IF(Y1109=AB1109,IF(M1109="1.1G",(O1109/1000)*Y1109,""),""),0)</f>
        <v/>
      </c>
      <c r="AL1109" s="716" t="str">
        <f t="shared" ref="AL1109" si="2879">IFERROR(IF(Y1109=AB1109,IF(M1109="1.3G",(O1109/1000)*AB1109,""),""),0)</f>
        <v/>
      </c>
      <c r="AM1109" s="716" t="str">
        <f t="shared" ref="AM1109" si="2880">IFERROR(IF(Y1109=AB1109,IF(M1109="1.4G",(O1109/1000)*AB1109,""),""),0)</f>
        <v/>
      </c>
      <c r="AN1109" s="716">
        <f t="shared" ref="AN1109" si="2881">SUM(AK1109:AM1109)</f>
        <v>0</v>
      </c>
      <c r="AO1109" s="380"/>
      <c r="AP1109" s="304" t="str">
        <f t="shared" si="2840"/>
        <v/>
      </c>
      <c r="AQ1109" s="304" t="str">
        <f>IF(AC1109=$V$3,IF(VLOOKUP(C1109,[1]List1!$A:$E,5,FALSE)=0,1,VLOOKUP(C1109,[1]List1!$A:$E,5,FALSE)),"")</f>
        <v/>
      </c>
      <c r="AR1109" s="304" t="str">
        <f t="shared" si="2841"/>
        <v/>
      </c>
      <c r="AS1109" s="304" t="str">
        <f t="shared" si="2842"/>
        <v/>
      </c>
      <c r="AT1109" s="304" t="str">
        <f t="shared" si="2843"/>
        <v/>
      </c>
      <c r="AU1109" s="304" t="e">
        <f t="shared" si="2844"/>
        <v>#N/A</v>
      </c>
      <c r="AV1109" s="304" t="e">
        <f t="shared" si="2845"/>
        <v>#N/A</v>
      </c>
      <c r="AX1109" s="304">
        <f>IF(AND('General price list'!$J1109="F4",'General price list'!$AB1109+0&gt;0),1,0)</f>
        <v>0</v>
      </c>
      <c r="AY1109" s="304">
        <f t="shared" si="2846"/>
        <v>0</v>
      </c>
      <c r="AZ1109" s="304">
        <f t="shared" si="2847"/>
        <v>0</v>
      </c>
    </row>
    <row r="1110" spans="1:52" ht="15" customHeight="1">
      <c r="A1110" s="773" t="str">
        <f>Kat.!C1107</f>
        <v xml:space="preserve">                                                               Baterie 64ran, 30mm rovný+šikmý moždíř-1.3G</v>
      </c>
      <c r="B1110" s="774"/>
      <c r="C1110" s="774"/>
      <c r="D1110" s="774"/>
      <c r="E1110" s="774"/>
      <c r="F1110" s="774"/>
      <c r="G1110" s="774"/>
      <c r="H1110" s="774"/>
      <c r="I1110" s="774"/>
      <c r="J1110" s="774"/>
      <c r="K1110" s="774"/>
      <c r="L1110" s="774"/>
      <c r="M1110" s="774"/>
      <c r="N1110" s="774"/>
      <c r="O1110" s="774"/>
      <c r="P1110" s="774"/>
      <c r="Q1110" s="774"/>
      <c r="R1110" s="774"/>
      <c r="S1110" s="774"/>
      <c r="T1110" s="774"/>
      <c r="U1110" s="774"/>
      <c r="V1110" s="774"/>
      <c r="W1110" s="774"/>
      <c r="X1110" s="774"/>
      <c r="Y1110" s="774"/>
      <c r="Z1110" s="774"/>
      <c r="AA1110" s="774" t="str">
        <f>IFERROR(IF(VLOOKUP(C1110,[4]List1!$A:$D,4,FALSE)=0,"",VLOOKUP(C1110,[4]List1!$A:$D,4,FALSE)),"")</f>
        <v/>
      </c>
      <c r="AB1110" s="774"/>
      <c r="AC1110" s="775" t="str">
        <f>IFERROR(IF(VLOOKUP(C1110,[1]List1!$A:$D,2,FALSE)="VYPRODÁNO",$V$9,IF(VLOOKUP(C1110,[1]List1!$A:$D,2,FALSE)="DOCHÁZÍ",$V$3,VLOOKUP(C1110,[1]List1!$A:$D,2,FALSE))),"OFFLINE!")</f>
        <v>OFFLINE!</v>
      </c>
      <c r="AD1110" s="774"/>
      <c r="AE1110" s="774"/>
      <c r="AF1110" s="774"/>
      <c r="AG1110" s="774"/>
      <c r="AH1110" s="774"/>
      <c r="AI1110" s="774"/>
      <c r="AJ1110" s="774"/>
      <c r="AK1110" s="774"/>
      <c r="AL1110" s="774"/>
      <c r="AM1110" s="774"/>
      <c r="AN1110" s="774"/>
      <c r="AO1110" s="380"/>
      <c r="AP1110" s="322" t="str">
        <f t="shared" si="2840"/>
        <v/>
      </c>
      <c r="AQ1110" s="323" t="str">
        <f>IF(AC1110=$V$3,IF(VLOOKUP(C1110,[1]List1!$A:$E,5,FALSE)=0,1,VLOOKUP(C1110,[1]List1!$A:$E,5,FALSE)),"")</f>
        <v/>
      </c>
      <c r="AR1110" s="304" t="str">
        <f t="shared" si="2841"/>
        <v/>
      </c>
      <c r="AS1110" s="423" t="str">
        <f t="shared" si="2842"/>
        <v/>
      </c>
      <c r="AT1110" s="304" t="str">
        <f t="shared" si="2843"/>
        <v/>
      </c>
      <c r="AU1110" s="342" t="e">
        <f t="shared" si="2844"/>
        <v>#N/A</v>
      </c>
      <c r="AV1110" s="304" t="e">
        <f t="shared" si="2845"/>
        <v>#N/A</v>
      </c>
      <c r="AX1110" s="304">
        <f>IF(AND('General price list'!$J1110="F4",'General price list'!$AB1110+0&gt;0),1,0)</f>
        <v>0</v>
      </c>
      <c r="AY1110" s="304">
        <f t="shared" si="2846"/>
        <v>0</v>
      </c>
      <c r="AZ1110" s="304">
        <f t="shared" si="2847"/>
        <v>0</v>
      </c>
    </row>
    <row r="1111" spans="1:52" ht="15" customHeight="1">
      <c r="A1111" s="712" t="str">
        <f>Kat.!C1108</f>
        <v/>
      </c>
      <c r="B1111" s="713">
        <f>IF(AND('General price list'!$J1111="F4",$AI$1=FALSE),0,IF(AC1111="SKLADEM",1,IF(AC1111=$V$3,1,0)))</f>
        <v>1</v>
      </c>
      <c r="C1111" s="714" t="s">
        <v>2346</v>
      </c>
      <c r="D1111" s="715" t="s">
        <v>2347</v>
      </c>
      <c r="E1111" s="716" t="s">
        <v>136</v>
      </c>
      <c r="F1111" s="712">
        <f>IFERROR(ROUND(IF($AL$3=2,VLOOKUP(C1111,[2]List1!$A:$D,2,FALSE)*1.08,VLOOKUP(C1111,[2]List1!$A:$D,2,FALSE)),0),"NEUVEDENO!")</f>
        <v>963</v>
      </c>
      <c r="G1111" s="717">
        <f>(F1111)*$B$19</f>
        <v>963</v>
      </c>
      <c r="H1111" s="718">
        <f>G1111/$F$19</f>
        <v>39.132183884692125</v>
      </c>
      <c r="I1111" s="719">
        <v>1</v>
      </c>
      <c r="J1111" s="716"/>
      <c r="K1111" s="716">
        <v>7</v>
      </c>
      <c r="L1111" s="716" t="s">
        <v>14464</v>
      </c>
      <c r="M1111" s="716"/>
      <c r="N1111" s="716">
        <f>IFERROR(VLOOKUP(C1111,[3]List1!$A:$D,4,FALSE),"N/A!")</f>
        <v>2.5917937499999998E-2</v>
      </c>
      <c r="O1111" s="716">
        <f>IFERROR(VLOOKUP(C1111,[3]List1!$A:$D,3,FALSE),"N/A!")</f>
        <v>0</v>
      </c>
      <c r="P1111" s="716">
        <f>IFERROR(VLOOKUP(C1111,[3]List1!$A:$D,2,FALSE),"N/A!")</f>
        <v>7552</v>
      </c>
      <c r="Q1111" s="716"/>
      <c r="R1111" s="716"/>
      <c r="S1111" s="716"/>
      <c r="T1111" s="716"/>
      <c r="U1111" s="716"/>
      <c r="V1111" s="716"/>
      <c r="W1111" s="716" t="str">
        <f>IFERROR(VLOOKUP('General price list'!$C1111,Popisy!A:P,MATCH($W$17,Popisy!$A$7:$P$7,0),FALSE),"---------------")</f>
        <v>Maketa výrobku - bez složí</v>
      </c>
      <c r="X1111" s="716" t="str">
        <f>IF(AB1111&lt;0.0001,"",AB1111)</f>
        <v/>
      </c>
      <c r="Y1111" s="716" t="str">
        <f>IF($AL$3=2,IF(OR(AB1111&lt;&gt;"",AB1111&lt;&gt;0),AU1111,""),IF(C1111="","",IF(AB1111&lt;0.0001,"",IF(B1111=0,"",IF(AQ1111&lt;AB1111,"",AB1111)))))</f>
        <v/>
      </c>
      <c r="Z1111" s="716" t="str">
        <f>HYPERLINK("https://www.klasekpyrotechnics.cz/c643mn")</f>
        <v>https://www.klasekpyrotechnics.cz/c643mn</v>
      </c>
      <c r="AA1111" s="716" t="str">
        <f>IFERROR(IF(VLOOKUP(C1111,[4]List1!$A:$D,4,FALSE)=0,"",VLOOKUP(C1111,[4]List1!$A:$D,4,FALSE)),"")</f>
        <v/>
      </c>
      <c r="AB1111" s="720"/>
      <c r="AC1111" s="721" t="str">
        <f>IFERROR(IF(VLOOKUP(C1111,[1]List1!$A:$D,2,FALSE)="VYPRODÁNO",$V$9,IF(VLOOKUP(C1111,[1]List1!$A:$D,2,FALSE)="DOCHÁZÍ",$V$3,VLOOKUP(C1111,[1]List1!$A:$D,2,FALSE))),"OFFLINE!")</f>
        <v>SKLADEM</v>
      </c>
      <c r="AD1111" s="722" t="str">
        <f ca="1">IF(AP1111="NE",$V$10,IF(AC1111=$V$3,IF(AQ1111&lt;1,$V$8,$V$2&amp;" "&amp;AQ1111&amp;" "&amp;$V$1),IF(AC1111="SKLADEM",$V$6,IFERROR(IF(OR(AC1111-TODAY()&gt;45,VLOOKUP(C1111,[1]List1!$A:$E,4,FALSE)=0),AC1111,DAY(AC1111)&amp;"."&amp;MONTH(AC1111)&amp;"."&amp;YEAR(AC1111)&amp;" "&amp;$V$4&amp;VLOOKUP(C1111,[1]List1!$A:$E,4,FALSE)&amp;" "&amp;$V$1),AC1111))))</f>
        <v>SKLADEM</v>
      </c>
      <c r="AE1111" s="716" t="str">
        <f t="shared" ref="AE1111" ca="1" si="2882">IFERROR(IF(AV1111&lt;&gt;"",AV1111,AD1111),AD1111)</f>
        <v>SKLADEM</v>
      </c>
      <c r="AF1111" s="723">
        <f t="shared" ref="AF1111" si="2883">IFERROR(IF(AB1111=Y1111,G1111*I1111*Y1111,0),0)</f>
        <v>0</v>
      </c>
      <c r="AG1111" s="723">
        <f t="shared" ref="AG1111" si="2884">IF($W$17=$AF$8,AH1111*1.23,AF1111*1.21)</f>
        <v>0</v>
      </c>
      <c r="AH1111" s="724">
        <f t="shared" ref="AH1111" si="2885">IFERROR(IF(Y1111=AB1111,H1111*I1111*Y1111,0),0)</f>
        <v>0</v>
      </c>
      <c r="AI1111" s="716">
        <f t="shared" ref="AI1111" si="2886">IFERROR(IF(Y1111=AB1111,(P1111*Y1111)/1000,1),0)</f>
        <v>0</v>
      </c>
      <c r="AJ1111" s="716">
        <f t="shared" ref="AJ1111" si="2887">IFERROR(IF(Y1111=AB1111,N1111*Y1111,0.1),0)</f>
        <v>0</v>
      </c>
      <c r="AK1111" s="716" t="str">
        <f t="shared" ref="AK1111" si="2888">IFERROR(IF(Y1111=AB1111,IF(M1111="1.1G",(O1111/1000)*Y1111,""),""),0)</f>
        <v/>
      </c>
      <c r="AL1111" s="716" t="str">
        <f t="shared" ref="AL1111" si="2889">IFERROR(IF(Y1111=AB1111,IF(M1111="1.3G",(O1111/1000)*AB1111,""),""),0)</f>
        <v/>
      </c>
      <c r="AM1111" s="716" t="str">
        <f t="shared" ref="AM1111" si="2890">IFERROR(IF(Y1111=AB1111,IF(M1111="1.4G",(O1111/1000)*AB1111,""),""),0)</f>
        <v/>
      </c>
      <c r="AN1111" s="716">
        <f t="shared" ref="AN1111" si="2891">SUM(AK1111:AM1111)</f>
        <v>0</v>
      </c>
      <c r="AO1111" s="380"/>
      <c r="AP1111" s="322" t="str">
        <f t="shared" si="2840"/>
        <v/>
      </c>
      <c r="AQ1111" s="323" t="str">
        <f>IF(AC1111=$V$3,IF(VLOOKUP(C1111,[1]List1!$A:$E,5,FALSE)=0,1,VLOOKUP(C1111,[1]List1!$A:$E,5,FALSE)),"")</f>
        <v/>
      </c>
      <c r="AR1111" s="304" t="str">
        <f t="shared" si="2841"/>
        <v/>
      </c>
      <c r="AS1111" s="423" t="str">
        <f t="shared" si="2842"/>
        <v/>
      </c>
      <c r="AT1111" s="304" t="str">
        <f t="shared" si="2843"/>
        <v/>
      </c>
      <c r="AU1111" s="342" t="e">
        <f t="shared" si="2844"/>
        <v>#N/A</v>
      </c>
      <c r="AV1111" s="304" t="e">
        <f t="shared" si="2845"/>
        <v>#N/A</v>
      </c>
      <c r="AX1111" s="304">
        <f>IF(AND('General price list'!$J1111="F4",'General price list'!$AB1111+0&gt;0),1,0)</f>
        <v>0</v>
      </c>
      <c r="AY1111" s="304">
        <f t="shared" si="2846"/>
        <v>0</v>
      </c>
      <c r="AZ1111" s="304">
        <f t="shared" si="2847"/>
        <v>0</v>
      </c>
    </row>
    <row r="1112" spans="1:52" ht="15" customHeight="1">
      <c r="A1112" s="773" t="str">
        <f>Kat.!C1109</f>
        <v xml:space="preserve">                                                               Baterie 16ran, 50mm moždíř-1.3G</v>
      </c>
      <c r="B1112" s="774"/>
      <c r="C1112" s="774"/>
      <c r="D1112" s="774"/>
      <c r="E1112" s="774"/>
      <c r="F1112" s="774"/>
      <c r="G1112" s="774"/>
      <c r="H1112" s="774"/>
      <c r="I1112" s="774"/>
      <c r="J1112" s="774"/>
      <c r="K1112" s="774"/>
      <c r="L1112" s="774"/>
      <c r="M1112" s="774"/>
      <c r="N1112" s="774"/>
      <c r="O1112" s="774"/>
      <c r="P1112" s="774"/>
      <c r="Q1112" s="774"/>
      <c r="R1112" s="774"/>
      <c r="S1112" s="774"/>
      <c r="T1112" s="774"/>
      <c r="U1112" s="774"/>
      <c r="V1112" s="774"/>
      <c r="W1112" s="774"/>
      <c r="X1112" s="774"/>
      <c r="Y1112" s="774"/>
      <c r="Z1112" s="774"/>
      <c r="AA1112" s="774" t="str">
        <f>IFERROR(IF(VLOOKUP(C1112,[4]List1!$A:$D,4,FALSE)=0,"",VLOOKUP(C1112,[4]List1!$A:$D,4,FALSE)),"")</f>
        <v/>
      </c>
      <c r="AB1112" s="774"/>
      <c r="AC1112" s="775" t="str">
        <f>IFERROR(IF(VLOOKUP(C1112,[1]List1!$A:$D,2,FALSE)="VYPRODÁNO",$V$9,IF(VLOOKUP(C1112,[1]List1!$A:$D,2,FALSE)="DOCHÁZÍ",$V$3,VLOOKUP(C1112,[1]List1!$A:$D,2,FALSE))),"OFFLINE!")</f>
        <v>OFFLINE!</v>
      </c>
      <c r="AD1112" s="774"/>
      <c r="AE1112" s="774"/>
      <c r="AF1112" s="774"/>
      <c r="AG1112" s="774"/>
      <c r="AH1112" s="774"/>
      <c r="AI1112" s="774"/>
      <c r="AJ1112" s="774"/>
      <c r="AK1112" s="774"/>
      <c r="AL1112" s="774"/>
      <c r="AM1112" s="774"/>
      <c r="AN1112" s="774"/>
      <c r="AO1112" s="380"/>
      <c r="AP1112" s="322" t="str">
        <f t="shared" si="2840"/>
        <v/>
      </c>
      <c r="AQ1112" s="323" t="str">
        <f>IF(AC1112=$V$3,IF(VLOOKUP(C1112,[1]List1!$A:$E,5,FALSE)=0,1,VLOOKUP(C1112,[1]List1!$A:$E,5,FALSE)),"")</f>
        <v/>
      </c>
      <c r="AR1112" s="304" t="str">
        <f t="shared" si="2841"/>
        <v/>
      </c>
      <c r="AS1112" s="423" t="str">
        <f t="shared" si="2842"/>
        <v/>
      </c>
      <c r="AT1112" s="304" t="str">
        <f t="shared" si="2843"/>
        <v/>
      </c>
      <c r="AU1112" s="342" t="e">
        <f t="shared" si="2844"/>
        <v>#N/A</v>
      </c>
      <c r="AV1112" s="304" t="e">
        <f t="shared" si="2845"/>
        <v>#N/A</v>
      </c>
      <c r="AX1112" s="304">
        <f>IF(AND('General price list'!$J1112="F4",'General price list'!$AB1112+0&gt;0),1,0)</f>
        <v>0</v>
      </c>
      <c r="AY1112" s="304">
        <f t="shared" si="2846"/>
        <v>0</v>
      </c>
      <c r="AZ1112" s="304">
        <f t="shared" si="2847"/>
        <v>0</v>
      </c>
    </row>
    <row r="1113" spans="1:52" ht="15" customHeight="1">
      <c r="A1113" s="712" t="str">
        <f>Kat.!C1110</f>
        <v/>
      </c>
      <c r="B1113" s="713">
        <f>IF(AND('General price list'!$J1113="F4",$AI$1=FALSE),0,IF(AC1113="SKLADEM",1,IF(AC1113=$V$3,1,0)))</f>
        <v>1</v>
      </c>
      <c r="C1113" s="714" t="s">
        <v>2348</v>
      </c>
      <c r="D1113" s="715" t="s">
        <v>2349</v>
      </c>
      <c r="E1113" s="716" t="s">
        <v>136</v>
      </c>
      <c r="F1113" s="712">
        <f>IFERROR(ROUND(IF($AL$3=2,VLOOKUP(C1113,[2]List1!$A:$D,2,FALSE)*1.08,VLOOKUP(C1113,[2]List1!$A:$D,2,FALSE)),0),"NEUVEDENO!")</f>
        <v>695</v>
      </c>
      <c r="G1113" s="717">
        <f>(F1113)*$B$19</f>
        <v>695</v>
      </c>
      <c r="H1113" s="718">
        <f>G1113/$F$19</f>
        <v>28.241814953126717</v>
      </c>
      <c r="I1113" s="719">
        <v>1</v>
      </c>
      <c r="J1113" s="716"/>
      <c r="K1113" s="716">
        <v>7</v>
      </c>
      <c r="L1113" s="716" t="s">
        <v>14464</v>
      </c>
      <c r="M1113" s="716"/>
      <c r="N1113" s="716">
        <f>IFERROR(VLOOKUP(C1113,[3]List1!$A:$D,4,FALSE),"N/A!")</f>
        <v>1.7749999999999998E-2</v>
      </c>
      <c r="O1113" s="716">
        <f>IFERROR(VLOOKUP(C1113,[3]List1!$A:$D,3,FALSE),"N/A!")</f>
        <v>0</v>
      </c>
      <c r="P1113" s="716">
        <f>IFERROR(VLOOKUP(C1113,[3]List1!$A:$D,2,FALSE),"N/A!")</f>
        <v>5534</v>
      </c>
      <c r="Q1113" s="716"/>
      <c r="R1113" s="716"/>
      <c r="S1113" s="716"/>
      <c r="T1113" s="716"/>
      <c r="U1113" s="716"/>
      <c r="V1113" s="716"/>
      <c r="W1113" s="716" t="str">
        <f>IFERROR(VLOOKUP('General price list'!$C1113,Popisy!A:P,MATCH($W$17,Popisy!$A$7:$P$7,0),FALSE),"---------------")</f>
        <v>Maketa výrobku - bez složí</v>
      </c>
      <c r="X1113" s="716" t="str">
        <f>IF(AB1113&lt;0.0001,"",AB1113)</f>
        <v/>
      </c>
      <c r="Y1113" s="716" t="str">
        <f>IF($AL$3=2,IF(OR(AB1113&lt;&gt;"",AB1113&lt;&gt;0),AU1113,""),IF(C1113="","",IF(AB1113&lt;0.0001,"",IF(B1113=0,"",IF(AQ1113&lt;AB1113,"",AB1113)))))</f>
        <v/>
      </c>
      <c r="Z1113" s="716" t="str">
        <f>HYPERLINK("https://www.klasekpyrotechnics.cz/c165p")</f>
        <v>https://www.klasekpyrotechnics.cz/c165p</v>
      </c>
      <c r="AA1113" s="716" t="str">
        <f>IFERROR(IF(VLOOKUP(C1113,[4]List1!$A:$D,4,FALSE)=0,"",VLOOKUP(C1113,[4]List1!$A:$D,4,FALSE)),"")</f>
        <v/>
      </c>
      <c r="AB1113" s="720"/>
      <c r="AC1113" s="721" t="str">
        <f>IFERROR(IF(VLOOKUP(C1113,[1]List1!$A:$D,2,FALSE)="VYPRODÁNO",$V$9,IF(VLOOKUP(C1113,[1]List1!$A:$D,2,FALSE)="DOCHÁZÍ",$V$3,VLOOKUP(C1113,[1]List1!$A:$D,2,FALSE))),"OFFLINE!")</f>
        <v>SKLADEM</v>
      </c>
      <c r="AD1113" s="722" t="str">
        <f ca="1">IF(AP1113="NE",$V$10,IF(AC1113=$V$3,IF(AQ1113&lt;1,$V$8,$V$2&amp;" "&amp;AQ1113&amp;" "&amp;$V$1),IF(AC1113="SKLADEM",$V$6,IFERROR(IF(OR(AC1113-TODAY()&gt;45,VLOOKUP(C1113,[1]List1!$A:$E,4,FALSE)=0),AC1113,DAY(AC1113)&amp;"."&amp;MONTH(AC1113)&amp;"."&amp;YEAR(AC1113)&amp;" "&amp;$V$4&amp;VLOOKUP(C1113,[1]List1!$A:$E,4,FALSE)&amp;" "&amp;$V$1),AC1113))))</f>
        <v>SKLADEM</v>
      </c>
      <c r="AE1113" s="716" t="str">
        <f t="shared" ref="AE1113" ca="1" si="2892">IFERROR(IF(AV1113&lt;&gt;"",AV1113,AD1113),AD1113)</f>
        <v>SKLADEM</v>
      </c>
      <c r="AF1113" s="723">
        <f t="shared" ref="AF1113" si="2893">IFERROR(IF(AB1113=Y1113,G1113*I1113*Y1113,0),0)</f>
        <v>0</v>
      </c>
      <c r="AG1113" s="723">
        <f t="shared" ref="AG1113" si="2894">IF($W$17=$AF$8,AH1113*1.23,AF1113*1.21)</f>
        <v>0</v>
      </c>
      <c r="AH1113" s="724">
        <f t="shared" ref="AH1113" si="2895">IFERROR(IF(Y1113=AB1113,H1113*I1113*Y1113,0),0)</f>
        <v>0</v>
      </c>
      <c r="AI1113" s="716">
        <f t="shared" ref="AI1113" si="2896">IFERROR(IF(Y1113=AB1113,(P1113*Y1113)/1000,1),0)</f>
        <v>0</v>
      </c>
      <c r="AJ1113" s="716">
        <f t="shared" ref="AJ1113" si="2897">IFERROR(IF(Y1113=AB1113,N1113*Y1113,0.1),0)</f>
        <v>0</v>
      </c>
      <c r="AK1113" s="716" t="str">
        <f t="shared" ref="AK1113" si="2898">IFERROR(IF(Y1113=AB1113,IF(M1113="1.1G",(O1113/1000)*Y1113,""),""),0)</f>
        <v/>
      </c>
      <c r="AL1113" s="716" t="str">
        <f t="shared" ref="AL1113" si="2899">IFERROR(IF(Y1113=AB1113,IF(M1113="1.3G",(O1113/1000)*AB1113,""),""),0)</f>
        <v/>
      </c>
      <c r="AM1113" s="716" t="str">
        <f t="shared" ref="AM1113" si="2900">IFERROR(IF(Y1113=AB1113,IF(M1113="1.4G",(O1113/1000)*AB1113,""),""),0)</f>
        <v/>
      </c>
      <c r="AN1113" s="716">
        <f t="shared" ref="AN1113" si="2901">SUM(AK1113:AM1113)</f>
        <v>0</v>
      </c>
      <c r="AO1113" s="380"/>
      <c r="AP1113" s="304" t="str">
        <f t="shared" si="2840"/>
        <v/>
      </c>
      <c r="AQ1113" s="304" t="str">
        <f>IF(AC1113=$V$3,IF(VLOOKUP(C1113,[1]List1!$A:$E,5,FALSE)=0,1,VLOOKUP(C1113,[1]List1!$A:$E,5,FALSE)),"")</f>
        <v/>
      </c>
      <c r="AR1113" s="304" t="str">
        <f t="shared" si="2841"/>
        <v/>
      </c>
      <c r="AS1113" s="304" t="str">
        <f t="shared" si="2842"/>
        <v/>
      </c>
      <c r="AT1113" s="304" t="str">
        <f t="shared" si="2843"/>
        <v/>
      </c>
      <c r="AU1113" s="304" t="e">
        <f t="shared" si="2844"/>
        <v>#N/A</v>
      </c>
      <c r="AV1113" s="304" t="e">
        <f t="shared" si="2845"/>
        <v>#N/A</v>
      </c>
      <c r="AX1113" s="304">
        <f>IF(AND('General price list'!$J1113="F4",'General price list'!$AB1113+0&gt;0),1,0)</f>
        <v>0</v>
      </c>
      <c r="AY1113" s="304">
        <f t="shared" si="2846"/>
        <v>0</v>
      </c>
      <c r="AZ1113" s="304">
        <f t="shared" si="2847"/>
        <v>0</v>
      </c>
    </row>
    <row r="1114" spans="1:52" ht="15" customHeight="1">
      <c r="A1114" s="773" t="str">
        <f>Kat.!C1111</f>
        <v xml:space="preserve">                                                               Baterie 36ran, 36+50mm moždíř-1.3G</v>
      </c>
      <c r="B1114" s="774"/>
      <c r="C1114" s="774"/>
      <c r="D1114" s="774"/>
      <c r="E1114" s="774"/>
      <c r="F1114" s="774"/>
      <c r="G1114" s="774"/>
      <c r="H1114" s="774"/>
      <c r="I1114" s="774"/>
      <c r="J1114" s="774"/>
      <c r="K1114" s="774"/>
      <c r="L1114" s="774"/>
      <c r="M1114" s="774"/>
      <c r="N1114" s="774"/>
      <c r="O1114" s="774"/>
      <c r="P1114" s="774"/>
      <c r="Q1114" s="774"/>
      <c r="R1114" s="774"/>
      <c r="S1114" s="774"/>
      <c r="T1114" s="774"/>
      <c r="U1114" s="774"/>
      <c r="V1114" s="774"/>
      <c r="W1114" s="774"/>
      <c r="X1114" s="774"/>
      <c r="Y1114" s="774"/>
      <c r="Z1114" s="774"/>
      <c r="AA1114" s="774" t="str">
        <f>IFERROR(IF(VLOOKUP(C1114,[4]List1!$A:$D,4,FALSE)=0,"",VLOOKUP(C1114,[4]List1!$A:$D,4,FALSE)),"")</f>
        <v/>
      </c>
      <c r="AB1114" s="774"/>
      <c r="AC1114" s="775" t="str">
        <f>IFERROR(IF(VLOOKUP(C1114,[1]List1!$A:$D,2,FALSE)="VYPRODÁNO",$V$9,IF(VLOOKUP(C1114,[1]List1!$A:$D,2,FALSE)="DOCHÁZÍ",$V$3,VLOOKUP(C1114,[1]List1!$A:$D,2,FALSE))),"OFFLINE!")</f>
        <v>OFFLINE!</v>
      </c>
      <c r="AD1114" s="774"/>
      <c r="AE1114" s="774"/>
      <c r="AF1114" s="774"/>
      <c r="AG1114" s="774"/>
      <c r="AH1114" s="774"/>
      <c r="AI1114" s="774"/>
      <c r="AJ1114" s="774"/>
      <c r="AK1114" s="774"/>
      <c r="AL1114" s="774"/>
      <c r="AM1114" s="774"/>
      <c r="AN1114" s="774"/>
      <c r="AO1114" s="380"/>
      <c r="AP1114" s="322" t="str">
        <f t="shared" si="2840"/>
        <v/>
      </c>
      <c r="AQ1114" s="323" t="str">
        <f>IF(AC1114=$V$3,IF(VLOOKUP(C1114,[1]List1!$A:$E,5,FALSE)=0,1,VLOOKUP(C1114,[1]List1!$A:$E,5,FALSE)),"")</f>
        <v/>
      </c>
      <c r="AR1114" s="304" t="str">
        <f t="shared" si="2841"/>
        <v/>
      </c>
      <c r="AS1114" s="423" t="str">
        <f t="shared" si="2842"/>
        <v/>
      </c>
      <c r="AT1114" s="304" t="str">
        <f t="shared" si="2843"/>
        <v/>
      </c>
      <c r="AU1114" s="342" t="e">
        <f t="shared" si="2844"/>
        <v>#N/A</v>
      </c>
      <c r="AV1114" s="304" t="e">
        <f t="shared" si="2845"/>
        <v>#N/A</v>
      </c>
      <c r="AX1114" s="304">
        <f>IF(AND('General price list'!$J1114="F4",'General price list'!$AB1114+0&gt;0),1,0)</f>
        <v>0</v>
      </c>
      <c r="AY1114" s="304">
        <f t="shared" si="2846"/>
        <v>0</v>
      </c>
      <c r="AZ1114" s="304">
        <f t="shared" si="2847"/>
        <v>0</v>
      </c>
    </row>
    <row r="1115" spans="1:52" ht="15" customHeight="1">
      <c r="A1115" s="712" t="str">
        <f>Kat.!C1112</f>
        <v/>
      </c>
      <c r="B1115" s="713">
        <f>IF(AND('General price list'!$J1115="F4",$AI$1=FALSE),0,IF(AC1115="SKLADEM",1,IF(AC1115=$V$3,1,0)))</f>
        <v>1</v>
      </c>
      <c r="C1115" s="714" t="s">
        <v>2351</v>
      </c>
      <c r="D1115" s="715" t="s">
        <v>12735</v>
      </c>
      <c r="E1115" s="716" t="s">
        <v>136</v>
      </c>
      <c r="F1115" s="712">
        <f>IFERROR(ROUND(IF($AL$3=2,VLOOKUP(C1115,[2]List1!$A:$D,2,FALSE)*1.08,VLOOKUP(C1115,[2]List1!$A:$D,2,FALSE)),0),"NEUVEDENO!")</f>
        <v>1056</v>
      </c>
      <c r="G1115" s="717">
        <f>(F1115)*$B$19</f>
        <v>1056</v>
      </c>
      <c r="H1115" s="718">
        <f>G1115/$F$19</f>
        <v>42.9113044467652</v>
      </c>
      <c r="I1115" s="719">
        <v>1</v>
      </c>
      <c r="J1115" s="716"/>
      <c r="K1115" s="716">
        <v>7</v>
      </c>
      <c r="L1115" s="716" t="s">
        <v>14464</v>
      </c>
      <c r="M1115" s="716"/>
      <c r="N1115" s="716">
        <f>IFERROR(VLOOKUP(C1115,[3]List1!$A:$D,4,FALSE),"N/A!")</f>
        <v>2.8440000000000003E-2</v>
      </c>
      <c r="O1115" s="716">
        <f>IFERROR(VLOOKUP(C1115,[3]List1!$A:$D,3,FALSE),"N/A!")</f>
        <v>0</v>
      </c>
      <c r="P1115" s="716">
        <f>IFERROR(VLOOKUP(C1115,[3]List1!$A:$D,2,FALSE),"N/A!")</f>
        <v>8342</v>
      </c>
      <c r="Q1115" s="716"/>
      <c r="R1115" s="716"/>
      <c r="S1115" s="716"/>
      <c r="T1115" s="716"/>
      <c r="U1115" s="716"/>
      <c r="V1115" s="716"/>
      <c r="W1115" s="716" t="str">
        <f>IFERROR(VLOOKUP('General price list'!$C1115,Popisy!A:P,MATCH($W$17,Popisy!$A$7:$P$7,0),FALSE),"---------------")</f>
        <v>Maketa výrobku - bez složí</v>
      </c>
      <c r="X1115" s="716" t="str">
        <f>IF(AB1115&lt;0.0001,"",AB1115)</f>
        <v/>
      </c>
      <c r="Y1115" s="716" t="str">
        <f>IF($AL$3=2,IF(OR(AB1115&lt;&gt;"",AB1115&lt;&gt;0),AU1115,""),IF(C1115="","",IF(AB1115&lt;0.0001,"",IF(B1115=0,"",IF(AQ1115&lt;AB1115,"",AB1115)))))</f>
        <v/>
      </c>
      <c r="Z1115" s="716" t="str">
        <f>HYPERLINK("https://www.klasekpyrotechnics.cz/c36mh")</f>
        <v>https://www.klasekpyrotechnics.cz/c36mh</v>
      </c>
      <c r="AA1115" s="716" t="str">
        <f>IFERROR(IF(VLOOKUP(C1115,[4]List1!$A:$D,4,FALSE)=0,"",VLOOKUP(C1115,[4]List1!$A:$D,4,FALSE)),"")</f>
        <v/>
      </c>
      <c r="AB1115" s="720"/>
      <c r="AC1115" s="721" t="str">
        <f>IFERROR(IF(VLOOKUP(C1115,[1]List1!$A:$D,2,FALSE)="VYPRODÁNO",$V$9,IF(VLOOKUP(C1115,[1]List1!$A:$D,2,FALSE)="DOCHÁZÍ",$V$3,VLOOKUP(C1115,[1]List1!$A:$D,2,FALSE))),"OFFLINE!")</f>
        <v>SKLADEM</v>
      </c>
      <c r="AD1115" s="722" t="str">
        <f ca="1">IF(AP1115="NE",$V$10,IF(AC1115=$V$3,IF(AQ1115&lt;1,$V$8,$V$2&amp;" "&amp;AQ1115&amp;" "&amp;$V$1),IF(AC1115="SKLADEM",$V$6,IFERROR(IF(OR(AC1115-TODAY()&gt;45,VLOOKUP(C1115,[1]List1!$A:$E,4,FALSE)=0),AC1115,DAY(AC1115)&amp;"."&amp;MONTH(AC1115)&amp;"."&amp;YEAR(AC1115)&amp;" "&amp;$V$4&amp;VLOOKUP(C1115,[1]List1!$A:$E,4,FALSE)&amp;" "&amp;$V$1),AC1115))))</f>
        <v>SKLADEM</v>
      </c>
      <c r="AE1115" s="716" t="str">
        <f t="shared" ref="AE1115" ca="1" si="2902">IFERROR(IF(AV1115&lt;&gt;"",AV1115,AD1115),AD1115)</f>
        <v>SKLADEM</v>
      </c>
      <c r="AF1115" s="723">
        <f t="shared" ref="AF1115" si="2903">IFERROR(IF(AB1115=Y1115,G1115*I1115*Y1115,0),0)</f>
        <v>0</v>
      </c>
      <c r="AG1115" s="723">
        <f t="shared" ref="AG1115" si="2904">IF($W$17=$AF$8,AH1115*1.23,AF1115*1.21)</f>
        <v>0</v>
      </c>
      <c r="AH1115" s="724">
        <f t="shared" ref="AH1115" si="2905">IFERROR(IF(Y1115=AB1115,H1115*I1115*Y1115,0),0)</f>
        <v>0</v>
      </c>
      <c r="AI1115" s="716">
        <f t="shared" ref="AI1115" si="2906">IFERROR(IF(Y1115=AB1115,(P1115*Y1115)/1000,1),0)</f>
        <v>0</v>
      </c>
      <c r="AJ1115" s="716">
        <f t="shared" ref="AJ1115" si="2907">IFERROR(IF(Y1115=AB1115,N1115*Y1115,0.1),0)</f>
        <v>0</v>
      </c>
      <c r="AK1115" s="716" t="str">
        <f t="shared" ref="AK1115" si="2908">IFERROR(IF(Y1115=AB1115,IF(M1115="1.1G",(O1115/1000)*Y1115,""),""),0)</f>
        <v/>
      </c>
      <c r="AL1115" s="716" t="str">
        <f t="shared" ref="AL1115" si="2909">IFERROR(IF(Y1115=AB1115,IF(M1115="1.3G",(O1115/1000)*AB1115,""),""),0)</f>
        <v/>
      </c>
      <c r="AM1115" s="716" t="str">
        <f t="shared" ref="AM1115" si="2910">IFERROR(IF(Y1115=AB1115,IF(M1115="1.4G",(O1115/1000)*AB1115,""),""),0)</f>
        <v/>
      </c>
      <c r="AN1115" s="716">
        <f t="shared" ref="AN1115" si="2911">SUM(AK1115:AM1115)</f>
        <v>0</v>
      </c>
      <c r="AO1115" s="380"/>
      <c r="AP1115" s="304" t="str">
        <f t="shared" si="2840"/>
        <v/>
      </c>
      <c r="AQ1115" s="304" t="str">
        <f>IF(AC1115=$V$3,IF(VLOOKUP(C1115,[1]List1!$A:$E,5,FALSE)=0,1,VLOOKUP(C1115,[1]List1!$A:$E,5,FALSE)),"")</f>
        <v/>
      </c>
      <c r="AR1115" s="304" t="str">
        <f t="shared" si="2841"/>
        <v/>
      </c>
      <c r="AS1115" s="304" t="str">
        <f t="shared" si="2842"/>
        <v/>
      </c>
      <c r="AT1115" s="304" t="str">
        <f t="shared" si="2843"/>
        <v/>
      </c>
      <c r="AU1115" s="304" t="e">
        <f t="shared" si="2844"/>
        <v>#N/A</v>
      </c>
      <c r="AV1115" s="304" t="e">
        <f t="shared" si="2845"/>
        <v>#N/A</v>
      </c>
      <c r="AX1115" s="304">
        <f>IF(AND('General price list'!$J1115="F4",'General price list'!$AB1115+0&gt;0),1,0)</f>
        <v>0</v>
      </c>
      <c r="AY1115" s="304">
        <f t="shared" si="2846"/>
        <v>0</v>
      </c>
      <c r="AZ1115" s="304">
        <f t="shared" si="2847"/>
        <v>0</v>
      </c>
    </row>
    <row r="1116" spans="1:52" ht="15" customHeight="1">
      <c r="A1116" s="773" t="str">
        <f>Kat.!C1113</f>
        <v xml:space="preserve">                                                               Baterie 47ran, 30+50mm rovný+šikmý moždíř-1.3G</v>
      </c>
      <c r="B1116" s="774"/>
      <c r="C1116" s="774"/>
      <c r="D1116" s="774"/>
      <c r="E1116" s="774"/>
      <c r="F1116" s="774"/>
      <c r="G1116" s="774"/>
      <c r="H1116" s="774"/>
      <c r="I1116" s="774"/>
      <c r="J1116" s="774"/>
      <c r="K1116" s="774"/>
      <c r="L1116" s="774"/>
      <c r="M1116" s="774"/>
      <c r="N1116" s="774"/>
      <c r="O1116" s="774"/>
      <c r="P1116" s="774"/>
      <c r="Q1116" s="774"/>
      <c r="R1116" s="774"/>
      <c r="S1116" s="774"/>
      <c r="T1116" s="774"/>
      <c r="U1116" s="774"/>
      <c r="V1116" s="774"/>
      <c r="W1116" s="774"/>
      <c r="X1116" s="774"/>
      <c r="Y1116" s="774"/>
      <c r="Z1116" s="774"/>
      <c r="AA1116" s="774" t="str">
        <f>IFERROR(IF(VLOOKUP(C1116,[4]List1!$A:$D,4,FALSE)=0,"",VLOOKUP(C1116,[4]List1!$A:$D,4,FALSE)),"")</f>
        <v/>
      </c>
      <c r="AB1116" s="774"/>
      <c r="AC1116" s="775" t="str">
        <f>IFERROR(IF(VLOOKUP(C1116,[1]List1!$A:$D,2,FALSE)="VYPRODÁNO",$V$9,IF(VLOOKUP(C1116,[1]List1!$A:$D,2,FALSE)="DOCHÁZÍ",$V$3,VLOOKUP(C1116,[1]List1!$A:$D,2,FALSE))),"OFFLINE!")</f>
        <v>OFFLINE!</v>
      </c>
      <c r="AD1116" s="774"/>
      <c r="AE1116" s="774"/>
      <c r="AF1116" s="774"/>
      <c r="AG1116" s="774"/>
      <c r="AH1116" s="774"/>
      <c r="AI1116" s="774"/>
      <c r="AJ1116" s="774"/>
      <c r="AK1116" s="774"/>
      <c r="AL1116" s="774"/>
      <c r="AM1116" s="774"/>
      <c r="AN1116" s="774"/>
      <c r="AO1116" s="380"/>
      <c r="AP1116" s="322" t="str">
        <f t="shared" si="2840"/>
        <v/>
      </c>
      <c r="AQ1116" s="323" t="str">
        <f>IF(AC1116=$V$3,IF(VLOOKUP(C1116,[1]List1!$A:$E,5,FALSE)=0,1,VLOOKUP(C1116,[1]List1!$A:$E,5,FALSE)),"")</f>
        <v/>
      </c>
      <c r="AR1116" s="304" t="str">
        <f t="shared" si="2841"/>
        <v/>
      </c>
      <c r="AS1116" s="423" t="str">
        <f t="shared" si="2842"/>
        <v/>
      </c>
      <c r="AT1116" s="304" t="str">
        <f t="shared" si="2843"/>
        <v/>
      </c>
      <c r="AU1116" s="342" t="e">
        <f t="shared" si="2844"/>
        <v>#N/A</v>
      </c>
      <c r="AV1116" s="304" t="e">
        <f t="shared" si="2845"/>
        <v>#N/A</v>
      </c>
      <c r="AX1116" s="304">
        <f>IF(AND('General price list'!$J1116="F4",'General price list'!$AB1116+0&gt;0),1,0)</f>
        <v>0</v>
      </c>
      <c r="AY1116" s="304">
        <f t="shared" si="2846"/>
        <v>0</v>
      </c>
      <c r="AZ1116" s="304">
        <f t="shared" si="2847"/>
        <v>0</v>
      </c>
    </row>
    <row r="1117" spans="1:52" ht="15" customHeight="1">
      <c r="A1117" s="712" t="str">
        <f>Kat.!C1114</f>
        <v/>
      </c>
      <c r="B1117" s="713">
        <f>IF(AND('General price list'!$J1117="F4",$AI$1=FALSE),0,IF(AC1117="SKLADEM",1,IF(AC1117=$V$3,1,0)))</f>
        <v>0</v>
      </c>
      <c r="C1117" s="714" t="s">
        <v>2352</v>
      </c>
      <c r="D1117" s="715" t="s">
        <v>12736</v>
      </c>
      <c r="E1117" s="716" t="s">
        <v>136</v>
      </c>
      <c r="F1117" s="712">
        <f>IFERROR(ROUND(IF($AL$3=2,VLOOKUP(C1117,[2]List1!$A:$D,2,FALSE)*1.08,VLOOKUP(C1117,[2]List1!$A:$D,2,FALSE)),0),"NEUVEDENO!")</f>
        <v>1004</v>
      </c>
      <c r="G1117" s="717">
        <f>(F1117)*$B$19</f>
        <v>1004</v>
      </c>
      <c r="H1117" s="718">
        <f>G1117/$F$19</f>
        <v>40.79824778840176</v>
      </c>
      <c r="I1117" s="719">
        <v>1</v>
      </c>
      <c r="J1117" s="716"/>
      <c r="K1117" s="716">
        <v>7</v>
      </c>
      <c r="L1117" s="716" t="s">
        <v>14464</v>
      </c>
      <c r="M1117" s="716"/>
      <c r="N1117" s="716">
        <f>IFERROR(VLOOKUP(C1117,[3]List1!$A:$D,4,FALSE),"N/A!")</f>
        <v>2.3074875000000005E-2</v>
      </c>
      <c r="O1117" s="716">
        <f>IFERROR(VLOOKUP(C1117,[3]List1!$A:$D,3,FALSE),"N/A!")</f>
        <v>0</v>
      </c>
      <c r="P1117" s="716">
        <f>IFERROR(VLOOKUP(C1117,[3]List1!$A:$D,2,FALSE),"N/A!")</f>
        <v>6760</v>
      </c>
      <c r="Q1117" s="716"/>
      <c r="R1117" s="716"/>
      <c r="S1117" s="716"/>
      <c r="T1117" s="716"/>
      <c r="U1117" s="716"/>
      <c r="V1117" s="716"/>
      <c r="W1117" s="716" t="str">
        <f>IFERROR(VLOOKUP('General price list'!$C1117,Popisy!A:P,MATCH($W$17,Popisy!$A$7:$P$7,0),FALSE),"---------------")</f>
        <v>Maketa výrobku - bez složí</v>
      </c>
      <c r="X1117" s="716" t="str">
        <f>IF(AB1117&lt;0.0001,"",AB1117)</f>
        <v/>
      </c>
      <c r="Y1117" s="716" t="str">
        <f>IF($AL$3=2,IF(OR(AB1117&lt;&gt;"",AB1117&lt;&gt;0),AU1117,""),IF(C1117="","",IF(AB1117&lt;0.0001,"",IF(B1117=0,"",IF(AQ1117&lt;AB1117,"",AB1117)))))</f>
        <v/>
      </c>
      <c r="Z1117" s="716" t="str">
        <f>HYPERLINK("https://www.klasekpyrotechnics.cz/c47mb")</f>
        <v>https://www.klasekpyrotechnics.cz/c47mb</v>
      </c>
      <c r="AA1117" s="716" t="str">
        <f>IFERROR(IF(VLOOKUP(C1117,[4]List1!$A:$D,4,FALSE)=0,"",VLOOKUP(C1117,[4]List1!$A:$D,4,FALSE)),"")</f>
        <v/>
      </c>
      <c r="AB1117" s="720"/>
      <c r="AC1117" s="721" t="str">
        <f>IFERROR(IF(VLOOKUP(C1117,[1]List1!$A:$D,2,FALSE)="VYPRODÁNO",$V$9,IF(VLOOKUP(C1117,[1]List1!$A:$D,2,FALSE)="DOCHÁZÍ",$V$3,VLOOKUP(C1117,[1]List1!$A:$D,2,FALSE))),"OFFLINE!")</f>
        <v>VYPRODÁNO</v>
      </c>
      <c r="AD1117" s="722" t="str">
        <f ca="1">IF(AP1117="NE",$V$10,IF(AC1117=$V$3,IF(AQ1117&lt;1,$V$8,$V$2&amp;" "&amp;AQ1117&amp;" "&amp;$V$1),IF(AC1117="SKLADEM",$V$6,IFERROR(IF(OR(AC1117-TODAY()&gt;45,VLOOKUP(C1117,[1]List1!$A:$E,4,FALSE)=0),AC1117,DAY(AC1117)&amp;"."&amp;MONTH(AC1117)&amp;"."&amp;YEAR(AC1117)&amp;" "&amp;$V$4&amp;VLOOKUP(C1117,[1]List1!$A:$E,4,FALSE)&amp;" "&amp;$V$1),AC1117))))</f>
        <v>VYPRODÁNO</v>
      </c>
      <c r="AE1117" s="716" t="str">
        <f t="shared" ref="AE1117" ca="1" si="2912">IFERROR(IF(AV1117&lt;&gt;"",AV1117,AD1117),AD1117)</f>
        <v>VYPRODÁNO</v>
      </c>
      <c r="AF1117" s="723">
        <f t="shared" ref="AF1117" si="2913">IFERROR(IF(AB1117=Y1117,G1117*I1117*Y1117,0),0)</f>
        <v>0</v>
      </c>
      <c r="AG1117" s="723">
        <f t="shared" ref="AG1117" si="2914">IF($W$17=$AF$8,AH1117*1.23,AF1117*1.21)</f>
        <v>0</v>
      </c>
      <c r="AH1117" s="724">
        <f t="shared" ref="AH1117" si="2915">IFERROR(IF(Y1117=AB1117,H1117*I1117*Y1117,0),0)</f>
        <v>0</v>
      </c>
      <c r="AI1117" s="716">
        <f t="shared" ref="AI1117" si="2916">IFERROR(IF(Y1117=AB1117,(P1117*Y1117)/1000,1),0)</f>
        <v>0</v>
      </c>
      <c r="AJ1117" s="716">
        <f t="shared" ref="AJ1117" si="2917">IFERROR(IF(Y1117=AB1117,N1117*Y1117,0.1),0)</f>
        <v>0</v>
      </c>
      <c r="AK1117" s="716" t="str">
        <f t="shared" ref="AK1117" si="2918">IFERROR(IF(Y1117=AB1117,IF(M1117="1.1G",(O1117/1000)*Y1117,""),""),0)</f>
        <v/>
      </c>
      <c r="AL1117" s="716" t="str">
        <f t="shared" ref="AL1117" si="2919">IFERROR(IF(Y1117=AB1117,IF(M1117="1.3G",(O1117/1000)*AB1117,""),""),0)</f>
        <v/>
      </c>
      <c r="AM1117" s="716" t="str">
        <f t="shared" ref="AM1117" si="2920">IFERROR(IF(Y1117=AB1117,IF(M1117="1.4G",(O1117/1000)*AB1117,""),""),0)</f>
        <v/>
      </c>
      <c r="AN1117" s="716">
        <f t="shared" ref="AN1117" si="2921">SUM(AK1117:AM1117)</f>
        <v>0</v>
      </c>
      <c r="AO1117" s="380"/>
      <c r="AP1117" s="304" t="str">
        <f t="shared" si="2840"/>
        <v/>
      </c>
      <c r="AQ1117" s="304" t="str">
        <f>IF(AC1117=$V$3,IF(VLOOKUP(C1117,[1]List1!$A:$E,5,FALSE)=0,1,VLOOKUP(C1117,[1]List1!$A:$E,5,FALSE)),"")</f>
        <v/>
      </c>
      <c r="AR1117" s="304" t="str">
        <f t="shared" si="2841"/>
        <v/>
      </c>
      <c r="AS1117" s="304" t="str">
        <f t="shared" si="2842"/>
        <v/>
      </c>
      <c r="AT1117" s="304" t="str">
        <f t="shared" si="2843"/>
        <v/>
      </c>
      <c r="AU1117" s="304" t="e">
        <f t="shared" si="2844"/>
        <v>#N/A</v>
      </c>
      <c r="AV1117" s="304" t="e">
        <f t="shared" si="2845"/>
        <v>#N/A</v>
      </c>
      <c r="AX1117" s="304">
        <f>IF(AND('General price list'!$J1117="F4",'General price list'!$AB1117+0&gt;0),1,0)</f>
        <v>0</v>
      </c>
      <c r="AY1117" s="304">
        <f t="shared" si="2846"/>
        <v>0</v>
      </c>
      <c r="AZ1117" s="304">
        <f t="shared" si="2847"/>
        <v>0</v>
      </c>
    </row>
    <row r="1118" spans="1:52" ht="15" customHeight="1">
      <c r="A1118" s="773" t="str">
        <f>Kat.!C1115</f>
        <v xml:space="preserve">                                                               Baterie 62ran, 20+25+30+48mm rovný+šikmý+S moždíř-1.3G</v>
      </c>
      <c r="B1118" s="774"/>
      <c r="C1118" s="774"/>
      <c r="D1118" s="774"/>
      <c r="E1118" s="774"/>
      <c r="F1118" s="774"/>
      <c r="G1118" s="774"/>
      <c r="H1118" s="774"/>
      <c r="I1118" s="774"/>
      <c r="J1118" s="774"/>
      <c r="K1118" s="774"/>
      <c r="L1118" s="774"/>
      <c r="M1118" s="774"/>
      <c r="N1118" s="774"/>
      <c r="O1118" s="774"/>
      <c r="P1118" s="774"/>
      <c r="Q1118" s="774"/>
      <c r="R1118" s="774"/>
      <c r="S1118" s="774"/>
      <c r="T1118" s="774"/>
      <c r="U1118" s="774"/>
      <c r="V1118" s="774"/>
      <c r="W1118" s="774"/>
      <c r="X1118" s="774"/>
      <c r="Y1118" s="774"/>
      <c r="Z1118" s="774"/>
      <c r="AA1118" s="774" t="str">
        <f>IFERROR(IF(VLOOKUP(C1118,[4]List1!$A:$D,4,FALSE)=0,"",VLOOKUP(C1118,[4]List1!$A:$D,4,FALSE)),"")</f>
        <v/>
      </c>
      <c r="AB1118" s="774"/>
      <c r="AC1118" s="775" t="str">
        <f>IFERROR(IF(VLOOKUP(C1118,[1]List1!$A:$D,2,FALSE)="VYPRODÁNO",$V$9,IF(VLOOKUP(C1118,[1]List1!$A:$D,2,FALSE)="DOCHÁZÍ",$V$3,VLOOKUP(C1118,[1]List1!$A:$D,2,FALSE))),"OFFLINE!")</f>
        <v>OFFLINE!</v>
      </c>
      <c r="AD1118" s="774"/>
      <c r="AE1118" s="774"/>
      <c r="AF1118" s="774"/>
      <c r="AG1118" s="774"/>
      <c r="AH1118" s="774"/>
      <c r="AI1118" s="774"/>
      <c r="AJ1118" s="774"/>
      <c r="AK1118" s="774"/>
      <c r="AL1118" s="774"/>
      <c r="AM1118" s="774"/>
      <c r="AN1118" s="774"/>
      <c r="AO1118" s="380"/>
      <c r="AP1118" s="322" t="str">
        <f t="shared" si="2840"/>
        <v/>
      </c>
      <c r="AQ1118" s="323" t="str">
        <f>IF(AC1118=$V$3,IF(VLOOKUP(C1118,[1]List1!$A:$E,5,FALSE)=0,1,VLOOKUP(C1118,[1]List1!$A:$E,5,FALSE)),"")</f>
        <v/>
      </c>
      <c r="AR1118" s="304" t="str">
        <f t="shared" si="2841"/>
        <v/>
      </c>
      <c r="AS1118" s="423" t="str">
        <f t="shared" si="2842"/>
        <v/>
      </c>
      <c r="AT1118" s="304" t="str">
        <f t="shared" si="2843"/>
        <v/>
      </c>
      <c r="AU1118" s="342" t="e">
        <f t="shared" si="2844"/>
        <v>#N/A</v>
      </c>
      <c r="AV1118" s="304" t="e">
        <f t="shared" si="2845"/>
        <v>#N/A</v>
      </c>
      <c r="AX1118" s="304">
        <f>IF(AND('General price list'!$J1118="F4",'General price list'!$AB1118+0&gt;0),1,0)</f>
        <v>0</v>
      </c>
      <c r="AY1118" s="304">
        <f t="shared" si="2846"/>
        <v>0</v>
      </c>
      <c r="AZ1118" s="304">
        <f t="shared" si="2847"/>
        <v>0</v>
      </c>
    </row>
    <row r="1119" spans="1:52" ht="15" customHeight="1">
      <c r="A1119" s="712" t="str">
        <f>Kat.!C1116</f>
        <v/>
      </c>
      <c r="B1119" s="713">
        <f>IF(AND('General price list'!$J1119="F4",$AI$1=FALSE),0,IF(AC1119="SKLADEM",1,IF(AC1119=$V$3,1,0)))</f>
        <v>1</v>
      </c>
      <c r="C1119" s="714" t="s">
        <v>2353</v>
      </c>
      <c r="D1119" s="715" t="s">
        <v>12737</v>
      </c>
      <c r="E1119" s="716" t="s">
        <v>136</v>
      </c>
      <c r="F1119" s="712">
        <f>IFERROR(ROUND(IF($AL$3=2,VLOOKUP(C1119,[2]List1!$A:$D,2,FALSE)*1.08,VLOOKUP(C1119,[2]List1!$A:$D,2,FALSE)),0),"NEUVEDENO!")</f>
        <v>1115</v>
      </c>
      <c r="G1119" s="717">
        <f>(F1119)*$B$19</f>
        <v>1115</v>
      </c>
      <c r="H1119" s="718">
        <f>G1119/$F$19</f>
        <v>45.308811039908328</v>
      </c>
      <c r="I1119" s="719">
        <v>1</v>
      </c>
      <c r="J1119" s="716"/>
      <c r="K1119" s="716">
        <v>7</v>
      </c>
      <c r="L1119" s="716" t="s">
        <v>14464</v>
      </c>
      <c r="M1119" s="716"/>
      <c r="N1119" s="716">
        <f>IFERROR(VLOOKUP(C1119,[3]List1!$A:$D,4,FALSE),"N/A!")</f>
        <v>2.8680999999999998E-2</v>
      </c>
      <c r="O1119" s="716">
        <f>IFERROR(VLOOKUP(C1119,[3]List1!$A:$D,3,FALSE),"N/A!")</f>
        <v>0</v>
      </c>
      <c r="P1119" s="716">
        <f>IFERROR(VLOOKUP(C1119,[3]List1!$A:$D,2,FALSE),"N/A!")</f>
        <v>8009</v>
      </c>
      <c r="Q1119" s="716"/>
      <c r="R1119" s="716"/>
      <c r="S1119" s="716"/>
      <c r="T1119" s="716"/>
      <c r="U1119" s="716"/>
      <c r="V1119" s="716"/>
      <c r="W1119" s="716" t="str">
        <f>IFERROR(VLOOKUP('General price list'!$C1119,Popisy!A:P,MATCH($W$17,Popisy!$A$7:$P$7,0),FALSE),"---------------")</f>
        <v>Maketa výrobku - bez složí</v>
      </c>
      <c r="X1119" s="716" t="str">
        <f>IF(AB1119&lt;0.0001,"",AB1119)</f>
        <v/>
      </c>
      <c r="Y1119" s="716" t="str">
        <f>IF($AL$3=2,IF(OR(AB1119&lt;&gt;"",AB1119&lt;&gt;0),AU1119,""),IF(C1119="","",IF(AB1119&lt;0.0001,"",IF(B1119=0,"",IF(AQ1119&lt;AB1119,"",AB1119)))))</f>
        <v/>
      </c>
      <c r="Z1119" s="716" t="str">
        <f>HYPERLINK("https://www.klasekpyrotechnics.cz/c62smt")</f>
        <v>https://www.klasekpyrotechnics.cz/c62smt</v>
      </c>
      <c r="AA1119" s="716" t="str">
        <f>IFERROR(IF(VLOOKUP(C1119,[4]List1!$A:$D,4,FALSE)=0,"",VLOOKUP(C1119,[4]List1!$A:$D,4,FALSE)),"")</f>
        <v/>
      </c>
      <c r="AB1119" s="720"/>
      <c r="AC1119" s="721" t="str">
        <f>IFERROR(IF(VLOOKUP(C1119,[1]List1!$A:$D,2,FALSE)="VYPRODÁNO",$V$9,IF(VLOOKUP(C1119,[1]List1!$A:$D,2,FALSE)="DOCHÁZÍ",$V$3,VLOOKUP(C1119,[1]List1!$A:$D,2,FALSE))),"OFFLINE!")</f>
        <v>SKLADEM</v>
      </c>
      <c r="AD1119" s="722" t="str">
        <f ca="1">IF(AP1119="NE",$V$10,IF(AC1119=$V$3,IF(AQ1119&lt;1,$V$8,$V$2&amp;" "&amp;AQ1119&amp;" "&amp;$V$1),IF(AC1119="SKLADEM",$V$6,IFERROR(IF(OR(AC1119-TODAY()&gt;45,VLOOKUP(C1119,[1]List1!$A:$E,4,FALSE)=0),AC1119,DAY(AC1119)&amp;"."&amp;MONTH(AC1119)&amp;"."&amp;YEAR(AC1119)&amp;" "&amp;$V$4&amp;VLOOKUP(C1119,[1]List1!$A:$E,4,FALSE)&amp;" "&amp;$V$1),AC1119))))</f>
        <v>SKLADEM</v>
      </c>
      <c r="AE1119" s="716" t="str">
        <f t="shared" ref="AE1119" ca="1" si="2922">IFERROR(IF(AV1119&lt;&gt;"",AV1119,AD1119),AD1119)</f>
        <v>SKLADEM</v>
      </c>
      <c r="AF1119" s="723">
        <f t="shared" ref="AF1119" si="2923">IFERROR(IF(AB1119=Y1119,G1119*I1119*Y1119,0),0)</f>
        <v>0</v>
      </c>
      <c r="AG1119" s="723">
        <f t="shared" ref="AG1119" si="2924">IF($W$17=$AF$8,AH1119*1.23,AF1119*1.21)</f>
        <v>0</v>
      </c>
      <c r="AH1119" s="724">
        <f t="shared" ref="AH1119" si="2925">IFERROR(IF(Y1119=AB1119,H1119*I1119*Y1119,0),0)</f>
        <v>0</v>
      </c>
      <c r="AI1119" s="716">
        <f t="shared" ref="AI1119" si="2926">IFERROR(IF(Y1119=AB1119,(P1119*Y1119)/1000,1),0)</f>
        <v>0</v>
      </c>
      <c r="AJ1119" s="716">
        <f t="shared" ref="AJ1119" si="2927">IFERROR(IF(Y1119=AB1119,N1119*Y1119,0.1),0)</f>
        <v>0</v>
      </c>
      <c r="AK1119" s="716" t="str">
        <f t="shared" ref="AK1119" si="2928">IFERROR(IF(Y1119=AB1119,IF(M1119="1.1G",(O1119/1000)*Y1119,""),""),0)</f>
        <v/>
      </c>
      <c r="AL1119" s="716" t="str">
        <f t="shared" ref="AL1119" si="2929">IFERROR(IF(Y1119=AB1119,IF(M1119="1.3G",(O1119/1000)*AB1119,""),""),0)</f>
        <v/>
      </c>
      <c r="AM1119" s="716" t="str">
        <f t="shared" ref="AM1119" si="2930">IFERROR(IF(Y1119=AB1119,IF(M1119="1.4G",(O1119/1000)*AB1119,""),""),0)</f>
        <v/>
      </c>
      <c r="AN1119" s="716">
        <f t="shared" ref="AN1119" si="2931">SUM(AK1119:AM1119)</f>
        <v>0</v>
      </c>
      <c r="AO1119" s="380"/>
      <c r="AP1119" s="304" t="str">
        <f t="shared" si="2840"/>
        <v/>
      </c>
      <c r="AQ1119" s="304" t="str">
        <f>IF(AC1119=$V$3,IF(VLOOKUP(C1119,[1]List1!$A:$E,5,FALSE)=0,1,VLOOKUP(C1119,[1]List1!$A:$E,5,FALSE)),"")</f>
        <v/>
      </c>
      <c r="AR1119" s="304" t="str">
        <f t="shared" si="2841"/>
        <v/>
      </c>
      <c r="AS1119" s="304" t="str">
        <f t="shared" si="2842"/>
        <v/>
      </c>
      <c r="AT1119" s="304" t="str">
        <f t="shared" si="2843"/>
        <v/>
      </c>
      <c r="AU1119" s="304" t="e">
        <f t="shared" si="2844"/>
        <v>#N/A</v>
      </c>
      <c r="AV1119" s="304" t="e">
        <f t="shared" si="2845"/>
        <v>#N/A</v>
      </c>
      <c r="AX1119" s="304">
        <f>IF(AND('General price list'!$J1119="F4",'General price list'!$AB1119+0&gt;0),1,0)</f>
        <v>0</v>
      </c>
      <c r="AY1119" s="304">
        <f t="shared" si="2846"/>
        <v>0</v>
      </c>
      <c r="AZ1119" s="304">
        <f t="shared" si="2847"/>
        <v>0</v>
      </c>
    </row>
    <row r="1120" spans="1:52" ht="15" customHeight="1">
      <c r="A1120" s="773" t="str">
        <f>Kat.!C1117</f>
        <v xml:space="preserve">                                                               Baterie 63ran, 25+45mm rovný+šikmý moždíř-1.3G</v>
      </c>
      <c r="B1120" s="774"/>
      <c r="C1120" s="774"/>
      <c r="D1120" s="774"/>
      <c r="E1120" s="774"/>
      <c r="F1120" s="774"/>
      <c r="G1120" s="774"/>
      <c r="H1120" s="774"/>
      <c r="I1120" s="774"/>
      <c r="J1120" s="774"/>
      <c r="K1120" s="774"/>
      <c r="L1120" s="774"/>
      <c r="M1120" s="774"/>
      <c r="N1120" s="774"/>
      <c r="O1120" s="774"/>
      <c r="P1120" s="774"/>
      <c r="Q1120" s="774"/>
      <c r="R1120" s="774"/>
      <c r="S1120" s="774"/>
      <c r="T1120" s="774"/>
      <c r="U1120" s="774"/>
      <c r="V1120" s="774"/>
      <c r="W1120" s="774"/>
      <c r="X1120" s="774"/>
      <c r="Y1120" s="774"/>
      <c r="Z1120" s="774"/>
      <c r="AA1120" s="774" t="str">
        <f>IFERROR(IF(VLOOKUP(C1120,[4]List1!$A:$D,4,FALSE)=0,"",VLOOKUP(C1120,[4]List1!$A:$D,4,FALSE)),"")</f>
        <v/>
      </c>
      <c r="AB1120" s="774"/>
      <c r="AC1120" s="775" t="str">
        <f>IFERROR(IF(VLOOKUP(C1120,[1]List1!$A:$D,2,FALSE)="VYPRODÁNO",$V$9,IF(VLOOKUP(C1120,[1]List1!$A:$D,2,FALSE)="DOCHÁZÍ",$V$3,VLOOKUP(C1120,[1]List1!$A:$D,2,FALSE))),"OFFLINE!")</f>
        <v>OFFLINE!</v>
      </c>
      <c r="AD1120" s="774"/>
      <c r="AE1120" s="774"/>
      <c r="AF1120" s="774"/>
      <c r="AG1120" s="774"/>
      <c r="AH1120" s="774"/>
      <c r="AI1120" s="774"/>
      <c r="AJ1120" s="774"/>
      <c r="AK1120" s="774"/>
      <c r="AL1120" s="774"/>
      <c r="AM1120" s="774"/>
      <c r="AN1120" s="774"/>
      <c r="AO1120" s="380"/>
      <c r="AP1120" s="322" t="str">
        <f t="shared" si="2840"/>
        <v/>
      </c>
      <c r="AQ1120" s="323" t="str">
        <f>IF(AC1120=$V$3,IF(VLOOKUP(C1120,[1]List1!$A:$E,5,FALSE)=0,1,VLOOKUP(C1120,[1]List1!$A:$E,5,FALSE)),"")</f>
        <v/>
      </c>
      <c r="AR1120" s="304" t="str">
        <f t="shared" si="2841"/>
        <v/>
      </c>
      <c r="AS1120" s="423" t="str">
        <f t="shared" si="2842"/>
        <v/>
      </c>
      <c r="AT1120" s="304" t="str">
        <f t="shared" si="2843"/>
        <v/>
      </c>
      <c r="AU1120" s="342" t="e">
        <f t="shared" si="2844"/>
        <v>#N/A</v>
      </c>
      <c r="AV1120" s="304" t="e">
        <f t="shared" si="2845"/>
        <v>#N/A</v>
      </c>
      <c r="AX1120" s="304">
        <f>IF(AND('General price list'!$J1120="F4",'General price list'!$AB1120+0&gt;0),1,0)</f>
        <v>0</v>
      </c>
      <c r="AY1120" s="304">
        <f t="shared" si="2846"/>
        <v>0</v>
      </c>
      <c r="AZ1120" s="304">
        <f t="shared" si="2847"/>
        <v>0</v>
      </c>
    </row>
    <row r="1121" spans="1:52" ht="15" customHeight="1">
      <c r="A1121" s="712" t="str">
        <f>Kat.!C1118</f>
        <v/>
      </c>
      <c r="B1121" s="713">
        <f>IF(AND('General price list'!$J1121="F4",$AI$1=FALSE),0,IF(AC1121="SKLADEM",1,IF(AC1121=$V$3,1,0)))</f>
        <v>1</v>
      </c>
      <c r="C1121" s="714" t="s">
        <v>2354</v>
      </c>
      <c r="D1121" s="715" t="s">
        <v>12738</v>
      </c>
      <c r="E1121" s="716" t="s">
        <v>136</v>
      </c>
      <c r="F1121" s="712">
        <f>IFERROR(ROUND(IF($AL$3=2,VLOOKUP(C1121,[2]List1!$A:$D,2,FALSE)*1.08,VLOOKUP(C1121,[2]List1!$A:$D,2,FALSE)),0),"NEUVEDENO!")</f>
        <v>893</v>
      </c>
      <c r="G1121" s="717">
        <f>(F1121)*$B$19</f>
        <v>893</v>
      </c>
      <c r="H1121" s="718">
        <f>G1121/$F$19</f>
        <v>36.287684536895192</v>
      </c>
      <c r="I1121" s="719">
        <v>1</v>
      </c>
      <c r="J1121" s="716"/>
      <c r="K1121" s="716">
        <v>7</v>
      </c>
      <c r="L1121" s="716" t="s">
        <v>14464</v>
      </c>
      <c r="M1121" s="716"/>
      <c r="N1121" s="716">
        <f>IFERROR(VLOOKUP(C1121,[3]List1!$A:$D,4,FALSE),"N/A!")</f>
        <v>2.5368750000000006E-2</v>
      </c>
      <c r="O1121" s="716">
        <f>IFERROR(VLOOKUP(C1121,[3]List1!$A:$D,3,FALSE),"N/A!")</f>
        <v>0</v>
      </c>
      <c r="P1121" s="716">
        <f>IFERROR(VLOOKUP(C1121,[3]List1!$A:$D,2,FALSE),"N/A!")</f>
        <v>7336</v>
      </c>
      <c r="Q1121" s="716"/>
      <c r="R1121" s="716"/>
      <c r="S1121" s="716"/>
      <c r="T1121" s="716"/>
      <c r="U1121" s="716"/>
      <c r="V1121" s="716"/>
      <c r="W1121" s="716" t="str">
        <f>IFERROR(VLOOKUP('General price list'!$C1121,Popisy!A:P,MATCH($W$17,Popisy!$A$7:$P$7,0),FALSE),"---------------")</f>
        <v>Maketa výrobku - bez složí</v>
      </c>
      <c r="X1121" s="716" t="str">
        <f>IF(AB1121&lt;0.0001,"",AB1121)</f>
        <v/>
      </c>
      <c r="Y1121" s="716" t="str">
        <f>IF($AL$3=2,IF(OR(AB1121&lt;&gt;"",AB1121&lt;&gt;0),AU1121,""),IF(C1121="","",IF(AB1121&lt;0.0001,"",IF(B1121=0,"",IF(AQ1121&lt;AB1121,"",AB1121)))))</f>
        <v/>
      </c>
      <c r="Z1121" s="716" t="str">
        <f>HYPERLINK("https://www.klasekpyrotechnics.cz/c63mp")</f>
        <v>https://www.klasekpyrotechnics.cz/c63mp</v>
      </c>
      <c r="AA1121" s="716" t="str">
        <f>IFERROR(IF(VLOOKUP(C1121,[4]List1!$A:$D,4,FALSE)=0,"",VLOOKUP(C1121,[4]List1!$A:$D,4,FALSE)),"")</f>
        <v/>
      </c>
      <c r="AB1121" s="720"/>
      <c r="AC1121" s="721" t="str">
        <f>IFERROR(IF(VLOOKUP(C1121,[1]List1!$A:$D,2,FALSE)="VYPRODÁNO",$V$9,IF(VLOOKUP(C1121,[1]List1!$A:$D,2,FALSE)="DOCHÁZÍ",$V$3,VLOOKUP(C1121,[1]List1!$A:$D,2,FALSE))),"OFFLINE!")</f>
        <v>SKLADEM</v>
      </c>
      <c r="AD1121" s="722" t="str">
        <f ca="1">IF(AP1121="NE",$V$10,IF(AC1121=$V$3,IF(AQ1121&lt;1,$V$8,$V$2&amp;" "&amp;AQ1121&amp;" "&amp;$V$1),IF(AC1121="SKLADEM",$V$6,IFERROR(IF(OR(AC1121-TODAY()&gt;45,VLOOKUP(C1121,[1]List1!$A:$E,4,FALSE)=0),AC1121,DAY(AC1121)&amp;"."&amp;MONTH(AC1121)&amp;"."&amp;YEAR(AC1121)&amp;" "&amp;$V$4&amp;VLOOKUP(C1121,[1]List1!$A:$E,4,FALSE)&amp;" "&amp;$V$1),AC1121))))</f>
        <v>SKLADEM</v>
      </c>
      <c r="AE1121" s="716" t="str">
        <f t="shared" ref="AE1121" ca="1" si="2932">IFERROR(IF(AV1121&lt;&gt;"",AV1121,AD1121),AD1121)</f>
        <v>SKLADEM</v>
      </c>
      <c r="AF1121" s="723">
        <f t="shared" ref="AF1121" si="2933">IFERROR(IF(AB1121=Y1121,G1121*I1121*Y1121,0),0)</f>
        <v>0</v>
      </c>
      <c r="AG1121" s="723">
        <f t="shared" ref="AG1121" si="2934">IF($W$17=$AF$8,AH1121*1.23,AF1121*1.21)</f>
        <v>0</v>
      </c>
      <c r="AH1121" s="724">
        <f t="shared" ref="AH1121" si="2935">IFERROR(IF(Y1121=AB1121,H1121*I1121*Y1121,0),0)</f>
        <v>0</v>
      </c>
      <c r="AI1121" s="716">
        <f t="shared" ref="AI1121" si="2936">IFERROR(IF(Y1121=AB1121,(P1121*Y1121)/1000,1),0)</f>
        <v>0</v>
      </c>
      <c r="AJ1121" s="716">
        <f t="shared" ref="AJ1121" si="2937">IFERROR(IF(Y1121=AB1121,N1121*Y1121,0.1),0)</f>
        <v>0</v>
      </c>
      <c r="AK1121" s="716" t="str">
        <f t="shared" ref="AK1121" si="2938">IFERROR(IF(Y1121=AB1121,IF(M1121="1.1G",(O1121/1000)*Y1121,""),""),0)</f>
        <v/>
      </c>
      <c r="AL1121" s="716" t="str">
        <f t="shared" ref="AL1121" si="2939">IFERROR(IF(Y1121=AB1121,IF(M1121="1.3G",(O1121/1000)*AB1121,""),""),0)</f>
        <v/>
      </c>
      <c r="AM1121" s="716" t="str">
        <f t="shared" ref="AM1121" si="2940">IFERROR(IF(Y1121=AB1121,IF(M1121="1.4G",(O1121/1000)*AB1121,""),""),0)</f>
        <v/>
      </c>
      <c r="AN1121" s="716">
        <f t="shared" ref="AN1121" si="2941">SUM(AK1121:AM1121)</f>
        <v>0</v>
      </c>
      <c r="AO1121" s="380"/>
      <c r="AP1121" s="304" t="str">
        <f t="shared" si="2840"/>
        <v/>
      </c>
      <c r="AQ1121" s="304" t="str">
        <f>IF(AC1121=$V$3,IF(VLOOKUP(C1121,[1]List1!$A:$E,5,FALSE)=0,1,VLOOKUP(C1121,[1]List1!$A:$E,5,FALSE)),"")</f>
        <v/>
      </c>
      <c r="AR1121" s="304" t="str">
        <f t="shared" si="2841"/>
        <v/>
      </c>
      <c r="AS1121" s="304" t="str">
        <f t="shared" si="2842"/>
        <v/>
      </c>
      <c r="AT1121" s="304" t="str">
        <f t="shared" si="2843"/>
        <v/>
      </c>
      <c r="AU1121" s="304" t="e">
        <f t="shared" si="2844"/>
        <v>#N/A</v>
      </c>
      <c r="AV1121" s="304" t="e">
        <f t="shared" si="2845"/>
        <v>#N/A</v>
      </c>
      <c r="AX1121" s="304">
        <f>IF(AND('General price list'!$J1121="F4",'General price list'!$AB1121+0&gt;0),1,0)</f>
        <v>0</v>
      </c>
      <c r="AY1121" s="304">
        <f t="shared" si="2846"/>
        <v>0</v>
      </c>
      <c r="AZ1121" s="304">
        <f t="shared" si="2847"/>
        <v>0</v>
      </c>
    </row>
    <row r="1122" spans="1:52" ht="15" customHeight="1">
      <c r="A1122" s="773" t="str">
        <f>Kat.!C1119</f>
        <v xml:space="preserve">                                                               Baterie 106ran, 20+25+30mm rovný+šikmý+S moždíř-1.3G</v>
      </c>
      <c r="B1122" s="774"/>
      <c r="C1122" s="774"/>
      <c r="D1122" s="774"/>
      <c r="E1122" s="774"/>
      <c r="F1122" s="774"/>
      <c r="G1122" s="774"/>
      <c r="H1122" s="774"/>
      <c r="I1122" s="774"/>
      <c r="J1122" s="774"/>
      <c r="K1122" s="774"/>
      <c r="L1122" s="774"/>
      <c r="M1122" s="774"/>
      <c r="N1122" s="774"/>
      <c r="O1122" s="774"/>
      <c r="P1122" s="774"/>
      <c r="Q1122" s="774"/>
      <c r="R1122" s="774"/>
      <c r="S1122" s="774"/>
      <c r="T1122" s="774"/>
      <c r="U1122" s="774"/>
      <c r="V1122" s="774"/>
      <c r="W1122" s="774"/>
      <c r="X1122" s="774"/>
      <c r="Y1122" s="774"/>
      <c r="Z1122" s="774"/>
      <c r="AA1122" s="774" t="str">
        <f>IFERROR(IF(VLOOKUP(C1122,[4]List1!$A:$D,4,FALSE)=0,"",VLOOKUP(C1122,[4]List1!$A:$D,4,FALSE)),"")</f>
        <v/>
      </c>
      <c r="AB1122" s="774"/>
      <c r="AC1122" s="775" t="str">
        <f>IFERROR(IF(VLOOKUP(C1122,[1]List1!$A:$D,2,FALSE)="VYPRODÁNO",$V$9,IF(VLOOKUP(C1122,[1]List1!$A:$D,2,FALSE)="DOCHÁZÍ",$V$3,VLOOKUP(C1122,[1]List1!$A:$D,2,FALSE))),"OFFLINE!")</f>
        <v>OFFLINE!</v>
      </c>
      <c r="AD1122" s="774"/>
      <c r="AE1122" s="774"/>
      <c r="AF1122" s="774"/>
      <c r="AG1122" s="774"/>
      <c r="AH1122" s="774"/>
      <c r="AI1122" s="774"/>
      <c r="AJ1122" s="774"/>
      <c r="AK1122" s="774"/>
      <c r="AL1122" s="774"/>
      <c r="AM1122" s="774"/>
      <c r="AN1122" s="774"/>
      <c r="AO1122" s="380"/>
      <c r="AP1122" s="322" t="str">
        <f t="shared" si="2840"/>
        <v/>
      </c>
      <c r="AQ1122" s="323" t="str">
        <f>IF(AC1122=$V$3,IF(VLOOKUP(C1122,[1]List1!$A:$E,5,FALSE)=0,1,VLOOKUP(C1122,[1]List1!$A:$E,5,FALSE)),"")</f>
        <v/>
      </c>
      <c r="AR1122" s="304" t="str">
        <f t="shared" si="2841"/>
        <v/>
      </c>
      <c r="AS1122" s="423" t="str">
        <f t="shared" si="2842"/>
        <v/>
      </c>
      <c r="AT1122" s="304" t="str">
        <f t="shared" si="2843"/>
        <v/>
      </c>
      <c r="AU1122" s="342" t="e">
        <f t="shared" si="2844"/>
        <v>#N/A</v>
      </c>
      <c r="AV1122" s="304" t="e">
        <f t="shared" si="2845"/>
        <v>#N/A</v>
      </c>
      <c r="AX1122" s="304">
        <f>IF(AND('General price list'!$J1122="F4",'General price list'!$AB1122+0&gt;0),1,0)</f>
        <v>0</v>
      </c>
      <c r="AY1122" s="304">
        <f t="shared" si="2846"/>
        <v>0</v>
      </c>
      <c r="AZ1122" s="304">
        <f t="shared" si="2847"/>
        <v>0</v>
      </c>
    </row>
    <row r="1123" spans="1:52" ht="15" customHeight="1">
      <c r="A1123" s="712" t="str">
        <f>Kat.!C1120</f>
        <v/>
      </c>
      <c r="B1123" s="713">
        <f>IF(AND('General price list'!$J1123="F4",$AI$1=FALSE),0,IF(AC1123="SKLADEM",1,IF(AC1123=$V$3,1,0)))</f>
        <v>0</v>
      </c>
      <c r="C1123" s="714" t="s">
        <v>2355</v>
      </c>
      <c r="D1123" s="715" t="s">
        <v>12739</v>
      </c>
      <c r="E1123" s="716" t="s">
        <v>136</v>
      </c>
      <c r="F1123" s="712">
        <f>IFERROR(ROUND(IF($AL$3=2,VLOOKUP(C1123,[2]List1!$A:$D,2,FALSE)*1.08,VLOOKUP(C1123,[2]List1!$A:$D,2,FALSE)),0),"NEUVEDENO!")</f>
        <v>1019</v>
      </c>
      <c r="G1123" s="717">
        <f t="shared" ref="G1123:G1124" si="2942">(F1123)*$B$19</f>
        <v>1019</v>
      </c>
      <c r="H1123" s="718">
        <f t="shared" ref="H1123:H1124" si="2943">G1123/$F$19</f>
        <v>41.407783362929678</v>
      </c>
      <c r="I1123" s="719">
        <v>1</v>
      </c>
      <c r="J1123" s="716"/>
      <c r="K1123" s="716">
        <v>7</v>
      </c>
      <c r="L1123" s="716" t="s">
        <v>14464</v>
      </c>
      <c r="M1123" s="716"/>
      <c r="N1123" s="716">
        <f>IFERROR(VLOOKUP(C1123,[3]List1!$A:$D,4,FALSE),"N/A!")</f>
        <v>2.3034374999999999E-2</v>
      </c>
      <c r="O1123" s="716">
        <f>IFERROR(VLOOKUP(C1123,[3]List1!$A:$D,3,FALSE),"N/A!")</f>
        <v>0</v>
      </c>
      <c r="P1123" s="716">
        <f>IFERROR(VLOOKUP(C1123,[3]List1!$A:$D,2,FALSE),"N/A!")</f>
        <v>7005</v>
      </c>
      <c r="Q1123" s="716"/>
      <c r="R1123" s="716"/>
      <c r="S1123" s="716"/>
      <c r="T1123" s="716"/>
      <c r="U1123" s="716"/>
      <c r="V1123" s="716"/>
      <c r="W1123" s="716" t="str">
        <f>IFERROR(VLOOKUP('General price list'!$C1123,Popisy!A:P,MATCH($W$17,Popisy!$A$7:$P$7,0),FALSE),"---------------")</f>
        <v>Maketa výrobku - bez složí</v>
      </c>
      <c r="X1123" s="716" t="str">
        <f t="shared" ref="X1123:X1124" si="2944">IF(AB1123&lt;0.0001,"",AB1123)</f>
        <v/>
      </c>
      <c r="Y1123" s="716" t="str">
        <f t="shared" ref="Y1123:Y1124" si="2945">IF($AL$3=2,IF(OR(AB1123&lt;&gt;"",AB1123&lt;&gt;0),AU1123,""),IF(C1123="","",IF(AB1123&lt;0.0001,"",IF(B1123=0,"",IF(AQ1123&lt;AB1123,"",AB1123)))))</f>
        <v/>
      </c>
      <c r="Z1123" s="716" t="str">
        <f>HYPERLINK("https://www.klasekpyrotechnics.cz/c106mh")</f>
        <v>https://www.klasekpyrotechnics.cz/c106mh</v>
      </c>
      <c r="AA1123" s="716" t="str">
        <f>IFERROR(IF(VLOOKUP(C1123,[4]List1!$A:$D,4,FALSE)=0,"",VLOOKUP(C1123,[4]List1!$A:$D,4,FALSE)),"")</f>
        <v/>
      </c>
      <c r="AB1123" s="720"/>
      <c r="AC1123" s="721" t="str">
        <f>IFERROR(IF(VLOOKUP(C1123,[1]List1!$A:$D,2,FALSE)="VYPRODÁNO",$V$9,IF(VLOOKUP(C1123,[1]List1!$A:$D,2,FALSE)="DOCHÁZÍ",$V$3,VLOOKUP(C1123,[1]List1!$A:$D,2,FALSE))),"OFFLINE!")</f>
        <v>VYPRODÁNO</v>
      </c>
      <c r="AD1123" s="722" t="str">
        <f ca="1">IF(AP1123="NE",$V$10,IF(AC1123=$V$3,IF(AQ1123&lt;1,$V$8,$V$2&amp;" "&amp;AQ1123&amp;" "&amp;$V$1),IF(AC1123="SKLADEM",$V$6,IFERROR(IF(OR(AC1123-TODAY()&gt;45,VLOOKUP(C1123,[1]List1!$A:$E,4,FALSE)=0),AC1123,DAY(AC1123)&amp;"."&amp;MONTH(AC1123)&amp;"."&amp;YEAR(AC1123)&amp;" "&amp;$V$4&amp;VLOOKUP(C1123,[1]List1!$A:$E,4,FALSE)&amp;" "&amp;$V$1),AC1123))))</f>
        <v>VYPRODÁNO</v>
      </c>
      <c r="AE1123" s="716" t="str">
        <f t="shared" ref="AE1123:AE1124" ca="1" si="2946">IFERROR(IF(AV1123&lt;&gt;"",AV1123,AD1123),AD1123)</f>
        <v>VYPRODÁNO</v>
      </c>
      <c r="AF1123" s="723">
        <f t="shared" ref="AF1123:AF1124" si="2947">IFERROR(IF(AB1123=Y1123,G1123*I1123*Y1123,0),0)</f>
        <v>0</v>
      </c>
      <c r="AG1123" s="723">
        <f t="shared" ref="AG1123:AG1124" si="2948">IF($W$17=$AF$8,AH1123*1.23,AF1123*1.21)</f>
        <v>0</v>
      </c>
      <c r="AH1123" s="724">
        <f t="shared" ref="AH1123:AH1124" si="2949">IFERROR(IF(Y1123=AB1123,H1123*I1123*Y1123,0),0)</f>
        <v>0</v>
      </c>
      <c r="AI1123" s="716">
        <f t="shared" ref="AI1123:AI1124" si="2950">IFERROR(IF(Y1123=AB1123,(P1123*Y1123)/1000,1),0)</f>
        <v>0</v>
      </c>
      <c r="AJ1123" s="716">
        <f t="shared" ref="AJ1123:AJ1124" si="2951">IFERROR(IF(Y1123=AB1123,N1123*Y1123,0.1),0)</f>
        <v>0</v>
      </c>
      <c r="AK1123" s="716" t="str">
        <f t="shared" ref="AK1123:AK1124" si="2952">IFERROR(IF(Y1123=AB1123,IF(M1123="1.1G",(O1123/1000)*Y1123,""),""),0)</f>
        <v/>
      </c>
      <c r="AL1123" s="716" t="str">
        <f t="shared" ref="AL1123:AL1124" si="2953">IFERROR(IF(Y1123=AB1123,IF(M1123="1.3G",(O1123/1000)*AB1123,""),""),0)</f>
        <v/>
      </c>
      <c r="AM1123" s="716" t="str">
        <f t="shared" ref="AM1123:AM1124" si="2954">IFERROR(IF(Y1123=AB1123,IF(M1123="1.4G",(O1123/1000)*AB1123,""),""),0)</f>
        <v/>
      </c>
      <c r="AN1123" s="716">
        <f t="shared" ref="AN1123:AN1124" si="2955">SUM(AK1123:AM1123)</f>
        <v>0</v>
      </c>
      <c r="AO1123" s="380"/>
      <c r="AP1123" s="304" t="str">
        <f t="shared" si="2840"/>
        <v/>
      </c>
      <c r="AQ1123" s="304" t="str">
        <f>IF(AC1123=$V$3,IF(VLOOKUP(C1123,[1]List1!$A:$E,5,FALSE)=0,1,VLOOKUP(C1123,[1]List1!$A:$E,5,FALSE)),"")</f>
        <v/>
      </c>
      <c r="AR1123" s="304" t="str">
        <f t="shared" si="2841"/>
        <v/>
      </c>
      <c r="AS1123" s="304" t="str">
        <f t="shared" si="2842"/>
        <v/>
      </c>
      <c r="AT1123" s="304" t="str">
        <f t="shared" si="2843"/>
        <v/>
      </c>
      <c r="AU1123" s="304" t="e">
        <f t="shared" si="2844"/>
        <v>#N/A</v>
      </c>
      <c r="AV1123" s="304" t="e">
        <f t="shared" si="2845"/>
        <v>#N/A</v>
      </c>
      <c r="AX1123" s="304">
        <f>IF(AND('General price list'!$J1123="F4",'General price list'!$AB1123+0&gt;0),1,0)</f>
        <v>0</v>
      </c>
      <c r="AY1123" s="304">
        <f t="shared" si="2846"/>
        <v>0</v>
      </c>
      <c r="AZ1123" s="304">
        <f t="shared" si="2847"/>
        <v>0</v>
      </c>
    </row>
    <row r="1124" spans="1:52" ht="15" customHeight="1">
      <c r="A1124" s="725" t="str">
        <f>Kat.!C1121</f>
        <v/>
      </c>
      <c r="B1124" s="726">
        <f>IF(AND('General price list'!$J1124="F4",$AI$1=FALSE),0,IF(AC1124="SKLADEM",1,IF(AC1124=$V$3,1,0)))</f>
        <v>0</v>
      </c>
      <c r="C1124" s="727" t="s">
        <v>2356</v>
      </c>
      <c r="D1124" s="728" t="s">
        <v>12740</v>
      </c>
      <c r="E1124" s="729" t="s">
        <v>136</v>
      </c>
      <c r="F1124" s="725">
        <f>IFERROR(ROUND(IF($AL$3=2,VLOOKUP(C1124,[2]List1!$A:$D,2,FALSE)*1.08,VLOOKUP(C1124,[2]List1!$A:$D,2,FALSE)),0),"NEUVEDENO!")</f>
        <v>1019</v>
      </c>
      <c r="G1124" s="730">
        <f t="shared" si="2942"/>
        <v>1019</v>
      </c>
      <c r="H1124" s="731">
        <f t="shared" si="2943"/>
        <v>41.407783362929678</v>
      </c>
      <c r="I1124" s="732">
        <v>1</v>
      </c>
      <c r="J1124" s="729"/>
      <c r="K1124" s="729">
        <v>7</v>
      </c>
      <c r="L1124" s="729" t="s">
        <v>14464</v>
      </c>
      <c r="M1124" s="729"/>
      <c r="N1124" s="729">
        <f>IFERROR(VLOOKUP(C1124,[3]List1!$A:$D,4,FALSE),"N/A!")</f>
        <v>2.3034374999999999E-2</v>
      </c>
      <c r="O1124" s="729">
        <f>IFERROR(VLOOKUP(C1124,[3]List1!$A:$D,3,FALSE),"N/A!")</f>
        <v>0</v>
      </c>
      <c r="P1124" s="729">
        <f>IFERROR(VLOOKUP(C1124,[3]List1!$A:$D,2,FALSE),"N/A!")</f>
        <v>7005</v>
      </c>
      <c r="Q1124" s="729"/>
      <c r="R1124" s="729"/>
      <c r="S1124" s="729"/>
      <c r="T1124" s="729"/>
      <c r="U1124" s="729"/>
      <c r="V1124" s="729"/>
      <c r="W1124" s="729" t="str">
        <f>IFERROR(VLOOKUP('General price list'!$C1124,Popisy!A:P,MATCH($W$17,Popisy!$A$7:$P$7,0),FALSE),"---------------")</f>
        <v>Maketa výrobku - bez složí</v>
      </c>
      <c r="X1124" s="729" t="str">
        <f t="shared" si="2944"/>
        <v/>
      </c>
      <c r="Y1124" s="729" t="str">
        <f t="shared" si="2945"/>
        <v/>
      </c>
      <c r="Z1124" s="729" t="str">
        <f>HYPERLINK("https://www.klasekpyrotechnics.cz/c106mb")</f>
        <v>https://www.klasekpyrotechnics.cz/c106mb</v>
      </c>
      <c r="AA1124" s="729" t="str">
        <f>IFERROR(IF(VLOOKUP(C1124,[4]List1!$A:$D,4,FALSE)=0,"",VLOOKUP(C1124,[4]List1!$A:$D,4,FALSE)),"")</f>
        <v/>
      </c>
      <c r="AB1124" s="720"/>
      <c r="AC1124" s="733" t="str">
        <f>IFERROR(IF(VLOOKUP(C1124,[1]List1!$A:$D,2,FALSE)="VYPRODÁNO",$V$9,IF(VLOOKUP(C1124,[1]List1!$A:$D,2,FALSE)="DOCHÁZÍ",$V$3,VLOOKUP(C1124,[1]List1!$A:$D,2,FALSE))),"OFFLINE!")</f>
        <v>VYPRODÁNO</v>
      </c>
      <c r="AD1124" s="734" t="str">
        <f ca="1">IF(AP1124="NE",$V$10,IF(AC1124=$V$3,IF(AQ1124&lt;1,$V$8,$V$2&amp;" "&amp;AQ1124&amp;" "&amp;$V$1),IF(AC1124="SKLADEM",$V$6,IFERROR(IF(OR(AC1124-TODAY()&gt;45,VLOOKUP(C1124,[1]List1!$A:$E,4,FALSE)=0),AC1124,DAY(AC1124)&amp;"."&amp;MONTH(AC1124)&amp;"."&amp;YEAR(AC1124)&amp;" "&amp;$V$4&amp;VLOOKUP(C1124,[1]List1!$A:$E,4,FALSE)&amp;" "&amp;$V$1),AC1124))))</f>
        <v>VYPRODÁNO</v>
      </c>
      <c r="AE1124" s="729" t="str">
        <f t="shared" ca="1" si="2946"/>
        <v>VYPRODÁNO</v>
      </c>
      <c r="AF1124" s="735">
        <f t="shared" si="2947"/>
        <v>0</v>
      </c>
      <c r="AG1124" s="735">
        <f t="shared" si="2948"/>
        <v>0</v>
      </c>
      <c r="AH1124" s="736">
        <f t="shared" si="2949"/>
        <v>0</v>
      </c>
      <c r="AI1124" s="729">
        <f t="shared" si="2950"/>
        <v>0</v>
      </c>
      <c r="AJ1124" s="729">
        <f t="shared" si="2951"/>
        <v>0</v>
      </c>
      <c r="AK1124" s="729" t="str">
        <f t="shared" si="2952"/>
        <v/>
      </c>
      <c r="AL1124" s="729" t="str">
        <f t="shared" si="2953"/>
        <v/>
      </c>
      <c r="AM1124" s="729" t="str">
        <f t="shared" si="2954"/>
        <v/>
      </c>
      <c r="AN1124" s="729">
        <f t="shared" si="2955"/>
        <v>0</v>
      </c>
      <c r="AO1124" s="380"/>
      <c r="AP1124" s="322" t="str">
        <f t="shared" si="2840"/>
        <v/>
      </c>
      <c r="AQ1124" s="323" t="str">
        <f>IF(AC1124=$V$3,IF(VLOOKUP(C1124,[1]List1!$A:$E,5,FALSE)=0,1,VLOOKUP(C1124,[1]List1!$A:$E,5,FALSE)),"")</f>
        <v/>
      </c>
      <c r="AR1124" s="304" t="str">
        <f t="shared" si="2841"/>
        <v/>
      </c>
      <c r="AS1124" s="423" t="str">
        <f t="shared" si="2842"/>
        <v/>
      </c>
      <c r="AT1124" s="304" t="str">
        <f t="shared" si="2843"/>
        <v/>
      </c>
      <c r="AU1124" s="342" t="e">
        <f t="shared" si="2844"/>
        <v>#N/A</v>
      </c>
      <c r="AV1124" s="304" t="e">
        <f t="shared" si="2845"/>
        <v>#N/A</v>
      </c>
      <c r="AX1124" s="304">
        <f>IF(AND('General price list'!$J1124="F4",'General price list'!$AB1124+0&gt;0),1,0)</f>
        <v>0</v>
      </c>
      <c r="AY1124" s="304">
        <f t="shared" si="2846"/>
        <v>0</v>
      </c>
      <c r="AZ1124" s="304">
        <f t="shared" si="2847"/>
        <v>0</v>
      </c>
    </row>
    <row r="1125" spans="1:52" ht="15" customHeight="1">
      <c r="A1125" s="773" t="str">
        <f>Kat.!C1122</f>
        <v xml:space="preserve">                                                               Složený ohňostroj, multikaliber(20-30mm) F3 - 1.3G</v>
      </c>
      <c r="B1125" s="774"/>
      <c r="C1125" s="774"/>
      <c r="D1125" s="774"/>
      <c r="E1125" s="774"/>
      <c r="F1125" s="774"/>
      <c r="G1125" s="774"/>
      <c r="H1125" s="774"/>
      <c r="I1125" s="774"/>
      <c r="J1125" s="774"/>
      <c r="K1125" s="774"/>
      <c r="L1125" s="774"/>
      <c r="M1125" s="774"/>
      <c r="N1125" s="774"/>
      <c r="O1125" s="774"/>
      <c r="P1125" s="774"/>
      <c r="Q1125" s="774"/>
      <c r="R1125" s="774"/>
      <c r="S1125" s="774"/>
      <c r="T1125" s="774"/>
      <c r="U1125" s="774"/>
      <c r="V1125" s="774"/>
      <c r="W1125" s="774"/>
      <c r="X1125" s="774"/>
      <c r="Y1125" s="774"/>
      <c r="Z1125" s="774"/>
      <c r="AA1125" s="774" t="str">
        <f>IFERROR(IF(VLOOKUP(C1125,[4]List1!$A:$D,4,FALSE)=0,"",VLOOKUP(C1125,[4]List1!$A:$D,4,FALSE)),"")</f>
        <v/>
      </c>
      <c r="AB1125" s="774"/>
      <c r="AC1125" s="775" t="str">
        <f>IFERROR(IF(VLOOKUP(C1125,[1]List1!$A:$D,2,FALSE)="VYPRODÁNO",$V$9,IF(VLOOKUP(C1125,[1]List1!$A:$D,2,FALSE)="DOCHÁZÍ",$V$3,VLOOKUP(C1125,[1]List1!$A:$D,2,FALSE))),"OFFLINE!")</f>
        <v>OFFLINE!</v>
      </c>
      <c r="AD1125" s="774"/>
      <c r="AE1125" s="774"/>
      <c r="AF1125" s="774"/>
      <c r="AG1125" s="774"/>
      <c r="AH1125" s="774"/>
      <c r="AI1125" s="774"/>
      <c r="AJ1125" s="774"/>
      <c r="AK1125" s="774"/>
      <c r="AL1125" s="774"/>
      <c r="AM1125" s="774"/>
      <c r="AN1125" s="774"/>
      <c r="AO1125" s="380"/>
      <c r="AP1125" s="322" t="str">
        <f t="shared" si="2840"/>
        <v/>
      </c>
      <c r="AQ1125" s="323" t="str">
        <f>IF(AC1125=$V$3,IF(VLOOKUP(C1125,[1]List1!$A:$E,5,FALSE)=0,1,VLOOKUP(C1125,[1]List1!$A:$E,5,FALSE)),"")</f>
        <v/>
      </c>
      <c r="AR1125" s="304" t="str">
        <f t="shared" si="2841"/>
        <v/>
      </c>
      <c r="AS1125" s="423" t="str">
        <f t="shared" si="2842"/>
        <v/>
      </c>
      <c r="AT1125" s="304" t="str">
        <f t="shared" si="2843"/>
        <v/>
      </c>
      <c r="AU1125" s="342" t="e">
        <f t="shared" si="2844"/>
        <v>#N/A</v>
      </c>
      <c r="AV1125" s="304" t="e">
        <f t="shared" si="2845"/>
        <v>#N/A</v>
      </c>
      <c r="AX1125" s="304">
        <f>IF(AND('General price list'!$J1125="F4",'General price list'!$AB1125+0&gt;0),1,0)</f>
        <v>0</v>
      </c>
      <c r="AY1125" s="304">
        <f t="shared" si="2846"/>
        <v>0</v>
      </c>
      <c r="AZ1125" s="304">
        <f t="shared" si="2847"/>
        <v>0</v>
      </c>
    </row>
    <row r="1126" spans="1:52" ht="15" customHeight="1">
      <c r="A1126" s="725" t="str">
        <f>Kat.!C1123</f>
        <v/>
      </c>
      <c r="B1126" s="741">
        <f>IF(AND('General price list'!$J1126="F4",$AI$1=FALSE),0,IF(AC1126="SKLADEM",1,IF(AC1126=$V$3,1,0)))</f>
        <v>1</v>
      </c>
      <c r="C1126" s="727" t="s">
        <v>2357</v>
      </c>
      <c r="D1126" s="728" t="s">
        <v>12741</v>
      </c>
      <c r="E1126" s="729" t="s">
        <v>136</v>
      </c>
      <c r="F1126" s="725">
        <f>IFERROR(ROUND(IF($AL$3=2,VLOOKUP(C1126,[2]List1!$A:$D,2,FALSE)*1.08,VLOOKUP(C1126,[2]List1!$A:$D,2,FALSE)),0),"NEUVEDENO!")</f>
        <v>2141</v>
      </c>
      <c r="G1126" s="730">
        <f>(F1126)*$B$19</f>
        <v>2141</v>
      </c>
      <c r="H1126" s="731">
        <f>G1126/$F$19</f>
        <v>87.001044337617699</v>
      </c>
      <c r="I1126" s="742">
        <v>1</v>
      </c>
      <c r="J1126" s="729"/>
      <c r="K1126" s="729"/>
      <c r="L1126" s="729" t="s">
        <v>14464</v>
      </c>
      <c r="M1126" s="729"/>
      <c r="N1126" s="729">
        <f>IFERROR(VLOOKUP(C1126,[3]List1!$A:$D,4,FALSE),"N/A!")</f>
        <v>5.1920000000000001E-2</v>
      </c>
      <c r="O1126" s="729">
        <f>IFERROR(VLOOKUP(C1126,[3]List1!$A:$D,3,FALSE),"N/A!")</f>
        <v>0</v>
      </c>
      <c r="P1126" s="729">
        <f>IFERROR(VLOOKUP(C1126,[3]List1!$A:$D,2,FALSE),"N/A!")</f>
        <v>13006</v>
      </c>
      <c r="Q1126" s="729"/>
      <c r="R1126" s="729"/>
      <c r="S1126" s="729"/>
      <c r="T1126" s="729"/>
      <c r="U1126" s="729"/>
      <c r="V1126" s="729"/>
      <c r="W1126" s="729" t="str">
        <f>IFERROR(VLOOKUP('General price list'!$C1126,Popisy!A:P,MATCH($W$17,Popisy!$A$7:$P$7,0),FALSE),"---------------")</f>
        <v>Maketa výrobku - bez složí</v>
      </c>
      <c r="X1126" s="729" t="str">
        <f>IF(AB1126&lt;0.0001,"",AB1126)</f>
        <v/>
      </c>
      <c r="Y1126" s="729" t="str">
        <f>IF($AL$3=2,IF(OR(AB1126&lt;&gt;"",AB1126&lt;&gt;0),AU1126,""),IF(C1126="","",IF(AB1126&lt;0.0001,"",IF(B1126=0,"",IF(AQ1126&lt;AB1126,"",AB1126)))))</f>
        <v/>
      </c>
      <c r="Z1126" s="729"/>
      <c r="AA1126" s="729" t="str">
        <f>IFERROR(IF(VLOOKUP(C1126,[4]List1!$A:$D,4,FALSE)=0,"",VLOOKUP(C1126,[4]List1!$A:$D,4,FALSE)),"")</f>
        <v/>
      </c>
      <c r="AB1126" s="720"/>
      <c r="AC1126" s="743" t="str">
        <f>IFERROR(IF(VLOOKUP(C1126,[1]List1!$A:$D,2,FALSE)="VYPRODÁNO",$V$9,IF(VLOOKUP(C1126,[1]List1!$A:$D,2,FALSE)="DOCHÁZÍ",$V$3,VLOOKUP(C1126,[1]List1!$A:$D,2,FALSE))),"OFFLINE!")</f>
        <v>SKLADEM</v>
      </c>
      <c r="AD1126" s="744" t="str">
        <f ca="1">IF(AP1126="NE",$V$10,IF(AC1126=$V$3,IF(AQ1126&lt;1,$V$8,$V$2&amp;" "&amp;AQ1126&amp;" "&amp;$V$1),IF(AC1126="SKLADEM",$V$6,IFERROR(IF(OR(AC1126-TODAY()&gt;45,VLOOKUP(C1126,[1]List1!$A:$E,4,FALSE)=0),AC1126,DAY(AC1126)&amp;"."&amp;MONTH(AC1126)&amp;"."&amp;YEAR(AC1126)&amp;" "&amp;$V$4&amp;VLOOKUP(C1126,[1]List1!$A:$E,4,FALSE)&amp;" "&amp;$V$1),AC1126))))</f>
        <v>SKLADEM</v>
      </c>
      <c r="AE1126" s="729" t="str">
        <f t="shared" ref="AE1126" ca="1" si="2956">IFERROR(IF(AV1126&lt;&gt;"",AV1126,AD1126),AD1126)</f>
        <v>SKLADEM</v>
      </c>
      <c r="AF1126" s="735">
        <f t="shared" ref="AF1126" si="2957">IFERROR(IF(AB1126=Y1126,G1126*I1126*Y1126,0),0)</f>
        <v>0</v>
      </c>
      <c r="AG1126" s="735">
        <f t="shared" ref="AG1126" si="2958">IF($W$17=$AF$8,AH1126*1.23,AF1126*1.21)</f>
        <v>0</v>
      </c>
      <c r="AH1126" s="736">
        <f t="shared" ref="AH1126" si="2959">IFERROR(IF(Y1126=AB1126,H1126*I1126*Y1126,0),0)</f>
        <v>0</v>
      </c>
      <c r="AI1126" s="729">
        <f t="shared" ref="AI1126" si="2960">IFERROR(IF(Y1126=AB1126,(P1126*Y1126)/1000,1),0)</f>
        <v>0</v>
      </c>
      <c r="AJ1126" s="729">
        <f t="shared" ref="AJ1126" si="2961">IFERROR(IF(Y1126=AB1126,N1126*Y1126,0.1),0)</f>
        <v>0</v>
      </c>
      <c r="AK1126" s="729" t="str">
        <f t="shared" ref="AK1126" si="2962">IFERROR(IF(Y1126=AB1126,IF(M1126="1.1G",(O1126/1000)*Y1126,""),""),0)</f>
        <v/>
      </c>
      <c r="AL1126" s="729" t="str">
        <f t="shared" ref="AL1126" si="2963">IFERROR(IF(Y1126=AB1126,IF(M1126="1.3G",(O1126/1000)*AB1126,""),""),0)</f>
        <v/>
      </c>
      <c r="AM1126" s="729" t="str">
        <f t="shared" ref="AM1126" si="2964">IFERROR(IF(Y1126=AB1126,IF(M1126="1.4G",(O1126/1000)*AB1126,""),""),0)</f>
        <v/>
      </c>
      <c r="AN1126" s="729">
        <f t="shared" ref="AN1126" si="2965">SUM(AK1126:AM1126)</f>
        <v>0</v>
      </c>
      <c r="AO1126" s="380"/>
      <c r="AP1126" s="322" t="str">
        <f t="shared" si="2840"/>
        <v/>
      </c>
      <c r="AQ1126" s="323" t="str">
        <f>IF(AC1126=$V$3,IF(VLOOKUP(C1126,[1]List1!$A:$E,5,FALSE)=0,1,VLOOKUP(C1126,[1]List1!$A:$E,5,FALSE)),"")</f>
        <v/>
      </c>
      <c r="AR1126" s="304" t="str">
        <f t="shared" si="2841"/>
        <v/>
      </c>
      <c r="AS1126" s="423" t="str">
        <f t="shared" si="2842"/>
        <v/>
      </c>
      <c r="AT1126" s="304" t="str">
        <f t="shared" si="2843"/>
        <v/>
      </c>
      <c r="AU1126" s="342" t="e">
        <f t="shared" si="2844"/>
        <v>#N/A</v>
      </c>
      <c r="AV1126" s="304" t="e">
        <f t="shared" si="2845"/>
        <v>#N/A</v>
      </c>
      <c r="AX1126" s="304">
        <f>IF(AND('General price list'!$J1126="F4",'General price list'!$AB1126+0&gt;0),1,0)</f>
        <v>0</v>
      </c>
      <c r="AY1126" s="304">
        <f t="shared" si="2846"/>
        <v>0</v>
      </c>
      <c r="AZ1126" s="304">
        <f t="shared" si="2847"/>
        <v>0</v>
      </c>
    </row>
    <row r="1127" spans="1:52" ht="15" customHeight="1">
      <c r="A1127" s="773" t="str">
        <f>Kat.!C1124</f>
        <v xml:space="preserve">                                                               Designové kartony</v>
      </c>
      <c r="B1127" s="774"/>
      <c r="C1127" s="774"/>
      <c r="D1127" s="774"/>
      <c r="E1127" s="774"/>
      <c r="F1127" s="774"/>
      <c r="G1127" s="774"/>
      <c r="H1127" s="774"/>
      <c r="I1127" s="774"/>
      <c r="J1127" s="774"/>
      <c r="K1127" s="774"/>
      <c r="L1127" s="774"/>
      <c r="M1127" s="774"/>
      <c r="N1127" s="774"/>
      <c r="O1127" s="774"/>
      <c r="P1127" s="774"/>
      <c r="Q1127" s="774"/>
      <c r="R1127" s="774"/>
      <c r="S1127" s="774"/>
      <c r="T1127" s="774"/>
      <c r="U1127" s="774"/>
      <c r="V1127" s="774"/>
      <c r="W1127" s="774"/>
      <c r="X1127" s="774"/>
      <c r="Y1127" s="774"/>
      <c r="Z1127" s="774"/>
      <c r="AA1127" s="774" t="str">
        <f>IFERROR(IF(VLOOKUP(C1127,[4]List1!$A:$D,4,FALSE)=0,"",VLOOKUP(C1127,[4]List1!$A:$D,4,FALSE)),"")</f>
        <v/>
      </c>
      <c r="AB1127" s="774"/>
      <c r="AC1127" s="775" t="str">
        <f>IFERROR(IF(VLOOKUP(C1127,[1]List1!$A:$D,2,FALSE)="VYPRODÁNO",$V$9,IF(VLOOKUP(C1127,[1]List1!$A:$D,2,FALSE)="DOCHÁZÍ",$V$3,VLOOKUP(C1127,[1]List1!$A:$D,2,FALSE))),"OFFLINE!")</f>
        <v>OFFLINE!</v>
      </c>
      <c r="AD1127" s="774"/>
      <c r="AE1127" s="774"/>
      <c r="AF1127" s="774"/>
      <c r="AG1127" s="774"/>
      <c r="AH1127" s="774"/>
      <c r="AI1127" s="774"/>
      <c r="AJ1127" s="774"/>
      <c r="AK1127" s="774"/>
      <c r="AL1127" s="774"/>
      <c r="AM1127" s="774"/>
      <c r="AN1127" s="774"/>
      <c r="AO1127" s="380"/>
      <c r="AP1127" s="322"/>
      <c r="AQ1127" s="323"/>
      <c r="AS1127" s="423"/>
      <c r="AU1127" s="342"/>
    </row>
    <row r="1128" spans="1:52" ht="15" customHeight="1">
      <c r="A1128" s="725" t="str">
        <f>Kat.!C1125</f>
        <v/>
      </c>
      <c r="B1128" s="741">
        <f>IF(AND('General price list'!$J1128="F4",$AI$1=FALSE),0,IF(AC1128="SKLADEM",1,IF(AC1128=$V$3,1,0)))</f>
        <v>1</v>
      </c>
      <c r="C1128" s="727" t="s">
        <v>12031</v>
      </c>
      <c r="D1128" s="728" t="s">
        <v>14630</v>
      </c>
      <c r="E1128" s="729" t="s">
        <v>136</v>
      </c>
      <c r="F1128" s="725">
        <f>IFERROR(ROUND(IF($AL$3=2,VLOOKUP(C1128,[2]List1!$A:$D,2,FALSE)*1.08,VLOOKUP(C1128,[2]List1!$A:$D,2,FALSE)),0),"NEUVEDENO!")</f>
        <v>140</v>
      </c>
      <c r="G1128" s="730">
        <f t="shared" ref="G1128:G1188" si="2966">(F1128)*$B$19</f>
        <v>140</v>
      </c>
      <c r="H1128" s="731">
        <f t="shared" ref="H1128:H1188" si="2967">G1128/$F$19</f>
        <v>5.6889986955938712</v>
      </c>
      <c r="I1128" s="742">
        <v>1</v>
      </c>
      <c r="J1128" s="729"/>
      <c r="K1128" s="729"/>
      <c r="L1128" s="729" t="s">
        <v>14464</v>
      </c>
      <c r="M1128" s="729"/>
      <c r="N1128" s="729" t="str">
        <f>IFERROR(VLOOKUP(C1128,[3]List1!$A:$D,4,FALSE),"N/A!")</f>
        <v/>
      </c>
      <c r="O1128" s="729" t="str">
        <f>IFERROR(VLOOKUP(C1128,[3]List1!$A:$D,3,FALSE),"N/A!")</f>
        <v/>
      </c>
      <c r="P1128" s="729">
        <f>IFERROR(VLOOKUP(C1128,[3]List1!$A:$D,2,FALSE),"N/A!")</f>
        <v>1500</v>
      </c>
      <c r="Q1128" s="729"/>
      <c r="R1128" s="729"/>
      <c r="S1128" s="729"/>
      <c r="T1128" s="729"/>
      <c r="U1128" s="729"/>
      <c r="V1128" s="729"/>
      <c r="W1128" s="729" t="str">
        <f>IFERROR(VLOOKUP('General price list'!$C1128,Popisy!A:P,MATCH($W$17,Popisy!$A$7:$P$7,0),FALSE),"---------------")</f>
        <v>Kartonová krabice s designem výrobku</v>
      </c>
      <c r="X1128" s="729" t="str">
        <f t="shared" ref="X1128:X1188" si="2968">IF(AB1128&lt;0.0001,"",AB1128)</f>
        <v/>
      </c>
      <c r="Y1128" s="729" t="str">
        <f t="shared" ref="Y1128:Y1188" si="2969">IF($AL$3=2,IF(OR(AB1128&lt;&gt;"",AB1128&lt;&gt;0),AU1128,""),IF(C1128="","",IF(AB1128&lt;0.0001,"",IF(B1128=0,"",IF(AQ1128&lt;AB1128,"",AB1128)))))</f>
        <v/>
      </c>
      <c r="Z1128" s="729"/>
      <c r="AA1128" s="729" t="str">
        <f>IFERROR(IF(VLOOKUP(C1128,[4]List1!$A:$D,4,FALSE)=0,"",VLOOKUP(C1128,[4]List1!$A:$D,4,FALSE)),"")</f>
        <v/>
      </c>
      <c r="AB1128" s="720"/>
      <c r="AC1128" s="743" t="str">
        <f>IFERROR(IF(VLOOKUP(C1128,[1]List1!$A:$D,2,FALSE)="VYPRODÁNO",$V$9,IF(VLOOKUP(C1128,[1]List1!$A:$D,2,FALSE)="DOCHÁZÍ",$V$3,VLOOKUP(C1128,[1]List1!$A:$D,2,FALSE))),"OFFLINE!")</f>
        <v>SKLADEM</v>
      </c>
      <c r="AD1128" s="744" t="str">
        <f ca="1">IF(AP1128="NE",$V$10,IF(AC1128=$V$3,IF(AQ1128&lt;1,$V$8,$V$2&amp;" "&amp;AQ1128&amp;" "&amp;$V$1),IF(AC1128="SKLADEM",$V$6,IFERROR(IF(OR(AC1128-TODAY()&gt;45,VLOOKUP(C1128,[1]List1!$A:$E,4,FALSE)=0),AC1128,DAY(AC1128)&amp;"."&amp;MONTH(AC1128)&amp;"."&amp;YEAR(AC1128)&amp;" "&amp;$V$4&amp;VLOOKUP(C1128,[1]List1!$A:$E,4,FALSE)&amp;" "&amp;$V$1),AC1128))))</f>
        <v>SKLADEM</v>
      </c>
      <c r="AE1128" s="729" t="str">
        <f t="shared" ref="AE1128:AE1189" ca="1" si="2970">IFERROR(IF(AV1128&lt;&gt;"",AV1128,AD1128),AD1128)</f>
        <v>SKLADEM</v>
      </c>
      <c r="AF1128" s="735">
        <f t="shared" ref="AF1128:AF1189" si="2971">IFERROR(IF(AB1128=Y1128,G1128*I1128*Y1128,0),0)</f>
        <v>0</v>
      </c>
      <c r="AG1128" s="735">
        <f t="shared" ref="AG1128:AG1189" si="2972">IF($W$17=$AF$8,AH1128*1.23,AF1128*1.21)</f>
        <v>0</v>
      </c>
      <c r="AH1128" s="736">
        <f t="shared" ref="AH1128:AH1189" si="2973">IFERROR(IF(Y1128=AB1128,H1128*I1128*Y1128,0),0)</f>
        <v>0</v>
      </c>
      <c r="AI1128" s="729">
        <f t="shared" ref="AI1128:AI1189" si="2974">IFERROR(IF(Y1128=AB1128,(P1128*Y1128)/1000,1),0)</f>
        <v>0</v>
      </c>
      <c r="AJ1128" s="729">
        <f t="shared" ref="AJ1128:AJ1189" si="2975">IFERROR(IF(Y1128=AB1128,N1128*Y1128,0.1),0)</f>
        <v>0</v>
      </c>
      <c r="AK1128" s="729" t="str">
        <f t="shared" ref="AK1128:AK1189" si="2976">IFERROR(IF(Y1128=AB1128,IF(M1128="1.1G",(O1128/1000)*Y1128,""),""),0)</f>
        <v/>
      </c>
      <c r="AL1128" s="729" t="str">
        <f t="shared" ref="AL1128:AL1189" si="2977">IFERROR(IF(Y1128=AB1128,IF(M1128="1.3G",(O1128/1000)*AB1128,""),""),0)</f>
        <v/>
      </c>
      <c r="AM1128" s="729" t="str">
        <f t="shared" ref="AM1128:AM1189" si="2978">IFERROR(IF(Y1128=AB1128,IF(M1128="1.4G",(O1128/1000)*AB1128,""),""),0)</f>
        <v/>
      </c>
      <c r="AN1128" s="729">
        <f t="shared" ref="AN1128:AN1189" si="2979">SUM(AK1128:AM1128)</f>
        <v>0</v>
      </c>
      <c r="AO1128" s="380"/>
      <c r="AP1128" s="322" t="str">
        <f t="shared" ref="AP1128:AP1189" si="2980">IF($AL$3=1,IF(Y1128=AB1128,"","NE"),IF(AR1128=$V$10,"NE",""))</f>
        <v/>
      </c>
      <c r="AQ1128" s="323" t="str">
        <f>IF(AC1128=$V$3,IF(VLOOKUP(C1128,[1]List1!$A:$E,5,FALSE)=0,1,VLOOKUP(C1128,[1]List1!$A:$E,5,FALSE)),"")</f>
        <v/>
      </c>
      <c r="AR1128" s="304" t="str">
        <f t="shared" ref="AR1128:AR1189" si="2981">IF($AL$3=1,"",IF(OR(AB1128&lt;&gt;"",AB1128&lt;&gt;0),IF(OR(AC1128=$V$6,AC1128=$V$3,AC1128=$V$9),$V$10,""),""))</f>
        <v/>
      </c>
      <c r="AS1128" s="423" t="str">
        <f t="shared" ref="AS1128:AS1189" si="2982">IF(AT1128&lt;&gt;"","X","")</f>
        <v/>
      </c>
      <c r="AT1128" s="304" t="str">
        <f t="shared" ref="AT1128:AT1189" si="2983">IF(AND($AL$3=2,AR1128="",AB1128&lt;&gt;""),AD1128,"")</f>
        <v/>
      </c>
      <c r="AU1128" s="342" t="e">
        <f t="shared" ref="AU1128:AU1189" si="2984">IF(AT1128=$AS$21,AB1128,"")</f>
        <v>#N/A</v>
      </c>
      <c r="AV1128" s="304" t="e">
        <f t="shared" ref="AV1128:AV1189" si="2985">IF(OR(AB1128="",AND(AT1128&lt;&gt;"",AU1128&lt;&gt;"")),"",$V$10)</f>
        <v>#N/A</v>
      </c>
      <c r="AX1128" s="304">
        <f>IF(AND('General price list'!$J1128="F4",'General price list'!$AB1128+0&gt;0),1,0)</f>
        <v>0</v>
      </c>
      <c r="AY1128" s="304">
        <f t="shared" ref="AY1128:AY1189" si="2986">IFERROR(FIND(VLOOKUP($AC$7,$AD$1:$AE$12,2,FALSE),Q1128,1),0)</f>
        <v>0</v>
      </c>
      <c r="AZ1128" s="304">
        <f t="shared" ref="AZ1128:AZ1189" si="2987">IFERROR(FIND(VLOOKUP($AC$7,$AD$1:$AE$12,2,FALSE),R1128,1),0)</f>
        <v>0</v>
      </c>
    </row>
    <row r="1129" spans="1:52" ht="15" customHeight="1">
      <c r="A1129" s="712" t="str">
        <f>Kat.!C1125</f>
        <v/>
      </c>
      <c r="B1129" s="745">
        <f>IF(AND('General price list'!$J1129="F4",$AI$1=FALSE),0,IF(AC1129="SKLADEM",1,IF(AC1129=$V$3,1,0)))</f>
        <v>1</v>
      </c>
      <c r="C1129" s="714" t="s">
        <v>12032</v>
      </c>
      <c r="D1129" s="715" t="s">
        <v>14631</v>
      </c>
      <c r="E1129" s="716" t="s">
        <v>136</v>
      </c>
      <c r="F1129" s="712">
        <f>IFERROR(ROUND(IF($AL$3=2,VLOOKUP(C1129,[2]List1!$A:$D,2,FALSE)*1.08,VLOOKUP(C1129,[2]List1!$A:$D,2,FALSE)),0),"NEUVEDENO!")</f>
        <v>228</v>
      </c>
      <c r="G1129" s="717">
        <f t="shared" si="2966"/>
        <v>228</v>
      </c>
      <c r="H1129" s="718">
        <f t="shared" si="2967"/>
        <v>9.2649407328243036</v>
      </c>
      <c r="I1129" s="746">
        <v>1</v>
      </c>
      <c r="J1129" s="716"/>
      <c r="K1129" s="716"/>
      <c r="L1129" s="716" t="s">
        <v>14464</v>
      </c>
      <c r="M1129" s="716"/>
      <c r="N1129" s="716" t="str">
        <f>IFERROR(VLOOKUP(C1129,[3]List1!$A:$D,4,FALSE),"N/A!")</f>
        <v/>
      </c>
      <c r="O1129" s="716" t="str">
        <f>IFERROR(VLOOKUP(C1129,[3]List1!$A:$D,3,FALSE),"N/A!")</f>
        <v/>
      </c>
      <c r="P1129" s="716">
        <f>IFERROR(VLOOKUP(C1129,[3]List1!$A:$D,2,FALSE),"N/A!")</f>
        <v>1500</v>
      </c>
      <c r="Q1129" s="716"/>
      <c r="R1129" s="716"/>
      <c r="S1129" s="716"/>
      <c r="T1129" s="716"/>
      <c r="U1129" s="716"/>
      <c r="V1129" s="716"/>
      <c r="W1129" s="716" t="str">
        <f>IFERROR(VLOOKUP('General price list'!$C1129,Popisy!A:P,MATCH($W$17,Popisy!$A$7:$P$7,0),FALSE),"---------------")</f>
        <v>Kartonová krabice s designem výrobku</v>
      </c>
      <c r="X1129" s="716" t="str">
        <f t="shared" si="2968"/>
        <v/>
      </c>
      <c r="Y1129" s="716" t="str">
        <f t="shared" si="2969"/>
        <v/>
      </c>
      <c r="Z1129" s="716"/>
      <c r="AA1129" s="716" t="str">
        <f>IFERROR(IF(VLOOKUP(C1129,[4]List1!$A:$D,4,FALSE)=0,"",VLOOKUP(C1129,[4]List1!$A:$D,4,FALSE)),"")</f>
        <v/>
      </c>
      <c r="AB1129" s="720"/>
      <c r="AC1129" s="747" t="str">
        <f>IFERROR(IF(VLOOKUP(C1129,[1]List1!$A:$D,2,FALSE)="VYPRODÁNO",$V$9,IF(VLOOKUP(C1129,[1]List1!$A:$D,2,FALSE)="DOCHÁZÍ",$V$3,VLOOKUP(C1129,[1]List1!$A:$D,2,FALSE))),"OFFLINE!")</f>
        <v>SKLADEM</v>
      </c>
      <c r="AD1129" s="748" t="str">
        <f ca="1">IF(AP1129="NE",$V$10,IF(AC1129=$V$3,IF(AQ1129&lt;1,$V$8,$V$2&amp;" "&amp;AQ1129&amp;" "&amp;$V$1),IF(AC1129="SKLADEM",$V$6,IFERROR(IF(OR(AC1129-TODAY()&gt;45,VLOOKUP(C1129,[1]List1!$A:$E,4,FALSE)=0),AC1129,DAY(AC1129)&amp;"."&amp;MONTH(AC1129)&amp;"."&amp;YEAR(AC1129)&amp;" "&amp;$V$4&amp;VLOOKUP(C1129,[1]List1!$A:$E,4,FALSE)&amp;" "&amp;$V$1),AC1129))))</f>
        <v>SKLADEM</v>
      </c>
      <c r="AE1129" s="716" t="str">
        <f t="shared" ca="1" si="2970"/>
        <v>SKLADEM</v>
      </c>
      <c r="AF1129" s="723">
        <f t="shared" si="2971"/>
        <v>0</v>
      </c>
      <c r="AG1129" s="723">
        <f t="shared" si="2972"/>
        <v>0</v>
      </c>
      <c r="AH1129" s="724">
        <f t="shared" si="2973"/>
        <v>0</v>
      </c>
      <c r="AI1129" s="716">
        <f t="shared" si="2974"/>
        <v>0</v>
      </c>
      <c r="AJ1129" s="716">
        <f t="shared" si="2975"/>
        <v>0</v>
      </c>
      <c r="AK1129" s="716" t="str">
        <f t="shared" si="2976"/>
        <v/>
      </c>
      <c r="AL1129" s="716" t="str">
        <f t="shared" si="2977"/>
        <v/>
      </c>
      <c r="AM1129" s="716" t="str">
        <f t="shared" si="2978"/>
        <v/>
      </c>
      <c r="AN1129" s="716">
        <f t="shared" si="2979"/>
        <v>0</v>
      </c>
      <c r="AO1129" s="380"/>
      <c r="AP1129" s="322" t="str">
        <f t="shared" si="2980"/>
        <v/>
      </c>
      <c r="AQ1129" s="323" t="str">
        <f>IF(AC1129=$V$3,IF(VLOOKUP(C1129,[1]List1!$A:$E,5,FALSE)=0,1,VLOOKUP(C1129,[1]List1!$A:$E,5,FALSE)),"")</f>
        <v/>
      </c>
      <c r="AR1129" s="304" t="str">
        <f t="shared" si="2981"/>
        <v/>
      </c>
      <c r="AS1129" s="423" t="str">
        <f t="shared" si="2982"/>
        <v/>
      </c>
      <c r="AT1129" s="304" t="str">
        <f t="shared" si="2983"/>
        <v/>
      </c>
      <c r="AU1129" s="342" t="e">
        <f t="shared" si="2984"/>
        <v>#N/A</v>
      </c>
      <c r="AV1129" s="304" t="e">
        <f t="shared" si="2985"/>
        <v>#N/A</v>
      </c>
      <c r="AX1129" s="304">
        <f>IF(AND('General price list'!$J1129="F4",'General price list'!$AB1129+0&gt;0),1,0)</f>
        <v>0</v>
      </c>
      <c r="AY1129" s="304">
        <f t="shared" si="2986"/>
        <v>0</v>
      </c>
      <c r="AZ1129" s="304">
        <f t="shared" si="2987"/>
        <v>0</v>
      </c>
    </row>
    <row r="1130" spans="1:52" ht="15" customHeight="1">
      <c r="A1130" s="725" t="str">
        <f>Kat.!C1126</f>
        <v/>
      </c>
      <c r="B1130" s="749">
        <f>IF(AND('General price list'!$J1130="F4",$AI$1=FALSE),0,IF(AC1130="SKLADEM",1,IF(AC1130=$V$3,1,0)))</f>
        <v>1</v>
      </c>
      <c r="C1130" s="727" t="s">
        <v>12033</v>
      </c>
      <c r="D1130" s="728" t="s">
        <v>14632</v>
      </c>
      <c r="E1130" s="729" t="s">
        <v>136</v>
      </c>
      <c r="F1130" s="725">
        <f>IFERROR(ROUND(IF($AL$3=2,VLOOKUP(C1130,[2]List1!$A:$D,2,FALSE)*1.08,VLOOKUP(C1130,[2]List1!$A:$D,2,FALSE)),0),"NEUVEDENO!")</f>
        <v>190</v>
      </c>
      <c r="G1130" s="730">
        <f t="shared" si="2966"/>
        <v>190</v>
      </c>
      <c r="H1130" s="731">
        <f t="shared" si="2967"/>
        <v>7.720783944020253</v>
      </c>
      <c r="I1130" s="750">
        <v>1</v>
      </c>
      <c r="J1130" s="729"/>
      <c r="K1130" s="729"/>
      <c r="L1130" s="729" t="s">
        <v>14464</v>
      </c>
      <c r="M1130" s="729"/>
      <c r="N1130" s="729" t="str">
        <f>IFERROR(VLOOKUP(C1130,[3]List1!$A:$D,4,FALSE),"N/A!")</f>
        <v/>
      </c>
      <c r="O1130" s="729" t="str">
        <f>IFERROR(VLOOKUP(C1130,[3]List1!$A:$D,3,FALSE),"N/A!")</f>
        <v/>
      </c>
      <c r="P1130" s="729">
        <f>IFERROR(VLOOKUP(C1130,[3]List1!$A:$D,2,FALSE),"N/A!")</f>
        <v>1500</v>
      </c>
      <c r="Q1130" s="729"/>
      <c r="R1130" s="729"/>
      <c r="S1130" s="729"/>
      <c r="T1130" s="729"/>
      <c r="U1130" s="729"/>
      <c r="V1130" s="729"/>
      <c r="W1130" s="729" t="str">
        <f>IFERROR(VLOOKUP('General price list'!$C1130,Popisy!A:P,MATCH($W$17,Popisy!$A$7:$P$7,0),FALSE),"---------------")</f>
        <v>Kartonová krabice s designem výrobku</v>
      </c>
      <c r="X1130" s="729" t="str">
        <f t="shared" si="2968"/>
        <v/>
      </c>
      <c r="Y1130" s="729" t="str">
        <f t="shared" si="2969"/>
        <v/>
      </c>
      <c r="Z1130" s="729"/>
      <c r="AA1130" s="729" t="str">
        <f>IFERROR(IF(VLOOKUP(C1130,[4]List1!$A:$D,4,FALSE)=0,"",VLOOKUP(C1130,[4]List1!$A:$D,4,FALSE)),"")</f>
        <v/>
      </c>
      <c r="AB1130" s="720"/>
      <c r="AC1130" s="751" t="str">
        <f>IFERROR(IF(VLOOKUP(C1130,[1]List1!$A:$D,2,FALSE)="VYPRODÁNO",$V$9,IF(VLOOKUP(C1130,[1]List1!$A:$D,2,FALSE)="DOCHÁZÍ",$V$3,VLOOKUP(C1130,[1]List1!$A:$D,2,FALSE))),"OFFLINE!")</f>
        <v>SKLADEM</v>
      </c>
      <c r="AD1130" s="752" t="str">
        <f ca="1">IF(AP1130="NE",$V$10,IF(AC1130=$V$3,IF(AQ1130&lt;1,$V$8,$V$2&amp;" "&amp;AQ1130&amp;" "&amp;$V$1),IF(AC1130="SKLADEM",$V$6,IFERROR(IF(OR(AC1130-TODAY()&gt;45,VLOOKUP(C1130,[1]List1!$A:$E,4,FALSE)=0),AC1130,DAY(AC1130)&amp;"."&amp;MONTH(AC1130)&amp;"."&amp;YEAR(AC1130)&amp;" "&amp;$V$4&amp;VLOOKUP(C1130,[1]List1!$A:$E,4,FALSE)&amp;" "&amp;$V$1),AC1130))))</f>
        <v>SKLADEM</v>
      </c>
      <c r="AE1130" s="729" t="str">
        <f t="shared" ca="1" si="2970"/>
        <v>SKLADEM</v>
      </c>
      <c r="AF1130" s="735">
        <f t="shared" si="2971"/>
        <v>0</v>
      </c>
      <c r="AG1130" s="735">
        <f t="shared" si="2972"/>
        <v>0</v>
      </c>
      <c r="AH1130" s="736">
        <f t="shared" si="2973"/>
        <v>0</v>
      </c>
      <c r="AI1130" s="729">
        <f t="shared" si="2974"/>
        <v>0</v>
      </c>
      <c r="AJ1130" s="729">
        <f t="shared" si="2975"/>
        <v>0</v>
      </c>
      <c r="AK1130" s="729" t="str">
        <f t="shared" si="2976"/>
        <v/>
      </c>
      <c r="AL1130" s="729" t="str">
        <f t="shared" si="2977"/>
        <v/>
      </c>
      <c r="AM1130" s="729" t="str">
        <f t="shared" si="2978"/>
        <v/>
      </c>
      <c r="AN1130" s="729">
        <f t="shared" si="2979"/>
        <v>0</v>
      </c>
      <c r="AO1130" s="380"/>
      <c r="AP1130" s="322" t="str">
        <f t="shared" si="2980"/>
        <v/>
      </c>
      <c r="AQ1130" s="323" t="str">
        <f>IF(AC1130=$V$3,IF(VLOOKUP(C1130,[1]List1!$A:$E,5,FALSE)=0,1,VLOOKUP(C1130,[1]List1!$A:$E,5,FALSE)),"")</f>
        <v/>
      </c>
      <c r="AR1130" s="304" t="str">
        <f t="shared" si="2981"/>
        <v/>
      </c>
      <c r="AS1130" s="423" t="str">
        <f t="shared" si="2982"/>
        <v/>
      </c>
      <c r="AT1130" s="304" t="str">
        <f t="shared" si="2983"/>
        <v/>
      </c>
      <c r="AU1130" s="342" t="e">
        <f t="shared" si="2984"/>
        <v>#N/A</v>
      </c>
      <c r="AV1130" s="304" t="e">
        <f t="shared" si="2985"/>
        <v>#N/A</v>
      </c>
      <c r="AX1130" s="304">
        <f>IF(AND('General price list'!$J1130="F4",'General price list'!$AB1130+0&gt;0),1,0)</f>
        <v>0</v>
      </c>
      <c r="AY1130" s="304">
        <f t="shared" si="2986"/>
        <v>0</v>
      </c>
      <c r="AZ1130" s="304">
        <f t="shared" si="2987"/>
        <v>0</v>
      </c>
    </row>
    <row r="1131" spans="1:52" ht="15" customHeight="1">
      <c r="A1131" s="712" t="str">
        <f>Kat.!C1127</f>
        <v/>
      </c>
      <c r="B1131" s="745">
        <f>IF(AND('General price list'!$J1131="F4",$AI$1=FALSE),0,IF(AC1131="SKLADEM",1,IF(AC1131=$V$3,1,0)))</f>
        <v>1</v>
      </c>
      <c r="C1131" s="714" t="s">
        <v>12035</v>
      </c>
      <c r="D1131" s="715" t="s">
        <v>14633</v>
      </c>
      <c r="E1131" s="716" t="s">
        <v>136</v>
      </c>
      <c r="F1131" s="712">
        <f>IFERROR(ROUND(IF($AL$3=2,VLOOKUP(C1131,[2]List1!$A:$D,2,FALSE)*1.08,VLOOKUP(C1131,[2]List1!$A:$D,2,FALSE)),0),"NEUVEDENO!")</f>
        <v>185</v>
      </c>
      <c r="G1131" s="717">
        <f t="shared" si="2966"/>
        <v>185</v>
      </c>
      <c r="H1131" s="718">
        <f t="shared" si="2967"/>
        <v>7.5176054191776149</v>
      </c>
      <c r="I1131" s="746">
        <v>1</v>
      </c>
      <c r="J1131" s="716"/>
      <c r="K1131" s="716"/>
      <c r="L1131" s="716" t="s">
        <v>14464</v>
      </c>
      <c r="M1131" s="716"/>
      <c r="N1131" s="716" t="str">
        <f>IFERROR(VLOOKUP(C1131,[3]List1!$A:$D,4,FALSE),"N/A!")</f>
        <v/>
      </c>
      <c r="O1131" s="716" t="str">
        <f>IFERROR(VLOOKUP(C1131,[3]List1!$A:$D,3,FALSE),"N/A!")</f>
        <v/>
      </c>
      <c r="P1131" s="716">
        <f>IFERROR(VLOOKUP(C1131,[3]List1!$A:$D,2,FALSE),"N/A!")</f>
        <v>1500</v>
      </c>
      <c r="Q1131" s="716"/>
      <c r="R1131" s="716"/>
      <c r="S1131" s="716"/>
      <c r="T1131" s="716"/>
      <c r="U1131" s="716"/>
      <c r="V1131" s="716"/>
      <c r="W1131" s="716" t="str">
        <f>IFERROR(VLOOKUP('General price list'!$C1131,Popisy!A:P,MATCH($W$17,Popisy!$A$7:$P$7,0),FALSE),"---------------")</f>
        <v>Kartonová krabice s designem výrobku</v>
      </c>
      <c r="X1131" s="716" t="str">
        <f t="shared" si="2968"/>
        <v/>
      </c>
      <c r="Y1131" s="716" t="str">
        <f t="shared" si="2969"/>
        <v/>
      </c>
      <c r="Z1131" s="716"/>
      <c r="AA1131" s="716" t="str">
        <f>IFERROR(IF(VLOOKUP(C1131,[4]List1!$A:$D,4,FALSE)=0,"",VLOOKUP(C1131,[4]List1!$A:$D,4,FALSE)),"")</f>
        <v/>
      </c>
      <c r="AB1131" s="720"/>
      <c r="AC1131" s="747" t="str">
        <f>IFERROR(IF(VLOOKUP(C1131,[1]List1!$A:$D,2,FALSE)="VYPRODÁNO",$V$9,IF(VLOOKUP(C1131,[1]List1!$A:$D,2,FALSE)="DOCHÁZÍ",$V$3,VLOOKUP(C1131,[1]List1!$A:$D,2,FALSE))),"OFFLINE!")</f>
        <v>SKLADEM</v>
      </c>
      <c r="AD1131" s="748" t="str">
        <f ca="1">IF(AP1131="NE",$V$10,IF(AC1131=$V$3,IF(AQ1131&lt;1,$V$8,$V$2&amp;" "&amp;AQ1131&amp;" "&amp;$V$1),IF(AC1131="SKLADEM",$V$6,IFERROR(IF(OR(AC1131-TODAY()&gt;45,VLOOKUP(C1131,[1]List1!$A:$E,4,FALSE)=0),AC1131,DAY(AC1131)&amp;"."&amp;MONTH(AC1131)&amp;"."&amp;YEAR(AC1131)&amp;" "&amp;$V$4&amp;VLOOKUP(C1131,[1]List1!$A:$E,4,FALSE)&amp;" "&amp;$V$1),AC1131))))</f>
        <v>SKLADEM</v>
      </c>
      <c r="AE1131" s="716" t="str">
        <f t="shared" ca="1" si="2970"/>
        <v>SKLADEM</v>
      </c>
      <c r="AF1131" s="723">
        <f t="shared" si="2971"/>
        <v>0</v>
      </c>
      <c r="AG1131" s="723">
        <f t="shared" si="2972"/>
        <v>0</v>
      </c>
      <c r="AH1131" s="724">
        <f t="shared" si="2973"/>
        <v>0</v>
      </c>
      <c r="AI1131" s="716">
        <f t="shared" si="2974"/>
        <v>0</v>
      </c>
      <c r="AJ1131" s="716">
        <f t="shared" si="2975"/>
        <v>0</v>
      </c>
      <c r="AK1131" s="716" t="str">
        <f t="shared" si="2976"/>
        <v/>
      </c>
      <c r="AL1131" s="716" t="str">
        <f t="shared" si="2977"/>
        <v/>
      </c>
      <c r="AM1131" s="716" t="str">
        <f t="shared" si="2978"/>
        <v/>
      </c>
      <c r="AN1131" s="716">
        <f t="shared" si="2979"/>
        <v>0</v>
      </c>
      <c r="AO1131" s="380"/>
      <c r="AP1131" s="322" t="str">
        <f t="shared" si="2980"/>
        <v/>
      </c>
      <c r="AQ1131" s="323" t="str">
        <f>IF(AC1131=$V$3,IF(VLOOKUP(C1131,[1]List1!$A:$E,5,FALSE)=0,1,VLOOKUP(C1131,[1]List1!$A:$E,5,FALSE)),"")</f>
        <v/>
      </c>
      <c r="AR1131" s="304" t="str">
        <f t="shared" si="2981"/>
        <v/>
      </c>
      <c r="AS1131" s="423" t="str">
        <f t="shared" si="2982"/>
        <v/>
      </c>
      <c r="AT1131" s="304" t="str">
        <f t="shared" si="2983"/>
        <v/>
      </c>
      <c r="AU1131" s="342" t="e">
        <f t="shared" si="2984"/>
        <v>#N/A</v>
      </c>
      <c r="AV1131" s="304" t="e">
        <f t="shared" si="2985"/>
        <v>#N/A</v>
      </c>
      <c r="AX1131" s="304">
        <f>IF(AND('General price list'!$J1131="F4",'General price list'!$AB1131+0&gt;0),1,0)</f>
        <v>0</v>
      </c>
      <c r="AY1131" s="304">
        <f t="shared" si="2986"/>
        <v>0</v>
      </c>
      <c r="AZ1131" s="304">
        <f t="shared" si="2987"/>
        <v>0</v>
      </c>
    </row>
    <row r="1132" spans="1:52" ht="15" customHeight="1">
      <c r="A1132" s="725" t="str">
        <f>Kat.!C1128</f>
        <v/>
      </c>
      <c r="B1132" s="749">
        <f>IF(AND('General price list'!$J1132="F4",$AI$1=FALSE),0,IF(AC1132="SKLADEM",1,IF(AC1132=$V$3,1,0)))</f>
        <v>1</v>
      </c>
      <c r="C1132" s="727" t="s">
        <v>12036</v>
      </c>
      <c r="D1132" s="728" t="s">
        <v>14634</v>
      </c>
      <c r="E1132" s="729" t="s">
        <v>136</v>
      </c>
      <c r="F1132" s="725">
        <f>IFERROR(ROUND(IF($AL$3=2,VLOOKUP(C1132,[2]List1!$A:$D,2,FALSE)*1.08,VLOOKUP(C1132,[2]List1!$A:$D,2,FALSE)),0),"NEUVEDENO!")</f>
        <v>185</v>
      </c>
      <c r="G1132" s="730">
        <f t="shared" si="2966"/>
        <v>185</v>
      </c>
      <c r="H1132" s="731">
        <f t="shared" si="2967"/>
        <v>7.5176054191776149</v>
      </c>
      <c r="I1132" s="750">
        <v>1</v>
      </c>
      <c r="J1132" s="729"/>
      <c r="K1132" s="729"/>
      <c r="L1132" s="729" t="s">
        <v>14464</v>
      </c>
      <c r="M1132" s="729"/>
      <c r="N1132" s="729" t="str">
        <f>IFERROR(VLOOKUP(C1132,[3]List1!$A:$D,4,FALSE),"N/A!")</f>
        <v/>
      </c>
      <c r="O1132" s="729" t="str">
        <f>IFERROR(VLOOKUP(C1132,[3]List1!$A:$D,3,FALSE),"N/A!")</f>
        <v/>
      </c>
      <c r="P1132" s="729">
        <f>IFERROR(VLOOKUP(C1132,[3]List1!$A:$D,2,FALSE),"N/A!")</f>
        <v>1500</v>
      </c>
      <c r="Q1132" s="729"/>
      <c r="R1132" s="729"/>
      <c r="S1132" s="729"/>
      <c r="T1132" s="729"/>
      <c r="U1132" s="729"/>
      <c r="V1132" s="729"/>
      <c r="W1132" s="729" t="str">
        <f>IFERROR(VLOOKUP('General price list'!$C1132,Popisy!A:P,MATCH($W$17,Popisy!$A$7:$P$7,0),FALSE),"---------------")</f>
        <v>Kartonová krabice s designem výrobku</v>
      </c>
      <c r="X1132" s="729" t="str">
        <f t="shared" si="2968"/>
        <v/>
      </c>
      <c r="Y1132" s="729" t="str">
        <f t="shared" si="2969"/>
        <v/>
      </c>
      <c r="Z1132" s="729"/>
      <c r="AA1132" s="729" t="str">
        <f>IFERROR(IF(VLOOKUP(C1132,[4]List1!$A:$D,4,FALSE)=0,"",VLOOKUP(C1132,[4]List1!$A:$D,4,FALSE)),"")</f>
        <v/>
      </c>
      <c r="AB1132" s="720"/>
      <c r="AC1132" s="751" t="str">
        <f>IFERROR(IF(VLOOKUP(C1132,[1]List1!$A:$D,2,FALSE)="VYPRODÁNO",$V$9,IF(VLOOKUP(C1132,[1]List1!$A:$D,2,FALSE)="DOCHÁZÍ",$V$3,VLOOKUP(C1132,[1]List1!$A:$D,2,FALSE))),"OFFLINE!")</f>
        <v>SKLADEM</v>
      </c>
      <c r="AD1132" s="752" t="str">
        <f ca="1">IF(AP1132="NE",$V$10,IF(AC1132=$V$3,IF(AQ1132&lt;1,$V$8,$V$2&amp;" "&amp;AQ1132&amp;" "&amp;$V$1),IF(AC1132="SKLADEM",$V$6,IFERROR(IF(OR(AC1132-TODAY()&gt;45,VLOOKUP(C1132,[1]List1!$A:$E,4,FALSE)=0),AC1132,DAY(AC1132)&amp;"."&amp;MONTH(AC1132)&amp;"."&amp;YEAR(AC1132)&amp;" "&amp;$V$4&amp;VLOOKUP(C1132,[1]List1!$A:$E,4,FALSE)&amp;" "&amp;$V$1),AC1132))))</f>
        <v>SKLADEM</v>
      </c>
      <c r="AE1132" s="729" t="str">
        <f t="shared" ca="1" si="2970"/>
        <v>SKLADEM</v>
      </c>
      <c r="AF1132" s="735">
        <f t="shared" si="2971"/>
        <v>0</v>
      </c>
      <c r="AG1132" s="735">
        <f t="shared" si="2972"/>
        <v>0</v>
      </c>
      <c r="AH1132" s="736">
        <f t="shared" si="2973"/>
        <v>0</v>
      </c>
      <c r="AI1132" s="729">
        <f t="shared" si="2974"/>
        <v>0</v>
      </c>
      <c r="AJ1132" s="729">
        <f t="shared" si="2975"/>
        <v>0</v>
      </c>
      <c r="AK1132" s="729" t="str">
        <f t="shared" si="2976"/>
        <v/>
      </c>
      <c r="AL1132" s="729" t="str">
        <f t="shared" si="2977"/>
        <v/>
      </c>
      <c r="AM1132" s="729" t="str">
        <f t="shared" si="2978"/>
        <v/>
      </c>
      <c r="AN1132" s="729">
        <f t="shared" si="2979"/>
        <v>0</v>
      </c>
      <c r="AO1132" s="380"/>
      <c r="AP1132" s="322" t="str">
        <f t="shared" si="2980"/>
        <v/>
      </c>
      <c r="AQ1132" s="323" t="str">
        <f>IF(AC1132=$V$3,IF(VLOOKUP(C1132,[1]List1!$A:$E,5,FALSE)=0,1,VLOOKUP(C1132,[1]List1!$A:$E,5,FALSE)),"")</f>
        <v/>
      </c>
      <c r="AR1132" s="304" t="str">
        <f t="shared" si="2981"/>
        <v/>
      </c>
      <c r="AS1132" s="423" t="str">
        <f t="shared" si="2982"/>
        <v/>
      </c>
      <c r="AT1132" s="304" t="str">
        <f t="shared" si="2983"/>
        <v/>
      </c>
      <c r="AU1132" s="342" t="e">
        <f t="shared" si="2984"/>
        <v>#N/A</v>
      </c>
      <c r="AV1132" s="304" t="e">
        <f t="shared" si="2985"/>
        <v>#N/A</v>
      </c>
      <c r="AX1132" s="304">
        <f>IF(AND('General price list'!$J1132="F4",'General price list'!$AB1132+0&gt;0),1,0)</f>
        <v>0</v>
      </c>
      <c r="AY1132" s="304">
        <f t="shared" si="2986"/>
        <v>0</v>
      </c>
      <c r="AZ1132" s="304">
        <f t="shared" si="2987"/>
        <v>0</v>
      </c>
    </row>
    <row r="1133" spans="1:52" ht="15" customHeight="1">
      <c r="A1133" s="712" t="str">
        <f>Kat.!C1129</f>
        <v/>
      </c>
      <c r="B1133" s="745">
        <f>IF(AND('General price list'!$J1133="F4",$AI$1=FALSE),0,IF(AC1133="SKLADEM",1,IF(AC1133=$V$3,1,0)))</f>
        <v>1</v>
      </c>
      <c r="C1133" s="714" t="s">
        <v>12038</v>
      </c>
      <c r="D1133" s="715" t="s">
        <v>14635</v>
      </c>
      <c r="E1133" s="716" t="s">
        <v>136</v>
      </c>
      <c r="F1133" s="712">
        <f>IFERROR(ROUND(IF($AL$3=2,VLOOKUP(C1133,[2]List1!$A:$D,2,FALSE)*1.08,VLOOKUP(C1133,[2]List1!$A:$D,2,FALSE)),0),"NEUVEDENO!")</f>
        <v>221</v>
      </c>
      <c r="G1133" s="717">
        <f t="shared" si="2966"/>
        <v>221</v>
      </c>
      <c r="H1133" s="718">
        <f t="shared" si="2967"/>
        <v>8.9804907980446096</v>
      </c>
      <c r="I1133" s="746">
        <v>1</v>
      </c>
      <c r="J1133" s="716"/>
      <c r="K1133" s="716"/>
      <c r="L1133" s="716" t="s">
        <v>14464</v>
      </c>
      <c r="M1133" s="716"/>
      <c r="N1133" s="716" t="str">
        <f>IFERROR(VLOOKUP(C1133,[3]List1!$A:$D,4,FALSE),"N/A!")</f>
        <v/>
      </c>
      <c r="O1133" s="716" t="str">
        <f>IFERROR(VLOOKUP(C1133,[3]List1!$A:$D,3,FALSE),"N/A!")</f>
        <v/>
      </c>
      <c r="P1133" s="716">
        <f>IFERROR(VLOOKUP(C1133,[3]List1!$A:$D,2,FALSE),"N/A!")</f>
        <v>1500</v>
      </c>
      <c r="Q1133" s="716"/>
      <c r="R1133" s="716"/>
      <c r="S1133" s="716"/>
      <c r="T1133" s="716"/>
      <c r="U1133" s="716"/>
      <c r="V1133" s="716"/>
      <c r="W1133" s="716" t="str">
        <f>IFERROR(VLOOKUP('General price list'!$C1133,Popisy!A:P,MATCH($W$17,Popisy!$A$7:$P$7,0),FALSE),"---------------")</f>
        <v>Kartonová krabice s designem výrobku</v>
      </c>
      <c r="X1133" s="716" t="str">
        <f t="shared" si="2968"/>
        <v/>
      </c>
      <c r="Y1133" s="716" t="str">
        <f t="shared" si="2969"/>
        <v/>
      </c>
      <c r="Z1133" s="716"/>
      <c r="AA1133" s="716" t="str">
        <f>IFERROR(IF(VLOOKUP(C1133,[4]List1!$A:$D,4,FALSE)=0,"",VLOOKUP(C1133,[4]List1!$A:$D,4,FALSE)),"")</f>
        <v/>
      </c>
      <c r="AB1133" s="720"/>
      <c r="AC1133" s="747" t="str">
        <f>IFERROR(IF(VLOOKUP(C1133,[1]List1!$A:$D,2,FALSE)="VYPRODÁNO",$V$9,IF(VLOOKUP(C1133,[1]List1!$A:$D,2,FALSE)="DOCHÁZÍ",$V$3,VLOOKUP(C1133,[1]List1!$A:$D,2,FALSE))),"OFFLINE!")</f>
        <v>SKLADEM</v>
      </c>
      <c r="AD1133" s="748" t="str">
        <f ca="1">IF(AP1133="NE",$V$10,IF(AC1133=$V$3,IF(AQ1133&lt;1,$V$8,$V$2&amp;" "&amp;AQ1133&amp;" "&amp;$V$1),IF(AC1133="SKLADEM",$V$6,IFERROR(IF(OR(AC1133-TODAY()&gt;45,VLOOKUP(C1133,[1]List1!$A:$E,4,FALSE)=0),AC1133,DAY(AC1133)&amp;"."&amp;MONTH(AC1133)&amp;"."&amp;YEAR(AC1133)&amp;" "&amp;$V$4&amp;VLOOKUP(C1133,[1]List1!$A:$E,4,FALSE)&amp;" "&amp;$V$1),AC1133))))</f>
        <v>SKLADEM</v>
      </c>
      <c r="AE1133" s="716" t="str">
        <f t="shared" ca="1" si="2970"/>
        <v>SKLADEM</v>
      </c>
      <c r="AF1133" s="723">
        <f t="shared" si="2971"/>
        <v>0</v>
      </c>
      <c r="AG1133" s="723">
        <f t="shared" si="2972"/>
        <v>0</v>
      </c>
      <c r="AH1133" s="724">
        <f t="shared" si="2973"/>
        <v>0</v>
      </c>
      <c r="AI1133" s="716">
        <f t="shared" si="2974"/>
        <v>0</v>
      </c>
      <c r="AJ1133" s="716">
        <f t="shared" si="2975"/>
        <v>0</v>
      </c>
      <c r="AK1133" s="716" t="str">
        <f t="shared" si="2976"/>
        <v/>
      </c>
      <c r="AL1133" s="716" t="str">
        <f t="shared" si="2977"/>
        <v/>
      </c>
      <c r="AM1133" s="716" t="str">
        <f t="shared" si="2978"/>
        <v/>
      </c>
      <c r="AN1133" s="716">
        <f t="shared" si="2979"/>
        <v>0</v>
      </c>
      <c r="AO1133" s="380"/>
      <c r="AP1133" s="322" t="str">
        <f t="shared" si="2980"/>
        <v/>
      </c>
      <c r="AQ1133" s="323" t="str">
        <f>IF(AC1133=$V$3,IF(VLOOKUP(C1133,[1]List1!$A:$E,5,FALSE)=0,1,VLOOKUP(C1133,[1]List1!$A:$E,5,FALSE)),"")</f>
        <v/>
      </c>
      <c r="AR1133" s="304" t="str">
        <f t="shared" si="2981"/>
        <v/>
      </c>
      <c r="AS1133" s="423" t="str">
        <f t="shared" si="2982"/>
        <v/>
      </c>
      <c r="AT1133" s="304" t="str">
        <f t="shared" si="2983"/>
        <v/>
      </c>
      <c r="AU1133" s="342" t="e">
        <f t="shared" si="2984"/>
        <v>#N/A</v>
      </c>
      <c r="AV1133" s="304" t="e">
        <f t="shared" si="2985"/>
        <v>#N/A</v>
      </c>
      <c r="AX1133" s="304">
        <f>IF(AND('General price list'!$J1133="F4",'General price list'!$AB1133+0&gt;0),1,0)</f>
        <v>0</v>
      </c>
      <c r="AY1133" s="304">
        <f t="shared" si="2986"/>
        <v>0</v>
      </c>
      <c r="AZ1133" s="304">
        <f t="shared" si="2987"/>
        <v>0</v>
      </c>
    </row>
    <row r="1134" spans="1:52" ht="15" customHeight="1">
      <c r="A1134" s="725" t="str">
        <f>Kat.!C1130</f>
        <v/>
      </c>
      <c r="B1134" s="749">
        <f>IF(AND('General price list'!$J1134="F4",$AI$1=FALSE),0,IF(AC1134="SKLADEM",1,IF(AC1134=$V$3,1,0)))</f>
        <v>1</v>
      </c>
      <c r="C1134" s="727" t="s">
        <v>12039</v>
      </c>
      <c r="D1134" s="728" t="s">
        <v>14636</v>
      </c>
      <c r="E1134" s="729" t="s">
        <v>136</v>
      </c>
      <c r="F1134" s="725">
        <f>IFERROR(ROUND(IF($AL$3=2,VLOOKUP(C1134,[2]List1!$A:$D,2,FALSE)*1.08,VLOOKUP(C1134,[2]List1!$A:$D,2,FALSE)),0),"NEUVEDENO!")</f>
        <v>221</v>
      </c>
      <c r="G1134" s="730">
        <f t="shared" si="2966"/>
        <v>221</v>
      </c>
      <c r="H1134" s="731">
        <f t="shared" si="2967"/>
        <v>8.9804907980446096</v>
      </c>
      <c r="I1134" s="750">
        <v>1</v>
      </c>
      <c r="J1134" s="729"/>
      <c r="K1134" s="729"/>
      <c r="L1134" s="729" t="s">
        <v>14464</v>
      </c>
      <c r="M1134" s="729"/>
      <c r="N1134" s="729" t="str">
        <f>IFERROR(VLOOKUP(C1134,[3]List1!$A:$D,4,FALSE),"N/A!")</f>
        <v/>
      </c>
      <c r="O1134" s="729" t="str">
        <f>IFERROR(VLOOKUP(C1134,[3]List1!$A:$D,3,FALSE),"N/A!")</f>
        <v/>
      </c>
      <c r="P1134" s="729">
        <f>IFERROR(VLOOKUP(C1134,[3]List1!$A:$D,2,FALSE),"N/A!")</f>
        <v>1500</v>
      </c>
      <c r="Q1134" s="729"/>
      <c r="R1134" s="729"/>
      <c r="S1134" s="729"/>
      <c r="T1134" s="729"/>
      <c r="U1134" s="729"/>
      <c r="V1134" s="729"/>
      <c r="W1134" s="729" t="str">
        <f>IFERROR(VLOOKUP('General price list'!$C1134,Popisy!A:P,MATCH($W$17,Popisy!$A$7:$P$7,0),FALSE),"---------------")</f>
        <v>Kartonová krabice s designem výrobku</v>
      </c>
      <c r="X1134" s="729" t="str">
        <f t="shared" si="2968"/>
        <v/>
      </c>
      <c r="Y1134" s="729" t="str">
        <f t="shared" si="2969"/>
        <v/>
      </c>
      <c r="Z1134" s="729"/>
      <c r="AA1134" s="729" t="str">
        <f>IFERROR(IF(VLOOKUP(C1134,[4]List1!$A:$D,4,FALSE)=0,"",VLOOKUP(C1134,[4]List1!$A:$D,4,FALSE)),"")</f>
        <v/>
      </c>
      <c r="AB1134" s="720"/>
      <c r="AC1134" s="751" t="str">
        <f>IFERROR(IF(VLOOKUP(C1134,[1]List1!$A:$D,2,FALSE)="VYPRODÁNO",$V$9,IF(VLOOKUP(C1134,[1]List1!$A:$D,2,FALSE)="DOCHÁZÍ",$V$3,VLOOKUP(C1134,[1]List1!$A:$D,2,FALSE))),"OFFLINE!")</f>
        <v>SKLADEM</v>
      </c>
      <c r="AD1134" s="752" t="str">
        <f ca="1">IF(AP1134="NE",$V$10,IF(AC1134=$V$3,IF(AQ1134&lt;1,$V$8,$V$2&amp;" "&amp;AQ1134&amp;" "&amp;$V$1),IF(AC1134="SKLADEM",$V$6,IFERROR(IF(OR(AC1134-TODAY()&gt;45,VLOOKUP(C1134,[1]List1!$A:$E,4,FALSE)=0),AC1134,DAY(AC1134)&amp;"."&amp;MONTH(AC1134)&amp;"."&amp;YEAR(AC1134)&amp;" "&amp;$V$4&amp;VLOOKUP(C1134,[1]List1!$A:$E,4,FALSE)&amp;" "&amp;$V$1),AC1134))))</f>
        <v>SKLADEM</v>
      </c>
      <c r="AE1134" s="729" t="str">
        <f t="shared" ca="1" si="2970"/>
        <v>SKLADEM</v>
      </c>
      <c r="AF1134" s="735">
        <f t="shared" si="2971"/>
        <v>0</v>
      </c>
      <c r="AG1134" s="735">
        <f t="shared" si="2972"/>
        <v>0</v>
      </c>
      <c r="AH1134" s="736">
        <f t="shared" si="2973"/>
        <v>0</v>
      </c>
      <c r="AI1134" s="729">
        <f t="shared" si="2974"/>
        <v>0</v>
      </c>
      <c r="AJ1134" s="729">
        <f t="shared" si="2975"/>
        <v>0</v>
      </c>
      <c r="AK1134" s="729" t="str">
        <f t="shared" si="2976"/>
        <v/>
      </c>
      <c r="AL1134" s="729" t="str">
        <f t="shared" si="2977"/>
        <v/>
      </c>
      <c r="AM1134" s="729" t="str">
        <f t="shared" si="2978"/>
        <v/>
      </c>
      <c r="AN1134" s="729">
        <f t="shared" si="2979"/>
        <v>0</v>
      </c>
      <c r="AO1134" s="380"/>
      <c r="AP1134" s="322" t="str">
        <f t="shared" si="2980"/>
        <v/>
      </c>
      <c r="AQ1134" s="323" t="str">
        <f>IF(AC1134=$V$3,IF(VLOOKUP(C1134,[1]List1!$A:$E,5,FALSE)=0,1,VLOOKUP(C1134,[1]List1!$A:$E,5,FALSE)),"")</f>
        <v/>
      </c>
      <c r="AR1134" s="304" t="str">
        <f t="shared" si="2981"/>
        <v/>
      </c>
      <c r="AS1134" s="423" t="str">
        <f t="shared" si="2982"/>
        <v/>
      </c>
      <c r="AT1134" s="304" t="str">
        <f t="shared" si="2983"/>
        <v/>
      </c>
      <c r="AU1134" s="342" t="e">
        <f t="shared" si="2984"/>
        <v>#N/A</v>
      </c>
      <c r="AV1134" s="304" t="e">
        <f t="shared" si="2985"/>
        <v>#N/A</v>
      </c>
      <c r="AX1134" s="304">
        <f>IF(AND('General price list'!$J1134="F4",'General price list'!$AB1134+0&gt;0),1,0)</f>
        <v>0</v>
      </c>
      <c r="AY1134" s="304">
        <f t="shared" si="2986"/>
        <v>0</v>
      </c>
      <c r="AZ1134" s="304">
        <f t="shared" si="2987"/>
        <v>0</v>
      </c>
    </row>
    <row r="1135" spans="1:52" ht="15" customHeight="1">
      <c r="A1135" s="712" t="str">
        <f>Kat.!C1131</f>
        <v/>
      </c>
      <c r="B1135" s="745">
        <f>IF(AND('General price list'!$J1135="F4",$AI$1=FALSE),0,IF(AC1135="SKLADEM",1,IF(AC1135=$V$3,1,0)))</f>
        <v>1</v>
      </c>
      <c r="C1135" s="714" t="s">
        <v>12041</v>
      </c>
      <c r="D1135" s="715" t="s">
        <v>14637</v>
      </c>
      <c r="E1135" s="716" t="s">
        <v>136</v>
      </c>
      <c r="F1135" s="712">
        <f>IFERROR(ROUND(IF($AL$3=2,VLOOKUP(C1135,[2]List1!$A:$D,2,FALSE)*1.08,VLOOKUP(C1135,[2]List1!$A:$D,2,FALSE)),0),"NEUVEDENO!")</f>
        <v>560</v>
      </c>
      <c r="G1135" s="717">
        <f t="shared" si="2966"/>
        <v>560</v>
      </c>
      <c r="H1135" s="718">
        <f t="shared" si="2967"/>
        <v>22.755994782375485</v>
      </c>
      <c r="I1135" s="746">
        <v>1</v>
      </c>
      <c r="J1135" s="716"/>
      <c r="K1135" s="716"/>
      <c r="L1135" s="716" t="s">
        <v>14464</v>
      </c>
      <c r="M1135" s="716"/>
      <c r="N1135" s="716" t="str">
        <f>IFERROR(VLOOKUP(C1135,[3]List1!$A:$D,4,FALSE),"N/A!")</f>
        <v/>
      </c>
      <c r="O1135" s="716" t="str">
        <f>IFERROR(VLOOKUP(C1135,[3]List1!$A:$D,3,FALSE),"N/A!")</f>
        <v/>
      </c>
      <c r="P1135" s="716">
        <f>IFERROR(VLOOKUP(C1135,[3]List1!$A:$D,2,FALSE),"N/A!")</f>
        <v>1500</v>
      </c>
      <c r="Q1135" s="716"/>
      <c r="R1135" s="716"/>
      <c r="S1135" s="716"/>
      <c r="T1135" s="716"/>
      <c r="U1135" s="716"/>
      <c r="V1135" s="716"/>
      <c r="W1135" s="716" t="str">
        <f>IFERROR(VLOOKUP('General price list'!$C1135,Popisy!A:P,MATCH($W$17,Popisy!$A$7:$P$7,0),FALSE),"---------------")</f>
        <v>Kartonová krabice s designem výrobku</v>
      </c>
      <c r="X1135" s="716" t="str">
        <f t="shared" si="2968"/>
        <v/>
      </c>
      <c r="Y1135" s="716" t="str">
        <f t="shared" si="2969"/>
        <v/>
      </c>
      <c r="Z1135" s="716"/>
      <c r="AA1135" s="716" t="str">
        <f>IFERROR(IF(VLOOKUP(C1135,[4]List1!$A:$D,4,FALSE)=0,"",VLOOKUP(C1135,[4]List1!$A:$D,4,FALSE)),"")</f>
        <v/>
      </c>
      <c r="AB1135" s="720"/>
      <c r="AC1135" s="747" t="str">
        <f>IFERROR(IF(VLOOKUP(C1135,[1]List1!$A:$D,2,FALSE)="VYPRODÁNO",$V$9,IF(VLOOKUP(C1135,[1]List1!$A:$D,2,FALSE)="DOCHÁZÍ",$V$3,VLOOKUP(C1135,[1]List1!$A:$D,2,FALSE))),"OFFLINE!")</f>
        <v>SKLADEM</v>
      </c>
      <c r="AD1135" s="748" t="str">
        <f ca="1">IF(AP1135="NE",$V$10,IF(AC1135=$V$3,IF(AQ1135&lt;1,$V$8,$V$2&amp;" "&amp;AQ1135&amp;" "&amp;$V$1),IF(AC1135="SKLADEM",$V$6,IFERROR(IF(OR(AC1135-TODAY()&gt;45,VLOOKUP(C1135,[1]List1!$A:$E,4,FALSE)=0),AC1135,DAY(AC1135)&amp;"."&amp;MONTH(AC1135)&amp;"."&amp;YEAR(AC1135)&amp;" "&amp;$V$4&amp;VLOOKUP(C1135,[1]List1!$A:$E,4,FALSE)&amp;" "&amp;$V$1),AC1135))))</f>
        <v>SKLADEM</v>
      </c>
      <c r="AE1135" s="716" t="str">
        <f t="shared" ca="1" si="2970"/>
        <v>SKLADEM</v>
      </c>
      <c r="AF1135" s="723">
        <f t="shared" si="2971"/>
        <v>0</v>
      </c>
      <c r="AG1135" s="723">
        <f t="shared" si="2972"/>
        <v>0</v>
      </c>
      <c r="AH1135" s="724">
        <f t="shared" si="2973"/>
        <v>0</v>
      </c>
      <c r="AI1135" s="716">
        <f t="shared" si="2974"/>
        <v>0</v>
      </c>
      <c r="AJ1135" s="716">
        <f t="shared" si="2975"/>
        <v>0</v>
      </c>
      <c r="AK1135" s="716" t="str">
        <f t="shared" si="2976"/>
        <v/>
      </c>
      <c r="AL1135" s="716" t="str">
        <f t="shared" si="2977"/>
        <v/>
      </c>
      <c r="AM1135" s="716" t="str">
        <f t="shared" si="2978"/>
        <v/>
      </c>
      <c r="AN1135" s="716">
        <f t="shared" si="2979"/>
        <v>0</v>
      </c>
      <c r="AO1135" s="380"/>
      <c r="AP1135" s="322" t="str">
        <f t="shared" si="2980"/>
        <v/>
      </c>
      <c r="AQ1135" s="323" t="str">
        <f>IF(AC1135=$V$3,IF(VLOOKUP(C1135,[1]List1!$A:$E,5,FALSE)=0,1,VLOOKUP(C1135,[1]List1!$A:$E,5,FALSE)),"")</f>
        <v/>
      </c>
      <c r="AR1135" s="304" t="str">
        <f t="shared" si="2981"/>
        <v/>
      </c>
      <c r="AS1135" s="423" t="str">
        <f t="shared" si="2982"/>
        <v/>
      </c>
      <c r="AT1135" s="304" t="str">
        <f t="shared" si="2983"/>
        <v/>
      </c>
      <c r="AU1135" s="342" t="e">
        <f t="shared" si="2984"/>
        <v>#N/A</v>
      </c>
      <c r="AV1135" s="304" t="e">
        <f t="shared" si="2985"/>
        <v>#N/A</v>
      </c>
      <c r="AX1135" s="304">
        <f>IF(AND('General price list'!$J1135="F4",'General price list'!$AB1135+0&gt;0),1,0)</f>
        <v>0</v>
      </c>
      <c r="AY1135" s="304">
        <f t="shared" si="2986"/>
        <v>0</v>
      </c>
      <c r="AZ1135" s="304">
        <f t="shared" si="2987"/>
        <v>0</v>
      </c>
    </row>
    <row r="1136" spans="1:52" ht="15" customHeight="1">
      <c r="A1136" s="725" t="str">
        <f>Kat.!C1132</f>
        <v/>
      </c>
      <c r="B1136" s="749">
        <f>IF(AND('General price list'!$J1136="F4",$AI$1=FALSE),0,IF(AC1136="SKLADEM",1,IF(AC1136=$V$3,1,0)))</f>
        <v>1</v>
      </c>
      <c r="C1136" s="727" t="s">
        <v>12042</v>
      </c>
      <c r="D1136" s="728" t="s">
        <v>14638</v>
      </c>
      <c r="E1136" s="729" t="s">
        <v>136</v>
      </c>
      <c r="F1136" s="725">
        <f>IFERROR(ROUND(IF($AL$3=2,VLOOKUP(C1136,[2]List1!$A:$D,2,FALSE)*1.08,VLOOKUP(C1136,[2]List1!$A:$D,2,FALSE)),0),"NEUVEDENO!")</f>
        <v>284</v>
      </c>
      <c r="G1136" s="730">
        <f t="shared" si="2966"/>
        <v>284</v>
      </c>
      <c r="H1136" s="731">
        <f t="shared" si="2967"/>
        <v>11.540540211061852</v>
      </c>
      <c r="I1136" s="750">
        <v>1</v>
      </c>
      <c r="J1136" s="729"/>
      <c r="K1136" s="729"/>
      <c r="L1136" s="729" t="s">
        <v>14464</v>
      </c>
      <c r="M1136" s="729"/>
      <c r="N1136" s="729" t="str">
        <f>IFERROR(VLOOKUP(C1136,[3]List1!$A:$D,4,FALSE),"N/A!")</f>
        <v/>
      </c>
      <c r="O1136" s="729" t="str">
        <f>IFERROR(VLOOKUP(C1136,[3]List1!$A:$D,3,FALSE),"N/A!")</f>
        <v/>
      </c>
      <c r="P1136" s="729">
        <f>IFERROR(VLOOKUP(C1136,[3]List1!$A:$D,2,FALSE),"N/A!")</f>
        <v>1500</v>
      </c>
      <c r="Q1136" s="729"/>
      <c r="R1136" s="729"/>
      <c r="S1136" s="729"/>
      <c r="T1136" s="729"/>
      <c r="U1136" s="729"/>
      <c r="V1136" s="729"/>
      <c r="W1136" s="729" t="str">
        <f>IFERROR(VLOOKUP('General price list'!$C1136,Popisy!A:P,MATCH($W$17,Popisy!$A$7:$P$7,0),FALSE),"---------------")</f>
        <v>Kartonová krabice s designem výrobku</v>
      </c>
      <c r="X1136" s="729" t="str">
        <f t="shared" si="2968"/>
        <v/>
      </c>
      <c r="Y1136" s="729" t="str">
        <f t="shared" si="2969"/>
        <v/>
      </c>
      <c r="Z1136" s="729"/>
      <c r="AA1136" s="729" t="str">
        <f>IFERROR(IF(VLOOKUP(C1136,[4]List1!$A:$D,4,FALSE)=0,"",VLOOKUP(C1136,[4]List1!$A:$D,4,FALSE)),"")</f>
        <v/>
      </c>
      <c r="AB1136" s="720"/>
      <c r="AC1136" s="751" t="str">
        <f>IFERROR(IF(VLOOKUP(C1136,[1]List1!$A:$D,2,FALSE)="VYPRODÁNO",$V$9,IF(VLOOKUP(C1136,[1]List1!$A:$D,2,FALSE)="DOCHÁZÍ",$V$3,VLOOKUP(C1136,[1]List1!$A:$D,2,FALSE))),"OFFLINE!")</f>
        <v>SKLADEM</v>
      </c>
      <c r="AD1136" s="752" t="str">
        <f ca="1">IF(AP1136="NE",$V$10,IF(AC1136=$V$3,IF(AQ1136&lt;1,$V$8,$V$2&amp;" "&amp;AQ1136&amp;" "&amp;$V$1),IF(AC1136="SKLADEM",$V$6,IFERROR(IF(OR(AC1136-TODAY()&gt;45,VLOOKUP(C1136,[1]List1!$A:$E,4,FALSE)=0),AC1136,DAY(AC1136)&amp;"."&amp;MONTH(AC1136)&amp;"."&amp;YEAR(AC1136)&amp;" "&amp;$V$4&amp;VLOOKUP(C1136,[1]List1!$A:$E,4,FALSE)&amp;" "&amp;$V$1),AC1136))))</f>
        <v>SKLADEM</v>
      </c>
      <c r="AE1136" s="729" t="str">
        <f t="shared" ca="1" si="2970"/>
        <v>SKLADEM</v>
      </c>
      <c r="AF1136" s="735">
        <f t="shared" si="2971"/>
        <v>0</v>
      </c>
      <c r="AG1136" s="735">
        <f t="shared" si="2972"/>
        <v>0</v>
      </c>
      <c r="AH1136" s="736">
        <f t="shared" si="2973"/>
        <v>0</v>
      </c>
      <c r="AI1136" s="729">
        <f t="shared" si="2974"/>
        <v>0</v>
      </c>
      <c r="AJ1136" s="729">
        <f t="shared" si="2975"/>
        <v>0</v>
      </c>
      <c r="AK1136" s="729" t="str">
        <f t="shared" si="2976"/>
        <v/>
      </c>
      <c r="AL1136" s="729" t="str">
        <f t="shared" si="2977"/>
        <v/>
      </c>
      <c r="AM1136" s="729" t="str">
        <f t="shared" si="2978"/>
        <v/>
      </c>
      <c r="AN1136" s="729">
        <f t="shared" si="2979"/>
        <v>0</v>
      </c>
      <c r="AO1136" s="380"/>
      <c r="AP1136" s="322" t="str">
        <f t="shared" si="2980"/>
        <v/>
      </c>
      <c r="AQ1136" s="323" t="str">
        <f>IF(AC1136=$V$3,IF(VLOOKUP(C1136,[1]List1!$A:$E,5,FALSE)=0,1,VLOOKUP(C1136,[1]List1!$A:$E,5,FALSE)),"")</f>
        <v/>
      </c>
      <c r="AR1136" s="304" t="str">
        <f t="shared" si="2981"/>
        <v/>
      </c>
      <c r="AS1136" s="423" t="str">
        <f t="shared" si="2982"/>
        <v/>
      </c>
      <c r="AT1136" s="304" t="str">
        <f t="shared" si="2983"/>
        <v/>
      </c>
      <c r="AU1136" s="342" t="e">
        <f t="shared" si="2984"/>
        <v>#N/A</v>
      </c>
      <c r="AV1136" s="304" t="e">
        <f t="shared" si="2985"/>
        <v>#N/A</v>
      </c>
      <c r="AX1136" s="304">
        <f>IF(AND('General price list'!$J1136="F4",'General price list'!$AB1136+0&gt;0),1,0)</f>
        <v>0</v>
      </c>
      <c r="AY1136" s="304">
        <f t="shared" si="2986"/>
        <v>0</v>
      </c>
      <c r="AZ1136" s="304">
        <f t="shared" si="2987"/>
        <v>0</v>
      </c>
    </row>
    <row r="1137" spans="1:52" ht="15" customHeight="1">
      <c r="A1137" s="712" t="str">
        <f>Kat.!C1133</f>
        <v/>
      </c>
      <c r="B1137" s="745">
        <f>IF(AND('General price list'!$J1137="F4",$AI$1=FALSE),0,IF(AC1137="SKLADEM",1,IF(AC1137=$V$3,1,0)))</f>
        <v>1</v>
      </c>
      <c r="C1137" s="714" t="s">
        <v>12043</v>
      </c>
      <c r="D1137" s="715" t="s">
        <v>14639</v>
      </c>
      <c r="E1137" s="716" t="s">
        <v>136</v>
      </c>
      <c r="F1137" s="712">
        <f>IFERROR(ROUND(IF($AL$3=2,VLOOKUP(C1137,[2]List1!$A:$D,2,FALSE)*1.08,VLOOKUP(C1137,[2]List1!$A:$D,2,FALSE)),0),"NEUVEDENO!")</f>
        <v>304</v>
      </c>
      <c r="G1137" s="717">
        <f t="shared" si="2966"/>
        <v>304</v>
      </c>
      <c r="H1137" s="718">
        <f t="shared" si="2967"/>
        <v>12.353254310432405</v>
      </c>
      <c r="I1137" s="746">
        <v>1</v>
      </c>
      <c r="J1137" s="716"/>
      <c r="K1137" s="716"/>
      <c r="L1137" s="716" t="s">
        <v>14464</v>
      </c>
      <c r="M1137" s="716"/>
      <c r="N1137" s="716" t="str">
        <f>IFERROR(VLOOKUP(C1137,[3]List1!$A:$D,4,FALSE),"N/A!")</f>
        <v/>
      </c>
      <c r="O1137" s="716" t="str">
        <f>IFERROR(VLOOKUP(C1137,[3]List1!$A:$D,3,FALSE),"N/A!")</f>
        <v/>
      </c>
      <c r="P1137" s="716">
        <f>IFERROR(VLOOKUP(C1137,[3]List1!$A:$D,2,FALSE),"N/A!")</f>
        <v>1500</v>
      </c>
      <c r="Q1137" s="716"/>
      <c r="R1137" s="716"/>
      <c r="S1137" s="716"/>
      <c r="T1137" s="716"/>
      <c r="U1137" s="716"/>
      <c r="V1137" s="716"/>
      <c r="W1137" s="716" t="str">
        <f>IFERROR(VLOOKUP('General price list'!$C1137,Popisy!A:P,MATCH($W$17,Popisy!$A$7:$P$7,0),FALSE),"---------------")</f>
        <v>Kartonová krabice s designem výrobku</v>
      </c>
      <c r="X1137" s="716" t="str">
        <f t="shared" si="2968"/>
        <v/>
      </c>
      <c r="Y1137" s="716" t="str">
        <f t="shared" si="2969"/>
        <v/>
      </c>
      <c r="Z1137" s="716"/>
      <c r="AA1137" s="716" t="str">
        <f>IFERROR(IF(VLOOKUP(C1137,[4]List1!$A:$D,4,FALSE)=0,"",VLOOKUP(C1137,[4]List1!$A:$D,4,FALSE)),"")</f>
        <v/>
      </c>
      <c r="AB1137" s="720"/>
      <c r="AC1137" s="747" t="str">
        <f>IFERROR(IF(VLOOKUP(C1137,[1]List1!$A:$D,2,FALSE)="VYPRODÁNO",$V$9,IF(VLOOKUP(C1137,[1]List1!$A:$D,2,FALSE)="DOCHÁZÍ",$V$3,VLOOKUP(C1137,[1]List1!$A:$D,2,FALSE))),"OFFLINE!")</f>
        <v>SKLADEM</v>
      </c>
      <c r="AD1137" s="748" t="str">
        <f ca="1">IF(AP1137="NE",$V$10,IF(AC1137=$V$3,IF(AQ1137&lt;1,$V$8,$V$2&amp;" "&amp;AQ1137&amp;" "&amp;$V$1),IF(AC1137="SKLADEM",$V$6,IFERROR(IF(OR(AC1137-TODAY()&gt;45,VLOOKUP(C1137,[1]List1!$A:$E,4,FALSE)=0),AC1137,DAY(AC1137)&amp;"."&amp;MONTH(AC1137)&amp;"."&amp;YEAR(AC1137)&amp;" "&amp;$V$4&amp;VLOOKUP(C1137,[1]List1!$A:$E,4,FALSE)&amp;" "&amp;$V$1),AC1137))))</f>
        <v>SKLADEM</v>
      </c>
      <c r="AE1137" s="716" t="str">
        <f t="shared" ca="1" si="2970"/>
        <v>SKLADEM</v>
      </c>
      <c r="AF1137" s="723">
        <f t="shared" si="2971"/>
        <v>0</v>
      </c>
      <c r="AG1137" s="723">
        <f t="shared" si="2972"/>
        <v>0</v>
      </c>
      <c r="AH1137" s="724">
        <f t="shared" si="2973"/>
        <v>0</v>
      </c>
      <c r="AI1137" s="716">
        <f t="shared" si="2974"/>
        <v>0</v>
      </c>
      <c r="AJ1137" s="716">
        <f t="shared" si="2975"/>
        <v>0</v>
      </c>
      <c r="AK1137" s="716" t="str">
        <f t="shared" si="2976"/>
        <v/>
      </c>
      <c r="AL1137" s="716" t="str">
        <f t="shared" si="2977"/>
        <v/>
      </c>
      <c r="AM1137" s="716" t="str">
        <f t="shared" si="2978"/>
        <v/>
      </c>
      <c r="AN1137" s="716">
        <f t="shared" si="2979"/>
        <v>0</v>
      </c>
      <c r="AO1137" s="380"/>
      <c r="AP1137" s="322" t="str">
        <f t="shared" si="2980"/>
        <v/>
      </c>
      <c r="AQ1137" s="323" t="str">
        <f>IF(AC1137=$V$3,IF(VLOOKUP(C1137,[1]List1!$A:$E,5,FALSE)=0,1,VLOOKUP(C1137,[1]List1!$A:$E,5,FALSE)),"")</f>
        <v/>
      </c>
      <c r="AR1137" s="304" t="str">
        <f t="shared" si="2981"/>
        <v/>
      </c>
      <c r="AS1137" s="423" t="str">
        <f t="shared" si="2982"/>
        <v/>
      </c>
      <c r="AT1137" s="304" t="str">
        <f t="shared" si="2983"/>
        <v/>
      </c>
      <c r="AU1137" s="342" t="e">
        <f t="shared" si="2984"/>
        <v>#N/A</v>
      </c>
      <c r="AV1137" s="304" t="e">
        <f t="shared" si="2985"/>
        <v>#N/A</v>
      </c>
      <c r="AX1137" s="304">
        <f>IF(AND('General price list'!$J1137="F4",'General price list'!$AB1137+0&gt;0),1,0)</f>
        <v>0</v>
      </c>
      <c r="AY1137" s="304">
        <f t="shared" si="2986"/>
        <v>0</v>
      </c>
      <c r="AZ1137" s="304">
        <f t="shared" si="2987"/>
        <v>0</v>
      </c>
    </row>
    <row r="1138" spans="1:52" ht="15" customHeight="1">
      <c r="A1138" s="725" t="str">
        <f>Kat.!C1134</f>
        <v/>
      </c>
      <c r="B1138" s="749">
        <f>IF(AND('General price list'!$J1138="F4",$AI$1=FALSE),0,IF(AC1138="SKLADEM",1,IF(AC1138=$V$3,1,0)))</f>
        <v>1</v>
      </c>
      <c r="C1138" s="727" t="s">
        <v>12044</v>
      </c>
      <c r="D1138" s="728" t="s">
        <v>14640</v>
      </c>
      <c r="E1138" s="729" t="s">
        <v>136</v>
      </c>
      <c r="F1138" s="725">
        <f>IFERROR(ROUND(IF($AL$3=2,VLOOKUP(C1138,[2]List1!$A:$D,2,FALSE)*1.08,VLOOKUP(C1138,[2]List1!$A:$D,2,FALSE)),0),"NEUVEDENO!")</f>
        <v>312</v>
      </c>
      <c r="G1138" s="730">
        <f t="shared" si="2966"/>
        <v>312</v>
      </c>
      <c r="H1138" s="731">
        <f t="shared" si="2967"/>
        <v>12.678339950180627</v>
      </c>
      <c r="I1138" s="750">
        <v>1</v>
      </c>
      <c r="J1138" s="729"/>
      <c r="K1138" s="729"/>
      <c r="L1138" s="729" t="s">
        <v>14464</v>
      </c>
      <c r="M1138" s="729"/>
      <c r="N1138" s="729" t="str">
        <f>IFERROR(VLOOKUP(C1138,[3]List1!$A:$D,4,FALSE),"N/A!")</f>
        <v/>
      </c>
      <c r="O1138" s="729" t="str">
        <f>IFERROR(VLOOKUP(C1138,[3]List1!$A:$D,3,FALSE),"N/A!")</f>
        <v/>
      </c>
      <c r="P1138" s="729">
        <f>IFERROR(VLOOKUP(C1138,[3]List1!$A:$D,2,FALSE),"N/A!")</f>
        <v>1500</v>
      </c>
      <c r="Q1138" s="729"/>
      <c r="R1138" s="729"/>
      <c r="S1138" s="729"/>
      <c r="T1138" s="729"/>
      <c r="U1138" s="729"/>
      <c r="V1138" s="729"/>
      <c r="W1138" s="729" t="str">
        <f>IFERROR(VLOOKUP('General price list'!$C1138,Popisy!A:P,MATCH($W$17,Popisy!$A$7:$P$7,0),FALSE),"---------------")</f>
        <v>Kartonová krabice s designem výrobku</v>
      </c>
      <c r="X1138" s="729" t="str">
        <f t="shared" si="2968"/>
        <v/>
      </c>
      <c r="Y1138" s="729" t="str">
        <f t="shared" si="2969"/>
        <v/>
      </c>
      <c r="Z1138" s="729"/>
      <c r="AA1138" s="729" t="str">
        <f>IFERROR(IF(VLOOKUP(C1138,[4]List1!$A:$D,4,FALSE)=0,"",VLOOKUP(C1138,[4]List1!$A:$D,4,FALSE)),"")</f>
        <v/>
      </c>
      <c r="AB1138" s="720"/>
      <c r="AC1138" s="751" t="str">
        <f>IFERROR(IF(VLOOKUP(C1138,[1]List1!$A:$D,2,FALSE)="VYPRODÁNO",$V$9,IF(VLOOKUP(C1138,[1]List1!$A:$D,2,FALSE)="DOCHÁZÍ",$V$3,VLOOKUP(C1138,[1]List1!$A:$D,2,FALSE))),"OFFLINE!")</f>
        <v>SKLADEM</v>
      </c>
      <c r="AD1138" s="752" t="str">
        <f ca="1">IF(AP1138="NE",$V$10,IF(AC1138=$V$3,IF(AQ1138&lt;1,$V$8,$V$2&amp;" "&amp;AQ1138&amp;" "&amp;$V$1),IF(AC1138="SKLADEM",$V$6,IFERROR(IF(OR(AC1138-TODAY()&gt;45,VLOOKUP(C1138,[1]List1!$A:$E,4,FALSE)=0),AC1138,DAY(AC1138)&amp;"."&amp;MONTH(AC1138)&amp;"."&amp;YEAR(AC1138)&amp;" "&amp;$V$4&amp;VLOOKUP(C1138,[1]List1!$A:$E,4,FALSE)&amp;" "&amp;$V$1),AC1138))))</f>
        <v>SKLADEM</v>
      </c>
      <c r="AE1138" s="729" t="str">
        <f t="shared" ca="1" si="2970"/>
        <v>SKLADEM</v>
      </c>
      <c r="AF1138" s="735">
        <f t="shared" si="2971"/>
        <v>0</v>
      </c>
      <c r="AG1138" s="735">
        <f t="shared" si="2972"/>
        <v>0</v>
      </c>
      <c r="AH1138" s="736">
        <f t="shared" si="2973"/>
        <v>0</v>
      </c>
      <c r="AI1138" s="729">
        <f t="shared" si="2974"/>
        <v>0</v>
      </c>
      <c r="AJ1138" s="729">
        <f t="shared" si="2975"/>
        <v>0</v>
      </c>
      <c r="AK1138" s="729" t="str">
        <f t="shared" si="2976"/>
        <v/>
      </c>
      <c r="AL1138" s="729" t="str">
        <f t="shared" si="2977"/>
        <v/>
      </c>
      <c r="AM1138" s="729" t="str">
        <f t="shared" si="2978"/>
        <v/>
      </c>
      <c r="AN1138" s="729">
        <f t="shared" si="2979"/>
        <v>0</v>
      </c>
      <c r="AO1138" s="380"/>
      <c r="AP1138" s="322" t="str">
        <f t="shared" si="2980"/>
        <v/>
      </c>
      <c r="AQ1138" s="323" t="str">
        <f>IF(AC1138=$V$3,IF(VLOOKUP(C1138,[1]List1!$A:$E,5,FALSE)=0,1,VLOOKUP(C1138,[1]List1!$A:$E,5,FALSE)),"")</f>
        <v/>
      </c>
      <c r="AR1138" s="304" t="str">
        <f t="shared" si="2981"/>
        <v/>
      </c>
      <c r="AS1138" s="423" t="str">
        <f t="shared" si="2982"/>
        <v/>
      </c>
      <c r="AT1138" s="304" t="str">
        <f t="shared" si="2983"/>
        <v/>
      </c>
      <c r="AU1138" s="342" t="e">
        <f t="shared" si="2984"/>
        <v>#N/A</v>
      </c>
      <c r="AV1138" s="304" t="e">
        <f t="shared" si="2985"/>
        <v>#N/A</v>
      </c>
      <c r="AX1138" s="304">
        <f>IF(AND('General price list'!$J1138="F4",'General price list'!$AB1138+0&gt;0),1,0)</f>
        <v>0</v>
      </c>
      <c r="AY1138" s="304">
        <f t="shared" si="2986"/>
        <v>0</v>
      </c>
      <c r="AZ1138" s="304">
        <f t="shared" si="2987"/>
        <v>0</v>
      </c>
    </row>
    <row r="1139" spans="1:52" ht="15" customHeight="1">
      <c r="A1139" s="712" t="str">
        <f>Kat.!C1135</f>
        <v/>
      </c>
      <c r="B1139" s="745">
        <f>IF(AND('General price list'!$J1139="F4",$AI$1=FALSE),0,IF(AC1139="SKLADEM",1,IF(AC1139=$V$3,1,0)))</f>
        <v>1</v>
      </c>
      <c r="C1139" s="714" t="s">
        <v>12045</v>
      </c>
      <c r="D1139" s="715" t="s">
        <v>14641</v>
      </c>
      <c r="E1139" s="716" t="s">
        <v>136</v>
      </c>
      <c r="F1139" s="712">
        <f>IFERROR(ROUND(IF($AL$3=2,VLOOKUP(C1139,[2]List1!$A:$D,2,FALSE)*1.08,VLOOKUP(C1139,[2]List1!$A:$D,2,FALSE)),0),"NEUVEDENO!")</f>
        <v>152</v>
      </c>
      <c r="G1139" s="717">
        <f t="shared" si="2966"/>
        <v>152</v>
      </c>
      <c r="H1139" s="718">
        <f t="shared" si="2967"/>
        <v>6.1766271552162024</v>
      </c>
      <c r="I1139" s="746">
        <v>1</v>
      </c>
      <c r="J1139" s="716"/>
      <c r="K1139" s="716"/>
      <c r="L1139" s="716" t="s">
        <v>14464</v>
      </c>
      <c r="M1139" s="716"/>
      <c r="N1139" s="716" t="str">
        <f>IFERROR(VLOOKUP(C1139,[3]List1!$A:$D,4,FALSE),"N/A!")</f>
        <v/>
      </c>
      <c r="O1139" s="716" t="str">
        <f>IFERROR(VLOOKUP(C1139,[3]List1!$A:$D,3,FALSE),"N/A!")</f>
        <v/>
      </c>
      <c r="P1139" s="716">
        <f>IFERROR(VLOOKUP(C1139,[3]List1!$A:$D,2,FALSE),"N/A!")</f>
        <v>1500</v>
      </c>
      <c r="Q1139" s="716"/>
      <c r="R1139" s="716"/>
      <c r="S1139" s="716"/>
      <c r="T1139" s="716"/>
      <c r="U1139" s="716"/>
      <c r="V1139" s="716"/>
      <c r="W1139" s="716" t="str">
        <f>IFERROR(VLOOKUP('General price list'!$C1139,Popisy!A:P,MATCH($W$17,Popisy!$A$7:$P$7,0),FALSE),"---------------")</f>
        <v>Kartonová krabice s designem výrobku</v>
      </c>
      <c r="X1139" s="716" t="str">
        <f t="shared" si="2968"/>
        <v/>
      </c>
      <c r="Y1139" s="716" t="str">
        <f t="shared" si="2969"/>
        <v/>
      </c>
      <c r="Z1139" s="716"/>
      <c r="AA1139" s="716" t="str">
        <f>IFERROR(IF(VLOOKUP(C1139,[4]List1!$A:$D,4,FALSE)=0,"",VLOOKUP(C1139,[4]List1!$A:$D,4,FALSE)),"")</f>
        <v/>
      </c>
      <c r="AB1139" s="720"/>
      <c r="AC1139" s="747" t="str">
        <f>IFERROR(IF(VLOOKUP(C1139,[1]List1!$A:$D,2,FALSE)="VYPRODÁNO",$V$9,IF(VLOOKUP(C1139,[1]List1!$A:$D,2,FALSE)="DOCHÁZÍ",$V$3,VLOOKUP(C1139,[1]List1!$A:$D,2,FALSE))),"OFFLINE!")</f>
        <v>SKLADEM</v>
      </c>
      <c r="AD1139" s="748" t="str">
        <f ca="1">IF(AP1139="NE",$V$10,IF(AC1139=$V$3,IF(AQ1139&lt;1,$V$8,$V$2&amp;" "&amp;AQ1139&amp;" "&amp;$V$1),IF(AC1139="SKLADEM",$V$6,IFERROR(IF(OR(AC1139-TODAY()&gt;45,VLOOKUP(C1139,[1]List1!$A:$E,4,FALSE)=0),AC1139,DAY(AC1139)&amp;"."&amp;MONTH(AC1139)&amp;"."&amp;YEAR(AC1139)&amp;" "&amp;$V$4&amp;VLOOKUP(C1139,[1]List1!$A:$E,4,FALSE)&amp;" "&amp;$V$1),AC1139))))</f>
        <v>SKLADEM</v>
      </c>
      <c r="AE1139" s="716" t="str">
        <f t="shared" ca="1" si="2970"/>
        <v>SKLADEM</v>
      </c>
      <c r="AF1139" s="723">
        <f t="shared" si="2971"/>
        <v>0</v>
      </c>
      <c r="AG1139" s="723">
        <f t="shared" si="2972"/>
        <v>0</v>
      </c>
      <c r="AH1139" s="724">
        <f t="shared" si="2973"/>
        <v>0</v>
      </c>
      <c r="AI1139" s="716">
        <f t="shared" si="2974"/>
        <v>0</v>
      </c>
      <c r="AJ1139" s="716">
        <f t="shared" si="2975"/>
        <v>0</v>
      </c>
      <c r="AK1139" s="716" t="str">
        <f t="shared" si="2976"/>
        <v/>
      </c>
      <c r="AL1139" s="716" t="str">
        <f t="shared" si="2977"/>
        <v/>
      </c>
      <c r="AM1139" s="716" t="str">
        <f t="shared" si="2978"/>
        <v/>
      </c>
      <c r="AN1139" s="716">
        <f t="shared" si="2979"/>
        <v>0</v>
      </c>
      <c r="AO1139" s="380"/>
      <c r="AP1139" s="322" t="str">
        <f t="shared" si="2980"/>
        <v/>
      </c>
      <c r="AQ1139" s="323" t="str">
        <f>IF(AC1139=$V$3,IF(VLOOKUP(C1139,[1]List1!$A:$E,5,FALSE)=0,1,VLOOKUP(C1139,[1]List1!$A:$E,5,FALSE)),"")</f>
        <v/>
      </c>
      <c r="AR1139" s="304" t="str">
        <f t="shared" si="2981"/>
        <v/>
      </c>
      <c r="AS1139" s="423" t="str">
        <f t="shared" si="2982"/>
        <v/>
      </c>
      <c r="AT1139" s="304" t="str">
        <f t="shared" si="2983"/>
        <v/>
      </c>
      <c r="AU1139" s="342" t="e">
        <f t="shared" si="2984"/>
        <v>#N/A</v>
      </c>
      <c r="AV1139" s="304" t="e">
        <f t="shared" si="2985"/>
        <v>#N/A</v>
      </c>
      <c r="AX1139" s="304">
        <f>IF(AND('General price list'!$J1139="F4",'General price list'!$AB1139+0&gt;0),1,0)</f>
        <v>0</v>
      </c>
      <c r="AY1139" s="304">
        <f t="shared" si="2986"/>
        <v>0</v>
      </c>
      <c r="AZ1139" s="304">
        <f t="shared" si="2987"/>
        <v>0</v>
      </c>
    </row>
    <row r="1140" spans="1:52" ht="15" customHeight="1">
      <c r="A1140" s="725"/>
      <c r="B1140" s="749">
        <f>IF(AND('General price list'!$J1140="F4",$AI$1=FALSE),0,IF(AC1140="SKLADEM",1,IF(AC1140=$V$3,1,0)))</f>
        <v>1</v>
      </c>
      <c r="C1140" s="727" t="s">
        <v>12046</v>
      </c>
      <c r="D1140" s="728" t="s">
        <v>14642</v>
      </c>
      <c r="E1140" s="729" t="s">
        <v>136</v>
      </c>
      <c r="F1140" s="725">
        <f>IFERROR(ROUND(IF($AL$3=2,VLOOKUP(C1140,[2]List1!$A:$D,2,FALSE)*1.08,VLOOKUP(C1140,[2]List1!$A:$D,2,FALSE)),0),"NEUVEDENO!")</f>
        <v>152</v>
      </c>
      <c r="G1140" s="730">
        <f t="shared" si="2966"/>
        <v>152</v>
      </c>
      <c r="H1140" s="731">
        <f t="shared" si="2967"/>
        <v>6.1766271552162024</v>
      </c>
      <c r="I1140" s="750">
        <v>1</v>
      </c>
      <c r="J1140" s="729"/>
      <c r="K1140" s="729"/>
      <c r="L1140" s="729" t="s">
        <v>14464</v>
      </c>
      <c r="M1140" s="729"/>
      <c r="N1140" s="729" t="str">
        <f>IFERROR(VLOOKUP(C1140,[3]List1!$A:$D,4,FALSE),"N/A!")</f>
        <v/>
      </c>
      <c r="O1140" s="729" t="str">
        <f>IFERROR(VLOOKUP(C1140,[3]List1!$A:$D,3,FALSE),"N/A!")</f>
        <v/>
      </c>
      <c r="P1140" s="729">
        <f>IFERROR(VLOOKUP(C1140,[3]List1!$A:$D,2,FALSE),"N/A!")</f>
        <v>1500</v>
      </c>
      <c r="Q1140" s="729"/>
      <c r="R1140" s="729"/>
      <c r="S1140" s="729"/>
      <c r="T1140" s="729"/>
      <c r="U1140" s="729"/>
      <c r="V1140" s="729"/>
      <c r="W1140" s="729" t="str">
        <f>IFERROR(VLOOKUP('General price list'!$C1140,Popisy!A:P,MATCH($W$17,Popisy!$A$7:$P$7,0),FALSE),"---------------")</f>
        <v>Kartonová krabice s designem výrobku</v>
      </c>
      <c r="X1140" s="729" t="str">
        <f t="shared" si="2968"/>
        <v/>
      </c>
      <c r="Y1140" s="729" t="str">
        <f t="shared" si="2969"/>
        <v/>
      </c>
      <c r="Z1140" s="729"/>
      <c r="AA1140" s="729" t="str">
        <f>IFERROR(IF(VLOOKUP(C1140,[4]List1!$A:$D,4,FALSE)=0,"",VLOOKUP(C1140,[4]List1!$A:$D,4,FALSE)),"")</f>
        <v/>
      </c>
      <c r="AB1140" s="720"/>
      <c r="AC1140" s="751" t="str">
        <f>IFERROR(IF(VLOOKUP(C1140,[1]List1!$A:$D,2,FALSE)="VYPRODÁNO",$V$9,IF(VLOOKUP(C1140,[1]List1!$A:$D,2,FALSE)="DOCHÁZÍ",$V$3,VLOOKUP(C1140,[1]List1!$A:$D,2,FALSE))),"OFFLINE!")</f>
        <v>SKLADEM</v>
      </c>
      <c r="AD1140" s="752" t="str">
        <f ca="1">IF(AP1140="NE",$V$10,IF(AC1140=$V$3,IF(AQ1140&lt;1,$V$8,$V$2&amp;" "&amp;AQ1140&amp;" "&amp;$V$1),IF(AC1140="SKLADEM",$V$6,IFERROR(IF(OR(AC1140-TODAY()&gt;45,VLOOKUP(C1140,[1]List1!$A:$E,4,FALSE)=0),AC1140,DAY(AC1140)&amp;"."&amp;MONTH(AC1140)&amp;"."&amp;YEAR(AC1140)&amp;" "&amp;$V$4&amp;VLOOKUP(C1140,[1]List1!$A:$E,4,FALSE)&amp;" "&amp;$V$1),AC1140))))</f>
        <v>SKLADEM</v>
      </c>
      <c r="AE1140" s="729" t="str">
        <f t="shared" ca="1" si="2970"/>
        <v>SKLADEM</v>
      </c>
      <c r="AF1140" s="735">
        <f t="shared" si="2971"/>
        <v>0</v>
      </c>
      <c r="AG1140" s="735">
        <f t="shared" si="2972"/>
        <v>0</v>
      </c>
      <c r="AH1140" s="736">
        <f t="shared" si="2973"/>
        <v>0</v>
      </c>
      <c r="AI1140" s="729">
        <f t="shared" si="2974"/>
        <v>0</v>
      </c>
      <c r="AJ1140" s="729">
        <f t="shared" si="2975"/>
        <v>0</v>
      </c>
      <c r="AK1140" s="729" t="str">
        <f t="shared" si="2976"/>
        <v/>
      </c>
      <c r="AL1140" s="729" t="str">
        <f t="shared" si="2977"/>
        <v/>
      </c>
      <c r="AM1140" s="729" t="str">
        <f t="shared" si="2978"/>
        <v/>
      </c>
      <c r="AN1140" s="729">
        <f t="shared" si="2979"/>
        <v>0</v>
      </c>
      <c r="AO1140" s="380"/>
      <c r="AP1140" s="322" t="str">
        <f t="shared" si="2980"/>
        <v/>
      </c>
      <c r="AQ1140" s="323" t="str">
        <f>IF(AC1140=$V$3,IF(VLOOKUP(C1140,[1]List1!$A:$E,5,FALSE)=0,1,VLOOKUP(C1140,[1]List1!$A:$E,5,FALSE)),"")</f>
        <v/>
      </c>
      <c r="AR1140" s="304" t="str">
        <f t="shared" si="2981"/>
        <v/>
      </c>
      <c r="AS1140" s="423" t="str">
        <f t="shared" si="2982"/>
        <v/>
      </c>
      <c r="AT1140" s="304" t="str">
        <f t="shared" si="2983"/>
        <v/>
      </c>
      <c r="AU1140" s="342" t="e">
        <f t="shared" si="2984"/>
        <v>#N/A</v>
      </c>
      <c r="AV1140" s="304" t="e">
        <f t="shared" si="2985"/>
        <v>#N/A</v>
      </c>
      <c r="AX1140" s="304">
        <f>IF(AND('General price list'!$J1140="F4",'General price list'!$AB1140+0&gt;0),1,0)</f>
        <v>0</v>
      </c>
      <c r="AY1140" s="304">
        <f t="shared" si="2986"/>
        <v>0</v>
      </c>
      <c r="AZ1140" s="304">
        <f t="shared" si="2987"/>
        <v>0</v>
      </c>
    </row>
    <row r="1141" spans="1:52" ht="15" customHeight="1">
      <c r="A1141" s="712"/>
      <c r="B1141" s="745">
        <f>IF(AND('General price list'!$J1141="F4",$AI$1=FALSE),0,IF(AC1141="SKLADEM",1,IF(AC1141=$V$3,1,0)))</f>
        <v>1</v>
      </c>
      <c r="C1141" s="714" t="s">
        <v>12047</v>
      </c>
      <c r="D1141" s="715" t="s">
        <v>14643</v>
      </c>
      <c r="E1141" s="716" t="s">
        <v>136</v>
      </c>
      <c r="F1141" s="712">
        <f>IFERROR(ROUND(IF($AL$3=2,VLOOKUP(C1141,[2]List1!$A:$D,2,FALSE)*1.08,VLOOKUP(C1141,[2]List1!$A:$D,2,FALSE)),0),"NEUVEDENO!")</f>
        <v>227</v>
      </c>
      <c r="G1141" s="717">
        <f t="shared" si="2966"/>
        <v>227</v>
      </c>
      <c r="H1141" s="718">
        <f t="shared" si="2967"/>
        <v>9.2243050278557757</v>
      </c>
      <c r="I1141" s="746">
        <v>1</v>
      </c>
      <c r="J1141" s="716"/>
      <c r="K1141" s="716"/>
      <c r="L1141" s="716" t="s">
        <v>14464</v>
      </c>
      <c r="M1141" s="716"/>
      <c r="N1141" s="716" t="str">
        <f>IFERROR(VLOOKUP(C1141,[3]List1!$A:$D,4,FALSE),"N/A!")</f>
        <v/>
      </c>
      <c r="O1141" s="716" t="str">
        <f>IFERROR(VLOOKUP(C1141,[3]List1!$A:$D,3,FALSE),"N/A!")</f>
        <v/>
      </c>
      <c r="P1141" s="716">
        <f>IFERROR(VLOOKUP(C1141,[3]List1!$A:$D,2,FALSE),"N/A!")</f>
        <v>1500</v>
      </c>
      <c r="Q1141" s="716"/>
      <c r="R1141" s="716"/>
      <c r="S1141" s="716"/>
      <c r="T1141" s="716"/>
      <c r="U1141" s="716"/>
      <c r="V1141" s="716"/>
      <c r="W1141" s="716" t="str">
        <f>IFERROR(VLOOKUP('General price list'!$C1141,Popisy!A:P,MATCH($W$17,Popisy!$A$7:$P$7,0),FALSE),"---------------")</f>
        <v>Kartonová krabice s designem výrobku</v>
      </c>
      <c r="X1141" s="716" t="str">
        <f t="shared" si="2968"/>
        <v/>
      </c>
      <c r="Y1141" s="716" t="str">
        <f t="shared" si="2969"/>
        <v/>
      </c>
      <c r="Z1141" s="716"/>
      <c r="AA1141" s="716" t="str">
        <f>IFERROR(IF(VLOOKUP(C1141,[4]List1!$A:$D,4,FALSE)=0,"",VLOOKUP(C1141,[4]List1!$A:$D,4,FALSE)),"")</f>
        <v/>
      </c>
      <c r="AB1141" s="720"/>
      <c r="AC1141" s="747" t="str">
        <f>IFERROR(IF(VLOOKUP(C1141,[1]List1!$A:$D,2,FALSE)="VYPRODÁNO",$V$9,IF(VLOOKUP(C1141,[1]List1!$A:$D,2,FALSE)="DOCHÁZÍ",$V$3,VLOOKUP(C1141,[1]List1!$A:$D,2,FALSE))),"OFFLINE!")</f>
        <v>SKLADEM</v>
      </c>
      <c r="AD1141" s="748" t="str">
        <f ca="1">IF(AP1141="NE",$V$10,IF(AC1141=$V$3,IF(AQ1141&lt;1,$V$8,$V$2&amp;" "&amp;AQ1141&amp;" "&amp;$V$1),IF(AC1141="SKLADEM",$V$6,IFERROR(IF(OR(AC1141-TODAY()&gt;45,VLOOKUP(C1141,[1]List1!$A:$E,4,FALSE)=0),AC1141,DAY(AC1141)&amp;"."&amp;MONTH(AC1141)&amp;"."&amp;YEAR(AC1141)&amp;" "&amp;$V$4&amp;VLOOKUP(C1141,[1]List1!$A:$E,4,FALSE)&amp;" "&amp;$V$1),AC1141))))</f>
        <v>SKLADEM</v>
      </c>
      <c r="AE1141" s="716" t="str">
        <f t="shared" ca="1" si="2970"/>
        <v>SKLADEM</v>
      </c>
      <c r="AF1141" s="723">
        <f t="shared" si="2971"/>
        <v>0</v>
      </c>
      <c r="AG1141" s="723">
        <f t="shared" si="2972"/>
        <v>0</v>
      </c>
      <c r="AH1141" s="724">
        <f t="shared" si="2973"/>
        <v>0</v>
      </c>
      <c r="AI1141" s="716">
        <f t="shared" si="2974"/>
        <v>0</v>
      </c>
      <c r="AJ1141" s="716">
        <f t="shared" si="2975"/>
        <v>0</v>
      </c>
      <c r="AK1141" s="716" t="str">
        <f t="shared" si="2976"/>
        <v/>
      </c>
      <c r="AL1141" s="716" t="str">
        <f t="shared" si="2977"/>
        <v/>
      </c>
      <c r="AM1141" s="716" t="str">
        <f t="shared" si="2978"/>
        <v/>
      </c>
      <c r="AN1141" s="716">
        <f t="shared" si="2979"/>
        <v>0</v>
      </c>
      <c r="AO1141" s="380"/>
      <c r="AP1141" s="322" t="str">
        <f t="shared" si="2980"/>
        <v/>
      </c>
      <c r="AQ1141" s="323" t="str">
        <f>IF(AC1141=$V$3,IF(VLOOKUP(C1141,[1]List1!$A:$E,5,FALSE)=0,1,VLOOKUP(C1141,[1]List1!$A:$E,5,FALSE)),"")</f>
        <v/>
      </c>
      <c r="AR1141" s="304" t="str">
        <f t="shared" si="2981"/>
        <v/>
      </c>
      <c r="AS1141" s="423" t="str">
        <f t="shared" si="2982"/>
        <v/>
      </c>
      <c r="AT1141" s="304" t="str">
        <f t="shared" si="2983"/>
        <v/>
      </c>
      <c r="AU1141" s="342" t="e">
        <f t="shared" si="2984"/>
        <v>#N/A</v>
      </c>
      <c r="AV1141" s="304" t="e">
        <f t="shared" si="2985"/>
        <v>#N/A</v>
      </c>
      <c r="AX1141" s="304">
        <f>IF(AND('General price list'!$J1141="F4",'General price list'!$AB1141+0&gt;0),1,0)</f>
        <v>0</v>
      </c>
      <c r="AY1141" s="304">
        <f t="shared" si="2986"/>
        <v>0</v>
      </c>
      <c r="AZ1141" s="304">
        <f t="shared" si="2987"/>
        <v>0</v>
      </c>
    </row>
    <row r="1142" spans="1:52" ht="15" customHeight="1">
      <c r="A1142" s="725"/>
      <c r="B1142" s="749">
        <f>IF(AND('General price list'!$J1142="F4",$AI$1=FALSE),0,IF(AC1142="SKLADEM",1,IF(AC1142=$V$3,1,0)))</f>
        <v>1</v>
      </c>
      <c r="C1142" s="727" t="s">
        <v>12048</v>
      </c>
      <c r="D1142" s="728" t="s">
        <v>14643</v>
      </c>
      <c r="E1142" s="729" t="s">
        <v>136</v>
      </c>
      <c r="F1142" s="725">
        <f>IFERROR(ROUND(IF($AL$3=2,VLOOKUP(C1142,[2]List1!$A:$D,2,FALSE)*1.08,VLOOKUP(C1142,[2]List1!$A:$D,2,FALSE)),0),"NEUVEDENO!")</f>
        <v>227</v>
      </c>
      <c r="G1142" s="730">
        <f t="shared" si="2966"/>
        <v>227</v>
      </c>
      <c r="H1142" s="731">
        <f t="shared" si="2967"/>
        <v>9.2243050278557757</v>
      </c>
      <c r="I1142" s="750">
        <v>1</v>
      </c>
      <c r="J1142" s="729"/>
      <c r="K1142" s="729"/>
      <c r="L1142" s="729" t="s">
        <v>14464</v>
      </c>
      <c r="M1142" s="729"/>
      <c r="N1142" s="729" t="str">
        <f>IFERROR(VLOOKUP(C1142,[3]List1!$A:$D,4,FALSE),"N/A!")</f>
        <v/>
      </c>
      <c r="O1142" s="729" t="str">
        <f>IFERROR(VLOOKUP(C1142,[3]List1!$A:$D,3,FALSE),"N/A!")</f>
        <v/>
      </c>
      <c r="P1142" s="729">
        <f>IFERROR(VLOOKUP(C1142,[3]List1!$A:$D,2,FALSE),"N/A!")</f>
        <v>1500</v>
      </c>
      <c r="Q1142" s="729"/>
      <c r="R1142" s="729"/>
      <c r="S1142" s="729"/>
      <c r="T1142" s="729"/>
      <c r="U1142" s="729"/>
      <c r="V1142" s="729"/>
      <c r="W1142" s="729" t="str">
        <f>IFERROR(VLOOKUP('General price list'!$C1142,Popisy!A:P,MATCH($W$17,Popisy!$A$7:$P$7,0),FALSE),"---------------")</f>
        <v>Kartonová krabice s designem výrobku</v>
      </c>
      <c r="X1142" s="729" t="str">
        <f t="shared" si="2968"/>
        <v/>
      </c>
      <c r="Y1142" s="729" t="str">
        <f t="shared" si="2969"/>
        <v/>
      </c>
      <c r="Z1142" s="729"/>
      <c r="AA1142" s="729" t="str">
        <f>IFERROR(IF(VLOOKUP(C1142,[4]List1!$A:$D,4,FALSE)=0,"",VLOOKUP(C1142,[4]List1!$A:$D,4,FALSE)),"")</f>
        <v/>
      </c>
      <c r="AB1142" s="720"/>
      <c r="AC1142" s="751" t="str">
        <f>IFERROR(IF(VLOOKUP(C1142,[1]List1!$A:$D,2,FALSE)="VYPRODÁNO",$V$9,IF(VLOOKUP(C1142,[1]List1!$A:$D,2,FALSE)="DOCHÁZÍ",$V$3,VLOOKUP(C1142,[1]List1!$A:$D,2,FALSE))),"OFFLINE!")</f>
        <v>SKLADEM</v>
      </c>
      <c r="AD1142" s="752" t="str">
        <f ca="1">IF(AP1142="NE",$V$10,IF(AC1142=$V$3,IF(AQ1142&lt;1,$V$8,$V$2&amp;" "&amp;AQ1142&amp;" "&amp;$V$1),IF(AC1142="SKLADEM",$V$6,IFERROR(IF(OR(AC1142-TODAY()&gt;45,VLOOKUP(C1142,[1]List1!$A:$E,4,FALSE)=0),AC1142,DAY(AC1142)&amp;"."&amp;MONTH(AC1142)&amp;"."&amp;YEAR(AC1142)&amp;" "&amp;$V$4&amp;VLOOKUP(C1142,[1]List1!$A:$E,4,FALSE)&amp;" "&amp;$V$1),AC1142))))</f>
        <v>SKLADEM</v>
      </c>
      <c r="AE1142" s="729" t="str">
        <f t="shared" ca="1" si="2970"/>
        <v>SKLADEM</v>
      </c>
      <c r="AF1142" s="735">
        <f t="shared" si="2971"/>
        <v>0</v>
      </c>
      <c r="AG1142" s="735">
        <f t="shared" si="2972"/>
        <v>0</v>
      </c>
      <c r="AH1142" s="736">
        <f t="shared" si="2973"/>
        <v>0</v>
      </c>
      <c r="AI1142" s="729">
        <f t="shared" si="2974"/>
        <v>0</v>
      </c>
      <c r="AJ1142" s="729">
        <f t="shared" si="2975"/>
        <v>0</v>
      </c>
      <c r="AK1142" s="729" t="str">
        <f t="shared" si="2976"/>
        <v/>
      </c>
      <c r="AL1142" s="729" t="str">
        <f t="shared" si="2977"/>
        <v/>
      </c>
      <c r="AM1142" s="729" t="str">
        <f t="shared" si="2978"/>
        <v/>
      </c>
      <c r="AN1142" s="729">
        <f t="shared" si="2979"/>
        <v>0</v>
      </c>
      <c r="AO1142" s="380"/>
      <c r="AP1142" s="322" t="str">
        <f t="shared" si="2980"/>
        <v/>
      </c>
      <c r="AQ1142" s="323" t="str">
        <f>IF(AC1142=$V$3,IF(VLOOKUP(C1142,[1]List1!$A:$E,5,FALSE)=0,1,VLOOKUP(C1142,[1]List1!$A:$E,5,FALSE)),"")</f>
        <v/>
      </c>
      <c r="AR1142" s="304" t="str">
        <f t="shared" si="2981"/>
        <v/>
      </c>
      <c r="AS1142" s="423" t="str">
        <f t="shared" si="2982"/>
        <v/>
      </c>
      <c r="AT1142" s="304" t="str">
        <f t="shared" si="2983"/>
        <v/>
      </c>
      <c r="AU1142" s="342" t="e">
        <f t="shared" si="2984"/>
        <v>#N/A</v>
      </c>
      <c r="AV1142" s="304" t="e">
        <f t="shared" si="2985"/>
        <v>#N/A</v>
      </c>
      <c r="AX1142" s="304">
        <f>IF(AND('General price list'!$J1142="F4",'General price list'!$AB1142+0&gt;0),1,0)</f>
        <v>0</v>
      </c>
      <c r="AY1142" s="304">
        <f t="shared" si="2986"/>
        <v>0</v>
      </c>
      <c r="AZ1142" s="304">
        <f t="shared" si="2987"/>
        <v>0</v>
      </c>
    </row>
    <row r="1143" spans="1:52" ht="15" customHeight="1">
      <c r="A1143" s="712"/>
      <c r="B1143" s="745">
        <f>IF(AND('General price list'!$J1143="F4",$AI$1=FALSE),0,IF(AC1143="SKLADEM",1,IF(AC1143=$V$3,1,0)))</f>
        <v>1</v>
      </c>
      <c r="C1143" s="714" t="s">
        <v>12049</v>
      </c>
      <c r="D1143" s="715" t="s">
        <v>14644</v>
      </c>
      <c r="E1143" s="716" t="s">
        <v>136</v>
      </c>
      <c r="F1143" s="712">
        <f>IFERROR(ROUND(IF($AL$3=2,VLOOKUP(C1143,[2]List1!$A:$D,2,FALSE)*1.08,VLOOKUP(C1143,[2]List1!$A:$D,2,FALSE)),0),"NEUVEDENO!")</f>
        <v>234</v>
      </c>
      <c r="G1143" s="717">
        <f t="shared" si="2966"/>
        <v>234</v>
      </c>
      <c r="H1143" s="718">
        <f t="shared" si="2967"/>
        <v>9.5087549626354697</v>
      </c>
      <c r="I1143" s="746">
        <v>1</v>
      </c>
      <c r="J1143" s="716"/>
      <c r="K1143" s="716"/>
      <c r="L1143" s="716" t="s">
        <v>14464</v>
      </c>
      <c r="M1143" s="716"/>
      <c r="N1143" s="716" t="str">
        <f>IFERROR(VLOOKUP(C1143,[3]List1!$A:$D,4,FALSE),"N/A!")</f>
        <v/>
      </c>
      <c r="O1143" s="716" t="str">
        <f>IFERROR(VLOOKUP(C1143,[3]List1!$A:$D,3,FALSE),"N/A!")</f>
        <v/>
      </c>
      <c r="P1143" s="716">
        <f>IFERROR(VLOOKUP(C1143,[3]List1!$A:$D,2,FALSE),"N/A!")</f>
        <v>1500</v>
      </c>
      <c r="Q1143" s="716"/>
      <c r="R1143" s="716"/>
      <c r="S1143" s="716"/>
      <c r="T1143" s="716"/>
      <c r="U1143" s="716"/>
      <c r="V1143" s="716"/>
      <c r="W1143" s="716" t="str">
        <f>IFERROR(VLOOKUP('General price list'!$C1143,Popisy!A:P,MATCH($W$17,Popisy!$A$7:$P$7,0),FALSE),"---------------")</f>
        <v>Kartonová krabice s designem výrobku</v>
      </c>
      <c r="X1143" s="716" t="str">
        <f t="shared" si="2968"/>
        <v/>
      </c>
      <c r="Y1143" s="716" t="str">
        <f t="shared" si="2969"/>
        <v/>
      </c>
      <c r="Z1143" s="716"/>
      <c r="AA1143" s="716" t="str">
        <f>IFERROR(IF(VLOOKUP(C1143,[4]List1!$A:$D,4,FALSE)=0,"",VLOOKUP(C1143,[4]List1!$A:$D,4,FALSE)),"")</f>
        <v/>
      </c>
      <c r="AB1143" s="720"/>
      <c r="AC1143" s="747" t="str">
        <f>IFERROR(IF(VLOOKUP(C1143,[1]List1!$A:$D,2,FALSE)="VYPRODÁNO",$V$9,IF(VLOOKUP(C1143,[1]List1!$A:$D,2,FALSE)="DOCHÁZÍ",$V$3,VLOOKUP(C1143,[1]List1!$A:$D,2,FALSE))),"OFFLINE!")</f>
        <v>SKLADEM</v>
      </c>
      <c r="AD1143" s="748" t="str">
        <f ca="1">IF(AP1143="NE",$V$10,IF(AC1143=$V$3,IF(AQ1143&lt;1,$V$8,$V$2&amp;" "&amp;AQ1143&amp;" "&amp;$V$1),IF(AC1143="SKLADEM",$V$6,IFERROR(IF(OR(AC1143-TODAY()&gt;45,VLOOKUP(C1143,[1]List1!$A:$E,4,FALSE)=0),AC1143,DAY(AC1143)&amp;"."&amp;MONTH(AC1143)&amp;"."&amp;YEAR(AC1143)&amp;" "&amp;$V$4&amp;VLOOKUP(C1143,[1]List1!$A:$E,4,FALSE)&amp;" "&amp;$V$1),AC1143))))</f>
        <v>SKLADEM</v>
      </c>
      <c r="AE1143" s="716" t="str">
        <f t="shared" ca="1" si="2970"/>
        <v>SKLADEM</v>
      </c>
      <c r="AF1143" s="723">
        <f t="shared" si="2971"/>
        <v>0</v>
      </c>
      <c r="AG1143" s="723">
        <f t="shared" si="2972"/>
        <v>0</v>
      </c>
      <c r="AH1143" s="724">
        <f t="shared" si="2973"/>
        <v>0</v>
      </c>
      <c r="AI1143" s="716">
        <f t="shared" si="2974"/>
        <v>0</v>
      </c>
      <c r="AJ1143" s="716">
        <f t="shared" si="2975"/>
        <v>0</v>
      </c>
      <c r="AK1143" s="716" t="str">
        <f t="shared" si="2976"/>
        <v/>
      </c>
      <c r="AL1143" s="716" t="str">
        <f t="shared" si="2977"/>
        <v/>
      </c>
      <c r="AM1143" s="716" t="str">
        <f t="shared" si="2978"/>
        <v/>
      </c>
      <c r="AN1143" s="716">
        <f t="shared" si="2979"/>
        <v>0</v>
      </c>
      <c r="AO1143" s="380"/>
      <c r="AP1143" s="322" t="str">
        <f t="shared" si="2980"/>
        <v/>
      </c>
      <c r="AQ1143" s="323" t="str">
        <f>IF(AC1143=$V$3,IF(VLOOKUP(C1143,[1]List1!$A:$E,5,FALSE)=0,1,VLOOKUP(C1143,[1]List1!$A:$E,5,FALSE)),"")</f>
        <v/>
      </c>
      <c r="AR1143" s="304" t="str">
        <f t="shared" si="2981"/>
        <v/>
      </c>
      <c r="AS1143" s="423" t="str">
        <f t="shared" si="2982"/>
        <v/>
      </c>
      <c r="AT1143" s="304" t="str">
        <f t="shared" si="2983"/>
        <v/>
      </c>
      <c r="AU1143" s="342" t="e">
        <f t="shared" si="2984"/>
        <v>#N/A</v>
      </c>
      <c r="AV1143" s="304" t="e">
        <f t="shared" si="2985"/>
        <v>#N/A</v>
      </c>
      <c r="AX1143" s="304">
        <f>IF(AND('General price list'!$J1143="F4",'General price list'!$AB1143+0&gt;0),1,0)</f>
        <v>0</v>
      </c>
      <c r="AY1143" s="304">
        <f t="shared" si="2986"/>
        <v>0</v>
      </c>
      <c r="AZ1143" s="304">
        <f t="shared" si="2987"/>
        <v>0</v>
      </c>
    </row>
    <row r="1144" spans="1:52" ht="15" customHeight="1">
      <c r="A1144" s="725"/>
      <c r="B1144" s="749">
        <f>IF(AND('General price list'!$J1144="F4",$AI$1=FALSE),0,IF(AC1144="SKLADEM",1,IF(AC1144=$V$3,1,0)))</f>
        <v>1</v>
      </c>
      <c r="C1144" s="727" t="s">
        <v>12050</v>
      </c>
      <c r="D1144" s="728" t="s">
        <v>14645</v>
      </c>
      <c r="E1144" s="729" t="s">
        <v>136</v>
      </c>
      <c r="F1144" s="725">
        <f>IFERROR(ROUND(IF($AL$3=2,VLOOKUP(C1144,[2]List1!$A:$D,2,FALSE)*1.08,VLOOKUP(C1144,[2]List1!$A:$D,2,FALSE)),0),"NEUVEDENO!")</f>
        <v>234</v>
      </c>
      <c r="G1144" s="730">
        <f t="shared" si="2966"/>
        <v>234</v>
      </c>
      <c r="H1144" s="731">
        <f t="shared" si="2967"/>
        <v>9.5087549626354697</v>
      </c>
      <c r="I1144" s="750">
        <v>1</v>
      </c>
      <c r="J1144" s="729"/>
      <c r="K1144" s="729"/>
      <c r="L1144" s="729" t="s">
        <v>14464</v>
      </c>
      <c r="M1144" s="729"/>
      <c r="N1144" s="729" t="str">
        <f>IFERROR(VLOOKUP(C1144,[3]List1!$A:$D,4,FALSE),"N/A!")</f>
        <v/>
      </c>
      <c r="O1144" s="729" t="str">
        <f>IFERROR(VLOOKUP(C1144,[3]List1!$A:$D,3,FALSE),"N/A!")</f>
        <v/>
      </c>
      <c r="P1144" s="729">
        <f>IFERROR(VLOOKUP(C1144,[3]List1!$A:$D,2,FALSE),"N/A!")</f>
        <v>1500</v>
      </c>
      <c r="Q1144" s="729"/>
      <c r="R1144" s="729"/>
      <c r="S1144" s="729"/>
      <c r="T1144" s="729"/>
      <c r="U1144" s="729"/>
      <c r="V1144" s="729"/>
      <c r="W1144" s="729" t="str">
        <f>IFERROR(VLOOKUP('General price list'!$C1144,Popisy!A:P,MATCH($W$17,Popisy!$A$7:$P$7,0),FALSE),"---------------")</f>
        <v>Kartonová krabice s designem výrobku</v>
      </c>
      <c r="X1144" s="729" t="str">
        <f t="shared" si="2968"/>
        <v/>
      </c>
      <c r="Y1144" s="729" t="str">
        <f t="shared" si="2969"/>
        <v/>
      </c>
      <c r="Z1144" s="729"/>
      <c r="AA1144" s="729" t="str">
        <f>IFERROR(IF(VLOOKUP(C1144,[4]List1!$A:$D,4,FALSE)=0,"",VLOOKUP(C1144,[4]List1!$A:$D,4,FALSE)),"")</f>
        <v/>
      </c>
      <c r="AB1144" s="720"/>
      <c r="AC1144" s="751" t="str">
        <f>IFERROR(IF(VLOOKUP(C1144,[1]List1!$A:$D,2,FALSE)="VYPRODÁNO",$V$9,IF(VLOOKUP(C1144,[1]List1!$A:$D,2,FALSE)="DOCHÁZÍ",$V$3,VLOOKUP(C1144,[1]List1!$A:$D,2,FALSE))),"OFFLINE!")</f>
        <v>SKLADEM</v>
      </c>
      <c r="AD1144" s="752" t="str">
        <f ca="1">IF(AP1144="NE",$V$10,IF(AC1144=$V$3,IF(AQ1144&lt;1,$V$8,$V$2&amp;" "&amp;AQ1144&amp;" "&amp;$V$1),IF(AC1144="SKLADEM",$V$6,IFERROR(IF(OR(AC1144-TODAY()&gt;45,VLOOKUP(C1144,[1]List1!$A:$E,4,FALSE)=0),AC1144,DAY(AC1144)&amp;"."&amp;MONTH(AC1144)&amp;"."&amp;YEAR(AC1144)&amp;" "&amp;$V$4&amp;VLOOKUP(C1144,[1]List1!$A:$E,4,FALSE)&amp;" "&amp;$V$1),AC1144))))</f>
        <v>SKLADEM</v>
      </c>
      <c r="AE1144" s="729" t="str">
        <f t="shared" ca="1" si="2970"/>
        <v>SKLADEM</v>
      </c>
      <c r="AF1144" s="735">
        <f t="shared" si="2971"/>
        <v>0</v>
      </c>
      <c r="AG1144" s="735">
        <f t="shared" si="2972"/>
        <v>0</v>
      </c>
      <c r="AH1144" s="736">
        <f t="shared" si="2973"/>
        <v>0</v>
      </c>
      <c r="AI1144" s="729">
        <f t="shared" si="2974"/>
        <v>0</v>
      </c>
      <c r="AJ1144" s="729">
        <f t="shared" si="2975"/>
        <v>0</v>
      </c>
      <c r="AK1144" s="729" t="str">
        <f t="shared" si="2976"/>
        <v/>
      </c>
      <c r="AL1144" s="729" t="str">
        <f t="shared" si="2977"/>
        <v/>
      </c>
      <c r="AM1144" s="729" t="str">
        <f t="shared" si="2978"/>
        <v/>
      </c>
      <c r="AN1144" s="729">
        <f t="shared" si="2979"/>
        <v>0</v>
      </c>
      <c r="AO1144" s="380"/>
      <c r="AP1144" s="322" t="str">
        <f t="shared" si="2980"/>
        <v/>
      </c>
      <c r="AQ1144" s="323" t="str">
        <f>IF(AC1144=$V$3,IF(VLOOKUP(C1144,[1]List1!$A:$E,5,FALSE)=0,1,VLOOKUP(C1144,[1]List1!$A:$E,5,FALSE)),"")</f>
        <v/>
      </c>
      <c r="AR1144" s="304" t="str">
        <f t="shared" si="2981"/>
        <v/>
      </c>
      <c r="AS1144" s="423" t="str">
        <f t="shared" si="2982"/>
        <v/>
      </c>
      <c r="AT1144" s="304" t="str">
        <f t="shared" si="2983"/>
        <v/>
      </c>
      <c r="AU1144" s="342" t="e">
        <f t="shared" si="2984"/>
        <v>#N/A</v>
      </c>
      <c r="AV1144" s="304" t="e">
        <f t="shared" si="2985"/>
        <v>#N/A</v>
      </c>
      <c r="AX1144" s="304">
        <f>IF(AND('General price list'!$J1144="F4",'General price list'!$AB1144+0&gt;0),1,0)</f>
        <v>0</v>
      </c>
      <c r="AY1144" s="304">
        <f t="shared" si="2986"/>
        <v>0</v>
      </c>
      <c r="AZ1144" s="304">
        <f t="shared" si="2987"/>
        <v>0</v>
      </c>
    </row>
    <row r="1145" spans="1:52" ht="15" customHeight="1">
      <c r="A1145" s="712"/>
      <c r="B1145" s="745">
        <f>IF(AND('General price list'!$J1145="F4",$AI$1=FALSE),0,IF(AC1145="SKLADEM",1,IF(AC1145=$V$3,1,0)))</f>
        <v>1</v>
      </c>
      <c r="C1145" s="714" t="s">
        <v>12051</v>
      </c>
      <c r="D1145" s="715" t="s">
        <v>14646</v>
      </c>
      <c r="E1145" s="716" t="s">
        <v>136</v>
      </c>
      <c r="F1145" s="712">
        <f>IFERROR(ROUND(IF($AL$3=2,VLOOKUP(C1145,[2]List1!$A:$D,2,FALSE)*1.08,VLOOKUP(C1145,[2]List1!$A:$D,2,FALSE)),0),"NEUVEDENO!")</f>
        <v>295</v>
      </c>
      <c r="G1145" s="717">
        <f t="shared" si="2966"/>
        <v>295</v>
      </c>
      <c r="H1145" s="718">
        <f t="shared" si="2967"/>
        <v>11.987532965715657</v>
      </c>
      <c r="I1145" s="746">
        <v>1</v>
      </c>
      <c r="J1145" s="716"/>
      <c r="K1145" s="716"/>
      <c r="L1145" s="716" t="s">
        <v>14464</v>
      </c>
      <c r="M1145" s="716"/>
      <c r="N1145" s="716" t="str">
        <f>IFERROR(VLOOKUP(C1145,[3]List1!$A:$D,4,FALSE),"N/A!")</f>
        <v/>
      </c>
      <c r="O1145" s="716" t="str">
        <f>IFERROR(VLOOKUP(C1145,[3]List1!$A:$D,3,FALSE),"N/A!")</f>
        <v/>
      </c>
      <c r="P1145" s="716">
        <f>IFERROR(VLOOKUP(C1145,[3]List1!$A:$D,2,FALSE),"N/A!")</f>
        <v>1500</v>
      </c>
      <c r="Q1145" s="716"/>
      <c r="R1145" s="716"/>
      <c r="S1145" s="716"/>
      <c r="T1145" s="716"/>
      <c r="U1145" s="716"/>
      <c r="V1145" s="716"/>
      <c r="W1145" s="716" t="str">
        <f>IFERROR(VLOOKUP('General price list'!$C1145,Popisy!A:P,MATCH($W$17,Popisy!$A$7:$P$7,0),FALSE),"---------------")</f>
        <v>Kartonová krabice s designem výrobku</v>
      </c>
      <c r="X1145" s="716" t="str">
        <f t="shared" si="2968"/>
        <v/>
      </c>
      <c r="Y1145" s="716" t="str">
        <f t="shared" si="2969"/>
        <v/>
      </c>
      <c r="Z1145" s="716"/>
      <c r="AA1145" s="716" t="str">
        <f>IFERROR(IF(VLOOKUP(C1145,[4]List1!$A:$D,4,FALSE)=0,"",VLOOKUP(C1145,[4]List1!$A:$D,4,FALSE)),"")</f>
        <v/>
      </c>
      <c r="AB1145" s="720"/>
      <c r="AC1145" s="747" t="str">
        <f>IFERROR(IF(VLOOKUP(C1145,[1]List1!$A:$D,2,FALSE)="VYPRODÁNO",$V$9,IF(VLOOKUP(C1145,[1]List1!$A:$D,2,FALSE)="DOCHÁZÍ",$V$3,VLOOKUP(C1145,[1]List1!$A:$D,2,FALSE))),"OFFLINE!")</f>
        <v>SKLADEM</v>
      </c>
      <c r="AD1145" s="748" t="str">
        <f ca="1">IF(AP1145="NE",$V$10,IF(AC1145=$V$3,IF(AQ1145&lt;1,$V$8,$V$2&amp;" "&amp;AQ1145&amp;" "&amp;$V$1),IF(AC1145="SKLADEM",$V$6,IFERROR(IF(OR(AC1145-TODAY()&gt;45,VLOOKUP(C1145,[1]List1!$A:$E,4,FALSE)=0),AC1145,DAY(AC1145)&amp;"."&amp;MONTH(AC1145)&amp;"."&amp;YEAR(AC1145)&amp;" "&amp;$V$4&amp;VLOOKUP(C1145,[1]List1!$A:$E,4,FALSE)&amp;" "&amp;$V$1),AC1145))))</f>
        <v>SKLADEM</v>
      </c>
      <c r="AE1145" s="716" t="str">
        <f t="shared" ca="1" si="2970"/>
        <v>SKLADEM</v>
      </c>
      <c r="AF1145" s="723">
        <f t="shared" si="2971"/>
        <v>0</v>
      </c>
      <c r="AG1145" s="723">
        <f t="shared" si="2972"/>
        <v>0</v>
      </c>
      <c r="AH1145" s="724">
        <f t="shared" si="2973"/>
        <v>0</v>
      </c>
      <c r="AI1145" s="716">
        <f t="shared" si="2974"/>
        <v>0</v>
      </c>
      <c r="AJ1145" s="716">
        <f t="shared" si="2975"/>
        <v>0</v>
      </c>
      <c r="AK1145" s="716" t="str">
        <f t="shared" si="2976"/>
        <v/>
      </c>
      <c r="AL1145" s="716" t="str">
        <f t="shared" si="2977"/>
        <v/>
      </c>
      <c r="AM1145" s="716" t="str">
        <f t="shared" si="2978"/>
        <v/>
      </c>
      <c r="AN1145" s="716">
        <f t="shared" si="2979"/>
        <v>0</v>
      </c>
      <c r="AO1145" s="380"/>
      <c r="AP1145" s="322" t="str">
        <f t="shared" si="2980"/>
        <v/>
      </c>
      <c r="AQ1145" s="323" t="str">
        <f>IF(AC1145=$V$3,IF(VLOOKUP(C1145,[1]List1!$A:$E,5,FALSE)=0,1,VLOOKUP(C1145,[1]List1!$A:$E,5,FALSE)),"")</f>
        <v/>
      </c>
      <c r="AR1145" s="304" t="str">
        <f t="shared" si="2981"/>
        <v/>
      </c>
      <c r="AS1145" s="423" t="str">
        <f t="shared" si="2982"/>
        <v/>
      </c>
      <c r="AT1145" s="304" t="str">
        <f t="shared" si="2983"/>
        <v/>
      </c>
      <c r="AU1145" s="342" t="e">
        <f t="shared" si="2984"/>
        <v>#N/A</v>
      </c>
      <c r="AV1145" s="304" t="e">
        <f t="shared" si="2985"/>
        <v>#N/A</v>
      </c>
      <c r="AX1145" s="304">
        <f>IF(AND('General price list'!$J1145="F4",'General price list'!$AB1145+0&gt;0),1,0)</f>
        <v>0</v>
      </c>
      <c r="AY1145" s="304">
        <f t="shared" si="2986"/>
        <v>0</v>
      </c>
      <c r="AZ1145" s="304">
        <f t="shared" si="2987"/>
        <v>0</v>
      </c>
    </row>
    <row r="1146" spans="1:52" ht="15" customHeight="1">
      <c r="A1146" s="725"/>
      <c r="B1146" s="749">
        <f>IF(AND('General price list'!$J1146="F4",$AI$1=FALSE),0,IF(AC1146="SKLADEM",1,IF(AC1146=$V$3,1,0)))</f>
        <v>1</v>
      </c>
      <c r="C1146" s="727" t="s">
        <v>12053</v>
      </c>
      <c r="D1146" s="728" t="s">
        <v>14647</v>
      </c>
      <c r="E1146" s="729" t="s">
        <v>136</v>
      </c>
      <c r="F1146" s="725">
        <f>IFERROR(ROUND(IF($AL$3=2,VLOOKUP(C1146,[2]List1!$A:$D,2,FALSE)*1.08,VLOOKUP(C1146,[2]List1!$A:$D,2,FALSE)),0),"NEUVEDENO!")</f>
        <v>237</v>
      </c>
      <c r="G1146" s="730">
        <f t="shared" si="2966"/>
        <v>237</v>
      </c>
      <c r="H1146" s="731">
        <f t="shared" si="2967"/>
        <v>9.6306620775410536</v>
      </c>
      <c r="I1146" s="750">
        <v>1</v>
      </c>
      <c r="J1146" s="729"/>
      <c r="K1146" s="729"/>
      <c r="L1146" s="729" t="s">
        <v>14464</v>
      </c>
      <c r="M1146" s="729"/>
      <c r="N1146" s="729" t="str">
        <f>IFERROR(VLOOKUP(C1146,[3]List1!$A:$D,4,FALSE),"N/A!")</f>
        <v/>
      </c>
      <c r="O1146" s="729" t="str">
        <f>IFERROR(VLOOKUP(C1146,[3]List1!$A:$D,3,FALSE),"N/A!")</f>
        <v/>
      </c>
      <c r="P1146" s="729">
        <f>IFERROR(VLOOKUP(C1146,[3]List1!$A:$D,2,FALSE),"N/A!")</f>
        <v>1500</v>
      </c>
      <c r="Q1146" s="729"/>
      <c r="R1146" s="729"/>
      <c r="S1146" s="729"/>
      <c r="T1146" s="729"/>
      <c r="U1146" s="729"/>
      <c r="V1146" s="729"/>
      <c r="W1146" s="729" t="str">
        <f>IFERROR(VLOOKUP('General price list'!$C1146,Popisy!A:P,MATCH($W$17,Popisy!$A$7:$P$7,0),FALSE),"---------------")</f>
        <v>Kartonová krabice s designem výrobku</v>
      </c>
      <c r="X1146" s="729" t="str">
        <f t="shared" si="2968"/>
        <v/>
      </c>
      <c r="Y1146" s="729" t="str">
        <f t="shared" si="2969"/>
        <v/>
      </c>
      <c r="Z1146" s="729"/>
      <c r="AA1146" s="729" t="str">
        <f>IFERROR(IF(VLOOKUP(C1146,[4]List1!$A:$D,4,FALSE)=0,"",VLOOKUP(C1146,[4]List1!$A:$D,4,FALSE)),"")</f>
        <v/>
      </c>
      <c r="AB1146" s="720"/>
      <c r="AC1146" s="751" t="str">
        <f>IFERROR(IF(VLOOKUP(C1146,[1]List1!$A:$D,2,FALSE)="VYPRODÁNO",$V$9,IF(VLOOKUP(C1146,[1]List1!$A:$D,2,FALSE)="DOCHÁZÍ",$V$3,VLOOKUP(C1146,[1]List1!$A:$D,2,FALSE))),"OFFLINE!")</f>
        <v>SKLADEM</v>
      </c>
      <c r="AD1146" s="752" t="str">
        <f ca="1">IF(AP1146="NE",$V$10,IF(AC1146=$V$3,IF(AQ1146&lt;1,$V$8,$V$2&amp;" "&amp;AQ1146&amp;" "&amp;$V$1),IF(AC1146="SKLADEM",$V$6,IFERROR(IF(OR(AC1146-TODAY()&gt;45,VLOOKUP(C1146,[1]List1!$A:$E,4,FALSE)=0),AC1146,DAY(AC1146)&amp;"."&amp;MONTH(AC1146)&amp;"."&amp;YEAR(AC1146)&amp;" "&amp;$V$4&amp;VLOOKUP(C1146,[1]List1!$A:$E,4,FALSE)&amp;" "&amp;$V$1),AC1146))))</f>
        <v>SKLADEM</v>
      </c>
      <c r="AE1146" s="729" t="str">
        <f t="shared" ca="1" si="2970"/>
        <v>SKLADEM</v>
      </c>
      <c r="AF1146" s="735">
        <f t="shared" si="2971"/>
        <v>0</v>
      </c>
      <c r="AG1146" s="735">
        <f t="shared" si="2972"/>
        <v>0</v>
      </c>
      <c r="AH1146" s="736">
        <f t="shared" si="2973"/>
        <v>0</v>
      </c>
      <c r="AI1146" s="729">
        <f t="shared" si="2974"/>
        <v>0</v>
      </c>
      <c r="AJ1146" s="729">
        <f t="shared" si="2975"/>
        <v>0</v>
      </c>
      <c r="AK1146" s="729" t="str">
        <f t="shared" si="2976"/>
        <v/>
      </c>
      <c r="AL1146" s="729" t="str">
        <f t="shared" si="2977"/>
        <v/>
      </c>
      <c r="AM1146" s="729" t="str">
        <f t="shared" si="2978"/>
        <v/>
      </c>
      <c r="AN1146" s="729">
        <f t="shared" si="2979"/>
        <v>0</v>
      </c>
      <c r="AO1146" s="380"/>
      <c r="AP1146" s="322" t="str">
        <f t="shared" si="2980"/>
        <v/>
      </c>
      <c r="AQ1146" s="323" t="str">
        <f>IF(AC1146=$V$3,IF(VLOOKUP(C1146,[1]List1!$A:$E,5,FALSE)=0,1,VLOOKUP(C1146,[1]List1!$A:$E,5,FALSE)),"")</f>
        <v/>
      </c>
      <c r="AR1146" s="304" t="str">
        <f t="shared" si="2981"/>
        <v/>
      </c>
      <c r="AS1146" s="423" t="str">
        <f t="shared" si="2982"/>
        <v/>
      </c>
      <c r="AT1146" s="304" t="str">
        <f t="shared" si="2983"/>
        <v/>
      </c>
      <c r="AU1146" s="342" t="e">
        <f t="shared" si="2984"/>
        <v>#N/A</v>
      </c>
      <c r="AV1146" s="304" t="e">
        <f t="shared" si="2985"/>
        <v>#N/A</v>
      </c>
      <c r="AX1146" s="304">
        <f>IF(AND('General price list'!$J1146="F4",'General price list'!$AB1146+0&gt;0),1,0)</f>
        <v>0</v>
      </c>
      <c r="AY1146" s="304">
        <f t="shared" si="2986"/>
        <v>0</v>
      </c>
      <c r="AZ1146" s="304">
        <f t="shared" si="2987"/>
        <v>0</v>
      </c>
    </row>
    <row r="1147" spans="1:52" ht="15" customHeight="1">
      <c r="A1147" s="712"/>
      <c r="B1147" s="745">
        <f>IF(AND('General price list'!$J1147="F4",$AI$1=FALSE),0,IF(AC1147="SKLADEM",1,IF(AC1147=$V$3,1,0)))</f>
        <v>1</v>
      </c>
      <c r="C1147" s="714" t="s">
        <v>12343</v>
      </c>
      <c r="D1147" s="715" t="s">
        <v>14648</v>
      </c>
      <c r="E1147" s="716" t="s">
        <v>136</v>
      </c>
      <c r="F1147" s="712">
        <f>IFERROR(ROUND(IF($AL$3=2,VLOOKUP(C1147,[2]List1!$A:$D,2,FALSE)*1.08,VLOOKUP(C1147,[2]List1!$A:$D,2,FALSE)),0),"NEUVEDENO!")</f>
        <v>237</v>
      </c>
      <c r="G1147" s="717">
        <f t="shared" si="2966"/>
        <v>237</v>
      </c>
      <c r="H1147" s="718">
        <f t="shared" si="2967"/>
        <v>9.6306620775410536</v>
      </c>
      <c r="I1147" s="746">
        <v>1</v>
      </c>
      <c r="J1147" s="716"/>
      <c r="K1147" s="716"/>
      <c r="L1147" s="716" t="s">
        <v>14464</v>
      </c>
      <c r="M1147" s="716"/>
      <c r="N1147" s="716" t="str">
        <f>IFERROR(VLOOKUP(C1147,[3]List1!$A:$D,4,FALSE),"N/A!")</f>
        <v/>
      </c>
      <c r="O1147" s="716" t="str">
        <f>IFERROR(VLOOKUP(C1147,[3]List1!$A:$D,3,FALSE),"N/A!")</f>
        <v/>
      </c>
      <c r="P1147" s="716">
        <f>IFERROR(VLOOKUP(C1147,[3]List1!$A:$D,2,FALSE),"N/A!")</f>
        <v>1500</v>
      </c>
      <c r="Q1147" s="716"/>
      <c r="R1147" s="716"/>
      <c r="S1147" s="716"/>
      <c r="T1147" s="716"/>
      <c r="U1147" s="716"/>
      <c r="V1147" s="716"/>
      <c r="W1147" s="716" t="str">
        <f>IFERROR(VLOOKUP('General price list'!$C1147,Popisy!A:P,MATCH($W$17,Popisy!$A$7:$P$7,0),FALSE),"---------------")</f>
        <v>Kartonová krabice s designem výrobku</v>
      </c>
      <c r="X1147" s="716" t="str">
        <f t="shared" si="2968"/>
        <v/>
      </c>
      <c r="Y1147" s="716" t="str">
        <f t="shared" si="2969"/>
        <v/>
      </c>
      <c r="Z1147" s="716"/>
      <c r="AA1147" s="716" t="str">
        <f>IFERROR(IF(VLOOKUP(C1147,[4]List1!$A:$D,4,FALSE)=0,"",VLOOKUP(C1147,[4]List1!$A:$D,4,FALSE)),"")</f>
        <v/>
      </c>
      <c r="AB1147" s="720"/>
      <c r="AC1147" s="747" t="str">
        <f>IFERROR(IF(VLOOKUP(C1147,[1]List1!$A:$D,2,FALSE)="VYPRODÁNO",$V$9,IF(VLOOKUP(C1147,[1]List1!$A:$D,2,FALSE)="DOCHÁZÍ",$V$3,VLOOKUP(C1147,[1]List1!$A:$D,2,FALSE))),"OFFLINE!")</f>
        <v>SKLADEM</v>
      </c>
      <c r="AD1147" s="748" t="str">
        <f ca="1">IF(AP1147="NE",$V$10,IF(AC1147=$V$3,IF(AQ1147&lt;1,$V$8,$V$2&amp;" "&amp;AQ1147&amp;" "&amp;$V$1),IF(AC1147="SKLADEM",$V$6,IFERROR(IF(OR(AC1147-TODAY()&gt;45,VLOOKUP(C1147,[1]List1!$A:$E,4,FALSE)=0),AC1147,DAY(AC1147)&amp;"."&amp;MONTH(AC1147)&amp;"."&amp;YEAR(AC1147)&amp;" "&amp;$V$4&amp;VLOOKUP(C1147,[1]List1!$A:$E,4,FALSE)&amp;" "&amp;$V$1),AC1147))))</f>
        <v>SKLADEM</v>
      </c>
      <c r="AE1147" s="716" t="str">
        <f t="shared" ca="1" si="2970"/>
        <v>SKLADEM</v>
      </c>
      <c r="AF1147" s="723">
        <f t="shared" si="2971"/>
        <v>0</v>
      </c>
      <c r="AG1147" s="723">
        <f t="shared" si="2972"/>
        <v>0</v>
      </c>
      <c r="AH1147" s="724">
        <f t="shared" si="2973"/>
        <v>0</v>
      </c>
      <c r="AI1147" s="716">
        <f t="shared" si="2974"/>
        <v>0</v>
      </c>
      <c r="AJ1147" s="716">
        <f t="shared" si="2975"/>
        <v>0</v>
      </c>
      <c r="AK1147" s="716" t="str">
        <f t="shared" si="2976"/>
        <v/>
      </c>
      <c r="AL1147" s="716" t="str">
        <f t="shared" si="2977"/>
        <v/>
      </c>
      <c r="AM1147" s="716" t="str">
        <f t="shared" si="2978"/>
        <v/>
      </c>
      <c r="AN1147" s="716">
        <f t="shared" si="2979"/>
        <v>0</v>
      </c>
      <c r="AO1147" s="380"/>
      <c r="AP1147" s="322" t="str">
        <f t="shared" si="2980"/>
        <v/>
      </c>
      <c r="AQ1147" s="323" t="str">
        <f>IF(AC1147=$V$3,IF(VLOOKUP(C1147,[1]List1!$A:$E,5,FALSE)=0,1,VLOOKUP(C1147,[1]List1!$A:$E,5,FALSE)),"")</f>
        <v/>
      </c>
      <c r="AR1147" s="304" t="str">
        <f t="shared" si="2981"/>
        <v/>
      </c>
      <c r="AS1147" s="423" t="str">
        <f t="shared" si="2982"/>
        <v/>
      </c>
      <c r="AT1147" s="304" t="str">
        <f t="shared" si="2983"/>
        <v/>
      </c>
      <c r="AU1147" s="342" t="e">
        <f t="shared" si="2984"/>
        <v>#N/A</v>
      </c>
      <c r="AV1147" s="304" t="e">
        <f t="shared" si="2985"/>
        <v>#N/A</v>
      </c>
      <c r="AX1147" s="304">
        <f>IF(AND('General price list'!$J1147="F4",'General price list'!$AB1147+0&gt;0),1,0)</f>
        <v>0</v>
      </c>
      <c r="AY1147" s="304">
        <f t="shared" si="2986"/>
        <v>0</v>
      </c>
      <c r="AZ1147" s="304">
        <f t="shared" si="2987"/>
        <v>0</v>
      </c>
    </row>
    <row r="1148" spans="1:52" ht="15" customHeight="1">
      <c r="A1148" s="725"/>
      <c r="B1148" s="749">
        <f>IF(AND('General price list'!$J1148="F4",$AI$1=FALSE),0,IF(AC1148="SKLADEM",1,IF(AC1148=$V$3,1,0)))</f>
        <v>1</v>
      </c>
      <c r="C1148" s="727" t="s">
        <v>12054</v>
      </c>
      <c r="D1148" s="728" t="s">
        <v>1723</v>
      </c>
      <c r="E1148" s="729" t="s">
        <v>136</v>
      </c>
      <c r="F1148" s="725">
        <f>IFERROR(ROUND(IF($AL$3=2,VLOOKUP(C1148,[2]List1!$A:$D,2,FALSE)*1.08,VLOOKUP(C1148,[2]List1!$A:$D,2,FALSE)),0),"NEUVEDENO!")</f>
        <v>555</v>
      </c>
      <c r="G1148" s="730">
        <f t="shared" si="2966"/>
        <v>555</v>
      </c>
      <c r="H1148" s="731">
        <f t="shared" si="2967"/>
        <v>22.552816257532847</v>
      </c>
      <c r="I1148" s="750">
        <v>1</v>
      </c>
      <c r="J1148" s="729"/>
      <c r="K1148" s="729"/>
      <c r="L1148" s="729" t="s">
        <v>14464</v>
      </c>
      <c r="M1148" s="729"/>
      <c r="N1148" s="729" t="str">
        <f>IFERROR(VLOOKUP(C1148,[3]List1!$A:$D,4,FALSE),"N/A!")</f>
        <v/>
      </c>
      <c r="O1148" s="729" t="str">
        <f>IFERROR(VLOOKUP(C1148,[3]List1!$A:$D,3,FALSE),"N/A!")</f>
        <v/>
      </c>
      <c r="P1148" s="729">
        <f>IFERROR(VLOOKUP(C1148,[3]List1!$A:$D,2,FALSE),"N/A!")</f>
        <v>1500</v>
      </c>
      <c r="Q1148" s="729"/>
      <c r="R1148" s="729"/>
      <c r="S1148" s="729"/>
      <c r="T1148" s="729"/>
      <c r="U1148" s="729" t="s">
        <v>24</v>
      </c>
      <c r="V1148" s="729" t="s">
        <v>24</v>
      </c>
      <c r="W1148" s="729" t="str">
        <f>IFERROR(VLOOKUP('General price list'!$C1148,Popisy!A:P,MATCH($W$17,Popisy!$A$7:$P$7,0),FALSE),"---------------")</f>
        <v>Kartonová krabice s designem výrobku</v>
      </c>
      <c r="X1148" s="729" t="str">
        <f t="shared" si="2968"/>
        <v/>
      </c>
      <c r="Y1148" s="729" t="str">
        <f t="shared" si="2969"/>
        <v/>
      </c>
      <c r="Z1148" s="729"/>
      <c r="AA1148" s="729" t="str">
        <f>IFERROR(IF(VLOOKUP(C1148,[4]List1!$A:$D,4,FALSE)=0,"",VLOOKUP(C1148,[4]List1!$A:$D,4,FALSE)),"")</f>
        <v/>
      </c>
      <c r="AB1148" s="720"/>
      <c r="AC1148" s="751" t="str">
        <f>IFERROR(IF(VLOOKUP(C1148,[1]List1!$A:$D,2,FALSE)="VYPRODÁNO",$V$9,IF(VLOOKUP(C1148,[1]List1!$A:$D,2,FALSE)="DOCHÁZÍ",$V$3,VLOOKUP(C1148,[1]List1!$A:$D,2,FALSE))),"OFFLINE!")</f>
        <v>SKLADEM</v>
      </c>
      <c r="AD1148" s="752" t="str">
        <f ca="1">IF(AP1148="NE",$V$10,IF(AC1148=$V$3,IF(AQ1148&lt;1,$V$8,$V$2&amp;" "&amp;AQ1148&amp;" "&amp;$V$1),IF(AC1148="SKLADEM",$V$6,IFERROR(IF(OR(AC1148-TODAY()&gt;45,VLOOKUP(C1148,[1]List1!$A:$E,4,FALSE)=0),AC1148,DAY(AC1148)&amp;"."&amp;MONTH(AC1148)&amp;"."&amp;YEAR(AC1148)&amp;" "&amp;$V$4&amp;VLOOKUP(C1148,[1]List1!$A:$E,4,FALSE)&amp;" "&amp;$V$1),AC1148))))</f>
        <v>SKLADEM</v>
      </c>
      <c r="AE1148" s="729" t="str">
        <f t="shared" ca="1" si="2970"/>
        <v>SKLADEM</v>
      </c>
      <c r="AF1148" s="735">
        <f t="shared" si="2971"/>
        <v>0</v>
      </c>
      <c r="AG1148" s="735">
        <f t="shared" si="2972"/>
        <v>0</v>
      </c>
      <c r="AH1148" s="736">
        <f t="shared" si="2973"/>
        <v>0</v>
      </c>
      <c r="AI1148" s="729">
        <f t="shared" si="2974"/>
        <v>0</v>
      </c>
      <c r="AJ1148" s="729">
        <f t="shared" si="2975"/>
        <v>0</v>
      </c>
      <c r="AK1148" s="729" t="str">
        <f t="shared" si="2976"/>
        <v/>
      </c>
      <c r="AL1148" s="729" t="str">
        <f t="shared" si="2977"/>
        <v/>
      </c>
      <c r="AM1148" s="729" t="str">
        <f t="shared" si="2978"/>
        <v/>
      </c>
      <c r="AN1148" s="729">
        <f t="shared" si="2979"/>
        <v>0</v>
      </c>
      <c r="AO1148" s="380"/>
      <c r="AP1148" s="322" t="str">
        <f t="shared" si="2980"/>
        <v/>
      </c>
      <c r="AQ1148" s="323" t="str">
        <f>IF(AC1148=$V$3,IF(VLOOKUP(C1148,[1]List1!$A:$E,5,FALSE)=0,1,VLOOKUP(C1148,[1]List1!$A:$E,5,FALSE)),"")</f>
        <v/>
      </c>
      <c r="AR1148" s="304" t="str">
        <f t="shared" si="2981"/>
        <v/>
      </c>
      <c r="AS1148" s="423" t="str">
        <f t="shared" si="2982"/>
        <v/>
      </c>
      <c r="AT1148" s="304" t="str">
        <f t="shared" si="2983"/>
        <v/>
      </c>
      <c r="AU1148" s="342" t="e">
        <f t="shared" si="2984"/>
        <v>#N/A</v>
      </c>
      <c r="AV1148" s="304" t="e">
        <f t="shared" si="2985"/>
        <v>#N/A</v>
      </c>
      <c r="AX1148" s="304">
        <f>IF(AND('General price list'!$J1148="F4",'General price list'!$AB1148+0&gt;0),1,0)</f>
        <v>0</v>
      </c>
      <c r="AY1148" s="304">
        <f t="shared" si="2986"/>
        <v>0</v>
      </c>
      <c r="AZ1148" s="304">
        <f t="shared" si="2987"/>
        <v>0</v>
      </c>
    </row>
    <row r="1149" spans="1:52" ht="15" customHeight="1">
      <c r="A1149" s="712"/>
      <c r="B1149" s="745">
        <f>IF(AND('General price list'!$J1149="F4",$AI$1=FALSE),0,IF(AC1149="SKLADEM",1,IF(AC1149=$V$3,1,0)))</f>
        <v>1</v>
      </c>
      <c r="C1149" s="714" t="s">
        <v>12055</v>
      </c>
      <c r="D1149" s="715" t="s">
        <v>14649</v>
      </c>
      <c r="E1149" s="716" t="s">
        <v>136</v>
      </c>
      <c r="F1149" s="712">
        <f>IFERROR(ROUND(IF($AL$3=2,VLOOKUP(C1149,[2]List1!$A:$D,2,FALSE)*1.08,VLOOKUP(C1149,[2]List1!$A:$D,2,FALSE)),0),"NEUVEDENO!")</f>
        <v>168</v>
      </c>
      <c r="G1149" s="717">
        <f t="shared" si="2966"/>
        <v>168</v>
      </c>
      <c r="H1149" s="718">
        <f t="shared" si="2967"/>
        <v>6.8267984347126447</v>
      </c>
      <c r="I1149" s="746">
        <v>1</v>
      </c>
      <c r="J1149" s="716"/>
      <c r="K1149" s="716"/>
      <c r="L1149" s="716" t="s">
        <v>14464</v>
      </c>
      <c r="M1149" s="716"/>
      <c r="N1149" s="716" t="str">
        <f>IFERROR(VLOOKUP(C1149,[3]List1!$A:$D,4,FALSE),"N/A!")</f>
        <v/>
      </c>
      <c r="O1149" s="716" t="str">
        <f>IFERROR(VLOOKUP(C1149,[3]List1!$A:$D,3,FALSE),"N/A!")</f>
        <v/>
      </c>
      <c r="P1149" s="716">
        <f>IFERROR(VLOOKUP(C1149,[3]List1!$A:$D,2,FALSE),"N/A!")</f>
        <v>1500</v>
      </c>
      <c r="Q1149" s="716"/>
      <c r="R1149" s="716"/>
      <c r="S1149" s="716"/>
      <c r="T1149" s="716"/>
      <c r="U1149" s="716"/>
      <c r="V1149" s="716"/>
      <c r="W1149" s="716" t="str">
        <f>IFERROR(VLOOKUP('General price list'!$C1149,Popisy!A:P,MATCH($W$17,Popisy!$A$7:$P$7,0),FALSE),"---------------")</f>
        <v>Kartonová krabice s designem výrobku</v>
      </c>
      <c r="X1149" s="716" t="str">
        <f t="shared" si="2968"/>
        <v/>
      </c>
      <c r="Y1149" s="716" t="str">
        <f t="shared" si="2969"/>
        <v/>
      </c>
      <c r="Z1149" s="716"/>
      <c r="AA1149" s="716" t="str">
        <f>IFERROR(IF(VLOOKUP(C1149,[4]List1!$A:$D,4,FALSE)=0,"",VLOOKUP(C1149,[4]List1!$A:$D,4,FALSE)),"")</f>
        <v/>
      </c>
      <c r="AB1149" s="720"/>
      <c r="AC1149" s="747" t="str">
        <f>IFERROR(IF(VLOOKUP(C1149,[1]List1!$A:$D,2,FALSE)="VYPRODÁNO",$V$9,IF(VLOOKUP(C1149,[1]List1!$A:$D,2,FALSE)="DOCHÁZÍ",$V$3,VLOOKUP(C1149,[1]List1!$A:$D,2,FALSE))),"OFFLINE!")</f>
        <v>SKLADEM</v>
      </c>
      <c r="AD1149" s="748" t="str">
        <f ca="1">IF(AP1149="NE",$V$10,IF(AC1149=$V$3,IF(AQ1149&lt;1,$V$8,$V$2&amp;" "&amp;AQ1149&amp;" "&amp;$V$1),IF(AC1149="SKLADEM",$V$6,IFERROR(IF(OR(AC1149-TODAY()&gt;45,VLOOKUP(C1149,[1]List1!$A:$E,4,FALSE)=0),AC1149,DAY(AC1149)&amp;"."&amp;MONTH(AC1149)&amp;"."&amp;YEAR(AC1149)&amp;" "&amp;$V$4&amp;VLOOKUP(C1149,[1]List1!$A:$E,4,FALSE)&amp;" "&amp;$V$1),AC1149))))</f>
        <v>SKLADEM</v>
      </c>
      <c r="AE1149" s="716" t="str">
        <f t="shared" ca="1" si="2970"/>
        <v>SKLADEM</v>
      </c>
      <c r="AF1149" s="723">
        <f t="shared" si="2971"/>
        <v>0</v>
      </c>
      <c r="AG1149" s="723">
        <f t="shared" si="2972"/>
        <v>0</v>
      </c>
      <c r="AH1149" s="724">
        <f t="shared" si="2973"/>
        <v>0</v>
      </c>
      <c r="AI1149" s="716">
        <f t="shared" si="2974"/>
        <v>0</v>
      </c>
      <c r="AJ1149" s="716">
        <f t="shared" si="2975"/>
        <v>0</v>
      </c>
      <c r="AK1149" s="716" t="str">
        <f t="shared" si="2976"/>
        <v/>
      </c>
      <c r="AL1149" s="716" t="str">
        <f t="shared" si="2977"/>
        <v/>
      </c>
      <c r="AM1149" s="716" t="str">
        <f t="shared" si="2978"/>
        <v/>
      </c>
      <c r="AN1149" s="716">
        <f t="shared" si="2979"/>
        <v>0</v>
      </c>
      <c r="AO1149" s="380"/>
      <c r="AP1149" s="322" t="str">
        <f t="shared" si="2980"/>
        <v/>
      </c>
      <c r="AQ1149" s="323" t="str">
        <f>IF(AC1149=$V$3,IF(VLOOKUP(C1149,[1]List1!$A:$E,5,FALSE)=0,1,VLOOKUP(C1149,[1]List1!$A:$E,5,FALSE)),"")</f>
        <v/>
      </c>
      <c r="AR1149" s="304" t="str">
        <f t="shared" si="2981"/>
        <v/>
      </c>
      <c r="AS1149" s="423" t="str">
        <f t="shared" si="2982"/>
        <v/>
      </c>
      <c r="AT1149" s="304" t="str">
        <f t="shared" si="2983"/>
        <v/>
      </c>
      <c r="AU1149" s="342" t="e">
        <f t="shared" si="2984"/>
        <v>#N/A</v>
      </c>
      <c r="AV1149" s="304" t="e">
        <f t="shared" si="2985"/>
        <v>#N/A</v>
      </c>
      <c r="AX1149" s="304">
        <f>IF(AND('General price list'!$J1149="F4",'General price list'!$AB1149+0&gt;0),1,0)</f>
        <v>0</v>
      </c>
      <c r="AY1149" s="304">
        <f t="shared" si="2986"/>
        <v>0</v>
      </c>
      <c r="AZ1149" s="304">
        <f t="shared" si="2987"/>
        <v>0</v>
      </c>
    </row>
    <row r="1150" spans="1:52" ht="15" customHeight="1">
      <c r="A1150" s="725"/>
      <c r="B1150" s="749">
        <f>IF(AND('General price list'!$J1150="F4",$AI$1=FALSE),0,IF(AC1150="SKLADEM",1,IF(AC1150=$V$3,1,0)))</f>
        <v>1</v>
      </c>
      <c r="C1150" s="727" t="s">
        <v>12344</v>
      </c>
      <c r="D1150" s="728" t="s">
        <v>14650</v>
      </c>
      <c r="E1150" s="729" t="s">
        <v>136</v>
      </c>
      <c r="F1150" s="725">
        <f>IFERROR(ROUND(IF($AL$3=2,VLOOKUP(C1150,[2]List1!$A:$D,2,FALSE)*1.08,VLOOKUP(C1150,[2]List1!$A:$D,2,FALSE)),0),"NEUVEDENO!")</f>
        <v>153</v>
      </c>
      <c r="G1150" s="730">
        <f t="shared" si="2966"/>
        <v>153</v>
      </c>
      <c r="H1150" s="731">
        <f t="shared" si="2967"/>
        <v>6.2172628601847304</v>
      </c>
      <c r="I1150" s="750">
        <v>1</v>
      </c>
      <c r="J1150" s="729"/>
      <c r="K1150" s="729"/>
      <c r="L1150" s="729" t="s">
        <v>14464</v>
      </c>
      <c r="M1150" s="729"/>
      <c r="N1150" s="729" t="str">
        <f>IFERROR(VLOOKUP(C1150,[3]List1!$A:$D,4,FALSE),"N/A!")</f>
        <v/>
      </c>
      <c r="O1150" s="729" t="str">
        <f>IFERROR(VLOOKUP(C1150,[3]List1!$A:$D,3,FALSE),"N/A!")</f>
        <v/>
      </c>
      <c r="P1150" s="729">
        <f>IFERROR(VLOOKUP(C1150,[3]List1!$A:$D,2,FALSE),"N/A!")</f>
        <v>1500</v>
      </c>
      <c r="Q1150" s="729"/>
      <c r="R1150" s="729"/>
      <c r="S1150" s="729"/>
      <c r="T1150" s="729"/>
      <c r="U1150" s="729"/>
      <c r="V1150" s="729"/>
      <c r="W1150" s="729" t="str">
        <f>IFERROR(VLOOKUP('General price list'!$C1150,Popisy!A:P,MATCH($W$17,Popisy!$A$7:$P$7,0),FALSE),"---------------")</f>
        <v>Kartonová krabice s designem výrobku</v>
      </c>
      <c r="X1150" s="729" t="str">
        <f t="shared" si="2968"/>
        <v/>
      </c>
      <c r="Y1150" s="729" t="str">
        <f t="shared" si="2969"/>
        <v/>
      </c>
      <c r="Z1150" s="729"/>
      <c r="AA1150" s="729" t="str">
        <f>IFERROR(IF(VLOOKUP(C1150,[4]List1!$A:$D,4,FALSE)=0,"",VLOOKUP(C1150,[4]List1!$A:$D,4,FALSE)),"")</f>
        <v/>
      </c>
      <c r="AB1150" s="720"/>
      <c r="AC1150" s="751" t="str">
        <f>IFERROR(IF(VLOOKUP(C1150,[1]List1!$A:$D,2,FALSE)="VYPRODÁNO",$V$9,IF(VLOOKUP(C1150,[1]List1!$A:$D,2,FALSE)="DOCHÁZÍ",$V$3,VLOOKUP(C1150,[1]List1!$A:$D,2,FALSE))),"OFFLINE!")</f>
        <v>SKLADEM</v>
      </c>
      <c r="AD1150" s="752" t="str">
        <f ca="1">IF(AP1150="NE",$V$10,IF(AC1150=$V$3,IF(AQ1150&lt;1,$V$8,$V$2&amp;" "&amp;AQ1150&amp;" "&amp;$V$1),IF(AC1150="SKLADEM",$V$6,IFERROR(IF(OR(AC1150-TODAY()&gt;45,VLOOKUP(C1150,[1]List1!$A:$E,4,FALSE)=0),AC1150,DAY(AC1150)&amp;"."&amp;MONTH(AC1150)&amp;"."&amp;YEAR(AC1150)&amp;" "&amp;$V$4&amp;VLOOKUP(C1150,[1]List1!$A:$E,4,FALSE)&amp;" "&amp;$V$1),AC1150))))</f>
        <v>SKLADEM</v>
      </c>
      <c r="AE1150" s="729" t="str">
        <f t="shared" ca="1" si="2970"/>
        <v>SKLADEM</v>
      </c>
      <c r="AF1150" s="735">
        <f t="shared" si="2971"/>
        <v>0</v>
      </c>
      <c r="AG1150" s="735">
        <f t="shared" si="2972"/>
        <v>0</v>
      </c>
      <c r="AH1150" s="736">
        <f t="shared" si="2973"/>
        <v>0</v>
      </c>
      <c r="AI1150" s="729">
        <f t="shared" si="2974"/>
        <v>0</v>
      </c>
      <c r="AJ1150" s="729">
        <f t="shared" si="2975"/>
        <v>0</v>
      </c>
      <c r="AK1150" s="729" t="str">
        <f t="shared" si="2976"/>
        <v/>
      </c>
      <c r="AL1150" s="729" t="str">
        <f t="shared" si="2977"/>
        <v/>
      </c>
      <c r="AM1150" s="729" t="str">
        <f t="shared" si="2978"/>
        <v/>
      </c>
      <c r="AN1150" s="729">
        <f t="shared" si="2979"/>
        <v>0</v>
      </c>
      <c r="AO1150" s="380"/>
      <c r="AP1150" s="322" t="str">
        <f t="shared" si="2980"/>
        <v/>
      </c>
      <c r="AQ1150" s="323" t="str">
        <f>IF(AC1150=$V$3,IF(VLOOKUP(C1150,[1]List1!$A:$E,5,FALSE)=0,1,VLOOKUP(C1150,[1]List1!$A:$E,5,FALSE)),"")</f>
        <v/>
      </c>
      <c r="AR1150" s="304" t="str">
        <f t="shared" si="2981"/>
        <v/>
      </c>
      <c r="AS1150" s="423" t="str">
        <f t="shared" si="2982"/>
        <v/>
      </c>
      <c r="AT1150" s="304" t="str">
        <f t="shared" si="2983"/>
        <v/>
      </c>
      <c r="AU1150" s="342" t="e">
        <f t="shared" si="2984"/>
        <v>#N/A</v>
      </c>
      <c r="AV1150" s="304" t="e">
        <f t="shared" si="2985"/>
        <v>#N/A</v>
      </c>
      <c r="AX1150" s="304">
        <f>IF(AND('General price list'!$J1150="F4",'General price list'!$AB1150+0&gt;0),1,0)</f>
        <v>0</v>
      </c>
      <c r="AY1150" s="304">
        <f t="shared" si="2986"/>
        <v>0</v>
      </c>
      <c r="AZ1150" s="304">
        <f t="shared" si="2987"/>
        <v>0</v>
      </c>
    </row>
    <row r="1151" spans="1:52" ht="15" customHeight="1">
      <c r="A1151" s="712"/>
      <c r="B1151" s="745">
        <f>IF(AND('General price list'!$J1151="F4",$AI$1=FALSE),0,IF(AC1151="SKLADEM",1,IF(AC1151=$V$3,1,0)))</f>
        <v>1</v>
      </c>
      <c r="C1151" s="714" t="s">
        <v>12057</v>
      </c>
      <c r="D1151" s="715" t="s">
        <v>14651</v>
      </c>
      <c r="E1151" s="716" t="s">
        <v>136</v>
      </c>
      <c r="F1151" s="712">
        <f>IFERROR(ROUND(IF($AL$3=2,VLOOKUP(C1151,[2]List1!$A:$D,2,FALSE)*1.08,VLOOKUP(C1151,[2]List1!$A:$D,2,FALSE)),0),"NEUVEDENO!")</f>
        <v>168</v>
      </c>
      <c r="G1151" s="717">
        <f t="shared" si="2966"/>
        <v>168</v>
      </c>
      <c r="H1151" s="718">
        <f t="shared" si="2967"/>
        <v>6.8267984347126447</v>
      </c>
      <c r="I1151" s="746">
        <v>1</v>
      </c>
      <c r="J1151" s="716"/>
      <c r="K1151" s="716"/>
      <c r="L1151" s="716" t="s">
        <v>14464</v>
      </c>
      <c r="M1151" s="716"/>
      <c r="N1151" s="716" t="str">
        <f>IFERROR(VLOOKUP(C1151,[3]List1!$A:$D,4,FALSE),"N/A!")</f>
        <v/>
      </c>
      <c r="O1151" s="716" t="str">
        <f>IFERROR(VLOOKUP(C1151,[3]List1!$A:$D,3,FALSE),"N/A!")</f>
        <v/>
      </c>
      <c r="P1151" s="716">
        <f>IFERROR(VLOOKUP(C1151,[3]List1!$A:$D,2,FALSE),"N/A!")</f>
        <v>1500</v>
      </c>
      <c r="Q1151" s="716"/>
      <c r="R1151" s="716"/>
      <c r="S1151" s="716"/>
      <c r="T1151" s="716"/>
      <c r="U1151" s="716"/>
      <c r="V1151" s="716"/>
      <c r="W1151" s="716" t="str">
        <f>IFERROR(VLOOKUP('General price list'!$C1151,Popisy!A:P,MATCH($W$17,Popisy!$A$7:$P$7,0),FALSE),"---------------")</f>
        <v>Kartonová krabice s designem výrobku</v>
      </c>
      <c r="X1151" s="716" t="str">
        <f t="shared" si="2968"/>
        <v/>
      </c>
      <c r="Y1151" s="716" t="str">
        <f t="shared" si="2969"/>
        <v/>
      </c>
      <c r="Z1151" s="716"/>
      <c r="AA1151" s="716" t="str">
        <f>IFERROR(IF(VLOOKUP(C1151,[4]List1!$A:$D,4,FALSE)=0,"",VLOOKUP(C1151,[4]List1!$A:$D,4,FALSE)),"")</f>
        <v/>
      </c>
      <c r="AB1151" s="720"/>
      <c r="AC1151" s="747" t="str">
        <f>IFERROR(IF(VLOOKUP(C1151,[1]List1!$A:$D,2,FALSE)="VYPRODÁNO",$V$9,IF(VLOOKUP(C1151,[1]List1!$A:$D,2,FALSE)="DOCHÁZÍ",$V$3,VLOOKUP(C1151,[1]List1!$A:$D,2,FALSE))),"OFFLINE!")</f>
        <v>SKLADEM</v>
      </c>
      <c r="AD1151" s="748" t="str">
        <f ca="1">IF(AP1151="NE",$V$10,IF(AC1151=$V$3,IF(AQ1151&lt;1,$V$8,$V$2&amp;" "&amp;AQ1151&amp;" "&amp;$V$1),IF(AC1151="SKLADEM",$V$6,IFERROR(IF(OR(AC1151-TODAY()&gt;45,VLOOKUP(C1151,[1]List1!$A:$E,4,FALSE)=0),AC1151,DAY(AC1151)&amp;"."&amp;MONTH(AC1151)&amp;"."&amp;YEAR(AC1151)&amp;" "&amp;$V$4&amp;VLOOKUP(C1151,[1]List1!$A:$E,4,FALSE)&amp;" "&amp;$V$1),AC1151))))</f>
        <v>SKLADEM</v>
      </c>
      <c r="AE1151" s="716" t="str">
        <f t="shared" ca="1" si="2970"/>
        <v>SKLADEM</v>
      </c>
      <c r="AF1151" s="723">
        <f t="shared" si="2971"/>
        <v>0</v>
      </c>
      <c r="AG1151" s="723">
        <f t="shared" si="2972"/>
        <v>0</v>
      </c>
      <c r="AH1151" s="724">
        <f t="shared" si="2973"/>
        <v>0</v>
      </c>
      <c r="AI1151" s="716">
        <f t="shared" si="2974"/>
        <v>0</v>
      </c>
      <c r="AJ1151" s="716">
        <f t="shared" si="2975"/>
        <v>0</v>
      </c>
      <c r="AK1151" s="716" t="str">
        <f t="shared" si="2976"/>
        <v/>
      </c>
      <c r="AL1151" s="716" t="str">
        <f t="shared" si="2977"/>
        <v/>
      </c>
      <c r="AM1151" s="716" t="str">
        <f t="shared" si="2978"/>
        <v/>
      </c>
      <c r="AN1151" s="716">
        <f t="shared" si="2979"/>
        <v>0</v>
      </c>
      <c r="AO1151" s="380"/>
      <c r="AP1151" s="322" t="str">
        <f t="shared" si="2980"/>
        <v/>
      </c>
      <c r="AQ1151" s="323" t="str">
        <f>IF(AC1151=$V$3,IF(VLOOKUP(C1151,[1]List1!$A:$E,5,FALSE)=0,1,VLOOKUP(C1151,[1]List1!$A:$E,5,FALSE)),"")</f>
        <v/>
      </c>
      <c r="AR1151" s="304" t="str">
        <f t="shared" si="2981"/>
        <v/>
      </c>
      <c r="AS1151" s="423" t="str">
        <f t="shared" si="2982"/>
        <v/>
      </c>
      <c r="AT1151" s="304" t="str">
        <f t="shared" si="2983"/>
        <v/>
      </c>
      <c r="AU1151" s="342" t="e">
        <f t="shared" si="2984"/>
        <v>#N/A</v>
      </c>
      <c r="AV1151" s="304" t="e">
        <f t="shared" si="2985"/>
        <v>#N/A</v>
      </c>
      <c r="AX1151" s="304">
        <f>IF(AND('General price list'!$J1151="F4",'General price list'!$AB1151+0&gt;0),1,0)</f>
        <v>0</v>
      </c>
      <c r="AY1151" s="304">
        <f t="shared" si="2986"/>
        <v>0</v>
      </c>
      <c r="AZ1151" s="304">
        <f t="shared" si="2987"/>
        <v>0</v>
      </c>
    </row>
    <row r="1152" spans="1:52" ht="15" customHeight="1">
      <c r="A1152" s="725"/>
      <c r="B1152" s="749">
        <f>IF(AND('General price list'!$J1152="F4",$AI$1=FALSE),0,IF(AC1152="SKLADEM",1,IF(AC1152=$V$3,1,0)))</f>
        <v>1</v>
      </c>
      <c r="C1152" s="727" t="s">
        <v>12060</v>
      </c>
      <c r="D1152" s="728" t="s">
        <v>14652</v>
      </c>
      <c r="E1152" s="729" t="s">
        <v>136</v>
      </c>
      <c r="F1152" s="725">
        <f>IFERROR(ROUND(IF($AL$3=2,VLOOKUP(C1152,[2]List1!$A:$D,2,FALSE)*1.08,VLOOKUP(C1152,[2]List1!$A:$D,2,FALSE)),0),"NEUVEDENO!")</f>
        <v>391</v>
      </c>
      <c r="G1152" s="730">
        <f t="shared" si="2966"/>
        <v>391</v>
      </c>
      <c r="H1152" s="731">
        <f t="shared" si="2967"/>
        <v>15.88856064269431</v>
      </c>
      <c r="I1152" s="750">
        <v>1</v>
      </c>
      <c r="J1152" s="729"/>
      <c r="K1152" s="729"/>
      <c r="L1152" s="729" t="s">
        <v>14464</v>
      </c>
      <c r="M1152" s="729"/>
      <c r="N1152" s="729" t="str">
        <f>IFERROR(VLOOKUP(C1152,[3]List1!$A:$D,4,FALSE),"N/A!")</f>
        <v/>
      </c>
      <c r="O1152" s="729" t="str">
        <f>IFERROR(VLOOKUP(C1152,[3]List1!$A:$D,3,FALSE),"N/A!")</f>
        <v/>
      </c>
      <c r="P1152" s="729">
        <f>IFERROR(VLOOKUP(C1152,[3]List1!$A:$D,2,FALSE),"N/A!")</f>
        <v>1500</v>
      </c>
      <c r="Q1152" s="729"/>
      <c r="R1152" s="729"/>
      <c r="S1152" s="729"/>
      <c r="T1152" s="729"/>
      <c r="U1152" s="729"/>
      <c r="V1152" s="729"/>
      <c r="W1152" s="729" t="str">
        <f>IFERROR(VLOOKUP('General price list'!$C1152,Popisy!A:P,MATCH($W$17,Popisy!$A$7:$P$7,0),FALSE),"---------------")</f>
        <v>Kartonová krabice s designem výrobku</v>
      </c>
      <c r="X1152" s="729" t="str">
        <f t="shared" si="2968"/>
        <v/>
      </c>
      <c r="Y1152" s="729" t="str">
        <f t="shared" si="2969"/>
        <v/>
      </c>
      <c r="Z1152" s="729"/>
      <c r="AA1152" s="729" t="str">
        <f>IFERROR(IF(VLOOKUP(C1152,[4]List1!$A:$D,4,FALSE)=0,"",VLOOKUP(C1152,[4]List1!$A:$D,4,FALSE)),"")</f>
        <v/>
      </c>
      <c r="AB1152" s="720"/>
      <c r="AC1152" s="751" t="str">
        <f>IFERROR(IF(VLOOKUP(C1152,[1]List1!$A:$D,2,FALSE)="VYPRODÁNO",$V$9,IF(VLOOKUP(C1152,[1]List1!$A:$D,2,FALSE)="DOCHÁZÍ",$V$3,VLOOKUP(C1152,[1]List1!$A:$D,2,FALSE))),"OFFLINE!")</f>
        <v>SKLADEM</v>
      </c>
      <c r="AD1152" s="752" t="str">
        <f ca="1">IF(AP1152="NE",$V$10,IF(AC1152=$V$3,IF(AQ1152&lt;1,$V$8,$V$2&amp;" "&amp;AQ1152&amp;" "&amp;$V$1),IF(AC1152="SKLADEM",$V$6,IFERROR(IF(OR(AC1152-TODAY()&gt;45,VLOOKUP(C1152,[1]List1!$A:$E,4,FALSE)=0),AC1152,DAY(AC1152)&amp;"."&amp;MONTH(AC1152)&amp;"."&amp;YEAR(AC1152)&amp;" "&amp;$V$4&amp;VLOOKUP(C1152,[1]List1!$A:$E,4,FALSE)&amp;" "&amp;$V$1),AC1152))))</f>
        <v>SKLADEM</v>
      </c>
      <c r="AE1152" s="729" t="str">
        <f t="shared" ca="1" si="2970"/>
        <v>SKLADEM</v>
      </c>
      <c r="AF1152" s="735">
        <f t="shared" si="2971"/>
        <v>0</v>
      </c>
      <c r="AG1152" s="735">
        <f t="shared" si="2972"/>
        <v>0</v>
      </c>
      <c r="AH1152" s="736">
        <f t="shared" si="2973"/>
        <v>0</v>
      </c>
      <c r="AI1152" s="729">
        <f t="shared" si="2974"/>
        <v>0</v>
      </c>
      <c r="AJ1152" s="729">
        <f t="shared" si="2975"/>
        <v>0</v>
      </c>
      <c r="AK1152" s="729" t="str">
        <f t="shared" si="2976"/>
        <v/>
      </c>
      <c r="AL1152" s="729" t="str">
        <f t="shared" si="2977"/>
        <v/>
      </c>
      <c r="AM1152" s="729" t="str">
        <f t="shared" si="2978"/>
        <v/>
      </c>
      <c r="AN1152" s="729">
        <f t="shared" si="2979"/>
        <v>0</v>
      </c>
      <c r="AO1152" s="380"/>
      <c r="AP1152" s="322" t="str">
        <f t="shared" si="2980"/>
        <v/>
      </c>
      <c r="AQ1152" s="323" t="str">
        <f>IF(AC1152=$V$3,IF(VLOOKUP(C1152,[1]List1!$A:$E,5,FALSE)=0,1,VLOOKUP(C1152,[1]List1!$A:$E,5,FALSE)),"")</f>
        <v/>
      </c>
      <c r="AR1152" s="304" t="str">
        <f t="shared" si="2981"/>
        <v/>
      </c>
      <c r="AS1152" s="423" t="str">
        <f t="shared" si="2982"/>
        <v/>
      </c>
      <c r="AT1152" s="304" t="str">
        <f t="shared" si="2983"/>
        <v/>
      </c>
      <c r="AU1152" s="342" t="e">
        <f t="shared" si="2984"/>
        <v>#N/A</v>
      </c>
      <c r="AV1152" s="304" t="e">
        <f t="shared" si="2985"/>
        <v>#N/A</v>
      </c>
      <c r="AX1152" s="304">
        <f>IF(AND('General price list'!$J1152="F4",'General price list'!$AB1152+0&gt;0),1,0)</f>
        <v>0</v>
      </c>
      <c r="AY1152" s="304">
        <f t="shared" si="2986"/>
        <v>0</v>
      </c>
      <c r="AZ1152" s="304">
        <f t="shared" si="2987"/>
        <v>0</v>
      </c>
    </row>
    <row r="1153" spans="1:52" ht="15" customHeight="1">
      <c r="A1153" s="712"/>
      <c r="B1153" s="745">
        <f>IF(AND('General price list'!$J1153="F4",$AI$1=FALSE),0,IF(AC1153="SKLADEM",1,IF(AC1153=$V$3,1,0)))</f>
        <v>1</v>
      </c>
      <c r="C1153" s="714" t="s">
        <v>12061</v>
      </c>
      <c r="D1153" s="715" t="s">
        <v>14653</v>
      </c>
      <c r="E1153" s="716" t="s">
        <v>136</v>
      </c>
      <c r="F1153" s="712">
        <f>IFERROR(ROUND(IF($AL$3=2,VLOOKUP(C1153,[2]List1!$A:$D,2,FALSE)*1.08,VLOOKUP(C1153,[2]List1!$A:$D,2,FALSE)),0),"NEUVEDENO!")</f>
        <v>311</v>
      </c>
      <c r="G1153" s="717">
        <f t="shared" si="2966"/>
        <v>311</v>
      </c>
      <c r="H1153" s="718">
        <f t="shared" si="2967"/>
        <v>12.637704245212099</v>
      </c>
      <c r="I1153" s="746">
        <v>1</v>
      </c>
      <c r="J1153" s="716"/>
      <c r="K1153" s="716"/>
      <c r="L1153" s="716" t="s">
        <v>14464</v>
      </c>
      <c r="M1153" s="716"/>
      <c r="N1153" s="716" t="str">
        <f>IFERROR(VLOOKUP(C1153,[3]List1!$A:$D,4,FALSE),"N/A!")</f>
        <v/>
      </c>
      <c r="O1153" s="716" t="str">
        <f>IFERROR(VLOOKUP(C1153,[3]List1!$A:$D,3,FALSE),"N/A!")</f>
        <v/>
      </c>
      <c r="P1153" s="716">
        <f>IFERROR(VLOOKUP(C1153,[3]List1!$A:$D,2,FALSE),"N/A!")</f>
        <v>1500</v>
      </c>
      <c r="Q1153" s="716"/>
      <c r="R1153" s="716"/>
      <c r="S1153" s="716"/>
      <c r="T1153" s="716"/>
      <c r="U1153" s="716"/>
      <c r="V1153" s="716"/>
      <c r="W1153" s="716" t="str">
        <f>IFERROR(VLOOKUP('General price list'!$C1153,Popisy!A:P,MATCH($W$17,Popisy!$A$7:$P$7,0),FALSE),"---------------")</f>
        <v>Kartonová krabice s designem výrobku</v>
      </c>
      <c r="X1153" s="716" t="str">
        <f t="shared" si="2968"/>
        <v/>
      </c>
      <c r="Y1153" s="716" t="str">
        <f t="shared" si="2969"/>
        <v/>
      </c>
      <c r="Z1153" s="716"/>
      <c r="AA1153" s="716" t="str">
        <f>IFERROR(IF(VLOOKUP(C1153,[4]List1!$A:$D,4,FALSE)=0,"",VLOOKUP(C1153,[4]List1!$A:$D,4,FALSE)),"")</f>
        <v/>
      </c>
      <c r="AB1153" s="720"/>
      <c r="AC1153" s="747" t="str">
        <f>IFERROR(IF(VLOOKUP(C1153,[1]List1!$A:$D,2,FALSE)="VYPRODÁNO",$V$9,IF(VLOOKUP(C1153,[1]List1!$A:$D,2,FALSE)="DOCHÁZÍ",$V$3,VLOOKUP(C1153,[1]List1!$A:$D,2,FALSE))),"OFFLINE!")</f>
        <v>SKLADEM</v>
      </c>
      <c r="AD1153" s="748" t="str">
        <f ca="1">IF(AP1153="NE",$V$10,IF(AC1153=$V$3,IF(AQ1153&lt;1,$V$8,$V$2&amp;" "&amp;AQ1153&amp;" "&amp;$V$1),IF(AC1153="SKLADEM",$V$6,IFERROR(IF(OR(AC1153-TODAY()&gt;45,VLOOKUP(C1153,[1]List1!$A:$E,4,FALSE)=0),AC1153,DAY(AC1153)&amp;"."&amp;MONTH(AC1153)&amp;"."&amp;YEAR(AC1153)&amp;" "&amp;$V$4&amp;VLOOKUP(C1153,[1]List1!$A:$E,4,FALSE)&amp;" "&amp;$V$1),AC1153))))</f>
        <v>SKLADEM</v>
      </c>
      <c r="AE1153" s="716" t="str">
        <f t="shared" ca="1" si="2970"/>
        <v>SKLADEM</v>
      </c>
      <c r="AF1153" s="723">
        <f t="shared" si="2971"/>
        <v>0</v>
      </c>
      <c r="AG1153" s="723">
        <f t="shared" si="2972"/>
        <v>0</v>
      </c>
      <c r="AH1153" s="724">
        <f t="shared" si="2973"/>
        <v>0</v>
      </c>
      <c r="AI1153" s="716">
        <f t="shared" si="2974"/>
        <v>0</v>
      </c>
      <c r="AJ1153" s="716">
        <f t="shared" si="2975"/>
        <v>0</v>
      </c>
      <c r="AK1153" s="716" t="str">
        <f t="shared" si="2976"/>
        <v/>
      </c>
      <c r="AL1153" s="716" t="str">
        <f t="shared" si="2977"/>
        <v/>
      </c>
      <c r="AM1153" s="716" t="str">
        <f t="shared" si="2978"/>
        <v/>
      </c>
      <c r="AN1153" s="716">
        <f t="shared" si="2979"/>
        <v>0</v>
      </c>
      <c r="AO1153" s="380"/>
      <c r="AP1153" s="322" t="str">
        <f t="shared" si="2980"/>
        <v/>
      </c>
      <c r="AQ1153" s="323" t="str">
        <f>IF(AC1153=$V$3,IF(VLOOKUP(C1153,[1]List1!$A:$E,5,FALSE)=0,1,VLOOKUP(C1153,[1]List1!$A:$E,5,FALSE)),"")</f>
        <v/>
      </c>
      <c r="AR1153" s="304" t="str">
        <f t="shared" si="2981"/>
        <v/>
      </c>
      <c r="AS1153" s="423" t="str">
        <f t="shared" si="2982"/>
        <v/>
      </c>
      <c r="AT1153" s="304" t="str">
        <f t="shared" si="2983"/>
        <v/>
      </c>
      <c r="AU1153" s="342" t="e">
        <f t="shared" si="2984"/>
        <v>#N/A</v>
      </c>
      <c r="AV1153" s="304" t="e">
        <f t="shared" si="2985"/>
        <v>#N/A</v>
      </c>
      <c r="AX1153" s="304">
        <f>IF(AND('General price list'!$J1153="F4",'General price list'!$AB1153+0&gt;0),1,0)</f>
        <v>0</v>
      </c>
      <c r="AY1153" s="304">
        <f t="shared" si="2986"/>
        <v>0</v>
      </c>
      <c r="AZ1153" s="304">
        <f t="shared" si="2987"/>
        <v>0</v>
      </c>
    </row>
    <row r="1154" spans="1:52" ht="15" customHeight="1">
      <c r="A1154" s="725"/>
      <c r="B1154" s="749">
        <f>IF(AND('General price list'!$J1154="F4",$AI$1=FALSE),0,IF(AC1154="SKLADEM",1,IF(AC1154=$V$3,1,0)))</f>
        <v>1</v>
      </c>
      <c r="C1154" s="727" t="s">
        <v>12346</v>
      </c>
      <c r="D1154" s="728" t="s">
        <v>14654</v>
      </c>
      <c r="E1154" s="729" t="s">
        <v>136</v>
      </c>
      <c r="F1154" s="725">
        <f>IFERROR(ROUND(IF($AL$3=2,VLOOKUP(C1154,[2]List1!$A:$D,2,FALSE)*1.08,VLOOKUP(C1154,[2]List1!$A:$D,2,FALSE)),0),"NEUVEDENO!")</f>
        <v>277</v>
      </c>
      <c r="G1154" s="730">
        <f t="shared" si="2966"/>
        <v>277</v>
      </c>
      <c r="H1154" s="731">
        <f t="shared" si="2967"/>
        <v>11.256090276282158</v>
      </c>
      <c r="I1154" s="750">
        <v>1</v>
      </c>
      <c r="J1154" s="729"/>
      <c r="K1154" s="729"/>
      <c r="L1154" s="729" t="s">
        <v>14464</v>
      </c>
      <c r="M1154" s="729"/>
      <c r="N1154" s="729" t="str">
        <f>IFERROR(VLOOKUP(C1154,[3]List1!$A:$D,4,FALSE),"N/A!")</f>
        <v/>
      </c>
      <c r="O1154" s="729" t="str">
        <f>IFERROR(VLOOKUP(C1154,[3]List1!$A:$D,3,FALSE),"N/A!")</f>
        <v/>
      </c>
      <c r="P1154" s="729">
        <f>IFERROR(VLOOKUP(C1154,[3]List1!$A:$D,2,FALSE),"N/A!")</f>
        <v>1500</v>
      </c>
      <c r="Q1154" s="729"/>
      <c r="R1154" s="729"/>
      <c r="S1154" s="729"/>
      <c r="T1154" s="729"/>
      <c r="U1154" s="729"/>
      <c r="V1154" s="729"/>
      <c r="W1154" s="729" t="str">
        <f>IFERROR(VLOOKUP('General price list'!$C1154,Popisy!A:P,MATCH($W$17,Popisy!$A$7:$P$7,0),FALSE),"---------------")</f>
        <v>Kartonová krabice s designem výrobku</v>
      </c>
      <c r="X1154" s="729" t="str">
        <f t="shared" si="2968"/>
        <v/>
      </c>
      <c r="Y1154" s="729" t="str">
        <f t="shared" si="2969"/>
        <v/>
      </c>
      <c r="Z1154" s="729"/>
      <c r="AA1154" s="729" t="str">
        <f>IFERROR(IF(VLOOKUP(C1154,[4]List1!$A:$D,4,FALSE)=0,"",VLOOKUP(C1154,[4]List1!$A:$D,4,FALSE)),"")</f>
        <v/>
      </c>
      <c r="AB1154" s="720"/>
      <c r="AC1154" s="751" t="str">
        <f>IFERROR(IF(VLOOKUP(C1154,[1]List1!$A:$D,2,FALSE)="VYPRODÁNO",$V$9,IF(VLOOKUP(C1154,[1]List1!$A:$D,2,FALSE)="DOCHÁZÍ",$V$3,VLOOKUP(C1154,[1]List1!$A:$D,2,FALSE))),"OFFLINE!")</f>
        <v>SKLADEM</v>
      </c>
      <c r="AD1154" s="752" t="str">
        <f ca="1">IF(AP1154="NE",$V$10,IF(AC1154=$V$3,IF(AQ1154&lt;1,$V$8,$V$2&amp;" "&amp;AQ1154&amp;" "&amp;$V$1),IF(AC1154="SKLADEM",$V$6,IFERROR(IF(OR(AC1154-TODAY()&gt;45,VLOOKUP(C1154,[1]List1!$A:$E,4,FALSE)=0),AC1154,DAY(AC1154)&amp;"."&amp;MONTH(AC1154)&amp;"."&amp;YEAR(AC1154)&amp;" "&amp;$V$4&amp;VLOOKUP(C1154,[1]List1!$A:$E,4,FALSE)&amp;" "&amp;$V$1),AC1154))))</f>
        <v>SKLADEM</v>
      </c>
      <c r="AE1154" s="729" t="str">
        <f t="shared" ca="1" si="2970"/>
        <v>SKLADEM</v>
      </c>
      <c r="AF1154" s="735">
        <f t="shared" si="2971"/>
        <v>0</v>
      </c>
      <c r="AG1154" s="735">
        <f t="shared" si="2972"/>
        <v>0</v>
      </c>
      <c r="AH1154" s="736">
        <f t="shared" si="2973"/>
        <v>0</v>
      </c>
      <c r="AI1154" s="729">
        <f t="shared" si="2974"/>
        <v>0</v>
      </c>
      <c r="AJ1154" s="729">
        <f t="shared" si="2975"/>
        <v>0</v>
      </c>
      <c r="AK1154" s="729" t="str">
        <f t="shared" si="2976"/>
        <v/>
      </c>
      <c r="AL1154" s="729" t="str">
        <f t="shared" si="2977"/>
        <v/>
      </c>
      <c r="AM1154" s="729" t="str">
        <f t="shared" si="2978"/>
        <v/>
      </c>
      <c r="AN1154" s="729">
        <f t="shared" si="2979"/>
        <v>0</v>
      </c>
      <c r="AO1154" s="380"/>
      <c r="AP1154" s="322" t="str">
        <f t="shared" si="2980"/>
        <v/>
      </c>
      <c r="AQ1154" s="323" t="str">
        <f>IF(AC1154=$V$3,IF(VLOOKUP(C1154,[1]List1!$A:$E,5,FALSE)=0,1,VLOOKUP(C1154,[1]List1!$A:$E,5,FALSE)),"")</f>
        <v/>
      </c>
      <c r="AR1154" s="304" t="str">
        <f t="shared" si="2981"/>
        <v/>
      </c>
      <c r="AS1154" s="423" t="str">
        <f t="shared" si="2982"/>
        <v/>
      </c>
      <c r="AT1154" s="304" t="str">
        <f t="shared" si="2983"/>
        <v/>
      </c>
      <c r="AU1154" s="342" t="e">
        <f t="shared" si="2984"/>
        <v>#N/A</v>
      </c>
      <c r="AV1154" s="304" t="e">
        <f t="shared" si="2985"/>
        <v>#N/A</v>
      </c>
      <c r="AX1154" s="304">
        <f>IF(AND('General price list'!$J1154="F4",'General price list'!$AB1154+0&gt;0),1,0)</f>
        <v>0</v>
      </c>
      <c r="AY1154" s="304">
        <f t="shared" si="2986"/>
        <v>0</v>
      </c>
      <c r="AZ1154" s="304">
        <f t="shared" si="2987"/>
        <v>0</v>
      </c>
    </row>
    <row r="1155" spans="1:52" ht="15" customHeight="1">
      <c r="A1155" s="712"/>
      <c r="B1155" s="745">
        <f>IF(AND('General price list'!$J1155="F4",$AI$1=FALSE),0,IF(AC1155="SKLADEM",1,IF(AC1155=$V$3,1,0)))</f>
        <v>1</v>
      </c>
      <c r="C1155" s="714" t="s">
        <v>12063</v>
      </c>
      <c r="D1155" s="715" t="s">
        <v>14654</v>
      </c>
      <c r="E1155" s="716" t="s">
        <v>136</v>
      </c>
      <c r="F1155" s="712">
        <f>IFERROR(ROUND(IF($AL$3=2,VLOOKUP(C1155,[2]List1!$A:$D,2,FALSE)*1.08,VLOOKUP(C1155,[2]List1!$A:$D,2,FALSE)),0),"NEUVEDENO!")</f>
        <v>277</v>
      </c>
      <c r="G1155" s="717">
        <f t="shared" si="2966"/>
        <v>277</v>
      </c>
      <c r="H1155" s="718">
        <f t="shared" si="2967"/>
        <v>11.256090276282158</v>
      </c>
      <c r="I1155" s="746">
        <v>1</v>
      </c>
      <c r="J1155" s="716"/>
      <c r="K1155" s="716"/>
      <c r="L1155" s="716" t="s">
        <v>14464</v>
      </c>
      <c r="M1155" s="716"/>
      <c r="N1155" s="716" t="str">
        <f>IFERROR(VLOOKUP(C1155,[3]List1!$A:$D,4,FALSE),"N/A!")</f>
        <v/>
      </c>
      <c r="O1155" s="716" t="str">
        <f>IFERROR(VLOOKUP(C1155,[3]List1!$A:$D,3,FALSE),"N/A!")</f>
        <v/>
      </c>
      <c r="P1155" s="716">
        <f>IFERROR(VLOOKUP(C1155,[3]List1!$A:$D,2,FALSE),"N/A!")</f>
        <v>1500</v>
      </c>
      <c r="Q1155" s="716"/>
      <c r="R1155" s="716"/>
      <c r="S1155" s="716"/>
      <c r="T1155" s="716"/>
      <c r="U1155" s="716"/>
      <c r="V1155" s="716"/>
      <c r="W1155" s="716" t="str">
        <f>IFERROR(VLOOKUP('General price list'!$C1155,Popisy!A:P,MATCH($W$17,Popisy!$A$7:$P$7,0),FALSE),"---------------")</f>
        <v>Kartonová krabice s designem výrobku</v>
      </c>
      <c r="X1155" s="716" t="str">
        <f t="shared" si="2968"/>
        <v/>
      </c>
      <c r="Y1155" s="716" t="str">
        <f t="shared" si="2969"/>
        <v/>
      </c>
      <c r="Z1155" s="716"/>
      <c r="AA1155" s="716" t="str">
        <f>IFERROR(IF(VLOOKUP(C1155,[4]List1!$A:$D,4,FALSE)=0,"",VLOOKUP(C1155,[4]List1!$A:$D,4,FALSE)),"")</f>
        <v/>
      </c>
      <c r="AB1155" s="720"/>
      <c r="AC1155" s="747" t="str">
        <f>IFERROR(IF(VLOOKUP(C1155,[1]List1!$A:$D,2,FALSE)="VYPRODÁNO",$V$9,IF(VLOOKUP(C1155,[1]List1!$A:$D,2,FALSE)="DOCHÁZÍ",$V$3,VLOOKUP(C1155,[1]List1!$A:$D,2,FALSE))),"OFFLINE!")</f>
        <v>SKLADEM</v>
      </c>
      <c r="AD1155" s="748" t="str">
        <f ca="1">IF(AP1155="NE",$V$10,IF(AC1155=$V$3,IF(AQ1155&lt;1,$V$8,$V$2&amp;" "&amp;AQ1155&amp;" "&amp;$V$1),IF(AC1155="SKLADEM",$V$6,IFERROR(IF(OR(AC1155-TODAY()&gt;45,VLOOKUP(C1155,[1]List1!$A:$E,4,FALSE)=0),AC1155,DAY(AC1155)&amp;"."&amp;MONTH(AC1155)&amp;"."&amp;YEAR(AC1155)&amp;" "&amp;$V$4&amp;VLOOKUP(C1155,[1]List1!$A:$E,4,FALSE)&amp;" "&amp;$V$1),AC1155))))</f>
        <v>SKLADEM</v>
      </c>
      <c r="AE1155" s="716" t="str">
        <f t="shared" ca="1" si="2970"/>
        <v>SKLADEM</v>
      </c>
      <c r="AF1155" s="723">
        <f t="shared" si="2971"/>
        <v>0</v>
      </c>
      <c r="AG1155" s="723">
        <f t="shared" si="2972"/>
        <v>0</v>
      </c>
      <c r="AH1155" s="724">
        <f t="shared" si="2973"/>
        <v>0</v>
      </c>
      <c r="AI1155" s="716">
        <f t="shared" si="2974"/>
        <v>0</v>
      </c>
      <c r="AJ1155" s="716">
        <f t="shared" si="2975"/>
        <v>0</v>
      </c>
      <c r="AK1155" s="716" t="str">
        <f t="shared" si="2976"/>
        <v/>
      </c>
      <c r="AL1155" s="716" t="str">
        <f t="shared" si="2977"/>
        <v/>
      </c>
      <c r="AM1155" s="716" t="str">
        <f t="shared" si="2978"/>
        <v/>
      </c>
      <c r="AN1155" s="716">
        <f t="shared" si="2979"/>
        <v>0</v>
      </c>
      <c r="AO1155" s="380"/>
      <c r="AP1155" s="322" t="str">
        <f t="shared" si="2980"/>
        <v/>
      </c>
      <c r="AQ1155" s="323" t="str">
        <f>IF(AC1155=$V$3,IF(VLOOKUP(C1155,[1]List1!$A:$E,5,FALSE)=0,1,VLOOKUP(C1155,[1]List1!$A:$E,5,FALSE)),"")</f>
        <v/>
      </c>
      <c r="AR1155" s="304" t="str">
        <f t="shared" si="2981"/>
        <v/>
      </c>
      <c r="AS1155" s="423" t="str">
        <f t="shared" si="2982"/>
        <v/>
      </c>
      <c r="AT1155" s="304" t="str">
        <f t="shared" si="2983"/>
        <v/>
      </c>
      <c r="AU1155" s="342" t="e">
        <f t="shared" si="2984"/>
        <v>#N/A</v>
      </c>
      <c r="AV1155" s="304" t="e">
        <f t="shared" si="2985"/>
        <v>#N/A</v>
      </c>
      <c r="AX1155" s="304">
        <f>IF(AND('General price list'!$J1155="F4",'General price list'!$AB1155+0&gt;0),1,0)</f>
        <v>0</v>
      </c>
      <c r="AY1155" s="304">
        <f t="shared" si="2986"/>
        <v>0</v>
      </c>
      <c r="AZ1155" s="304">
        <f t="shared" si="2987"/>
        <v>0</v>
      </c>
    </row>
    <row r="1156" spans="1:52" ht="15" customHeight="1">
      <c r="A1156" s="725"/>
      <c r="B1156" s="749">
        <f>IF(AND('General price list'!$J1156="F4",$AI$1=FALSE),0,IF(AC1156="SKLADEM",1,IF(AC1156=$V$3,1,0)))</f>
        <v>1</v>
      </c>
      <c r="C1156" s="727" t="s">
        <v>12064</v>
      </c>
      <c r="D1156" s="728" t="s">
        <v>14655</v>
      </c>
      <c r="E1156" s="729" t="s">
        <v>136</v>
      </c>
      <c r="F1156" s="725">
        <f>IFERROR(ROUND(IF($AL$3=2,VLOOKUP(C1156,[2]List1!$A:$D,2,FALSE)*1.08,VLOOKUP(C1156,[2]List1!$A:$D,2,FALSE)),0),"NEUVEDENO!")</f>
        <v>292</v>
      </c>
      <c r="G1156" s="730">
        <f t="shared" si="2966"/>
        <v>292</v>
      </c>
      <c r="H1156" s="731">
        <f t="shared" si="2967"/>
        <v>11.865625850810073</v>
      </c>
      <c r="I1156" s="750">
        <v>1</v>
      </c>
      <c r="J1156" s="729"/>
      <c r="K1156" s="729"/>
      <c r="L1156" s="729" t="s">
        <v>14464</v>
      </c>
      <c r="M1156" s="729"/>
      <c r="N1156" s="729" t="str">
        <f>IFERROR(VLOOKUP(C1156,[3]List1!$A:$D,4,FALSE),"N/A!")</f>
        <v/>
      </c>
      <c r="O1156" s="729" t="str">
        <f>IFERROR(VLOOKUP(C1156,[3]List1!$A:$D,3,FALSE),"N/A!")</f>
        <v/>
      </c>
      <c r="P1156" s="729">
        <f>IFERROR(VLOOKUP(C1156,[3]List1!$A:$D,2,FALSE),"N/A!")</f>
        <v>1500</v>
      </c>
      <c r="Q1156" s="729"/>
      <c r="R1156" s="729"/>
      <c r="S1156" s="729"/>
      <c r="T1156" s="729"/>
      <c r="U1156" s="729"/>
      <c r="V1156" s="729"/>
      <c r="W1156" s="729" t="str">
        <f>IFERROR(VLOOKUP('General price list'!$C1156,Popisy!A:P,MATCH($W$17,Popisy!$A$7:$P$7,0),FALSE),"---------------")</f>
        <v>Kartonová krabice s designem výrobku</v>
      </c>
      <c r="X1156" s="729" t="str">
        <f t="shared" si="2968"/>
        <v/>
      </c>
      <c r="Y1156" s="729" t="str">
        <f t="shared" si="2969"/>
        <v/>
      </c>
      <c r="Z1156" s="729"/>
      <c r="AA1156" s="729" t="str">
        <f>IFERROR(IF(VLOOKUP(C1156,[4]List1!$A:$D,4,FALSE)=0,"",VLOOKUP(C1156,[4]List1!$A:$D,4,FALSE)),"")</f>
        <v/>
      </c>
      <c r="AB1156" s="720"/>
      <c r="AC1156" s="751" t="str">
        <f>IFERROR(IF(VLOOKUP(C1156,[1]List1!$A:$D,2,FALSE)="VYPRODÁNO",$V$9,IF(VLOOKUP(C1156,[1]List1!$A:$D,2,FALSE)="DOCHÁZÍ",$V$3,VLOOKUP(C1156,[1]List1!$A:$D,2,FALSE))),"OFFLINE!")</f>
        <v>SKLADEM</v>
      </c>
      <c r="AD1156" s="752" t="str">
        <f ca="1">IF(AP1156="NE",$V$10,IF(AC1156=$V$3,IF(AQ1156&lt;1,$V$8,$V$2&amp;" "&amp;AQ1156&amp;" "&amp;$V$1),IF(AC1156="SKLADEM",$V$6,IFERROR(IF(OR(AC1156-TODAY()&gt;45,VLOOKUP(C1156,[1]List1!$A:$E,4,FALSE)=0),AC1156,DAY(AC1156)&amp;"."&amp;MONTH(AC1156)&amp;"."&amp;YEAR(AC1156)&amp;" "&amp;$V$4&amp;VLOOKUP(C1156,[1]List1!$A:$E,4,FALSE)&amp;" "&amp;$V$1),AC1156))))</f>
        <v>SKLADEM</v>
      </c>
      <c r="AE1156" s="729" t="str">
        <f t="shared" ca="1" si="2970"/>
        <v>SKLADEM</v>
      </c>
      <c r="AF1156" s="735">
        <f t="shared" si="2971"/>
        <v>0</v>
      </c>
      <c r="AG1156" s="735">
        <f t="shared" si="2972"/>
        <v>0</v>
      </c>
      <c r="AH1156" s="736">
        <f t="shared" si="2973"/>
        <v>0</v>
      </c>
      <c r="AI1156" s="729">
        <f t="shared" si="2974"/>
        <v>0</v>
      </c>
      <c r="AJ1156" s="729">
        <f t="shared" si="2975"/>
        <v>0</v>
      </c>
      <c r="AK1156" s="729" t="str">
        <f t="shared" si="2976"/>
        <v/>
      </c>
      <c r="AL1156" s="729" t="str">
        <f t="shared" si="2977"/>
        <v/>
      </c>
      <c r="AM1156" s="729" t="str">
        <f t="shared" si="2978"/>
        <v/>
      </c>
      <c r="AN1156" s="729">
        <f t="shared" si="2979"/>
        <v>0</v>
      </c>
      <c r="AO1156" s="380"/>
      <c r="AP1156" s="322" t="str">
        <f t="shared" si="2980"/>
        <v/>
      </c>
      <c r="AQ1156" s="323" t="str">
        <f>IF(AC1156=$V$3,IF(VLOOKUP(C1156,[1]List1!$A:$E,5,FALSE)=0,1,VLOOKUP(C1156,[1]List1!$A:$E,5,FALSE)),"")</f>
        <v/>
      </c>
      <c r="AR1156" s="304" t="str">
        <f t="shared" si="2981"/>
        <v/>
      </c>
      <c r="AS1156" s="423" t="str">
        <f t="shared" si="2982"/>
        <v/>
      </c>
      <c r="AT1156" s="304" t="str">
        <f t="shared" si="2983"/>
        <v/>
      </c>
      <c r="AU1156" s="342" t="e">
        <f t="shared" si="2984"/>
        <v>#N/A</v>
      </c>
      <c r="AV1156" s="304" t="e">
        <f t="shared" si="2985"/>
        <v>#N/A</v>
      </c>
      <c r="AX1156" s="304">
        <f>IF(AND('General price list'!$J1156="F4",'General price list'!$AB1156+0&gt;0),1,0)</f>
        <v>0</v>
      </c>
      <c r="AY1156" s="304">
        <f t="shared" si="2986"/>
        <v>0</v>
      </c>
      <c r="AZ1156" s="304">
        <f t="shared" si="2987"/>
        <v>0</v>
      </c>
    </row>
    <row r="1157" spans="1:52" ht="15" customHeight="1">
      <c r="A1157" s="712"/>
      <c r="B1157" s="745">
        <f>IF(AND('General price list'!$J1157="F4",$AI$1=FALSE),0,IF(AC1157="SKLADEM",1,IF(AC1157=$V$3,1,0)))</f>
        <v>1</v>
      </c>
      <c r="C1157" s="714" t="s">
        <v>12065</v>
      </c>
      <c r="D1157" s="715" t="s">
        <v>14656</v>
      </c>
      <c r="E1157" s="716" t="s">
        <v>136</v>
      </c>
      <c r="F1157" s="712">
        <f>IFERROR(ROUND(IF($AL$3=2,VLOOKUP(C1157,[2]List1!$A:$D,2,FALSE)*1.08,VLOOKUP(C1157,[2]List1!$A:$D,2,FALSE)),0),"NEUVEDENO!")</f>
        <v>292</v>
      </c>
      <c r="G1157" s="717">
        <f t="shared" si="2966"/>
        <v>292</v>
      </c>
      <c r="H1157" s="718">
        <f t="shared" si="2967"/>
        <v>11.865625850810073</v>
      </c>
      <c r="I1157" s="746">
        <v>1</v>
      </c>
      <c r="J1157" s="716"/>
      <c r="K1157" s="716"/>
      <c r="L1157" s="716" t="s">
        <v>14464</v>
      </c>
      <c r="M1157" s="716"/>
      <c r="N1157" s="716" t="str">
        <f>IFERROR(VLOOKUP(C1157,[3]List1!$A:$D,4,FALSE),"N/A!")</f>
        <v/>
      </c>
      <c r="O1157" s="716" t="str">
        <f>IFERROR(VLOOKUP(C1157,[3]List1!$A:$D,3,FALSE),"N/A!")</f>
        <v/>
      </c>
      <c r="P1157" s="716">
        <f>IFERROR(VLOOKUP(C1157,[3]List1!$A:$D,2,FALSE),"N/A!")</f>
        <v>1500</v>
      </c>
      <c r="Q1157" s="716"/>
      <c r="R1157" s="716"/>
      <c r="S1157" s="716"/>
      <c r="T1157" s="716"/>
      <c r="U1157" s="716"/>
      <c r="V1157" s="716"/>
      <c r="W1157" s="716" t="str">
        <f>IFERROR(VLOOKUP('General price list'!$C1157,Popisy!A:P,MATCH($W$17,Popisy!$A$7:$P$7,0),FALSE),"---------------")</f>
        <v>Kartonová krabice s designem výrobku</v>
      </c>
      <c r="X1157" s="716" t="str">
        <f t="shared" si="2968"/>
        <v/>
      </c>
      <c r="Y1157" s="716" t="str">
        <f t="shared" si="2969"/>
        <v/>
      </c>
      <c r="Z1157" s="716"/>
      <c r="AA1157" s="716" t="str">
        <f>IFERROR(IF(VLOOKUP(C1157,[4]List1!$A:$D,4,FALSE)=0,"",VLOOKUP(C1157,[4]List1!$A:$D,4,FALSE)),"")</f>
        <v/>
      </c>
      <c r="AB1157" s="720"/>
      <c r="AC1157" s="747" t="str">
        <f>IFERROR(IF(VLOOKUP(C1157,[1]List1!$A:$D,2,FALSE)="VYPRODÁNO",$V$9,IF(VLOOKUP(C1157,[1]List1!$A:$D,2,FALSE)="DOCHÁZÍ",$V$3,VLOOKUP(C1157,[1]List1!$A:$D,2,FALSE))),"OFFLINE!")</f>
        <v>SKLADEM</v>
      </c>
      <c r="AD1157" s="748" t="str">
        <f ca="1">IF(AP1157="NE",$V$10,IF(AC1157=$V$3,IF(AQ1157&lt;1,$V$8,$V$2&amp;" "&amp;AQ1157&amp;" "&amp;$V$1),IF(AC1157="SKLADEM",$V$6,IFERROR(IF(OR(AC1157-TODAY()&gt;45,VLOOKUP(C1157,[1]List1!$A:$E,4,FALSE)=0),AC1157,DAY(AC1157)&amp;"."&amp;MONTH(AC1157)&amp;"."&amp;YEAR(AC1157)&amp;" "&amp;$V$4&amp;VLOOKUP(C1157,[1]List1!$A:$E,4,FALSE)&amp;" "&amp;$V$1),AC1157))))</f>
        <v>SKLADEM</v>
      </c>
      <c r="AE1157" s="716" t="str">
        <f t="shared" ca="1" si="2970"/>
        <v>SKLADEM</v>
      </c>
      <c r="AF1157" s="723">
        <f t="shared" si="2971"/>
        <v>0</v>
      </c>
      <c r="AG1157" s="723">
        <f t="shared" si="2972"/>
        <v>0</v>
      </c>
      <c r="AH1157" s="724">
        <f t="shared" si="2973"/>
        <v>0</v>
      </c>
      <c r="AI1157" s="716">
        <f t="shared" si="2974"/>
        <v>0</v>
      </c>
      <c r="AJ1157" s="716">
        <f t="shared" si="2975"/>
        <v>0</v>
      </c>
      <c r="AK1157" s="716" t="str">
        <f t="shared" si="2976"/>
        <v/>
      </c>
      <c r="AL1157" s="716" t="str">
        <f t="shared" si="2977"/>
        <v/>
      </c>
      <c r="AM1157" s="716" t="str">
        <f t="shared" si="2978"/>
        <v/>
      </c>
      <c r="AN1157" s="716">
        <f t="shared" si="2979"/>
        <v>0</v>
      </c>
      <c r="AO1157" s="380"/>
      <c r="AP1157" s="322" t="str">
        <f t="shared" si="2980"/>
        <v/>
      </c>
      <c r="AQ1157" s="323" t="str">
        <f>IF(AC1157=$V$3,IF(VLOOKUP(C1157,[1]List1!$A:$E,5,FALSE)=0,1,VLOOKUP(C1157,[1]List1!$A:$E,5,FALSE)),"")</f>
        <v/>
      </c>
      <c r="AR1157" s="304" t="str">
        <f t="shared" si="2981"/>
        <v/>
      </c>
      <c r="AS1157" s="423" t="str">
        <f t="shared" si="2982"/>
        <v/>
      </c>
      <c r="AT1157" s="304" t="str">
        <f t="shared" si="2983"/>
        <v/>
      </c>
      <c r="AU1157" s="342" t="e">
        <f t="shared" si="2984"/>
        <v>#N/A</v>
      </c>
      <c r="AV1157" s="304" t="e">
        <f t="shared" si="2985"/>
        <v>#N/A</v>
      </c>
      <c r="AX1157" s="304">
        <f>IF(AND('General price list'!$J1157="F4",'General price list'!$AB1157+0&gt;0),1,0)</f>
        <v>0</v>
      </c>
      <c r="AY1157" s="304">
        <f t="shared" si="2986"/>
        <v>0</v>
      </c>
      <c r="AZ1157" s="304">
        <f t="shared" si="2987"/>
        <v>0</v>
      </c>
    </row>
    <row r="1158" spans="1:52" ht="15" customHeight="1">
      <c r="A1158" s="725"/>
      <c r="B1158" s="749">
        <f>IF(AND('General price list'!$J1158="F4",$AI$1=FALSE),0,IF(AC1158="SKLADEM",1,IF(AC1158=$V$3,1,0)))</f>
        <v>1</v>
      </c>
      <c r="C1158" s="727" t="s">
        <v>12066</v>
      </c>
      <c r="D1158" s="728" t="s">
        <v>14656</v>
      </c>
      <c r="E1158" s="729" t="s">
        <v>136</v>
      </c>
      <c r="F1158" s="725">
        <f>IFERROR(ROUND(IF($AL$3=2,VLOOKUP(C1158,[2]List1!$A:$D,2,FALSE)*1.08,VLOOKUP(C1158,[2]List1!$A:$D,2,FALSE)),0),"NEUVEDENO!")</f>
        <v>292</v>
      </c>
      <c r="G1158" s="730">
        <f t="shared" si="2966"/>
        <v>292</v>
      </c>
      <c r="H1158" s="731">
        <f t="shared" si="2967"/>
        <v>11.865625850810073</v>
      </c>
      <c r="I1158" s="750">
        <v>1</v>
      </c>
      <c r="J1158" s="729"/>
      <c r="K1158" s="729"/>
      <c r="L1158" s="729" t="s">
        <v>14464</v>
      </c>
      <c r="M1158" s="729"/>
      <c r="N1158" s="729" t="str">
        <f>IFERROR(VLOOKUP(C1158,[3]List1!$A:$D,4,FALSE),"N/A!")</f>
        <v/>
      </c>
      <c r="O1158" s="729" t="str">
        <f>IFERROR(VLOOKUP(C1158,[3]List1!$A:$D,3,FALSE),"N/A!")</f>
        <v/>
      </c>
      <c r="P1158" s="729">
        <f>IFERROR(VLOOKUP(C1158,[3]List1!$A:$D,2,FALSE),"N/A!")</f>
        <v>1500</v>
      </c>
      <c r="Q1158" s="729"/>
      <c r="R1158" s="729"/>
      <c r="S1158" s="729"/>
      <c r="T1158" s="729"/>
      <c r="U1158" s="729"/>
      <c r="V1158" s="729"/>
      <c r="W1158" s="729" t="str">
        <f>IFERROR(VLOOKUP('General price list'!$C1158,Popisy!A:P,MATCH($W$17,Popisy!$A$7:$P$7,0),FALSE),"---------------")</f>
        <v>Kartonová krabice s designem výrobku</v>
      </c>
      <c r="X1158" s="729" t="str">
        <f t="shared" si="2968"/>
        <v/>
      </c>
      <c r="Y1158" s="729" t="str">
        <f t="shared" si="2969"/>
        <v/>
      </c>
      <c r="Z1158" s="729"/>
      <c r="AA1158" s="729" t="str">
        <f>IFERROR(IF(VLOOKUP(C1158,[4]List1!$A:$D,4,FALSE)=0,"",VLOOKUP(C1158,[4]List1!$A:$D,4,FALSE)),"")</f>
        <v/>
      </c>
      <c r="AB1158" s="720"/>
      <c r="AC1158" s="751" t="str">
        <f>IFERROR(IF(VLOOKUP(C1158,[1]List1!$A:$D,2,FALSE)="VYPRODÁNO",$V$9,IF(VLOOKUP(C1158,[1]List1!$A:$D,2,FALSE)="DOCHÁZÍ",$V$3,VLOOKUP(C1158,[1]List1!$A:$D,2,FALSE))),"OFFLINE!")</f>
        <v>SKLADEM</v>
      </c>
      <c r="AD1158" s="752" t="str">
        <f ca="1">IF(AP1158="NE",$V$10,IF(AC1158=$V$3,IF(AQ1158&lt;1,$V$8,$V$2&amp;" "&amp;AQ1158&amp;" "&amp;$V$1),IF(AC1158="SKLADEM",$V$6,IFERROR(IF(OR(AC1158-TODAY()&gt;45,VLOOKUP(C1158,[1]List1!$A:$E,4,FALSE)=0),AC1158,DAY(AC1158)&amp;"."&amp;MONTH(AC1158)&amp;"."&amp;YEAR(AC1158)&amp;" "&amp;$V$4&amp;VLOOKUP(C1158,[1]List1!$A:$E,4,FALSE)&amp;" "&amp;$V$1),AC1158))))</f>
        <v>SKLADEM</v>
      </c>
      <c r="AE1158" s="729" t="str">
        <f t="shared" ca="1" si="2970"/>
        <v>SKLADEM</v>
      </c>
      <c r="AF1158" s="735">
        <f t="shared" si="2971"/>
        <v>0</v>
      </c>
      <c r="AG1158" s="735">
        <f t="shared" si="2972"/>
        <v>0</v>
      </c>
      <c r="AH1158" s="736">
        <f t="shared" si="2973"/>
        <v>0</v>
      </c>
      <c r="AI1158" s="729">
        <f t="shared" si="2974"/>
        <v>0</v>
      </c>
      <c r="AJ1158" s="729">
        <f t="shared" si="2975"/>
        <v>0</v>
      </c>
      <c r="AK1158" s="729" t="str">
        <f t="shared" si="2976"/>
        <v/>
      </c>
      <c r="AL1158" s="729" t="str">
        <f t="shared" si="2977"/>
        <v/>
      </c>
      <c r="AM1158" s="729" t="str">
        <f t="shared" si="2978"/>
        <v/>
      </c>
      <c r="AN1158" s="729">
        <f t="shared" si="2979"/>
        <v>0</v>
      </c>
      <c r="AO1158" s="380"/>
      <c r="AP1158" s="322" t="str">
        <f t="shared" si="2980"/>
        <v/>
      </c>
      <c r="AQ1158" s="323" t="str">
        <f>IF(AC1158=$V$3,IF(VLOOKUP(C1158,[1]List1!$A:$E,5,FALSE)=0,1,VLOOKUP(C1158,[1]List1!$A:$E,5,FALSE)),"")</f>
        <v/>
      </c>
      <c r="AR1158" s="304" t="str">
        <f t="shared" si="2981"/>
        <v/>
      </c>
      <c r="AS1158" s="423" t="str">
        <f t="shared" si="2982"/>
        <v/>
      </c>
      <c r="AT1158" s="304" t="str">
        <f t="shared" si="2983"/>
        <v/>
      </c>
      <c r="AU1158" s="342" t="e">
        <f t="shared" si="2984"/>
        <v>#N/A</v>
      </c>
      <c r="AV1158" s="304" t="e">
        <f t="shared" si="2985"/>
        <v>#N/A</v>
      </c>
      <c r="AX1158" s="304">
        <f>IF(AND('General price list'!$J1158="F4",'General price list'!$AB1158+0&gt;0),1,0)</f>
        <v>0</v>
      </c>
      <c r="AY1158" s="304">
        <f t="shared" si="2986"/>
        <v>0</v>
      </c>
      <c r="AZ1158" s="304">
        <f t="shared" si="2987"/>
        <v>0</v>
      </c>
    </row>
    <row r="1159" spans="1:52" ht="15" customHeight="1">
      <c r="A1159" s="712"/>
      <c r="B1159" s="745">
        <f>IF(AND('General price list'!$J1159="F4",$AI$1=FALSE),0,IF(AC1159="SKLADEM",1,IF(AC1159=$V$3,1,0)))</f>
        <v>1</v>
      </c>
      <c r="C1159" s="714" t="s">
        <v>12067</v>
      </c>
      <c r="D1159" s="715" t="s">
        <v>14657</v>
      </c>
      <c r="E1159" s="716" t="s">
        <v>136</v>
      </c>
      <c r="F1159" s="712">
        <f>IFERROR(ROUND(IF($AL$3=2,VLOOKUP(C1159,[2]List1!$A:$D,2,FALSE)*1.08,VLOOKUP(C1159,[2]List1!$A:$D,2,FALSE)),0),"NEUVEDENO!")</f>
        <v>505</v>
      </c>
      <c r="G1159" s="717">
        <f t="shared" si="2966"/>
        <v>505</v>
      </c>
      <c r="H1159" s="718">
        <f t="shared" si="2967"/>
        <v>20.521031009106462</v>
      </c>
      <c r="I1159" s="746">
        <v>1</v>
      </c>
      <c r="J1159" s="716"/>
      <c r="K1159" s="716"/>
      <c r="L1159" s="716" t="s">
        <v>14464</v>
      </c>
      <c r="M1159" s="716"/>
      <c r="N1159" s="716" t="str">
        <f>IFERROR(VLOOKUP(C1159,[3]List1!$A:$D,4,FALSE),"N/A!")</f>
        <v/>
      </c>
      <c r="O1159" s="716" t="str">
        <f>IFERROR(VLOOKUP(C1159,[3]List1!$A:$D,3,FALSE),"N/A!")</f>
        <v/>
      </c>
      <c r="P1159" s="716">
        <f>IFERROR(VLOOKUP(C1159,[3]List1!$A:$D,2,FALSE),"N/A!")</f>
        <v>1500</v>
      </c>
      <c r="Q1159" s="716"/>
      <c r="R1159" s="716"/>
      <c r="S1159" s="716"/>
      <c r="T1159" s="716"/>
      <c r="U1159" s="716"/>
      <c r="V1159" s="716"/>
      <c r="W1159" s="716" t="str">
        <f>IFERROR(VLOOKUP('General price list'!$C1159,Popisy!A:P,MATCH($W$17,Popisy!$A$7:$P$7,0),FALSE),"---------------")</f>
        <v>Kartonová krabice s designem výrobku</v>
      </c>
      <c r="X1159" s="716" t="str">
        <f t="shared" si="2968"/>
        <v/>
      </c>
      <c r="Y1159" s="716" t="str">
        <f t="shared" si="2969"/>
        <v/>
      </c>
      <c r="Z1159" s="716"/>
      <c r="AA1159" s="716" t="str">
        <f>IFERROR(IF(VLOOKUP(C1159,[4]List1!$A:$D,4,FALSE)=0,"",VLOOKUP(C1159,[4]List1!$A:$D,4,FALSE)),"")</f>
        <v/>
      </c>
      <c r="AB1159" s="720"/>
      <c r="AC1159" s="747" t="str">
        <f>IFERROR(IF(VLOOKUP(C1159,[1]List1!$A:$D,2,FALSE)="VYPRODÁNO",$V$9,IF(VLOOKUP(C1159,[1]List1!$A:$D,2,FALSE)="DOCHÁZÍ",$V$3,VLOOKUP(C1159,[1]List1!$A:$D,2,FALSE))),"OFFLINE!")</f>
        <v>SKLADEM</v>
      </c>
      <c r="AD1159" s="748" t="str">
        <f ca="1">IF(AP1159="NE",$V$10,IF(AC1159=$V$3,IF(AQ1159&lt;1,$V$8,$V$2&amp;" "&amp;AQ1159&amp;" "&amp;$V$1),IF(AC1159="SKLADEM",$V$6,IFERROR(IF(OR(AC1159-TODAY()&gt;45,VLOOKUP(C1159,[1]List1!$A:$E,4,FALSE)=0),AC1159,DAY(AC1159)&amp;"."&amp;MONTH(AC1159)&amp;"."&amp;YEAR(AC1159)&amp;" "&amp;$V$4&amp;VLOOKUP(C1159,[1]List1!$A:$E,4,FALSE)&amp;" "&amp;$V$1),AC1159))))</f>
        <v>SKLADEM</v>
      </c>
      <c r="AE1159" s="716" t="str">
        <f t="shared" ca="1" si="2970"/>
        <v>SKLADEM</v>
      </c>
      <c r="AF1159" s="723">
        <f t="shared" si="2971"/>
        <v>0</v>
      </c>
      <c r="AG1159" s="723">
        <f t="shared" si="2972"/>
        <v>0</v>
      </c>
      <c r="AH1159" s="724">
        <f t="shared" si="2973"/>
        <v>0</v>
      </c>
      <c r="AI1159" s="716">
        <f t="shared" si="2974"/>
        <v>0</v>
      </c>
      <c r="AJ1159" s="716">
        <f t="shared" si="2975"/>
        <v>0</v>
      </c>
      <c r="AK1159" s="716" t="str">
        <f t="shared" si="2976"/>
        <v/>
      </c>
      <c r="AL1159" s="716" t="str">
        <f t="shared" si="2977"/>
        <v/>
      </c>
      <c r="AM1159" s="716" t="str">
        <f t="shared" si="2978"/>
        <v/>
      </c>
      <c r="AN1159" s="716">
        <f t="shared" si="2979"/>
        <v>0</v>
      </c>
      <c r="AO1159" s="380"/>
      <c r="AP1159" s="322" t="str">
        <f t="shared" si="2980"/>
        <v/>
      </c>
      <c r="AQ1159" s="323" t="str">
        <f>IF(AC1159=$V$3,IF(VLOOKUP(C1159,[1]List1!$A:$E,5,FALSE)=0,1,VLOOKUP(C1159,[1]List1!$A:$E,5,FALSE)),"")</f>
        <v/>
      </c>
      <c r="AR1159" s="304" t="str">
        <f t="shared" si="2981"/>
        <v/>
      </c>
      <c r="AS1159" s="423" t="str">
        <f t="shared" si="2982"/>
        <v/>
      </c>
      <c r="AT1159" s="304" t="str">
        <f t="shared" si="2983"/>
        <v/>
      </c>
      <c r="AU1159" s="342" t="e">
        <f t="shared" si="2984"/>
        <v>#N/A</v>
      </c>
      <c r="AV1159" s="304" t="e">
        <f t="shared" si="2985"/>
        <v>#N/A</v>
      </c>
      <c r="AX1159" s="304">
        <f>IF(AND('General price list'!$J1159="F4",'General price list'!$AB1159+0&gt;0),1,0)</f>
        <v>0</v>
      </c>
      <c r="AY1159" s="304">
        <f t="shared" si="2986"/>
        <v>0</v>
      </c>
      <c r="AZ1159" s="304">
        <f t="shared" si="2987"/>
        <v>0</v>
      </c>
    </row>
    <row r="1160" spans="1:52" ht="15" customHeight="1">
      <c r="A1160" s="725"/>
      <c r="B1160" s="749">
        <f>IF(AND('General price list'!$J1160="F4",$AI$1=FALSE),0,IF(AC1160="SKLADEM",1,IF(AC1160=$V$3,1,0)))</f>
        <v>1</v>
      </c>
      <c r="C1160" s="727" t="s">
        <v>12068</v>
      </c>
      <c r="D1160" s="728" t="s">
        <v>14658</v>
      </c>
      <c r="E1160" s="729" t="s">
        <v>136</v>
      </c>
      <c r="F1160" s="725">
        <f>IFERROR(ROUND(IF($AL$3=2,VLOOKUP(C1160,[2]List1!$A:$D,2,FALSE)*1.08,VLOOKUP(C1160,[2]List1!$A:$D,2,FALSE)),0),"NEUVEDENO!")</f>
        <v>688</v>
      </c>
      <c r="G1160" s="730">
        <f t="shared" si="2966"/>
        <v>688</v>
      </c>
      <c r="H1160" s="731">
        <f t="shared" si="2967"/>
        <v>27.957365018347023</v>
      </c>
      <c r="I1160" s="750">
        <v>1</v>
      </c>
      <c r="J1160" s="729"/>
      <c r="K1160" s="729"/>
      <c r="L1160" s="729" t="s">
        <v>14464</v>
      </c>
      <c r="M1160" s="729"/>
      <c r="N1160" s="729" t="str">
        <f>IFERROR(VLOOKUP(C1160,[3]List1!$A:$D,4,FALSE),"N/A!")</f>
        <v/>
      </c>
      <c r="O1160" s="729" t="str">
        <f>IFERROR(VLOOKUP(C1160,[3]List1!$A:$D,3,FALSE),"N/A!")</f>
        <v/>
      </c>
      <c r="P1160" s="729">
        <f>IFERROR(VLOOKUP(C1160,[3]List1!$A:$D,2,FALSE),"N/A!")</f>
        <v>1500</v>
      </c>
      <c r="Q1160" s="729"/>
      <c r="R1160" s="729"/>
      <c r="S1160" s="729"/>
      <c r="T1160" s="729"/>
      <c r="U1160" s="729"/>
      <c r="V1160" s="729"/>
      <c r="W1160" s="729" t="str">
        <f>IFERROR(VLOOKUP('General price list'!$C1160,Popisy!A:P,MATCH($W$17,Popisy!$A$7:$P$7,0),FALSE),"---------------")</f>
        <v>Kartonová krabice s designem výrobku</v>
      </c>
      <c r="X1160" s="729" t="str">
        <f t="shared" si="2968"/>
        <v/>
      </c>
      <c r="Y1160" s="729" t="str">
        <f t="shared" si="2969"/>
        <v/>
      </c>
      <c r="Z1160" s="729"/>
      <c r="AA1160" s="729" t="str">
        <f>IFERROR(IF(VLOOKUP(C1160,[4]List1!$A:$D,4,FALSE)=0,"",VLOOKUP(C1160,[4]List1!$A:$D,4,FALSE)),"")</f>
        <v/>
      </c>
      <c r="AB1160" s="720"/>
      <c r="AC1160" s="751" t="str">
        <f>IFERROR(IF(VLOOKUP(C1160,[1]List1!$A:$D,2,FALSE)="VYPRODÁNO",$V$9,IF(VLOOKUP(C1160,[1]List1!$A:$D,2,FALSE)="DOCHÁZÍ",$V$3,VLOOKUP(C1160,[1]List1!$A:$D,2,FALSE))),"OFFLINE!")</f>
        <v>SKLADEM</v>
      </c>
      <c r="AD1160" s="752" t="str">
        <f ca="1">IF(AP1160="NE",$V$10,IF(AC1160=$V$3,IF(AQ1160&lt;1,$V$8,$V$2&amp;" "&amp;AQ1160&amp;" "&amp;$V$1),IF(AC1160="SKLADEM",$V$6,IFERROR(IF(OR(AC1160-TODAY()&gt;45,VLOOKUP(C1160,[1]List1!$A:$E,4,FALSE)=0),AC1160,DAY(AC1160)&amp;"."&amp;MONTH(AC1160)&amp;"."&amp;YEAR(AC1160)&amp;" "&amp;$V$4&amp;VLOOKUP(C1160,[1]List1!$A:$E,4,FALSE)&amp;" "&amp;$V$1),AC1160))))</f>
        <v>SKLADEM</v>
      </c>
      <c r="AE1160" s="729" t="str">
        <f t="shared" ca="1" si="2970"/>
        <v>SKLADEM</v>
      </c>
      <c r="AF1160" s="735">
        <f t="shared" si="2971"/>
        <v>0</v>
      </c>
      <c r="AG1160" s="735">
        <f t="shared" si="2972"/>
        <v>0</v>
      </c>
      <c r="AH1160" s="736">
        <f t="shared" si="2973"/>
        <v>0</v>
      </c>
      <c r="AI1160" s="729">
        <f t="shared" si="2974"/>
        <v>0</v>
      </c>
      <c r="AJ1160" s="729">
        <f t="shared" si="2975"/>
        <v>0</v>
      </c>
      <c r="AK1160" s="729" t="str">
        <f t="shared" si="2976"/>
        <v/>
      </c>
      <c r="AL1160" s="729" t="str">
        <f t="shared" si="2977"/>
        <v/>
      </c>
      <c r="AM1160" s="729" t="str">
        <f t="shared" si="2978"/>
        <v/>
      </c>
      <c r="AN1160" s="729">
        <f t="shared" si="2979"/>
        <v>0</v>
      </c>
      <c r="AO1160" s="380"/>
      <c r="AP1160" s="322" t="str">
        <f t="shared" si="2980"/>
        <v/>
      </c>
      <c r="AQ1160" s="323" t="str">
        <f>IF(AC1160=$V$3,IF(VLOOKUP(C1160,[1]List1!$A:$E,5,FALSE)=0,1,VLOOKUP(C1160,[1]List1!$A:$E,5,FALSE)),"")</f>
        <v/>
      </c>
      <c r="AR1160" s="304" t="str">
        <f t="shared" si="2981"/>
        <v/>
      </c>
      <c r="AS1160" s="423" t="str">
        <f t="shared" si="2982"/>
        <v/>
      </c>
      <c r="AT1160" s="304" t="str">
        <f t="shared" si="2983"/>
        <v/>
      </c>
      <c r="AU1160" s="342" t="e">
        <f t="shared" si="2984"/>
        <v>#N/A</v>
      </c>
      <c r="AV1160" s="304" t="e">
        <f t="shared" si="2985"/>
        <v>#N/A</v>
      </c>
      <c r="AX1160" s="304">
        <f>IF(AND('General price list'!$J1160="F4",'General price list'!$AB1160+0&gt;0),1,0)</f>
        <v>0</v>
      </c>
      <c r="AY1160" s="304">
        <f t="shared" si="2986"/>
        <v>0</v>
      </c>
      <c r="AZ1160" s="304">
        <f t="shared" si="2987"/>
        <v>0</v>
      </c>
    </row>
    <row r="1161" spans="1:52" ht="15" customHeight="1">
      <c r="A1161" s="712"/>
      <c r="B1161" s="745">
        <f>IF(AND('General price list'!$J1161="F4",$AI$1=FALSE),0,IF(AC1161="SKLADEM",1,IF(AC1161=$V$3,1,0)))</f>
        <v>1</v>
      </c>
      <c r="C1161" s="714" t="s">
        <v>12070</v>
      </c>
      <c r="D1161" s="715" t="s">
        <v>14659</v>
      </c>
      <c r="E1161" s="716" t="s">
        <v>136</v>
      </c>
      <c r="F1161" s="712">
        <f>IFERROR(ROUND(IF($AL$3=2,VLOOKUP(C1161,[2]List1!$A:$D,2,FALSE)*1.08,VLOOKUP(C1161,[2]List1!$A:$D,2,FALSE)),0),"NEUVEDENO!")</f>
        <v>710</v>
      </c>
      <c r="G1161" s="717">
        <f t="shared" si="2966"/>
        <v>710</v>
      </c>
      <c r="H1161" s="718">
        <f t="shared" si="2967"/>
        <v>28.851350527654631</v>
      </c>
      <c r="I1161" s="746">
        <v>1</v>
      </c>
      <c r="J1161" s="716"/>
      <c r="K1161" s="716"/>
      <c r="L1161" s="716" t="s">
        <v>14464</v>
      </c>
      <c r="M1161" s="716"/>
      <c r="N1161" s="716" t="str">
        <f>IFERROR(VLOOKUP(C1161,[3]List1!$A:$D,4,FALSE),"N/A!")</f>
        <v/>
      </c>
      <c r="O1161" s="716" t="str">
        <f>IFERROR(VLOOKUP(C1161,[3]List1!$A:$D,3,FALSE),"N/A!")</f>
        <v/>
      </c>
      <c r="P1161" s="716">
        <f>IFERROR(VLOOKUP(C1161,[3]List1!$A:$D,2,FALSE),"N/A!")</f>
        <v>1500</v>
      </c>
      <c r="Q1161" s="716"/>
      <c r="R1161" s="716"/>
      <c r="S1161" s="716"/>
      <c r="T1161" s="716"/>
      <c r="U1161" s="716"/>
      <c r="V1161" s="716"/>
      <c r="W1161" s="716" t="str">
        <f>IFERROR(VLOOKUP('General price list'!$C1161,Popisy!A:P,MATCH($W$17,Popisy!$A$7:$P$7,0),FALSE),"---------------")</f>
        <v>Kartonová krabice s designem výrobku</v>
      </c>
      <c r="X1161" s="716" t="str">
        <f t="shared" si="2968"/>
        <v/>
      </c>
      <c r="Y1161" s="716" t="str">
        <f t="shared" si="2969"/>
        <v/>
      </c>
      <c r="Z1161" s="716"/>
      <c r="AA1161" s="716" t="str">
        <f>IFERROR(IF(VLOOKUP(C1161,[4]List1!$A:$D,4,FALSE)=0,"",VLOOKUP(C1161,[4]List1!$A:$D,4,FALSE)),"")</f>
        <v/>
      </c>
      <c r="AB1161" s="720"/>
      <c r="AC1161" s="747" t="str">
        <f>IFERROR(IF(VLOOKUP(C1161,[1]List1!$A:$D,2,FALSE)="VYPRODÁNO",$V$9,IF(VLOOKUP(C1161,[1]List1!$A:$D,2,FALSE)="DOCHÁZÍ",$V$3,VLOOKUP(C1161,[1]List1!$A:$D,2,FALSE))),"OFFLINE!")</f>
        <v>SKLADEM</v>
      </c>
      <c r="AD1161" s="748" t="str">
        <f ca="1">IF(AP1161="NE",$V$10,IF(AC1161=$V$3,IF(AQ1161&lt;1,$V$8,$V$2&amp;" "&amp;AQ1161&amp;" "&amp;$V$1),IF(AC1161="SKLADEM",$V$6,IFERROR(IF(OR(AC1161-TODAY()&gt;45,VLOOKUP(C1161,[1]List1!$A:$E,4,FALSE)=0),AC1161,DAY(AC1161)&amp;"."&amp;MONTH(AC1161)&amp;"."&amp;YEAR(AC1161)&amp;" "&amp;$V$4&amp;VLOOKUP(C1161,[1]List1!$A:$E,4,FALSE)&amp;" "&amp;$V$1),AC1161))))</f>
        <v>SKLADEM</v>
      </c>
      <c r="AE1161" s="716" t="str">
        <f t="shared" ca="1" si="2970"/>
        <v>SKLADEM</v>
      </c>
      <c r="AF1161" s="723">
        <f t="shared" si="2971"/>
        <v>0</v>
      </c>
      <c r="AG1161" s="723">
        <f t="shared" si="2972"/>
        <v>0</v>
      </c>
      <c r="AH1161" s="724">
        <f t="shared" si="2973"/>
        <v>0</v>
      </c>
      <c r="AI1161" s="716">
        <f t="shared" si="2974"/>
        <v>0</v>
      </c>
      <c r="AJ1161" s="716">
        <f t="shared" si="2975"/>
        <v>0</v>
      </c>
      <c r="AK1161" s="716" t="str">
        <f t="shared" si="2976"/>
        <v/>
      </c>
      <c r="AL1161" s="716" t="str">
        <f t="shared" si="2977"/>
        <v/>
      </c>
      <c r="AM1161" s="716" t="str">
        <f t="shared" si="2978"/>
        <v/>
      </c>
      <c r="AN1161" s="716">
        <f t="shared" si="2979"/>
        <v>0</v>
      </c>
      <c r="AO1161" s="380"/>
      <c r="AP1161" s="322" t="str">
        <f t="shared" si="2980"/>
        <v/>
      </c>
      <c r="AQ1161" s="323" t="str">
        <f>IF(AC1161=$V$3,IF(VLOOKUP(C1161,[1]List1!$A:$E,5,FALSE)=0,1,VLOOKUP(C1161,[1]List1!$A:$E,5,FALSE)),"")</f>
        <v/>
      </c>
      <c r="AR1161" s="304" t="str">
        <f t="shared" si="2981"/>
        <v/>
      </c>
      <c r="AS1161" s="423" t="str">
        <f t="shared" si="2982"/>
        <v/>
      </c>
      <c r="AT1161" s="304" t="str">
        <f t="shared" si="2983"/>
        <v/>
      </c>
      <c r="AU1161" s="342" t="e">
        <f t="shared" si="2984"/>
        <v>#N/A</v>
      </c>
      <c r="AV1161" s="304" t="e">
        <f t="shared" si="2985"/>
        <v>#N/A</v>
      </c>
      <c r="AX1161" s="304">
        <f>IF(AND('General price list'!$J1161="F4",'General price list'!$AB1161+0&gt;0),1,0)</f>
        <v>0</v>
      </c>
      <c r="AY1161" s="304">
        <f t="shared" si="2986"/>
        <v>0</v>
      </c>
      <c r="AZ1161" s="304">
        <f t="shared" si="2987"/>
        <v>0</v>
      </c>
    </row>
    <row r="1162" spans="1:52" ht="15" customHeight="1">
      <c r="A1162" s="725"/>
      <c r="B1162" s="749">
        <f>IF(AND('General price list'!$J1162="F4",$AI$1=FALSE),0,IF(AC1162="SKLADEM",1,IF(AC1162=$V$3,1,0)))</f>
        <v>1</v>
      </c>
      <c r="C1162" s="727" t="s">
        <v>12071</v>
      </c>
      <c r="D1162" s="728" t="s">
        <v>14660</v>
      </c>
      <c r="E1162" s="729" t="s">
        <v>136</v>
      </c>
      <c r="F1162" s="725">
        <f>IFERROR(ROUND(IF($AL$3=2,VLOOKUP(C1162,[2]List1!$A:$D,2,FALSE)*1.08,VLOOKUP(C1162,[2]List1!$A:$D,2,FALSE)),0),"NEUVEDENO!")</f>
        <v>351</v>
      </c>
      <c r="G1162" s="730">
        <f t="shared" si="2966"/>
        <v>351</v>
      </c>
      <c r="H1162" s="731">
        <f t="shared" si="2967"/>
        <v>14.263132443953205</v>
      </c>
      <c r="I1162" s="750">
        <v>1</v>
      </c>
      <c r="J1162" s="729"/>
      <c r="K1162" s="729"/>
      <c r="L1162" s="729" t="s">
        <v>14464</v>
      </c>
      <c r="M1162" s="729"/>
      <c r="N1162" s="729" t="str">
        <f>IFERROR(VLOOKUP(C1162,[3]List1!$A:$D,4,FALSE),"N/A!")</f>
        <v/>
      </c>
      <c r="O1162" s="729" t="str">
        <f>IFERROR(VLOOKUP(C1162,[3]List1!$A:$D,3,FALSE),"N/A!")</f>
        <v/>
      </c>
      <c r="P1162" s="729">
        <f>IFERROR(VLOOKUP(C1162,[3]List1!$A:$D,2,FALSE),"N/A!")</f>
        <v>1500</v>
      </c>
      <c r="Q1162" s="729"/>
      <c r="R1162" s="729"/>
      <c r="S1162" s="729"/>
      <c r="T1162" s="729"/>
      <c r="U1162" s="729"/>
      <c r="V1162" s="729"/>
      <c r="W1162" s="729" t="str">
        <f>IFERROR(VLOOKUP('General price list'!$C1162,Popisy!A:P,MATCH($W$17,Popisy!$A$7:$P$7,0),FALSE),"---------------")</f>
        <v>Kartonová krabice s designem výrobku</v>
      </c>
      <c r="X1162" s="729" t="str">
        <f t="shared" si="2968"/>
        <v/>
      </c>
      <c r="Y1162" s="729" t="str">
        <f t="shared" si="2969"/>
        <v/>
      </c>
      <c r="Z1162" s="729"/>
      <c r="AA1162" s="729" t="str">
        <f>IFERROR(IF(VLOOKUP(C1162,[4]List1!$A:$D,4,FALSE)=0,"",VLOOKUP(C1162,[4]List1!$A:$D,4,FALSE)),"")</f>
        <v/>
      </c>
      <c r="AB1162" s="720"/>
      <c r="AC1162" s="751" t="str">
        <f>IFERROR(IF(VLOOKUP(C1162,[1]List1!$A:$D,2,FALSE)="VYPRODÁNO",$V$9,IF(VLOOKUP(C1162,[1]List1!$A:$D,2,FALSE)="DOCHÁZÍ",$V$3,VLOOKUP(C1162,[1]List1!$A:$D,2,FALSE))),"OFFLINE!")</f>
        <v>SKLADEM</v>
      </c>
      <c r="AD1162" s="752" t="str">
        <f ca="1">IF(AP1162="NE",$V$10,IF(AC1162=$V$3,IF(AQ1162&lt;1,$V$8,$V$2&amp;" "&amp;AQ1162&amp;" "&amp;$V$1),IF(AC1162="SKLADEM",$V$6,IFERROR(IF(OR(AC1162-TODAY()&gt;45,VLOOKUP(C1162,[1]List1!$A:$E,4,FALSE)=0),AC1162,DAY(AC1162)&amp;"."&amp;MONTH(AC1162)&amp;"."&amp;YEAR(AC1162)&amp;" "&amp;$V$4&amp;VLOOKUP(C1162,[1]List1!$A:$E,4,FALSE)&amp;" "&amp;$V$1),AC1162))))</f>
        <v>SKLADEM</v>
      </c>
      <c r="AE1162" s="729" t="str">
        <f t="shared" ca="1" si="2970"/>
        <v>SKLADEM</v>
      </c>
      <c r="AF1162" s="735">
        <f t="shared" si="2971"/>
        <v>0</v>
      </c>
      <c r="AG1162" s="735">
        <f t="shared" si="2972"/>
        <v>0</v>
      </c>
      <c r="AH1162" s="736">
        <f t="shared" si="2973"/>
        <v>0</v>
      </c>
      <c r="AI1162" s="729">
        <f t="shared" si="2974"/>
        <v>0</v>
      </c>
      <c r="AJ1162" s="729">
        <f t="shared" si="2975"/>
        <v>0</v>
      </c>
      <c r="AK1162" s="729" t="str">
        <f t="shared" si="2976"/>
        <v/>
      </c>
      <c r="AL1162" s="729" t="str">
        <f t="shared" si="2977"/>
        <v/>
      </c>
      <c r="AM1162" s="729" t="str">
        <f t="shared" si="2978"/>
        <v/>
      </c>
      <c r="AN1162" s="729">
        <f t="shared" si="2979"/>
        <v>0</v>
      </c>
      <c r="AO1162" s="380"/>
      <c r="AP1162" s="322" t="str">
        <f t="shared" si="2980"/>
        <v/>
      </c>
      <c r="AQ1162" s="323" t="str">
        <f>IF(AC1162=$V$3,IF(VLOOKUP(C1162,[1]List1!$A:$E,5,FALSE)=0,1,VLOOKUP(C1162,[1]List1!$A:$E,5,FALSE)),"")</f>
        <v/>
      </c>
      <c r="AR1162" s="304" t="str">
        <f t="shared" si="2981"/>
        <v/>
      </c>
      <c r="AS1162" s="423" t="str">
        <f t="shared" si="2982"/>
        <v/>
      </c>
      <c r="AT1162" s="304" t="str">
        <f t="shared" si="2983"/>
        <v/>
      </c>
      <c r="AU1162" s="342" t="e">
        <f t="shared" si="2984"/>
        <v>#N/A</v>
      </c>
      <c r="AV1162" s="304" t="e">
        <f t="shared" si="2985"/>
        <v>#N/A</v>
      </c>
      <c r="AX1162" s="304">
        <f>IF(AND('General price list'!$J1162="F4",'General price list'!$AB1162+0&gt;0),1,0)</f>
        <v>0</v>
      </c>
      <c r="AY1162" s="304">
        <f t="shared" si="2986"/>
        <v>0</v>
      </c>
      <c r="AZ1162" s="304">
        <f t="shared" si="2987"/>
        <v>0</v>
      </c>
    </row>
    <row r="1163" spans="1:52" ht="15" customHeight="1">
      <c r="A1163" s="712"/>
      <c r="B1163" s="745">
        <f>IF(AND('General price list'!$J1163="F4",$AI$1=FALSE),0,IF(AC1163="SKLADEM",1,IF(AC1163=$V$3,1,0)))</f>
        <v>1</v>
      </c>
      <c r="C1163" s="714" t="s">
        <v>12072</v>
      </c>
      <c r="D1163" s="715" t="s">
        <v>14660</v>
      </c>
      <c r="E1163" s="716" t="s">
        <v>136</v>
      </c>
      <c r="F1163" s="712">
        <f>IFERROR(ROUND(IF($AL$3=2,VLOOKUP(C1163,[2]List1!$A:$D,2,FALSE)*1.08,VLOOKUP(C1163,[2]List1!$A:$D,2,FALSE)),0),"NEUVEDENO!")</f>
        <v>351</v>
      </c>
      <c r="G1163" s="717">
        <f t="shared" si="2966"/>
        <v>351</v>
      </c>
      <c r="H1163" s="718">
        <f t="shared" si="2967"/>
        <v>14.263132443953205</v>
      </c>
      <c r="I1163" s="746">
        <v>1</v>
      </c>
      <c r="J1163" s="716"/>
      <c r="K1163" s="716"/>
      <c r="L1163" s="716" t="s">
        <v>14464</v>
      </c>
      <c r="M1163" s="716"/>
      <c r="N1163" s="716" t="str">
        <f>IFERROR(VLOOKUP(C1163,[3]List1!$A:$D,4,FALSE),"N/A!")</f>
        <v/>
      </c>
      <c r="O1163" s="716" t="str">
        <f>IFERROR(VLOOKUP(C1163,[3]List1!$A:$D,3,FALSE),"N/A!")</f>
        <v/>
      </c>
      <c r="P1163" s="716">
        <f>IFERROR(VLOOKUP(C1163,[3]List1!$A:$D,2,FALSE),"N/A!")</f>
        <v>1500</v>
      </c>
      <c r="Q1163" s="716"/>
      <c r="R1163" s="716"/>
      <c r="S1163" s="716"/>
      <c r="T1163" s="716"/>
      <c r="U1163" s="716"/>
      <c r="V1163" s="716"/>
      <c r="W1163" s="716" t="str">
        <f>IFERROR(VLOOKUP('General price list'!$C1163,Popisy!A:P,MATCH($W$17,Popisy!$A$7:$P$7,0),FALSE),"---------------")</f>
        <v>Kartonová krabice s designem výrobku</v>
      </c>
      <c r="X1163" s="716" t="str">
        <f t="shared" si="2968"/>
        <v/>
      </c>
      <c r="Y1163" s="716" t="str">
        <f t="shared" si="2969"/>
        <v/>
      </c>
      <c r="Z1163" s="716"/>
      <c r="AA1163" s="716" t="str">
        <f>IFERROR(IF(VLOOKUP(C1163,[4]List1!$A:$D,4,FALSE)=0,"",VLOOKUP(C1163,[4]List1!$A:$D,4,FALSE)),"")</f>
        <v/>
      </c>
      <c r="AB1163" s="720"/>
      <c r="AC1163" s="747" t="str">
        <f>IFERROR(IF(VLOOKUP(C1163,[1]List1!$A:$D,2,FALSE)="VYPRODÁNO",$V$9,IF(VLOOKUP(C1163,[1]List1!$A:$D,2,FALSE)="DOCHÁZÍ",$V$3,VLOOKUP(C1163,[1]List1!$A:$D,2,FALSE))),"OFFLINE!")</f>
        <v>SKLADEM</v>
      </c>
      <c r="AD1163" s="748" t="str">
        <f ca="1">IF(AP1163="NE",$V$10,IF(AC1163=$V$3,IF(AQ1163&lt;1,$V$8,$V$2&amp;" "&amp;AQ1163&amp;" "&amp;$V$1),IF(AC1163="SKLADEM",$V$6,IFERROR(IF(OR(AC1163-TODAY()&gt;45,VLOOKUP(C1163,[1]List1!$A:$E,4,FALSE)=0),AC1163,DAY(AC1163)&amp;"."&amp;MONTH(AC1163)&amp;"."&amp;YEAR(AC1163)&amp;" "&amp;$V$4&amp;VLOOKUP(C1163,[1]List1!$A:$E,4,FALSE)&amp;" "&amp;$V$1),AC1163))))</f>
        <v>SKLADEM</v>
      </c>
      <c r="AE1163" s="716" t="str">
        <f t="shared" ca="1" si="2970"/>
        <v>SKLADEM</v>
      </c>
      <c r="AF1163" s="723">
        <f t="shared" si="2971"/>
        <v>0</v>
      </c>
      <c r="AG1163" s="723">
        <f t="shared" si="2972"/>
        <v>0</v>
      </c>
      <c r="AH1163" s="724">
        <f t="shared" si="2973"/>
        <v>0</v>
      </c>
      <c r="AI1163" s="716">
        <f t="shared" si="2974"/>
        <v>0</v>
      </c>
      <c r="AJ1163" s="716">
        <f t="shared" si="2975"/>
        <v>0</v>
      </c>
      <c r="AK1163" s="716" t="str">
        <f t="shared" si="2976"/>
        <v/>
      </c>
      <c r="AL1163" s="716" t="str">
        <f t="shared" si="2977"/>
        <v/>
      </c>
      <c r="AM1163" s="716" t="str">
        <f t="shared" si="2978"/>
        <v/>
      </c>
      <c r="AN1163" s="716">
        <f t="shared" si="2979"/>
        <v>0</v>
      </c>
      <c r="AO1163" s="380"/>
      <c r="AP1163" s="322" t="str">
        <f t="shared" si="2980"/>
        <v/>
      </c>
      <c r="AQ1163" s="323" t="str">
        <f>IF(AC1163=$V$3,IF(VLOOKUP(C1163,[1]List1!$A:$E,5,FALSE)=0,1,VLOOKUP(C1163,[1]List1!$A:$E,5,FALSE)),"")</f>
        <v/>
      </c>
      <c r="AR1163" s="304" t="str">
        <f t="shared" si="2981"/>
        <v/>
      </c>
      <c r="AS1163" s="423" t="str">
        <f t="shared" si="2982"/>
        <v/>
      </c>
      <c r="AT1163" s="304" t="str">
        <f t="shared" si="2983"/>
        <v/>
      </c>
      <c r="AU1163" s="342" t="e">
        <f t="shared" si="2984"/>
        <v>#N/A</v>
      </c>
      <c r="AV1163" s="304" t="e">
        <f t="shared" si="2985"/>
        <v>#N/A</v>
      </c>
      <c r="AX1163" s="304">
        <f>IF(AND('General price list'!$J1163="F4",'General price list'!$AB1163+0&gt;0),1,0)</f>
        <v>0</v>
      </c>
      <c r="AY1163" s="304">
        <f t="shared" si="2986"/>
        <v>0</v>
      </c>
      <c r="AZ1163" s="304">
        <f t="shared" si="2987"/>
        <v>0</v>
      </c>
    </row>
    <row r="1164" spans="1:52" ht="15" customHeight="1">
      <c r="A1164" s="725"/>
      <c r="B1164" s="749">
        <f>IF(AND('General price list'!$J1164="F4",$AI$1=FALSE),0,IF(AC1164="SKLADEM",1,IF(AC1164=$V$3,1,0)))</f>
        <v>1</v>
      </c>
      <c r="C1164" s="727" t="s">
        <v>12073</v>
      </c>
      <c r="D1164" s="728" t="s">
        <v>14661</v>
      </c>
      <c r="E1164" s="729" t="s">
        <v>136</v>
      </c>
      <c r="F1164" s="725">
        <f>IFERROR(ROUND(IF($AL$3=2,VLOOKUP(C1164,[2]List1!$A:$D,2,FALSE)*1.08,VLOOKUP(C1164,[2]List1!$A:$D,2,FALSE)),0),"NEUVEDENO!")</f>
        <v>267</v>
      </c>
      <c r="G1164" s="730">
        <f t="shared" si="2966"/>
        <v>267</v>
      </c>
      <c r="H1164" s="731">
        <f t="shared" si="2967"/>
        <v>10.849733226596882</v>
      </c>
      <c r="I1164" s="750">
        <v>1</v>
      </c>
      <c r="J1164" s="729"/>
      <c r="K1164" s="729"/>
      <c r="L1164" s="729" t="s">
        <v>14464</v>
      </c>
      <c r="M1164" s="729"/>
      <c r="N1164" s="729" t="str">
        <f>IFERROR(VLOOKUP(C1164,[3]List1!$A:$D,4,FALSE),"N/A!")</f>
        <v/>
      </c>
      <c r="O1164" s="729" t="str">
        <f>IFERROR(VLOOKUP(C1164,[3]List1!$A:$D,3,FALSE),"N/A!")</f>
        <v/>
      </c>
      <c r="P1164" s="729">
        <f>IFERROR(VLOOKUP(C1164,[3]List1!$A:$D,2,FALSE),"N/A!")</f>
        <v>1500</v>
      </c>
      <c r="Q1164" s="729"/>
      <c r="R1164" s="729"/>
      <c r="S1164" s="729"/>
      <c r="T1164" s="729"/>
      <c r="U1164" s="729"/>
      <c r="V1164" s="729"/>
      <c r="W1164" s="729" t="str">
        <f>IFERROR(VLOOKUP('General price list'!$C1164,Popisy!A:P,MATCH($W$17,Popisy!$A$7:$P$7,0),FALSE),"---------------")</f>
        <v>Kartonová krabice s designem výrobku</v>
      </c>
      <c r="X1164" s="729" t="str">
        <f t="shared" si="2968"/>
        <v/>
      </c>
      <c r="Y1164" s="729" t="str">
        <f t="shared" si="2969"/>
        <v/>
      </c>
      <c r="Z1164" s="729"/>
      <c r="AA1164" s="729" t="str">
        <f>IFERROR(IF(VLOOKUP(C1164,[4]List1!$A:$D,4,FALSE)=0,"",VLOOKUP(C1164,[4]List1!$A:$D,4,FALSE)),"")</f>
        <v/>
      </c>
      <c r="AB1164" s="720"/>
      <c r="AC1164" s="751" t="str">
        <f>IFERROR(IF(VLOOKUP(C1164,[1]List1!$A:$D,2,FALSE)="VYPRODÁNO",$V$9,IF(VLOOKUP(C1164,[1]List1!$A:$D,2,FALSE)="DOCHÁZÍ",$V$3,VLOOKUP(C1164,[1]List1!$A:$D,2,FALSE))),"OFFLINE!")</f>
        <v>SKLADEM</v>
      </c>
      <c r="AD1164" s="752" t="str">
        <f ca="1">IF(AP1164="NE",$V$10,IF(AC1164=$V$3,IF(AQ1164&lt;1,$V$8,$V$2&amp;" "&amp;AQ1164&amp;" "&amp;$V$1),IF(AC1164="SKLADEM",$V$6,IFERROR(IF(OR(AC1164-TODAY()&gt;45,VLOOKUP(C1164,[1]List1!$A:$E,4,FALSE)=0),AC1164,DAY(AC1164)&amp;"."&amp;MONTH(AC1164)&amp;"."&amp;YEAR(AC1164)&amp;" "&amp;$V$4&amp;VLOOKUP(C1164,[1]List1!$A:$E,4,FALSE)&amp;" "&amp;$V$1),AC1164))))</f>
        <v>SKLADEM</v>
      </c>
      <c r="AE1164" s="729" t="str">
        <f t="shared" ca="1" si="2970"/>
        <v>SKLADEM</v>
      </c>
      <c r="AF1164" s="735">
        <f t="shared" si="2971"/>
        <v>0</v>
      </c>
      <c r="AG1164" s="735">
        <f t="shared" si="2972"/>
        <v>0</v>
      </c>
      <c r="AH1164" s="736">
        <f t="shared" si="2973"/>
        <v>0</v>
      </c>
      <c r="AI1164" s="729">
        <f t="shared" si="2974"/>
        <v>0</v>
      </c>
      <c r="AJ1164" s="729">
        <f t="shared" si="2975"/>
        <v>0</v>
      </c>
      <c r="AK1164" s="729" t="str">
        <f t="shared" si="2976"/>
        <v/>
      </c>
      <c r="AL1164" s="729" t="str">
        <f t="shared" si="2977"/>
        <v/>
      </c>
      <c r="AM1164" s="729" t="str">
        <f t="shared" si="2978"/>
        <v/>
      </c>
      <c r="AN1164" s="729">
        <f t="shared" si="2979"/>
        <v>0</v>
      </c>
      <c r="AO1164" s="380"/>
      <c r="AP1164" s="322" t="str">
        <f t="shared" si="2980"/>
        <v/>
      </c>
      <c r="AQ1164" s="323" t="str">
        <f>IF(AC1164=$V$3,IF(VLOOKUP(C1164,[1]List1!$A:$E,5,FALSE)=0,1,VLOOKUP(C1164,[1]List1!$A:$E,5,FALSE)),"")</f>
        <v/>
      </c>
      <c r="AR1164" s="304" t="str">
        <f t="shared" si="2981"/>
        <v/>
      </c>
      <c r="AS1164" s="423" t="str">
        <f t="shared" si="2982"/>
        <v/>
      </c>
      <c r="AT1164" s="304" t="str">
        <f t="shared" si="2983"/>
        <v/>
      </c>
      <c r="AU1164" s="342" t="e">
        <f t="shared" si="2984"/>
        <v>#N/A</v>
      </c>
      <c r="AV1164" s="304" t="e">
        <f t="shared" si="2985"/>
        <v>#N/A</v>
      </c>
      <c r="AX1164" s="304">
        <f>IF(AND('General price list'!$J1164="F4",'General price list'!$AB1164+0&gt;0),1,0)</f>
        <v>0</v>
      </c>
      <c r="AY1164" s="304">
        <f t="shared" si="2986"/>
        <v>0</v>
      </c>
      <c r="AZ1164" s="304">
        <f t="shared" si="2987"/>
        <v>0</v>
      </c>
    </row>
    <row r="1165" spans="1:52" ht="15" customHeight="1">
      <c r="A1165" s="712"/>
      <c r="B1165" s="745">
        <f>IF(AND('General price list'!$J1165="F4",$AI$1=FALSE),0,IF(AC1165="SKLADEM",1,IF(AC1165=$V$3,1,0)))</f>
        <v>1</v>
      </c>
      <c r="C1165" s="714" t="s">
        <v>12347</v>
      </c>
      <c r="D1165" s="715" t="s">
        <v>14662</v>
      </c>
      <c r="E1165" s="716" t="s">
        <v>136</v>
      </c>
      <c r="F1165" s="712">
        <f>IFERROR(ROUND(IF($AL$3=2,VLOOKUP(C1165,[2]List1!$A:$D,2,FALSE)*1.08,VLOOKUP(C1165,[2]List1!$A:$D,2,FALSE)),0),"NEUVEDENO!")</f>
        <v>522</v>
      </c>
      <c r="G1165" s="717">
        <f t="shared" si="2966"/>
        <v>522</v>
      </c>
      <c r="H1165" s="718">
        <f t="shared" si="2967"/>
        <v>21.211837993571432</v>
      </c>
      <c r="I1165" s="746">
        <v>1</v>
      </c>
      <c r="J1165" s="716"/>
      <c r="K1165" s="716"/>
      <c r="L1165" s="716" t="s">
        <v>14464</v>
      </c>
      <c r="M1165" s="716"/>
      <c r="N1165" s="716" t="str">
        <f>IFERROR(VLOOKUP(C1165,[3]List1!$A:$D,4,FALSE),"N/A!")</f>
        <v/>
      </c>
      <c r="O1165" s="716" t="str">
        <f>IFERROR(VLOOKUP(C1165,[3]List1!$A:$D,3,FALSE),"N/A!")</f>
        <v/>
      </c>
      <c r="P1165" s="716">
        <f>IFERROR(VLOOKUP(C1165,[3]List1!$A:$D,2,FALSE),"N/A!")</f>
        <v>1500</v>
      </c>
      <c r="Q1165" s="716"/>
      <c r="R1165" s="716"/>
      <c r="S1165" s="716"/>
      <c r="T1165" s="716"/>
      <c r="U1165" s="716"/>
      <c r="V1165" s="716"/>
      <c r="W1165" s="716" t="str">
        <f>IFERROR(VLOOKUP('General price list'!$C1165,Popisy!A:P,MATCH($W$17,Popisy!$A$7:$P$7,0),FALSE),"---------------")</f>
        <v>Kartonová krabice s designem výrobku</v>
      </c>
      <c r="X1165" s="716" t="str">
        <f t="shared" si="2968"/>
        <v/>
      </c>
      <c r="Y1165" s="716" t="str">
        <f t="shared" si="2969"/>
        <v/>
      </c>
      <c r="Z1165" s="716"/>
      <c r="AA1165" s="716" t="str">
        <f>IFERROR(IF(VLOOKUP(C1165,[4]List1!$A:$D,4,FALSE)=0,"",VLOOKUP(C1165,[4]List1!$A:$D,4,FALSE)),"")</f>
        <v/>
      </c>
      <c r="AB1165" s="720"/>
      <c r="AC1165" s="747" t="str">
        <f>IFERROR(IF(VLOOKUP(C1165,[1]List1!$A:$D,2,FALSE)="VYPRODÁNO",$V$9,IF(VLOOKUP(C1165,[1]List1!$A:$D,2,FALSE)="DOCHÁZÍ",$V$3,VLOOKUP(C1165,[1]List1!$A:$D,2,FALSE))),"OFFLINE!")</f>
        <v>SKLADEM</v>
      </c>
      <c r="AD1165" s="748" t="str">
        <f ca="1">IF(AP1165="NE",$V$10,IF(AC1165=$V$3,IF(AQ1165&lt;1,$V$8,$V$2&amp;" "&amp;AQ1165&amp;" "&amp;$V$1),IF(AC1165="SKLADEM",$V$6,IFERROR(IF(OR(AC1165-TODAY()&gt;45,VLOOKUP(C1165,[1]List1!$A:$E,4,FALSE)=0),AC1165,DAY(AC1165)&amp;"."&amp;MONTH(AC1165)&amp;"."&amp;YEAR(AC1165)&amp;" "&amp;$V$4&amp;VLOOKUP(C1165,[1]List1!$A:$E,4,FALSE)&amp;" "&amp;$V$1),AC1165))))</f>
        <v>SKLADEM</v>
      </c>
      <c r="AE1165" s="716" t="str">
        <f t="shared" ca="1" si="2970"/>
        <v>SKLADEM</v>
      </c>
      <c r="AF1165" s="723">
        <f t="shared" si="2971"/>
        <v>0</v>
      </c>
      <c r="AG1165" s="723">
        <f t="shared" si="2972"/>
        <v>0</v>
      </c>
      <c r="AH1165" s="724">
        <f t="shared" si="2973"/>
        <v>0</v>
      </c>
      <c r="AI1165" s="716">
        <f t="shared" si="2974"/>
        <v>0</v>
      </c>
      <c r="AJ1165" s="716">
        <f t="shared" si="2975"/>
        <v>0</v>
      </c>
      <c r="AK1165" s="716" t="str">
        <f t="shared" si="2976"/>
        <v/>
      </c>
      <c r="AL1165" s="716" t="str">
        <f t="shared" si="2977"/>
        <v/>
      </c>
      <c r="AM1165" s="716" t="str">
        <f t="shared" si="2978"/>
        <v/>
      </c>
      <c r="AN1165" s="716">
        <f t="shared" si="2979"/>
        <v>0</v>
      </c>
      <c r="AO1165" s="380"/>
      <c r="AP1165" s="322" t="str">
        <f t="shared" si="2980"/>
        <v/>
      </c>
      <c r="AQ1165" s="323" t="str">
        <f>IF(AC1165=$V$3,IF(VLOOKUP(C1165,[1]List1!$A:$E,5,FALSE)=0,1,VLOOKUP(C1165,[1]List1!$A:$E,5,FALSE)),"")</f>
        <v/>
      </c>
      <c r="AR1165" s="304" t="str">
        <f t="shared" si="2981"/>
        <v/>
      </c>
      <c r="AS1165" s="423" t="str">
        <f t="shared" si="2982"/>
        <v/>
      </c>
      <c r="AT1165" s="304" t="str">
        <f t="shared" si="2983"/>
        <v/>
      </c>
      <c r="AU1165" s="342" t="e">
        <f t="shared" si="2984"/>
        <v>#N/A</v>
      </c>
      <c r="AV1165" s="304" t="e">
        <f t="shared" si="2985"/>
        <v>#N/A</v>
      </c>
      <c r="AX1165" s="304">
        <f>IF(AND('General price list'!$J1165="F4",'General price list'!$AB1165+0&gt;0),1,0)</f>
        <v>0</v>
      </c>
      <c r="AY1165" s="304">
        <f t="shared" si="2986"/>
        <v>0</v>
      </c>
      <c r="AZ1165" s="304">
        <f t="shared" si="2987"/>
        <v>0</v>
      </c>
    </row>
    <row r="1166" spans="1:52" ht="15" customHeight="1">
      <c r="A1166" s="725"/>
      <c r="B1166" s="749">
        <f>IF(AND('General price list'!$J1166="F4",$AI$1=FALSE),0,IF(AC1166="SKLADEM",1,IF(AC1166=$V$3,1,0)))</f>
        <v>1</v>
      </c>
      <c r="C1166" s="727" t="s">
        <v>12074</v>
      </c>
      <c r="D1166" s="728" t="s">
        <v>14663</v>
      </c>
      <c r="E1166" s="729" t="s">
        <v>136</v>
      </c>
      <c r="F1166" s="725">
        <f>IFERROR(ROUND(IF($AL$3=2,VLOOKUP(C1166,[2]List1!$A:$D,2,FALSE)*1.08,VLOOKUP(C1166,[2]List1!$A:$D,2,FALSE)),0),"NEUVEDENO!")</f>
        <v>211</v>
      </c>
      <c r="G1166" s="730">
        <f t="shared" si="2966"/>
        <v>211</v>
      </c>
      <c r="H1166" s="731">
        <f t="shared" si="2967"/>
        <v>8.5741337483593334</v>
      </c>
      <c r="I1166" s="750">
        <v>1</v>
      </c>
      <c r="J1166" s="729"/>
      <c r="K1166" s="729"/>
      <c r="L1166" s="729" t="s">
        <v>14464</v>
      </c>
      <c r="M1166" s="729"/>
      <c r="N1166" s="729" t="str">
        <f>IFERROR(VLOOKUP(C1166,[3]List1!$A:$D,4,FALSE),"N/A!")</f>
        <v/>
      </c>
      <c r="O1166" s="729" t="str">
        <f>IFERROR(VLOOKUP(C1166,[3]List1!$A:$D,3,FALSE),"N/A!")</f>
        <v/>
      </c>
      <c r="P1166" s="729">
        <f>IFERROR(VLOOKUP(C1166,[3]List1!$A:$D,2,FALSE),"N/A!")</f>
        <v>1500</v>
      </c>
      <c r="Q1166" s="729"/>
      <c r="R1166" s="729"/>
      <c r="S1166" s="729"/>
      <c r="T1166" s="729"/>
      <c r="U1166" s="729"/>
      <c r="V1166" s="729"/>
      <c r="W1166" s="729" t="str">
        <f>IFERROR(VLOOKUP('General price list'!$C1166,Popisy!A:P,MATCH($W$17,Popisy!$A$7:$P$7,0),FALSE),"---------------")</f>
        <v>Kartonová krabice s designem výrobku</v>
      </c>
      <c r="X1166" s="729" t="str">
        <f t="shared" si="2968"/>
        <v/>
      </c>
      <c r="Y1166" s="729" t="str">
        <f t="shared" si="2969"/>
        <v/>
      </c>
      <c r="Z1166" s="729"/>
      <c r="AA1166" s="729" t="str">
        <f>IFERROR(IF(VLOOKUP(C1166,[4]List1!$A:$D,4,FALSE)=0,"",VLOOKUP(C1166,[4]List1!$A:$D,4,FALSE)),"")</f>
        <v/>
      </c>
      <c r="AB1166" s="720"/>
      <c r="AC1166" s="751" t="str">
        <f>IFERROR(IF(VLOOKUP(C1166,[1]List1!$A:$D,2,FALSE)="VYPRODÁNO",$V$9,IF(VLOOKUP(C1166,[1]List1!$A:$D,2,FALSE)="DOCHÁZÍ",$V$3,VLOOKUP(C1166,[1]List1!$A:$D,2,FALSE))),"OFFLINE!")</f>
        <v>SKLADEM</v>
      </c>
      <c r="AD1166" s="752" t="str">
        <f ca="1">IF(AP1166="NE",$V$10,IF(AC1166=$V$3,IF(AQ1166&lt;1,$V$8,$V$2&amp;" "&amp;AQ1166&amp;" "&amp;$V$1),IF(AC1166="SKLADEM",$V$6,IFERROR(IF(OR(AC1166-TODAY()&gt;45,VLOOKUP(C1166,[1]List1!$A:$E,4,FALSE)=0),AC1166,DAY(AC1166)&amp;"."&amp;MONTH(AC1166)&amp;"."&amp;YEAR(AC1166)&amp;" "&amp;$V$4&amp;VLOOKUP(C1166,[1]List1!$A:$E,4,FALSE)&amp;" "&amp;$V$1),AC1166))))</f>
        <v>SKLADEM</v>
      </c>
      <c r="AE1166" s="729" t="str">
        <f t="shared" ca="1" si="2970"/>
        <v>SKLADEM</v>
      </c>
      <c r="AF1166" s="735">
        <f t="shared" si="2971"/>
        <v>0</v>
      </c>
      <c r="AG1166" s="735">
        <f t="shared" si="2972"/>
        <v>0</v>
      </c>
      <c r="AH1166" s="736">
        <f t="shared" si="2973"/>
        <v>0</v>
      </c>
      <c r="AI1166" s="729">
        <f t="shared" si="2974"/>
        <v>0</v>
      </c>
      <c r="AJ1166" s="729">
        <f t="shared" si="2975"/>
        <v>0</v>
      </c>
      <c r="AK1166" s="729" t="str">
        <f t="shared" si="2976"/>
        <v/>
      </c>
      <c r="AL1166" s="729" t="str">
        <f t="shared" si="2977"/>
        <v/>
      </c>
      <c r="AM1166" s="729" t="str">
        <f t="shared" si="2978"/>
        <v/>
      </c>
      <c r="AN1166" s="729">
        <f t="shared" si="2979"/>
        <v>0</v>
      </c>
      <c r="AO1166" s="380"/>
      <c r="AP1166" s="322" t="str">
        <f t="shared" si="2980"/>
        <v/>
      </c>
      <c r="AQ1166" s="323" t="str">
        <f>IF(AC1166=$V$3,IF(VLOOKUP(C1166,[1]List1!$A:$E,5,FALSE)=0,1,VLOOKUP(C1166,[1]List1!$A:$E,5,FALSE)),"")</f>
        <v/>
      </c>
      <c r="AR1166" s="304" t="str">
        <f t="shared" si="2981"/>
        <v/>
      </c>
      <c r="AS1166" s="423" t="str">
        <f t="shared" si="2982"/>
        <v/>
      </c>
      <c r="AT1166" s="304" t="str">
        <f t="shared" si="2983"/>
        <v/>
      </c>
      <c r="AU1166" s="342" t="e">
        <f t="shared" si="2984"/>
        <v>#N/A</v>
      </c>
      <c r="AV1166" s="304" t="e">
        <f t="shared" si="2985"/>
        <v>#N/A</v>
      </c>
      <c r="AX1166" s="304">
        <f>IF(AND('General price list'!$J1166="F4",'General price list'!$AB1166+0&gt;0),1,0)</f>
        <v>0</v>
      </c>
      <c r="AY1166" s="304">
        <f t="shared" si="2986"/>
        <v>0</v>
      </c>
      <c r="AZ1166" s="304">
        <f t="shared" si="2987"/>
        <v>0</v>
      </c>
    </row>
    <row r="1167" spans="1:52" ht="15" customHeight="1">
      <c r="A1167" s="712"/>
      <c r="B1167" s="745">
        <f>IF(AND('General price list'!$J1167="F4",$AI$1=FALSE),0,IF(AC1167="SKLADEM",1,IF(AC1167=$V$3,1,0)))</f>
        <v>1</v>
      </c>
      <c r="C1167" s="714" t="s">
        <v>12348</v>
      </c>
      <c r="D1167" s="715" t="s">
        <v>14664</v>
      </c>
      <c r="E1167" s="716" t="s">
        <v>136</v>
      </c>
      <c r="F1167" s="712">
        <f>IFERROR(ROUND(IF($AL$3=2,VLOOKUP(C1167,[2]List1!$A:$D,2,FALSE)*1.08,VLOOKUP(C1167,[2]List1!$A:$D,2,FALSE)),0),"NEUVEDENO!")</f>
        <v>635</v>
      </c>
      <c r="G1167" s="717">
        <f t="shared" si="2966"/>
        <v>635</v>
      </c>
      <c r="H1167" s="718">
        <f t="shared" si="2967"/>
        <v>25.803672655015056</v>
      </c>
      <c r="I1167" s="746">
        <v>1</v>
      </c>
      <c r="J1167" s="716"/>
      <c r="K1167" s="716"/>
      <c r="L1167" s="716" t="s">
        <v>14464</v>
      </c>
      <c r="M1167" s="716"/>
      <c r="N1167" s="716" t="str">
        <f>IFERROR(VLOOKUP(C1167,[3]List1!$A:$D,4,FALSE),"N/A!")</f>
        <v/>
      </c>
      <c r="O1167" s="716" t="str">
        <f>IFERROR(VLOOKUP(C1167,[3]List1!$A:$D,3,FALSE),"N/A!")</f>
        <v/>
      </c>
      <c r="P1167" s="716">
        <f>IFERROR(VLOOKUP(C1167,[3]List1!$A:$D,2,FALSE),"N/A!")</f>
        <v>1500</v>
      </c>
      <c r="Q1167" s="716"/>
      <c r="R1167" s="716"/>
      <c r="S1167" s="716"/>
      <c r="T1167" s="716"/>
      <c r="U1167" s="716"/>
      <c r="V1167" s="716"/>
      <c r="W1167" s="716" t="str">
        <f>IFERROR(VLOOKUP('General price list'!$C1167,Popisy!A:P,MATCH($W$17,Popisy!$A$7:$P$7,0),FALSE),"---------------")</f>
        <v>Kartonová krabice s designem výrobku</v>
      </c>
      <c r="X1167" s="716" t="str">
        <f t="shared" si="2968"/>
        <v/>
      </c>
      <c r="Y1167" s="716" t="str">
        <f t="shared" si="2969"/>
        <v/>
      </c>
      <c r="Z1167" s="716"/>
      <c r="AA1167" s="716" t="str">
        <f>IFERROR(IF(VLOOKUP(C1167,[4]List1!$A:$D,4,FALSE)=0,"",VLOOKUP(C1167,[4]List1!$A:$D,4,FALSE)),"")</f>
        <v/>
      </c>
      <c r="AB1167" s="720"/>
      <c r="AC1167" s="747" t="str">
        <f>IFERROR(IF(VLOOKUP(C1167,[1]List1!$A:$D,2,FALSE)="VYPRODÁNO",$V$9,IF(VLOOKUP(C1167,[1]List1!$A:$D,2,FALSE)="DOCHÁZÍ",$V$3,VLOOKUP(C1167,[1]List1!$A:$D,2,FALSE))),"OFFLINE!")</f>
        <v>SKLADEM</v>
      </c>
      <c r="AD1167" s="748" t="str">
        <f ca="1">IF(AP1167="NE",$V$10,IF(AC1167=$V$3,IF(AQ1167&lt;1,$V$8,$V$2&amp;" "&amp;AQ1167&amp;" "&amp;$V$1),IF(AC1167="SKLADEM",$V$6,IFERROR(IF(OR(AC1167-TODAY()&gt;45,VLOOKUP(C1167,[1]List1!$A:$E,4,FALSE)=0),AC1167,DAY(AC1167)&amp;"."&amp;MONTH(AC1167)&amp;"."&amp;YEAR(AC1167)&amp;" "&amp;$V$4&amp;VLOOKUP(C1167,[1]List1!$A:$E,4,FALSE)&amp;" "&amp;$V$1),AC1167))))</f>
        <v>SKLADEM</v>
      </c>
      <c r="AE1167" s="716" t="str">
        <f t="shared" ca="1" si="2970"/>
        <v>SKLADEM</v>
      </c>
      <c r="AF1167" s="723">
        <f t="shared" si="2971"/>
        <v>0</v>
      </c>
      <c r="AG1167" s="723">
        <f t="shared" si="2972"/>
        <v>0</v>
      </c>
      <c r="AH1167" s="724">
        <f t="shared" si="2973"/>
        <v>0</v>
      </c>
      <c r="AI1167" s="716">
        <f t="shared" si="2974"/>
        <v>0</v>
      </c>
      <c r="AJ1167" s="716">
        <f t="shared" si="2975"/>
        <v>0</v>
      </c>
      <c r="AK1167" s="716" t="str">
        <f t="shared" si="2976"/>
        <v/>
      </c>
      <c r="AL1167" s="716" t="str">
        <f t="shared" si="2977"/>
        <v/>
      </c>
      <c r="AM1167" s="716" t="str">
        <f t="shared" si="2978"/>
        <v/>
      </c>
      <c r="AN1167" s="716">
        <f t="shared" si="2979"/>
        <v>0</v>
      </c>
      <c r="AO1167" s="380"/>
      <c r="AP1167" s="322" t="str">
        <f t="shared" si="2980"/>
        <v/>
      </c>
      <c r="AQ1167" s="323" t="str">
        <f>IF(AC1167=$V$3,IF(VLOOKUP(C1167,[1]List1!$A:$E,5,FALSE)=0,1,VLOOKUP(C1167,[1]List1!$A:$E,5,FALSE)),"")</f>
        <v/>
      </c>
      <c r="AR1167" s="304" t="str">
        <f t="shared" si="2981"/>
        <v/>
      </c>
      <c r="AS1167" s="423" t="str">
        <f t="shared" si="2982"/>
        <v/>
      </c>
      <c r="AT1167" s="304" t="str">
        <f t="shared" si="2983"/>
        <v/>
      </c>
      <c r="AU1167" s="342" t="e">
        <f t="shared" si="2984"/>
        <v>#N/A</v>
      </c>
      <c r="AV1167" s="304" t="e">
        <f t="shared" si="2985"/>
        <v>#N/A</v>
      </c>
      <c r="AX1167" s="304">
        <f>IF(AND('General price list'!$J1167="F4",'General price list'!$AB1167+0&gt;0),1,0)</f>
        <v>0</v>
      </c>
      <c r="AY1167" s="304">
        <f t="shared" si="2986"/>
        <v>0</v>
      </c>
      <c r="AZ1167" s="304">
        <f t="shared" si="2987"/>
        <v>0</v>
      </c>
    </row>
    <row r="1168" spans="1:52" ht="15" customHeight="1">
      <c r="A1168" s="725"/>
      <c r="B1168" s="749">
        <f>IF(AND('General price list'!$J1168="F4",$AI$1=FALSE),0,IF(AC1168="SKLADEM",1,IF(AC1168=$V$3,1,0)))</f>
        <v>1</v>
      </c>
      <c r="C1168" s="727" t="s">
        <v>12076</v>
      </c>
      <c r="D1168" s="728" t="s">
        <v>14665</v>
      </c>
      <c r="E1168" s="729" t="s">
        <v>136</v>
      </c>
      <c r="F1168" s="725">
        <f>IFERROR(ROUND(IF($AL$3=2,VLOOKUP(C1168,[2]List1!$A:$D,2,FALSE)*1.08,VLOOKUP(C1168,[2]List1!$A:$D,2,FALSE)),0),"NEUVEDENO!")</f>
        <v>208</v>
      </c>
      <c r="G1168" s="730">
        <f t="shared" si="2966"/>
        <v>208</v>
      </c>
      <c r="H1168" s="731">
        <f t="shared" si="2967"/>
        <v>8.4522266334537512</v>
      </c>
      <c r="I1168" s="750">
        <v>1</v>
      </c>
      <c r="J1168" s="729"/>
      <c r="K1168" s="729"/>
      <c r="L1168" s="729" t="s">
        <v>14464</v>
      </c>
      <c r="M1168" s="729"/>
      <c r="N1168" s="729" t="str">
        <f>IFERROR(VLOOKUP(C1168,[3]List1!$A:$D,4,FALSE),"N/A!")</f>
        <v/>
      </c>
      <c r="O1168" s="729" t="str">
        <f>IFERROR(VLOOKUP(C1168,[3]List1!$A:$D,3,FALSE),"N/A!")</f>
        <v/>
      </c>
      <c r="P1168" s="729">
        <f>IFERROR(VLOOKUP(C1168,[3]List1!$A:$D,2,FALSE),"N/A!")</f>
        <v>1500</v>
      </c>
      <c r="Q1168" s="729"/>
      <c r="R1168" s="729"/>
      <c r="S1168" s="729"/>
      <c r="T1168" s="729"/>
      <c r="U1168" s="729"/>
      <c r="V1168" s="729"/>
      <c r="W1168" s="729" t="str">
        <f>IFERROR(VLOOKUP('General price list'!$C1168,Popisy!A:P,MATCH($W$17,Popisy!$A$7:$P$7,0),FALSE),"---------------")</f>
        <v>Kartonová krabice s designem výrobku</v>
      </c>
      <c r="X1168" s="729" t="str">
        <f t="shared" si="2968"/>
        <v/>
      </c>
      <c r="Y1168" s="729" t="str">
        <f t="shared" si="2969"/>
        <v/>
      </c>
      <c r="Z1168" s="729"/>
      <c r="AA1168" s="729" t="str">
        <f>IFERROR(IF(VLOOKUP(C1168,[4]List1!$A:$D,4,FALSE)=0,"",VLOOKUP(C1168,[4]List1!$A:$D,4,FALSE)),"")</f>
        <v/>
      </c>
      <c r="AB1168" s="720"/>
      <c r="AC1168" s="751" t="str">
        <f>IFERROR(IF(VLOOKUP(C1168,[1]List1!$A:$D,2,FALSE)="VYPRODÁNO",$V$9,IF(VLOOKUP(C1168,[1]List1!$A:$D,2,FALSE)="DOCHÁZÍ",$V$3,VLOOKUP(C1168,[1]List1!$A:$D,2,FALSE))),"OFFLINE!")</f>
        <v>SKLADEM</v>
      </c>
      <c r="AD1168" s="752" t="str">
        <f ca="1">IF(AP1168="NE",$V$10,IF(AC1168=$V$3,IF(AQ1168&lt;1,$V$8,$V$2&amp;" "&amp;AQ1168&amp;" "&amp;$V$1),IF(AC1168="SKLADEM",$V$6,IFERROR(IF(OR(AC1168-TODAY()&gt;45,VLOOKUP(C1168,[1]List1!$A:$E,4,FALSE)=0),AC1168,DAY(AC1168)&amp;"."&amp;MONTH(AC1168)&amp;"."&amp;YEAR(AC1168)&amp;" "&amp;$V$4&amp;VLOOKUP(C1168,[1]List1!$A:$E,4,FALSE)&amp;" "&amp;$V$1),AC1168))))</f>
        <v>SKLADEM</v>
      </c>
      <c r="AE1168" s="729" t="str">
        <f t="shared" ca="1" si="2970"/>
        <v>SKLADEM</v>
      </c>
      <c r="AF1168" s="735">
        <f t="shared" si="2971"/>
        <v>0</v>
      </c>
      <c r="AG1168" s="735">
        <f t="shared" si="2972"/>
        <v>0</v>
      </c>
      <c r="AH1168" s="736">
        <f t="shared" si="2973"/>
        <v>0</v>
      </c>
      <c r="AI1168" s="729">
        <f t="shared" si="2974"/>
        <v>0</v>
      </c>
      <c r="AJ1168" s="729">
        <f t="shared" si="2975"/>
        <v>0</v>
      </c>
      <c r="AK1168" s="729" t="str">
        <f t="shared" si="2976"/>
        <v/>
      </c>
      <c r="AL1168" s="729" t="str">
        <f t="shared" si="2977"/>
        <v/>
      </c>
      <c r="AM1168" s="729" t="str">
        <f t="shared" si="2978"/>
        <v/>
      </c>
      <c r="AN1168" s="729">
        <f t="shared" si="2979"/>
        <v>0</v>
      </c>
      <c r="AO1168" s="380"/>
      <c r="AP1168" s="322" t="str">
        <f t="shared" si="2980"/>
        <v/>
      </c>
      <c r="AQ1168" s="323" t="str">
        <f>IF(AC1168=$V$3,IF(VLOOKUP(C1168,[1]List1!$A:$E,5,FALSE)=0,1,VLOOKUP(C1168,[1]List1!$A:$E,5,FALSE)),"")</f>
        <v/>
      </c>
      <c r="AR1168" s="304" t="str">
        <f t="shared" si="2981"/>
        <v/>
      </c>
      <c r="AS1168" s="423" t="str">
        <f t="shared" si="2982"/>
        <v/>
      </c>
      <c r="AT1168" s="304" t="str">
        <f t="shared" si="2983"/>
        <v/>
      </c>
      <c r="AU1168" s="342" t="e">
        <f t="shared" si="2984"/>
        <v>#N/A</v>
      </c>
      <c r="AV1168" s="304" t="e">
        <f t="shared" si="2985"/>
        <v>#N/A</v>
      </c>
      <c r="AX1168" s="304">
        <f>IF(AND('General price list'!$J1168="F4",'General price list'!$AB1168+0&gt;0),1,0)</f>
        <v>0</v>
      </c>
      <c r="AY1168" s="304">
        <f t="shared" si="2986"/>
        <v>0</v>
      </c>
      <c r="AZ1168" s="304">
        <f t="shared" si="2987"/>
        <v>0</v>
      </c>
    </row>
    <row r="1169" spans="1:52" ht="15" customHeight="1">
      <c r="A1169" s="712"/>
      <c r="B1169" s="745">
        <f>IF(AND('General price list'!$J1169="F4",$AI$1=FALSE),0,IF(AC1169="SKLADEM",1,IF(AC1169=$V$3,1,0)))</f>
        <v>1</v>
      </c>
      <c r="C1169" s="714" t="s">
        <v>12077</v>
      </c>
      <c r="D1169" s="715" t="s">
        <v>14666</v>
      </c>
      <c r="E1169" s="716" t="s">
        <v>136</v>
      </c>
      <c r="F1169" s="712">
        <f>IFERROR(ROUND(IF($AL$3=2,VLOOKUP(C1169,[2]List1!$A:$D,2,FALSE)*1.08,VLOOKUP(C1169,[2]List1!$A:$D,2,FALSE)),0),"NEUVEDENO!")</f>
        <v>285</v>
      </c>
      <c r="G1169" s="717">
        <f t="shared" si="2966"/>
        <v>285</v>
      </c>
      <c r="H1169" s="718">
        <f t="shared" si="2967"/>
        <v>11.58117591603038</v>
      </c>
      <c r="I1169" s="746">
        <v>1</v>
      </c>
      <c r="J1169" s="716"/>
      <c r="K1169" s="716"/>
      <c r="L1169" s="716" t="s">
        <v>14464</v>
      </c>
      <c r="M1169" s="716"/>
      <c r="N1169" s="716" t="str">
        <f>IFERROR(VLOOKUP(C1169,[3]List1!$A:$D,4,FALSE),"N/A!")</f>
        <v/>
      </c>
      <c r="O1169" s="716" t="str">
        <f>IFERROR(VLOOKUP(C1169,[3]List1!$A:$D,3,FALSE),"N/A!")</f>
        <v/>
      </c>
      <c r="P1169" s="716">
        <f>IFERROR(VLOOKUP(C1169,[3]List1!$A:$D,2,FALSE),"N/A!")</f>
        <v>1500</v>
      </c>
      <c r="Q1169" s="716"/>
      <c r="R1169" s="716"/>
      <c r="S1169" s="716"/>
      <c r="T1169" s="716"/>
      <c r="U1169" s="716"/>
      <c r="V1169" s="716"/>
      <c r="W1169" s="716" t="str">
        <f>IFERROR(VLOOKUP('General price list'!$C1169,Popisy!A:P,MATCH($W$17,Popisy!$A$7:$P$7,0),FALSE),"---------------")</f>
        <v>Kartonová krabice s designem výrobku</v>
      </c>
      <c r="X1169" s="716" t="str">
        <f t="shared" si="2968"/>
        <v/>
      </c>
      <c r="Y1169" s="716" t="str">
        <f t="shared" si="2969"/>
        <v/>
      </c>
      <c r="Z1169" s="716"/>
      <c r="AA1169" s="716" t="str">
        <f>IFERROR(IF(VLOOKUP(C1169,[4]List1!$A:$D,4,FALSE)=0,"",VLOOKUP(C1169,[4]List1!$A:$D,4,FALSE)),"")</f>
        <v/>
      </c>
      <c r="AB1169" s="720"/>
      <c r="AC1169" s="747" t="str">
        <f>IFERROR(IF(VLOOKUP(C1169,[1]List1!$A:$D,2,FALSE)="VYPRODÁNO",$V$9,IF(VLOOKUP(C1169,[1]List1!$A:$D,2,FALSE)="DOCHÁZÍ",$V$3,VLOOKUP(C1169,[1]List1!$A:$D,2,FALSE))),"OFFLINE!")</f>
        <v>SKLADEM</v>
      </c>
      <c r="AD1169" s="748" t="str">
        <f ca="1">IF(AP1169="NE",$V$10,IF(AC1169=$V$3,IF(AQ1169&lt;1,$V$8,$V$2&amp;" "&amp;AQ1169&amp;" "&amp;$V$1),IF(AC1169="SKLADEM",$V$6,IFERROR(IF(OR(AC1169-TODAY()&gt;45,VLOOKUP(C1169,[1]List1!$A:$E,4,FALSE)=0),AC1169,DAY(AC1169)&amp;"."&amp;MONTH(AC1169)&amp;"."&amp;YEAR(AC1169)&amp;" "&amp;$V$4&amp;VLOOKUP(C1169,[1]List1!$A:$E,4,FALSE)&amp;" "&amp;$V$1),AC1169))))</f>
        <v>SKLADEM</v>
      </c>
      <c r="AE1169" s="716" t="str">
        <f t="shared" ca="1" si="2970"/>
        <v>SKLADEM</v>
      </c>
      <c r="AF1169" s="723">
        <f t="shared" si="2971"/>
        <v>0</v>
      </c>
      <c r="AG1169" s="723">
        <f t="shared" si="2972"/>
        <v>0</v>
      </c>
      <c r="AH1169" s="724">
        <f t="shared" si="2973"/>
        <v>0</v>
      </c>
      <c r="AI1169" s="716">
        <f t="shared" si="2974"/>
        <v>0</v>
      </c>
      <c r="AJ1169" s="716">
        <f t="shared" si="2975"/>
        <v>0</v>
      </c>
      <c r="AK1169" s="716" t="str">
        <f t="shared" si="2976"/>
        <v/>
      </c>
      <c r="AL1169" s="716" t="str">
        <f t="shared" si="2977"/>
        <v/>
      </c>
      <c r="AM1169" s="716" t="str">
        <f t="shared" si="2978"/>
        <v/>
      </c>
      <c r="AN1169" s="716">
        <f t="shared" si="2979"/>
        <v>0</v>
      </c>
      <c r="AO1169" s="380"/>
      <c r="AP1169" s="322" t="str">
        <f t="shared" si="2980"/>
        <v/>
      </c>
      <c r="AQ1169" s="323" t="str">
        <f>IF(AC1169=$V$3,IF(VLOOKUP(C1169,[1]List1!$A:$E,5,FALSE)=0,1,VLOOKUP(C1169,[1]List1!$A:$E,5,FALSE)),"")</f>
        <v/>
      </c>
      <c r="AR1169" s="304" t="str">
        <f t="shared" si="2981"/>
        <v/>
      </c>
      <c r="AS1169" s="423" t="str">
        <f t="shared" si="2982"/>
        <v/>
      </c>
      <c r="AT1169" s="304" t="str">
        <f t="shared" si="2983"/>
        <v/>
      </c>
      <c r="AU1169" s="342" t="e">
        <f t="shared" si="2984"/>
        <v>#N/A</v>
      </c>
      <c r="AV1169" s="304" t="e">
        <f t="shared" si="2985"/>
        <v>#N/A</v>
      </c>
      <c r="AX1169" s="304">
        <f>IF(AND('General price list'!$J1169="F4",'General price list'!$AB1169+0&gt;0),1,0)</f>
        <v>0</v>
      </c>
      <c r="AY1169" s="304">
        <f t="shared" si="2986"/>
        <v>0</v>
      </c>
      <c r="AZ1169" s="304">
        <f t="shared" si="2987"/>
        <v>0</v>
      </c>
    </row>
    <row r="1170" spans="1:52" ht="15" customHeight="1">
      <c r="A1170" s="725"/>
      <c r="B1170" s="749">
        <f>IF(AND('General price list'!$J1170="F4",$AI$1=FALSE),0,IF(AC1170="SKLADEM",1,IF(AC1170=$V$3,1,0)))</f>
        <v>1</v>
      </c>
      <c r="C1170" s="727" t="s">
        <v>12078</v>
      </c>
      <c r="D1170" s="728" t="s">
        <v>14667</v>
      </c>
      <c r="E1170" s="729" t="s">
        <v>136</v>
      </c>
      <c r="F1170" s="725">
        <f>IFERROR(ROUND(IF($AL$3=2,VLOOKUP(C1170,[2]List1!$A:$D,2,FALSE)*1.08,VLOOKUP(C1170,[2]List1!$A:$D,2,FALSE)),0),"NEUVEDENO!")</f>
        <v>360</v>
      </c>
      <c r="G1170" s="730">
        <f t="shared" si="2966"/>
        <v>360</v>
      </c>
      <c r="H1170" s="731">
        <f t="shared" si="2967"/>
        <v>14.628853788669954</v>
      </c>
      <c r="I1170" s="750">
        <v>1</v>
      </c>
      <c r="J1170" s="729"/>
      <c r="K1170" s="729"/>
      <c r="L1170" s="729" t="s">
        <v>14464</v>
      </c>
      <c r="M1170" s="729"/>
      <c r="N1170" s="729" t="str">
        <f>IFERROR(VLOOKUP(C1170,[3]List1!$A:$D,4,FALSE),"N/A!")</f>
        <v/>
      </c>
      <c r="O1170" s="729" t="str">
        <f>IFERROR(VLOOKUP(C1170,[3]List1!$A:$D,3,FALSE),"N/A!")</f>
        <v/>
      </c>
      <c r="P1170" s="729">
        <f>IFERROR(VLOOKUP(C1170,[3]List1!$A:$D,2,FALSE),"N/A!")</f>
        <v>1500</v>
      </c>
      <c r="Q1170" s="729"/>
      <c r="R1170" s="729"/>
      <c r="S1170" s="729"/>
      <c r="T1170" s="729"/>
      <c r="U1170" s="729"/>
      <c r="V1170" s="729"/>
      <c r="W1170" s="729" t="str">
        <f>IFERROR(VLOOKUP('General price list'!$C1170,Popisy!A:P,MATCH($W$17,Popisy!$A$7:$P$7,0),FALSE),"---------------")</f>
        <v>Kartonová krabice s designem výrobku</v>
      </c>
      <c r="X1170" s="729" t="str">
        <f t="shared" si="2968"/>
        <v/>
      </c>
      <c r="Y1170" s="729" t="str">
        <f t="shared" si="2969"/>
        <v/>
      </c>
      <c r="Z1170" s="729"/>
      <c r="AA1170" s="729" t="str">
        <f>IFERROR(IF(VLOOKUP(C1170,[4]List1!$A:$D,4,FALSE)=0,"",VLOOKUP(C1170,[4]List1!$A:$D,4,FALSE)),"")</f>
        <v/>
      </c>
      <c r="AB1170" s="720"/>
      <c r="AC1170" s="751" t="str">
        <f>IFERROR(IF(VLOOKUP(C1170,[1]List1!$A:$D,2,FALSE)="VYPRODÁNO",$V$9,IF(VLOOKUP(C1170,[1]List1!$A:$D,2,FALSE)="DOCHÁZÍ",$V$3,VLOOKUP(C1170,[1]List1!$A:$D,2,FALSE))),"OFFLINE!")</f>
        <v>SKLADEM</v>
      </c>
      <c r="AD1170" s="752" t="str">
        <f ca="1">IF(AP1170="NE",$V$10,IF(AC1170=$V$3,IF(AQ1170&lt;1,$V$8,$V$2&amp;" "&amp;AQ1170&amp;" "&amp;$V$1),IF(AC1170="SKLADEM",$V$6,IFERROR(IF(OR(AC1170-TODAY()&gt;45,VLOOKUP(C1170,[1]List1!$A:$E,4,FALSE)=0),AC1170,DAY(AC1170)&amp;"."&amp;MONTH(AC1170)&amp;"."&amp;YEAR(AC1170)&amp;" "&amp;$V$4&amp;VLOOKUP(C1170,[1]List1!$A:$E,4,FALSE)&amp;" "&amp;$V$1),AC1170))))</f>
        <v>SKLADEM</v>
      </c>
      <c r="AE1170" s="729" t="str">
        <f t="shared" ca="1" si="2970"/>
        <v>SKLADEM</v>
      </c>
      <c r="AF1170" s="735">
        <f t="shared" si="2971"/>
        <v>0</v>
      </c>
      <c r="AG1170" s="735">
        <f t="shared" si="2972"/>
        <v>0</v>
      </c>
      <c r="AH1170" s="736">
        <f t="shared" si="2973"/>
        <v>0</v>
      </c>
      <c r="AI1170" s="729">
        <f t="shared" si="2974"/>
        <v>0</v>
      </c>
      <c r="AJ1170" s="729">
        <f t="shared" si="2975"/>
        <v>0</v>
      </c>
      <c r="AK1170" s="729" t="str">
        <f t="shared" si="2976"/>
        <v/>
      </c>
      <c r="AL1170" s="729" t="str">
        <f t="shared" si="2977"/>
        <v/>
      </c>
      <c r="AM1170" s="729" t="str">
        <f t="shared" si="2978"/>
        <v/>
      </c>
      <c r="AN1170" s="729">
        <f t="shared" si="2979"/>
        <v>0</v>
      </c>
      <c r="AO1170" s="380"/>
      <c r="AP1170" s="322" t="str">
        <f t="shared" si="2980"/>
        <v/>
      </c>
      <c r="AQ1170" s="323" t="str">
        <f>IF(AC1170=$V$3,IF(VLOOKUP(C1170,[1]List1!$A:$E,5,FALSE)=0,1,VLOOKUP(C1170,[1]List1!$A:$E,5,FALSE)),"")</f>
        <v/>
      </c>
      <c r="AR1170" s="304" t="str">
        <f t="shared" si="2981"/>
        <v/>
      </c>
      <c r="AS1170" s="423" t="str">
        <f t="shared" si="2982"/>
        <v/>
      </c>
      <c r="AT1170" s="304" t="str">
        <f t="shared" si="2983"/>
        <v/>
      </c>
      <c r="AU1170" s="342" t="e">
        <f t="shared" si="2984"/>
        <v>#N/A</v>
      </c>
      <c r="AV1170" s="304" t="e">
        <f t="shared" si="2985"/>
        <v>#N/A</v>
      </c>
      <c r="AX1170" s="304">
        <f>IF(AND('General price list'!$J1170="F4",'General price list'!$AB1170+0&gt;0),1,0)</f>
        <v>0</v>
      </c>
      <c r="AY1170" s="304">
        <f t="shared" si="2986"/>
        <v>0</v>
      </c>
      <c r="AZ1170" s="304">
        <f t="shared" si="2987"/>
        <v>0</v>
      </c>
    </row>
    <row r="1171" spans="1:52" ht="15" customHeight="1">
      <c r="A1171" s="712"/>
      <c r="B1171" s="745">
        <f>IF(AND('General price list'!$J1171="F4",$AI$1=FALSE),0,IF(AC1171="SKLADEM",1,IF(AC1171=$V$3,1,0)))</f>
        <v>1</v>
      </c>
      <c r="C1171" s="714" t="s">
        <v>12079</v>
      </c>
      <c r="D1171" s="715" t="s">
        <v>14668</v>
      </c>
      <c r="E1171" s="716" t="s">
        <v>136</v>
      </c>
      <c r="F1171" s="712">
        <f>IFERROR(ROUND(IF($AL$3=2,VLOOKUP(C1171,[2]List1!$A:$D,2,FALSE)*1.08,VLOOKUP(C1171,[2]List1!$A:$D,2,FALSE)),0),"NEUVEDENO!")</f>
        <v>369</v>
      </c>
      <c r="G1171" s="717">
        <f t="shared" si="2966"/>
        <v>369</v>
      </c>
      <c r="H1171" s="718">
        <f t="shared" si="2967"/>
        <v>14.994575133386702</v>
      </c>
      <c r="I1171" s="746">
        <v>1</v>
      </c>
      <c r="J1171" s="716"/>
      <c r="K1171" s="716"/>
      <c r="L1171" s="716" t="s">
        <v>14464</v>
      </c>
      <c r="M1171" s="716"/>
      <c r="N1171" s="716" t="str">
        <f>IFERROR(VLOOKUP(C1171,[3]List1!$A:$D,4,FALSE),"N/A!")</f>
        <v/>
      </c>
      <c r="O1171" s="716" t="str">
        <f>IFERROR(VLOOKUP(C1171,[3]List1!$A:$D,3,FALSE),"N/A!")</f>
        <v/>
      </c>
      <c r="P1171" s="716">
        <f>IFERROR(VLOOKUP(C1171,[3]List1!$A:$D,2,FALSE),"N/A!")</f>
        <v>1500</v>
      </c>
      <c r="Q1171" s="716"/>
      <c r="R1171" s="716"/>
      <c r="S1171" s="716"/>
      <c r="T1171" s="716"/>
      <c r="U1171" s="716"/>
      <c r="V1171" s="716"/>
      <c r="W1171" s="716" t="str">
        <f>IFERROR(VLOOKUP('General price list'!$C1171,Popisy!A:P,MATCH($W$17,Popisy!$A$7:$P$7,0),FALSE),"---------------")</f>
        <v>Kartonová krabice s designem výrobku</v>
      </c>
      <c r="X1171" s="716" t="str">
        <f t="shared" si="2968"/>
        <v/>
      </c>
      <c r="Y1171" s="716" t="str">
        <f t="shared" si="2969"/>
        <v/>
      </c>
      <c r="Z1171" s="716"/>
      <c r="AA1171" s="716" t="str">
        <f>IFERROR(IF(VLOOKUP(C1171,[4]List1!$A:$D,4,FALSE)=0,"",VLOOKUP(C1171,[4]List1!$A:$D,4,FALSE)),"")</f>
        <v/>
      </c>
      <c r="AB1171" s="720"/>
      <c r="AC1171" s="747" t="str">
        <f>IFERROR(IF(VLOOKUP(C1171,[1]List1!$A:$D,2,FALSE)="VYPRODÁNO",$V$9,IF(VLOOKUP(C1171,[1]List1!$A:$D,2,FALSE)="DOCHÁZÍ",$V$3,VLOOKUP(C1171,[1]List1!$A:$D,2,FALSE))),"OFFLINE!")</f>
        <v>SKLADEM</v>
      </c>
      <c r="AD1171" s="748" t="str">
        <f ca="1">IF(AP1171="NE",$V$10,IF(AC1171=$V$3,IF(AQ1171&lt;1,$V$8,$V$2&amp;" "&amp;AQ1171&amp;" "&amp;$V$1),IF(AC1171="SKLADEM",$V$6,IFERROR(IF(OR(AC1171-TODAY()&gt;45,VLOOKUP(C1171,[1]List1!$A:$E,4,FALSE)=0),AC1171,DAY(AC1171)&amp;"."&amp;MONTH(AC1171)&amp;"."&amp;YEAR(AC1171)&amp;" "&amp;$V$4&amp;VLOOKUP(C1171,[1]List1!$A:$E,4,FALSE)&amp;" "&amp;$V$1),AC1171))))</f>
        <v>SKLADEM</v>
      </c>
      <c r="AE1171" s="716" t="str">
        <f t="shared" ca="1" si="2970"/>
        <v>SKLADEM</v>
      </c>
      <c r="AF1171" s="723">
        <f t="shared" si="2971"/>
        <v>0</v>
      </c>
      <c r="AG1171" s="723">
        <f t="shared" si="2972"/>
        <v>0</v>
      </c>
      <c r="AH1171" s="724">
        <f t="shared" si="2973"/>
        <v>0</v>
      </c>
      <c r="AI1171" s="716">
        <f t="shared" si="2974"/>
        <v>0</v>
      </c>
      <c r="AJ1171" s="716">
        <f t="shared" si="2975"/>
        <v>0</v>
      </c>
      <c r="AK1171" s="716" t="str">
        <f t="shared" si="2976"/>
        <v/>
      </c>
      <c r="AL1171" s="716" t="str">
        <f t="shared" si="2977"/>
        <v/>
      </c>
      <c r="AM1171" s="716" t="str">
        <f t="shared" si="2978"/>
        <v/>
      </c>
      <c r="AN1171" s="716">
        <f t="shared" si="2979"/>
        <v>0</v>
      </c>
      <c r="AO1171" s="380"/>
      <c r="AP1171" s="322" t="str">
        <f t="shared" si="2980"/>
        <v/>
      </c>
      <c r="AQ1171" s="323" t="str">
        <f>IF(AC1171=$V$3,IF(VLOOKUP(C1171,[1]List1!$A:$E,5,FALSE)=0,1,VLOOKUP(C1171,[1]List1!$A:$E,5,FALSE)),"")</f>
        <v/>
      </c>
      <c r="AR1171" s="304" t="str">
        <f t="shared" si="2981"/>
        <v/>
      </c>
      <c r="AS1171" s="423" t="str">
        <f t="shared" si="2982"/>
        <v/>
      </c>
      <c r="AT1171" s="304" t="str">
        <f t="shared" si="2983"/>
        <v/>
      </c>
      <c r="AU1171" s="342" t="e">
        <f t="shared" si="2984"/>
        <v>#N/A</v>
      </c>
      <c r="AV1171" s="304" t="e">
        <f t="shared" si="2985"/>
        <v>#N/A</v>
      </c>
      <c r="AX1171" s="304">
        <f>IF(AND('General price list'!$J1171="F4",'General price list'!$AB1171+0&gt;0),1,0)</f>
        <v>0</v>
      </c>
      <c r="AY1171" s="304">
        <f t="shared" si="2986"/>
        <v>0</v>
      </c>
      <c r="AZ1171" s="304">
        <f t="shared" si="2987"/>
        <v>0</v>
      </c>
    </row>
    <row r="1172" spans="1:52" ht="15" customHeight="1">
      <c r="A1172" s="725"/>
      <c r="B1172" s="749">
        <f>IF(AND('General price list'!$J1172="F4",$AI$1=FALSE),0,IF(AC1172="SKLADEM",1,IF(AC1172=$V$3,1,0)))</f>
        <v>0</v>
      </c>
      <c r="C1172" s="727" t="s">
        <v>13494</v>
      </c>
      <c r="D1172" s="728" t="s">
        <v>14669</v>
      </c>
      <c r="E1172" s="729" t="s">
        <v>136</v>
      </c>
      <c r="F1172" s="725">
        <f>IFERROR(ROUND(IF($AL$3=2,VLOOKUP(C1172,[2]List1!$A:$D,2,FALSE)*1.08,VLOOKUP(C1172,[2]List1!$A:$D,2,FALSE)),0),"NEUVEDENO!")</f>
        <v>859</v>
      </c>
      <c r="G1172" s="730">
        <f t="shared" si="2966"/>
        <v>859</v>
      </c>
      <c r="H1172" s="731">
        <f t="shared" si="2967"/>
        <v>34.906070567965251</v>
      </c>
      <c r="I1172" s="750">
        <v>1</v>
      </c>
      <c r="J1172" s="729"/>
      <c r="K1172" s="729"/>
      <c r="L1172" s="729" t="s">
        <v>14464</v>
      </c>
      <c r="M1172" s="729"/>
      <c r="N1172" s="729" t="str">
        <f>IFERROR(VLOOKUP(C1172,[3]List1!$A:$D,4,FALSE),"N/A!")</f>
        <v/>
      </c>
      <c r="O1172" s="729" t="str">
        <f>IFERROR(VLOOKUP(C1172,[3]List1!$A:$D,3,FALSE),"N/A!")</f>
        <v/>
      </c>
      <c r="P1172" s="729">
        <f>IFERROR(VLOOKUP(C1172,[3]List1!$A:$D,2,FALSE),"N/A!")</f>
        <v>1500</v>
      </c>
      <c r="Q1172" s="729"/>
      <c r="R1172" s="729"/>
      <c r="S1172" s="729"/>
      <c r="T1172" s="729"/>
      <c r="U1172" s="729"/>
      <c r="V1172" s="729"/>
      <c r="W1172" s="729" t="str">
        <f>IFERROR(VLOOKUP('General price list'!$C1172,Popisy!A:P,MATCH($W$17,Popisy!$A$7:$P$7,0),FALSE),"---------------")</f>
        <v>Kartonová krabice s designem výrobku</v>
      </c>
      <c r="X1172" s="729" t="str">
        <f t="shared" si="2968"/>
        <v/>
      </c>
      <c r="Y1172" s="729" t="str">
        <f t="shared" si="2969"/>
        <v/>
      </c>
      <c r="Z1172" s="729"/>
      <c r="AA1172" s="729" t="str">
        <f>IFERROR(IF(VLOOKUP(C1172,[4]List1!$A:$D,4,FALSE)=0,"",VLOOKUP(C1172,[4]List1!$A:$D,4,FALSE)),"")</f>
        <v/>
      </c>
      <c r="AB1172" s="720"/>
      <c r="AC1172" s="751" t="str">
        <f>IFERROR(IF(VLOOKUP(C1172,[1]List1!$A:$D,2,FALSE)="VYPRODÁNO",$V$9,IF(VLOOKUP(C1172,[1]List1!$A:$D,2,FALSE)="DOCHÁZÍ",$V$3,VLOOKUP(C1172,[1]List1!$A:$D,2,FALSE))),"OFFLINE!")</f>
        <v>VYPRODÁNO</v>
      </c>
      <c r="AD1172" s="752" t="str">
        <f ca="1">IF(AP1172="NE",$V$10,IF(AC1172=$V$3,IF(AQ1172&lt;1,$V$8,$V$2&amp;" "&amp;AQ1172&amp;" "&amp;$V$1),IF(AC1172="SKLADEM",$V$6,IFERROR(IF(OR(AC1172-TODAY()&gt;45,VLOOKUP(C1172,[1]List1!$A:$E,4,FALSE)=0),AC1172,DAY(AC1172)&amp;"."&amp;MONTH(AC1172)&amp;"."&amp;YEAR(AC1172)&amp;" "&amp;$V$4&amp;VLOOKUP(C1172,[1]List1!$A:$E,4,FALSE)&amp;" "&amp;$V$1),AC1172))))</f>
        <v>VYPRODÁNO</v>
      </c>
      <c r="AE1172" s="729" t="str">
        <f t="shared" ca="1" si="2970"/>
        <v>VYPRODÁNO</v>
      </c>
      <c r="AF1172" s="735">
        <f t="shared" si="2971"/>
        <v>0</v>
      </c>
      <c r="AG1172" s="735">
        <f t="shared" si="2972"/>
        <v>0</v>
      </c>
      <c r="AH1172" s="736">
        <f t="shared" si="2973"/>
        <v>0</v>
      </c>
      <c r="AI1172" s="729">
        <f t="shared" si="2974"/>
        <v>0</v>
      </c>
      <c r="AJ1172" s="729">
        <f t="shared" si="2975"/>
        <v>0</v>
      </c>
      <c r="AK1172" s="729" t="str">
        <f t="shared" si="2976"/>
        <v/>
      </c>
      <c r="AL1172" s="729" t="str">
        <f t="shared" si="2977"/>
        <v/>
      </c>
      <c r="AM1172" s="729" t="str">
        <f t="shared" si="2978"/>
        <v/>
      </c>
      <c r="AN1172" s="729">
        <f t="shared" si="2979"/>
        <v>0</v>
      </c>
      <c r="AO1172" s="380"/>
      <c r="AP1172" s="322" t="str">
        <f t="shared" si="2980"/>
        <v/>
      </c>
      <c r="AQ1172" s="323" t="str">
        <f>IF(AC1172=$V$3,IF(VLOOKUP(C1172,[1]List1!$A:$E,5,FALSE)=0,1,VLOOKUP(C1172,[1]List1!$A:$E,5,FALSE)),"")</f>
        <v/>
      </c>
      <c r="AR1172" s="304" t="str">
        <f t="shared" si="2981"/>
        <v/>
      </c>
      <c r="AS1172" s="423" t="str">
        <f t="shared" si="2982"/>
        <v/>
      </c>
      <c r="AT1172" s="304" t="str">
        <f t="shared" si="2983"/>
        <v/>
      </c>
      <c r="AU1172" s="342" t="e">
        <f t="shared" si="2984"/>
        <v>#N/A</v>
      </c>
      <c r="AV1172" s="304" t="e">
        <f t="shared" si="2985"/>
        <v>#N/A</v>
      </c>
      <c r="AX1172" s="304">
        <f>IF(AND('General price list'!$J1172="F4",'General price list'!$AB1172+0&gt;0),1,0)</f>
        <v>0</v>
      </c>
      <c r="AY1172" s="304">
        <f t="shared" si="2986"/>
        <v>0</v>
      </c>
      <c r="AZ1172" s="304">
        <f t="shared" si="2987"/>
        <v>0</v>
      </c>
    </row>
    <row r="1173" spans="1:52" ht="15" customHeight="1">
      <c r="A1173" s="760"/>
      <c r="B1173" s="737">
        <f>IF(AND('General price list'!$J1173="F4",$AI$1=FALSE),0,IF(AC1173="SKLADEM",1,IF(AC1173=$V$3,1,0)))</f>
        <v>1</v>
      </c>
      <c r="C1173" s="761" t="s">
        <v>12081</v>
      </c>
      <c r="D1173" s="762" t="s">
        <v>14670</v>
      </c>
      <c r="E1173" s="763" t="s">
        <v>136</v>
      </c>
      <c r="F1173" s="760">
        <f>IFERROR(ROUND(IF($AL$3=2,VLOOKUP(C1173,[2]List1!$A:$D,2,FALSE)*1.08,VLOOKUP(C1173,[2]List1!$A:$D,2,FALSE)),0),"NEUVEDENO!")</f>
        <v>280</v>
      </c>
      <c r="G1173" s="764">
        <f t="shared" si="2966"/>
        <v>280</v>
      </c>
      <c r="H1173" s="765">
        <f t="shared" si="2967"/>
        <v>11.377997391187742</v>
      </c>
      <c r="I1173" s="738">
        <v>1</v>
      </c>
      <c r="J1173" s="763"/>
      <c r="K1173" s="763"/>
      <c r="L1173" s="763" t="s">
        <v>14464</v>
      </c>
      <c r="M1173" s="763"/>
      <c r="N1173" s="763" t="str">
        <f>IFERROR(VLOOKUP(C1173,[3]List1!$A:$D,4,FALSE),"N/A!")</f>
        <v/>
      </c>
      <c r="O1173" s="763" t="str">
        <f>IFERROR(VLOOKUP(C1173,[3]List1!$A:$D,3,FALSE),"N/A!")</f>
        <v/>
      </c>
      <c r="P1173" s="763">
        <f>IFERROR(VLOOKUP(C1173,[3]List1!$A:$D,2,FALSE),"N/A!")</f>
        <v>1500</v>
      </c>
      <c r="Q1173" s="763"/>
      <c r="R1173" s="763"/>
      <c r="S1173" s="763"/>
      <c r="T1173" s="763"/>
      <c r="U1173" s="763"/>
      <c r="V1173" s="763"/>
      <c r="W1173" s="763" t="str">
        <f>IFERROR(VLOOKUP('General price list'!$C1173,Popisy!A:P,MATCH($W$17,Popisy!$A$7:$P$7,0),FALSE),"---------------")</f>
        <v>Kartonová krabice s designem výrobku</v>
      </c>
      <c r="X1173" s="763" t="str">
        <f t="shared" si="2968"/>
        <v/>
      </c>
      <c r="Y1173" s="763" t="str">
        <f t="shared" si="2969"/>
        <v/>
      </c>
      <c r="Z1173" s="763"/>
      <c r="AA1173" s="763" t="str">
        <f>IFERROR(IF(VLOOKUP(C1173,[4]List1!$A:$D,4,FALSE)=0,"",VLOOKUP(C1173,[4]List1!$A:$D,4,FALSE)),"")</f>
        <v/>
      </c>
      <c r="AB1173" s="766"/>
      <c r="AC1173" s="739" t="str">
        <f>IFERROR(IF(VLOOKUP(C1173,[1]List1!$A:$D,2,FALSE)="VYPRODÁNO",$V$9,IF(VLOOKUP(C1173,[1]List1!$A:$D,2,FALSE)="DOCHÁZÍ",$V$3,VLOOKUP(C1173,[1]List1!$A:$D,2,FALSE))),"OFFLINE!")</f>
        <v>SKLADEM</v>
      </c>
      <c r="AD1173" s="740" t="str">
        <f ca="1">IF(AP1173="NE",$V$10,IF(AC1173=$V$3,IF(AQ1173&lt;1,$V$8,$V$2&amp;" "&amp;AQ1173&amp;" "&amp;$V$1),IF(AC1173="SKLADEM",$V$6,IFERROR(IF(OR(AC1173-TODAY()&gt;45,VLOOKUP(C1173,[1]List1!$A:$E,4,FALSE)=0),AC1173,DAY(AC1173)&amp;"."&amp;MONTH(AC1173)&amp;"."&amp;YEAR(AC1173)&amp;" "&amp;$V$4&amp;VLOOKUP(C1173,[1]List1!$A:$E,4,FALSE)&amp;" "&amp;$V$1),AC1173))))</f>
        <v>SKLADEM</v>
      </c>
      <c r="AE1173" s="763" t="str">
        <f t="shared" ca="1" si="2970"/>
        <v>SKLADEM</v>
      </c>
      <c r="AF1173" s="767">
        <f t="shared" si="2971"/>
        <v>0</v>
      </c>
      <c r="AG1173" s="767">
        <f t="shared" si="2972"/>
        <v>0</v>
      </c>
      <c r="AH1173" s="768">
        <f t="shared" si="2973"/>
        <v>0</v>
      </c>
      <c r="AI1173" s="763">
        <f t="shared" si="2974"/>
        <v>0</v>
      </c>
      <c r="AJ1173" s="763">
        <f t="shared" si="2975"/>
        <v>0</v>
      </c>
      <c r="AK1173" s="763" t="str">
        <f t="shared" si="2976"/>
        <v/>
      </c>
      <c r="AL1173" s="763" t="str">
        <f t="shared" si="2977"/>
        <v/>
      </c>
      <c r="AM1173" s="763" t="str">
        <f t="shared" si="2978"/>
        <v/>
      </c>
      <c r="AN1173" s="763">
        <f t="shared" si="2979"/>
        <v>0</v>
      </c>
      <c r="AO1173" s="380"/>
      <c r="AP1173" s="322" t="str">
        <f t="shared" si="2980"/>
        <v/>
      </c>
      <c r="AQ1173" s="323" t="str">
        <f>IF(AC1173=$V$3,IF(VLOOKUP(C1173,[1]List1!$A:$E,5,FALSE)=0,1,VLOOKUP(C1173,[1]List1!$A:$E,5,FALSE)),"")</f>
        <v/>
      </c>
      <c r="AR1173" s="304" t="str">
        <f t="shared" si="2981"/>
        <v/>
      </c>
      <c r="AS1173" s="423" t="str">
        <f t="shared" si="2982"/>
        <v/>
      </c>
      <c r="AT1173" s="304" t="str">
        <f t="shared" si="2983"/>
        <v/>
      </c>
      <c r="AU1173" s="342" t="e">
        <f t="shared" si="2984"/>
        <v>#N/A</v>
      </c>
      <c r="AV1173" s="304" t="e">
        <f t="shared" si="2985"/>
        <v>#N/A</v>
      </c>
      <c r="AX1173" s="304">
        <f>IF(AND('General price list'!$J1173="F4",'General price list'!$AB1173+0&gt;0),1,0)</f>
        <v>0</v>
      </c>
      <c r="AY1173" s="304">
        <f t="shared" si="2986"/>
        <v>0</v>
      </c>
      <c r="AZ1173" s="304">
        <f t="shared" si="2987"/>
        <v>0</v>
      </c>
    </row>
    <row r="1174" spans="1:52" ht="15" customHeight="1">
      <c r="A1174" s="725"/>
      <c r="B1174" s="749">
        <f>IF(AND('General price list'!$J1174="F4",$AI$1=FALSE),0,IF(AC1174="SKLADEM",1,IF(AC1174=$V$3,1,0)))</f>
        <v>1</v>
      </c>
      <c r="C1174" s="727" t="s">
        <v>12349</v>
      </c>
      <c r="D1174" s="728" t="s">
        <v>14671</v>
      </c>
      <c r="E1174" s="729" t="s">
        <v>136</v>
      </c>
      <c r="F1174" s="725">
        <f>IFERROR(ROUND(IF($AL$3=2,VLOOKUP(C1174,[2]List1!$A:$D,2,FALSE)*1.08,VLOOKUP(C1174,[2]List1!$A:$D,2,FALSE)),0),"NEUVEDENO!")</f>
        <v>359</v>
      </c>
      <c r="G1174" s="730">
        <f t="shared" si="2966"/>
        <v>359</v>
      </c>
      <c r="H1174" s="731">
        <f t="shared" si="2967"/>
        <v>14.588218083701426</v>
      </c>
      <c r="I1174" s="750">
        <v>1</v>
      </c>
      <c r="J1174" s="729"/>
      <c r="K1174" s="729"/>
      <c r="L1174" s="729" t="s">
        <v>14464</v>
      </c>
      <c r="M1174" s="729"/>
      <c r="N1174" s="729" t="str">
        <f>IFERROR(VLOOKUP(C1174,[3]List1!$A:$D,4,FALSE),"N/A!")</f>
        <v/>
      </c>
      <c r="O1174" s="729" t="str">
        <f>IFERROR(VLOOKUP(C1174,[3]List1!$A:$D,3,FALSE),"N/A!")</f>
        <v/>
      </c>
      <c r="P1174" s="729">
        <f>IFERROR(VLOOKUP(C1174,[3]List1!$A:$D,2,FALSE),"N/A!")</f>
        <v>1500</v>
      </c>
      <c r="Q1174" s="729"/>
      <c r="R1174" s="729"/>
      <c r="S1174" s="729"/>
      <c r="T1174" s="729"/>
      <c r="U1174" s="729"/>
      <c r="V1174" s="729"/>
      <c r="W1174" s="729" t="str">
        <f>IFERROR(VLOOKUP('General price list'!$C1174,Popisy!A:P,MATCH($W$17,Popisy!$A$7:$P$7,0),FALSE),"---------------")</f>
        <v>Kartonová krabice s designem výrobku</v>
      </c>
      <c r="X1174" s="729" t="str">
        <f t="shared" si="2968"/>
        <v/>
      </c>
      <c r="Y1174" s="729" t="str">
        <f t="shared" si="2969"/>
        <v/>
      </c>
      <c r="Z1174" s="729"/>
      <c r="AA1174" s="729" t="str">
        <f>IFERROR(IF(VLOOKUP(C1174,[4]List1!$A:$D,4,FALSE)=0,"",VLOOKUP(C1174,[4]List1!$A:$D,4,FALSE)),"")</f>
        <v/>
      </c>
      <c r="AB1174" s="720"/>
      <c r="AC1174" s="751" t="str">
        <f>IFERROR(IF(VLOOKUP(C1174,[1]List1!$A:$D,2,FALSE)="VYPRODÁNO",$V$9,IF(VLOOKUP(C1174,[1]List1!$A:$D,2,FALSE)="DOCHÁZÍ",$V$3,VLOOKUP(C1174,[1]List1!$A:$D,2,FALSE))),"OFFLINE!")</f>
        <v>SKLADEM</v>
      </c>
      <c r="AD1174" s="752" t="str">
        <f ca="1">IF(AP1174="NE",$V$10,IF(AC1174=$V$3,IF(AQ1174&lt;1,$V$8,$V$2&amp;" "&amp;AQ1174&amp;" "&amp;$V$1),IF(AC1174="SKLADEM",$V$6,IFERROR(IF(OR(AC1174-TODAY()&gt;45,VLOOKUP(C1174,[1]List1!$A:$E,4,FALSE)=0),AC1174,DAY(AC1174)&amp;"."&amp;MONTH(AC1174)&amp;"."&amp;YEAR(AC1174)&amp;" "&amp;$V$4&amp;VLOOKUP(C1174,[1]List1!$A:$E,4,FALSE)&amp;" "&amp;$V$1),AC1174))))</f>
        <v>SKLADEM</v>
      </c>
      <c r="AE1174" s="729" t="str">
        <f t="shared" ca="1" si="2970"/>
        <v>SKLADEM</v>
      </c>
      <c r="AF1174" s="735">
        <f t="shared" si="2971"/>
        <v>0</v>
      </c>
      <c r="AG1174" s="735">
        <f t="shared" si="2972"/>
        <v>0</v>
      </c>
      <c r="AH1174" s="736">
        <f t="shared" si="2973"/>
        <v>0</v>
      </c>
      <c r="AI1174" s="729">
        <f t="shared" si="2974"/>
        <v>0</v>
      </c>
      <c r="AJ1174" s="729">
        <f t="shared" si="2975"/>
        <v>0</v>
      </c>
      <c r="AK1174" s="729" t="str">
        <f t="shared" si="2976"/>
        <v/>
      </c>
      <c r="AL1174" s="729" t="str">
        <f t="shared" si="2977"/>
        <v/>
      </c>
      <c r="AM1174" s="729" t="str">
        <f t="shared" si="2978"/>
        <v/>
      </c>
      <c r="AN1174" s="729">
        <f t="shared" si="2979"/>
        <v>0</v>
      </c>
      <c r="AO1174" s="380"/>
      <c r="AP1174" s="322" t="str">
        <f t="shared" si="2980"/>
        <v/>
      </c>
      <c r="AQ1174" s="323" t="str">
        <f>IF(AC1174=$V$3,IF(VLOOKUP(C1174,[1]List1!$A:$E,5,FALSE)=0,1,VLOOKUP(C1174,[1]List1!$A:$E,5,FALSE)),"")</f>
        <v/>
      </c>
      <c r="AR1174" s="304" t="str">
        <f t="shared" si="2981"/>
        <v/>
      </c>
      <c r="AS1174" s="423" t="str">
        <f t="shared" si="2982"/>
        <v/>
      </c>
      <c r="AT1174" s="304" t="str">
        <f t="shared" si="2983"/>
        <v/>
      </c>
      <c r="AU1174" s="342" t="e">
        <f t="shared" si="2984"/>
        <v>#N/A</v>
      </c>
      <c r="AV1174" s="304" t="e">
        <f t="shared" si="2985"/>
        <v>#N/A</v>
      </c>
      <c r="AX1174" s="304">
        <f>IF(AND('General price list'!$J1174="F4",'General price list'!$AB1174+0&gt;0),1,0)</f>
        <v>0</v>
      </c>
      <c r="AY1174" s="304">
        <f t="shared" si="2986"/>
        <v>0</v>
      </c>
      <c r="AZ1174" s="304">
        <f t="shared" si="2987"/>
        <v>0</v>
      </c>
    </row>
    <row r="1175" spans="1:52" ht="15" customHeight="1">
      <c r="A1175" s="712"/>
      <c r="B1175" s="745">
        <f>IF(AND('General price list'!$J1175="F4",$AI$1=FALSE),0,IF(AC1175="SKLADEM",1,IF(AC1175=$V$3,1,0)))</f>
        <v>1</v>
      </c>
      <c r="C1175" s="714" t="s">
        <v>12082</v>
      </c>
      <c r="D1175" s="715" t="s">
        <v>14672</v>
      </c>
      <c r="E1175" s="716" t="s">
        <v>136</v>
      </c>
      <c r="F1175" s="712">
        <f>IFERROR(ROUND(IF($AL$3=2,VLOOKUP(C1175,[2]List1!$A:$D,2,FALSE)*1.08,VLOOKUP(C1175,[2]List1!$A:$D,2,FALSE)),0),"NEUVEDENO!")</f>
        <v>471</v>
      </c>
      <c r="G1175" s="717">
        <f t="shared" si="2966"/>
        <v>471</v>
      </c>
      <c r="H1175" s="718">
        <f t="shared" si="2967"/>
        <v>19.139417040176522</v>
      </c>
      <c r="I1175" s="746">
        <v>1</v>
      </c>
      <c r="J1175" s="716"/>
      <c r="K1175" s="716"/>
      <c r="L1175" s="716" t="s">
        <v>14464</v>
      </c>
      <c r="M1175" s="716"/>
      <c r="N1175" s="716" t="str">
        <f>IFERROR(VLOOKUP(C1175,[3]List1!$A:$D,4,FALSE),"N/A!")</f>
        <v/>
      </c>
      <c r="O1175" s="716" t="str">
        <f>IFERROR(VLOOKUP(C1175,[3]List1!$A:$D,3,FALSE),"N/A!")</f>
        <v/>
      </c>
      <c r="P1175" s="716">
        <f>IFERROR(VLOOKUP(C1175,[3]List1!$A:$D,2,FALSE),"N/A!")</f>
        <v>1500</v>
      </c>
      <c r="Q1175" s="716"/>
      <c r="R1175" s="716"/>
      <c r="S1175" s="716"/>
      <c r="T1175" s="716"/>
      <c r="U1175" s="716"/>
      <c r="V1175" s="716"/>
      <c r="W1175" s="716" t="str">
        <f>IFERROR(VLOOKUP('General price list'!$C1175,Popisy!A:P,MATCH($W$17,Popisy!$A$7:$P$7,0),FALSE),"---------------")</f>
        <v>Kartonová krabice s designem výrobku</v>
      </c>
      <c r="X1175" s="716" t="str">
        <f t="shared" si="2968"/>
        <v/>
      </c>
      <c r="Y1175" s="716" t="str">
        <f t="shared" si="2969"/>
        <v/>
      </c>
      <c r="Z1175" s="716"/>
      <c r="AA1175" s="716" t="str">
        <f>IFERROR(IF(VLOOKUP(C1175,[4]List1!$A:$D,4,FALSE)=0,"",VLOOKUP(C1175,[4]List1!$A:$D,4,FALSE)),"")</f>
        <v/>
      </c>
      <c r="AB1175" s="720"/>
      <c r="AC1175" s="747" t="str">
        <f>IFERROR(IF(VLOOKUP(C1175,[1]List1!$A:$D,2,FALSE)="VYPRODÁNO",$V$9,IF(VLOOKUP(C1175,[1]List1!$A:$D,2,FALSE)="DOCHÁZÍ",$V$3,VLOOKUP(C1175,[1]List1!$A:$D,2,FALSE))),"OFFLINE!")</f>
        <v>SKLADEM</v>
      </c>
      <c r="AD1175" s="748" t="str">
        <f ca="1">IF(AP1175="NE",$V$10,IF(AC1175=$V$3,IF(AQ1175&lt;1,$V$8,$V$2&amp;" "&amp;AQ1175&amp;" "&amp;$V$1),IF(AC1175="SKLADEM",$V$6,IFERROR(IF(OR(AC1175-TODAY()&gt;45,VLOOKUP(C1175,[1]List1!$A:$E,4,FALSE)=0),AC1175,DAY(AC1175)&amp;"."&amp;MONTH(AC1175)&amp;"."&amp;YEAR(AC1175)&amp;" "&amp;$V$4&amp;VLOOKUP(C1175,[1]List1!$A:$E,4,FALSE)&amp;" "&amp;$V$1),AC1175))))</f>
        <v>SKLADEM</v>
      </c>
      <c r="AE1175" s="716" t="str">
        <f t="shared" ca="1" si="2970"/>
        <v>SKLADEM</v>
      </c>
      <c r="AF1175" s="723">
        <f t="shared" si="2971"/>
        <v>0</v>
      </c>
      <c r="AG1175" s="723">
        <f t="shared" si="2972"/>
        <v>0</v>
      </c>
      <c r="AH1175" s="724">
        <f t="shared" si="2973"/>
        <v>0</v>
      </c>
      <c r="AI1175" s="716">
        <f t="shared" si="2974"/>
        <v>0</v>
      </c>
      <c r="AJ1175" s="716">
        <f t="shared" si="2975"/>
        <v>0</v>
      </c>
      <c r="AK1175" s="716" t="str">
        <f t="shared" si="2976"/>
        <v/>
      </c>
      <c r="AL1175" s="716" t="str">
        <f t="shared" si="2977"/>
        <v/>
      </c>
      <c r="AM1175" s="716" t="str">
        <f t="shared" si="2978"/>
        <v/>
      </c>
      <c r="AN1175" s="716">
        <f t="shared" si="2979"/>
        <v>0</v>
      </c>
      <c r="AO1175" s="380"/>
      <c r="AP1175" s="322" t="str">
        <f t="shared" si="2980"/>
        <v/>
      </c>
      <c r="AQ1175" s="323" t="str">
        <f>IF(AC1175=$V$3,IF(VLOOKUP(C1175,[1]List1!$A:$E,5,FALSE)=0,1,VLOOKUP(C1175,[1]List1!$A:$E,5,FALSE)),"")</f>
        <v/>
      </c>
      <c r="AR1175" s="304" t="str">
        <f t="shared" si="2981"/>
        <v/>
      </c>
      <c r="AS1175" s="423" t="str">
        <f t="shared" si="2982"/>
        <v/>
      </c>
      <c r="AT1175" s="304" t="str">
        <f t="shared" si="2983"/>
        <v/>
      </c>
      <c r="AU1175" s="342" t="e">
        <f t="shared" si="2984"/>
        <v>#N/A</v>
      </c>
      <c r="AV1175" s="304" t="e">
        <f t="shared" si="2985"/>
        <v>#N/A</v>
      </c>
      <c r="AX1175" s="304">
        <f>IF(AND('General price list'!$J1175="F4",'General price list'!$AB1175+0&gt;0),1,0)</f>
        <v>0</v>
      </c>
      <c r="AY1175" s="304">
        <f t="shared" si="2986"/>
        <v>0</v>
      </c>
      <c r="AZ1175" s="304">
        <f t="shared" si="2987"/>
        <v>0</v>
      </c>
    </row>
    <row r="1176" spans="1:52" ht="15" customHeight="1">
      <c r="A1176" s="725"/>
      <c r="B1176" s="749">
        <f>IF(AND('General price list'!$J1176="F4",$AI$1=FALSE),0,IF(AC1176="SKLADEM",1,IF(AC1176=$V$3,1,0)))</f>
        <v>1</v>
      </c>
      <c r="C1176" s="727" t="s">
        <v>12084</v>
      </c>
      <c r="D1176" s="728" t="s">
        <v>14673</v>
      </c>
      <c r="E1176" s="729" t="s">
        <v>136</v>
      </c>
      <c r="F1176" s="725">
        <f>IFERROR(ROUND(IF($AL$3=2,VLOOKUP(C1176,[2]List1!$A:$D,2,FALSE)*1.08,VLOOKUP(C1176,[2]List1!$A:$D,2,FALSE)),0),"NEUVEDENO!")</f>
        <v>95</v>
      </c>
      <c r="G1176" s="730">
        <f t="shared" si="2966"/>
        <v>95</v>
      </c>
      <c r="H1176" s="731">
        <f t="shared" si="2967"/>
        <v>3.8603919720101265</v>
      </c>
      <c r="I1176" s="750">
        <v>1</v>
      </c>
      <c r="J1176" s="729"/>
      <c r="K1176" s="729"/>
      <c r="L1176" s="729" t="s">
        <v>14464</v>
      </c>
      <c r="M1176" s="729"/>
      <c r="N1176" s="729" t="str">
        <f>IFERROR(VLOOKUP(C1176,[3]List1!$A:$D,4,FALSE),"N/A!")</f>
        <v/>
      </c>
      <c r="O1176" s="729" t="str">
        <f>IFERROR(VLOOKUP(C1176,[3]List1!$A:$D,3,FALSE),"N/A!")</f>
        <v/>
      </c>
      <c r="P1176" s="729">
        <f>IFERROR(VLOOKUP(C1176,[3]List1!$A:$D,2,FALSE),"N/A!")</f>
        <v>1500</v>
      </c>
      <c r="Q1176" s="729"/>
      <c r="R1176" s="729"/>
      <c r="S1176" s="729"/>
      <c r="T1176" s="729"/>
      <c r="U1176" s="729"/>
      <c r="V1176" s="729"/>
      <c r="W1176" s="729" t="str">
        <f>IFERROR(VLOOKUP('General price list'!$C1176,Popisy!A:P,MATCH($W$17,Popisy!$A$7:$P$7,0),FALSE),"---------------")</f>
        <v>Kartonová krabice s designem výrobku</v>
      </c>
      <c r="X1176" s="729" t="str">
        <f t="shared" si="2968"/>
        <v/>
      </c>
      <c r="Y1176" s="729" t="str">
        <f t="shared" si="2969"/>
        <v/>
      </c>
      <c r="Z1176" s="729"/>
      <c r="AA1176" s="729" t="str">
        <f>IFERROR(IF(VLOOKUP(C1176,[4]List1!$A:$D,4,FALSE)=0,"",VLOOKUP(C1176,[4]List1!$A:$D,4,FALSE)),"")</f>
        <v/>
      </c>
      <c r="AB1176" s="720"/>
      <c r="AC1176" s="751" t="str">
        <f>IFERROR(IF(VLOOKUP(C1176,[1]List1!$A:$D,2,FALSE)="VYPRODÁNO",$V$9,IF(VLOOKUP(C1176,[1]List1!$A:$D,2,FALSE)="DOCHÁZÍ",$V$3,VLOOKUP(C1176,[1]List1!$A:$D,2,FALSE))),"OFFLINE!")</f>
        <v>SKLADEM</v>
      </c>
      <c r="AD1176" s="752" t="str">
        <f ca="1">IF(AP1176="NE",$V$10,IF(AC1176=$V$3,IF(AQ1176&lt;1,$V$8,$V$2&amp;" "&amp;AQ1176&amp;" "&amp;$V$1),IF(AC1176="SKLADEM",$V$6,IFERROR(IF(OR(AC1176-TODAY()&gt;45,VLOOKUP(C1176,[1]List1!$A:$E,4,FALSE)=0),AC1176,DAY(AC1176)&amp;"."&amp;MONTH(AC1176)&amp;"."&amp;YEAR(AC1176)&amp;" "&amp;$V$4&amp;VLOOKUP(C1176,[1]List1!$A:$E,4,FALSE)&amp;" "&amp;$V$1),AC1176))))</f>
        <v>SKLADEM</v>
      </c>
      <c r="AE1176" s="729" t="str">
        <f t="shared" ca="1" si="2970"/>
        <v>SKLADEM</v>
      </c>
      <c r="AF1176" s="735">
        <f t="shared" si="2971"/>
        <v>0</v>
      </c>
      <c r="AG1176" s="735">
        <f t="shared" si="2972"/>
        <v>0</v>
      </c>
      <c r="AH1176" s="736">
        <f t="shared" si="2973"/>
        <v>0</v>
      </c>
      <c r="AI1176" s="729">
        <f t="shared" si="2974"/>
        <v>0</v>
      </c>
      <c r="AJ1176" s="729">
        <f t="shared" si="2975"/>
        <v>0</v>
      </c>
      <c r="AK1176" s="729" t="str">
        <f t="shared" si="2976"/>
        <v/>
      </c>
      <c r="AL1176" s="729" t="str">
        <f t="shared" si="2977"/>
        <v/>
      </c>
      <c r="AM1176" s="729" t="str">
        <f t="shared" si="2978"/>
        <v/>
      </c>
      <c r="AN1176" s="729">
        <f t="shared" si="2979"/>
        <v>0</v>
      </c>
      <c r="AO1176" s="380"/>
      <c r="AP1176" s="322" t="str">
        <f t="shared" si="2980"/>
        <v/>
      </c>
      <c r="AQ1176" s="323" t="str">
        <f>IF(AC1176=$V$3,IF(VLOOKUP(C1176,[1]List1!$A:$E,5,FALSE)=0,1,VLOOKUP(C1176,[1]List1!$A:$E,5,FALSE)),"")</f>
        <v/>
      </c>
      <c r="AR1176" s="304" t="str">
        <f t="shared" si="2981"/>
        <v/>
      </c>
      <c r="AS1176" s="423" t="str">
        <f t="shared" si="2982"/>
        <v/>
      </c>
      <c r="AT1176" s="304" t="str">
        <f t="shared" si="2983"/>
        <v/>
      </c>
      <c r="AU1176" s="342" t="e">
        <f t="shared" si="2984"/>
        <v>#N/A</v>
      </c>
      <c r="AV1176" s="304" t="e">
        <f t="shared" si="2985"/>
        <v>#N/A</v>
      </c>
      <c r="AX1176" s="304">
        <f>IF(AND('General price list'!$J1176="F4",'General price list'!$AB1176+0&gt;0),1,0)</f>
        <v>0</v>
      </c>
      <c r="AY1176" s="304">
        <f t="shared" si="2986"/>
        <v>0</v>
      </c>
      <c r="AZ1176" s="304">
        <f t="shared" si="2987"/>
        <v>0</v>
      </c>
    </row>
    <row r="1177" spans="1:52" ht="15" customHeight="1">
      <c r="A1177" s="712"/>
      <c r="B1177" s="745">
        <f>IF(AND('General price list'!$J1177="F4",$AI$1=FALSE),0,IF(AC1177="SKLADEM",1,IF(AC1177=$V$3,1,0)))</f>
        <v>1</v>
      </c>
      <c r="C1177" s="714" t="s">
        <v>12085</v>
      </c>
      <c r="D1177" s="715" t="s">
        <v>14674</v>
      </c>
      <c r="E1177" s="716" t="s">
        <v>136</v>
      </c>
      <c r="F1177" s="712">
        <f>IFERROR(ROUND(IF($AL$3=2,VLOOKUP(C1177,[2]List1!$A:$D,2,FALSE)*1.08,VLOOKUP(C1177,[2]List1!$A:$D,2,FALSE)),0),"NEUVEDENO!")</f>
        <v>95</v>
      </c>
      <c r="G1177" s="717">
        <f t="shared" si="2966"/>
        <v>95</v>
      </c>
      <c r="H1177" s="718">
        <f t="shared" si="2967"/>
        <v>3.8603919720101265</v>
      </c>
      <c r="I1177" s="746">
        <v>1</v>
      </c>
      <c r="J1177" s="716"/>
      <c r="K1177" s="716"/>
      <c r="L1177" s="716" t="s">
        <v>14464</v>
      </c>
      <c r="M1177" s="716"/>
      <c r="N1177" s="716" t="str">
        <f>IFERROR(VLOOKUP(C1177,[3]List1!$A:$D,4,FALSE),"N/A!")</f>
        <v/>
      </c>
      <c r="O1177" s="716" t="str">
        <f>IFERROR(VLOOKUP(C1177,[3]List1!$A:$D,3,FALSE),"N/A!")</f>
        <v/>
      </c>
      <c r="P1177" s="716">
        <f>IFERROR(VLOOKUP(C1177,[3]List1!$A:$D,2,FALSE),"N/A!")</f>
        <v>1500</v>
      </c>
      <c r="Q1177" s="716"/>
      <c r="R1177" s="716"/>
      <c r="S1177" s="716"/>
      <c r="T1177" s="716"/>
      <c r="U1177" s="716"/>
      <c r="V1177" s="716"/>
      <c r="W1177" s="716" t="str">
        <f>IFERROR(VLOOKUP('General price list'!$C1177,Popisy!A:P,MATCH($W$17,Popisy!$A$7:$P$7,0),FALSE),"---------------")</f>
        <v>Kartonová krabice s designem výrobku</v>
      </c>
      <c r="X1177" s="716" t="str">
        <f t="shared" si="2968"/>
        <v/>
      </c>
      <c r="Y1177" s="716" t="str">
        <f t="shared" si="2969"/>
        <v/>
      </c>
      <c r="Z1177" s="716"/>
      <c r="AA1177" s="716" t="str">
        <f>IFERROR(IF(VLOOKUP(C1177,[4]List1!$A:$D,4,FALSE)=0,"",VLOOKUP(C1177,[4]List1!$A:$D,4,FALSE)),"")</f>
        <v/>
      </c>
      <c r="AB1177" s="720"/>
      <c r="AC1177" s="747" t="str">
        <f>IFERROR(IF(VLOOKUP(C1177,[1]List1!$A:$D,2,FALSE)="VYPRODÁNO",$V$9,IF(VLOOKUP(C1177,[1]List1!$A:$D,2,FALSE)="DOCHÁZÍ",$V$3,VLOOKUP(C1177,[1]List1!$A:$D,2,FALSE))),"OFFLINE!")</f>
        <v>SKLADEM</v>
      </c>
      <c r="AD1177" s="748" t="str">
        <f ca="1">IF(AP1177="NE",$V$10,IF(AC1177=$V$3,IF(AQ1177&lt;1,$V$8,$V$2&amp;" "&amp;AQ1177&amp;" "&amp;$V$1),IF(AC1177="SKLADEM",$V$6,IFERROR(IF(OR(AC1177-TODAY()&gt;45,VLOOKUP(C1177,[1]List1!$A:$E,4,FALSE)=0),AC1177,DAY(AC1177)&amp;"."&amp;MONTH(AC1177)&amp;"."&amp;YEAR(AC1177)&amp;" "&amp;$V$4&amp;VLOOKUP(C1177,[1]List1!$A:$E,4,FALSE)&amp;" "&amp;$V$1),AC1177))))</f>
        <v>SKLADEM</v>
      </c>
      <c r="AE1177" s="716" t="str">
        <f t="shared" ca="1" si="2970"/>
        <v>SKLADEM</v>
      </c>
      <c r="AF1177" s="723">
        <f t="shared" si="2971"/>
        <v>0</v>
      </c>
      <c r="AG1177" s="723">
        <f t="shared" si="2972"/>
        <v>0</v>
      </c>
      <c r="AH1177" s="724">
        <f t="shared" si="2973"/>
        <v>0</v>
      </c>
      <c r="AI1177" s="716">
        <f t="shared" si="2974"/>
        <v>0</v>
      </c>
      <c r="AJ1177" s="716">
        <f t="shared" si="2975"/>
        <v>0</v>
      </c>
      <c r="AK1177" s="716" t="str">
        <f t="shared" si="2976"/>
        <v/>
      </c>
      <c r="AL1177" s="716" t="str">
        <f t="shared" si="2977"/>
        <v/>
      </c>
      <c r="AM1177" s="716" t="str">
        <f t="shared" si="2978"/>
        <v/>
      </c>
      <c r="AN1177" s="716">
        <f t="shared" si="2979"/>
        <v>0</v>
      </c>
      <c r="AO1177" s="380"/>
      <c r="AP1177" s="322" t="str">
        <f t="shared" si="2980"/>
        <v/>
      </c>
      <c r="AQ1177" s="323" t="str">
        <f>IF(AC1177=$V$3,IF(VLOOKUP(C1177,[1]List1!$A:$E,5,FALSE)=0,1,VLOOKUP(C1177,[1]List1!$A:$E,5,FALSE)),"")</f>
        <v/>
      </c>
      <c r="AR1177" s="304" t="str">
        <f t="shared" si="2981"/>
        <v/>
      </c>
      <c r="AS1177" s="423" t="str">
        <f t="shared" si="2982"/>
        <v/>
      </c>
      <c r="AT1177" s="304" t="str">
        <f t="shared" si="2983"/>
        <v/>
      </c>
      <c r="AU1177" s="342" t="e">
        <f t="shared" si="2984"/>
        <v>#N/A</v>
      </c>
      <c r="AV1177" s="304" t="e">
        <f t="shared" si="2985"/>
        <v>#N/A</v>
      </c>
      <c r="AX1177" s="304">
        <f>IF(AND('General price list'!$J1177="F4",'General price list'!$AB1177+0&gt;0),1,0)</f>
        <v>0</v>
      </c>
      <c r="AY1177" s="304">
        <f t="shared" si="2986"/>
        <v>0</v>
      </c>
      <c r="AZ1177" s="304">
        <f t="shared" si="2987"/>
        <v>0</v>
      </c>
    </row>
    <row r="1178" spans="1:52" ht="15" customHeight="1">
      <c r="A1178" s="725"/>
      <c r="B1178" s="749">
        <f>IF(AND('General price list'!$J1178="F4",$AI$1=FALSE),0,IF(AC1178="SKLADEM",1,IF(AC1178=$V$3,1,0)))</f>
        <v>1</v>
      </c>
      <c r="C1178" s="727" t="s">
        <v>12086</v>
      </c>
      <c r="D1178" s="728" t="s">
        <v>14675</v>
      </c>
      <c r="E1178" s="729" t="s">
        <v>136</v>
      </c>
      <c r="F1178" s="725">
        <f>IFERROR(ROUND(IF($AL$3=2,VLOOKUP(C1178,[2]List1!$A:$D,2,FALSE)*1.08,VLOOKUP(C1178,[2]List1!$A:$D,2,FALSE)),0),"NEUVEDENO!")</f>
        <v>311</v>
      </c>
      <c r="G1178" s="730">
        <f t="shared" si="2966"/>
        <v>311</v>
      </c>
      <c r="H1178" s="731">
        <f t="shared" si="2967"/>
        <v>12.637704245212099</v>
      </c>
      <c r="I1178" s="750">
        <v>1</v>
      </c>
      <c r="J1178" s="729"/>
      <c r="K1178" s="729"/>
      <c r="L1178" s="729" t="s">
        <v>14464</v>
      </c>
      <c r="M1178" s="729"/>
      <c r="N1178" s="729" t="str">
        <f>IFERROR(VLOOKUP(C1178,[3]List1!$A:$D,4,FALSE),"N/A!")</f>
        <v/>
      </c>
      <c r="O1178" s="729" t="str">
        <f>IFERROR(VLOOKUP(C1178,[3]List1!$A:$D,3,FALSE),"N/A!")</f>
        <v/>
      </c>
      <c r="P1178" s="729">
        <f>IFERROR(VLOOKUP(C1178,[3]List1!$A:$D,2,FALSE),"N/A!")</f>
        <v>1500</v>
      </c>
      <c r="Q1178" s="729"/>
      <c r="R1178" s="729"/>
      <c r="S1178" s="729"/>
      <c r="T1178" s="729"/>
      <c r="U1178" s="729"/>
      <c r="V1178" s="729"/>
      <c r="W1178" s="729" t="str">
        <f>IFERROR(VLOOKUP('General price list'!$C1178,Popisy!A:P,MATCH($W$17,Popisy!$A$7:$P$7,0),FALSE),"---------------")</f>
        <v>Kartonová krabice s designem výrobku</v>
      </c>
      <c r="X1178" s="729" t="str">
        <f t="shared" si="2968"/>
        <v/>
      </c>
      <c r="Y1178" s="729" t="str">
        <f t="shared" si="2969"/>
        <v/>
      </c>
      <c r="Z1178" s="729"/>
      <c r="AA1178" s="729" t="str">
        <f>IFERROR(IF(VLOOKUP(C1178,[4]List1!$A:$D,4,FALSE)=0,"",VLOOKUP(C1178,[4]List1!$A:$D,4,FALSE)),"")</f>
        <v/>
      </c>
      <c r="AB1178" s="720"/>
      <c r="AC1178" s="751" t="str">
        <f>IFERROR(IF(VLOOKUP(C1178,[1]List1!$A:$D,2,FALSE)="VYPRODÁNO",$V$9,IF(VLOOKUP(C1178,[1]List1!$A:$D,2,FALSE)="DOCHÁZÍ",$V$3,VLOOKUP(C1178,[1]List1!$A:$D,2,FALSE))),"OFFLINE!")</f>
        <v>SKLADEM</v>
      </c>
      <c r="AD1178" s="752" t="str">
        <f ca="1">IF(AP1178="NE",$V$10,IF(AC1178=$V$3,IF(AQ1178&lt;1,$V$8,$V$2&amp;" "&amp;AQ1178&amp;" "&amp;$V$1),IF(AC1178="SKLADEM",$V$6,IFERROR(IF(OR(AC1178-TODAY()&gt;45,VLOOKUP(C1178,[1]List1!$A:$E,4,FALSE)=0),AC1178,DAY(AC1178)&amp;"."&amp;MONTH(AC1178)&amp;"."&amp;YEAR(AC1178)&amp;" "&amp;$V$4&amp;VLOOKUP(C1178,[1]List1!$A:$E,4,FALSE)&amp;" "&amp;$V$1),AC1178))))</f>
        <v>SKLADEM</v>
      </c>
      <c r="AE1178" s="729" t="str">
        <f t="shared" ca="1" si="2970"/>
        <v>SKLADEM</v>
      </c>
      <c r="AF1178" s="735">
        <f t="shared" si="2971"/>
        <v>0</v>
      </c>
      <c r="AG1178" s="735">
        <f t="shared" si="2972"/>
        <v>0</v>
      </c>
      <c r="AH1178" s="736">
        <f t="shared" si="2973"/>
        <v>0</v>
      </c>
      <c r="AI1178" s="729">
        <f t="shared" si="2974"/>
        <v>0</v>
      </c>
      <c r="AJ1178" s="729">
        <f t="shared" si="2975"/>
        <v>0</v>
      </c>
      <c r="AK1178" s="729" t="str">
        <f t="shared" si="2976"/>
        <v/>
      </c>
      <c r="AL1178" s="729" t="str">
        <f t="shared" si="2977"/>
        <v/>
      </c>
      <c r="AM1178" s="729" t="str">
        <f t="shared" si="2978"/>
        <v/>
      </c>
      <c r="AN1178" s="729">
        <f t="shared" si="2979"/>
        <v>0</v>
      </c>
      <c r="AO1178" s="380"/>
      <c r="AP1178" s="322" t="str">
        <f t="shared" si="2980"/>
        <v/>
      </c>
      <c r="AQ1178" s="323" t="str">
        <f>IF(AC1178=$V$3,IF(VLOOKUP(C1178,[1]List1!$A:$E,5,FALSE)=0,1,VLOOKUP(C1178,[1]List1!$A:$E,5,FALSE)),"")</f>
        <v/>
      </c>
      <c r="AR1178" s="304" t="str">
        <f t="shared" si="2981"/>
        <v/>
      </c>
      <c r="AS1178" s="423" t="str">
        <f t="shared" si="2982"/>
        <v/>
      </c>
      <c r="AT1178" s="304" t="str">
        <f t="shared" si="2983"/>
        <v/>
      </c>
      <c r="AU1178" s="342" t="e">
        <f t="shared" si="2984"/>
        <v>#N/A</v>
      </c>
      <c r="AV1178" s="304" t="e">
        <f t="shared" si="2985"/>
        <v>#N/A</v>
      </c>
      <c r="AX1178" s="304">
        <f>IF(AND('General price list'!$J1178="F4",'General price list'!$AB1178+0&gt;0),1,0)</f>
        <v>0</v>
      </c>
      <c r="AY1178" s="304">
        <f t="shared" si="2986"/>
        <v>0</v>
      </c>
      <c r="AZ1178" s="304">
        <f t="shared" si="2987"/>
        <v>0</v>
      </c>
    </row>
    <row r="1179" spans="1:52" ht="15" customHeight="1">
      <c r="A1179" s="712"/>
      <c r="B1179" s="745">
        <f>IF(AND('General price list'!$J1179="F4",$AI$1=FALSE),0,IF(AC1179="SKLADEM",1,IF(AC1179=$V$3,1,0)))</f>
        <v>1</v>
      </c>
      <c r="C1179" s="714" t="s">
        <v>12087</v>
      </c>
      <c r="D1179" s="715" t="s">
        <v>14676</v>
      </c>
      <c r="E1179" s="716" t="s">
        <v>136</v>
      </c>
      <c r="F1179" s="712">
        <f>IFERROR(ROUND(IF($AL$3=2,VLOOKUP(C1179,[2]List1!$A:$D,2,FALSE)*1.08,VLOOKUP(C1179,[2]List1!$A:$D,2,FALSE)),0),"NEUVEDENO!")</f>
        <v>311</v>
      </c>
      <c r="G1179" s="717">
        <f t="shared" si="2966"/>
        <v>311</v>
      </c>
      <c r="H1179" s="718">
        <f t="shared" si="2967"/>
        <v>12.637704245212099</v>
      </c>
      <c r="I1179" s="746">
        <v>1</v>
      </c>
      <c r="J1179" s="716"/>
      <c r="K1179" s="716"/>
      <c r="L1179" s="716" t="s">
        <v>14464</v>
      </c>
      <c r="M1179" s="716"/>
      <c r="N1179" s="716" t="str">
        <f>IFERROR(VLOOKUP(C1179,[3]List1!$A:$D,4,FALSE),"N/A!")</f>
        <v/>
      </c>
      <c r="O1179" s="716" t="str">
        <f>IFERROR(VLOOKUP(C1179,[3]List1!$A:$D,3,FALSE),"N/A!")</f>
        <v/>
      </c>
      <c r="P1179" s="716">
        <f>IFERROR(VLOOKUP(C1179,[3]List1!$A:$D,2,FALSE),"N/A!")</f>
        <v>1500</v>
      </c>
      <c r="Q1179" s="716"/>
      <c r="R1179" s="716"/>
      <c r="S1179" s="716"/>
      <c r="T1179" s="716"/>
      <c r="U1179" s="716"/>
      <c r="V1179" s="716"/>
      <c r="W1179" s="716" t="str">
        <f>IFERROR(VLOOKUP('General price list'!$C1179,Popisy!A:P,MATCH($W$17,Popisy!$A$7:$P$7,0),FALSE),"---------------")</f>
        <v>Kartonová krabice s designem výrobku</v>
      </c>
      <c r="X1179" s="716" t="str">
        <f t="shared" si="2968"/>
        <v/>
      </c>
      <c r="Y1179" s="716" t="str">
        <f t="shared" si="2969"/>
        <v/>
      </c>
      <c r="Z1179" s="716"/>
      <c r="AA1179" s="716" t="str">
        <f>IFERROR(IF(VLOOKUP(C1179,[4]List1!$A:$D,4,FALSE)=0,"",VLOOKUP(C1179,[4]List1!$A:$D,4,FALSE)),"")</f>
        <v/>
      </c>
      <c r="AB1179" s="720"/>
      <c r="AC1179" s="747" t="str">
        <f>IFERROR(IF(VLOOKUP(C1179,[1]List1!$A:$D,2,FALSE)="VYPRODÁNO",$V$9,IF(VLOOKUP(C1179,[1]List1!$A:$D,2,FALSE)="DOCHÁZÍ",$V$3,VLOOKUP(C1179,[1]List1!$A:$D,2,FALSE))),"OFFLINE!")</f>
        <v>SKLADEM</v>
      </c>
      <c r="AD1179" s="748" t="str">
        <f ca="1">IF(AP1179="NE",$V$10,IF(AC1179=$V$3,IF(AQ1179&lt;1,$V$8,$V$2&amp;" "&amp;AQ1179&amp;" "&amp;$V$1),IF(AC1179="SKLADEM",$V$6,IFERROR(IF(OR(AC1179-TODAY()&gt;45,VLOOKUP(C1179,[1]List1!$A:$E,4,FALSE)=0),AC1179,DAY(AC1179)&amp;"."&amp;MONTH(AC1179)&amp;"."&amp;YEAR(AC1179)&amp;" "&amp;$V$4&amp;VLOOKUP(C1179,[1]List1!$A:$E,4,FALSE)&amp;" "&amp;$V$1),AC1179))))</f>
        <v>SKLADEM</v>
      </c>
      <c r="AE1179" s="716" t="str">
        <f t="shared" ca="1" si="2970"/>
        <v>SKLADEM</v>
      </c>
      <c r="AF1179" s="723">
        <f t="shared" si="2971"/>
        <v>0</v>
      </c>
      <c r="AG1179" s="723">
        <f t="shared" si="2972"/>
        <v>0</v>
      </c>
      <c r="AH1179" s="724">
        <f t="shared" si="2973"/>
        <v>0</v>
      </c>
      <c r="AI1179" s="716">
        <f t="shared" si="2974"/>
        <v>0</v>
      </c>
      <c r="AJ1179" s="716">
        <f t="shared" si="2975"/>
        <v>0</v>
      </c>
      <c r="AK1179" s="716" t="str">
        <f t="shared" si="2976"/>
        <v/>
      </c>
      <c r="AL1179" s="716" t="str">
        <f t="shared" si="2977"/>
        <v/>
      </c>
      <c r="AM1179" s="716" t="str">
        <f t="shared" si="2978"/>
        <v/>
      </c>
      <c r="AN1179" s="716">
        <f t="shared" si="2979"/>
        <v>0</v>
      </c>
      <c r="AO1179" s="380"/>
      <c r="AP1179" s="322" t="str">
        <f t="shared" si="2980"/>
        <v/>
      </c>
      <c r="AQ1179" s="323" t="str">
        <f>IF(AC1179=$V$3,IF(VLOOKUP(C1179,[1]List1!$A:$E,5,FALSE)=0,1,VLOOKUP(C1179,[1]List1!$A:$E,5,FALSE)),"")</f>
        <v/>
      </c>
      <c r="AR1179" s="304" t="str">
        <f t="shared" si="2981"/>
        <v/>
      </c>
      <c r="AS1179" s="423" t="str">
        <f t="shared" si="2982"/>
        <v/>
      </c>
      <c r="AT1179" s="304" t="str">
        <f t="shared" si="2983"/>
        <v/>
      </c>
      <c r="AU1179" s="342" t="e">
        <f t="shared" si="2984"/>
        <v>#N/A</v>
      </c>
      <c r="AV1179" s="304" t="e">
        <f t="shared" si="2985"/>
        <v>#N/A</v>
      </c>
      <c r="AX1179" s="304">
        <f>IF(AND('General price list'!$J1179="F4",'General price list'!$AB1179+0&gt;0),1,0)</f>
        <v>0</v>
      </c>
      <c r="AY1179" s="304">
        <f t="shared" si="2986"/>
        <v>0</v>
      </c>
      <c r="AZ1179" s="304">
        <f t="shared" si="2987"/>
        <v>0</v>
      </c>
    </row>
    <row r="1180" spans="1:52" ht="15" customHeight="1">
      <c r="A1180" s="725"/>
      <c r="B1180" s="749">
        <f>IF(AND('General price list'!$J1180="F4",$AI$1=FALSE),0,IF(AC1180="SKLADEM",1,IF(AC1180=$V$3,1,0)))</f>
        <v>1</v>
      </c>
      <c r="C1180" s="727" t="s">
        <v>12088</v>
      </c>
      <c r="D1180" s="728" t="s">
        <v>14677</v>
      </c>
      <c r="E1180" s="729" t="s">
        <v>136</v>
      </c>
      <c r="F1180" s="725">
        <f>IFERROR(ROUND(IF($AL$3=2,VLOOKUP(C1180,[2]List1!$A:$D,2,FALSE)*1.08,VLOOKUP(C1180,[2]List1!$A:$D,2,FALSE)),0),"NEUVEDENO!")</f>
        <v>424</v>
      </c>
      <c r="G1180" s="730">
        <f t="shared" si="2966"/>
        <v>424</v>
      </c>
      <c r="H1180" s="731">
        <f t="shared" si="2967"/>
        <v>17.229538906655723</v>
      </c>
      <c r="I1180" s="750">
        <v>1</v>
      </c>
      <c r="J1180" s="729"/>
      <c r="K1180" s="729"/>
      <c r="L1180" s="729" t="s">
        <v>14464</v>
      </c>
      <c r="M1180" s="729"/>
      <c r="N1180" s="729" t="str">
        <f>IFERROR(VLOOKUP(C1180,[3]List1!$A:$D,4,FALSE),"N/A!")</f>
        <v/>
      </c>
      <c r="O1180" s="729" t="str">
        <f>IFERROR(VLOOKUP(C1180,[3]List1!$A:$D,3,FALSE),"N/A!")</f>
        <v/>
      </c>
      <c r="P1180" s="729">
        <f>IFERROR(VLOOKUP(C1180,[3]List1!$A:$D,2,FALSE),"N/A!")</f>
        <v>1500</v>
      </c>
      <c r="Q1180" s="729"/>
      <c r="R1180" s="729"/>
      <c r="S1180" s="729"/>
      <c r="T1180" s="729"/>
      <c r="U1180" s="729"/>
      <c r="V1180" s="729"/>
      <c r="W1180" s="729" t="str">
        <f>IFERROR(VLOOKUP('General price list'!$C1180,Popisy!A:P,MATCH($W$17,Popisy!$A$7:$P$7,0),FALSE),"---------------")</f>
        <v>Kartonová krabice s designem výrobku</v>
      </c>
      <c r="X1180" s="729" t="str">
        <f t="shared" si="2968"/>
        <v/>
      </c>
      <c r="Y1180" s="729" t="str">
        <f t="shared" si="2969"/>
        <v/>
      </c>
      <c r="Z1180" s="729"/>
      <c r="AA1180" s="729" t="str">
        <f>IFERROR(IF(VLOOKUP(C1180,[4]List1!$A:$D,4,FALSE)=0,"",VLOOKUP(C1180,[4]List1!$A:$D,4,FALSE)),"")</f>
        <v/>
      </c>
      <c r="AB1180" s="720"/>
      <c r="AC1180" s="751" t="str">
        <f>IFERROR(IF(VLOOKUP(C1180,[1]List1!$A:$D,2,FALSE)="VYPRODÁNO",$V$9,IF(VLOOKUP(C1180,[1]List1!$A:$D,2,FALSE)="DOCHÁZÍ",$V$3,VLOOKUP(C1180,[1]List1!$A:$D,2,FALSE))),"OFFLINE!")</f>
        <v>SKLADEM</v>
      </c>
      <c r="AD1180" s="752" t="str">
        <f ca="1">IF(AP1180="NE",$V$10,IF(AC1180=$V$3,IF(AQ1180&lt;1,$V$8,$V$2&amp;" "&amp;AQ1180&amp;" "&amp;$V$1),IF(AC1180="SKLADEM",$V$6,IFERROR(IF(OR(AC1180-TODAY()&gt;45,VLOOKUP(C1180,[1]List1!$A:$E,4,FALSE)=0),AC1180,DAY(AC1180)&amp;"."&amp;MONTH(AC1180)&amp;"."&amp;YEAR(AC1180)&amp;" "&amp;$V$4&amp;VLOOKUP(C1180,[1]List1!$A:$E,4,FALSE)&amp;" "&amp;$V$1),AC1180))))</f>
        <v>SKLADEM</v>
      </c>
      <c r="AE1180" s="729" t="str">
        <f t="shared" ca="1" si="2970"/>
        <v>SKLADEM</v>
      </c>
      <c r="AF1180" s="735">
        <f t="shared" si="2971"/>
        <v>0</v>
      </c>
      <c r="AG1180" s="735">
        <f t="shared" si="2972"/>
        <v>0</v>
      </c>
      <c r="AH1180" s="736">
        <f t="shared" si="2973"/>
        <v>0</v>
      </c>
      <c r="AI1180" s="729">
        <f t="shared" si="2974"/>
        <v>0</v>
      </c>
      <c r="AJ1180" s="729">
        <f t="shared" si="2975"/>
        <v>0</v>
      </c>
      <c r="AK1180" s="729" t="str">
        <f t="shared" si="2976"/>
        <v/>
      </c>
      <c r="AL1180" s="729" t="str">
        <f t="shared" si="2977"/>
        <v/>
      </c>
      <c r="AM1180" s="729" t="str">
        <f t="shared" si="2978"/>
        <v/>
      </c>
      <c r="AN1180" s="729">
        <f t="shared" si="2979"/>
        <v>0</v>
      </c>
      <c r="AO1180" s="380"/>
      <c r="AP1180" s="322" t="str">
        <f t="shared" si="2980"/>
        <v/>
      </c>
      <c r="AQ1180" s="323" t="str">
        <f>IF(AC1180=$V$3,IF(VLOOKUP(C1180,[1]List1!$A:$E,5,FALSE)=0,1,VLOOKUP(C1180,[1]List1!$A:$E,5,FALSE)),"")</f>
        <v/>
      </c>
      <c r="AR1180" s="304" t="str">
        <f t="shared" si="2981"/>
        <v/>
      </c>
      <c r="AS1180" s="423" t="str">
        <f t="shared" si="2982"/>
        <v/>
      </c>
      <c r="AT1180" s="304" t="str">
        <f t="shared" si="2983"/>
        <v/>
      </c>
      <c r="AU1180" s="342" t="e">
        <f t="shared" si="2984"/>
        <v>#N/A</v>
      </c>
      <c r="AV1180" s="304" t="e">
        <f t="shared" si="2985"/>
        <v>#N/A</v>
      </c>
      <c r="AX1180" s="304">
        <f>IF(AND('General price list'!$J1180="F4",'General price list'!$AB1180+0&gt;0),1,0)</f>
        <v>0</v>
      </c>
      <c r="AY1180" s="304">
        <f t="shared" si="2986"/>
        <v>0</v>
      </c>
      <c r="AZ1180" s="304">
        <f t="shared" si="2987"/>
        <v>0</v>
      </c>
    </row>
    <row r="1181" spans="1:52" ht="15" customHeight="1">
      <c r="A1181" s="712"/>
      <c r="B1181" s="745">
        <f>IF(AND('General price list'!$J1181="F4",$AI$1=FALSE),0,IF(AC1181="SKLADEM",1,IF(AC1181=$V$3,1,0)))</f>
        <v>1</v>
      </c>
      <c r="C1181" s="714" t="s">
        <v>12350</v>
      </c>
      <c r="D1181" s="715" t="s">
        <v>14678</v>
      </c>
      <c r="E1181" s="716" t="s">
        <v>136</v>
      </c>
      <c r="F1181" s="712">
        <f>IFERROR(ROUND(IF($AL$3=2,VLOOKUP(C1181,[2]List1!$A:$D,2,FALSE)*1.08,VLOOKUP(C1181,[2]List1!$A:$D,2,FALSE)),0),"NEUVEDENO!")</f>
        <v>545</v>
      </c>
      <c r="G1181" s="717">
        <f t="shared" si="2966"/>
        <v>545</v>
      </c>
      <c r="H1181" s="718">
        <f t="shared" si="2967"/>
        <v>22.14645920784757</v>
      </c>
      <c r="I1181" s="746">
        <v>1</v>
      </c>
      <c r="J1181" s="716"/>
      <c r="K1181" s="716"/>
      <c r="L1181" s="716" t="s">
        <v>14464</v>
      </c>
      <c r="M1181" s="716"/>
      <c r="N1181" s="716" t="str">
        <f>IFERROR(VLOOKUP(C1181,[3]List1!$A:$D,4,FALSE),"N/A!")</f>
        <v/>
      </c>
      <c r="O1181" s="716" t="str">
        <f>IFERROR(VLOOKUP(C1181,[3]List1!$A:$D,3,FALSE),"N/A!")</f>
        <v/>
      </c>
      <c r="P1181" s="716">
        <f>IFERROR(VLOOKUP(C1181,[3]List1!$A:$D,2,FALSE),"N/A!")</f>
        <v>1500</v>
      </c>
      <c r="Q1181" s="716"/>
      <c r="R1181" s="716"/>
      <c r="S1181" s="716"/>
      <c r="T1181" s="716"/>
      <c r="U1181" s="716"/>
      <c r="V1181" s="716"/>
      <c r="W1181" s="716" t="str">
        <f>IFERROR(VLOOKUP('General price list'!$C1181,Popisy!A:P,MATCH($W$17,Popisy!$A$7:$P$7,0),FALSE),"---------------")</f>
        <v>Kartonová krabice s designem výrobku</v>
      </c>
      <c r="X1181" s="716" t="str">
        <f t="shared" si="2968"/>
        <v/>
      </c>
      <c r="Y1181" s="716" t="str">
        <f t="shared" si="2969"/>
        <v/>
      </c>
      <c r="Z1181" s="716"/>
      <c r="AA1181" s="716" t="str">
        <f>IFERROR(IF(VLOOKUP(C1181,[4]List1!$A:$D,4,FALSE)=0,"",VLOOKUP(C1181,[4]List1!$A:$D,4,FALSE)),"")</f>
        <v/>
      </c>
      <c r="AB1181" s="720"/>
      <c r="AC1181" s="747" t="str">
        <f>IFERROR(IF(VLOOKUP(C1181,[1]List1!$A:$D,2,FALSE)="VYPRODÁNO",$V$9,IF(VLOOKUP(C1181,[1]List1!$A:$D,2,FALSE)="DOCHÁZÍ",$V$3,VLOOKUP(C1181,[1]List1!$A:$D,2,FALSE))),"OFFLINE!")</f>
        <v>SKLADEM</v>
      </c>
      <c r="AD1181" s="748" t="str">
        <f ca="1">IF(AP1181="NE",$V$10,IF(AC1181=$V$3,IF(AQ1181&lt;1,$V$8,$V$2&amp;" "&amp;AQ1181&amp;" "&amp;$V$1),IF(AC1181="SKLADEM",$V$6,IFERROR(IF(OR(AC1181-TODAY()&gt;45,VLOOKUP(C1181,[1]List1!$A:$E,4,FALSE)=0),AC1181,DAY(AC1181)&amp;"."&amp;MONTH(AC1181)&amp;"."&amp;YEAR(AC1181)&amp;" "&amp;$V$4&amp;VLOOKUP(C1181,[1]List1!$A:$E,4,FALSE)&amp;" "&amp;$V$1),AC1181))))</f>
        <v>SKLADEM</v>
      </c>
      <c r="AE1181" s="716" t="str">
        <f t="shared" ca="1" si="2970"/>
        <v>SKLADEM</v>
      </c>
      <c r="AF1181" s="723">
        <f t="shared" si="2971"/>
        <v>0</v>
      </c>
      <c r="AG1181" s="723">
        <f t="shared" si="2972"/>
        <v>0</v>
      </c>
      <c r="AH1181" s="724">
        <f t="shared" si="2973"/>
        <v>0</v>
      </c>
      <c r="AI1181" s="716">
        <f t="shared" si="2974"/>
        <v>0</v>
      </c>
      <c r="AJ1181" s="716">
        <f t="shared" si="2975"/>
        <v>0</v>
      </c>
      <c r="AK1181" s="716" t="str">
        <f t="shared" si="2976"/>
        <v/>
      </c>
      <c r="AL1181" s="716" t="str">
        <f t="shared" si="2977"/>
        <v/>
      </c>
      <c r="AM1181" s="716" t="str">
        <f t="shared" si="2978"/>
        <v/>
      </c>
      <c r="AN1181" s="716">
        <f t="shared" si="2979"/>
        <v>0</v>
      </c>
      <c r="AO1181" s="380"/>
      <c r="AP1181" s="322" t="str">
        <f t="shared" si="2980"/>
        <v/>
      </c>
      <c r="AQ1181" s="323" t="str">
        <f>IF(AC1181=$V$3,IF(VLOOKUP(C1181,[1]List1!$A:$E,5,FALSE)=0,1,VLOOKUP(C1181,[1]List1!$A:$E,5,FALSE)),"")</f>
        <v/>
      </c>
      <c r="AR1181" s="304" t="str">
        <f t="shared" si="2981"/>
        <v/>
      </c>
      <c r="AS1181" s="423" t="str">
        <f t="shared" si="2982"/>
        <v/>
      </c>
      <c r="AT1181" s="304" t="str">
        <f t="shared" si="2983"/>
        <v/>
      </c>
      <c r="AU1181" s="342" t="e">
        <f t="shared" si="2984"/>
        <v>#N/A</v>
      </c>
      <c r="AV1181" s="304" t="e">
        <f t="shared" si="2985"/>
        <v>#N/A</v>
      </c>
      <c r="AX1181" s="304">
        <f>IF(AND('General price list'!$J1181="F4",'General price list'!$AB1181+0&gt;0),1,0)</f>
        <v>0</v>
      </c>
      <c r="AY1181" s="304">
        <f t="shared" si="2986"/>
        <v>0</v>
      </c>
      <c r="AZ1181" s="304">
        <f t="shared" si="2987"/>
        <v>0</v>
      </c>
    </row>
    <row r="1182" spans="1:52" ht="15" customHeight="1">
      <c r="A1182" s="725"/>
      <c r="B1182" s="749">
        <f>IF(AND('General price list'!$J1182="F4",$AI$1=FALSE),0,IF(AC1182="SKLADEM",1,IF(AC1182=$V$3,1,0)))</f>
        <v>1</v>
      </c>
      <c r="C1182" s="727" t="s">
        <v>14043</v>
      </c>
      <c r="D1182" s="728" t="s">
        <v>13493</v>
      </c>
      <c r="E1182" s="729" t="s">
        <v>136</v>
      </c>
      <c r="F1182" s="725">
        <f>IFERROR(ROUND(IF($AL$3=2,VLOOKUP(C1182,[2]List1!$A:$D,2,FALSE)*1.08,VLOOKUP(C1182,[2]List1!$A:$D,2,FALSE)),0),"NEUVEDENO!")</f>
        <v>57</v>
      </c>
      <c r="G1182" s="730">
        <f t="shared" si="2966"/>
        <v>57</v>
      </c>
      <c r="H1182" s="731">
        <f t="shared" si="2967"/>
        <v>2.3162351832060759</v>
      </c>
      <c r="I1182" s="750">
        <v>1</v>
      </c>
      <c r="J1182" s="729"/>
      <c r="K1182" s="729"/>
      <c r="L1182" s="729" t="s">
        <v>14464</v>
      </c>
      <c r="M1182" s="729"/>
      <c r="N1182" s="729">
        <f>IFERROR(VLOOKUP(C1182,[3]List1!$A:$D,4,FALSE),"N/A!")</f>
        <v>0</v>
      </c>
      <c r="O1182" s="729">
        <f>IFERROR(VLOOKUP(C1182,[3]List1!$A:$D,3,FALSE),"N/A!")</f>
        <v>0</v>
      </c>
      <c r="P1182" s="729">
        <f>IFERROR(VLOOKUP(C1182,[3]List1!$A:$D,2,FALSE),"N/A!")</f>
        <v>800</v>
      </c>
      <c r="Q1182" s="729"/>
      <c r="R1182" s="729"/>
      <c r="S1182" s="729"/>
      <c r="T1182" s="729"/>
      <c r="U1182" s="729" t="s">
        <v>24</v>
      </c>
      <c r="V1182" s="729" t="s">
        <v>24</v>
      </c>
      <c r="W1182" s="729" t="str">
        <f>IFERROR(VLOOKUP('General price list'!$C1182,Popisy!A:P,MATCH($W$17,Popisy!$A$7:$P$7,0),FALSE),"---------------")</f>
        <v>Kartonová krabice s designem výrobku</v>
      </c>
      <c r="X1182" s="729" t="str">
        <f t="shared" si="2968"/>
        <v/>
      </c>
      <c r="Y1182" s="729" t="str">
        <f t="shared" si="2969"/>
        <v/>
      </c>
      <c r="Z1182" s="729"/>
      <c r="AA1182" s="729" t="str">
        <f>IFERROR(IF(VLOOKUP(C1182,[4]List1!$A:$D,4,FALSE)=0,"",VLOOKUP(C1182,[4]List1!$A:$D,4,FALSE)),"")</f>
        <v/>
      </c>
      <c r="AB1182" s="720"/>
      <c r="AC1182" s="751" t="str">
        <f>IFERROR(IF(VLOOKUP(C1182,[1]List1!$A:$D,2,FALSE)="VYPRODÁNO",$V$9,IF(VLOOKUP(C1182,[1]List1!$A:$D,2,FALSE)="DOCHÁZÍ",$V$3,VLOOKUP(C1182,[1]List1!$A:$D,2,FALSE))),"OFFLINE!")</f>
        <v>SKLADEM</v>
      </c>
      <c r="AD1182" s="752" t="str">
        <f ca="1">IF(AP1182="NE",$V$10,IF(AC1182=$V$3,IF(AQ1182&lt;1,$V$8,$V$2&amp;" "&amp;AQ1182&amp;" "&amp;$V$1),IF(AC1182="SKLADEM",$V$6,IFERROR(IF(OR(AC1182-TODAY()&gt;45,VLOOKUP(C1182,[1]List1!$A:$E,4,FALSE)=0),AC1182,DAY(AC1182)&amp;"."&amp;MONTH(AC1182)&amp;"."&amp;YEAR(AC1182)&amp;" "&amp;$V$4&amp;VLOOKUP(C1182,[1]List1!$A:$E,4,FALSE)&amp;" "&amp;$V$1),AC1182))))</f>
        <v>SKLADEM</v>
      </c>
      <c r="AE1182" s="729" t="str">
        <f t="shared" ca="1" si="2970"/>
        <v>SKLADEM</v>
      </c>
      <c r="AF1182" s="735">
        <f t="shared" si="2971"/>
        <v>0</v>
      </c>
      <c r="AG1182" s="735">
        <f t="shared" si="2972"/>
        <v>0</v>
      </c>
      <c r="AH1182" s="736">
        <f t="shared" si="2973"/>
        <v>0</v>
      </c>
      <c r="AI1182" s="729">
        <f t="shared" si="2974"/>
        <v>0</v>
      </c>
      <c r="AJ1182" s="729">
        <f t="shared" si="2975"/>
        <v>0</v>
      </c>
      <c r="AK1182" s="729" t="str">
        <f t="shared" si="2976"/>
        <v/>
      </c>
      <c r="AL1182" s="729" t="str">
        <f t="shared" si="2977"/>
        <v/>
      </c>
      <c r="AM1182" s="729" t="str">
        <f t="shared" si="2978"/>
        <v/>
      </c>
      <c r="AN1182" s="729">
        <f t="shared" si="2979"/>
        <v>0</v>
      </c>
      <c r="AO1182" s="380"/>
      <c r="AP1182" s="322" t="str">
        <f t="shared" si="2980"/>
        <v/>
      </c>
      <c r="AQ1182" s="323" t="str">
        <f>IF(AC1182=$V$3,IF(VLOOKUP(C1182,[1]List1!$A:$E,5,FALSE)=0,1,VLOOKUP(C1182,[1]List1!$A:$E,5,FALSE)),"")</f>
        <v/>
      </c>
      <c r="AR1182" s="304" t="str">
        <f t="shared" si="2981"/>
        <v/>
      </c>
      <c r="AS1182" s="423" t="str">
        <f t="shared" si="2982"/>
        <v/>
      </c>
      <c r="AT1182" s="304" t="str">
        <f t="shared" si="2983"/>
        <v/>
      </c>
      <c r="AU1182" s="342" t="e">
        <f t="shared" si="2984"/>
        <v>#N/A</v>
      </c>
      <c r="AV1182" s="304" t="e">
        <f t="shared" si="2985"/>
        <v>#N/A</v>
      </c>
      <c r="AX1182" s="304">
        <f>IF(AND('General price list'!$J1182="F4",'General price list'!$AB1182+0&gt;0),1,0)</f>
        <v>0</v>
      </c>
      <c r="AY1182" s="304">
        <f t="shared" si="2986"/>
        <v>0</v>
      </c>
      <c r="AZ1182" s="304">
        <f t="shared" si="2987"/>
        <v>0</v>
      </c>
    </row>
    <row r="1183" spans="1:52" ht="15" customHeight="1">
      <c r="A1183" s="712"/>
      <c r="B1183" s="745">
        <f>IF(AND('General price list'!$J1183="F4",$AI$1=FALSE),0,IF(AC1183="SKLADEM",1,IF(AC1183=$V$3,1,0)))</f>
        <v>1</v>
      </c>
      <c r="C1183" s="714" t="s">
        <v>12089</v>
      </c>
      <c r="D1183" s="715" t="s">
        <v>14679</v>
      </c>
      <c r="E1183" s="716" t="s">
        <v>136</v>
      </c>
      <c r="F1183" s="712">
        <f>IFERROR(ROUND(IF($AL$3=2,VLOOKUP(C1183,[2]List1!$A:$D,2,FALSE)*1.08,VLOOKUP(C1183,[2]List1!$A:$D,2,FALSE)),0),"NEUVEDENO!")</f>
        <v>443</v>
      </c>
      <c r="G1183" s="717">
        <f t="shared" si="2966"/>
        <v>443</v>
      </c>
      <c r="H1183" s="718">
        <f t="shared" si="2967"/>
        <v>18.001617301057749</v>
      </c>
      <c r="I1183" s="746">
        <v>1</v>
      </c>
      <c r="J1183" s="716"/>
      <c r="K1183" s="716"/>
      <c r="L1183" s="716" t="s">
        <v>14464</v>
      </c>
      <c r="M1183" s="716"/>
      <c r="N1183" s="716" t="str">
        <f>IFERROR(VLOOKUP(C1183,[3]List1!$A:$D,4,FALSE),"N/A!")</f>
        <v/>
      </c>
      <c r="O1183" s="716" t="str">
        <f>IFERROR(VLOOKUP(C1183,[3]List1!$A:$D,3,FALSE),"N/A!")</f>
        <v/>
      </c>
      <c r="P1183" s="716">
        <f>IFERROR(VLOOKUP(C1183,[3]List1!$A:$D,2,FALSE),"N/A!")</f>
        <v>1500</v>
      </c>
      <c r="Q1183" s="716"/>
      <c r="R1183" s="716"/>
      <c r="S1183" s="716"/>
      <c r="T1183" s="716"/>
      <c r="U1183" s="716"/>
      <c r="V1183" s="716"/>
      <c r="W1183" s="716" t="str">
        <f>IFERROR(VLOOKUP('General price list'!$C1183,Popisy!A:P,MATCH($W$17,Popisy!$A$7:$P$7,0),FALSE),"---------------")</f>
        <v>Kartonová krabice s designem výrobku</v>
      </c>
      <c r="X1183" s="716" t="str">
        <f t="shared" si="2968"/>
        <v/>
      </c>
      <c r="Y1183" s="716" t="str">
        <f t="shared" si="2969"/>
        <v/>
      </c>
      <c r="Z1183" s="716"/>
      <c r="AA1183" s="716" t="str">
        <f>IFERROR(IF(VLOOKUP(C1183,[4]List1!$A:$D,4,FALSE)=0,"",VLOOKUP(C1183,[4]List1!$A:$D,4,FALSE)),"")</f>
        <v/>
      </c>
      <c r="AB1183" s="720"/>
      <c r="AC1183" s="747" t="str">
        <f>IFERROR(IF(VLOOKUP(C1183,[1]List1!$A:$D,2,FALSE)="VYPRODÁNO",$V$9,IF(VLOOKUP(C1183,[1]List1!$A:$D,2,FALSE)="DOCHÁZÍ",$V$3,VLOOKUP(C1183,[1]List1!$A:$D,2,FALSE))),"OFFLINE!")</f>
        <v>SKLADEM</v>
      </c>
      <c r="AD1183" s="748" t="str">
        <f ca="1">IF(AP1183="NE",$V$10,IF(AC1183=$V$3,IF(AQ1183&lt;1,$V$8,$V$2&amp;" "&amp;AQ1183&amp;" "&amp;$V$1),IF(AC1183="SKLADEM",$V$6,IFERROR(IF(OR(AC1183-TODAY()&gt;45,VLOOKUP(C1183,[1]List1!$A:$E,4,FALSE)=0),AC1183,DAY(AC1183)&amp;"."&amp;MONTH(AC1183)&amp;"."&amp;YEAR(AC1183)&amp;" "&amp;$V$4&amp;VLOOKUP(C1183,[1]List1!$A:$E,4,FALSE)&amp;" "&amp;$V$1),AC1183))))</f>
        <v>SKLADEM</v>
      </c>
      <c r="AE1183" s="716" t="str">
        <f t="shared" ca="1" si="2970"/>
        <v>SKLADEM</v>
      </c>
      <c r="AF1183" s="723">
        <f t="shared" si="2971"/>
        <v>0</v>
      </c>
      <c r="AG1183" s="723">
        <f t="shared" si="2972"/>
        <v>0</v>
      </c>
      <c r="AH1183" s="724">
        <f t="shared" si="2973"/>
        <v>0</v>
      </c>
      <c r="AI1183" s="716">
        <f t="shared" si="2974"/>
        <v>0</v>
      </c>
      <c r="AJ1183" s="716">
        <f t="shared" si="2975"/>
        <v>0</v>
      </c>
      <c r="AK1183" s="716" t="str">
        <f t="shared" si="2976"/>
        <v/>
      </c>
      <c r="AL1183" s="716" t="str">
        <f t="shared" si="2977"/>
        <v/>
      </c>
      <c r="AM1183" s="716" t="str">
        <f t="shared" si="2978"/>
        <v/>
      </c>
      <c r="AN1183" s="716">
        <f t="shared" si="2979"/>
        <v>0</v>
      </c>
      <c r="AO1183" s="380"/>
      <c r="AP1183" s="322" t="str">
        <f t="shared" si="2980"/>
        <v/>
      </c>
      <c r="AQ1183" s="323" t="str">
        <f>IF(AC1183=$V$3,IF(VLOOKUP(C1183,[1]List1!$A:$E,5,FALSE)=0,1,VLOOKUP(C1183,[1]List1!$A:$E,5,FALSE)),"")</f>
        <v/>
      </c>
      <c r="AR1183" s="304" t="str">
        <f t="shared" si="2981"/>
        <v/>
      </c>
      <c r="AS1183" s="423" t="str">
        <f t="shared" si="2982"/>
        <v/>
      </c>
      <c r="AT1183" s="304" t="str">
        <f t="shared" si="2983"/>
        <v/>
      </c>
      <c r="AU1183" s="342" t="e">
        <f t="shared" si="2984"/>
        <v>#N/A</v>
      </c>
      <c r="AV1183" s="304" t="e">
        <f t="shared" si="2985"/>
        <v>#N/A</v>
      </c>
      <c r="AX1183" s="304">
        <f>IF(AND('General price list'!$J1183="F4",'General price list'!$AB1183+0&gt;0),1,0)</f>
        <v>0</v>
      </c>
      <c r="AY1183" s="304">
        <f t="shared" si="2986"/>
        <v>0</v>
      </c>
      <c r="AZ1183" s="304">
        <f t="shared" si="2987"/>
        <v>0</v>
      </c>
    </row>
    <row r="1184" spans="1:52" ht="15" customHeight="1">
      <c r="A1184" s="725"/>
      <c r="B1184" s="749">
        <f>IF(AND('General price list'!$J1184="F4",$AI$1=FALSE),0,IF(AC1184="SKLADEM",1,IF(AC1184=$V$3,1,0)))</f>
        <v>1</v>
      </c>
      <c r="C1184" s="727" t="s">
        <v>12091</v>
      </c>
      <c r="D1184" s="728" t="s">
        <v>14680</v>
      </c>
      <c r="E1184" s="729" t="s">
        <v>136</v>
      </c>
      <c r="F1184" s="725">
        <f>IFERROR(ROUND(IF($AL$3=2,VLOOKUP(C1184,[2]List1!$A:$D,2,FALSE)*1.08,VLOOKUP(C1184,[2]List1!$A:$D,2,FALSE)),0),"NEUVEDENO!")</f>
        <v>266</v>
      </c>
      <c r="G1184" s="730">
        <f t="shared" si="2966"/>
        <v>266</v>
      </c>
      <c r="H1184" s="731">
        <f t="shared" si="2967"/>
        <v>10.809097521628354</v>
      </c>
      <c r="I1184" s="750">
        <v>1</v>
      </c>
      <c r="J1184" s="729"/>
      <c r="K1184" s="729"/>
      <c r="L1184" s="729" t="s">
        <v>14464</v>
      </c>
      <c r="M1184" s="729"/>
      <c r="N1184" s="729" t="str">
        <f>IFERROR(VLOOKUP(C1184,[3]List1!$A:$D,4,FALSE),"N/A!")</f>
        <v/>
      </c>
      <c r="O1184" s="729" t="str">
        <f>IFERROR(VLOOKUP(C1184,[3]List1!$A:$D,3,FALSE),"N/A!")</f>
        <v/>
      </c>
      <c r="P1184" s="729">
        <f>IFERROR(VLOOKUP(C1184,[3]List1!$A:$D,2,FALSE),"N/A!")</f>
        <v>1500</v>
      </c>
      <c r="Q1184" s="729"/>
      <c r="R1184" s="729"/>
      <c r="S1184" s="729"/>
      <c r="T1184" s="729"/>
      <c r="U1184" s="729"/>
      <c r="V1184" s="729"/>
      <c r="W1184" s="729" t="str">
        <f>IFERROR(VLOOKUP('General price list'!$C1184,Popisy!A:P,MATCH($W$17,Popisy!$A$7:$P$7,0),FALSE),"---------------")</f>
        <v>Kartonová krabice s designem výrobku</v>
      </c>
      <c r="X1184" s="729" t="str">
        <f t="shared" si="2968"/>
        <v/>
      </c>
      <c r="Y1184" s="729" t="str">
        <f t="shared" si="2969"/>
        <v/>
      </c>
      <c r="Z1184" s="729"/>
      <c r="AA1184" s="729" t="str">
        <f>IFERROR(IF(VLOOKUP(C1184,[4]List1!$A:$D,4,FALSE)=0,"",VLOOKUP(C1184,[4]List1!$A:$D,4,FALSE)),"")</f>
        <v/>
      </c>
      <c r="AB1184" s="720"/>
      <c r="AC1184" s="751" t="str">
        <f>IFERROR(IF(VLOOKUP(C1184,[1]List1!$A:$D,2,FALSE)="VYPRODÁNO",$V$9,IF(VLOOKUP(C1184,[1]List1!$A:$D,2,FALSE)="DOCHÁZÍ",$V$3,VLOOKUP(C1184,[1]List1!$A:$D,2,FALSE))),"OFFLINE!")</f>
        <v>SKLADEM</v>
      </c>
      <c r="AD1184" s="752" t="str">
        <f ca="1">IF(AP1184="NE",$V$10,IF(AC1184=$V$3,IF(AQ1184&lt;1,$V$8,$V$2&amp;" "&amp;AQ1184&amp;" "&amp;$V$1),IF(AC1184="SKLADEM",$V$6,IFERROR(IF(OR(AC1184-TODAY()&gt;45,VLOOKUP(C1184,[1]List1!$A:$E,4,FALSE)=0),AC1184,DAY(AC1184)&amp;"."&amp;MONTH(AC1184)&amp;"."&amp;YEAR(AC1184)&amp;" "&amp;$V$4&amp;VLOOKUP(C1184,[1]List1!$A:$E,4,FALSE)&amp;" "&amp;$V$1),AC1184))))</f>
        <v>SKLADEM</v>
      </c>
      <c r="AE1184" s="729" t="str">
        <f t="shared" ca="1" si="2970"/>
        <v>SKLADEM</v>
      </c>
      <c r="AF1184" s="735">
        <f t="shared" si="2971"/>
        <v>0</v>
      </c>
      <c r="AG1184" s="735">
        <f t="shared" si="2972"/>
        <v>0</v>
      </c>
      <c r="AH1184" s="736">
        <f t="shared" si="2973"/>
        <v>0</v>
      </c>
      <c r="AI1184" s="729">
        <f t="shared" si="2974"/>
        <v>0</v>
      </c>
      <c r="AJ1184" s="729">
        <f t="shared" si="2975"/>
        <v>0</v>
      </c>
      <c r="AK1184" s="729" t="str">
        <f t="shared" si="2976"/>
        <v/>
      </c>
      <c r="AL1184" s="729" t="str">
        <f t="shared" si="2977"/>
        <v/>
      </c>
      <c r="AM1184" s="729" t="str">
        <f t="shared" si="2978"/>
        <v/>
      </c>
      <c r="AN1184" s="729">
        <f t="shared" si="2979"/>
        <v>0</v>
      </c>
      <c r="AO1184" s="380"/>
      <c r="AP1184" s="322" t="str">
        <f t="shared" si="2980"/>
        <v/>
      </c>
      <c r="AQ1184" s="323" t="str">
        <f>IF(AC1184=$V$3,IF(VLOOKUP(C1184,[1]List1!$A:$E,5,FALSE)=0,1,VLOOKUP(C1184,[1]List1!$A:$E,5,FALSE)),"")</f>
        <v/>
      </c>
      <c r="AR1184" s="304" t="str">
        <f t="shared" si="2981"/>
        <v/>
      </c>
      <c r="AS1184" s="423" t="str">
        <f t="shared" si="2982"/>
        <v/>
      </c>
      <c r="AT1184" s="304" t="str">
        <f t="shared" si="2983"/>
        <v/>
      </c>
      <c r="AU1184" s="342" t="e">
        <f t="shared" si="2984"/>
        <v>#N/A</v>
      </c>
      <c r="AV1184" s="304" t="e">
        <f t="shared" si="2985"/>
        <v>#N/A</v>
      </c>
      <c r="AX1184" s="304">
        <f>IF(AND('General price list'!$J1184="F4",'General price list'!$AB1184+0&gt;0),1,0)</f>
        <v>0</v>
      </c>
      <c r="AY1184" s="304">
        <f t="shared" si="2986"/>
        <v>0</v>
      </c>
      <c r="AZ1184" s="304">
        <f t="shared" si="2987"/>
        <v>0</v>
      </c>
    </row>
    <row r="1185" spans="1:52" ht="15" customHeight="1">
      <c r="A1185" s="712"/>
      <c r="B1185" s="745">
        <f>IF(AND('General price list'!$J1185="F4",$AI$1=FALSE),0,IF(AC1185="SKLADEM",1,IF(AC1185=$V$3,1,0)))</f>
        <v>1</v>
      </c>
      <c r="C1185" s="714" t="s">
        <v>12092</v>
      </c>
      <c r="D1185" s="715" t="s">
        <v>14681</v>
      </c>
      <c r="E1185" s="716" t="s">
        <v>136</v>
      </c>
      <c r="F1185" s="712">
        <f>IFERROR(ROUND(IF($AL$3=2,VLOOKUP(C1185,[2]List1!$A:$D,2,FALSE)*1.08,VLOOKUP(C1185,[2]List1!$A:$D,2,FALSE)),0),"NEUVEDENO!")</f>
        <v>266</v>
      </c>
      <c r="G1185" s="717">
        <f t="shared" si="2966"/>
        <v>266</v>
      </c>
      <c r="H1185" s="718">
        <f t="shared" si="2967"/>
        <v>10.809097521628354</v>
      </c>
      <c r="I1185" s="746">
        <v>1</v>
      </c>
      <c r="J1185" s="716"/>
      <c r="K1185" s="716"/>
      <c r="L1185" s="716" t="s">
        <v>14464</v>
      </c>
      <c r="M1185" s="716"/>
      <c r="N1185" s="716" t="str">
        <f>IFERROR(VLOOKUP(C1185,[3]List1!$A:$D,4,FALSE),"N/A!")</f>
        <v/>
      </c>
      <c r="O1185" s="716" t="str">
        <f>IFERROR(VLOOKUP(C1185,[3]List1!$A:$D,3,FALSE),"N/A!")</f>
        <v/>
      </c>
      <c r="P1185" s="716">
        <f>IFERROR(VLOOKUP(C1185,[3]List1!$A:$D,2,FALSE),"N/A!")</f>
        <v>1500</v>
      </c>
      <c r="Q1185" s="716"/>
      <c r="R1185" s="716"/>
      <c r="S1185" s="716"/>
      <c r="T1185" s="716"/>
      <c r="U1185" s="716"/>
      <c r="V1185" s="716"/>
      <c r="W1185" s="716" t="str">
        <f>IFERROR(VLOOKUP('General price list'!$C1185,Popisy!A:P,MATCH($W$17,Popisy!$A$7:$P$7,0),FALSE),"---------------")</f>
        <v>Kartonová krabice s designem výrobku</v>
      </c>
      <c r="X1185" s="716" t="str">
        <f t="shared" si="2968"/>
        <v/>
      </c>
      <c r="Y1185" s="716" t="str">
        <f t="shared" si="2969"/>
        <v/>
      </c>
      <c r="Z1185" s="716"/>
      <c r="AA1185" s="716" t="str">
        <f>IFERROR(IF(VLOOKUP(C1185,[4]List1!$A:$D,4,FALSE)=0,"",VLOOKUP(C1185,[4]List1!$A:$D,4,FALSE)),"")</f>
        <v/>
      </c>
      <c r="AB1185" s="720"/>
      <c r="AC1185" s="747" t="str">
        <f>IFERROR(IF(VLOOKUP(C1185,[1]List1!$A:$D,2,FALSE)="VYPRODÁNO",$V$9,IF(VLOOKUP(C1185,[1]List1!$A:$D,2,FALSE)="DOCHÁZÍ",$V$3,VLOOKUP(C1185,[1]List1!$A:$D,2,FALSE))),"OFFLINE!")</f>
        <v>SKLADEM</v>
      </c>
      <c r="AD1185" s="748" t="str">
        <f ca="1">IF(AP1185="NE",$V$10,IF(AC1185=$V$3,IF(AQ1185&lt;1,$V$8,$V$2&amp;" "&amp;AQ1185&amp;" "&amp;$V$1),IF(AC1185="SKLADEM",$V$6,IFERROR(IF(OR(AC1185-TODAY()&gt;45,VLOOKUP(C1185,[1]List1!$A:$E,4,FALSE)=0),AC1185,DAY(AC1185)&amp;"."&amp;MONTH(AC1185)&amp;"."&amp;YEAR(AC1185)&amp;" "&amp;$V$4&amp;VLOOKUP(C1185,[1]List1!$A:$E,4,FALSE)&amp;" "&amp;$V$1),AC1185))))</f>
        <v>SKLADEM</v>
      </c>
      <c r="AE1185" s="716" t="str">
        <f t="shared" ca="1" si="2970"/>
        <v>SKLADEM</v>
      </c>
      <c r="AF1185" s="723">
        <f t="shared" si="2971"/>
        <v>0</v>
      </c>
      <c r="AG1185" s="723">
        <f t="shared" si="2972"/>
        <v>0</v>
      </c>
      <c r="AH1185" s="724">
        <f t="shared" si="2973"/>
        <v>0</v>
      </c>
      <c r="AI1185" s="716">
        <f t="shared" si="2974"/>
        <v>0</v>
      </c>
      <c r="AJ1185" s="716">
        <f t="shared" si="2975"/>
        <v>0</v>
      </c>
      <c r="AK1185" s="716" t="str">
        <f t="shared" si="2976"/>
        <v/>
      </c>
      <c r="AL1185" s="716" t="str">
        <f t="shared" si="2977"/>
        <v/>
      </c>
      <c r="AM1185" s="716" t="str">
        <f t="shared" si="2978"/>
        <v/>
      </c>
      <c r="AN1185" s="716">
        <f t="shared" si="2979"/>
        <v>0</v>
      </c>
      <c r="AO1185" s="380"/>
      <c r="AP1185" s="322" t="str">
        <f t="shared" si="2980"/>
        <v/>
      </c>
      <c r="AQ1185" s="323" t="str">
        <f>IF(AC1185=$V$3,IF(VLOOKUP(C1185,[1]List1!$A:$E,5,FALSE)=0,1,VLOOKUP(C1185,[1]List1!$A:$E,5,FALSE)),"")</f>
        <v/>
      </c>
      <c r="AR1185" s="304" t="str">
        <f t="shared" si="2981"/>
        <v/>
      </c>
      <c r="AS1185" s="423" t="str">
        <f t="shared" si="2982"/>
        <v/>
      </c>
      <c r="AT1185" s="304" t="str">
        <f t="shared" si="2983"/>
        <v/>
      </c>
      <c r="AU1185" s="342" t="e">
        <f t="shared" si="2984"/>
        <v>#N/A</v>
      </c>
      <c r="AV1185" s="304" t="e">
        <f t="shared" si="2985"/>
        <v>#N/A</v>
      </c>
      <c r="AX1185" s="304">
        <f>IF(AND('General price list'!$J1185="F4",'General price list'!$AB1185+0&gt;0),1,0)</f>
        <v>0</v>
      </c>
      <c r="AY1185" s="304">
        <f t="shared" si="2986"/>
        <v>0</v>
      </c>
      <c r="AZ1185" s="304">
        <f t="shared" si="2987"/>
        <v>0</v>
      </c>
    </row>
    <row r="1186" spans="1:52" ht="15" customHeight="1">
      <c r="A1186" s="725"/>
      <c r="B1186" s="749">
        <f>IF(AND('General price list'!$J1186="F4",$AI$1=FALSE),0,IF(AC1186="SKLADEM",1,IF(AC1186=$V$3,1,0)))</f>
        <v>1</v>
      </c>
      <c r="C1186" s="727" t="s">
        <v>12093</v>
      </c>
      <c r="D1186" s="728" t="s">
        <v>14682</v>
      </c>
      <c r="E1186" s="729" t="s">
        <v>136</v>
      </c>
      <c r="F1186" s="725">
        <f>IFERROR(ROUND(IF($AL$3=2,VLOOKUP(C1186,[2]List1!$A:$D,2,FALSE)*1.08,VLOOKUP(C1186,[2]List1!$A:$D,2,FALSE)),0),"NEUVEDENO!")</f>
        <v>311</v>
      </c>
      <c r="G1186" s="730">
        <f t="shared" si="2966"/>
        <v>311</v>
      </c>
      <c r="H1186" s="731">
        <f t="shared" si="2967"/>
        <v>12.637704245212099</v>
      </c>
      <c r="I1186" s="750">
        <v>1</v>
      </c>
      <c r="J1186" s="729"/>
      <c r="K1186" s="729"/>
      <c r="L1186" s="729" t="s">
        <v>14464</v>
      </c>
      <c r="M1186" s="729"/>
      <c r="N1186" s="729" t="str">
        <f>IFERROR(VLOOKUP(C1186,[3]List1!$A:$D,4,FALSE),"N/A!")</f>
        <v/>
      </c>
      <c r="O1186" s="729" t="str">
        <f>IFERROR(VLOOKUP(C1186,[3]List1!$A:$D,3,FALSE),"N/A!")</f>
        <v/>
      </c>
      <c r="P1186" s="729">
        <f>IFERROR(VLOOKUP(C1186,[3]List1!$A:$D,2,FALSE),"N/A!")</f>
        <v>1500</v>
      </c>
      <c r="Q1186" s="729"/>
      <c r="R1186" s="729"/>
      <c r="S1186" s="729"/>
      <c r="T1186" s="729"/>
      <c r="U1186" s="729"/>
      <c r="V1186" s="729"/>
      <c r="W1186" s="729" t="str">
        <f>IFERROR(VLOOKUP('General price list'!$C1186,Popisy!A:P,MATCH($W$17,Popisy!$A$7:$P$7,0),FALSE),"---------------")</f>
        <v>Kartonová krabice s designem výrobku</v>
      </c>
      <c r="X1186" s="729" t="str">
        <f t="shared" si="2968"/>
        <v/>
      </c>
      <c r="Y1186" s="729" t="str">
        <f t="shared" si="2969"/>
        <v/>
      </c>
      <c r="Z1186" s="729"/>
      <c r="AA1186" s="729" t="str">
        <f>IFERROR(IF(VLOOKUP(C1186,[4]List1!$A:$D,4,FALSE)=0,"",VLOOKUP(C1186,[4]List1!$A:$D,4,FALSE)),"")</f>
        <v/>
      </c>
      <c r="AB1186" s="720"/>
      <c r="AC1186" s="751" t="str">
        <f>IFERROR(IF(VLOOKUP(C1186,[1]List1!$A:$D,2,FALSE)="VYPRODÁNO",$V$9,IF(VLOOKUP(C1186,[1]List1!$A:$D,2,FALSE)="DOCHÁZÍ",$V$3,VLOOKUP(C1186,[1]List1!$A:$D,2,FALSE))),"OFFLINE!")</f>
        <v>SKLADEM</v>
      </c>
      <c r="AD1186" s="752" t="str">
        <f ca="1">IF(AP1186="NE",$V$10,IF(AC1186=$V$3,IF(AQ1186&lt;1,$V$8,$V$2&amp;" "&amp;AQ1186&amp;" "&amp;$V$1),IF(AC1186="SKLADEM",$V$6,IFERROR(IF(OR(AC1186-TODAY()&gt;45,VLOOKUP(C1186,[1]List1!$A:$E,4,FALSE)=0),AC1186,DAY(AC1186)&amp;"."&amp;MONTH(AC1186)&amp;"."&amp;YEAR(AC1186)&amp;" "&amp;$V$4&amp;VLOOKUP(C1186,[1]List1!$A:$E,4,FALSE)&amp;" "&amp;$V$1),AC1186))))</f>
        <v>SKLADEM</v>
      </c>
      <c r="AE1186" s="729" t="str">
        <f t="shared" ca="1" si="2970"/>
        <v>SKLADEM</v>
      </c>
      <c r="AF1186" s="735">
        <f t="shared" si="2971"/>
        <v>0</v>
      </c>
      <c r="AG1186" s="735">
        <f t="shared" si="2972"/>
        <v>0</v>
      </c>
      <c r="AH1186" s="736">
        <f t="shared" si="2973"/>
        <v>0</v>
      </c>
      <c r="AI1186" s="729">
        <f t="shared" si="2974"/>
        <v>0</v>
      </c>
      <c r="AJ1186" s="729">
        <f t="shared" si="2975"/>
        <v>0</v>
      </c>
      <c r="AK1186" s="729" t="str">
        <f t="shared" si="2976"/>
        <v/>
      </c>
      <c r="AL1186" s="729" t="str">
        <f t="shared" si="2977"/>
        <v/>
      </c>
      <c r="AM1186" s="729" t="str">
        <f t="shared" si="2978"/>
        <v/>
      </c>
      <c r="AN1186" s="729">
        <f t="shared" si="2979"/>
        <v>0</v>
      </c>
      <c r="AO1186" s="380"/>
      <c r="AP1186" s="322" t="str">
        <f t="shared" si="2980"/>
        <v/>
      </c>
      <c r="AQ1186" s="323" t="str">
        <f>IF(AC1186=$V$3,IF(VLOOKUP(C1186,[1]List1!$A:$E,5,FALSE)=0,1,VLOOKUP(C1186,[1]List1!$A:$E,5,FALSE)),"")</f>
        <v/>
      </c>
      <c r="AR1186" s="304" t="str">
        <f t="shared" si="2981"/>
        <v/>
      </c>
      <c r="AS1186" s="423" t="str">
        <f t="shared" si="2982"/>
        <v/>
      </c>
      <c r="AT1186" s="304" t="str">
        <f t="shared" si="2983"/>
        <v/>
      </c>
      <c r="AU1186" s="342" t="e">
        <f t="shared" si="2984"/>
        <v>#N/A</v>
      </c>
      <c r="AV1186" s="304" t="e">
        <f t="shared" si="2985"/>
        <v>#N/A</v>
      </c>
      <c r="AX1186" s="304">
        <f>IF(AND('General price list'!$J1186="F4",'General price list'!$AB1186+0&gt;0),1,0)</f>
        <v>0</v>
      </c>
      <c r="AY1186" s="304">
        <f t="shared" si="2986"/>
        <v>0</v>
      </c>
      <c r="AZ1186" s="304">
        <f t="shared" si="2987"/>
        <v>0</v>
      </c>
    </row>
    <row r="1187" spans="1:52" ht="15" customHeight="1">
      <c r="A1187" s="712"/>
      <c r="B1187" s="745">
        <f>IF(AND('General price list'!$J1187="F4",$AI$1=FALSE),0,IF(AC1187="SKLADEM",1,IF(AC1187=$V$3,1,0)))</f>
        <v>1</v>
      </c>
      <c r="C1187" s="714" t="s">
        <v>12094</v>
      </c>
      <c r="D1187" s="715" t="s">
        <v>14683</v>
      </c>
      <c r="E1187" s="716" t="s">
        <v>136</v>
      </c>
      <c r="F1187" s="712">
        <f>IFERROR(ROUND(IF($AL$3=2,VLOOKUP(C1187,[2]List1!$A:$D,2,FALSE)*1.08,VLOOKUP(C1187,[2]List1!$A:$D,2,FALSE)),0),"NEUVEDENO!")</f>
        <v>150</v>
      </c>
      <c r="G1187" s="717">
        <f t="shared" si="2966"/>
        <v>150</v>
      </c>
      <c r="H1187" s="718">
        <f t="shared" si="2967"/>
        <v>6.0953557452791474</v>
      </c>
      <c r="I1187" s="746">
        <v>1</v>
      </c>
      <c r="J1187" s="716"/>
      <c r="K1187" s="716"/>
      <c r="L1187" s="716" t="s">
        <v>14464</v>
      </c>
      <c r="M1187" s="716"/>
      <c r="N1187" s="716" t="str">
        <f>IFERROR(VLOOKUP(C1187,[3]List1!$A:$D,4,FALSE),"N/A!")</f>
        <v/>
      </c>
      <c r="O1187" s="716" t="str">
        <f>IFERROR(VLOOKUP(C1187,[3]List1!$A:$D,3,FALSE),"N/A!")</f>
        <v/>
      </c>
      <c r="P1187" s="716">
        <f>IFERROR(VLOOKUP(C1187,[3]List1!$A:$D,2,FALSE),"N/A!")</f>
        <v>1500</v>
      </c>
      <c r="Q1187" s="716"/>
      <c r="R1187" s="716"/>
      <c r="S1187" s="716"/>
      <c r="T1187" s="716"/>
      <c r="U1187" s="716"/>
      <c r="V1187" s="716"/>
      <c r="W1187" s="716" t="str">
        <f>IFERROR(VLOOKUP('General price list'!$C1187,Popisy!A:P,MATCH($W$17,Popisy!$A$7:$P$7,0),FALSE),"---------------")</f>
        <v>Kartonová krabice s designem výrobku</v>
      </c>
      <c r="X1187" s="716" t="str">
        <f t="shared" si="2968"/>
        <v/>
      </c>
      <c r="Y1187" s="716" t="str">
        <f t="shared" si="2969"/>
        <v/>
      </c>
      <c r="Z1187" s="716"/>
      <c r="AA1187" s="716" t="str">
        <f>IFERROR(IF(VLOOKUP(C1187,[4]List1!$A:$D,4,FALSE)=0,"",VLOOKUP(C1187,[4]List1!$A:$D,4,FALSE)),"")</f>
        <v/>
      </c>
      <c r="AB1187" s="720"/>
      <c r="AC1187" s="747" t="str">
        <f>IFERROR(IF(VLOOKUP(C1187,[1]List1!$A:$D,2,FALSE)="VYPRODÁNO",$V$9,IF(VLOOKUP(C1187,[1]List1!$A:$D,2,FALSE)="DOCHÁZÍ",$V$3,VLOOKUP(C1187,[1]List1!$A:$D,2,FALSE))),"OFFLINE!")</f>
        <v>SKLADEM</v>
      </c>
      <c r="AD1187" s="748" t="str">
        <f ca="1">IF(AP1187="NE",$V$10,IF(AC1187=$V$3,IF(AQ1187&lt;1,$V$8,$V$2&amp;" "&amp;AQ1187&amp;" "&amp;$V$1),IF(AC1187="SKLADEM",$V$6,IFERROR(IF(OR(AC1187-TODAY()&gt;45,VLOOKUP(C1187,[1]List1!$A:$E,4,FALSE)=0),AC1187,DAY(AC1187)&amp;"."&amp;MONTH(AC1187)&amp;"."&amp;YEAR(AC1187)&amp;" "&amp;$V$4&amp;VLOOKUP(C1187,[1]List1!$A:$E,4,FALSE)&amp;" "&amp;$V$1),AC1187))))</f>
        <v>SKLADEM</v>
      </c>
      <c r="AE1187" s="716" t="str">
        <f t="shared" ca="1" si="2970"/>
        <v>SKLADEM</v>
      </c>
      <c r="AF1187" s="723">
        <f t="shared" si="2971"/>
        <v>0</v>
      </c>
      <c r="AG1187" s="723">
        <f t="shared" si="2972"/>
        <v>0</v>
      </c>
      <c r="AH1187" s="724">
        <f t="shared" si="2973"/>
        <v>0</v>
      </c>
      <c r="AI1187" s="716">
        <f t="shared" si="2974"/>
        <v>0</v>
      </c>
      <c r="AJ1187" s="716">
        <f t="shared" si="2975"/>
        <v>0</v>
      </c>
      <c r="AK1187" s="716" t="str">
        <f t="shared" si="2976"/>
        <v/>
      </c>
      <c r="AL1187" s="716" t="str">
        <f t="shared" si="2977"/>
        <v/>
      </c>
      <c r="AM1187" s="716" t="str">
        <f t="shared" si="2978"/>
        <v/>
      </c>
      <c r="AN1187" s="716">
        <f t="shared" si="2979"/>
        <v>0</v>
      </c>
      <c r="AO1187" s="380"/>
      <c r="AP1187" s="322" t="str">
        <f t="shared" si="2980"/>
        <v/>
      </c>
      <c r="AQ1187" s="323" t="str">
        <f>IF(AC1187=$V$3,IF(VLOOKUP(C1187,[1]List1!$A:$E,5,FALSE)=0,1,VLOOKUP(C1187,[1]List1!$A:$E,5,FALSE)),"")</f>
        <v/>
      </c>
      <c r="AR1187" s="304" t="str">
        <f t="shared" si="2981"/>
        <v/>
      </c>
      <c r="AS1187" s="423" t="str">
        <f t="shared" si="2982"/>
        <v/>
      </c>
      <c r="AT1187" s="304" t="str">
        <f t="shared" si="2983"/>
        <v/>
      </c>
      <c r="AU1187" s="342" t="e">
        <f t="shared" si="2984"/>
        <v>#N/A</v>
      </c>
      <c r="AV1187" s="304" t="e">
        <f t="shared" si="2985"/>
        <v>#N/A</v>
      </c>
      <c r="AX1187" s="304">
        <f>IF(AND('General price list'!$J1187="F4",'General price list'!$AB1187+0&gt;0),1,0)</f>
        <v>0</v>
      </c>
      <c r="AY1187" s="304">
        <f t="shared" si="2986"/>
        <v>0</v>
      </c>
      <c r="AZ1187" s="304">
        <f t="shared" si="2987"/>
        <v>0</v>
      </c>
    </row>
    <row r="1188" spans="1:52" ht="15" customHeight="1">
      <c r="A1188" s="725"/>
      <c r="B1188" s="749">
        <f>IF(AND('General price list'!$J1188="F4",$AI$1=FALSE),0,IF(AC1188="SKLADEM",1,IF(AC1188=$V$3,1,0)))</f>
        <v>1</v>
      </c>
      <c r="C1188" s="727" t="s">
        <v>12095</v>
      </c>
      <c r="D1188" s="728" t="s">
        <v>14305</v>
      </c>
      <c r="E1188" s="729" t="s">
        <v>136</v>
      </c>
      <c r="F1188" s="725">
        <f>IFERROR(ROUND(IF($AL$3=2,VLOOKUP(C1188,[2]List1!$A:$D,2,FALSE)*1.08,VLOOKUP(C1188,[2]List1!$A:$D,2,FALSE)),0),"NEUVEDENO!")</f>
        <v>143</v>
      </c>
      <c r="G1188" s="730">
        <f t="shared" si="2966"/>
        <v>143</v>
      </c>
      <c r="H1188" s="731">
        <f t="shared" si="2967"/>
        <v>5.8109058104994542</v>
      </c>
      <c r="I1188" s="750">
        <v>1</v>
      </c>
      <c r="J1188" s="729"/>
      <c r="K1188" s="729"/>
      <c r="L1188" s="729" t="s">
        <v>14464</v>
      </c>
      <c r="M1188" s="729"/>
      <c r="N1188" s="729" t="str">
        <f>IFERROR(VLOOKUP(C1188,[3]List1!$A:$D,4,FALSE),"N/A!")</f>
        <v/>
      </c>
      <c r="O1188" s="729" t="str">
        <f>IFERROR(VLOOKUP(C1188,[3]List1!$A:$D,3,FALSE),"N/A!")</f>
        <v/>
      </c>
      <c r="P1188" s="729">
        <f>IFERROR(VLOOKUP(C1188,[3]List1!$A:$D,2,FALSE),"N/A!")</f>
        <v>1500</v>
      </c>
      <c r="Q1188" s="729"/>
      <c r="R1188" s="729"/>
      <c r="S1188" s="729"/>
      <c r="T1188" s="729"/>
      <c r="U1188" s="729"/>
      <c r="V1188" s="729"/>
      <c r="W1188" s="729" t="str">
        <f>IFERROR(VLOOKUP('General price list'!$C1188,Popisy!A:P,MATCH($W$17,Popisy!$A$7:$P$7,0),FALSE),"---------------")</f>
        <v>Kartonová krabice s designem výrobku</v>
      </c>
      <c r="X1188" s="729" t="str">
        <f t="shared" si="2968"/>
        <v/>
      </c>
      <c r="Y1188" s="729" t="str">
        <f t="shared" si="2969"/>
        <v/>
      </c>
      <c r="Z1188" s="729"/>
      <c r="AA1188" s="729" t="str">
        <f>IFERROR(IF(VLOOKUP(C1188,[4]List1!$A:$D,4,FALSE)=0,"",VLOOKUP(C1188,[4]List1!$A:$D,4,FALSE)),"")</f>
        <v/>
      </c>
      <c r="AB1188" s="720"/>
      <c r="AC1188" s="751" t="str">
        <f>IFERROR(IF(VLOOKUP(C1188,[1]List1!$A:$D,2,FALSE)="VYPRODÁNO",$V$9,IF(VLOOKUP(C1188,[1]List1!$A:$D,2,FALSE)="DOCHÁZÍ",$V$3,VLOOKUP(C1188,[1]List1!$A:$D,2,FALSE))),"OFFLINE!")</f>
        <v>SKLADEM</v>
      </c>
      <c r="AD1188" s="752" t="str">
        <f ca="1">IF(AP1188="NE",$V$10,IF(AC1188=$V$3,IF(AQ1188&lt;1,$V$8,$V$2&amp;" "&amp;AQ1188&amp;" "&amp;$V$1),IF(AC1188="SKLADEM",$V$6,IFERROR(IF(OR(AC1188-TODAY()&gt;45,VLOOKUP(C1188,[1]List1!$A:$E,4,FALSE)=0),AC1188,DAY(AC1188)&amp;"."&amp;MONTH(AC1188)&amp;"."&amp;YEAR(AC1188)&amp;" "&amp;$V$4&amp;VLOOKUP(C1188,[1]List1!$A:$E,4,FALSE)&amp;" "&amp;$V$1),AC1188))))</f>
        <v>SKLADEM</v>
      </c>
      <c r="AE1188" s="729" t="str">
        <f t="shared" ca="1" si="2970"/>
        <v>SKLADEM</v>
      </c>
      <c r="AF1188" s="735">
        <f t="shared" si="2971"/>
        <v>0</v>
      </c>
      <c r="AG1188" s="735">
        <f t="shared" si="2972"/>
        <v>0</v>
      </c>
      <c r="AH1188" s="736">
        <f t="shared" si="2973"/>
        <v>0</v>
      </c>
      <c r="AI1188" s="729">
        <f t="shared" si="2974"/>
        <v>0</v>
      </c>
      <c r="AJ1188" s="729">
        <f t="shared" si="2975"/>
        <v>0</v>
      </c>
      <c r="AK1188" s="729" t="str">
        <f t="shared" si="2976"/>
        <v/>
      </c>
      <c r="AL1188" s="729" t="str">
        <f t="shared" si="2977"/>
        <v/>
      </c>
      <c r="AM1188" s="729" t="str">
        <f t="shared" si="2978"/>
        <v/>
      </c>
      <c r="AN1188" s="729">
        <f t="shared" si="2979"/>
        <v>0</v>
      </c>
      <c r="AO1188" s="380"/>
      <c r="AP1188" s="322" t="str">
        <f t="shared" si="2980"/>
        <v/>
      </c>
      <c r="AQ1188" s="323" t="str">
        <f>IF(AC1188=$V$3,IF(VLOOKUP(C1188,[1]List1!$A:$E,5,FALSE)=0,1,VLOOKUP(C1188,[1]List1!$A:$E,5,FALSE)),"")</f>
        <v/>
      </c>
      <c r="AR1188" s="304" t="str">
        <f t="shared" si="2981"/>
        <v/>
      </c>
      <c r="AS1188" s="423" t="str">
        <f t="shared" si="2982"/>
        <v/>
      </c>
      <c r="AT1188" s="304" t="str">
        <f t="shared" si="2983"/>
        <v/>
      </c>
      <c r="AU1188" s="342" t="e">
        <f t="shared" si="2984"/>
        <v>#N/A</v>
      </c>
      <c r="AV1188" s="304" t="e">
        <f t="shared" si="2985"/>
        <v>#N/A</v>
      </c>
      <c r="AX1188" s="304">
        <f>IF(AND('General price list'!$J1188="F4",'General price list'!$AB1188+0&gt;0),1,0)</f>
        <v>0</v>
      </c>
      <c r="AY1188" s="304">
        <f t="shared" si="2986"/>
        <v>0</v>
      </c>
      <c r="AZ1188" s="304">
        <f t="shared" si="2987"/>
        <v>0</v>
      </c>
    </row>
    <row r="1189" spans="1:52" ht="15" customHeight="1">
      <c r="A1189" s="712"/>
      <c r="B1189" s="737">
        <f>IF(AND('General price list'!$J1189="F4",$AI$1=FALSE),0,IF(AC1189="SKLADEM",1,IF(AC1189=$V$3,1,0)))</f>
        <v>1</v>
      </c>
      <c r="C1189" s="714" t="s">
        <v>12396</v>
      </c>
      <c r="D1189" s="715" t="s">
        <v>13678</v>
      </c>
      <c r="E1189" s="769" t="s">
        <v>136</v>
      </c>
      <c r="F1189" s="712">
        <v>350</v>
      </c>
      <c r="G1189" s="717">
        <v>350</v>
      </c>
      <c r="H1189" s="718">
        <f t="shared" ref="H1189" si="2988">G1189/$F$19</f>
        <v>14.222496738984677</v>
      </c>
      <c r="I1189" s="738">
        <v>1</v>
      </c>
      <c r="J1189" s="716"/>
      <c r="K1189" s="716"/>
      <c r="L1189" s="716"/>
      <c r="M1189" s="716"/>
      <c r="N1189" s="716">
        <v>1.3440000000000001E-2</v>
      </c>
      <c r="O1189" s="716"/>
      <c r="P1189" s="716">
        <f>IFERROR(VLOOKUP(C1189,[3]List1!$A:$D,2,FALSE),"N/A!")</f>
        <v>22000</v>
      </c>
      <c r="Q1189" s="716"/>
      <c r="R1189" s="716"/>
      <c r="S1189" s="716"/>
      <c r="T1189" s="716"/>
      <c r="U1189" s="716"/>
      <c r="V1189" s="716"/>
      <c r="W1189" s="716" t="str">
        <f>IFERROR(VLOOKUP('General price list'!$C1189,Popisy!A:P,MATCH($W$17,Popisy!$A$7:$P$7,0),FALSE),"---------------")</f>
        <v>Vratná paleta</v>
      </c>
      <c r="X1189" s="770" t="str">
        <f>IF(AB1189&lt;0.0001,"",AB1189)</f>
        <v/>
      </c>
      <c r="Y1189" s="716" t="str">
        <f t="shared" ref="Y1189" si="2989">IF($AL$3=2,IF(OR(AB1189&lt;&gt;"",AB1189&lt;&gt;0),AU1189,""),IF(C1189="","",IF(AB1189&lt;0.0001,"",IF(B1189=0,"",IF(AQ1189&lt;AB1189,"",AB1189)))))</f>
        <v/>
      </c>
      <c r="Z1189" s="716"/>
      <c r="AA1189" s="716" t="str">
        <f>IFERROR(IF(VLOOKUP(C1189,[4]List1!$A:$D,4,FALSE)=0,"",VLOOKUP(C1189,[4]List1!$A:$D,4,FALSE)),"")</f>
        <v/>
      </c>
      <c r="AB1189" s="771" t="str">
        <f>IF(AC6=2,IF('Výpočet času'!Q4=0,"",'Výpočet času'!Q4),"")</f>
        <v/>
      </c>
      <c r="AC1189" s="772" t="s">
        <v>2985</v>
      </c>
      <c r="AD1189" s="748" t="str">
        <f ca="1">IF(AP1189="NE",$V$10,IF(AC1189=$V$3,IF(AQ1189&lt;1,$V$8,$V$2&amp;" "&amp;AQ1189&amp;" "&amp;$V$1),IF(AC1189="SKLADEM",$V$6,IFERROR(IF(OR(AC1189-TODAY()&gt;45,VLOOKUP(C1189,[1]List1!$A:$E,4,FALSE)=0),AC1189,DAY(AC1189)&amp;"."&amp;MONTH(AC1189)&amp;"."&amp;YEAR(AC1189)&amp;" "&amp;$V$4&amp;VLOOKUP(C1189,[1]List1!$A:$E,4,FALSE)&amp;" "&amp;$V$1),AC1189))))</f>
        <v>SKLADEM</v>
      </c>
      <c r="AE1189" s="716" t="str">
        <f t="shared" ca="1" si="2970"/>
        <v>SKLADEM</v>
      </c>
      <c r="AF1189" s="723">
        <f t="shared" si="2971"/>
        <v>0</v>
      </c>
      <c r="AG1189" s="723">
        <f t="shared" si="2972"/>
        <v>0</v>
      </c>
      <c r="AH1189" s="724">
        <f t="shared" si="2973"/>
        <v>0</v>
      </c>
      <c r="AI1189" s="716">
        <f t="shared" si="2974"/>
        <v>0</v>
      </c>
      <c r="AJ1189" s="716">
        <f t="shared" si="2975"/>
        <v>0</v>
      </c>
      <c r="AK1189" s="716" t="str">
        <f t="shared" si="2976"/>
        <v/>
      </c>
      <c r="AL1189" s="716" t="str">
        <f t="shared" si="2977"/>
        <v/>
      </c>
      <c r="AM1189" s="716" t="str">
        <f t="shared" si="2978"/>
        <v/>
      </c>
      <c r="AN1189" s="716">
        <f t="shared" si="2979"/>
        <v>0</v>
      </c>
      <c r="AO1189" s="380"/>
      <c r="AP1189" s="322" t="str">
        <f t="shared" si="2980"/>
        <v/>
      </c>
      <c r="AQ1189" s="323" t="str">
        <f>IF(AC1189=$V$3,IF(VLOOKUP(C1189,[1]List1!$A:$E,5,FALSE)=0,1,VLOOKUP(C1189,[1]List1!$A:$E,5,FALSE)),"")</f>
        <v/>
      </c>
      <c r="AR1189" s="304" t="str">
        <f t="shared" si="2981"/>
        <v/>
      </c>
      <c r="AS1189" s="423" t="str">
        <f t="shared" si="2982"/>
        <v/>
      </c>
      <c r="AT1189" s="304" t="str">
        <f t="shared" si="2983"/>
        <v/>
      </c>
      <c r="AU1189" s="342" t="e">
        <f t="shared" si="2984"/>
        <v>#N/A</v>
      </c>
      <c r="AV1189" s="304" t="e">
        <f t="shared" si="2985"/>
        <v>#N/A</v>
      </c>
      <c r="AX1189" s="304" t="e">
        <f>IF(AND('General price list'!$J1189="F4",'General price list'!$AB1189+0&gt;0),1,0)</f>
        <v>#VALUE!</v>
      </c>
      <c r="AY1189" s="304">
        <f t="shared" si="2986"/>
        <v>0</v>
      </c>
      <c r="AZ1189" s="304">
        <f t="shared" si="2987"/>
        <v>0</v>
      </c>
    </row>
    <row r="1190" spans="1:52" ht="15" customHeight="1">
      <c r="A1190" s="324"/>
      <c r="B1190" s="452"/>
      <c r="C1190" s="325"/>
      <c r="D1190" s="413" t="str">
        <f>IF($W$17=$AF$1,"Jako plátci DPH účtujeme k uvedeným cenám 21% DPH.",IFERROR(VLOOKUP("Jako plátci DPH účtujeme k uvedeným cenám 21% DPH.",Jazyky_ceník!A:Q,MATCH(W17,Jazyky_ceník!A1:Q1,0),FALSE),"!!!"))</f>
        <v>Jako plátci DPH účtujeme k uvedeným cenám 21% DPH.</v>
      </c>
      <c r="E1190" s="324"/>
      <c r="F1190" s="324"/>
      <c r="G1190" s="324"/>
      <c r="H1190" s="324"/>
      <c r="I1190" s="459"/>
      <c r="J1190" s="326"/>
      <c r="K1190" s="459"/>
      <c r="L1190" s="324"/>
      <c r="M1190" s="324"/>
      <c r="N1190" s="459"/>
      <c r="O1190" s="459"/>
      <c r="P1190" s="459"/>
      <c r="Q1190" s="324"/>
      <c r="R1190" s="324"/>
      <c r="S1190" s="324"/>
      <c r="T1190" s="324"/>
      <c r="U1190" s="657"/>
      <c r="V1190" s="324"/>
      <c r="W1190" s="324"/>
      <c r="X1190" s="459"/>
      <c r="Y1190" s="459"/>
      <c r="Z1190" s="657"/>
      <c r="AA1190" s="324"/>
      <c r="AB1190" s="324"/>
      <c r="AC1190" s="459"/>
      <c r="AD1190" s="459"/>
      <c r="AE1190" s="324"/>
      <c r="AF1190" s="324"/>
      <c r="AG1190" s="324"/>
      <c r="AH1190" s="324"/>
      <c r="AI1190" s="324"/>
      <c r="AJ1190" s="886" t="str">
        <f>IF(SUM(AF283:AF285)&gt;(AE1192*0.3),IF($W$17=$AF$1,"POZOR!!! Petardy P30D, P50D a P170 překročily 30% hodnoty objednávky!",IFERROR(VLOOKUP("PETARDY",Jazyky_ceník!A:Q,MATCH(W17,Jazyky_ceník!A1:Q1,0),FALSE),"!!!")),"")</f>
        <v/>
      </c>
      <c r="AK1190" s="887"/>
      <c r="AL1190" s="887"/>
      <c r="AM1190" s="887"/>
      <c r="AN1190" s="887"/>
      <c r="AO1190" s="380"/>
      <c r="AP1190" s="304"/>
      <c r="AQ1190" s="304"/>
    </row>
    <row r="1191" spans="1:52" ht="15" customHeight="1" thickBot="1">
      <c r="A1191" s="327"/>
      <c r="B1191" s="447"/>
      <c r="C1191" s="328" t="s">
        <v>12794</v>
      </c>
      <c r="D1191" s="518" t="str">
        <f>IF($W$17=$AF$1,"Položky označené X ve sloupci A jsou doprodejové, které již nebudeme naskladňovat.",IFERROR(VLOOKUP("Položky označené X ve sloupci A jsou doprodejové, které již nebudeme naskladňovat.",Jazyky_ceník!A:Q,MATCH(W17,Jazyky_ceník!A1:Q1,0),FALSE),"!!!"))</f>
        <v>Položky označené X ve sloupci A jsou doprodejové, které již nebudeme naskladňovat.</v>
      </c>
      <c r="E1191" s="329"/>
      <c r="F1191" s="330"/>
      <c r="G1191" s="331"/>
      <c r="H1191" s="332"/>
      <c r="I1191" s="460"/>
      <c r="J1191" s="333"/>
      <c r="K1191" s="504"/>
      <c r="L1191" s="335"/>
      <c r="M1191" s="336"/>
      <c r="Q1191" s="337"/>
      <c r="R1191" s="336"/>
      <c r="S1191" s="336"/>
      <c r="T1191" s="336"/>
      <c r="U1191" s="658"/>
      <c r="V1191" s="329"/>
      <c r="W1191" s="338" t="str">
        <f>IF(AC6=2,"                                    "&amp;AC8&amp;" "&amp;AB1192&amp;" "&amp;AC9&amp;"  (± "&amp;'Výpočet času'!Q4&amp;")","                                    "&amp;AC8&amp;" "&amp;AB1192&amp;" "&amp;AC10)</f>
        <v xml:space="preserve">                                    Máte objednáno 0 kartonů, které zabalíme na palety.  (± 0)</v>
      </c>
      <c r="X1191" s="481"/>
      <c r="Y1191" s="482"/>
      <c r="Z1191" s="662"/>
      <c r="AA1191" s="304"/>
      <c r="AB1191" s="304"/>
      <c r="AC1191" s="495"/>
      <c r="AD1191" s="495"/>
      <c r="AE1191" s="339"/>
      <c r="AF1191" s="340"/>
      <c r="AG1191" s="340"/>
      <c r="AH1191" s="341"/>
      <c r="AI1191" s="304"/>
      <c r="AJ1191" s="888"/>
      <c r="AK1191" s="888"/>
      <c r="AL1191" s="888"/>
      <c r="AM1191" s="888"/>
      <c r="AN1191" s="888"/>
      <c r="AO1191" s="380"/>
      <c r="AP1191" s="304"/>
      <c r="AQ1191" s="304"/>
    </row>
    <row r="1192" spans="1:52" ht="15" customHeight="1">
      <c r="A1192" s="327"/>
      <c r="B1192" s="447"/>
      <c r="C1192" s="328"/>
      <c r="D1192" s="803" t="str">
        <f>IF($W$17=$AF$1,"Touto barvou jsou označeny novinky 2024.",IFERROR(VLOOKUP("Touto barvou jsou označeny novinky 2024.",Jazyky_ceník!A:Q,MATCH(W17,Jazyky_ceník!A1:Q1,0),FALSE),"!!!"))</f>
        <v>Touto barvou jsou označeny novinky 2024.</v>
      </c>
      <c r="E1192" s="803"/>
      <c r="F1192" s="803"/>
      <c r="G1192" s="803"/>
      <c r="H1192" s="304"/>
      <c r="I1192" s="461"/>
      <c r="J1192" s="415"/>
      <c r="K1192" s="453">
        <v>4</v>
      </c>
      <c r="L1192" s="334"/>
      <c r="M1192" s="335"/>
      <c r="Q1192" s="335"/>
      <c r="R1192" s="304"/>
      <c r="S1192" s="304"/>
      <c r="T1192" s="342"/>
      <c r="V1192" s="329"/>
      <c r="W1192" s="855" t="str">
        <f>"↓↓ "&amp;IF($W$17=$AF$1,"Zvolte způsob přepravy",IFERROR(VLOOKUP("Zvolte způsob přepravy",Jazyky_ceník!A:Q,MATCH(W17,Jazyky_ceník!A1:Q1,0),FALSE),"---------------"))&amp;" ↓↓"</f>
        <v>↓↓ Zvolte způsob přepravy ↓↓</v>
      </c>
      <c r="X1192" s="483"/>
      <c r="Y1192" s="482"/>
      <c r="Z1192" s="662"/>
      <c r="AA1192" s="343"/>
      <c r="AB1192" s="445">
        <f>SUM(Y22:Y1189)</f>
        <v>0</v>
      </c>
      <c r="AC1192" s="496"/>
      <c r="AD1192" s="496"/>
      <c r="AE1192" s="866">
        <f>SUM(AF22:AF1189)</f>
        <v>0</v>
      </c>
      <c r="AF1192" s="867"/>
      <c r="AG1192" s="344">
        <f t="shared" ref="AG1192:AN1192" si="2990">SUM(AG22:AG1189)</f>
        <v>0</v>
      </c>
      <c r="AH1192" s="345">
        <f t="shared" si="2990"/>
        <v>0</v>
      </c>
      <c r="AI1192" s="344">
        <f t="shared" si="2990"/>
        <v>0</v>
      </c>
      <c r="AJ1192" s="572">
        <f t="shared" si="2990"/>
        <v>0</v>
      </c>
      <c r="AK1192" s="345">
        <f t="shared" si="2990"/>
        <v>0</v>
      </c>
      <c r="AL1192" s="345">
        <f t="shared" si="2990"/>
        <v>0</v>
      </c>
      <c r="AM1192" s="345">
        <f t="shared" si="2990"/>
        <v>0</v>
      </c>
      <c r="AN1192" s="346">
        <f t="shared" si="2990"/>
        <v>0</v>
      </c>
      <c r="AO1192" s="380"/>
      <c r="AP1192" s="304"/>
      <c r="AQ1192" s="304"/>
    </row>
    <row r="1193" spans="1:52" ht="15" customHeight="1">
      <c r="A1193" s="327"/>
      <c r="B1193" s="447"/>
      <c r="C1193" s="328"/>
      <c r="D1193" s="803" t="str">
        <f>IF($W$17=$AF$1,"Touto barvou jsou označeny nové designy výrobků.",IFERROR(VLOOKUP("Touto barvou jsou označeny nové designy výrobků.",Jazyky_ceník!A:Q,MATCH(W17,Jazyky_ceník!A1:Q1,0),FALSE),"!!!"))</f>
        <v>Touto barvou jsou označeny nové designy výrobků.</v>
      </c>
      <c r="E1193" s="803"/>
      <c r="F1193" s="803"/>
      <c r="G1193" s="803"/>
      <c r="H1193" s="304"/>
      <c r="I1193" s="462"/>
      <c r="J1193" s="415"/>
      <c r="K1193" s="453">
        <v>5</v>
      </c>
      <c r="L1193" s="304"/>
      <c r="M1193" s="304"/>
      <c r="Q1193" s="335"/>
      <c r="R1193" s="304"/>
      <c r="S1193" s="304"/>
      <c r="T1193" s="342"/>
      <c r="V1193" s="329"/>
      <c r="W1193" s="856"/>
      <c r="X1193" s="483"/>
      <c r="Y1193" s="482"/>
      <c r="Z1193" s="662"/>
      <c r="AA1193" s="304"/>
      <c r="AB1193" s="868" t="str">
        <f>IF($W$17=$AF$1,"Objednáno kartonů",IFERROR(VLOOKUP("Objednáno kartonů",Jazyky_ceník!A:Q,MATCH(W17,Jazyky_ceník!A1:Q1,0),FALSE),"---------------"))</f>
        <v>Objednáno kartonů</v>
      </c>
      <c r="AC1193" s="497"/>
      <c r="AD1193" s="497"/>
      <c r="AE1193" s="870" t="str">
        <f>IF($W$17=$AF$1,"celkem",IFERROR(VLOOKUP("celkem",Jazyky_ceník!A:Q,MATCH(W17,Jazyky_ceník!A1:Q1,0),FALSE),"!!!"))</f>
        <v>celkem</v>
      </c>
      <c r="AF1193" s="871"/>
      <c r="AG1193" s="347" t="str">
        <f>IF($W$17=$AF$1,"celkem",IFERROR(VLOOKUP("celkem",Jazyky_ceník!A:Q,MATCH(W17,Jazyky_ceník!A1:Q1,0),FALSE),"!!!"))</f>
        <v>celkem</v>
      </c>
      <c r="AH1193" s="348" t="str">
        <f>IF($W$17=$AF$1,"celkem",IFERROR(VLOOKUP("celkem",Jazyky_ceník!A:Q,MATCH(W17,Jazyky_ceník!A1:Q1,0),FALSE),"!!!"))</f>
        <v>celkem</v>
      </c>
      <c r="AI1193" s="349" t="str">
        <f>IF($W$17=$AF$1,"celkem",IFERROR(VLOOKUP("celkem",Jazyky_ceník!A:Q,MATCH(W17,Jazyky_ceník!A1:Q1,0),FALSE),"!!!"))</f>
        <v>celkem</v>
      </c>
      <c r="AJ1193" s="349" t="str">
        <f>IF($W$17=$AF$1,"celkem",IFERROR(VLOOKUP("celkem",Jazyky_ceník!A:Q,MATCH(W17,Jazyky_ceník!A1:Q1,0),FALSE),"!!!"))</f>
        <v>celkem</v>
      </c>
      <c r="AK1193" s="349" t="s">
        <v>11</v>
      </c>
      <c r="AL1193" s="349" t="s">
        <v>12</v>
      </c>
      <c r="AM1193" s="350" t="s">
        <v>13</v>
      </c>
      <c r="AN1193" s="351" t="str">
        <f>IF($W$17=$AF$1,"celkem",IFERROR(VLOOKUP("celkem",Jazyky_ceník!A:Q,MATCH(W17,Jazyky_ceník!A1:Q1,0),FALSE),"!!!"))</f>
        <v>celkem</v>
      </c>
      <c r="AO1193" s="380"/>
      <c r="AP1193" s="304"/>
      <c r="AQ1193" s="304"/>
    </row>
    <row r="1194" spans="1:52" ht="15" customHeight="1" thickBot="1">
      <c r="A1194" s="327"/>
      <c r="B1194" s="447"/>
      <c r="C1194" s="328"/>
      <c r="D1194" s="803" t="str">
        <f>IF($W$17=$AF$1,"Touto barvou jsou označeny bestsellery.",IFERROR(VLOOKUP("Touto barvou jsou označeny bestsellery.",Jazyky_ceník!A:Q,MATCH(W17,Jazyky_ceník!A1:Q1,0),FALSE),"!!!"))</f>
        <v>Touto barvou jsou označeny bestsellery.</v>
      </c>
      <c r="E1194" s="803"/>
      <c r="F1194" s="803"/>
      <c r="G1194" s="803"/>
      <c r="H1194" s="335"/>
      <c r="I1194" s="463"/>
      <c r="J1194" s="326"/>
      <c r="K1194" s="505" t="s">
        <v>12734</v>
      </c>
      <c r="L1194" s="335"/>
      <c r="M1194" s="335"/>
      <c r="Q1194" s="335"/>
      <c r="R1194" s="304"/>
      <c r="S1194" s="304"/>
      <c r="T1194" s="342"/>
      <c r="V1194" s="329"/>
      <c r="W1194" s="352"/>
      <c r="X1194" s="484"/>
      <c r="Y1194" s="482"/>
      <c r="Z1194" s="662"/>
      <c r="AA1194" s="271"/>
      <c r="AB1194" s="869"/>
      <c r="AC1194" s="498"/>
      <c r="AD1194" s="498"/>
      <c r="AE1194" s="872" t="str">
        <f>AF18&amp;AF19</f>
        <v>CZK(bez DPH)</v>
      </c>
      <c r="AF1194" s="873"/>
      <c r="AG1194" s="353" t="str">
        <f>"CZK"&amp;IF($W$17=$AF$1,"(vč. DPH)",IFERROR(VLOOKUP("(vč. DPH)",Jazyky_ceník!A:Q,MATCH(W17,Jazyky_ceník!A1:Q1,0),FALSE),"!!!"))</f>
        <v>CZK(vč. DPH)</v>
      </c>
      <c r="AH1194" s="354" t="str">
        <f>AH18&amp;IF($W$17=$AF$1,"(bez DPH)",IFERROR(VLOOKUP("(bez DPH)",Jazyky_ceník!A:Q,MATCH(W17,Jazyky_ceník!A1:Q1,0),FALSE),"!!!"))</f>
        <v>EUR(bez DPH)</v>
      </c>
      <c r="AI1194" s="355" t="s">
        <v>2886</v>
      </c>
      <c r="AJ1194" s="355" t="s">
        <v>2887</v>
      </c>
      <c r="AK1194" s="355" t="s">
        <v>3132</v>
      </c>
      <c r="AL1194" s="355" t="s">
        <v>3132</v>
      </c>
      <c r="AM1194" s="356" t="s">
        <v>3132</v>
      </c>
      <c r="AN1194" s="357" t="s">
        <v>3132</v>
      </c>
      <c r="AO1194" s="380"/>
      <c r="AP1194" s="304"/>
      <c r="AQ1194" s="304"/>
    </row>
    <row r="1195" spans="1:52" ht="15" customHeight="1" thickBot="1">
      <c r="A1195" s="799"/>
      <c r="B1195" s="447"/>
      <c r="D1195" s="885" t="str">
        <f>IF($W$17=$AF$1,"Touto barvou jsou označeny výrobky s garancí nejnižší ceny.",IFERROR(VLOOKUP("Touto barvou jsou označeny výrobky s garancí nejnižší ceny.",Jazyky_ceník!A:Q,MATCH(W17,Jazyky_ceník!A1:Q1,0),FALSE),"!!!"))</f>
        <v>Touto barvou jsou označeny výrobky s garancí nejnižší ceny.</v>
      </c>
      <c r="E1195" s="803"/>
      <c r="F1195" s="803"/>
      <c r="G1195" s="803"/>
      <c r="H1195" s="803"/>
      <c r="I1195" s="461"/>
      <c r="J1195" s="415"/>
      <c r="K1195" s="453" t="s">
        <v>14734</v>
      </c>
      <c r="L1195" s="334"/>
      <c r="M1195" s="335"/>
      <c r="Q1195" s="335"/>
      <c r="R1195" s="304"/>
      <c r="S1195" s="304"/>
      <c r="T1195" s="342"/>
      <c r="V1195" s="329"/>
      <c r="W1195" s="358"/>
      <c r="X1195" s="485"/>
      <c r="Y1195" s="482"/>
      <c r="Z1195" s="662"/>
      <c r="AA1195" s="271"/>
      <c r="AB1195" s="864" t="str">
        <f>IF($W$17=$AF$1,"Maximální výška palety = 180 cm!",IFERROR(VLOOKUP("Maximální výška palety = 180 cm!",Jazyky_ceník!A:Q,MATCH(W17,Jazyky_ceník!A1:Q1,0),FALSE),"!!!"))</f>
        <v>Maximální výška palety = 180 cm!</v>
      </c>
      <c r="AC1195" s="865"/>
      <c r="AD1195" s="865"/>
      <c r="AE1195" s="864"/>
      <c r="AF1195" s="864"/>
      <c r="AG1195" s="595" t="str">
        <f>IF(COUNTIF(AX22:AX1189,1)=0,"","POZOR! Objednávka obsahuje "&amp;COUNTIF(AX22:AX1189,1)&amp;" pol. kat. F4!!!")</f>
        <v/>
      </c>
      <c r="AH1195" s="594"/>
      <c r="AI1195" s="304"/>
      <c r="AJ1195" s="342"/>
      <c r="AK1195" s="304"/>
      <c r="AL1195" s="304"/>
      <c r="AM1195" s="304"/>
      <c r="AN1195" s="359"/>
      <c r="AO1195" s="380"/>
      <c r="AP1195" s="304"/>
      <c r="AQ1195" s="304"/>
    </row>
    <row r="1196" spans="1:52" ht="15" customHeight="1">
      <c r="A1196" s="327"/>
      <c r="B1196" s="447"/>
      <c r="C1196" s="360"/>
      <c r="D1196" s="519"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Pro nákup KAT. F4 a T2 je potřebný průkaz osoby odborně způsobilé, resp. odpalovače ohňostrojů!</v>
      </c>
      <c r="I1196" s="461"/>
      <c r="J1196" s="415"/>
      <c r="L1196" s="334"/>
      <c r="M1196" s="335"/>
      <c r="Q1196" s="335"/>
      <c r="R1196" s="304"/>
      <c r="S1196" s="304"/>
      <c r="T1196" s="342"/>
      <c r="V1196" s="329"/>
      <c r="W1196" s="361"/>
      <c r="X1196" s="486"/>
      <c r="Y1196" s="487"/>
      <c r="Z1196" s="663"/>
      <c r="AA1196" s="304"/>
      <c r="AB1196" s="892" t="str">
        <f>IF(AN1196=0,"",IF(AN1196&lt;1000,"Běžný transport","Přeprava v režimu ADR"))</f>
        <v/>
      </c>
      <c r="AC1196" s="892"/>
      <c r="AD1196" s="892"/>
      <c r="AE1196" s="892"/>
      <c r="AF1196" s="893"/>
      <c r="AG1196" s="851" t="str">
        <f>IF($W$17=$AF$1,"Výpočet bodů podle ADR:",IFERROR(VLOOKUP("Výpočet bodů podle ADR:",Jazyky_ceník!A:Q,MATCH(W17,Jazyky_ceník!A1:Q1,0),FALSE),"---------------"))</f>
        <v>Výpočet bodů podle ADR:</v>
      </c>
      <c r="AH1196" s="852"/>
      <c r="AI1196" s="852"/>
      <c r="AJ1196" s="852"/>
      <c r="AK1196" s="847">
        <f>(AK1192*50)</f>
        <v>0</v>
      </c>
      <c r="AL1196" s="849">
        <f>(AL1192*50)</f>
        <v>0</v>
      </c>
      <c r="AM1196" s="847">
        <f>(AM1192*3)</f>
        <v>0</v>
      </c>
      <c r="AN1196" s="845">
        <f>SUM(AK1196:AM1196)</f>
        <v>0</v>
      </c>
      <c r="AO1196" s="380"/>
      <c r="AP1196" s="304"/>
      <c r="AQ1196" s="304"/>
    </row>
    <row r="1197" spans="1:52" ht="13.5" customHeight="1" thickBot="1">
      <c r="A1197" s="327"/>
      <c r="B1197" s="447"/>
      <c r="C1197" s="360"/>
      <c r="D1197" s="417"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Všechny ceny uvedené v tomto ceníku jsou bez dopravy (EXW Incoterms 2010) tzn., že si zákazník dopravu musí uhradit sám.</v>
      </c>
      <c r="E1197" s="335"/>
      <c r="F1197" s="342"/>
      <c r="G1197" s="414"/>
      <c r="H1197" s="304"/>
      <c r="I1197" s="461"/>
      <c r="J1197" s="415"/>
      <c r="L1197" s="334"/>
      <c r="M1197" s="335"/>
      <c r="Q1197" s="335"/>
      <c r="R1197" s="304"/>
      <c r="S1197" s="304"/>
      <c r="T1197" s="304"/>
      <c r="V1197" s="304"/>
      <c r="W1197" s="304"/>
      <c r="Y1197" s="487"/>
      <c r="Z1197" s="663"/>
      <c r="AA1197" s="304"/>
      <c r="AB1197" s="362"/>
      <c r="AC1197" s="499"/>
      <c r="AD1197" s="499"/>
      <c r="AE1197" s="362" t="str">
        <f>IF(AN1196&lt;1000,"",IF(AK1196=0,IF(AN1192&lt;16000,"Ex.II","EX.III"),IF(AN1192&lt;5000,"Ex.II","Ex.III")))</f>
        <v/>
      </c>
      <c r="AF1197" s="304"/>
      <c r="AG1197" s="853"/>
      <c r="AH1197" s="854"/>
      <c r="AI1197" s="854"/>
      <c r="AJ1197" s="854"/>
      <c r="AK1197" s="848"/>
      <c r="AL1197" s="850"/>
      <c r="AM1197" s="848"/>
      <c r="AN1197" s="846"/>
      <c r="AO1197" s="380"/>
      <c r="AP1197" s="304"/>
      <c r="AQ1197" s="304"/>
    </row>
    <row r="1198" spans="1:52" ht="15" customHeight="1">
      <c r="A1198" s="327"/>
      <c r="B1198" s="447"/>
      <c r="C1198" s="360"/>
      <c r="D1198" s="416" t="str">
        <f>IF($W$17=$AF$1,"Je možno objednávat pouze celé exportní kartony.",IFERROR(VLOOKUP("Je možno objednávat pouze celé exportní kartony.",Jazyky_ceník!A:Q,MATCH(W17,Jazyky_ceník!A1:Q1,0),FALSE),"!!!"))</f>
        <v>Je možno objednávat pouze celé exportní kartony.</v>
      </c>
      <c r="E1198" s="335"/>
      <c r="F1198" s="342"/>
      <c r="G1198" s="414"/>
      <c r="H1198" s="304"/>
      <c r="I1198" s="461"/>
      <c r="J1198" s="415"/>
      <c r="L1198" s="334"/>
      <c r="M1198" s="335"/>
      <c r="Q1198"/>
      <c r="R1198" s="304"/>
      <c r="S1198" s="304"/>
      <c r="T1198" s="304"/>
      <c r="V1198" s="304"/>
      <c r="W1198" s="304"/>
      <c r="Y1198" s="487"/>
      <c r="Z1198" s="663"/>
      <c r="AA1198" s="304"/>
      <c r="AB1198" s="342" t="s">
        <v>12096</v>
      </c>
      <c r="AC1198" s="500"/>
      <c r="AD1198" s="500"/>
      <c r="AE1198" s="363"/>
      <c r="AF1198" s="364"/>
      <c r="AG1198" s="365" t="str">
        <f>IF($W$17=$AF$1,"Pokud je výsledek větší než 1000 jedná se o přepravu s nutností využití ADR vozidla.",IFERROR(VLOOKUP("Pokud je výsledek větší než 1000 jedná se o přepravu s nutností využití ADR vozidla.",Jazyky_ceník!A:Q,MATCH(W17,Jazyky_ceník!A1:Q1,0),FALSE),"!!!"))</f>
        <v>Pokud je výsledek větší než 1000 jedná se o přepravu s nutností využití ADR vozidla.</v>
      </c>
      <c r="AH1198" s="366"/>
      <c r="AI1198" s="367"/>
      <c r="AJ1198" s="367"/>
      <c r="AK1198" s="368"/>
      <c r="AL1198" s="368"/>
      <c r="AM1198" s="368"/>
      <c r="AN1198" s="369"/>
      <c r="AO1198" s="380"/>
      <c r="AP1198" s="304"/>
      <c r="AQ1198" s="304"/>
    </row>
    <row r="1199" spans="1:52" ht="15" customHeight="1">
      <c r="A1199" s="327"/>
      <c r="B1199" s="447"/>
      <c r="C1199" s="360"/>
      <c r="D1199" s="416" t="str">
        <f>IF($W$17=$AF$1,"Pro zákazníky, kteří mají slevu více než 50% platí minimální jednorázový odběr 10.000Kč",IFERROR(VLOOKUP("Pro zákazníky, kteří mají slevu více než 50% platí minimální jednorázový odběr 10.000Kč",Jazyky_ceník!A:Q,MATCH(W17,Jazyky_ceník!A1:Q1,0),FALSE),"!!!"))</f>
        <v>Pro zákazníky, kteří mají slevu více než 50% platí minimální jednorázový odběr 10.000Kč</v>
      </c>
      <c r="E1199" s="335"/>
      <c r="F1199" s="342"/>
      <c r="G1199" s="414"/>
      <c r="H1199" s="304"/>
      <c r="I1199" s="461"/>
      <c r="J1199" s="415"/>
      <c r="L1199" s="334"/>
      <c r="M1199" s="335"/>
      <c r="Q1199" s="335"/>
      <c r="R1199" s="304"/>
      <c r="S1199" s="304"/>
      <c r="T1199" s="304"/>
      <c r="V1199" s="304"/>
      <c r="W1199" s="304"/>
      <c r="Y1199" s="487"/>
      <c r="Z1199" s="663"/>
      <c r="AA1199" s="304"/>
      <c r="AB1199" s="411" t="str">
        <f>IF(AC6=2,'Výpočet času'!Q4&amp;" paletových souborů / overpacks",AB1192&amp;" kartonů / cartons")</f>
        <v>0 paletových souborů / overpacks</v>
      </c>
      <c r="AC1199" s="453" t="str">
        <f>IF(AC6=2,"± "&amp;'Výpočet času'!Q4&amp;" "&amp;AC13,AB1192&amp;" "&amp;V1)</f>
        <v>± 0 Paletových souborů</v>
      </c>
      <c r="AJ1199" s="844" t="s">
        <v>12105</v>
      </c>
      <c r="AK1199" s="844"/>
      <c r="AL1199" s="844" t="s">
        <v>12106</v>
      </c>
      <c r="AM1199" s="844"/>
      <c r="AN1199" s="382" t="str">
        <f>AG1196</f>
        <v>Výpočet bodů podle ADR:</v>
      </c>
      <c r="AO1199" s="380"/>
      <c r="AP1199" s="304"/>
      <c r="AQ1199" s="304"/>
    </row>
    <row r="1200" spans="1:52" ht="15" customHeight="1">
      <c r="A1200" s="327"/>
      <c r="B1200" s="447"/>
      <c r="C1200" s="360"/>
      <c r="D1200" s="418" t="str">
        <f>IF($W$17=$AF$1,"Položky, které nejsou aktuálně skladem, nelze objednat. Objednací pole je podbarveno černě.",IFERROR(VLOOKUP("Položky, které nejsou aktuálně skladem, nelze objednat. Objednací pole je podbarveno černě.",Jazyky_ceník!A:Q,MATCH(W17,Jazyky_ceník!A1:Q1,0),FALSE),"!!!"))</f>
        <v>Položky, které nejsou aktuálně skladem, nelze objednat. Objednací pole je podbarveno černě.</v>
      </c>
      <c r="E1200" s="335"/>
      <c r="F1200" s="342"/>
      <c r="G1200" s="414"/>
      <c r="H1200" s="304"/>
      <c r="I1200" s="461"/>
      <c r="J1200" s="415"/>
      <c r="L1200" s="334"/>
      <c r="M1200" s="335"/>
      <c r="Q1200" s="335"/>
      <c r="R1200" s="304"/>
      <c r="S1200" s="304"/>
      <c r="T1200" s="372"/>
      <c r="V1200" s="304"/>
      <c r="W1200" s="304"/>
      <c r="Y1200" s="487"/>
      <c r="Z1200" s="663"/>
      <c r="AB1200" s="880" t="s">
        <v>12097</v>
      </c>
      <c r="AC1200" s="882" t="s">
        <v>12100</v>
      </c>
      <c r="AD1200" s="883"/>
      <c r="AE1200" s="889" t="s">
        <v>14513</v>
      </c>
      <c r="AF1200" s="890"/>
      <c r="AG1200" s="891"/>
      <c r="AH1200" s="876" t="s">
        <v>644</v>
      </c>
      <c r="AI1200" s="876" t="s">
        <v>12102</v>
      </c>
      <c r="AJ1200" s="894">
        <f>SUMIF(M:M,"1.1G",AI:AI)</f>
        <v>0</v>
      </c>
      <c r="AK1200" s="894"/>
      <c r="AL1200" s="879">
        <f>AK1192</f>
        <v>0</v>
      </c>
      <c r="AM1200" s="879"/>
      <c r="AN1200" s="874">
        <f>AK1196</f>
        <v>0</v>
      </c>
      <c r="AO1200" s="380"/>
      <c r="AP1200" s="304"/>
      <c r="AQ1200" s="304"/>
      <c r="AT1200" s="305"/>
      <c r="AU1200" s="305"/>
      <c r="AV1200" s="305"/>
      <c r="AW1200" s="305"/>
      <c r="AX1200" s="305"/>
    </row>
    <row r="1201" spans="1:50" ht="15" customHeight="1">
      <c r="A1201" s="327"/>
      <c r="B1201" s="447"/>
      <c r="C1201" s="360"/>
      <c r="D1201" s="412" t="str">
        <f>D9</f>
        <v>Slevy jsou poskytovány při celoročním odběru a to od 01.09.2023 do 31.08.2024.</v>
      </c>
      <c r="E1201" s="370"/>
      <c r="F1201" s="371"/>
      <c r="G1201" s="419"/>
      <c r="H1201" s="304"/>
      <c r="I1201" s="461"/>
      <c r="J1201" s="415"/>
      <c r="L1201" s="334"/>
      <c r="M1201" s="335"/>
      <c r="Q1201" s="335"/>
      <c r="R1201" s="304"/>
      <c r="S1201" s="304"/>
      <c r="T1201" s="372"/>
      <c r="V1201" s="304"/>
      <c r="W1201" s="304"/>
      <c r="Y1201" s="487"/>
      <c r="Z1201" s="663"/>
      <c r="AB1201" s="880"/>
      <c r="AC1201" s="882" t="s">
        <v>12101</v>
      </c>
      <c r="AD1201" s="884"/>
      <c r="AE1201" s="889"/>
      <c r="AF1201" s="890"/>
      <c r="AG1201" s="891"/>
      <c r="AH1201" s="877"/>
      <c r="AI1201" s="877"/>
      <c r="AJ1201" s="894"/>
      <c r="AK1201" s="894"/>
      <c r="AL1201" s="879"/>
      <c r="AM1201" s="879"/>
      <c r="AN1201" s="875"/>
      <c r="AO1201" s="380"/>
      <c r="AP1201" s="304"/>
      <c r="AQ1201" s="304"/>
      <c r="AT1201" s="305"/>
      <c r="AU1201" s="305"/>
      <c r="AV1201" s="305"/>
      <c r="AW1201" s="305"/>
      <c r="AX1201" s="305"/>
    </row>
    <row r="1202" spans="1:50" ht="15" customHeight="1">
      <c r="A1202" s="327"/>
      <c r="B1202" s="447"/>
      <c r="C1202" s="360"/>
      <c r="D1202" s="412" t="str">
        <f>D10</f>
        <v>Přidělená sleva zákazníka se počítá na základě odběru od 01.09.2022 do 31.8.2023.</v>
      </c>
      <c r="E1202" s="370"/>
      <c r="F1202" s="371"/>
      <c r="G1202" s="419"/>
      <c r="H1202" s="304"/>
      <c r="I1202" s="461"/>
      <c r="J1202" s="415"/>
      <c r="L1202" s="334"/>
      <c r="M1202" s="335"/>
      <c r="Q1202" s="335"/>
      <c r="R1202" s="304"/>
      <c r="S1202" s="304"/>
      <c r="T1202" s="372"/>
      <c r="V1202" s="329"/>
      <c r="W1202" s="304"/>
      <c r="Y1202" s="487"/>
      <c r="Z1202" s="663"/>
      <c r="AB1202" s="880" t="s">
        <v>12098</v>
      </c>
      <c r="AC1202" s="883" t="s">
        <v>12100</v>
      </c>
      <c r="AD1202" s="883"/>
      <c r="AE1202" s="889" t="s">
        <v>14513</v>
      </c>
      <c r="AF1202" s="890"/>
      <c r="AG1202" s="891"/>
      <c r="AH1202" s="876" t="s">
        <v>138</v>
      </c>
      <c r="AI1202" s="876" t="s">
        <v>12103</v>
      </c>
      <c r="AJ1202" s="894">
        <f>SUMIF(M:M,"1.3G",AI:AI)</f>
        <v>0</v>
      </c>
      <c r="AK1202" s="894"/>
      <c r="AL1202" s="879">
        <f>AL1192</f>
        <v>0</v>
      </c>
      <c r="AM1202" s="879"/>
      <c r="AN1202" s="874">
        <f>AL1196</f>
        <v>0</v>
      </c>
      <c r="AO1202" s="380"/>
      <c r="AP1202" s="304"/>
      <c r="AQ1202" s="304"/>
      <c r="AT1202" s="305"/>
      <c r="AU1202" s="305"/>
      <c r="AV1202" s="305"/>
      <c r="AW1202" s="305"/>
      <c r="AX1202" s="305"/>
    </row>
    <row r="1203" spans="1:50" ht="15" customHeight="1">
      <c r="A1203" s="327"/>
      <c r="B1203" s="447"/>
      <c r="C1203" s="360"/>
      <c r="D1203" s="412" t="str">
        <f>D11</f>
        <v xml:space="preserve">Pokud zákazník svými odběry v daném období překročí vlastní množstevní slevu (odběry se sčítají), </v>
      </c>
      <c r="E1203" s="370"/>
      <c r="F1203" s="371"/>
      <c r="G1203" s="419"/>
      <c r="H1203" s="304"/>
      <c r="I1203" s="461"/>
      <c r="J1203" s="415"/>
      <c r="L1203" s="334"/>
      <c r="M1203" s="335"/>
      <c r="Q1203" s="335"/>
      <c r="R1203" s="304"/>
      <c r="S1203" s="304"/>
      <c r="T1203" s="372"/>
      <c r="V1203" s="329"/>
      <c r="W1203" s="304"/>
      <c r="Y1203" s="487"/>
      <c r="Z1203" s="663"/>
      <c r="AB1203" s="880"/>
      <c r="AC1203" s="883" t="s">
        <v>12101</v>
      </c>
      <c r="AD1203" s="884"/>
      <c r="AE1203" s="889"/>
      <c r="AF1203" s="890"/>
      <c r="AG1203" s="891"/>
      <c r="AH1203" s="877"/>
      <c r="AI1203" s="877"/>
      <c r="AJ1203" s="894"/>
      <c r="AK1203" s="894"/>
      <c r="AL1203" s="879"/>
      <c r="AM1203" s="879"/>
      <c r="AN1203" s="875"/>
      <c r="AO1203" s="380"/>
      <c r="AP1203" s="304"/>
      <c r="AQ1203" s="304"/>
      <c r="AT1203" s="305"/>
      <c r="AU1203" s="305"/>
      <c r="AV1203" s="305"/>
      <c r="AW1203" s="305"/>
      <c r="AX1203" s="305"/>
    </row>
    <row r="1204" spans="1:50" ht="15" customHeight="1">
      <c r="A1204" s="327"/>
      <c r="B1204" s="447"/>
      <c r="C1204" s="360"/>
      <c r="D1204" s="412" t="str">
        <f>D12</f>
        <v>dostane za dané období příslušnou slevu i zpětně. Odběrem zboží se myslí částka bez DPH po odečtení slevy.</v>
      </c>
      <c r="E1204" s="370"/>
      <c r="F1204" s="371"/>
      <c r="G1204" s="419"/>
      <c r="H1204" s="304"/>
      <c r="I1204" s="461"/>
      <c r="J1204" s="415"/>
      <c r="L1204" s="334"/>
      <c r="M1204" s="335"/>
      <c r="Q1204" s="335"/>
      <c r="R1204" s="304"/>
      <c r="S1204" s="304"/>
      <c r="T1204" s="304"/>
      <c r="V1204" s="329"/>
      <c r="W1204" s="304"/>
      <c r="Y1204" s="487"/>
      <c r="Z1204" s="663"/>
      <c r="AB1204" s="881" t="s">
        <v>12099</v>
      </c>
      <c r="AC1204" s="883" t="s">
        <v>12100</v>
      </c>
      <c r="AD1204" s="883"/>
      <c r="AE1204" s="889" t="s">
        <v>14513</v>
      </c>
      <c r="AF1204" s="890"/>
      <c r="AG1204" s="891"/>
      <c r="AH1204" s="878" t="s">
        <v>25</v>
      </c>
      <c r="AI1204" s="878" t="s">
        <v>12104</v>
      </c>
      <c r="AJ1204" s="894">
        <f>SUMIF(M:M,"1.4G",AI:AI)</f>
        <v>0</v>
      </c>
      <c r="AK1204" s="894"/>
      <c r="AL1204" s="879">
        <f>AM1192</f>
        <v>0</v>
      </c>
      <c r="AM1204" s="879"/>
      <c r="AN1204" s="874">
        <f>AM1196</f>
        <v>0</v>
      </c>
      <c r="AO1204" s="380"/>
      <c r="AP1204" s="304"/>
      <c r="AQ1204" s="304"/>
      <c r="AT1204" s="305"/>
      <c r="AU1204" s="305"/>
      <c r="AV1204" s="305"/>
      <c r="AW1204" s="305"/>
      <c r="AX1204" s="305"/>
    </row>
    <row r="1205" spans="1:50" ht="15" customHeight="1">
      <c r="A1205" s="327"/>
      <c r="B1205" s="447"/>
      <c r="C1205" s="360"/>
      <c r="D1205" s="412" t="str">
        <f>D13</f>
        <v>Vepsáním vaší slevy do buňky D19 se ceník automaticky přepočítá, případně se sleva vypčte sama podle aktuální objednávky.</v>
      </c>
      <c r="E1205" s="370"/>
      <c r="F1205" s="371"/>
      <c r="G1205" s="419"/>
      <c r="H1205" s="304"/>
      <c r="I1205" s="461"/>
      <c r="J1205" s="415"/>
      <c r="L1205" s="334"/>
      <c r="M1205" s="335"/>
      <c r="Q1205" s="335"/>
      <c r="R1205" s="304"/>
      <c r="S1205" s="304"/>
      <c r="T1205" s="304"/>
      <c r="V1205" s="329"/>
      <c r="W1205" s="304"/>
      <c r="Y1205" s="487"/>
      <c r="Z1205" s="663"/>
      <c r="AB1205" s="881"/>
      <c r="AC1205" s="883" t="s">
        <v>12101</v>
      </c>
      <c r="AD1205" s="884"/>
      <c r="AE1205" s="889"/>
      <c r="AF1205" s="890"/>
      <c r="AG1205" s="891"/>
      <c r="AH1205" s="877"/>
      <c r="AI1205" s="877"/>
      <c r="AJ1205" s="894"/>
      <c r="AK1205" s="894"/>
      <c r="AL1205" s="879"/>
      <c r="AM1205" s="879"/>
      <c r="AN1205" s="875"/>
      <c r="AO1205" s="380"/>
      <c r="AP1205" s="304"/>
      <c r="AQ1205" s="304"/>
      <c r="AT1205" s="305"/>
      <c r="AU1205" s="305"/>
      <c r="AV1205" s="305"/>
      <c r="AW1205" s="305"/>
      <c r="AX1205" s="305"/>
    </row>
    <row r="1206" spans="1:50" s="304" customFormat="1" ht="15.75">
      <c r="A1206" s="327"/>
      <c r="B1206" s="266"/>
      <c r="C1206" s="360"/>
      <c r="D1206" s="420"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Jelikož ceny dopravy a zboží jsou velice nestabilní, vyhrazujeme si právo na změnu cen i během období platnosti ceníku.</v>
      </c>
      <c r="E1206" s="373"/>
      <c r="F1206" s="374"/>
      <c r="G1206" s="373"/>
      <c r="I1206" s="784"/>
      <c r="J1206" s="333"/>
      <c r="K1206" s="334"/>
      <c r="L1206" s="335"/>
      <c r="M1206" s="336"/>
      <c r="Q1206" s="337"/>
      <c r="R1206" s="336"/>
      <c r="S1206" s="336"/>
      <c r="T1206" s="336"/>
      <c r="U1206" s="336"/>
      <c r="V1206" s="329"/>
      <c r="Y1206" s="785"/>
      <c r="AA1206" s="271"/>
      <c r="AC1206" s="786" t="s">
        <v>2978</v>
      </c>
      <c r="AD1206" s="786"/>
      <c r="AE1206" s="339"/>
      <c r="AF1206" s="340"/>
      <c r="AG1206" s="340"/>
      <c r="AH1206" s="341"/>
      <c r="AJ1206" s="342"/>
      <c r="AN1206" s="359"/>
      <c r="AO1206" s="787"/>
    </row>
    <row r="1207" spans="1:50" s="789" customFormat="1" ht="15" customHeight="1">
      <c r="E1207" s="790"/>
      <c r="F1207" s="791"/>
      <c r="G1207" s="792"/>
      <c r="H1207" s="793"/>
      <c r="Q1207" s="794"/>
      <c r="AB1207" s="795" t="s">
        <v>2978</v>
      </c>
      <c r="AO1207" s="796"/>
    </row>
    <row r="1208" spans="1:50" ht="15" customHeight="1">
      <c r="AE1208" s="780" t="str">
        <f>IF(AE1209&lt;&gt;"",IF($W$17=$AF$1,"Níže jsou informace k objednávce pro pracovníky firmy Klásek.",IFERROR(VLOOKUP("Níže jsou informace k objednávce pro pracovníky firmy Klásek.",Jazyky_ceník!A:Q,MATCH(W17,Jazyky_ceník!A1:Q1,0),FALSE),"!!!")),"")</f>
        <v/>
      </c>
      <c r="AL1208" s="703"/>
      <c r="AM1208" s="703"/>
      <c r="AN1208" s="703"/>
    </row>
    <row r="1209" spans="1:50" ht="15" customHeight="1">
      <c r="AE1209" s="305" t="str">
        <f>IF('Část (1)'!W20&gt;100,"Objednávka obsahuje "&amp;'Část (1)'!W20&amp;" druhů výrobků, proto by měla být rozdělena do "&amp;'Část (1)'!O7&amp;" dílčích objednávek po "&amp;'Část (1)'!W21&amp;" položkách.","")</f>
        <v/>
      </c>
      <c r="AL1209" s="703"/>
      <c r="AM1209" s="703"/>
      <c r="AN1209" s="703"/>
    </row>
    <row r="1210" spans="1:50" ht="15" customHeight="1">
      <c r="AE1210" s="375" t="str">
        <f>IF(AE1209&lt;&gt;"","Importujte tyto dílčí záložky:","")</f>
        <v/>
      </c>
      <c r="AH1210" s="783" t="str">
        <f>IF(AE1209&lt;&gt;"","Hodnoty pro kontrolu po importu do Visionu","")</f>
        <v/>
      </c>
    </row>
    <row r="1211" spans="1:50" ht="15" customHeight="1">
      <c r="AE1211" s="381" t="str">
        <f>IF(AE1209&lt;&gt;"","Záložka k importu","")</f>
        <v/>
      </c>
      <c r="AF1211" s="375" t="str">
        <f>IF(AE1209&lt;&gt;"","počet ks","")</f>
        <v/>
      </c>
      <c r="AG1211" s="375" t="str">
        <f>IF(AE1209&lt;&gt;"","hmotnost","")</f>
        <v/>
      </c>
      <c r="AH1211" s="305" t="str">
        <f>IF(AE1209&lt;&gt;"","importované položky podle řádků v ceníku","")</f>
        <v/>
      </c>
      <c r="AL1211" s="863"/>
      <c r="AM1211" s="863"/>
      <c r="AN1211" s="863"/>
    </row>
    <row r="1212" spans="1:50" ht="15" customHeight="1">
      <c r="AE1212" s="381" t="str">
        <f>IF('Část (1)'!W20&gt;100,"Část (1)","")</f>
        <v/>
      </c>
      <c r="AF1212" s="375" t="str">
        <f>IF(AE1212&lt;&gt;"",'Část (1)'!$W$15&amp;" ks","")</f>
        <v/>
      </c>
      <c r="AG1212" s="375" t="str">
        <f>IF(AE1212&lt;&gt;"",'Část (1)'!$W$16&amp;" kg","")</f>
        <v/>
      </c>
      <c r="AH1212" s="305" t="str">
        <f>IF(AE1212&lt;&gt;"",'Část (1)'!$E$17,"")</f>
        <v/>
      </c>
      <c r="AL1212" s="863"/>
      <c r="AM1212" s="863"/>
      <c r="AN1212" s="863"/>
    </row>
    <row r="1213" spans="1:50" ht="15" customHeight="1">
      <c r="AE1213" s="381" t="str">
        <f>IF(AE1212&lt;&gt;"","Část (2)","")</f>
        <v/>
      </c>
      <c r="AF1213" s="375" t="str">
        <f>IF(AE1213&lt;&gt;"",'Část (2)'!$W$15&amp;" ks","")</f>
        <v/>
      </c>
      <c r="AG1213" s="375" t="str">
        <f>IF(AE1213&lt;&gt;"",'Část (2)'!$W$16&amp;" kg","")</f>
        <v/>
      </c>
      <c r="AH1213" s="305" t="str">
        <f>IF(AE1213&lt;&gt;"",'Část (2)'!$E$17,"")</f>
        <v/>
      </c>
      <c r="AL1213" s="863"/>
      <c r="AM1213" s="863"/>
      <c r="AN1213" s="863"/>
    </row>
    <row r="1214" spans="1:50" ht="15" customHeight="1">
      <c r="AE1214" s="381" t="str">
        <f>IF('Část (1)'!O7&gt;=3,"Část (3)","")</f>
        <v/>
      </c>
      <c r="AF1214" s="375" t="str">
        <f>IF(AE1214&lt;&gt;"",'Část (3)'!$W$15&amp;" ks","")</f>
        <v/>
      </c>
      <c r="AG1214" s="375" t="str">
        <f>IF(AE1214&lt;&gt;"",'Část (3)'!$W$16&amp;" kg","")</f>
        <v/>
      </c>
      <c r="AH1214" s="305" t="str">
        <f>IF(AE1214&lt;&gt;"",'Část (3)'!$E$17,"")</f>
        <v/>
      </c>
    </row>
    <row r="1215" spans="1:50" ht="15" customHeight="1">
      <c r="AE1215" s="381" t="str">
        <f>IF('Část (1)'!O7&gt;=4,"Část (4)","")</f>
        <v/>
      </c>
      <c r="AF1215" s="375" t="str">
        <f>IF(AE1215&lt;&gt;"",'Část (4)'!$W$15&amp;" ks","")</f>
        <v/>
      </c>
      <c r="AG1215" s="375" t="str">
        <f>IF(AE1215&lt;&gt;"",'Část (4)'!$W$16&amp;" kg","")</f>
        <v/>
      </c>
      <c r="AH1215" s="305" t="str">
        <f>IF(AE1215&lt;&gt;"",'Část (4)'!$E$17,"")</f>
        <v/>
      </c>
    </row>
    <row r="1216" spans="1:50" ht="15" customHeight="1">
      <c r="AE1216" s="381" t="str">
        <f>IF('Část (1)'!O7&gt;=5,"Část (5)","")</f>
        <v/>
      </c>
      <c r="AF1216" s="375" t="str">
        <f>IF(AE1216&lt;&gt;"",'Část (5)'!$W$15&amp;" ks","")</f>
        <v/>
      </c>
      <c r="AG1216" s="375" t="str">
        <f>IF(AE1216&lt;&gt;"",'Část (5)'!$W$16&amp;" kg","")</f>
        <v/>
      </c>
      <c r="AH1216" s="305" t="str">
        <f>IF(AE1216&lt;&gt;"",'Část (5)'!$E$17,"")</f>
        <v/>
      </c>
    </row>
    <row r="1217" spans="31:31" ht="15" customHeight="1">
      <c r="AE1217" s="381"/>
    </row>
  </sheetData>
  <sheetProtection algorithmName="SHA-512" hashValue="/cB6Gc3GmkN2IZrW1mKcPDUFjS7c6Q7m/w3a5WkWWApw+NDhDEV2oU8id1Rt7bvfA4Xve2APiZE+VJ6SnQlJ0g==" saltValue="wHNAGXi9wA33K9eNd7evTQ==" spinCount="100000" sheet="1" formatCells="0" formatColumns="0" formatRows="0" autoFilter="0"/>
  <protectedRanges>
    <protectedRange sqref="G19" name="Měna" securityDescriptor="O:WDG:WDD:(A;;CC;;;WD)"/>
    <protectedRange sqref="AI1" name="F4"/>
    <protectedRange sqref="AB22:AB1188" name="OBJEDNÁVKA_2" securityDescriptor="O:WDG:WDD:(A;;CC;;;WD)"/>
    <protectedRange sqref="D19" name="RABAT" securityDescriptor="O:WDG:WDD:(A;;CC;;;WD)"/>
  </protectedRanges>
  <sortState xmlns:xlrd2="http://schemas.microsoft.com/office/spreadsheetml/2017/richdata2" ref="AF1:AF10">
    <sortCondition ref="AF1:AF10"/>
  </sortState>
  <mergeCells count="77">
    <mergeCell ref="AJ1190:AN1191"/>
    <mergeCell ref="AE1200:AG1201"/>
    <mergeCell ref="AE1202:AG1203"/>
    <mergeCell ref="AE1204:AG1205"/>
    <mergeCell ref="AB1196:AF1196"/>
    <mergeCell ref="AH1200:AH1201"/>
    <mergeCell ref="AH1202:AH1203"/>
    <mergeCell ref="AH1204:AH1205"/>
    <mergeCell ref="AJ1200:AK1201"/>
    <mergeCell ref="AJ1202:AK1203"/>
    <mergeCell ref="AJ1204:AK1205"/>
    <mergeCell ref="D1194:G1194"/>
    <mergeCell ref="AB1200:AB1201"/>
    <mergeCell ref="AB1202:AB1203"/>
    <mergeCell ref="AB1204:AB1205"/>
    <mergeCell ref="AC1200:AD1200"/>
    <mergeCell ref="AC1202:AD1202"/>
    <mergeCell ref="AC1204:AD1204"/>
    <mergeCell ref="AC1205:AD1205"/>
    <mergeCell ref="AC1203:AD1203"/>
    <mergeCell ref="AC1201:AD1201"/>
    <mergeCell ref="D1195:H1195"/>
    <mergeCell ref="AL1211:AN1213"/>
    <mergeCell ref="AB1195:AF1195"/>
    <mergeCell ref="AE1192:AF1192"/>
    <mergeCell ref="AB1193:AB1194"/>
    <mergeCell ref="AE1193:AF1193"/>
    <mergeCell ref="AE1194:AF1194"/>
    <mergeCell ref="AN1200:AN1201"/>
    <mergeCell ref="AN1202:AN1203"/>
    <mergeCell ref="AN1204:AN1205"/>
    <mergeCell ref="AI1200:AI1201"/>
    <mergeCell ref="AI1202:AI1203"/>
    <mergeCell ref="AI1204:AI1205"/>
    <mergeCell ref="AL1200:AM1201"/>
    <mergeCell ref="AL1204:AM1205"/>
    <mergeCell ref="AL1202:AM1203"/>
    <mergeCell ref="AJ1199:AK1199"/>
    <mergeCell ref="AM17:AM19"/>
    <mergeCell ref="AN17:AN19"/>
    <mergeCell ref="AL17:AL19"/>
    <mergeCell ref="A17:A18"/>
    <mergeCell ref="AL1199:AM1199"/>
    <mergeCell ref="AN1196:AN1197"/>
    <mergeCell ref="AM1196:AM1197"/>
    <mergeCell ref="AL1196:AL1197"/>
    <mergeCell ref="AG1196:AJ1197"/>
    <mergeCell ref="AK1196:AK1197"/>
    <mergeCell ref="W1192:W1193"/>
    <mergeCell ref="AK17:AK19"/>
    <mergeCell ref="M17:M18"/>
    <mergeCell ref="AE17:AE19"/>
    <mergeCell ref="Z17:Z19"/>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D3:F3"/>
    <mergeCell ref="D1:D2"/>
    <mergeCell ref="E1:G2"/>
    <mergeCell ref="K1:L1"/>
    <mergeCell ref="M1:O1"/>
    <mergeCell ref="A7:C8"/>
    <mergeCell ref="D17:D18"/>
    <mergeCell ref="D1193:G1193"/>
    <mergeCell ref="D1192:G1192"/>
    <mergeCell ref="D16:F16"/>
  </mergeCells>
  <phoneticPr fontId="83" type="noConversion"/>
  <conditionalFormatting sqref="A22:AB1189 AF22:AN1189">
    <cfRule type="expression" dxfId="18" priority="72">
      <formula>$AE22=$V$10</formula>
    </cfRule>
  </conditionalFormatting>
  <conditionalFormatting sqref="C22:C1189">
    <cfRule type="duplicateValues" dxfId="17" priority="15344"/>
  </conditionalFormatting>
  <conditionalFormatting sqref="C22:C1203">
    <cfRule type="expression" dxfId="16" priority="15336">
      <formula>OR($K22=$B$1,$K22="BBP")</formula>
    </cfRule>
    <cfRule type="expression" dxfId="15" priority="15337">
      <formula>OR($K22=5,$K22="5BP")</formula>
    </cfRule>
    <cfRule type="expression" dxfId="14" priority="15338">
      <formula>OR($K22=4,$K22="4BP")</formula>
    </cfRule>
  </conditionalFormatting>
  <conditionalFormatting sqref="F22:F1189 C1190:C1200">
    <cfRule type="expression" dxfId="13" priority="1">
      <formula>OR($K22="BP",$K22="BBP",$K22="5BP",$K22="4BP")</formula>
    </cfRule>
  </conditionalFormatting>
  <conditionalFormatting sqref="F22:F1189">
    <cfRule type="expression" dxfId="12" priority="58">
      <formula>$K22=$B$2</formula>
    </cfRule>
  </conditionalFormatting>
  <conditionalFormatting sqref="Q22:R1189">
    <cfRule type="expression" dxfId="11" priority="6">
      <formula>AY22=0</formula>
    </cfRule>
  </conditionalFormatting>
  <conditionalFormatting sqref="AB22:AB1189">
    <cfRule type="expression" dxfId="10" priority="3815">
      <formula>$B22=1</formula>
    </cfRule>
  </conditionalFormatting>
  <conditionalFormatting sqref="AB1192 AE1192 AG1192:AN1192">
    <cfRule type="expression" dxfId="9" priority="2699">
      <formula>$AB$9=$AC$1</formula>
    </cfRule>
  </conditionalFormatting>
  <conditionalFormatting sqref="AE22:AE1189">
    <cfRule type="expression" dxfId="8" priority="194">
      <formula>$AE22=$V$10</formula>
    </cfRule>
  </conditionalFormatting>
  <dataValidations count="1">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29 AB849:AB850 AB804:AB806 AB817:AB825 AB901:AB907 AB690:AB692 AB715:AB718 AB801:AB802 AB57:AB71 AB808 AB79:AB81 AB83:AB91 AB810:AB811 AB813:AB814 AB1055 AB93:AB122 AB1047 AB136:AB143 AB173:AB174 AB988:AB989 AB224:AB233 AB250 AB247:AB248 AB237:AB240 AB242:AB245 AB927 AB970:AB973 AB235 AB273:AB292 AB294 AB296:AB307 AB931:AB932 AB309:AB325 AB937:AB940 AB943 AB327:AB339 AB385:AB397 AB432:AB434 AB454:AB457 AB473:AB476 AB483:AB488 AB493:AB496 AB534:AB541 AB543:AB550 AB567:AB569 AB571:AB581 AB601 AB597:AB599 AB640:AB646 AB687:AB688 AB694:AB700 AB702:AB713 AB720:AB725 AB727:AB730 AB680:AB685 AB674:AB678 AB763:AB782 AB827 AB832 AB836:AB838 AB840 AB852:AB867 AB869:AB891 AB842 AB844:AB845 AB847 AB829:AB830 AB834 AB893:AB899 AB934:AB935 AB436:AB441 AB447:AB450 AB452 AB459:AB460 AB462:AB464 AB466:AB467 AB469:AB471 AB478:AB481 AB490:AB491 AB498:AB500 AB524:AB532 AB552:AB559 AB561:AB565 AB583:AB595 AB617:AB630 AB632:AB634 AB636:AB638 AB648:AB653 AB655:AB661 AB663 AB665:AB670 AB672 AB784:AB799 AB502:AB522 AB1057:AB1075 AB22:AB55 AB73:AB77 AB176:AB186 AB188:AB199 AB252 AB443:AB445 AB603:AB615 AB962:AB964 AB991 AB909:AB925 AB166:AB171 AB124:AB134 AB201:AB222 AB732:AB750 AB399:AB430 AB966:AB968 AB1041:AB1045 AB1049:AB1053 AB145:AB153 AB155:AB164 AB978:AB986 AB993:AB1035 AB1037:AB1039 AB752:AB761 AB261:AB271 AB975:AB976 AB1077:AB1116 AB1118:AB1188 AB945:AB960 AB341:AB383 AB254:AB259" xr:uid="{0688AC2E-11F1-4F90-A468-131B10F18202}">
      <formula1>0</formula1>
    </dataValidation>
  </dataValidations>
  <hyperlinks>
    <hyperlink ref="E8" r:id="rId1" display="info@klasekpyrotechnics.cz" xr:uid="{A040ED6B-DDC7-408A-83D6-D37EF93D2AE8}"/>
    <hyperlink ref="V85" r:id="rId2" display="https://www.klasekpyrotechnics.cz/vp70w" xr:uid="{2BEE7132-D1E1-4A0E-90FC-43DC95F3A5C4}"/>
    <hyperlink ref="V83" r:id="rId3" display="www.klasekpyrotechnics.cz/vp90" xr:uid="{362B87CD-174A-4F3C-A433-0D57247EB636}"/>
    <hyperlink ref="AN12" r:id="rId4" xr:uid="{BC5AE274-028C-4ED8-AB68-83F4634CAA57}"/>
    <hyperlink ref="AN1" r:id="rId5" xr:uid="{00382642-D67A-42E4-A013-387F54D0A488}"/>
  </hyperlinks>
  <pageMargins left="0.7" right="0.7" top="0.78740157499999996" bottom="0.78740157499999996" header="0.3" footer="0.3"/>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46" r:id="rId9" name="Option Button 30">
              <controlPr defaultSize="0" autoFill="0" autoLine="0" autoPict="0">
                <anchor>
                  <from>
                    <xdr:col>21</xdr:col>
                    <xdr:colOff>57150</xdr:colOff>
                    <xdr:row>8</xdr:row>
                    <xdr:rowOff>123825</xdr:rowOff>
                  </from>
                  <to>
                    <xdr:col>21</xdr:col>
                    <xdr:colOff>371475</xdr:colOff>
                    <xdr:row>9</xdr:row>
                    <xdr:rowOff>123825</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from>
                    <xdr:col>22</xdr:col>
                    <xdr:colOff>609600</xdr:colOff>
                    <xdr:row>8</xdr:row>
                    <xdr:rowOff>123825</xdr:rowOff>
                  </from>
                  <to>
                    <xdr:col>22</xdr:col>
                    <xdr:colOff>885825</xdr:colOff>
                    <xdr:row>9</xdr:row>
                    <xdr:rowOff>123825</xdr:rowOff>
                  </to>
                </anchor>
              </controlPr>
            </control>
          </mc:Choice>
        </mc:AlternateContent>
        <mc:AlternateContent xmlns:mc="http://schemas.openxmlformats.org/markup-compatibility/2006">
          <mc:Choice Requires="x14">
            <control shapeId="9254" r:id="rId11" name="Drop Down 38">
              <controlPr locked="0" defaultSize="0" autoLine="0" autoPict="0">
                <anchor moveWithCells="1">
                  <from>
                    <xdr:col>22</xdr:col>
                    <xdr:colOff>0</xdr:colOff>
                    <xdr:row>1193</xdr:row>
                    <xdr:rowOff>0</xdr:rowOff>
                  </from>
                  <to>
                    <xdr:col>23</xdr:col>
                    <xdr:colOff>0</xdr:colOff>
                    <xdr:row>1195</xdr:row>
                    <xdr:rowOff>9525</xdr:rowOff>
                  </to>
                </anchor>
              </controlPr>
            </control>
          </mc:Choice>
        </mc:AlternateContent>
        <mc:AlternateContent xmlns:mc="http://schemas.openxmlformats.org/markup-compatibility/2006">
          <mc:Choice Requires="x14">
            <control shapeId="9258" r:id="rId12" name="Option Button 42">
              <controlPr defaultSize="0" autoFill="0" autoLine="0" autoPict="0">
                <anchor moveWithCells="1">
                  <from>
                    <xdr:col>22</xdr:col>
                    <xdr:colOff>2000250</xdr:colOff>
                    <xdr:row>8</xdr:row>
                    <xdr:rowOff>123825</xdr:rowOff>
                  </from>
                  <to>
                    <xdr:col>22</xdr:col>
                    <xdr:colOff>2286000</xdr:colOff>
                    <xdr:row>9</xdr:row>
                    <xdr:rowOff>123825</xdr:rowOff>
                  </to>
                </anchor>
              </controlPr>
            </control>
          </mc:Choice>
        </mc:AlternateContent>
        <mc:AlternateContent xmlns:mc="http://schemas.openxmlformats.org/markup-compatibility/2006">
          <mc:Choice Requires="x14">
            <control shapeId="9260" r:id="rId13" name="Option Button 44">
              <controlPr defaultSize="0" autoFill="0" autoLine="0" autoPict="0">
                <anchor moveWithCells="1">
                  <from>
                    <xdr:col>22</xdr:col>
                    <xdr:colOff>962025</xdr:colOff>
                    <xdr:row>8</xdr:row>
                    <xdr:rowOff>123825</xdr:rowOff>
                  </from>
                  <to>
                    <xdr:col>22</xdr:col>
                    <xdr:colOff>1247775</xdr:colOff>
                    <xdr:row>9</xdr:row>
                    <xdr:rowOff>123825</xdr:rowOff>
                  </to>
                </anchor>
              </controlPr>
            </control>
          </mc:Choice>
        </mc:AlternateContent>
        <mc:AlternateContent xmlns:mc="http://schemas.openxmlformats.org/markup-compatibility/2006">
          <mc:Choice Requires="x14">
            <control shapeId="9261" r:id="rId14" name="Option Button 45">
              <controlPr defaultSize="0" autoFill="0" autoLine="0" autoPict="0">
                <anchor moveWithCells="1">
                  <from>
                    <xdr:col>22</xdr:col>
                    <xdr:colOff>1657350</xdr:colOff>
                    <xdr:row>8</xdr:row>
                    <xdr:rowOff>123825</xdr:rowOff>
                  </from>
                  <to>
                    <xdr:col>22</xdr:col>
                    <xdr:colOff>1943100</xdr:colOff>
                    <xdr:row>9</xdr:row>
                    <xdr:rowOff>123825</xdr:rowOff>
                  </to>
                </anchor>
              </controlPr>
            </control>
          </mc:Choice>
        </mc:AlternateContent>
        <mc:AlternateContent xmlns:mc="http://schemas.openxmlformats.org/markup-compatibility/2006">
          <mc:Choice Requires="x14">
            <control shapeId="9262" r:id="rId15" name="Option Button 46">
              <controlPr defaultSize="0" autoFill="0" autoLine="0" autoPict="0">
                <anchor moveWithCells="1">
                  <from>
                    <xdr:col>22</xdr:col>
                    <xdr:colOff>1314450</xdr:colOff>
                    <xdr:row>8</xdr:row>
                    <xdr:rowOff>123825</xdr:rowOff>
                  </from>
                  <to>
                    <xdr:col>22</xdr:col>
                    <xdr:colOff>1581150</xdr:colOff>
                    <xdr:row>9</xdr:row>
                    <xdr:rowOff>123825</xdr:rowOff>
                  </to>
                </anchor>
              </controlPr>
            </control>
          </mc:Choice>
        </mc:AlternateContent>
        <mc:AlternateContent xmlns:mc="http://schemas.openxmlformats.org/markup-compatibility/2006">
          <mc:Choice Requires="x14">
            <control shapeId="9263" r:id="rId16" name="Option Button 47">
              <controlPr defaultSize="0" autoFill="0" autoLine="0" autoPict="0">
                <anchor moveWithCells="1">
                  <from>
                    <xdr:col>21</xdr:col>
                    <xdr:colOff>438150</xdr:colOff>
                    <xdr:row>8</xdr:row>
                    <xdr:rowOff>123825</xdr:rowOff>
                  </from>
                  <to>
                    <xdr:col>22</xdr:col>
                    <xdr:colOff>200025</xdr:colOff>
                    <xdr:row>9</xdr:row>
                    <xdr:rowOff>123825</xdr:rowOff>
                  </to>
                </anchor>
              </controlPr>
            </control>
          </mc:Choice>
        </mc:AlternateContent>
        <mc:AlternateContent xmlns:mc="http://schemas.openxmlformats.org/markup-compatibility/2006">
          <mc:Choice Requires="x14">
            <control shapeId="9264" r:id="rId17" name="Option Button 48">
              <controlPr defaultSize="0" autoFill="0" autoLine="0" autoPict="0">
                <anchor moveWithCells="1">
                  <from>
                    <xdr:col>22</xdr:col>
                    <xdr:colOff>228600</xdr:colOff>
                    <xdr:row>8</xdr:row>
                    <xdr:rowOff>123825</xdr:rowOff>
                  </from>
                  <to>
                    <xdr:col>22</xdr:col>
                    <xdr:colOff>533400</xdr:colOff>
                    <xdr:row>9</xdr:row>
                    <xdr:rowOff>123825</xdr:rowOff>
                  </to>
                </anchor>
              </controlPr>
            </control>
          </mc:Choice>
        </mc:AlternateContent>
        <mc:AlternateContent xmlns:mc="http://schemas.openxmlformats.org/markup-compatibility/2006">
          <mc:Choice Requires="x14">
            <control shapeId="9265" r:id="rId18" name="Option Button 49">
              <controlPr defaultSize="0" autoFill="0" autoLine="0" autoPict="0">
                <anchor moveWithCells="1">
                  <from>
                    <xdr:col>22</xdr:col>
                    <xdr:colOff>2695575</xdr:colOff>
                    <xdr:row>8</xdr:row>
                    <xdr:rowOff>123825</xdr:rowOff>
                  </from>
                  <to>
                    <xdr:col>25</xdr:col>
                    <xdr:colOff>142875</xdr:colOff>
                    <xdr:row>9</xdr:row>
                    <xdr:rowOff>123825</xdr:rowOff>
                  </to>
                </anchor>
              </controlPr>
            </control>
          </mc:Choice>
        </mc:AlternateContent>
        <mc:AlternateContent xmlns:mc="http://schemas.openxmlformats.org/markup-compatibility/2006">
          <mc:Choice Requires="x14">
            <control shapeId="9266" r:id="rId19" name="Option Button 50">
              <controlPr defaultSize="0" autoFill="0" autoLine="0" autoPict="0">
                <anchor>
                  <from>
                    <xdr:col>22</xdr:col>
                    <xdr:colOff>2352675</xdr:colOff>
                    <xdr:row>8</xdr:row>
                    <xdr:rowOff>123825</xdr:rowOff>
                  </from>
                  <to>
                    <xdr:col>22</xdr:col>
                    <xdr:colOff>2628900</xdr:colOff>
                    <xdr:row>9</xdr:row>
                    <xdr:rowOff>123825</xdr:rowOff>
                  </to>
                </anchor>
              </controlPr>
            </control>
          </mc:Choice>
        </mc:AlternateContent>
        <mc:AlternateContent xmlns:mc="http://schemas.openxmlformats.org/markup-compatibility/2006">
          <mc:Choice Requires="x14">
            <control shapeId="9269" r:id="rId20" name="Option Button 53">
              <controlPr defaultSize="0" autoFill="0" autoLine="0" autoPict="0">
                <anchor moveWithCells="1">
                  <from>
                    <xdr:col>25</xdr:col>
                    <xdr:colOff>219075</xdr:colOff>
                    <xdr:row>8</xdr:row>
                    <xdr:rowOff>123825</xdr:rowOff>
                  </from>
                  <to>
                    <xdr:col>25</xdr:col>
                    <xdr:colOff>552450</xdr:colOff>
                    <xdr:row>9</xdr:row>
                    <xdr:rowOff>123825</xdr:rowOff>
                  </to>
                </anchor>
              </controlPr>
            </control>
          </mc:Choice>
        </mc:AlternateContent>
        <mc:AlternateContent xmlns:mc="http://schemas.openxmlformats.org/markup-compatibility/2006">
          <mc:Choice Requires="x14">
            <control shapeId="9270" r:id="rId21" name="Option Button 54">
              <controlPr defaultSize="0" autoFill="0" autoLine="0" autoPict="0">
                <anchor moveWithCells="1">
                  <from>
                    <xdr:col>26</xdr:col>
                    <xdr:colOff>19050</xdr:colOff>
                    <xdr:row>8</xdr:row>
                    <xdr:rowOff>123825</xdr:rowOff>
                  </from>
                  <to>
                    <xdr:col>26</xdr:col>
                    <xdr:colOff>342900</xdr:colOff>
                    <xdr:row>9</xdr:row>
                    <xdr:rowOff>123825</xdr:rowOff>
                  </to>
                </anchor>
              </controlPr>
            </control>
          </mc:Choice>
        </mc:AlternateContent>
        <mc:AlternateContent xmlns:mc="http://schemas.openxmlformats.org/markup-compatibility/2006">
          <mc:Choice Requires="x14">
            <control shapeId="155554" r:id="rId22" name="Check Box 6050">
              <controlPr defaultSize="0" autoFill="0" autoLine="0" autoPict="0">
                <anchor moveWithCells="1">
                  <from>
                    <xdr:col>12</xdr:col>
                    <xdr:colOff>200025</xdr:colOff>
                    <xdr:row>9</xdr:row>
                    <xdr:rowOff>38100</xdr:rowOff>
                  </from>
                  <to>
                    <xdr:col>16</xdr:col>
                    <xdr:colOff>38100</xdr:colOff>
                    <xdr:row>11</xdr:row>
                    <xdr:rowOff>9525</xdr:rowOff>
                  </to>
                </anchor>
              </controlPr>
            </control>
          </mc:Choice>
        </mc:AlternateContent>
        <mc:AlternateContent xmlns:mc="http://schemas.openxmlformats.org/markup-compatibility/2006">
          <mc:Choice Requires="x14">
            <control shapeId="212131" r:id="rId23" name="Drop Down 10403">
              <controlPr locked="0" defaultSize="0" autoLine="0" autoPict="0">
                <anchor>
                  <from>
                    <xdr:col>6</xdr:col>
                    <xdr:colOff>19050</xdr:colOff>
                    <xdr:row>18</xdr:row>
                    <xdr:rowOff>0</xdr:rowOff>
                  </from>
                  <to>
                    <xdr:col>7</xdr:col>
                    <xdr:colOff>28575</xdr:colOff>
                    <xdr:row>19</xdr:row>
                    <xdr:rowOff>9525</xdr:rowOff>
                  </to>
                </anchor>
              </controlPr>
            </control>
          </mc:Choice>
        </mc:AlternateContent>
      </controls>
    </mc:Choice>
  </mc:AlternateContent>
  <tableParts count="1">
    <tablePart r:id="rId2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47"/>
  <sheetViews>
    <sheetView topLeftCell="B1" workbookViewId="0">
      <selection activeCell="A3" sqref="A3"/>
    </sheetView>
  </sheetViews>
  <sheetFormatPr defaultColWidth="9.140625" defaultRowHeight="15" customHeight="1"/>
  <cols>
    <col min="1" max="1" width="5.7109375" style="6" hidden="1" customWidth="1"/>
    <col min="2" max="2" width="23.140625" style="398" bestFit="1" customWidth="1"/>
    <col min="3" max="3" width="21.140625" style="6" customWidth="1"/>
    <col min="4" max="4" width="13.28515625" style="6" customWidth="1"/>
    <col min="5" max="5" width="23.5703125" style="6" customWidth="1"/>
    <col min="6" max="6" width="15.7109375" style="6" customWidth="1"/>
    <col min="7" max="21" width="9.140625" style="6"/>
    <col min="22" max="22" width="18.5703125" style="6" bestFit="1" customWidth="1"/>
    <col min="23" max="16384" width="9.140625" style="6"/>
  </cols>
  <sheetData>
    <row r="1" spans="1:6" ht="20.25" customHeight="1">
      <c r="A1" s="6">
        <v>1</v>
      </c>
      <c r="B1" s="527" t="str">
        <f>VLOOKUP(A1,info_all!$A:$M,MATCH('General price list'!$W$17,info_all!$A$2:$M$2,0),FALSE)</f>
        <v>UPOZORNĚNÍ!</v>
      </c>
      <c r="C1" s="19"/>
      <c r="D1" s="19"/>
      <c r="E1" s="19"/>
    </row>
    <row r="2" spans="1:6">
      <c r="A2" s="6">
        <v>2</v>
      </c>
      <c r="B2" s="394" t="str">
        <f>VLOOKUP(A2,info_all!$A:$M,MATCH('General price list'!$W$17,info_all!$A$2:$M$2,0),FALSE)</f>
        <v>Přišli jsme na jeden drobný problém, který se děje u nových ceníků = Rezervační ceník a Ceník ve kterém je pouze zboží skladem</v>
      </c>
      <c r="C2" s="19"/>
      <c r="D2" s="19"/>
      <c r="E2" s="19"/>
    </row>
    <row r="3" spans="1:6">
      <c r="A3" s="6">
        <v>3</v>
      </c>
      <c r="B3" s="522" t="str">
        <f>VLOOKUP(A3,info_all!$A:$M,MATCH('General price list'!$W$17,info_all!$A$2:$M$2,0),FALSE)</f>
        <v>Tyto ceníky se několikrát denně aktualizují a je třeba, aby jste objednávku dokončili a odeslali nám ihned.</v>
      </c>
      <c r="C3" s="19"/>
      <c r="D3" s="19"/>
      <c r="E3" s="19"/>
    </row>
    <row r="4" spans="1:6">
      <c r="A4" s="6">
        <v>4</v>
      </c>
      <c r="B4" s="394" t="str">
        <f>VLOOKUP(A4,info_all!$A:$M,MATCH('General price list'!$W$17,info_all!$A$2:$M$2,0),FALSE)</f>
        <v>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v>
      </c>
      <c r="C4" s="19"/>
      <c r="E4" s="19"/>
    </row>
    <row r="5" spans="1:6">
      <c r="A5" s="6">
        <v>5</v>
      </c>
      <c r="B5" s="395" t="str">
        <f>VLOOKUP(A5,info_all!$A:$M,MATCH('General price list'!$W$17,info_all!$A$2:$M$2,0),FALSE)</f>
        <v xml:space="preserve">Pokud chcete objednávku vyplňovat průběžně, musíte použít ceník General Iprice list! </v>
      </c>
      <c r="C5" s="19"/>
      <c r="D5" s="19"/>
      <c r="E5" s="19"/>
    </row>
    <row r="6" spans="1:6">
      <c r="A6" s="6">
        <v>6</v>
      </c>
      <c r="B6" s="395" t="str">
        <f>VLOOKUP(A6,info_all!$A:$M,MATCH('General price list'!$W$17,info_all!$A$2:$M$2,0),FALSE)</f>
        <v>Rezervační a ceník se zbožím, které je skladem použijte jen tehdy, když chcete objednávku udělat a ihned odeslat.</v>
      </c>
      <c r="C6" s="19"/>
      <c r="D6" s="19"/>
      <c r="E6" s="19"/>
    </row>
    <row r="7" spans="1:6" ht="15.75" hidden="1">
      <c r="A7" s="6">
        <v>7</v>
      </c>
      <c r="B7" s="395" t="str">
        <f>VLOOKUP(A7,info_all!$A:$M,MATCH('General price list'!$W$17,info_all!$A$2:$M$2,0),FALSE)</f>
        <v>Co dělat, když nefungují hypertextové odkazy ve starším Excelu?</v>
      </c>
      <c r="C7" s="19"/>
      <c r="D7" s="19"/>
      <c r="E7" s="529" t="s">
        <v>12993</v>
      </c>
      <c r="F7" s="507" t="s">
        <v>12797</v>
      </c>
    </row>
    <row r="8" spans="1:6" ht="30" customHeight="1">
      <c r="A8" s="6">
        <v>8</v>
      </c>
      <c r="B8" s="528" t="str">
        <f>VLOOKUP(A8,info_all!$A:$M,MATCH('General price list'!$W$17,info_all!$A$2:$M$2,0),FALSE)</f>
        <v>Postup při zasílání objednávky:</v>
      </c>
      <c r="C8" s="19"/>
      <c r="D8" s="19"/>
      <c r="E8" s="19"/>
    </row>
    <row r="9" spans="1:6">
      <c r="A9" s="6">
        <v>9</v>
      </c>
      <c r="B9" s="395" t="str">
        <f>VLOOKUP(A9,info_all!$A:$M,MATCH('General price list'!$W$17,info_all!$A$2:$M$2,0),FALSE)</f>
        <v>Před započetím práce s našim I-ceníkem si prohlédněte tento video návod, který Vám pomůže náš Iceník pochopit:</v>
      </c>
      <c r="C9" s="19"/>
      <c r="D9" s="19"/>
      <c r="E9" s="19"/>
    </row>
    <row r="10" spans="1:6">
      <c r="A10" s="6">
        <v>10</v>
      </c>
      <c r="B10" s="521" t="s">
        <v>13377</v>
      </c>
      <c r="C10" s="19"/>
      <c r="D10" s="19"/>
      <c r="E10" s="19"/>
    </row>
    <row r="11" spans="1:6">
      <c r="A11" s="6">
        <v>11</v>
      </c>
      <c r="B11" s="522" t="str">
        <f>VLOOKUP(A11,info_all!$A:$M,MATCH('General price list'!$W$17,info_all!$A$2:$M$2,0),FALSE)</f>
        <v>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v>
      </c>
      <c r="C11" s="19"/>
      <c r="D11" s="19"/>
      <c r="E11" s="19"/>
    </row>
    <row r="12" spans="1:6">
      <c r="A12" s="6">
        <v>12</v>
      </c>
      <c r="B12" s="394" t="str">
        <f>VLOOKUP(A12,info_all!$A:$M,MATCH('General price list'!$W$17,info_all!$A$2:$M$2,0),FALSE)</f>
        <v>Novinkou je online dostupnost skladu tzn. stačí, aby jste byli online a potvrdili možnost ,,povolit úpravy” a "povolit obsah". Po každém otevření Iceníku vidíte, jaké zboží je skladem popř. kdy bude naskladněno!!!</v>
      </c>
      <c r="C12" s="21"/>
      <c r="D12" s="21"/>
      <c r="E12" s="21"/>
      <c r="F12" s="8"/>
    </row>
    <row r="13" spans="1:6">
      <c r="A13" s="6">
        <v>13</v>
      </c>
      <c r="B13" s="395" t="str">
        <f>VLOOKUP(A13,info_all!$A:$M,MATCH('General price list'!$W$17,info_all!$A$2:$M$2,0),FALSE)</f>
        <v>Není možné si objednávat černě označené položky, které nejsou v den objednání skladem!!! Tím bude zaručeno, že si zákazník objedná jen položky, které jsou skladem a výrazně se tak urychlí dokončení objednávky.</v>
      </c>
      <c r="C13" s="21"/>
      <c r="D13" s="21"/>
      <c r="E13" s="21"/>
      <c r="F13" s="8"/>
    </row>
    <row r="14" spans="1:6">
      <c r="A14" s="6">
        <v>14</v>
      </c>
      <c r="B14" s="395" t="str">
        <f>VLOOKUP(A14,info_all!$A:$M,MATCH('General price list'!$W$17,info_all!$A$2:$M$2,0),FALSE)</f>
        <v>2. náš pracovník zjistí, které položky případně nejsou skladem a bude o tomto emailem informovat zákazníka</v>
      </c>
      <c r="C14" s="19"/>
      <c r="D14" s="19"/>
      <c r="E14" s="19"/>
    </row>
    <row r="15" spans="1:6">
      <c r="A15" s="6">
        <v>15</v>
      </c>
      <c r="B15" s="397" t="str">
        <f>VLOOKUP(A15,info_all!$A:$M,MATCH('General price list'!$W$17,info_all!$A$2:$M$2,0),FALSE)</f>
        <v xml:space="preserve">3. zákazník se rozhodne, zda chce na zboží čekat (pokud není skladem) nebo, zda vyprodané zboží chce nějak nahradit a emailem pošle svou finální objednávku, ve které bude jen zboží, které je momentálně dostupné. </v>
      </c>
      <c r="C15" s="22"/>
      <c r="D15" s="22"/>
      <c r="E15" s="22"/>
      <c r="F15" s="23"/>
    </row>
    <row r="16" spans="1:6">
      <c r="A16" s="6">
        <v>16</v>
      </c>
      <c r="B16" s="397" t="str">
        <f>VLOOKUP(A16,info_all!$A:$M,MATCH('General price list'!$W$17,info_all!$A$2:$M$2,0),FALSE)</f>
        <v xml:space="preserve">4. náš pracovník nahraje až tuto finální objednávku (viz. bod č. 3) do našeho systému a informuje zákazníka o termínu, kdy bude zboží expedováno resp. připraveno k vyzvednutí. </v>
      </c>
      <c r="C16" s="19"/>
      <c r="D16" s="19"/>
      <c r="E16" s="19"/>
    </row>
    <row r="17" spans="1:24">
      <c r="A17" s="6">
        <v>17</v>
      </c>
      <c r="B17" s="396" t="str">
        <f>VLOOKUP(A17,info_all!$A:$M,MATCH('General price list'!$W$17,info_all!$A$2:$M$2,0),FALSE)</f>
        <v>Až na základě tohoto potvrzení si zákazník může zboží vyzvednout.</v>
      </c>
      <c r="C17" s="22"/>
      <c r="D17" s="22"/>
      <c r="E17" s="22"/>
      <c r="F17" s="23"/>
    </row>
    <row r="18" spans="1:24">
      <c r="A18" s="6">
        <v>18</v>
      </c>
      <c r="B18" s="446" t="str">
        <f>VLOOKUP(A18,info_all!$A:$M,MATCH('General price list'!$W$17,info_all!$A$2:$M$2,0),FALSE)</f>
        <v>Objednávka bude vložena do našeho systému až po přijetí 100% platby na náš účet (pokud u nás nemá otevřený kredit, opravňující ho k odběru s odloženou splatností).</v>
      </c>
      <c r="C18" s="506"/>
      <c r="D18" s="19"/>
      <c r="E18" s="19"/>
    </row>
    <row r="19" spans="1:24">
      <c r="A19" s="6">
        <v>19</v>
      </c>
      <c r="B19" s="395" t="str">
        <f>VLOOKUP(A19,info_all!$A:$M,MATCH('General price list'!$W$17,info_all!$A$2:$M$2,0),FALSE)</f>
        <v>Zákazníkům, kteří nebudou postupovat při objednávce v souladu s výše napsaným a přijedou si pro zboží bez potvrzení našeho pracovníka, nebude zboží naloženo.</v>
      </c>
      <c r="C19" s="19"/>
      <c r="D19" s="19"/>
      <c r="E19" s="19"/>
    </row>
    <row r="20" spans="1:24" ht="20.25" customHeight="1">
      <c r="A20" s="6">
        <v>20</v>
      </c>
      <c r="B20" s="530" t="str">
        <f>VLOOKUP(A20,info_all!$A:$M,MATCH('General price list'!$W$17,info_all!$A$2:$M$2,0),FALSE)</f>
        <v>Odesláním objednávky zákazník zároveň potvrzuje, že se seznámil se všemi obchodními podmínkami, které jsou napsány na této stránce a souhlasí s nimi.</v>
      </c>
      <c r="C20" s="19"/>
      <c r="D20" s="19"/>
      <c r="E20" s="19"/>
    </row>
    <row r="21" spans="1:24" ht="20.25" customHeight="1">
      <c r="A21" s="6">
        <v>21</v>
      </c>
      <c r="B21" s="530" t="str">
        <f>VLOOKUP(A21,info_all!$A:$M,MATCH('General price list'!$W$17,info_all!$A$2:$M$2,0),FALSE)</f>
        <v>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v>
      </c>
      <c r="C21" s="19"/>
      <c r="D21" s="19"/>
      <c r="E21" s="19"/>
    </row>
    <row r="22" spans="1:24">
      <c r="A22" s="6">
        <v>22</v>
      </c>
      <c r="B22" s="395" t="str">
        <f>VLOOKUP(A22,info_all!$A:$M,MATCH('General price list'!$W$17,info_all!$A$2:$M$2,0),FALSE)</f>
        <v>Pokud si chcete nějaké zboží přiobjednat, tak musíte vytvořit novou objednávku v našem elektronickém ceníku a tuto zaslat opět emailem. Do této objednávky napište pouze zboží, které si chcete přiobjednat.</v>
      </c>
      <c r="C22" s="19"/>
      <c r="D22" s="19"/>
      <c r="E22" s="19"/>
    </row>
    <row r="23" spans="1:24">
      <c r="A23" s="6">
        <v>23</v>
      </c>
      <c r="B23" s="395" t="str">
        <f>VLOOKUP(A23,info_all!$A:$M,MATCH('General price list'!$W$17,info_all!$A$2:$M$2,0),FALSE)</f>
        <v>Nemůžeme zaručit, že doobjednané zboží bude zasláno společně s prvotně objednaným zbožím!</v>
      </c>
      <c r="C23" s="19"/>
      <c r="D23" s="19"/>
      <c r="E23" s="19"/>
    </row>
    <row r="24" spans="1:24">
      <c r="A24" s="6">
        <v>146</v>
      </c>
      <c r="B24" s="530" t="str">
        <f>VLOOKUP(A24,info_all!$A:$M,MATCH('General price list'!$W$17,info_all!$A$2:$M$2,0),FALSE)</f>
        <v>Každá objednávka, kterou zákazník posílá musí být plně v souladu s kapacitou automobilu, do kterého chce zákazník objednávku naložit tzn. každá objednávka bude naložena najednou.</v>
      </c>
      <c r="C24" s="19"/>
      <c r="D24" s="19"/>
      <c r="E24" s="19"/>
    </row>
    <row r="25" spans="1:24">
      <c r="A25" s="6">
        <v>147</v>
      </c>
      <c r="B25" s="530" t="str">
        <f>VLOOKUP(A25,info_all!$A:$M,MATCH('General price list'!$W$17,info_all!$A$2:$M$2,0),FALSE)</f>
        <v>Pokud automobil nebude mít kapacitu na to, aby si zákazník naložil celou svou objednávku a bude mu naložena pouze část objednaného zboží, budeme účtovat manipulační poplatek ve výši 10 000Kč.</v>
      </c>
      <c r="C25" s="19"/>
      <c r="D25" s="19"/>
      <c r="E25" s="19"/>
    </row>
    <row r="26" spans="1:24">
      <c r="A26" s="6">
        <v>148</v>
      </c>
      <c r="B26" s="530" t="str">
        <f>VLOOKUP(A26,info_all!$A:$M,MATCH('General price list'!$W$17,info_all!$A$2:$M$2,0),FALSE)</f>
        <v>Poplatek ve výši 10 000Kč bude  pokrývat veškeré způsobené škody na manipulaci, duplicitní práci na dokladech, skladné atd. a není důležité, zda se jedná o 1 karton nebo 100 kartonu. Dále za toto zboží bude účtováno skladné</v>
      </c>
      <c r="C26" s="19"/>
      <c r="D26" s="19"/>
      <c r="E26" s="19"/>
    </row>
    <row r="27" spans="1:24">
      <c r="A27" s="6">
        <v>24</v>
      </c>
      <c r="B27" s="395"/>
      <c r="C27" s="19"/>
      <c r="D27" s="19"/>
      <c r="E27" s="19"/>
      <c r="X27" s="19"/>
    </row>
    <row r="28" spans="1:24">
      <c r="A28" s="6">
        <v>25</v>
      </c>
      <c r="B28" s="399" t="str">
        <f>VLOOKUP(A28,info_all!$A:$M,MATCH('General price list'!$W$17,info_all!$A$2:$M$2,0),FALSE)</f>
        <v>Prodej po baleních</v>
      </c>
      <c r="C28" s="531" t="s">
        <v>13401</v>
      </c>
      <c r="D28" s="208"/>
      <c r="E28" s="19"/>
    </row>
    <row r="29" spans="1:24">
      <c r="A29" s="6">
        <v>26</v>
      </c>
      <c r="B29" s="395" t="str">
        <f>VLOOKUP(A29,info_all!$A:$M,MATCH('General price list'!$W$17,info_all!$A$2:$M$2,0),FALSE)</f>
        <v>Je možno objednávat z ceníku "Goods wich is only on shop.xlsx" po menším množství než exportní karton.</v>
      </c>
      <c r="C29" s="19"/>
      <c r="D29" s="19"/>
      <c r="E29" s="19"/>
    </row>
    <row r="30" spans="1:24">
      <c r="A30" s="6">
        <v>27</v>
      </c>
      <c r="B30" s="395" t="str">
        <f>VLOOKUP(A30,info_all!$A:$M,MATCH('General price list'!$W$17,info_all!$A$2:$M$2,0),FALSE)</f>
        <v>Pokud si chcete objednat zboží po kusech, musíte na toto zboží poslat samostatnou objednávku, která bude obsahovat pouze položky, které si chcete objednat po kusech (vždy musí být objednáno nejmenší prodejní balení).</v>
      </c>
      <c r="C30" s="19"/>
      <c r="D30" s="19"/>
      <c r="E30" s="19"/>
    </row>
    <row r="31" spans="1:24">
      <c r="A31" s="6">
        <v>28</v>
      </c>
      <c r="B31" s="395" t="str">
        <f>VLOOKUP(A31,info_all!$A:$M,MATCH('General price list'!$W$17,info_all!$A$2:$M$2,0),FALSE)</f>
        <v>Za objednané zboží po kusech bude účtován manipulační poplatek 20% k Vaší ceně tzn. od základní ceny se odečte Vaše sleva x 1,2 = cena zboží, které si objednáte po kusech.</v>
      </c>
      <c r="C31" s="19"/>
      <c r="D31" s="19"/>
      <c r="E31" s="19"/>
    </row>
    <row r="32" spans="1:24">
      <c r="A32" s="6">
        <v>29</v>
      </c>
      <c r="B32" s="580" t="str">
        <f>VLOOKUP(A32,info_all!$A:$M,MATCH('General price list'!$W$17,info_all!$A$2:$M$2,0),FALSE)</f>
        <v>V tomto ceníku se zobrazí pouze položky, které jsou skladem pouze na prodejně a současně již nejsou na hlavním skladu.</v>
      </c>
      <c r="C32" s="19"/>
      <c r="D32" s="19"/>
      <c r="E32" s="19"/>
    </row>
    <row r="33" spans="1:5">
      <c r="A33" s="6">
        <v>30</v>
      </c>
      <c r="B33" s="523" t="str">
        <f>VLOOKUP(A33,info_all!$A:$M,MATCH('General price list'!$W$17,info_all!$A$2:$M$2,0),FALSE)</f>
        <v>Příklady vyplnění objednávky v ceníku "Goods which is only on shop.xlsx":</v>
      </c>
      <c r="C33" s="19"/>
      <c r="D33" s="19"/>
      <c r="E33" s="19"/>
    </row>
    <row r="34" spans="1:5">
      <c r="A34" s="6">
        <v>31</v>
      </c>
      <c r="B34" s="395" t="str">
        <f>VLOOKUP(A34,info_all!$A:$M,MATCH('General price list'!$W$17,info_all!$A$2:$M$2,0),FALSE)</f>
        <v xml:space="preserve">chcete objednat 5 balení položky DP1R, která je balená 25/20/6 tak si objednáte 0,2 kartonu </v>
      </c>
      <c r="C34" s="19"/>
      <c r="D34" s="19"/>
      <c r="E34" s="19"/>
    </row>
    <row r="35" spans="1:5">
      <c r="A35" s="6">
        <v>32</v>
      </c>
      <c r="B35" s="395" t="str">
        <f>VLOOKUP(A35,info_all!$A:$M,MATCH('General price list'!$W$17,info_all!$A$2:$M$2,0),FALSE)</f>
        <v xml:space="preserve">chcete objednat 1 ks položky C1625B, která je balená 12/1 tak si objednáte 0,0833 kartonu </v>
      </c>
      <c r="C35" s="19"/>
      <c r="D35" s="19"/>
      <c r="E35" s="19"/>
    </row>
    <row r="36" spans="1:5">
      <c r="A36" s="6">
        <v>33</v>
      </c>
      <c r="B36" s="395"/>
      <c r="C36" s="19"/>
      <c r="D36" s="19"/>
      <c r="E36" s="19"/>
    </row>
    <row r="37" spans="1:5">
      <c r="A37" s="6">
        <v>34</v>
      </c>
      <c r="B37" s="395" t="str">
        <f>VLOOKUP(A37,info_all!$A:$M,MATCH('General price list'!$W$17,info_all!$A$2:$M$2,0),FALSE)</f>
        <v>Věříme, že tento krok rozšíří dostupnost našeho zboží i pro menší zákazníky, kteří si některé položky nemohou objednávat po celých exportních kartonech.</v>
      </c>
      <c r="C37" s="19"/>
      <c r="D37" s="19"/>
      <c r="E37" s="19"/>
    </row>
    <row r="38" spans="1:5">
      <c r="A38" s="6">
        <v>35</v>
      </c>
      <c r="B38" s="408"/>
      <c r="C38" s="19"/>
      <c r="D38" s="19"/>
      <c r="E38" s="19"/>
    </row>
    <row r="39" spans="1:5">
      <c r="A39" s="6">
        <v>36</v>
      </c>
      <c r="B39" s="399" t="str">
        <f>VLOOKUP(A39,info_all!$A:$M,MATCH('General price list'!$W$17,info_all!$A$2:$M$2,0),FALSE)</f>
        <v>Rezervace zboží</v>
      </c>
      <c r="C39" s="19"/>
      <c r="D39" s="19"/>
      <c r="E39" s="19"/>
    </row>
    <row r="40" spans="1:5">
      <c r="A40" s="6">
        <v>37</v>
      </c>
      <c r="B40" s="400"/>
      <c r="C40" s="19"/>
      <c r="D40" s="19"/>
      <c r="E40" s="19"/>
    </row>
    <row r="41" spans="1:5">
      <c r="A41" s="6">
        <v>38</v>
      </c>
      <c r="B41" s="400" t="str">
        <f>VLOOKUP(A41,info_all!$A:$M,MATCH('General price list'!$W$17,info_all!$A$2:$M$2,0),FALSE)</f>
        <v xml:space="preserve">Na základě četných žádostí zákazníků, jsme se rozhodli zprovoznit rezervační systém na našem skladu. Pro lepší představu uvedu systém, který hojně využívají naši zahraniční zákazníci. </v>
      </c>
      <c r="C41" s="19"/>
      <c r="D41" s="19"/>
      <c r="E41" s="19"/>
    </row>
    <row r="42" spans="1:5">
      <c r="A42" s="6">
        <v>39</v>
      </c>
      <c r="B42" s="400" t="str">
        <f>VLOOKUP(A42,info_all!$A:$M,MATCH('General price list'!$W$17,info_all!$A$2:$M$2,0),FALSE)</f>
        <v>Obchodníci, kteří mají své vlastní prodejny, si u nás objednávají zboží např. ihned v září poté, co vyjde ceník s tím, že zboží chtějí doručit až například 15. prosince.</v>
      </c>
      <c r="C42" s="19"/>
      <c r="D42" s="19"/>
      <c r="E42" s="19"/>
    </row>
    <row r="43" spans="1:5">
      <c r="A43" s="6">
        <v>40</v>
      </c>
      <c r="B43" s="400" t="str">
        <f>VLOOKUP(A43,info_all!$A:$M,MATCH('General price list'!$W$17,info_all!$A$2:$M$2,0),FALSE)</f>
        <v>Tímto mají zaručeno, že dostanou všechno, co chtějí a nemusí zboží nikde skladovat, nebo se strachovat zda se náhodou položka, s kterou počítají např. do letáku - nevyprodá. V dohodnutý den, poté zákazník dostane zboží, které si objednal…</v>
      </c>
      <c r="C43" s="19"/>
      <c r="D43" s="19"/>
      <c r="E43" s="19"/>
    </row>
    <row r="44" spans="1:5">
      <c r="A44" s="6">
        <v>41</v>
      </c>
      <c r="B44" s="400"/>
      <c r="C44" s="19"/>
      <c r="D44" s="19"/>
      <c r="E44" s="19"/>
    </row>
    <row r="45" spans="1:5">
      <c r="A45" s="6">
        <v>42</v>
      </c>
      <c r="B45" s="436" t="str">
        <f>VLOOKUP(A45,info_all!$A:$M,MATCH('General price list'!$W$17,info_all!$A$2:$M$2,0),FALSE)</f>
        <v>Níže jsou pravidla, za kterých je možno si zboží na našem skladu rezervovat:</v>
      </c>
      <c r="C45" s="19"/>
      <c r="D45" s="19"/>
      <c r="E45" s="19"/>
    </row>
    <row r="46" spans="1:5">
      <c r="A46" s="6">
        <v>43</v>
      </c>
      <c r="B46" s="400" t="str">
        <f>VLOOKUP(A46,info_all!$A:$M,MATCH('General price list'!$W$17,info_all!$A$2:$M$2,0),FALSE)</f>
        <v>Postup při rezervaci zboží, které je skladem:</v>
      </c>
      <c r="C46" s="19"/>
      <c r="D46" s="19"/>
      <c r="E46" s="19"/>
    </row>
    <row r="47" spans="1:5">
      <c r="A47" s="6">
        <v>44</v>
      </c>
      <c r="B47" s="400" t="str">
        <f>VLOOKUP(A47,info_all!$A:$M,MATCH('General price list'!$W$17,info_all!$A$2:$M$2,0),FALSE)</f>
        <v>○        zákazník pošle objednávku pouze na zboží, které chce rezervovat (lze rezervovat jen zboží, které je aktuálně skladem)</v>
      </c>
      <c r="C47" s="19"/>
      <c r="D47" s="19"/>
      <c r="E47" s="19"/>
    </row>
    <row r="48" spans="1:5">
      <c r="A48" s="6">
        <v>45</v>
      </c>
      <c r="B48" s="400" t="str">
        <f>VLOOKUP(A48,info_all!$A:$M,MATCH('General price list'!$W$17,info_all!$A$2:$M$2,0),FALSE)</f>
        <v>○        na objednané zboží, bude vystavena zálohová faktura na 100% hodnoty rezervovaného zboží a až po zaplacení této zálohy na náš účet, bude zboží rezervováno (pokud u nás zákazník nemá otevřený kredit).</v>
      </c>
      <c r="C48" s="19"/>
      <c r="D48" s="19"/>
      <c r="E48" s="19"/>
    </row>
    <row r="49" spans="1:6">
      <c r="A49" s="6">
        <v>46</v>
      </c>
      <c r="B49" s="435" t="str">
        <f>VLOOKUP(A49,info_all!$A:$M,MATCH('General price list'!$W$17,info_all!$A$2:$M$2,0),FALSE)</f>
        <v>○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v>
      </c>
      <c r="C49" s="19"/>
      <c r="D49" s="19"/>
      <c r="E49" s="19"/>
    </row>
    <row r="50" spans="1:6">
      <c r="A50" s="6">
        <v>47</v>
      </c>
      <c r="B50" s="400" t="str">
        <f>VLOOKUP(A50,info_all!$A:$M,MATCH('General price list'!$W$17,info_all!$A$2:$M$2,0),FALSE)</f>
        <v>○        zboží bude uskladněno v našem skladu od data nachystání do požadované expedice, za poplatek 9 Kč / 1 euro paleta / 1 den</v>
      </c>
      <c r="C50" s="19"/>
      <c r="D50" s="19"/>
      <c r="E50" s="19"/>
    </row>
    <row r="51" spans="1:6">
      <c r="A51" s="6">
        <v>48</v>
      </c>
      <c r="B51" s="400" t="str">
        <f>VLOOKUP(A51,info_all!$A:$M,MATCH('General price list'!$W$17,info_all!$A$2:$M$2,0),FALSE)</f>
        <v>○        v den expedice bude spočteno, kolik dní byla paleta skladována a částka za skladné, bude přičtena na konečnou fakturu za zboží</v>
      </c>
      <c r="C51" s="19"/>
      <c r="D51" s="19"/>
      <c r="E51" s="19"/>
    </row>
    <row r="52" spans="1:6">
      <c r="A52" s="6">
        <v>49</v>
      </c>
      <c r="B52" s="436" t="str">
        <f>VLOOKUP(A52,info_all!$A:$M,MATCH('General price list'!$W$17,info_all!$A$2:$M$2,0),FALSE)</f>
        <v>Pravidla:</v>
      </c>
      <c r="C52" s="19"/>
      <c r="D52" s="19"/>
      <c r="E52" s="19"/>
    </row>
    <row r="53" spans="1:6">
      <c r="A53" s="6">
        <v>50</v>
      </c>
      <c r="B53" s="400" t="str">
        <f>VLOOKUP(A53,info_all!$A:$M,MATCH('General price list'!$W$17,info_all!$A$2:$M$2,0),FALSE)</f>
        <v>○        nelze měnit rezervaci! Pokud zákazník neodebere celé objednané zboží, tak storno poplatek je 50% z hodnoty zboží, které si zákazník objednal, ale neodebral.</v>
      </c>
      <c r="C53" s="19"/>
      <c r="D53" s="19"/>
      <c r="E53" s="19"/>
    </row>
    <row r="54" spans="1:6">
      <c r="A54" s="6">
        <v>51</v>
      </c>
      <c r="B54" s="400" t="str">
        <f>VLOOKUP(A54,info_all!$A:$M,MATCH('General price list'!$W$17,info_all!$A$2:$M$2,0),FALSE)</f>
        <v>○        každá rezervace musí být expedována vcelku (nelze si vzít jen část rezervovaného zboží) tzn. veškeré rezervované euro palety, budou odebrány najednou</v>
      </c>
      <c r="C54" s="19"/>
      <c r="D54" s="19"/>
      <c r="E54" s="19"/>
    </row>
    <row r="55" spans="1:6">
      <c r="A55" s="6">
        <v>52</v>
      </c>
      <c r="B55" s="400" t="str">
        <f>VLOOKUP(A55,info_all!$A:$M,MATCH('General price list'!$W$17,info_all!$A$2:$M$2,0),FALSE)</f>
        <v>○        rezervované zboží bude expedováno pouze na paletách</v>
      </c>
      <c r="C55" s="19"/>
      <c r="D55" s="19"/>
      <c r="E55" s="19"/>
    </row>
    <row r="56" spans="1:6">
      <c r="A56" s="6">
        <v>53</v>
      </c>
      <c r="B56" s="436" t="str">
        <f>VLOOKUP(A56,info_all!$A:$M,MATCH('General price list'!$W$17,info_all!$A$2:$M$2,0),FALSE)</f>
        <v>Postup při rezervaci zboží, které není skladem:</v>
      </c>
      <c r="C56" s="19"/>
      <c r="D56" s="19"/>
      <c r="E56" s="531" t="s">
        <v>13012</v>
      </c>
    </row>
    <row r="57" spans="1:6">
      <c r="A57" s="6">
        <v>54</v>
      </c>
      <c r="B57" s="400" t="str">
        <f>VLOOKUP(A57,info_all!$A:$M,MATCH('General price list'!$W$17,info_all!$A$2:$M$2,0),FALSE)</f>
        <v xml:space="preserve">○        je možné rezervovat také zboží, které je teprve na cestě(není skladem) </v>
      </c>
      <c r="C57" s="19"/>
      <c r="D57" s="19"/>
      <c r="E57" s="19"/>
    </row>
    <row r="58" spans="1:6">
      <c r="A58" s="6">
        <v>55</v>
      </c>
      <c r="B58" s="436" t="str">
        <f>VLOOKUP(A58,info_all!$A:$M,MATCH('General price list'!$W$17,info_all!$A$2:$M$2,0),FALSE)</f>
        <v>○        je možné rezervovat jen takové zboží, které přijde do 20dní na sklad - Celá nabídka těchto položek je v ceníku "Reservation form"</v>
      </c>
      <c r="C58" s="19"/>
      <c r="D58" s="19"/>
      <c r="E58" s="19"/>
    </row>
    <row r="59" spans="1:6">
      <c r="A59" s="6">
        <v>56</v>
      </c>
      <c r="B59" s="400" t="str">
        <f>VLOOKUP(A59,info_all!$A:$M,MATCH('General price list'!$W$17,info_all!$A$2:$M$2,0),FALSE)</f>
        <v>○        není možné rezervovat žádné jiné zboží než to, co je v záložce Reservation</v>
      </c>
      <c r="C59" s="19"/>
      <c r="D59" s="19"/>
      <c r="E59" s="19"/>
    </row>
    <row r="60" spans="1:6" ht="13.9" customHeight="1">
      <c r="A60" s="6">
        <v>57</v>
      </c>
      <c r="B60" s="400" t="str">
        <f>VLOOKUP(A60,info_all!$A:$M,MATCH('General price list'!$W$17,info_all!$A$2:$M$2,0),FALSE)</f>
        <v>○        v rámci jedné rezervace, je možné rezervovat  pouze zboží se stejným dnem doručení na náš sklad</v>
      </c>
      <c r="C60" s="19"/>
      <c r="D60" s="19"/>
      <c r="E60" s="19"/>
      <c r="F60" s="24"/>
    </row>
    <row r="61" spans="1:6">
      <c r="A61" s="6">
        <v>58</v>
      </c>
      <c r="B61" s="436" t="str">
        <f>VLOOKUP(A61,info_all!$A:$M,MATCH('General price list'!$W$17,info_all!$A$2:$M$2,0),FALSE)</f>
        <v>○        pro rezervace platí ceny, které jsou uvedeny v záložce Reservation a upozorňujeme, že tyto ceny jsou o 8% vyšší než naše standartní ceny</v>
      </c>
      <c r="C61" s="19"/>
      <c r="D61" s="25"/>
      <c r="E61" s="19"/>
    </row>
    <row r="62" spans="1:6">
      <c r="A62" s="6">
        <v>145</v>
      </c>
      <c r="B62" s="400" t="str">
        <f>VLOOKUP(A62,info_all!$A:$M,MATCH('General price list'!$W$17,info_all!$A$2:$M$2,0),FALSE)</f>
        <v>○        Pokud zákazník doručí paletu osobně zpět, bude mu vystaven dobropis na tyto palety ve stejné ceně, za kterou mu byly palety fakturovány (350Kč).</v>
      </c>
      <c r="C62" s="19"/>
      <c r="D62" s="25"/>
      <c r="E62" s="19"/>
    </row>
    <row r="63" spans="1:6">
      <c r="A63" s="6">
        <v>59</v>
      </c>
      <c r="B63" s="400" t="str">
        <f>VLOOKUP(A63,info_all!$A:$M,MATCH('General price list'!$W$17,info_all!$A$2:$M$2,0),FALSE)</f>
        <v xml:space="preserve">○        po přijetí rezervace bude vystavena zálohová faktura na 100% hodnotu zboží se splatností 1 den (pokud u nás nemá zákazník otevřený kredit, opravňující ho k odběru s odloženou splatností). </v>
      </c>
      <c r="C63" s="19"/>
      <c r="D63" s="25"/>
      <c r="E63" s="19"/>
    </row>
    <row r="64" spans="1:6">
      <c r="A64" s="6">
        <v>60</v>
      </c>
      <c r="B64" s="400" t="str">
        <f>VLOOKUP(A64,info_all!$A:$M,MATCH('General price list'!$W$17,info_all!$A$2:$M$2,0),FALSE)</f>
        <v>○        rezervované zboží bude opravdu zarezervováno až po zaslání potvrzení platby zákazníkem.</v>
      </c>
      <c r="C64" s="19"/>
      <c r="D64" s="25"/>
      <c r="E64" s="25"/>
      <c r="F64" s="377"/>
    </row>
    <row r="65" spans="1:6">
      <c r="A65" s="6">
        <v>61</v>
      </c>
      <c r="B65" s="400"/>
      <c r="C65" s="19"/>
      <c r="D65" s="25"/>
      <c r="E65" s="378"/>
      <c r="F65" s="379"/>
    </row>
    <row r="66" spans="1:6">
      <c r="A66" s="6">
        <v>62</v>
      </c>
      <c r="B66" s="399" t="str">
        <f>VLOOKUP(A66,info_all!$A:$M,MATCH('General price list'!$W$17,info_all!$A$2:$M$2,0),FALSE)</f>
        <v>Palety</v>
      </c>
      <c r="C66" s="19"/>
      <c r="D66" s="19"/>
      <c r="E66" s="19"/>
    </row>
    <row r="67" spans="1:6">
      <c r="A67" s="6">
        <v>63</v>
      </c>
      <c r="B67" s="401" t="str">
        <f>VLOOKUP(A67,info_all!$A:$M,MATCH('General price list'!$W$17,info_all!$A$2:$M$2,0),FALSE)</f>
        <v>○        Pokud je zboží posláno zákazníkovi na paletě, tak tyto palety jsou součástí faktury za zboží. (350 Kč)</v>
      </c>
      <c r="C67" s="19"/>
      <c r="D67" s="19"/>
      <c r="E67" s="19"/>
    </row>
    <row r="68" spans="1:6">
      <c r="A68" s="6">
        <v>64</v>
      </c>
      <c r="B68" s="401" t="str">
        <f>VLOOKUP(A68,info_all!$A:$M,MATCH('General price list'!$W$17,info_all!$A$2:$M$2,0),FALSE)</f>
        <v>○        Výška jedné palety nebude vyšší než 180cm. Pokud chce zákazník maximálně využít dopravního prostředku, tak si musí objednat zboží na volno.</v>
      </c>
      <c r="C68" s="19"/>
      <c r="D68" s="19"/>
      <c r="E68" s="19"/>
    </row>
    <row r="69" spans="1:6">
      <c r="A69" s="6">
        <v>65</v>
      </c>
      <c r="B69" s="401" t="str">
        <f>VLOOKUP(A69,info_all!$A:$M,MATCH('General price list'!$W$17,info_all!$A$2:$M$2,0),FALSE)</f>
        <v>○        Pokud si zákazník nechá zabalit zboží na palety, je povinen si zboží na paletě vyzvednout ze skladu, není možné požadovat naloženi na volno, když je zboží na paletách.</v>
      </c>
      <c r="C69" s="19"/>
      <c r="D69" s="19"/>
      <c r="E69" s="19"/>
    </row>
    <row r="70" spans="1:6">
      <c r="A70" s="6">
        <v>66</v>
      </c>
      <c r="B70" s="401" t="str">
        <f>VLOOKUP(A70,info_all!$A:$M,MATCH('General price list'!$W$17,info_all!$A$2:$M$2,0),FALSE)</f>
        <v>○        Pokud zákazník doručí paletu osobně zpět, bude mu vystaven dobropis na tyto palety ve stejné ceně, za kterou mu byly palety fakturovány.</v>
      </c>
      <c r="C70" s="19"/>
      <c r="D70" s="19"/>
      <c r="E70" s="19"/>
    </row>
    <row r="71" spans="1:6">
      <c r="A71" s="6">
        <v>67</v>
      </c>
      <c r="B71" s="401" t="str">
        <f>VLOOKUP(A71,info_all!$A:$M,MATCH('General price list'!$W$17,info_all!$A$2:$M$2,0),FALSE)</f>
        <v>○        Zákazník může palety zaslat zpět také spediční službou(na vlastní náklady) a dobropis mu bude vystaven po doručení palet na náš sklad.</v>
      </c>
      <c r="C71" s="19"/>
      <c r="D71" s="25"/>
      <c r="E71" s="21"/>
      <c r="F71" s="7"/>
    </row>
    <row r="72" spans="1:6">
      <c r="A72" s="6">
        <v>68</v>
      </c>
      <c r="B72" s="401" t="str">
        <f>VLOOKUP(A72,info_all!$A:$M,MATCH('General price list'!$W$17,info_all!$A$2:$M$2,0),FALSE)</f>
        <v>○        Není možné palety posílat zpět po řídiči/spediční službě, která zboží dovezla!</v>
      </c>
      <c r="C72" s="19"/>
      <c r="D72" s="19"/>
      <c r="E72" s="19"/>
    </row>
    <row r="73" spans="1:6">
      <c r="A73" s="6">
        <v>69</v>
      </c>
      <c r="B73" s="401"/>
      <c r="C73" s="19"/>
      <c r="D73" s="19"/>
      <c r="E73" s="19"/>
    </row>
    <row r="74" spans="1:6">
      <c r="A74" s="6">
        <v>70</v>
      </c>
      <c r="B74" s="399" t="str">
        <f>VLOOKUP(A74,info_all!$A:$M,MATCH('General price list'!$W$17,info_all!$A$2:$M$2,0),FALSE)</f>
        <v>Cena dopravy</v>
      </c>
      <c r="C74" s="19"/>
      <c r="D74" s="19"/>
      <c r="E74" s="19"/>
    </row>
    <row r="75" spans="1:6">
      <c r="A75" s="6">
        <v>71</v>
      </c>
      <c r="B75" s="401" t="str">
        <f>VLOOKUP(A75,info_all!$A:$M,MATCH('General price list'!$W$17,info_all!$A$2:$M$2,0),FALSE)</f>
        <v>U paletových přeprav je cena pro dopravu v České republice cca 2000Kč/ paleta  a bude vždy vybrána nejlevnější možnost, která bude dostupná na trhu.</v>
      </c>
      <c r="C75" s="19"/>
      <c r="D75" s="19"/>
      <c r="E75" s="19"/>
    </row>
    <row r="76" spans="1:6">
      <c r="A76" s="6">
        <v>72</v>
      </c>
      <c r="B76" s="591" t="str">
        <f>VLOOKUP(A76,info_all!$A:$M,MATCH('General price list'!$W$17,info_all!$A$2:$M$2,0),FALSE)</f>
        <v>Pokud zákazník, chce dopravu zařídit od nás, nemůžeme čekat na potvrzení ceny od zákazníka a automaticky volíme nejlevnější možnost a zboží posíláme.</v>
      </c>
      <c r="C76" s="19"/>
      <c r="D76" s="19"/>
      <c r="E76" s="19"/>
    </row>
    <row r="77" spans="1:6">
      <c r="A77" s="6">
        <v>78</v>
      </c>
      <c r="B77" s="402" t="str">
        <f>VLOOKUP(A77,info_all!$A:$M,MATCH('General price list'!$W$17,info_all!$A$2:$M$2,0),FALSE)</f>
        <v>Při zaslání zboží našim ADR vozidlem(nosnost 1.450Kg), účtujeme dopravné 18kč/km za cestu tam i zpět.</v>
      </c>
      <c r="C77" s="26"/>
      <c r="D77" s="26"/>
      <c r="E77" s="26"/>
      <c r="F77" s="26"/>
    </row>
    <row r="78" spans="1:6">
      <c r="A78" s="6">
        <v>79</v>
      </c>
      <c r="B78" s="402" t="str">
        <f>VLOOKUP(A78,info_all!$A:$M,MATCH('General price list'!$W$17,info_all!$A$2:$M$2,0),FALSE)</f>
        <v>Při zaslání zboží ADR kamionem(nosnost 24 000Kg) může zákazník bezplatně vykládat zboží na jednom místě, max 4h. Při delší vykládce bude účtovaná sazba 800Kč/hodina čekání, při přejezdu na jiný sklad bude účtováno 100Kč/km.</v>
      </c>
      <c r="C78" s="26"/>
      <c r="D78" s="26"/>
      <c r="E78" s="26"/>
      <c r="F78" s="26"/>
    </row>
    <row r="79" spans="1:6">
      <c r="A79" s="6">
        <v>80</v>
      </c>
      <c r="B79" s="402"/>
      <c r="C79" s="26"/>
      <c r="D79" s="26"/>
      <c r="E79" s="26"/>
      <c r="F79" s="26"/>
    </row>
    <row r="80" spans="1:6">
      <c r="A80" s="6">
        <v>81</v>
      </c>
      <c r="B80" s="399" t="str">
        <f>VLOOKUP(A80,info_all!$A:$M,MATCH('General price list'!$W$17,info_all!$A$2:$M$2,0),FALSE)</f>
        <v>Reklamace</v>
      </c>
      <c r="C80" s="26"/>
      <c r="D80" s="26"/>
      <c r="E80" s="26"/>
      <c r="F80" s="26"/>
    </row>
    <row r="81" spans="1:6">
      <c r="A81" s="6">
        <v>82</v>
      </c>
      <c r="B81" s="437" t="str">
        <f>VLOOKUP(A81,info_all!$A:$M,MATCH('General price list'!$W$17,info_all!$A$2:$M$2,0),FALSE)</f>
        <v>Zasíláme Vám postup při řešení reklamace nevystřílených kompaktů. Těmto reklamacím se bohužel i přes kontrolu kvality nedá v rámci velkého objemu zabránit.</v>
      </c>
      <c r="C81" s="26"/>
      <c r="D81" s="26"/>
      <c r="E81" s="26"/>
      <c r="F81" s="26"/>
    </row>
    <row r="82" spans="1:6">
      <c r="A82" s="6">
        <v>83</v>
      </c>
      <c r="B82" s="402" t="str">
        <f>VLOOKUP(A82,info_all!$A:$M,MATCH('General price list'!$W$17,info_all!$A$2:$M$2,0),FALSE)</f>
        <v>Pokud je vystříleno méně než 30% výrobku tak zákazníkovi výrobek vyměníme za nový kus, nevystřílený kus nám dovezte a bude Vám vyměněn.</v>
      </c>
      <c r="C82" s="26"/>
      <c r="D82" s="26"/>
      <c r="E82" s="26"/>
      <c r="F82" s="26"/>
    </row>
    <row r="83" spans="1:6">
      <c r="A83" s="6">
        <v>84</v>
      </c>
      <c r="B83" s="402" t="str">
        <f>VLOOKUP(A83,info_all!$A:$M,MATCH('General price list'!$W$17,info_all!$A$2:$M$2,0),FALSE)</f>
        <v>Pokud je vystřílelo 30-50% výrobku tak zákazníkovi vyměníme tento za nový kus s doplatkem 30-50% z pořizovací ceny podle toho kolik ran zákazníkovi vystřílelo, nevystřílený kus nám dovezte a bude Vám vyměněn s doplatkem 30-50% z Vaši ceny.</v>
      </c>
      <c r="C83" s="26"/>
      <c r="D83" s="26"/>
      <c r="E83" s="26"/>
      <c r="F83" s="26"/>
    </row>
    <row r="84" spans="1:6">
      <c r="A84" s="6">
        <v>85</v>
      </c>
      <c r="B84" s="402" t="str">
        <f>VLOOKUP(A84,info_all!$A:$M,MATCH('General price list'!$W$17,info_all!$A$2:$M$2,0),FALSE)</f>
        <v>Pokud vystřílelo 50-80% výrobku tak zákazníkovi vyměníme tento za nový kus s doplatkem 50-80% z pořizovací ceny podle toho kolik ran zákazníkovi vystřílelo, nevystřílený kus nám dovezte a bude Vám vyměněn s doplatkem 50-80% z ceny</v>
      </c>
      <c r="C84" s="19"/>
      <c r="D84" s="19"/>
      <c r="E84" s="19"/>
    </row>
    <row r="85" spans="1:6">
      <c r="A85" s="6">
        <v>86</v>
      </c>
      <c r="B85" s="402" t="str">
        <f>VLOOKUP(A85,info_all!$A:$M,MATCH('General price list'!$W$17,info_all!$A$2:$M$2,0),FALSE)</f>
        <v>Chceme tímto vnést pořádek to řešení reklamací, kdy se nám stává, že zákazník například donese 100 ran kompakt, z kterého je 90 ran vystřílených a chce nový kus.</v>
      </c>
      <c r="C85" s="19"/>
      <c r="D85" s="19"/>
      <c r="E85" s="19"/>
    </row>
    <row r="86" spans="1:6">
      <c r="A86" s="6">
        <v>87</v>
      </c>
      <c r="B86" s="402" t="str">
        <f>VLOOKUP(A86,info_all!$A:$M,MATCH('General price list'!$W$17,info_all!$A$2:$M$2,0),FALSE)</f>
        <v>Reklamaci uznáváme po dobu 12 měsíců od zakoupení výrobku. A pouze, pokud byly zapáleny obě zápalnice.</v>
      </c>
      <c r="C86" s="19"/>
      <c r="D86" s="19"/>
      <c r="E86" s="19"/>
    </row>
    <row r="87" spans="1:6">
      <c r="A87" s="6">
        <v>88</v>
      </c>
      <c r="B87" s="446" t="str">
        <f>VLOOKUP(A87,info_all!$A:$M,MATCH('General price list'!$W$17,info_all!$A$2:$M$2,0),FALSE)</f>
        <v>Konické vulkány(F100, F250, F500, F1000, F1500) nelze reklamovat ani vracet v rámci vratek po sezoně - důvody popsány v emailu 28.1.2019.</v>
      </c>
      <c r="C87" s="19"/>
      <c r="D87" s="19"/>
      <c r="E87" s="19"/>
    </row>
    <row r="88" spans="1:6">
      <c r="A88" s="6">
        <v>89</v>
      </c>
      <c r="B88" s="398" t="str">
        <f>VLOOKUP(A88,info_all!$A:$M,MATCH('General price list'!$W$17,info_all!$A$2:$M$2,0),FALSE)</f>
        <v>Není možné reklamovat poškozené exportní kartony u složených ohňostrojů. Barevný exportní karton nemá na funkci výrobku vliv a slouží jen pro ochranu výrobku během přepravy</v>
      </c>
      <c r="C88" s="19"/>
      <c r="D88" s="19"/>
      <c r="E88" s="19"/>
    </row>
    <row r="89" spans="1:6">
      <c r="A89" s="6">
        <v>90</v>
      </c>
      <c r="B89" s="398" t="str">
        <f>VLOOKUP(A89,info_all!$A:$M,MATCH('General price list'!$W$17,info_all!$A$2:$M$2,0),FALSE)</f>
        <v>Zákazník, který chce mít pouze bezvadné kartony tak si musí zakoupit výrobky, které jsou baleny v ochraném kartonu. Kód výrobku končí (T), popř. si při odběru z našeho skladu zařídit přebrání zboží u nás. Na pozdější reklamace nebude brát zřetel.</v>
      </c>
      <c r="C89" s="19"/>
      <c r="D89" s="19"/>
      <c r="E89" s="19"/>
    </row>
    <row r="90" spans="1:6">
      <c r="A90" s="6">
        <v>91</v>
      </c>
      <c r="B90" s="398" t="str">
        <f>VLOOKUP(A90,info_all!$A:$M,MATCH('General price list'!$W$17,info_all!$A$2:$M$2,0),FALSE)</f>
        <v>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v>
      </c>
      <c r="C90" s="19"/>
      <c r="D90" s="19"/>
      <c r="E90" s="19"/>
    </row>
    <row r="91" spans="1:6">
      <c r="A91" s="6">
        <v>92</v>
      </c>
      <c r="B91" s="398" t="str">
        <f>VLOOKUP(A91,info_all!$A:$M,MATCH('General price list'!$W$17,info_all!$A$2:$M$2,0),FALSE)</f>
        <v xml:space="preserve">Pokud dojde k totální explozi baterie nebo složeného ohňostroje, bude reklamace uznána pouze po předložení detailní fotodokumentace ihned po incidentu, ze které bude patrné, co se s výrobkem stalo. </v>
      </c>
      <c r="C91" s="19"/>
      <c r="D91" s="19"/>
      <c r="E91" s="19"/>
    </row>
    <row r="92" spans="1:6">
      <c r="A92" s="6">
        <v>93</v>
      </c>
      <c r="B92" s="398" t="str">
        <f>VLOOKUP(A92,info_all!$A:$M,MATCH('General price list'!$W$17,info_all!$A$2:$M$2,0),FALSE)</f>
        <v>Nebude uznáno video, na kterém je vidět pouze selhání výrobku během střelby, kdy nelze identifikovat, o který výrobek se jedná!</v>
      </c>
      <c r="C92" s="19"/>
      <c r="D92" s="19"/>
      <c r="E92" s="19"/>
    </row>
    <row r="93" spans="1:6">
      <c r="A93" s="6">
        <v>94</v>
      </c>
      <c r="B93" s="398" t="str">
        <f>VLOOKUP(A93,info_all!$A:$M,MATCH('General price list'!$W$17,info_all!$A$2:$M$2,0),FALSE)</f>
        <v>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v>
      </c>
      <c r="C93" s="19"/>
      <c r="D93" s="19"/>
      <c r="E93" s="19"/>
    </row>
    <row r="94" spans="1:6">
      <c r="A94" s="6">
        <v>95</v>
      </c>
      <c r="B94" s="398" t="str">
        <f>VLOOKUP(A94,info_all!$A:$M,MATCH('General price list'!$W$17,info_all!$A$2:$M$2,0),FALSE)</f>
        <v>Pokud zákazník chce reklamovat dodané množství zboží, musí tak učinit během vykládky zboží a musí o tom učinit záznam do přepravního listu CMR. Na pozdější reklamace nebude brán zřetel.</v>
      </c>
      <c r="C94" s="19"/>
      <c r="D94" s="19"/>
      <c r="E94" s="19"/>
    </row>
    <row r="95" spans="1:6">
      <c r="A95" s="6">
        <v>96</v>
      </c>
      <c r="B95" s="395"/>
      <c r="C95" s="19"/>
      <c r="D95" s="593"/>
      <c r="E95" s="19"/>
      <c r="F95" s="24"/>
    </row>
    <row r="96" spans="1:6">
      <c r="A96" s="6">
        <v>97</v>
      </c>
      <c r="B96" s="399" t="str">
        <f>VLOOKUP(A96,info_all!$A:$M,MATCH('General price list'!$W$17,info_all!$A$2:$M$2,0),FALSE)</f>
        <v xml:space="preserve">Návod k použití elektronického ceníku </v>
      </c>
      <c r="C96" s="19"/>
      <c r="D96" s="19"/>
      <c r="E96" s="19"/>
      <c r="F96" s="24"/>
    </row>
    <row r="97" spans="1:6">
      <c r="A97" s="6">
        <v>98</v>
      </c>
      <c r="B97" s="403"/>
      <c r="C97" s="19"/>
      <c r="D97" s="19"/>
      <c r="E97" s="19"/>
      <c r="F97" s="24"/>
    </row>
    <row r="98" spans="1:6">
      <c r="A98" s="6">
        <v>99</v>
      </c>
      <c r="B98" s="403" t="str">
        <f>VLOOKUP(A98,info_all!$A:$M,MATCH('General price list'!$W$17,info_all!$A$2:$M$2,0),FALSE)</f>
        <v>Novinkou je systém výpočtu slevy. Pokud jste nový zákazník, tak Vám ceník sám vypočte Vaši slevu na základě výše Vašeho odběru(pro stávající zákazníky platí přidělené slevy, které si zákazníci napíší do buňky D19).</v>
      </c>
      <c r="C98" s="19"/>
      <c r="E98" s="19"/>
      <c r="F98" s="24"/>
    </row>
    <row r="99" spans="1:6">
      <c r="A99" s="6">
        <v>100</v>
      </c>
      <c r="B99" s="403"/>
      <c r="C99" s="19"/>
      <c r="D99" s="19"/>
    </row>
    <row r="100" spans="1:6">
      <c r="A100" s="6">
        <v>101</v>
      </c>
      <c r="B100" s="398" t="str">
        <f>VLOOKUP(A100,info_all!$A:$M,MATCH('General price list'!$W$17,info_all!$A$2:$M$2,0),FALSE)</f>
        <v>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v>
      </c>
      <c r="C100" s="19"/>
      <c r="E100" s="19"/>
      <c r="F100" s="24"/>
    </row>
    <row r="101" spans="1:6">
      <c r="A101" s="6">
        <v>102</v>
      </c>
      <c r="C101" s="19"/>
      <c r="D101" s="19"/>
      <c r="E101" s="19"/>
      <c r="F101" s="24"/>
    </row>
    <row r="102" spans="1:6">
      <c r="A102" s="6">
        <v>103</v>
      </c>
      <c r="B102" s="403" t="str">
        <f>VLOOKUP(A102,info_all!$A:$M,MATCH('General price list'!$W$17,info_all!$A$2:$M$2,0),FALSE)</f>
        <v>Oranžové řádky označují novinky pro rok 2024.</v>
      </c>
      <c r="C102" s="19"/>
      <c r="D102" s="19"/>
      <c r="E102" s="525"/>
      <c r="F102" s="24"/>
    </row>
    <row r="103" spans="1:6">
      <c r="A103" s="6">
        <v>104</v>
      </c>
      <c r="B103" s="403" t="str">
        <f>VLOOKUP(A103,info_all!$A:$M,MATCH('General price list'!$W$17,info_all!$A$2:$M$2,0),FALSE)</f>
        <v>Nejprodávanější výrobky jsou označeny ve sloupci A takto:</v>
      </c>
      <c r="C103" s="19"/>
      <c r="D103" s="19"/>
      <c r="E103" s="526"/>
      <c r="F103" s="24"/>
    </row>
    <row r="104" spans="1:6">
      <c r="A104" s="6">
        <v>105</v>
      </c>
      <c r="B104" s="403" t="str">
        <f>VLOOKUP(A104,info_all!$A:$M,MATCH('General price list'!$W$17,info_all!$A$2:$M$2,0),FALSE)</f>
        <v>Akční ceny jsou označeny takto:</v>
      </c>
      <c r="C104" s="19"/>
      <c r="D104" s="19"/>
      <c r="E104" s="524">
        <v>100</v>
      </c>
      <c r="F104" s="24"/>
    </row>
    <row r="105" spans="1:6">
      <c r="A105" s="6">
        <v>106</v>
      </c>
      <c r="B105" s="438"/>
      <c r="C105" s="19"/>
      <c r="D105" s="19"/>
      <c r="E105" s="19"/>
      <c r="F105" s="24"/>
    </row>
    <row r="106" spans="1:6">
      <c r="A106" s="6">
        <v>107</v>
      </c>
      <c r="B106" s="403" t="str">
        <f>VLOOKUP(A106,info_all!$A:$M,MATCH('General price list'!$W$17,info_all!$A$2:$M$2,0),FALSE)</f>
        <v>Pokud není položka, kterou chcete, skladem je možné si pomoci filtru vyhledat ve sloupci AC podobné položky, kdy všechny podobné položky jsou označeny stejným číslem.</v>
      </c>
      <c r="C106" s="19"/>
      <c r="D106" s="19"/>
      <c r="E106" s="19"/>
      <c r="F106" s="24"/>
    </row>
    <row r="107" spans="1:6">
      <c r="A107" s="6">
        <v>108</v>
      </c>
      <c r="B107" s="403"/>
      <c r="C107" s="19"/>
      <c r="D107" s="19"/>
      <c r="E107" s="19"/>
      <c r="F107" s="24"/>
    </row>
    <row r="108" spans="1:6">
      <c r="A108" s="6">
        <v>109</v>
      </c>
      <c r="B108" s="404" t="str">
        <f>VLOOKUP(A108,info_all!$A:$M,MATCH('General price list'!$W$17,info_all!$A$2:$M$2,0),FALSE)</f>
        <v>Ve sloupci F jsou ceny před slevou v CZK bez DPH platné od 1.1.2024.</v>
      </c>
      <c r="C108" s="19"/>
      <c r="D108" s="19"/>
      <c r="E108" s="19"/>
      <c r="F108" s="24"/>
    </row>
    <row r="109" spans="1:6">
      <c r="A109" s="6">
        <v>110</v>
      </c>
      <c r="B109" s="403"/>
      <c r="C109" s="19"/>
      <c r="D109" s="19"/>
      <c r="E109" s="19"/>
      <c r="F109" s="24"/>
    </row>
    <row r="110" spans="1:6">
      <c r="A110" s="6">
        <v>111</v>
      </c>
      <c r="B110" s="407" t="str">
        <f>VLOOKUP(A110,info_all!$A:$M,MATCH('General price list'!$W$17,info_all!$A$2:$M$2,0),FALSE)</f>
        <v>Ve sloupci G jsou ceny po slevě v CZK bez DPH platné od 1.1.2024.</v>
      </c>
      <c r="C110" s="19"/>
      <c r="D110" s="19"/>
      <c r="E110" s="19"/>
      <c r="F110" s="24"/>
    </row>
    <row r="111" spans="1:6">
      <c r="A111" s="6">
        <v>112</v>
      </c>
      <c r="B111" s="403" t="str">
        <f>VLOOKUP(A111,info_all!$A:$M,MATCH('General price list'!$W$17,info_all!$A$2:$M$2,0),FALSE)</f>
        <v>Tento sloupec je základem pro kalkulace v EUR .</v>
      </c>
      <c r="C111" s="19"/>
      <c r="D111" s="19"/>
      <c r="E111" s="19"/>
      <c r="F111" s="24"/>
    </row>
    <row r="112" spans="1:6">
      <c r="A112" s="6">
        <v>113</v>
      </c>
      <c r="B112" s="403"/>
      <c r="C112" s="19"/>
      <c r="D112" s="19"/>
      <c r="E112" s="19"/>
      <c r="F112" s="24"/>
    </row>
    <row r="113" spans="1:6">
      <c r="A113" s="6">
        <v>114</v>
      </c>
      <c r="B113" s="403" t="str">
        <f>VLOOKUP(A113,info_all!$A:$M,MATCH('General price list'!$W$17,info_all!$A$2:$M$2,0),FALSE)</f>
        <v xml:space="preserve">Kurz měny se v buňce F20 přepočítává automaticky a naleznete jej na níže uvedené stránce(maximální kurz, za který přijímáme EUR je 26 Kč/1 EUR). Kurz DEVIZY NÁKUP. </v>
      </c>
      <c r="C113" s="19"/>
      <c r="D113" s="19"/>
      <c r="E113" s="19"/>
      <c r="F113" s="24"/>
    </row>
    <row r="114" spans="1:6">
      <c r="A114" s="6">
        <v>115</v>
      </c>
      <c r="B114" s="521" t="str">
        <f>IF('General price list'!$W$17='General price list'!$AF$1,info_all!B118,VLOOKUP(A114,info_all!A:Q,MATCH('General price list'!$W$17,info_all!$A$2:$Q$2,0)))</f>
        <v xml:space="preserve">http://www.kb.cz/kurzovni-listek/cs/rl/index.x </v>
      </c>
      <c r="C114" s="19"/>
      <c r="D114" s="19"/>
      <c r="E114" s="19"/>
      <c r="F114" s="24"/>
    </row>
    <row r="115" spans="1:6">
      <c r="A115" s="6">
        <v>116</v>
      </c>
      <c r="B115" s="405"/>
      <c r="C115" s="19"/>
      <c r="D115" s="19"/>
      <c r="E115" s="19"/>
      <c r="F115" s="24"/>
    </row>
    <row r="116" spans="1:6">
      <c r="A116" s="6">
        <v>117</v>
      </c>
      <c r="B116" s="403" t="str">
        <f>VLOOKUP(A116,info_all!$A:$M,MATCH('General price list'!$W$17,info_all!$A$2:$M$2,0),FALSE)</f>
        <v>Ve sloupci J najdete informace o kategorii nebezpečí, do které výrobek patří.</v>
      </c>
      <c r="C116" s="19"/>
      <c r="D116" s="19"/>
      <c r="E116" s="19"/>
      <c r="F116" s="24"/>
    </row>
    <row r="117" spans="1:6">
      <c r="A117" s="6">
        <v>118</v>
      </c>
      <c r="B117" s="403"/>
      <c r="C117" s="19"/>
      <c r="D117" s="19"/>
      <c r="E117" s="19"/>
      <c r="F117" s="24"/>
    </row>
    <row r="118" spans="1:6">
      <c r="A118" s="6">
        <v>119</v>
      </c>
      <c r="B118" s="403" t="str">
        <f>VLOOKUP(A118,info_all!$A:$M,MATCH('General price list'!$W$17,info_all!$A$2:$M$2,0),FALSE)</f>
        <v>Do sloupce Z napište Vaši objednávku – pište pouze číslici vyjadřující počet objednaných kartonů. Výjimkou jsou položky označené "ANO" ve sloupci A (podmínky uvedeny výše).</v>
      </c>
      <c r="C118" s="19"/>
      <c r="D118" s="19"/>
      <c r="E118" s="19"/>
      <c r="F118" s="24"/>
    </row>
    <row r="119" spans="1:6">
      <c r="A119" s="6">
        <v>120</v>
      </c>
      <c r="B119" s="403"/>
      <c r="C119" s="19"/>
      <c r="D119" s="19"/>
      <c r="E119" s="19"/>
      <c r="F119" s="24"/>
    </row>
    <row r="120" spans="1:6">
      <c r="A120" s="6">
        <v>121</v>
      </c>
      <c r="B120" s="403" t="str">
        <f>VLOOKUP(A120,info_all!$A:$M,MATCH('General price list'!$W$17,info_all!$A$2:$M$2,0),FALSE)</f>
        <v>Ve sloupci AD naleznete aktuální skladovou dostupnost.</v>
      </c>
      <c r="C120" s="19"/>
      <c r="D120" s="19"/>
      <c r="E120" s="19"/>
      <c r="F120" s="24"/>
    </row>
    <row r="121" spans="1:6">
      <c r="A121" s="6">
        <v>122</v>
      </c>
      <c r="B121" s="403" t="str">
        <f>VLOOKUP(A121,info_all!$A:$M,MATCH('General price list'!$W$17,info_all!$A$2:$M$2,0),FALSE)</f>
        <v>Sloupec S - zde naleznete informaci o tom, z jakého materiálu je vyrobena vrchní strana u baterii viz řádek 89 s vysvětlením.</v>
      </c>
      <c r="C121" s="19"/>
      <c r="D121" s="19"/>
      <c r="E121" s="19"/>
      <c r="F121" s="24"/>
    </row>
    <row r="122" spans="1:6">
      <c r="A122" s="6">
        <v>123</v>
      </c>
      <c r="B122" s="403" t="str">
        <f>VLOOKUP(A122,info_all!$A:$M,MATCH('General price list'!$W$17,info_all!$A$2:$M$2,0),FALSE)</f>
        <v>Sloupec Q + R -  zde naleznete info, v jakém jazyku jsou návody na výrobku</v>
      </c>
      <c r="C122" s="19"/>
      <c r="D122" s="19"/>
      <c r="E122" s="19"/>
      <c r="F122" s="24"/>
    </row>
    <row r="123" spans="1:6">
      <c r="A123" s="6">
        <v>124</v>
      </c>
      <c r="B123" s="403"/>
      <c r="C123" s="19"/>
      <c r="D123" s="19"/>
      <c r="E123" s="19"/>
      <c r="F123" s="24"/>
    </row>
    <row r="124" spans="1:6">
      <c r="A124" s="6">
        <v>125</v>
      </c>
      <c r="B124" s="403" t="str">
        <f>VLOOKUP(A124,info_all!$A:$M,MATCH('General price list'!$W$17,info_all!$A$2:$M$2,0),FALSE)</f>
        <v>Po ukončení objednávky uvidíte v následujících sloupcích tyto informace :</v>
      </c>
      <c r="C124" s="19"/>
      <c r="D124" s="19"/>
      <c r="E124" s="19"/>
      <c r="F124" s="24"/>
    </row>
    <row r="125" spans="1:6">
      <c r="A125" s="6">
        <v>126</v>
      </c>
      <c r="B125" s="403"/>
      <c r="C125" s="19"/>
      <c r="D125" s="19"/>
      <c r="E125" s="19"/>
      <c r="F125" s="24"/>
    </row>
    <row r="126" spans="1:6">
      <c r="A126" s="6">
        <v>127</v>
      </c>
      <c r="B126" s="403" t="str">
        <f>VLOOKUP(A126,info_all!$A:$M,MATCH('General price list'!$W$17,info_all!$A$2:$M$2,0),FALSE)</f>
        <v xml:space="preserve">Sloupec AF → cena za položku v CZK bez DPH </v>
      </c>
      <c r="C126" s="19"/>
      <c r="D126" s="19"/>
      <c r="E126" s="19"/>
      <c r="F126" s="24"/>
    </row>
    <row r="127" spans="1:6">
      <c r="A127" s="6">
        <v>128</v>
      </c>
      <c r="B127" s="405" t="str">
        <f>VLOOKUP(A127,info_all!$A:$M,MATCH('General price list'!$W$17,info_all!$A$2:$M$2,0),FALSE)</f>
        <v>Sloupec AG → cena za položku v CZK včetně DPH</v>
      </c>
      <c r="C127" s="19"/>
      <c r="D127" s="19"/>
      <c r="E127" s="19"/>
      <c r="F127" s="24"/>
    </row>
    <row r="128" spans="1:6">
      <c r="A128" s="6">
        <v>129</v>
      </c>
      <c r="B128" s="403" t="str">
        <f>VLOOKUP(A128,info_all!$A:$M,MATCH('General price list'!$W$17,info_all!$A$2:$M$2,0),FALSE)</f>
        <v>Sloupec AH → cena za položku v EUR bez DPH</v>
      </c>
      <c r="C128" s="19"/>
      <c r="D128" s="19"/>
      <c r="E128" s="19"/>
      <c r="F128" s="24"/>
    </row>
    <row r="129" spans="1:6">
      <c r="A129" s="6">
        <v>130</v>
      </c>
      <c r="B129" s="403" t="str">
        <f>VLOOKUP(A129,info_all!$A:$M,MATCH('General price list'!$W$17,info_all!$A$2:$M$2,0),FALSE)</f>
        <v>Sloupec AI → váha za položku v kg</v>
      </c>
      <c r="C129" s="19"/>
      <c r="D129" s="19"/>
      <c r="E129" s="19"/>
      <c r="F129" s="24"/>
    </row>
    <row r="130" spans="1:6">
      <c r="A130" s="6">
        <v>131</v>
      </c>
      <c r="B130" s="403" t="str">
        <f>VLOOKUP(A130,info_all!$A:$M,MATCH('General price list'!$W$17,info_all!$A$2:$M$2,0),FALSE)</f>
        <v>Sloupec AJ → objem za položku v m3</v>
      </c>
      <c r="C130" s="19"/>
      <c r="D130" s="19"/>
      <c r="E130" s="19"/>
      <c r="F130" s="24"/>
    </row>
    <row r="131" spans="1:6">
      <c r="A131" s="6">
        <v>132</v>
      </c>
      <c r="B131" s="403" t="str">
        <f>VLOOKUP(A131,info_all!$A:$M,MATCH('General price list'!$W$17,info_all!$A$2:$M$2,0),FALSE)</f>
        <v>Sloupec AK → NEC - čistá váha pyrotechnických složí položek ADR třídy 1.1G</v>
      </c>
      <c r="C131" s="19"/>
      <c r="D131" s="19"/>
      <c r="E131" s="19"/>
      <c r="F131" s="24"/>
    </row>
    <row r="132" spans="1:6">
      <c r="A132" s="6">
        <v>133</v>
      </c>
      <c r="B132" s="406" t="str">
        <f>VLOOKUP(A132,info_all!$A:$M,MATCH('General price list'!$W$17,info_all!$A$2:$M$2,0),FALSE)</f>
        <v>Sloupec AL → NEC - čistá váha pyrotechnických složí položek ADR třídy 1.3G</v>
      </c>
      <c r="C132" s="19"/>
      <c r="D132" s="19"/>
      <c r="E132" s="19"/>
      <c r="F132" s="24"/>
    </row>
    <row r="133" spans="1:6">
      <c r="A133" s="6">
        <v>134</v>
      </c>
      <c r="B133" s="406" t="str">
        <f>VLOOKUP(A133,info_all!$A:$M,MATCH('General price list'!$W$17,info_all!$A$2:$M$2,0),FALSE)</f>
        <v>Sloupec AM → NEC - čistá váha pyrotechnických složí položek ADR třídy 1.4G</v>
      </c>
      <c r="C133" s="19"/>
      <c r="D133" s="19"/>
      <c r="E133" s="19"/>
      <c r="F133" s="24"/>
    </row>
    <row r="134" spans="1:6">
      <c r="A134" s="6">
        <v>135</v>
      </c>
      <c r="B134" s="406" t="str">
        <f>VLOOKUP(A134,info_all!$A:$M,MATCH('General price list'!$W$17,info_all!$A$2:$M$2,0),FALSE)</f>
        <v>Sloupec AN → NEC - čistá váha pyrotechnických složí celkem za všechny ADR třídy</v>
      </c>
      <c r="C134" s="19"/>
      <c r="D134" s="19"/>
      <c r="E134" s="19"/>
      <c r="F134" s="24"/>
    </row>
    <row r="135" spans="1:6">
      <c r="A135" s="6">
        <v>136</v>
      </c>
      <c r="B135" s="406"/>
      <c r="C135" s="19"/>
      <c r="D135" s="19"/>
      <c r="E135" s="19"/>
      <c r="F135" s="24"/>
    </row>
    <row r="136" spans="1:6">
      <c r="A136" s="6">
        <v>137</v>
      </c>
      <c r="B136" s="406" t="str">
        <f>VLOOKUP(A136,info_all!$A:$M,MATCH('General price list'!$W$17,info_all!$A$2:$M$2,0),FALSE)</f>
        <v>Celkové shrnutí vaší objednávky najdete na řádku 1249, kde jsou tyto informace :</v>
      </c>
      <c r="C136" s="19"/>
      <c r="D136" s="19"/>
      <c r="E136" s="19"/>
      <c r="F136" s="24"/>
    </row>
    <row r="137" spans="1:6" ht="15" customHeight="1">
      <c r="A137" s="6">
        <v>138</v>
      </c>
      <c r="B137" s="406" t="str">
        <f>VLOOKUP(A137,info_all!$A:$M,MATCH('General price list'!$W$17,info_all!$A$2:$M$2,0),FALSE)</f>
        <v>cena celkem v CZK bez DPH</v>
      </c>
    </row>
    <row r="138" spans="1:6" ht="15" customHeight="1">
      <c r="A138" s="6">
        <v>139</v>
      </c>
      <c r="B138" s="406" t="str">
        <f>VLOOKUP(A138,info_all!$A:$M,MATCH('General price list'!$W$17,info_all!$A$2:$M$2,0),FALSE)</f>
        <v>cena celkem v CZK s DPH</v>
      </c>
    </row>
    <row r="139" spans="1:6" ht="15" customHeight="1">
      <c r="A139" s="6">
        <v>140</v>
      </c>
      <c r="B139" s="406" t="str">
        <f>VLOOKUP(A139,info_all!$A:$M,MATCH('General price list'!$W$17,info_all!$A$2:$M$2,0),FALSE)</f>
        <v>cena celkem v EUR bez DPH</v>
      </c>
    </row>
    <row r="140" spans="1:6" ht="15" customHeight="1">
      <c r="A140" s="6">
        <v>141</v>
      </c>
      <c r="B140" s="406" t="str">
        <f>VLOOKUP(A140,info_all!$A:$M,MATCH('General price list'!$W$17,info_all!$A$2:$M$2,0),FALSE)</f>
        <v xml:space="preserve">celkový objem v m3 </v>
      </c>
    </row>
    <row r="141" spans="1:6" ht="15" customHeight="1">
      <c r="A141" s="6">
        <v>142</v>
      </c>
      <c r="B141" s="406" t="str">
        <f>VLOOKUP(A141,info_all!$A:$M,MATCH('General price list'!$W$17,info_all!$A$2:$M$2,0),FALSE)</f>
        <v>celková váha v kg</v>
      </c>
    </row>
    <row r="142" spans="1:6" ht="15" customHeight="1">
      <c r="A142" s="6">
        <v>143</v>
      </c>
      <c r="B142" s="406" t="str">
        <f>VLOOKUP(A142,info_all!$A:$M,MATCH('General price list'!$W$17,info_all!$A$2:$M$2,0),FALSE)</f>
        <v>celkový NEC - čistá váha pyrotechnických složí rozdělena podle ADR tříd</v>
      </c>
    </row>
    <row r="143" spans="1:6" ht="15" customHeight="1">
      <c r="A143" s="6">
        <v>144</v>
      </c>
      <c r="B143" s="406" t="str">
        <f>VLOOKUP(A143,info_all!$A:$M,MATCH('General price list'!$W$17,info_all!$A$2:$M$2,0),FALSE)</f>
        <v>celkový NEC - čistá váha pyrotechnických složí za všechny ADR třídy</v>
      </c>
    </row>
    <row r="144" spans="1:6" ht="15" customHeight="1">
      <c r="B144" s="406"/>
    </row>
    <row r="145" spans="2:2" ht="15" customHeight="1">
      <c r="B145" s="406"/>
    </row>
    <row r="146" spans="2:2" ht="15" customHeight="1">
      <c r="B146" s="406"/>
    </row>
    <row r="147" spans="2:2" ht="15" customHeight="1">
      <c r="B147" s="406"/>
    </row>
  </sheetData>
  <sheetProtection algorithmName="SHA-512" hashValue="q6+2EyYIszmAf5aJAN88FPtIaNQxc8nnI5KTCjE+h6McFLMPlifRWfN5niSlFXV4XWuPQK18o0Ik6+Tn2LXflA==" saltValue="dArxqhlf72c1qCBbmUcydA==" spinCount="100000" sheet="1" objects="1" scenarios="1"/>
  <conditionalFormatting sqref="E104">
    <cfRule type="expression" dxfId="7" priority="1">
      <formula>$K104=$B$2</formula>
    </cfRule>
  </conditionalFormatting>
  <hyperlinks>
    <hyperlink ref="B114" r:id="rId1" display="http://www.kb.cz/kurzovni-listek/cs/rl/index.x " xr:uid="{476BE250-2235-4516-983E-3A012193AD8E}"/>
    <hyperlink ref="F7" r:id="rId2" xr:uid="{2447508E-2F6A-4FDC-AA52-9A0BE885419B}"/>
    <hyperlink ref="B10" r:id="rId3" xr:uid="{96932214-7E1A-4E6A-A6E0-CBCAA4BFB19A}"/>
  </hyperlinks>
  <pageMargins left="0.7" right="0.7" top="0.78740157499999996" bottom="0.78740157499999996" header="0.3" footer="0.3"/>
  <pageSetup paperSize="9" scale="39" fitToWidth="0" orientation="portrait" horizontalDpi="4294967293"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L10" sqref="L10"/>
    </sheetView>
  </sheetViews>
  <sheetFormatPr defaultRowHeight="15"/>
  <cols>
    <col min="1" max="1" width="3.85546875" style="6" customWidth="1"/>
    <col min="2" max="2" width="24.140625" style="6" bestFit="1" customWidth="1"/>
    <col min="3" max="8" width="9.140625" style="6"/>
    <col min="9" max="9" width="20" style="6" customWidth="1"/>
    <col min="10" max="16384" width="9.140625" style="6"/>
  </cols>
  <sheetData>
    <row r="5" spans="2:9" ht="20.25" customHeight="1">
      <c r="B5" s="797" t="str">
        <f>VLOOKUP(901,info_all!$A:$M,MATCH('General price list'!$W$17,info_all!$A$2:$M$2,0),FALSE)</f>
        <v>Nejlevněji nakoupíte vždy u nás = poskytujeme garanci nejlevnější ceny!</v>
      </c>
      <c r="C5" s="798"/>
      <c r="D5" s="798"/>
      <c r="E5" s="798"/>
      <c r="F5" s="798"/>
      <c r="G5" s="798"/>
      <c r="H5" s="798"/>
      <c r="I5" s="798"/>
    </row>
    <row r="6" spans="2:9">
      <c r="B6" s="798" t="str">
        <f>VLOOKUP(902,info_all!$A:$M,MATCH('General price list'!$W$17,info_all!$A$2:$M$2,0),FALSE)</f>
        <v>Snížili jsme ceny všech porovnatelnych položek a označili jsme je v ceníku zelenou barvou.</v>
      </c>
      <c r="C6" s="798"/>
      <c r="D6" s="798"/>
      <c r="E6" s="798"/>
      <c r="F6" s="798"/>
      <c r="G6" s="798"/>
      <c r="H6" s="798"/>
      <c r="I6" s="798"/>
    </row>
    <row r="7" spans="2:9">
      <c r="B7" s="798"/>
      <c r="C7" s="798"/>
      <c r="D7" s="798"/>
      <c r="E7" s="798"/>
      <c r="F7" s="798"/>
      <c r="G7" s="798"/>
      <c r="H7" s="798"/>
      <c r="I7" s="798"/>
    </row>
    <row r="8" spans="2:9" ht="15" customHeight="1">
      <c r="B8" s="937" t="str">
        <f>VLOOKUP(903,info_all!$A:$M,MATCH('General price list'!$W$17,info_all!$A$2:$M$2,0),FALSE)</f>
        <v>Pokud stávající zákazník přinese důkaz o tom, že stejnou položku, která je označena v našem ceníku zelenou barvou, koupil u konkurence levněji (nevztahuje se na staré nebo výprodejové položky) = dostane od nás tuto položku v dalším nakupu o další 3% levněji, než nabízí konkurence!</v>
      </c>
      <c r="C8" s="937"/>
      <c r="D8" s="937"/>
      <c r="E8" s="937"/>
      <c r="F8" s="937"/>
      <c r="G8" s="937"/>
      <c r="H8" s="937"/>
      <c r="I8" s="937"/>
    </row>
    <row r="9" spans="2:9">
      <c r="B9" s="937"/>
      <c r="C9" s="937"/>
      <c r="D9" s="937"/>
      <c r="E9" s="937"/>
      <c r="F9" s="937"/>
      <c r="G9" s="937"/>
      <c r="H9" s="937"/>
      <c r="I9" s="937"/>
    </row>
    <row r="10" spans="2:9">
      <c r="B10" s="937"/>
      <c r="C10" s="937"/>
      <c r="D10" s="937"/>
      <c r="E10" s="937"/>
      <c r="F10" s="937"/>
      <c r="G10" s="937"/>
      <c r="H10" s="937"/>
      <c r="I10" s="937"/>
    </row>
    <row r="11" spans="2:9">
      <c r="B11" s="937"/>
      <c r="C11" s="937"/>
      <c r="D11" s="937"/>
      <c r="E11" s="937"/>
      <c r="F11" s="937"/>
      <c r="G11" s="937"/>
      <c r="H11" s="937"/>
      <c r="I11" s="937"/>
    </row>
    <row r="12" spans="2:9">
      <c r="B12" s="798"/>
      <c r="C12" s="798"/>
      <c r="D12" s="798"/>
      <c r="E12" s="798"/>
      <c r="F12" s="798"/>
      <c r="G12" s="798"/>
      <c r="H12" s="798"/>
      <c r="I12" s="798"/>
    </row>
    <row r="13" spans="2:9">
      <c r="B13" s="937" t="str">
        <f>VLOOKUP(904,info_all!$A:$M,MATCH('General price list'!$W$17,info_all!$A$2:$M$2,0),FALSE)</f>
        <v>Tato nabídka se vztahuje na všechny firmy z členských státu Evropské unie (mimo Polska a Bulharska).</v>
      </c>
      <c r="C13" s="937"/>
      <c r="D13" s="937"/>
      <c r="E13" s="937"/>
      <c r="F13" s="937"/>
      <c r="G13" s="937"/>
      <c r="H13" s="937"/>
      <c r="I13" s="937"/>
    </row>
    <row r="14" spans="2:9">
      <c r="B14" s="937"/>
      <c r="C14" s="937"/>
      <c r="D14" s="937"/>
      <c r="E14" s="937"/>
      <c r="F14" s="937"/>
      <c r="G14" s="937"/>
      <c r="H14" s="937"/>
      <c r="I14" s="937"/>
    </row>
    <row r="15" spans="2:9">
      <c r="B15" s="798"/>
      <c r="C15" s="798"/>
      <c r="D15" s="798"/>
      <c r="E15" s="798"/>
      <c r="F15" s="798"/>
      <c r="G15" s="798"/>
      <c r="H15" s="798"/>
      <c r="I15" s="798"/>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25"/>
  <sheetViews>
    <sheetView workbookViewId="0">
      <pane xSplit="2" ySplit="4" topLeftCell="C11" activePane="bottomRight" state="frozen"/>
      <selection pane="topRight" activeCell="C1" sqref="C1"/>
      <selection pane="bottomLeft" activeCell="A5" sqref="A5"/>
      <selection pane="bottomRight" activeCell="C35" sqref="C35"/>
    </sheetView>
  </sheetViews>
  <sheetFormatPr defaultRowHeight="15" customHeight="1"/>
  <sheetData>
    <row r="1" spans="1:26">
      <c r="B1" s="122"/>
      <c r="C1" s="130">
        <v>24</v>
      </c>
      <c r="D1" s="130">
        <v>22</v>
      </c>
      <c r="E1" s="130">
        <v>23</v>
      </c>
      <c r="F1" s="130">
        <v>109</v>
      </c>
      <c r="G1" s="130">
        <v>110</v>
      </c>
      <c r="H1" s="130">
        <v>111</v>
      </c>
      <c r="I1" s="131">
        <v>112</v>
      </c>
      <c r="J1" s="130">
        <v>113</v>
      </c>
      <c r="K1" s="130">
        <v>114</v>
      </c>
      <c r="L1" s="130">
        <v>156</v>
      </c>
      <c r="M1" s="130">
        <v>160</v>
      </c>
      <c r="N1" s="132">
        <v>161</v>
      </c>
    </row>
    <row r="2" spans="1:26">
      <c r="A2" s="124"/>
      <c r="C2" s="133" t="s">
        <v>3089</v>
      </c>
      <c r="D2" s="133" t="s">
        <v>3091</v>
      </c>
      <c r="E2" s="133" t="s">
        <v>3090</v>
      </c>
      <c r="F2" s="133" t="s">
        <v>8573</v>
      </c>
      <c r="G2" s="133" t="s">
        <v>8570</v>
      </c>
      <c r="H2" s="133" t="s">
        <v>3092</v>
      </c>
      <c r="I2" s="133" t="s">
        <v>8981</v>
      </c>
      <c r="J2" s="133" t="s">
        <v>9834</v>
      </c>
      <c r="K2" s="133" t="s">
        <v>3093</v>
      </c>
      <c r="L2" s="133" t="s">
        <v>9835</v>
      </c>
      <c r="M2" s="133" t="s">
        <v>8926</v>
      </c>
      <c r="N2" s="133" t="s">
        <v>9833</v>
      </c>
    </row>
    <row r="3" spans="1:26">
      <c r="A3" s="125"/>
      <c r="C3" s="134" t="s">
        <v>9838</v>
      </c>
      <c r="D3" s="134" t="s">
        <v>9840</v>
      </c>
      <c r="E3" s="134" t="s">
        <v>9839</v>
      </c>
      <c r="F3" s="135" t="s">
        <v>9841</v>
      </c>
      <c r="G3" s="134" t="s">
        <v>9842</v>
      </c>
      <c r="H3" s="134" t="s">
        <v>8574</v>
      </c>
      <c r="I3" s="134" t="s">
        <v>9843</v>
      </c>
      <c r="J3" s="134" t="s">
        <v>8571</v>
      </c>
      <c r="K3" s="134" t="s">
        <v>8572</v>
      </c>
      <c r="L3" s="134" t="s">
        <v>9844</v>
      </c>
      <c r="M3" s="134" t="s">
        <v>9845</v>
      </c>
      <c r="N3" s="136" t="s">
        <v>9846</v>
      </c>
    </row>
    <row r="4" spans="1:26" ht="15.75" thickBot="1">
      <c r="C4" s="137" t="s">
        <v>18</v>
      </c>
      <c r="D4" s="137" t="s">
        <v>6731</v>
      </c>
      <c r="E4" s="137" t="s">
        <v>6732</v>
      </c>
      <c r="F4" s="137" t="s">
        <v>6733</v>
      </c>
      <c r="G4" s="137" t="s">
        <v>6734</v>
      </c>
      <c r="H4" s="137" t="s">
        <v>6735</v>
      </c>
      <c r="I4" s="137" t="s">
        <v>2789</v>
      </c>
      <c r="J4" s="137" t="s">
        <v>6736</v>
      </c>
      <c r="K4" s="137" t="s">
        <v>6737</v>
      </c>
      <c r="L4" s="137" t="s">
        <v>9836</v>
      </c>
      <c r="M4" s="137" t="s">
        <v>9819</v>
      </c>
      <c r="N4" s="138" t="s">
        <v>9837</v>
      </c>
    </row>
    <row r="5" spans="1:26" ht="15.75" thickTop="1">
      <c r="A5" s="123"/>
      <c r="B5" s="123"/>
      <c r="C5" s="127" t="s">
        <v>6740</v>
      </c>
      <c r="D5" s="128" t="s">
        <v>6738</v>
      </c>
      <c r="E5" s="128" t="s">
        <v>6739</v>
      </c>
      <c r="F5" s="128" t="s">
        <v>6741</v>
      </c>
      <c r="G5" s="128" t="s">
        <v>6742</v>
      </c>
      <c r="H5" s="128" t="s">
        <v>6743</v>
      </c>
      <c r="I5" s="128" t="s">
        <v>6744</v>
      </c>
      <c r="J5" s="128" t="s">
        <v>6745</v>
      </c>
      <c r="K5" s="128" t="s">
        <v>6746</v>
      </c>
      <c r="L5" s="128" t="s">
        <v>9847</v>
      </c>
      <c r="M5" s="129" t="s">
        <v>11096</v>
      </c>
      <c r="N5" s="112" t="s">
        <v>10891</v>
      </c>
      <c r="Z5" t="str">
        <f>UPPER(LEFT(M5,1)) &amp; LOWER(RIGHT(M5,LEN(M5)-1))</f>
        <v>Laste pürotehnika</v>
      </c>
    </row>
    <row r="6" spans="1:26">
      <c r="A6" s="123"/>
      <c r="C6" s="126" t="s">
        <v>6749</v>
      </c>
      <c r="D6" s="34" t="s">
        <v>6747</v>
      </c>
      <c r="E6" s="34" t="s">
        <v>6748</v>
      </c>
      <c r="F6" s="34" t="s">
        <v>6750</v>
      </c>
      <c r="G6" s="34" t="s">
        <v>6751</v>
      </c>
      <c r="H6" s="34" t="s">
        <v>6752</v>
      </c>
      <c r="I6" s="34" t="s">
        <v>6753</v>
      </c>
      <c r="J6" s="34" t="s">
        <v>6754</v>
      </c>
      <c r="K6" s="34" t="s">
        <v>6755</v>
      </c>
      <c r="L6" s="34" t="s">
        <v>9848</v>
      </c>
      <c r="M6" s="33" t="s">
        <v>11097</v>
      </c>
      <c r="N6" s="1" t="s">
        <v>10892</v>
      </c>
    </row>
    <row r="7" spans="1:26">
      <c r="A7" s="123"/>
      <c r="C7" s="126" t="s">
        <v>6758</v>
      </c>
      <c r="D7" s="34" t="s">
        <v>6756</v>
      </c>
      <c r="E7" s="34" t="s">
        <v>6757</v>
      </c>
      <c r="F7" s="34" t="s">
        <v>6759</v>
      </c>
      <c r="G7" s="34" t="s">
        <v>6760</v>
      </c>
      <c r="H7" s="34" t="s">
        <v>6761</v>
      </c>
      <c r="I7" s="34" t="s">
        <v>6762</v>
      </c>
      <c r="J7" s="34" t="s">
        <v>6763</v>
      </c>
      <c r="K7" s="34" t="s">
        <v>6764</v>
      </c>
      <c r="L7" s="34" t="s">
        <v>9849</v>
      </c>
      <c r="M7" s="33" t="s">
        <v>11098</v>
      </c>
      <c r="N7" s="1" t="s">
        <v>10893</v>
      </c>
    </row>
    <row r="8" spans="1:26">
      <c r="A8" s="123"/>
      <c r="C8" s="126" t="s">
        <v>6767</v>
      </c>
      <c r="D8" s="34" t="s">
        <v>6765</v>
      </c>
      <c r="E8" s="34" t="s">
        <v>6766</v>
      </c>
      <c r="F8" s="34" t="s">
        <v>6768</v>
      </c>
      <c r="G8" s="34" t="s">
        <v>6769</v>
      </c>
      <c r="H8" s="34" t="s">
        <v>6770</v>
      </c>
      <c r="I8" s="34" t="s">
        <v>6771</v>
      </c>
      <c r="J8" s="34" t="s">
        <v>6772</v>
      </c>
      <c r="K8" s="34" t="s">
        <v>6773</v>
      </c>
      <c r="L8" s="34" t="s">
        <v>9850</v>
      </c>
      <c r="M8" s="33" t="s">
        <v>11099</v>
      </c>
      <c r="N8" s="1" t="s">
        <v>10894</v>
      </c>
    </row>
    <row r="9" spans="1:26">
      <c r="A9" s="123"/>
      <c r="C9" s="126" t="s">
        <v>6776</v>
      </c>
      <c r="D9" s="34" t="s">
        <v>6774</v>
      </c>
      <c r="E9" s="34" t="s">
        <v>6775</v>
      </c>
      <c r="F9" s="34" t="s">
        <v>6777</v>
      </c>
      <c r="G9" s="34" t="s">
        <v>6778</v>
      </c>
      <c r="H9" s="34" t="s">
        <v>6779</v>
      </c>
      <c r="I9" s="34" t="s">
        <v>6780</v>
      </c>
      <c r="J9" s="34" t="s">
        <v>6777</v>
      </c>
      <c r="K9" s="34" t="s">
        <v>6781</v>
      </c>
      <c r="L9" s="34" t="s">
        <v>9851</v>
      </c>
      <c r="M9" s="33" t="s">
        <v>11100</v>
      </c>
      <c r="N9" s="1" t="s">
        <v>10895</v>
      </c>
    </row>
    <row r="10" spans="1:26">
      <c r="A10" s="123"/>
      <c r="C10" s="126" t="s">
        <v>6784</v>
      </c>
      <c r="D10" s="34" t="s">
        <v>6782</v>
      </c>
      <c r="E10" s="34" t="s">
        <v>6783</v>
      </c>
      <c r="F10" s="34" t="s">
        <v>6785</v>
      </c>
      <c r="G10" s="34" t="s">
        <v>6786</v>
      </c>
      <c r="H10" s="34" t="s">
        <v>6787</v>
      </c>
      <c r="I10" s="34" t="s">
        <v>6788</v>
      </c>
      <c r="J10" s="34" t="s">
        <v>6789</v>
      </c>
      <c r="K10" s="34" t="s">
        <v>6790</v>
      </c>
      <c r="L10" s="34" t="s">
        <v>9852</v>
      </c>
      <c r="M10" s="33" t="s">
        <v>11101</v>
      </c>
      <c r="N10" s="1" t="s">
        <v>10896</v>
      </c>
    </row>
    <row r="11" spans="1:26">
      <c r="A11" s="123"/>
      <c r="C11" s="126" t="s">
        <v>6793</v>
      </c>
      <c r="D11" s="34" t="s">
        <v>6791</v>
      </c>
      <c r="E11" s="34" t="s">
        <v>6792</v>
      </c>
      <c r="F11" s="34" t="s">
        <v>6794</v>
      </c>
      <c r="G11" s="34" t="s">
        <v>6795</v>
      </c>
      <c r="H11" s="34" t="s">
        <v>6796</v>
      </c>
      <c r="I11" s="34" t="s">
        <v>6797</v>
      </c>
      <c r="J11" s="34" t="s">
        <v>6798</v>
      </c>
      <c r="K11" s="34" t="s">
        <v>6799</v>
      </c>
      <c r="L11" s="34" t="s">
        <v>11329</v>
      </c>
      <c r="M11" s="33" t="s">
        <v>11102</v>
      </c>
      <c r="N11" s="1" t="s">
        <v>10897</v>
      </c>
    </row>
    <row r="12" spans="1:26">
      <c r="A12" s="123"/>
      <c r="C12" s="126" t="s">
        <v>6802</v>
      </c>
      <c r="D12" s="34" t="s">
        <v>6800</v>
      </c>
      <c r="E12" s="34" t="s">
        <v>6801</v>
      </c>
      <c r="F12" s="34" t="s">
        <v>6803</v>
      </c>
      <c r="G12" s="34" t="s">
        <v>6804</v>
      </c>
      <c r="H12" s="34" t="s">
        <v>6805</v>
      </c>
      <c r="I12" s="34" t="s">
        <v>6806</v>
      </c>
      <c r="J12" s="34" t="s">
        <v>6807</v>
      </c>
      <c r="K12" s="34" t="s">
        <v>6808</v>
      </c>
      <c r="L12" s="34" t="s">
        <v>11330</v>
      </c>
      <c r="M12" s="33" t="s">
        <v>11103</v>
      </c>
      <c r="N12" s="1" t="s">
        <v>10898</v>
      </c>
    </row>
    <row r="13" spans="1:26">
      <c r="A13" s="123"/>
      <c r="C13" s="126" t="s">
        <v>6811</v>
      </c>
      <c r="D13" s="34" t="s">
        <v>6809</v>
      </c>
      <c r="E13" s="34" t="s">
        <v>6810</v>
      </c>
      <c r="F13" s="34" t="s">
        <v>6812</v>
      </c>
      <c r="G13" s="34" t="s">
        <v>6813</v>
      </c>
      <c r="H13" s="34" t="s">
        <v>6814</v>
      </c>
      <c r="I13" s="34" t="s">
        <v>6815</v>
      </c>
      <c r="J13" s="34" t="s">
        <v>6816</v>
      </c>
      <c r="K13" s="34" t="s">
        <v>6817</v>
      </c>
      <c r="L13" s="34" t="s">
        <v>9853</v>
      </c>
      <c r="M13" s="33" t="s">
        <v>11104</v>
      </c>
      <c r="N13" s="1" t="s">
        <v>10899</v>
      </c>
    </row>
    <row r="14" spans="1:26">
      <c r="A14" s="123"/>
      <c r="C14" s="126" t="s">
        <v>6819</v>
      </c>
      <c r="D14" s="34" t="s">
        <v>6791</v>
      </c>
      <c r="E14" s="34" t="s">
        <v>6818</v>
      </c>
      <c r="F14" s="34" t="s">
        <v>6820</v>
      </c>
      <c r="G14" s="34" t="s">
        <v>6821</v>
      </c>
      <c r="H14" s="34" t="s">
        <v>6822</v>
      </c>
      <c r="I14" s="34" t="s">
        <v>6823</v>
      </c>
      <c r="J14" s="34" t="s">
        <v>6824</v>
      </c>
      <c r="K14" s="34" t="s">
        <v>6825</v>
      </c>
      <c r="L14" s="34" t="s">
        <v>11331</v>
      </c>
      <c r="M14" s="33" t="s">
        <v>11105</v>
      </c>
      <c r="N14" s="1" t="s">
        <v>10900</v>
      </c>
    </row>
    <row r="15" spans="1:26">
      <c r="A15" s="123"/>
      <c r="C15" s="126" t="s">
        <v>6828</v>
      </c>
      <c r="D15" s="34" t="s">
        <v>6826</v>
      </c>
      <c r="E15" s="34" t="s">
        <v>6827</v>
      </c>
      <c r="F15" s="34" t="s">
        <v>6829</v>
      </c>
      <c r="G15" s="34" t="s">
        <v>6830</v>
      </c>
      <c r="H15" s="34" t="s">
        <v>6831</v>
      </c>
      <c r="I15" s="34" t="s">
        <v>6832</v>
      </c>
      <c r="J15" s="34" t="s">
        <v>6833</v>
      </c>
      <c r="K15" s="34" t="s">
        <v>6834</v>
      </c>
      <c r="L15" s="34" t="s">
        <v>11332</v>
      </c>
      <c r="M15" s="33" t="s">
        <v>11106</v>
      </c>
      <c r="N15" s="1" t="s">
        <v>10901</v>
      </c>
    </row>
    <row r="16" spans="1:26">
      <c r="A16" s="123"/>
      <c r="C16" s="126" t="s">
        <v>6837</v>
      </c>
      <c r="D16" s="34" t="s">
        <v>6835</v>
      </c>
      <c r="E16" s="34" t="s">
        <v>6836</v>
      </c>
      <c r="F16" s="34" t="s">
        <v>6838</v>
      </c>
      <c r="G16" s="34" t="s">
        <v>6839</v>
      </c>
      <c r="H16" s="34" t="s">
        <v>6840</v>
      </c>
      <c r="I16" s="34" t="s">
        <v>6841</v>
      </c>
      <c r="J16" s="34" t="s">
        <v>6842</v>
      </c>
      <c r="K16" s="34" t="s">
        <v>6843</v>
      </c>
      <c r="L16" s="34" t="s">
        <v>11333</v>
      </c>
      <c r="M16" s="33" t="s">
        <v>11107</v>
      </c>
      <c r="N16" s="1" t="s">
        <v>10902</v>
      </c>
    </row>
    <row r="17" spans="1:14">
      <c r="A17" s="123"/>
      <c r="C17" s="126" t="s">
        <v>6846</v>
      </c>
      <c r="D17" s="34" t="s">
        <v>6844</v>
      </c>
      <c r="E17" s="34" t="s">
        <v>6845</v>
      </c>
      <c r="F17" s="34" t="s">
        <v>6847</v>
      </c>
      <c r="G17" s="34" t="s">
        <v>6845</v>
      </c>
      <c r="H17" s="34" t="s">
        <v>6848</v>
      </c>
      <c r="I17" s="34" t="s">
        <v>6846</v>
      </c>
      <c r="J17" s="34" t="s">
        <v>6849</v>
      </c>
      <c r="K17" s="34" t="s">
        <v>6850</v>
      </c>
      <c r="L17" s="34" t="s">
        <v>11334</v>
      </c>
      <c r="M17" s="33" t="s">
        <v>9820</v>
      </c>
      <c r="N17" s="1" t="s">
        <v>10903</v>
      </c>
    </row>
    <row r="18" spans="1:14">
      <c r="A18" s="123"/>
      <c r="C18" s="126" t="s">
        <v>6853</v>
      </c>
      <c r="D18" s="34" t="s">
        <v>6851</v>
      </c>
      <c r="E18" s="34" t="s">
        <v>6852</v>
      </c>
      <c r="F18" s="34" t="s">
        <v>6854</v>
      </c>
      <c r="G18" s="34" t="s">
        <v>6854</v>
      </c>
      <c r="H18" s="34" t="s">
        <v>6855</v>
      </c>
      <c r="I18" s="34" t="s">
        <v>6856</v>
      </c>
      <c r="J18" s="34" t="s">
        <v>6857</v>
      </c>
      <c r="K18" s="34" t="s">
        <v>6858</v>
      </c>
      <c r="L18" s="34" t="s">
        <v>11335</v>
      </c>
      <c r="M18" s="33" t="s">
        <v>11108</v>
      </c>
      <c r="N18" s="1" t="s">
        <v>10904</v>
      </c>
    </row>
    <row r="19" spans="1:14">
      <c r="A19" s="123"/>
      <c r="C19" s="126" t="s">
        <v>6861</v>
      </c>
      <c r="D19" s="34" t="s">
        <v>6859</v>
      </c>
      <c r="E19" s="34" t="s">
        <v>6860</v>
      </c>
      <c r="F19" s="34" t="s">
        <v>6862</v>
      </c>
      <c r="G19" s="34" t="s">
        <v>6863</v>
      </c>
      <c r="H19" s="34" t="s">
        <v>6864</v>
      </c>
      <c r="I19" s="34" t="s">
        <v>6865</v>
      </c>
      <c r="J19" s="34" t="s">
        <v>6866</v>
      </c>
      <c r="K19" s="34" t="s">
        <v>6858</v>
      </c>
      <c r="L19" s="34" t="s">
        <v>11336</v>
      </c>
      <c r="M19" s="33" t="s">
        <v>11109</v>
      </c>
      <c r="N19" s="1" t="s">
        <v>10905</v>
      </c>
    </row>
    <row r="20" spans="1:14">
      <c r="A20" s="123"/>
      <c r="C20" s="126" t="s">
        <v>6869</v>
      </c>
      <c r="D20" s="34" t="s">
        <v>6867</v>
      </c>
      <c r="E20" s="34" t="s">
        <v>6868</v>
      </c>
      <c r="F20" s="34" t="s">
        <v>6870</v>
      </c>
      <c r="G20" s="34" t="s">
        <v>6871</v>
      </c>
      <c r="H20" s="34" t="s">
        <v>6872</v>
      </c>
      <c r="I20" s="34" t="s">
        <v>6873</v>
      </c>
      <c r="J20" s="34" t="s">
        <v>6874</v>
      </c>
      <c r="K20" s="34" t="s">
        <v>6875</v>
      </c>
      <c r="L20" s="34" t="s">
        <v>11337</v>
      </c>
      <c r="M20" s="33" t="s">
        <v>11110</v>
      </c>
      <c r="N20" s="1" t="s">
        <v>10906</v>
      </c>
    </row>
    <row r="21" spans="1:14">
      <c r="A21" s="123"/>
      <c r="C21" s="126" t="s">
        <v>6878</v>
      </c>
      <c r="D21" s="34" t="s">
        <v>6876</v>
      </c>
      <c r="E21" s="34" t="s">
        <v>6877</v>
      </c>
      <c r="F21" s="34" t="s">
        <v>6879</v>
      </c>
      <c r="G21" s="34" t="s">
        <v>6880</v>
      </c>
      <c r="H21" s="34" t="s">
        <v>6881</v>
      </c>
      <c r="I21" s="34" t="s">
        <v>6882</v>
      </c>
      <c r="J21" s="34" t="s">
        <v>6883</v>
      </c>
      <c r="K21" s="34" t="s">
        <v>6877</v>
      </c>
      <c r="L21" s="34" t="s">
        <v>11338</v>
      </c>
      <c r="M21" s="33" t="s">
        <v>11111</v>
      </c>
      <c r="N21" s="1" t="s">
        <v>6882</v>
      </c>
    </row>
    <row r="22" spans="1:14">
      <c r="A22" s="123"/>
      <c r="C22" s="126" t="s">
        <v>6886</v>
      </c>
      <c r="D22" s="34" t="s">
        <v>6884</v>
      </c>
      <c r="E22" s="34" t="s">
        <v>6885</v>
      </c>
      <c r="F22" s="34" t="s">
        <v>6887</v>
      </c>
      <c r="G22" s="34" t="s">
        <v>6888</v>
      </c>
      <c r="H22" s="34" t="s">
        <v>6889</v>
      </c>
      <c r="I22" s="34" t="s">
        <v>6890</v>
      </c>
      <c r="J22" s="34" t="s">
        <v>6891</v>
      </c>
      <c r="K22" s="34" t="s">
        <v>6892</v>
      </c>
      <c r="L22" s="34" t="s">
        <v>11339</v>
      </c>
      <c r="M22" s="33" t="s">
        <v>11112</v>
      </c>
      <c r="N22" s="1" t="s">
        <v>10907</v>
      </c>
    </row>
    <row r="23" spans="1:14">
      <c r="A23" s="123"/>
      <c r="C23" s="126" t="s">
        <v>6895</v>
      </c>
      <c r="D23" s="34" t="s">
        <v>6893</v>
      </c>
      <c r="E23" s="34" t="s">
        <v>6894</v>
      </c>
      <c r="F23" s="34" t="s">
        <v>6896</v>
      </c>
      <c r="G23" s="34" t="s">
        <v>6897</v>
      </c>
      <c r="H23" s="34" t="s">
        <v>6898</v>
      </c>
      <c r="I23" s="34" t="s">
        <v>6899</v>
      </c>
      <c r="J23" s="34" t="s">
        <v>6900</v>
      </c>
      <c r="K23" s="34" t="s">
        <v>6901</v>
      </c>
      <c r="L23" s="34" t="s">
        <v>11340</v>
      </c>
      <c r="M23" s="33" t="s">
        <v>11113</v>
      </c>
      <c r="N23" s="1" t="s">
        <v>10908</v>
      </c>
    </row>
    <row r="24" spans="1:14">
      <c r="A24" s="123"/>
      <c r="C24" s="126" t="s">
        <v>6904</v>
      </c>
      <c r="D24" s="34" t="s">
        <v>6902</v>
      </c>
      <c r="E24" s="34" t="s">
        <v>6903</v>
      </c>
      <c r="F24" s="34" t="s">
        <v>6905</v>
      </c>
      <c r="G24" s="34" t="s">
        <v>6906</v>
      </c>
      <c r="H24" s="34" t="s">
        <v>6907</v>
      </c>
      <c r="I24" s="34" t="s">
        <v>6908</v>
      </c>
      <c r="J24" s="34" t="s">
        <v>6909</v>
      </c>
      <c r="K24" s="34" t="s">
        <v>6910</v>
      </c>
      <c r="L24" s="34" t="s">
        <v>11341</v>
      </c>
      <c r="M24" s="33" t="s">
        <v>11114</v>
      </c>
      <c r="N24" s="1" t="s">
        <v>10909</v>
      </c>
    </row>
    <row r="25" spans="1:14">
      <c r="A25" s="123"/>
      <c r="C25" s="126" t="s">
        <v>6913</v>
      </c>
      <c r="D25" s="34" t="s">
        <v>6911</v>
      </c>
      <c r="E25" s="34" t="s">
        <v>6912</v>
      </c>
      <c r="F25" s="34" t="s">
        <v>6914</v>
      </c>
      <c r="G25" s="34" t="s">
        <v>6915</v>
      </c>
      <c r="H25" s="34" t="s">
        <v>6916</v>
      </c>
      <c r="I25" s="34" t="s">
        <v>6917</v>
      </c>
      <c r="J25" s="34" t="s">
        <v>6918</v>
      </c>
      <c r="K25" s="34" t="s">
        <v>6919</v>
      </c>
      <c r="L25" s="34" t="s">
        <v>11342</v>
      </c>
      <c r="M25" s="33" t="s">
        <v>11115</v>
      </c>
      <c r="N25" s="1" t="s">
        <v>10910</v>
      </c>
    </row>
    <row r="26" spans="1:14">
      <c r="A26" s="123"/>
      <c r="C26" s="126" t="s">
        <v>6922</v>
      </c>
      <c r="D26" s="34" t="s">
        <v>6920</v>
      </c>
      <c r="E26" s="34" t="s">
        <v>6921</v>
      </c>
      <c r="F26" s="34" t="s">
        <v>6923</v>
      </c>
      <c r="G26" s="34" t="s">
        <v>6924</v>
      </c>
      <c r="H26" s="34" t="s">
        <v>6925</v>
      </c>
      <c r="I26" s="34" t="s">
        <v>6926</v>
      </c>
      <c r="J26" s="34" t="s">
        <v>6927</v>
      </c>
      <c r="K26" s="34" t="s">
        <v>6928</v>
      </c>
      <c r="L26" s="34" t="s">
        <v>11343</v>
      </c>
      <c r="M26" s="33" t="s">
        <v>11116</v>
      </c>
      <c r="N26" s="1" t="s">
        <v>10911</v>
      </c>
    </row>
    <row r="27" spans="1:14">
      <c r="A27" s="123"/>
      <c r="C27" s="126" t="s">
        <v>6931</v>
      </c>
      <c r="D27" s="34" t="s">
        <v>6929</v>
      </c>
      <c r="E27" s="34" t="s">
        <v>6930</v>
      </c>
      <c r="F27" s="34" t="s">
        <v>6932</v>
      </c>
      <c r="G27" s="34" t="s">
        <v>6933</v>
      </c>
      <c r="H27" s="34" t="s">
        <v>6934</v>
      </c>
      <c r="I27" s="34" t="s">
        <v>6935</v>
      </c>
      <c r="J27" s="34" t="s">
        <v>6936</v>
      </c>
      <c r="K27" s="34" t="s">
        <v>6937</v>
      </c>
      <c r="L27" s="34" t="s">
        <v>11344</v>
      </c>
      <c r="M27" s="33" t="s">
        <v>11117</v>
      </c>
      <c r="N27" s="1" t="s">
        <v>10912</v>
      </c>
    </row>
    <row r="28" spans="1:14">
      <c r="A28" s="123"/>
      <c r="C28" s="126" t="s">
        <v>6940</v>
      </c>
      <c r="D28" s="34" t="s">
        <v>6938</v>
      </c>
      <c r="E28" s="34" t="s">
        <v>6939</v>
      </c>
      <c r="F28" s="34" t="s">
        <v>6941</v>
      </c>
      <c r="G28" s="34" t="s">
        <v>6942</v>
      </c>
      <c r="H28" s="34" t="s">
        <v>6943</v>
      </c>
      <c r="I28" s="34" t="s">
        <v>6944</v>
      </c>
      <c r="J28" s="34" t="s">
        <v>6945</v>
      </c>
      <c r="K28" s="34" t="s">
        <v>6946</v>
      </c>
      <c r="L28" s="34" t="s">
        <v>9854</v>
      </c>
      <c r="M28" s="33" t="s">
        <v>11118</v>
      </c>
      <c r="N28" s="1" t="s">
        <v>10913</v>
      </c>
    </row>
    <row r="29" spans="1:14">
      <c r="A29" s="123"/>
      <c r="C29" s="126" t="s">
        <v>6949</v>
      </c>
      <c r="D29" s="34" t="s">
        <v>6947</v>
      </c>
      <c r="E29" s="34" t="s">
        <v>6948</v>
      </c>
      <c r="F29" s="34" t="s">
        <v>6950</v>
      </c>
      <c r="G29" s="34" t="s">
        <v>6951</v>
      </c>
      <c r="H29" s="34" t="s">
        <v>6952</v>
      </c>
      <c r="I29" s="34" t="s">
        <v>6953</v>
      </c>
      <c r="J29" s="34" t="s">
        <v>6954</v>
      </c>
      <c r="K29" s="34" t="s">
        <v>6955</v>
      </c>
      <c r="L29" s="34" t="s">
        <v>9855</v>
      </c>
      <c r="M29" s="33" t="s">
        <v>11119</v>
      </c>
      <c r="N29" s="1" t="s">
        <v>10914</v>
      </c>
    </row>
    <row r="30" spans="1:14">
      <c r="A30" s="123"/>
      <c r="C30" s="126" t="s">
        <v>6958</v>
      </c>
      <c r="D30" s="34" t="s">
        <v>6956</v>
      </c>
      <c r="E30" s="34" t="s">
        <v>6957</v>
      </c>
      <c r="F30" s="34" t="s">
        <v>6959</v>
      </c>
      <c r="G30" s="34" t="s">
        <v>6960</v>
      </c>
      <c r="H30" s="34" t="s">
        <v>6961</v>
      </c>
      <c r="I30" s="34" t="s">
        <v>6962</v>
      </c>
      <c r="J30" s="34" t="s">
        <v>6963</v>
      </c>
      <c r="K30" s="34" t="s">
        <v>6964</v>
      </c>
      <c r="L30" s="34" t="s">
        <v>11345</v>
      </c>
      <c r="M30" s="33" t="s">
        <v>11120</v>
      </c>
      <c r="N30" s="1" t="s">
        <v>10915</v>
      </c>
    </row>
    <row r="31" spans="1:14">
      <c r="A31" s="123"/>
      <c r="C31" s="126" t="s">
        <v>6967</v>
      </c>
      <c r="D31" s="34" t="s">
        <v>6965</v>
      </c>
      <c r="E31" s="34" t="s">
        <v>6966</v>
      </c>
      <c r="F31" s="34" t="s">
        <v>6968</v>
      </c>
      <c r="G31" s="34" t="s">
        <v>6969</v>
      </c>
      <c r="H31" s="34" t="s">
        <v>6970</v>
      </c>
      <c r="I31" s="34" t="s">
        <v>6971</v>
      </c>
      <c r="J31" s="34" t="s">
        <v>6972</v>
      </c>
      <c r="K31" s="34" t="s">
        <v>6973</v>
      </c>
      <c r="L31" s="34" t="s">
        <v>11346</v>
      </c>
      <c r="M31" s="33" t="s">
        <v>11121</v>
      </c>
      <c r="N31" s="1" t="s">
        <v>10916</v>
      </c>
    </row>
    <row r="32" spans="1:14">
      <c r="A32" s="123"/>
      <c r="C32" s="126" t="s">
        <v>6976</v>
      </c>
      <c r="D32" s="34" t="s">
        <v>6974</v>
      </c>
      <c r="E32" s="34" t="s">
        <v>6975</v>
      </c>
      <c r="F32" s="34" t="s">
        <v>6977</v>
      </c>
      <c r="G32" s="34" t="s">
        <v>6978</v>
      </c>
      <c r="H32" s="34" t="s">
        <v>6979</v>
      </c>
      <c r="I32" s="34" t="s">
        <v>6980</v>
      </c>
      <c r="J32" s="34" t="s">
        <v>6981</v>
      </c>
      <c r="K32" s="34" t="s">
        <v>6982</v>
      </c>
      <c r="L32" s="34" t="s">
        <v>9856</v>
      </c>
      <c r="M32" s="33" t="s">
        <v>11543</v>
      </c>
      <c r="N32" s="1" t="s">
        <v>10917</v>
      </c>
    </row>
    <row r="33" spans="1:14">
      <c r="A33" s="123"/>
      <c r="C33" s="126" t="s">
        <v>6985</v>
      </c>
      <c r="D33" s="34" t="s">
        <v>6983</v>
      </c>
      <c r="E33" s="34" t="s">
        <v>6984</v>
      </c>
      <c r="F33" s="34" t="s">
        <v>6986</v>
      </c>
      <c r="G33" s="34" t="s">
        <v>6987</v>
      </c>
      <c r="H33" s="34" t="s">
        <v>6988</v>
      </c>
      <c r="I33" s="34" t="s">
        <v>6989</v>
      </c>
      <c r="J33" s="34" t="s">
        <v>6990</v>
      </c>
      <c r="K33" s="34" t="s">
        <v>6991</v>
      </c>
      <c r="L33" s="34" t="s">
        <v>11347</v>
      </c>
      <c r="M33" s="33" t="s">
        <v>11122</v>
      </c>
      <c r="N33" s="1" t="s">
        <v>11849</v>
      </c>
    </row>
    <row r="34" spans="1:14">
      <c r="A34" s="123"/>
      <c r="C34" s="126" t="s">
        <v>6994</v>
      </c>
      <c r="D34" s="34" t="s">
        <v>6992</v>
      </c>
      <c r="E34" s="34" t="s">
        <v>6993</v>
      </c>
      <c r="F34" s="34" t="s">
        <v>6995</v>
      </c>
      <c r="G34" s="34" t="s">
        <v>6996</v>
      </c>
      <c r="H34" s="34" t="s">
        <v>6997</v>
      </c>
      <c r="I34" s="34" t="s">
        <v>6998</v>
      </c>
      <c r="J34" s="34" t="s">
        <v>6999</v>
      </c>
      <c r="K34" s="34" t="s">
        <v>7000</v>
      </c>
      <c r="L34" s="34" t="s">
        <v>9857</v>
      </c>
      <c r="M34" s="33" t="s">
        <v>11123</v>
      </c>
      <c r="N34" s="1" t="s">
        <v>10918</v>
      </c>
    </row>
    <row r="35" spans="1:14">
      <c r="A35" s="123"/>
      <c r="C35" s="126" t="s">
        <v>7003</v>
      </c>
      <c r="D35" s="34" t="s">
        <v>7001</v>
      </c>
      <c r="E35" s="36" t="s">
        <v>7002</v>
      </c>
      <c r="F35" s="35" t="s">
        <v>7004</v>
      </c>
      <c r="G35" s="33" t="s">
        <v>7005</v>
      </c>
      <c r="H35" s="33" t="s">
        <v>7006</v>
      </c>
      <c r="I35" s="33" t="s">
        <v>7007</v>
      </c>
      <c r="J35" s="33" t="s">
        <v>7008</v>
      </c>
      <c r="K35" s="33" t="s">
        <v>7009</v>
      </c>
      <c r="L35" s="33" t="s">
        <v>11348</v>
      </c>
      <c r="M35" s="33" t="s">
        <v>11124</v>
      </c>
      <c r="N35" s="1" t="s">
        <v>10919</v>
      </c>
    </row>
    <row r="36" spans="1:14">
      <c r="A36" s="123"/>
      <c r="C36" s="126" t="s">
        <v>7012</v>
      </c>
      <c r="D36" s="34" t="s">
        <v>7010</v>
      </c>
      <c r="E36" s="34" t="s">
        <v>7011</v>
      </c>
      <c r="F36" s="34" t="s">
        <v>7013</v>
      </c>
      <c r="G36" s="34" t="s">
        <v>7014</v>
      </c>
      <c r="H36" s="34" t="s">
        <v>7015</v>
      </c>
      <c r="I36" s="34" t="s">
        <v>7016</v>
      </c>
      <c r="J36" s="34" t="s">
        <v>7017</v>
      </c>
      <c r="K36" s="34" t="s">
        <v>7018</v>
      </c>
      <c r="L36" s="34" t="s">
        <v>11349</v>
      </c>
      <c r="M36" s="33" t="s">
        <v>11125</v>
      </c>
      <c r="N36" s="1" t="s">
        <v>10920</v>
      </c>
    </row>
    <row r="37" spans="1:14">
      <c r="A37" s="123"/>
      <c r="C37" s="126" t="s">
        <v>7021</v>
      </c>
      <c r="D37" s="34" t="s">
        <v>7019</v>
      </c>
      <c r="E37" s="34" t="s">
        <v>7020</v>
      </c>
      <c r="F37" s="34" t="s">
        <v>7022</v>
      </c>
      <c r="G37" s="34" t="s">
        <v>7023</v>
      </c>
      <c r="H37" s="34" t="s">
        <v>7024</v>
      </c>
      <c r="I37" s="34" t="s">
        <v>7025</v>
      </c>
      <c r="J37" s="34" t="s">
        <v>7026</v>
      </c>
      <c r="K37" s="34" t="s">
        <v>7027</v>
      </c>
      <c r="L37" s="34" t="s">
        <v>11350</v>
      </c>
      <c r="M37" s="33" t="s">
        <v>11126</v>
      </c>
      <c r="N37" s="1" t="s">
        <v>10921</v>
      </c>
    </row>
    <row r="38" spans="1:14">
      <c r="A38" s="123"/>
      <c r="C38" s="126" t="s">
        <v>7030</v>
      </c>
      <c r="D38" s="34" t="s">
        <v>7028</v>
      </c>
      <c r="E38" s="34" t="s">
        <v>7029</v>
      </c>
      <c r="F38" s="34" t="s">
        <v>7031</v>
      </c>
      <c r="G38" s="34" t="s">
        <v>7032</v>
      </c>
      <c r="H38" s="34" t="s">
        <v>7033</v>
      </c>
      <c r="I38" s="34" t="s">
        <v>7034</v>
      </c>
      <c r="J38" s="34" t="s">
        <v>7035</v>
      </c>
      <c r="K38" s="34" t="s">
        <v>7036</v>
      </c>
      <c r="L38" s="34" t="s">
        <v>11351</v>
      </c>
      <c r="M38" s="33" t="s">
        <v>11127</v>
      </c>
      <c r="N38" s="1" t="s">
        <v>10922</v>
      </c>
    </row>
    <row r="39" spans="1:14">
      <c r="A39" s="123"/>
      <c r="C39" s="126" t="s">
        <v>7039</v>
      </c>
      <c r="D39" s="34" t="s">
        <v>7037</v>
      </c>
      <c r="E39" s="34" t="s">
        <v>7038</v>
      </c>
      <c r="F39" s="34" t="s">
        <v>7040</v>
      </c>
      <c r="G39" s="34" t="s">
        <v>7041</v>
      </c>
      <c r="H39" s="34" t="s">
        <v>7042</v>
      </c>
      <c r="I39" s="34" t="s">
        <v>7043</v>
      </c>
      <c r="J39" s="34" t="s">
        <v>7044</v>
      </c>
      <c r="K39" s="34" t="s">
        <v>7045</v>
      </c>
      <c r="L39" s="34" t="s">
        <v>9858</v>
      </c>
      <c r="M39" s="33" t="s">
        <v>11128</v>
      </c>
      <c r="N39" s="1" t="s">
        <v>10923</v>
      </c>
    </row>
    <row r="40" spans="1:14">
      <c r="A40" s="123"/>
      <c r="C40" s="126" t="s">
        <v>7048</v>
      </c>
      <c r="D40" s="34" t="s">
        <v>7046</v>
      </c>
      <c r="E40" s="34" t="s">
        <v>7047</v>
      </c>
      <c r="F40" s="34" t="s">
        <v>7049</v>
      </c>
      <c r="G40" s="34" t="s">
        <v>7050</v>
      </c>
      <c r="H40" s="34" t="s">
        <v>7051</v>
      </c>
      <c r="I40" s="34" t="s">
        <v>7052</v>
      </c>
      <c r="J40" s="34" t="s">
        <v>7053</v>
      </c>
      <c r="K40" s="34" t="s">
        <v>7054</v>
      </c>
      <c r="L40" s="34" t="s">
        <v>11352</v>
      </c>
      <c r="M40" s="33" t="s">
        <v>11129</v>
      </c>
      <c r="N40" s="1" t="s">
        <v>10924</v>
      </c>
    </row>
    <row r="41" spans="1:14">
      <c r="A41" s="123"/>
      <c r="C41" s="126" t="s">
        <v>7057</v>
      </c>
      <c r="D41" s="34" t="s">
        <v>7055</v>
      </c>
      <c r="E41" s="34" t="s">
        <v>7056</v>
      </c>
      <c r="F41" s="34" t="s">
        <v>7058</v>
      </c>
      <c r="G41" s="34" t="s">
        <v>7059</v>
      </c>
      <c r="H41" s="34" t="s">
        <v>7060</v>
      </c>
      <c r="I41" s="34" t="s">
        <v>7061</v>
      </c>
      <c r="J41" s="34" t="s">
        <v>7062</v>
      </c>
      <c r="K41" s="34" t="s">
        <v>7063</v>
      </c>
      <c r="L41" s="34" t="s">
        <v>11353</v>
      </c>
      <c r="M41" s="33" t="s">
        <v>11130</v>
      </c>
      <c r="N41" s="1" t="s">
        <v>10925</v>
      </c>
    </row>
    <row r="42" spans="1:14">
      <c r="A42" s="123"/>
      <c r="C42" s="126" t="s">
        <v>7066</v>
      </c>
      <c r="D42" s="34" t="s">
        <v>7064</v>
      </c>
      <c r="E42" s="34" t="s">
        <v>7065</v>
      </c>
      <c r="F42" s="34" t="s">
        <v>7067</v>
      </c>
      <c r="G42" s="34" t="s">
        <v>7068</v>
      </c>
      <c r="H42" s="34" t="s">
        <v>7069</v>
      </c>
      <c r="I42" s="34" t="s">
        <v>7070</v>
      </c>
      <c r="J42" s="34" t="s">
        <v>7071</v>
      </c>
      <c r="K42" s="34" t="s">
        <v>7072</v>
      </c>
      <c r="L42" s="34" t="s">
        <v>9859</v>
      </c>
      <c r="M42" s="33" t="s">
        <v>11131</v>
      </c>
      <c r="N42" s="1" t="s">
        <v>10926</v>
      </c>
    </row>
    <row r="43" spans="1:14">
      <c r="A43" s="123"/>
      <c r="C43" s="126" t="s">
        <v>7075</v>
      </c>
      <c r="D43" s="34" t="s">
        <v>7073</v>
      </c>
      <c r="E43" s="34" t="s">
        <v>7074</v>
      </c>
      <c r="F43" s="34" t="s">
        <v>7076</v>
      </c>
      <c r="G43" s="34" t="s">
        <v>7077</v>
      </c>
      <c r="H43" s="34" t="s">
        <v>7078</v>
      </c>
      <c r="I43" s="34" t="s">
        <v>7079</v>
      </c>
      <c r="J43" s="34" t="s">
        <v>7080</v>
      </c>
      <c r="K43" s="34" t="s">
        <v>7081</v>
      </c>
      <c r="L43" s="34" t="s">
        <v>9860</v>
      </c>
      <c r="M43" s="33" t="s">
        <v>11132</v>
      </c>
      <c r="N43" s="1" t="s">
        <v>10927</v>
      </c>
    </row>
    <row r="44" spans="1:14">
      <c r="A44" s="123"/>
      <c r="C44" s="126" t="s">
        <v>7084</v>
      </c>
      <c r="D44" s="34" t="s">
        <v>7082</v>
      </c>
      <c r="E44" s="34" t="s">
        <v>7083</v>
      </c>
      <c r="F44" s="34" t="s">
        <v>7085</v>
      </c>
      <c r="G44" s="34" t="s">
        <v>7086</v>
      </c>
      <c r="H44" s="34" t="s">
        <v>7087</v>
      </c>
      <c r="I44" s="34" t="s">
        <v>7088</v>
      </c>
      <c r="J44" s="34" t="s">
        <v>7085</v>
      </c>
      <c r="K44" s="34" t="s">
        <v>7089</v>
      </c>
      <c r="L44" s="34" t="s">
        <v>11354</v>
      </c>
      <c r="M44" s="33" t="s">
        <v>11133</v>
      </c>
      <c r="N44" s="1" t="s">
        <v>10928</v>
      </c>
    </row>
    <row r="45" spans="1:14">
      <c r="A45" s="123"/>
      <c r="C45" s="126" t="s">
        <v>7091</v>
      </c>
      <c r="D45" s="34" t="s">
        <v>7090</v>
      </c>
      <c r="E45" s="34" t="s">
        <v>7090</v>
      </c>
      <c r="F45" s="34" t="s">
        <v>7092</v>
      </c>
      <c r="G45" s="34" t="s">
        <v>7093</v>
      </c>
      <c r="H45" s="34" t="s">
        <v>7094</v>
      </c>
      <c r="I45" s="34" t="s">
        <v>7095</v>
      </c>
      <c r="J45" s="34" t="s">
        <v>7096</v>
      </c>
      <c r="K45" s="34" t="s">
        <v>7097</v>
      </c>
      <c r="L45" s="34" t="s">
        <v>11355</v>
      </c>
      <c r="M45" s="33" t="s">
        <v>11134</v>
      </c>
      <c r="N45" s="1" t="s">
        <v>10929</v>
      </c>
    </row>
    <row r="46" spans="1:14">
      <c r="A46" s="123"/>
      <c r="C46" s="126" t="s">
        <v>7100</v>
      </c>
      <c r="D46" s="34" t="s">
        <v>7098</v>
      </c>
      <c r="E46" s="34" t="s">
        <v>7099</v>
      </c>
      <c r="F46" s="34" t="s">
        <v>7101</v>
      </c>
      <c r="G46" s="34" t="s">
        <v>7102</v>
      </c>
      <c r="H46" s="34" t="s">
        <v>7103</v>
      </c>
      <c r="I46" s="34" t="s">
        <v>7104</v>
      </c>
      <c r="J46" s="34" t="s">
        <v>7101</v>
      </c>
      <c r="K46" s="34" t="s">
        <v>7105</v>
      </c>
      <c r="L46" s="34" t="s">
        <v>9861</v>
      </c>
      <c r="M46" s="33" t="s">
        <v>11135</v>
      </c>
      <c r="N46" s="1" t="s">
        <v>10930</v>
      </c>
    </row>
    <row r="47" spans="1:14">
      <c r="A47" s="123"/>
      <c r="C47" s="126" t="s">
        <v>13496</v>
      </c>
      <c r="D47" s="34" t="s">
        <v>13499</v>
      </c>
      <c r="E47" s="34" t="s">
        <v>13500</v>
      </c>
      <c r="F47" s="34" t="s">
        <v>13501</v>
      </c>
      <c r="G47" s="34" t="s">
        <v>13502</v>
      </c>
      <c r="H47" s="34" t="s">
        <v>13503</v>
      </c>
      <c r="I47" s="34" t="s">
        <v>13504</v>
      </c>
      <c r="J47" s="34" t="s">
        <v>13505</v>
      </c>
      <c r="K47" s="34" t="s">
        <v>13506</v>
      </c>
      <c r="L47" s="34" t="s">
        <v>13507</v>
      </c>
      <c r="M47" s="33" t="s">
        <v>13508</v>
      </c>
      <c r="N47" s="1" t="s">
        <v>13509</v>
      </c>
    </row>
    <row r="48" spans="1:14">
      <c r="A48" s="123"/>
      <c r="C48" s="126" t="s">
        <v>7108</v>
      </c>
      <c r="D48" s="34" t="s">
        <v>7106</v>
      </c>
      <c r="E48" s="34" t="s">
        <v>7107</v>
      </c>
      <c r="F48" s="34" t="s">
        <v>7109</v>
      </c>
      <c r="G48" s="34" t="s">
        <v>7110</v>
      </c>
      <c r="H48" s="34" t="s">
        <v>7111</v>
      </c>
      <c r="I48" s="34" t="s">
        <v>7112</v>
      </c>
      <c r="J48" s="34" t="s">
        <v>7113</v>
      </c>
      <c r="K48" s="34" t="s">
        <v>7114</v>
      </c>
      <c r="L48" s="34" t="s">
        <v>11356</v>
      </c>
      <c r="M48" s="33" t="s">
        <v>11544</v>
      </c>
      <c r="N48" s="1" t="s">
        <v>10931</v>
      </c>
    </row>
    <row r="49" spans="1:14">
      <c r="A49" s="123"/>
      <c r="C49" s="126" t="s">
        <v>7117</v>
      </c>
      <c r="D49" s="34" t="s">
        <v>7115</v>
      </c>
      <c r="E49" s="34" t="s">
        <v>7116</v>
      </c>
      <c r="F49" s="34" t="s">
        <v>7118</v>
      </c>
      <c r="G49" s="34" t="s">
        <v>7119</v>
      </c>
      <c r="H49" s="34" t="s">
        <v>7120</v>
      </c>
      <c r="I49" s="34" t="s">
        <v>7121</v>
      </c>
      <c r="J49" s="34" t="s">
        <v>7122</v>
      </c>
      <c r="K49" s="34" t="s">
        <v>7123</v>
      </c>
      <c r="L49" s="34" t="s">
        <v>11357</v>
      </c>
      <c r="M49" s="33" t="s">
        <v>11545</v>
      </c>
      <c r="N49" s="1" t="s">
        <v>10932</v>
      </c>
    </row>
    <row r="50" spans="1:14">
      <c r="A50" s="123"/>
      <c r="C50" s="126" t="s">
        <v>7126</v>
      </c>
      <c r="D50" s="34" t="s">
        <v>7124</v>
      </c>
      <c r="E50" s="36" t="s">
        <v>7125</v>
      </c>
      <c r="F50" s="35" t="s">
        <v>7127</v>
      </c>
      <c r="G50" s="33" t="s">
        <v>7128</v>
      </c>
      <c r="H50" s="33" t="s">
        <v>7129</v>
      </c>
      <c r="I50" s="33" t="s">
        <v>7130</v>
      </c>
      <c r="J50" s="33" t="s">
        <v>7131</v>
      </c>
      <c r="K50" s="33" t="s">
        <v>7132</v>
      </c>
      <c r="L50" s="33" t="s">
        <v>11358</v>
      </c>
      <c r="M50" s="33" t="s">
        <v>11546</v>
      </c>
      <c r="N50" s="1" t="s">
        <v>10933</v>
      </c>
    </row>
    <row r="51" spans="1:14">
      <c r="A51" s="123"/>
      <c r="C51" s="126" t="s">
        <v>7135</v>
      </c>
      <c r="D51" s="34" t="s">
        <v>7133</v>
      </c>
      <c r="E51" s="34" t="s">
        <v>7134</v>
      </c>
      <c r="F51" s="34" t="s">
        <v>7136</v>
      </c>
      <c r="G51" s="34" t="s">
        <v>7137</v>
      </c>
      <c r="H51" s="34" t="s">
        <v>7138</v>
      </c>
      <c r="I51" s="34" t="s">
        <v>7112</v>
      </c>
      <c r="J51" s="34" t="s">
        <v>7139</v>
      </c>
      <c r="K51" s="34" t="s">
        <v>7140</v>
      </c>
      <c r="L51" s="34" t="s">
        <v>11359</v>
      </c>
      <c r="M51" s="33" t="s">
        <v>11136</v>
      </c>
      <c r="N51" s="1" t="s">
        <v>10934</v>
      </c>
    </row>
    <row r="52" spans="1:14">
      <c r="A52" s="123"/>
      <c r="C52" s="126" t="s">
        <v>7143</v>
      </c>
      <c r="D52" s="34" t="s">
        <v>7141</v>
      </c>
      <c r="E52" s="34" t="s">
        <v>7142</v>
      </c>
      <c r="F52" s="34" t="s">
        <v>7144</v>
      </c>
      <c r="G52" s="34" t="s">
        <v>7145</v>
      </c>
      <c r="H52" s="34" t="s">
        <v>7146</v>
      </c>
      <c r="I52" s="34" t="s">
        <v>7147</v>
      </c>
      <c r="J52" s="34" t="s">
        <v>7148</v>
      </c>
      <c r="K52" s="34" t="s">
        <v>7149</v>
      </c>
      <c r="L52" s="34" t="s">
        <v>11360</v>
      </c>
      <c r="M52" s="33" t="s">
        <v>11547</v>
      </c>
      <c r="N52" s="1" t="s">
        <v>10935</v>
      </c>
    </row>
    <row r="53" spans="1:14">
      <c r="A53" s="123"/>
      <c r="C53" s="432" t="s">
        <v>13497</v>
      </c>
      <c r="D53" s="433" t="s">
        <v>13510</v>
      </c>
      <c r="E53" s="433" t="s">
        <v>13511</v>
      </c>
      <c r="F53" s="433" t="s">
        <v>13512</v>
      </c>
      <c r="G53" s="433" t="s">
        <v>13513</v>
      </c>
      <c r="H53" s="433" t="s">
        <v>13514</v>
      </c>
      <c r="I53" s="433" t="s">
        <v>13515</v>
      </c>
      <c r="J53" s="433" t="s">
        <v>13516</v>
      </c>
      <c r="K53" s="433" t="s">
        <v>13517</v>
      </c>
      <c r="L53" s="433" t="s">
        <v>13518</v>
      </c>
      <c r="M53" s="434" t="s">
        <v>13519</v>
      </c>
      <c r="N53" s="216" t="s">
        <v>13520</v>
      </c>
    </row>
    <row r="54" spans="1:14">
      <c r="A54" s="123"/>
      <c r="C54" s="126" t="s">
        <v>7152</v>
      </c>
      <c r="D54" s="34" t="s">
        <v>7150</v>
      </c>
      <c r="E54" s="34" t="s">
        <v>7151</v>
      </c>
      <c r="F54" s="34" t="s">
        <v>7153</v>
      </c>
      <c r="G54" s="34" t="s">
        <v>7154</v>
      </c>
      <c r="H54" s="34" t="s">
        <v>7155</v>
      </c>
      <c r="I54" s="34" t="s">
        <v>7156</v>
      </c>
      <c r="J54" s="34" t="s">
        <v>7157</v>
      </c>
      <c r="K54" s="34" t="s">
        <v>7158</v>
      </c>
      <c r="L54" s="34" t="s">
        <v>11361</v>
      </c>
      <c r="M54" s="33" t="s">
        <v>11548</v>
      </c>
      <c r="N54" s="1" t="s">
        <v>10936</v>
      </c>
    </row>
    <row r="55" spans="1:14">
      <c r="A55" s="123"/>
      <c r="C55" s="126" t="s">
        <v>7161</v>
      </c>
      <c r="D55" s="34" t="s">
        <v>7159</v>
      </c>
      <c r="E55" s="34" t="s">
        <v>7160</v>
      </c>
      <c r="F55" s="34" t="s">
        <v>7162</v>
      </c>
      <c r="G55" s="34" t="s">
        <v>7160</v>
      </c>
      <c r="H55" s="34" t="s">
        <v>7163</v>
      </c>
      <c r="I55" s="34" t="s">
        <v>7164</v>
      </c>
      <c r="J55" s="34" t="s">
        <v>7165</v>
      </c>
      <c r="K55" s="34" t="s">
        <v>7166</v>
      </c>
      <c r="L55" s="34" t="s">
        <v>11362</v>
      </c>
      <c r="M55" s="33" t="s">
        <v>11137</v>
      </c>
      <c r="N55" s="1" t="s">
        <v>10938</v>
      </c>
    </row>
    <row r="56" spans="1:14">
      <c r="A56" s="123"/>
      <c r="C56" s="126" t="s">
        <v>7169</v>
      </c>
      <c r="D56" s="34" t="s">
        <v>7167</v>
      </c>
      <c r="E56" s="34" t="s">
        <v>7168</v>
      </c>
      <c r="F56" s="34" t="s">
        <v>7170</v>
      </c>
      <c r="G56" s="34" t="s">
        <v>7171</v>
      </c>
      <c r="H56" s="34" t="s">
        <v>7172</v>
      </c>
      <c r="I56" s="34" t="s">
        <v>7173</v>
      </c>
      <c r="J56" s="34" t="s">
        <v>7174</v>
      </c>
      <c r="K56" s="34" t="s">
        <v>7175</v>
      </c>
      <c r="L56" s="34" t="s">
        <v>11363</v>
      </c>
      <c r="M56" s="33" t="s">
        <v>11138</v>
      </c>
      <c r="N56" s="1" t="s">
        <v>10939</v>
      </c>
    </row>
    <row r="57" spans="1:14">
      <c r="A57" s="123"/>
      <c r="C57" s="126" t="s">
        <v>7178</v>
      </c>
      <c r="D57" s="34" t="s">
        <v>7176</v>
      </c>
      <c r="E57" s="34" t="s">
        <v>7177</v>
      </c>
      <c r="F57" s="34" t="s">
        <v>7179</v>
      </c>
      <c r="G57" s="34" t="s">
        <v>7180</v>
      </c>
      <c r="H57" s="34" t="s">
        <v>7181</v>
      </c>
      <c r="I57" s="34" t="s">
        <v>7182</v>
      </c>
      <c r="J57" s="34" t="s">
        <v>7183</v>
      </c>
      <c r="K57" s="34" t="s">
        <v>7184</v>
      </c>
      <c r="L57" s="34" t="s">
        <v>11364</v>
      </c>
      <c r="M57" s="33" t="s">
        <v>11549</v>
      </c>
      <c r="N57" s="1" t="s">
        <v>10940</v>
      </c>
    </row>
    <row r="58" spans="1:14">
      <c r="A58" s="123"/>
      <c r="C58" s="126" t="s">
        <v>7187</v>
      </c>
      <c r="D58" s="34" t="s">
        <v>7185</v>
      </c>
      <c r="E58" s="34" t="s">
        <v>7186</v>
      </c>
      <c r="F58" s="34" t="s">
        <v>7188</v>
      </c>
      <c r="G58" s="34" t="s">
        <v>7189</v>
      </c>
      <c r="H58" s="34" t="s">
        <v>7190</v>
      </c>
      <c r="I58" s="34" t="s">
        <v>7191</v>
      </c>
      <c r="J58" s="34" t="s">
        <v>7192</v>
      </c>
      <c r="K58" s="34" t="s">
        <v>7193</v>
      </c>
      <c r="L58" s="34" t="s">
        <v>11365</v>
      </c>
      <c r="M58" s="33" t="s">
        <v>11550</v>
      </c>
      <c r="N58" s="1" t="s">
        <v>10941</v>
      </c>
    </row>
    <row r="59" spans="1:14">
      <c r="A59" s="123"/>
      <c r="C59" s="126" t="s">
        <v>7196</v>
      </c>
      <c r="D59" s="34" t="s">
        <v>7194</v>
      </c>
      <c r="E59" s="34" t="s">
        <v>7195</v>
      </c>
      <c r="F59" s="34" t="s">
        <v>7197</v>
      </c>
      <c r="G59" s="34" t="s">
        <v>7198</v>
      </c>
      <c r="H59" s="34" t="s">
        <v>7199</v>
      </c>
      <c r="I59" s="34" t="s">
        <v>7200</v>
      </c>
      <c r="J59" s="34" t="s">
        <v>7201</v>
      </c>
      <c r="K59" s="34" t="s">
        <v>7202</v>
      </c>
      <c r="L59" s="34" t="s">
        <v>11366</v>
      </c>
      <c r="M59" s="33" t="s">
        <v>11551</v>
      </c>
      <c r="N59" s="1" t="s">
        <v>10942</v>
      </c>
    </row>
    <row r="60" spans="1:14">
      <c r="A60" s="123"/>
      <c r="C60" s="126" t="s">
        <v>7205</v>
      </c>
      <c r="D60" s="34" t="s">
        <v>7203</v>
      </c>
      <c r="E60" s="34" t="s">
        <v>7204</v>
      </c>
      <c r="F60" s="34" t="s">
        <v>7206</v>
      </c>
      <c r="G60" s="34" t="s">
        <v>7207</v>
      </c>
      <c r="H60" s="34" t="s">
        <v>7208</v>
      </c>
      <c r="I60" s="34" t="s">
        <v>7209</v>
      </c>
      <c r="J60" s="34" t="s">
        <v>7210</v>
      </c>
      <c r="K60" s="34" t="s">
        <v>7211</v>
      </c>
      <c r="L60" s="34" t="s">
        <v>11367</v>
      </c>
      <c r="M60" s="33" t="s">
        <v>11139</v>
      </c>
      <c r="N60" s="1" t="s">
        <v>10943</v>
      </c>
    </row>
    <row r="61" spans="1:14">
      <c r="A61" s="123"/>
      <c r="C61" s="126" t="s">
        <v>7214</v>
      </c>
      <c r="D61" s="34" t="s">
        <v>7212</v>
      </c>
      <c r="E61" s="36" t="s">
        <v>7213</v>
      </c>
      <c r="F61" s="35" t="s">
        <v>7215</v>
      </c>
      <c r="G61" s="33" t="s">
        <v>7216</v>
      </c>
      <c r="H61" s="33" t="s">
        <v>7217</v>
      </c>
      <c r="I61" s="33" t="s">
        <v>7218</v>
      </c>
      <c r="J61" s="33" t="s">
        <v>7219</v>
      </c>
      <c r="K61" s="33" t="s">
        <v>7220</v>
      </c>
      <c r="L61" s="33" t="s">
        <v>11368</v>
      </c>
      <c r="M61" s="33" t="s">
        <v>11552</v>
      </c>
      <c r="N61" s="1" t="s">
        <v>10944</v>
      </c>
    </row>
    <row r="62" spans="1:14">
      <c r="A62" s="123"/>
      <c r="C62" s="126" t="s">
        <v>7223</v>
      </c>
      <c r="D62" s="34" t="s">
        <v>7221</v>
      </c>
      <c r="E62" s="34" t="s">
        <v>7222</v>
      </c>
      <c r="F62" s="34" t="s">
        <v>7224</v>
      </c>
      <c r="G62" s="34" t="s">
        <v>7225</v>
      </c>
      <c r="H62" s="34" t="s">
        <v>7226</v>
      </c>
      <c r="I62" s="34" t="s">
        <v>7227</v>
      </c>
      <c r="J62" s="34" t="s">
        <v>7228</v>
      </c>
      <c r="K62" s="34" t="s">
        <v>7229</v>
      </c>
      <c r="L62" s="34" t="s">
        <v>11369</v>
      </c>
      <c r="M62" s="33" t="s">
        <v>11553</v>
      </c>
      <c r="N62" s="1" t="s">
        <v>10945</v>
      </c>
    </row>
    <row r="63" spans="1:14">
      <c r="A63" s="123"/>
      <c r="C63" s="126" t="s">
        <v>7232</v>
      </c>
      <c r="D63" s="34" t="s">
        <v>7230</v>
      </c>
      <c r="E63" s="36" t="s">
        <v>7231</v>
      </c>
      <c r="F63" s="35" t="s">
        <v>7233</v>
      </c>
      <c r="G63" s="33" t="s">
        <v>7234</v>
      </c>
      <c r="H63" s="33" t="s">
        <v>7235</v>
      </c>
      <c r="I63" s="33" t="s">
        <v>7236</v>
      </c>
      <c r="J63" s="33" t="s">
        <v>7237</v>
      </c>
      <c r="K63" s="33" t="s">
        <v>7238</v>
      </c>
      <c r="L63" s="33" t="s">
        <v>11370</v>
      </c>
      <c r="M63" s="33" t="s">
        <v>11554</v>
      </c>
      <c r="N63" s="1" t="s">
        <v>10946</v>
      </c>
    </row>
    <row r="64" spans="1:14">
      <c r="A64" s="123"/>
      <c r="C64" s="126" t="s">
        <v>7241</v>
      </c>
      <c r="D64" s="34" t="s">
        <v>7239</v>
      </c>
      <c r="E64" s="34" t="s">
        <v>7240</v>
      </c>
      <c r="F64" s="34" t="s">
        <v>7242</v>
      </c>
      <c r="G64" s="34" t="s">
        <v>7243</v>
      </c>
      <c r="H64" s="34" t="s">
        <v>7244</v>
      </c>
      <c r="I64" s="34" t="s">
        <v>7245</v>
      </c>
      <c r="J64" s="34" t="s">
        <v>7246</v>
      </c>
      <c r="K64" s="34" t="s">
        <v>7247</v>
      </c>
      <c r="L64" s="34" t="s">
        <v>11371</v>
      </c>
      <c r="M64" s="33" t="s">
        <v>11555</v>
      </c>
      <c r="N64" s="1" t="s">
        <v>10947</v>
      </c>
    </row>
    <row r="65" spans="1:14">
      <c r="A65" s="123"/>
      <c r="C65" s="126" t="s">
        <v>7250</v>
      </c>
      <c r="D65" s="34" t="s">
        <v>7248</v>
      </c>
      <c r="E65" s="34" t="s">
        <v>7249</v>
      </c>
      <c r="F65" s="34" t="s">
        <v>7251</v>
      </c>
      <c r="G65" s="34" t="s">
        <v>7252</v>
      </c>
      <c r="H65" s="34" t="s">
        <v>7253</v>
      </c>
      <c r="I65" s="34" t="s">
        <v>7254</v>
      </c>
      <c r="J65" s="34" t="s">
        <v>7255</v>
      </c>
      <c r="K65" s="34" t="s">
        <v>7256</v>
      </c>
      <c r="L65" s="34" t="s">
        <v>11372</v>
      </c>
      <c r="M65" s="33" t="s">
        <v>11556</v>
      </c>
      <c r="N65" s="1" t="s">
        <v>10948</v>
      </c>
    </row>
    <row r="66" spans="1:14">
      <c r="A66" s="123"/>
      <c r="C66" s="126" t="s">
        <v>7259</v>
      </c>
      <c r="D66" s="34" t="s">
        <v>7257</v>
      </c>
      <c r="E66" s="34" t="s">
        <v>7258</v>
      </c>
      <c r="F66" s="34" t="s">
        <v>7260</v>
      </c>
      <c r="G66" s="34" t="s">
        <v>7261</v>
      </c>
      <c r="H66" s="34" t="s">
        <v>7262</v>
      </c>
      <c r="I66" s="34" t="s">
        <v>7263</v>
      </c>
      <c r="J66" s="34" t="s">
        <v>7264</v>
      </c>
      <c r="K66" s="34" t="s">
        <v>7265</v>
      </c>
      <c r="L66" s="34" t="s">
        <v>11373</v>
      </c>
      <c r="M66" s="33" t="s">
        <v>11557</v>
      </c>
      <c r="N66" s="1" t="s">
        <v>10949</v>
      </c>
    </row>
    <row r="67" spans="1:14">
      <c r="A67" s="123"/>
      <c r="C67" s="126" t="s">
        <v>7268</v>
      </c>
      <c r="D67" s="34" t="s">
        <v>7266</v>
      </c>
      <c r="E67" s="34" t="s">
        <v>7267</v>
      </c>
      <c r="F67" s="34" t="s">
        <v>7269</v>
      </c>
      <c r="G67" s="34" t="s">
        <v>7270</v>
      </c>
      <c r="H67" s="34" t="s">
        <v>7271</v>
      </c>
      <c r="I67" s="34" t="s">
        <v>7272</v>
      </c>
      <c r="J67" s="34" t="s">
        <v>7273</v>
      </c>
      <c r="K67" s="34" t="s">
        <v>7274</v>
      </c>
      <c r="L67" s="34" t="s">
        <v>11374</v>
      </c>
      <c r="M67" s="33" t="s">
        <v>11558</v>
      </c>
      <c r="N67" s="1" t="s">
        <v>10950</v>
      </c>
    </row>
    <row r="68" spans="1:14">
      <c r="A68" s="123"/>
      <c r="C68" s="126" t="s">
        <v>7277</v>
      </c>
      <c r="D68" s="34" t="s">
        <v>7275</v>
      </c>
      <c r="E68" s="34" t="s">
        <v>7276</v>
      </c>
      <c r="F68" s="34" t="s">
        <v>7278</v>
      </c>
      <c r="G68" s="34" t="s">
        <v>7279</v>
      </c>
      <c r="H68" s="34" t="s">
        <v>7280</v>
      </c>
      <c r="I68" s="34" t="s">
        <v>7281</v>
      </c>
      <c r="J68" s="34" t="s">
        <v>7282</v>
      </c>
      <c r="K68" s="34" t="s">
        <v>7283</v>
      </c>
      <c r="L68" s="34" t="s">
        <v>11375</v>
      </c>
      <c r="M68" s="33" t="s">
        <v>11559</v>
      </c>
      <c r="N68" s="1" t="s">
        <v>10951</v>
      </c>
    </row>
    <row r="69" spans="1:14">
      <c r="A69" s="123"/>
      <c r="C69" s="126" t="s">
        <v>7286</v>
      </c>
      <c r="D69" s="34" t="s">
        <v>7284</v>
      </c>
      <c r="E69" s="34" t="s">
        <v>7285</v>
      </c>
      <c r="F69" s="34" t="s">
        <v>7287</v>
      </c>
      <c r="G69" s="34" t="s">
        <v>7288</v>
      </c>
      <c r="H69" s="34" t="s">
        <v>7289</v>
      </c>
      <c r="I69" s="34" t="s">
        <v>7290</v>
      </c>
      <c r="J69" s="34" t="s">
        <v>7291</v>
      </c>
      <c r="K69" s="34" t="s">
        <v>7292</v>
      </c>
      <c r="L69" s="34" t="s">
        <v>11376</v>
      </c>
      <c r="M69" s="33" t="s">
        <v>11140</v>
      </c>
      <c r="N69" s="1" t="s">
        <v>10952</v>
      </c>
    </row>
    <row r="70" spans="1:14">
      <c r="A70" s="123"/>
      <c r="C70" s="126" t="s">
        <v>7295</v>
      </c>
      <c r="D70" s="34" t="s">
        <v>7293</v>
      </c>
      <c r="E70" s="34" t="s">
        <v>7294</v>
      </c>
      <c r="F70" s="34" t="s">
        <v>7296</v>
      </c>
      <c r="G70" s="34" t="s">
        <v>7297</v>
      </c>
      <c r="H70" s="34" t="s">
        <v>7289</v>
      </c>
      <c r="I70" s="34" t="s">
        <v>7298</v>
      </c>
      <c r="J70" s="34" t="s">
        <v>7299</v>
      </c>
      <c r="K70" s="34" t="s">
        <v>7300</v>
      </c>
      <c r="L70" s="34" t="s">
        <v>11376</v>
      </c>
      <c r="M70" s="33" t="s">
        <v>11560</v>
      </c>
      <c r="N70" s="1" t="s">
        <v>10953</v>
      </c>
    </row>
    <row r="71" spans="1:14">
      <c r="A71" s="123"/>
      <c r="C71" s="126" t="s">
        <v>7303</v>
      </c>
      <c r="D71" s="34" t="s">
        <v>7301</v>
      </c>
      <c r="E71" s="36" t="s">
        <v>7302</v>
      </c>
      <c r="F71" s="35" t="s">
        <v>7304</v>
      </c>
      <c r="G71" s="33" t="s">
        <v>7305</v>
      </c>
      <c r="H71" s="33" t="s">
        <v>7306</v>
      </c>
      <c r="I71" s="33" t="s">
        <v>7307</v>
      </c>
      <c r="J71" s="33" t="s">
        <v>7308</v>
      </c>
      <c r="K71" s="33" t="s">
        <v>7309</v>
      </c>
      <c r="L71" s="33" t="s">
        <v>11377</v>
      </c>
      <c r="M71" s="33" t="s">
        <v>11561</v>
      </c>
      <c r="N71" s="1" t="s">
        <v>10954</v>
      </c>
    </row>
    <row r="72" spans="1:14">
      <c r="A72" s="123"/>
      <c r="C72" s="126" t="s">
        <v>7312</v>
      </c>
      <c r="D72" s="34" t="s">
        <v>7310</v>
      </c>
      <c r="E72" s="34" t="s">
        <v>7311</v>
      </c>
      <c r="F72" s="34" t="s">
        <v>7313</v>
      </c>
      <c r="G72" s="34" t="s">
        <v>7314</v>
      </c>
      <c r="H72" s="34" t="s">
        <v>7315</v>
      </c>
      <c r="I72" s="34" t="s">
        <v>7316</v>
      </c>
      <c r="J72" s="34" t="s">
        <v>7317</v>
      </c>
      <c r="K72" s="34" t="s">
        <v>7318</v>
      </c>
      <c r="L72" s="34" t="s">
        <v>11378</v>
      </c>
      <c r="M72" s="33" t="s">
        <v>11562</v>
      </c>
      <c r="N72" s="1" t="s">
        <v>10955</v>
      </c>
    </row>
    <row r="73" spans="1:14">
      <c r="A73" s="123"/>
      <c r="C73" s="126" t="s">
        <v>7321</v>
      </c>
      <c r="D73" s="34" t="s">
        <v>7319</v>
      </c>
      <c r="E73" s="34" t="s">
        <v>7320</v>
      </c>
      <c r="F73" s="34" t="s">
        <v>7322</v>
      </c>
      <c r="G73" s="34" t="s">
        <v>7323</v>
      </c>
      <c r="H73" s="34" t="s">
        <v>7324</v>
      </c>
      <c r="I73" s="34" t="s">
        <v>7325</v>
      </c>
      <c r="J73" s="34" t="s">
        <v>7326</v>
      </c>
      <c r="K73" s="34" t="s">
        <v>7327</v>
      </c>
      <c r="L73" s="34" t="s">
        <v>11379</v>
      </c>
      <c r="M73" s="33" t="s">
        <v>11141</v>
      </c>
      <c r="N73" s="1" t="s">
        <v>10956</v>
      </c>
    </row>
    <row r="74" spans="1:14">
      <c r="A74" s="123"/>
      <c r="C74" s="126" t="s">
        <v>7330</v>
      </c>
      <c r="D74" s="34" t="s">
        <v>7328</v>
      </c>
      <c r="E74" s="34" t="s">
        <v>7329</v>
      </c>
      <c r="F74" s="34" t="s">
        <v>7331</v>
      </c>
      <c r="G74" s="34" t="s">
        <v>7332</v>
      </c>
      <c r="H74" s="34" t="s">
        <v>7333</v>
      </c>
      <c r="I74" s="34" t="s">
        <v>7334</v>
      </c>
      <c r="J74" s="34" t="s">
        <v>7335</v>
      </c>
      <c r="K74" s="34" t="s">
        <v>7336</v>
      </c>
      <c r="L74" s="34" t="s">
        <v>11380</v>
      </c>
      <c r="M74" s="33" t="s">
        <v>11563</v>
      </c>
      <c r="N74" s="1" t="s">
        <v>10957</v>
      </c>
    </row>
    <row r="75" spans="1:14">
      <c r="A75" s="123"/>
      <c r="C75" s="432" t="s">
        <v>13498</v>
      </c>
      <c r="D75" s="433" t="s">
        <v>13521</v>
      </c>
      <c r="E75" s="433" t="s">
        <v>13522</v>
      </c>
      <c r="F75" s="433" t="s">
        <v>13523</v>
      </c>
      <c r="G75" s="433" t="s">
        <v>13524</v>
      </c>
      <c r="H75" s="433" t="s">
        <v>13525</v>
      </c>
      <c r="I75" s="433" t="s">
        <v>7325</v>
      </c>
      <c r="J75" s="433" t="s">
        <v>13526</v>
      </c>
      <c r="K75" s="433" t="s">
        <v>13527</v>
      </c>
      <c r="L75" s="433" t="s">
        <v>13528</v>
      </c>
      <c r="M75" s="434" t="s">
        <v>13529</v>
      </c>
      <c r="N75" s="216" t="s">
        <v>13530</v>
      </c>
    </row>
    <row r="76" spans="1:14">
      <c r="A76" s="123"/>
      <c r="C76" s="126" t="s">
        <v>7339</v>
      </c>
      <c r="D76" s="34" t="s">
        <v>7337</v>
      </c>
      <c r="E76" s="34" t="s">
        <v>7338</v>
      </c>
      <c r="F76" s="34" t="s">
        <v>7340</v>
      </c>
      <c r="G76" s="34" t="s">
        <v>7341</v>
      </c>
      <c r="H76" s="34" t="s">
        <v>7342</v>
      </c>
      <c r="I76" s="34" t="s">
        <v>7343</v>
      </c>
      <c r="J76" s="34" t="s">
        <v>7344</v>
      </c>
      <c r="K76" s="34" t="s">
        <v>7345</v>
      </c>
      <c r="L76" s="34" t="s">
        <v>11381</v>
      </c>
      <c r="M76" s="33" t="s">
        <v>11564</v>
      </c>
      <c r="N76" s="1" t="s">
        <v>10958</v>
      </c>
    </row>
    <row r="77" spans="1:14">
      <c r="A77" s="123"/>
      <c r="C77" s="126" t="s">
        <v>7348</v>
      </c>
      <c r="D77" s="34" t="s">
        <v>7346</v>
      </c>
      <c r="E77" s="34" t="s">
        <v>7347</v>
      </c>
      <c r="F77" s="34" t="s">
        <v>7349</v>
      </c>
      <c r="G77" s="34" t="s">
        <v>7350</v>
      </c>
      <c r="H77" s="34" t="s">
        <v>7351</v>
      </c>
      <c r="I77" s="34" t="s">
        <v>7352</v>
      </c>
      <c r="J77" s="34" t="s">
        <v>7353</v>
      </c>
      <c r="K77" s="34" t="s">
        <v>7354</v>
      </c>
      <c r="L77" s="34" t="s">
        <v>11382</v>
      </c>
      <c r="M77" s="33" t="s">
        <v>11565</v>
      </c>
      <c r="N77" s="1" t="s">
        <v>10959</v>
      </c>
    </row>
    <row r="78" spans="1:14">
      <c r="A78" s="123"/>
      <c r="C78" s="126" t="s">
        <v>7357</v>
      </c>
      <c r="D78" s="34" t="s">
        <v>7355</v>
      </c>
      <c r="E78" s="34" t="s">
        <v>7356</v>
      </c>
      <c r="F78" s="34" t="s">
        <v>7358</v>
      </c>
      <c r="G78" s="34" t="s">
        <v>7359</v>
      </c>
      <c r="H78" s="34" t="s">
        <v>7360</v>
      </c>
      <c r="I78" s="34" t="s">
        <v>7361</v>
      </c>
      <c r="J78" s="34" t="s">
        <v>7362</v>
      </c>
      <c r="K78" s="34" t="s">
        <v>7363</v>
      </c>
      <c r="L78" s="34" t="s">
        <v>11383</v>
      </c>
      <c r="M78" s="33" t="s">
        <v>11566</v>
      </c>
      <c r="N78" s="1" t="s">
        <v>10960</v>
      </c>
    </row>
    <row r="79" spans="1:14">
      <c r="A79" s="123"/>
      <c r="C79" s="126" t="s">
        <v>7366</v>
      </c>
      <c r="D79" s="34" t="s">
        <v>7364</v>
      </c>
      <c r="E79" s="34" t="s">
        <v>7365</v>
      </c>
      <c r="F79" s="34" t="s">
        <v>7367</v>
      </c>
      <c r="G79" s="34" t="s">
        <v>7368</v>
      </c>
      <c r="H79" s="34" t="s">
        <v>7369</v>
      </c>
      <c r="I79" s="34" t="s">
        <v>7370</v>
      </c>
      <c r="J79" s="34" t="s">
        <v>7371</v>
      </c>
      <c r="K79" s="34" t="s">
        <v>7372</v>
      </c>
      <c r="L79" s="34" t="s">
        <v>11384</v>
      </c>
      <c r="M79" s="33" t="s">
        <v>11567</v>
      </c>
      <c r="N79" s="1" t="s">
        <v>10961</v>
      </c>
    </row>
    <row r="80" spans="1:14">
      <c r="A80" s="123"/>
      <c r="C80" s="126" t="s">
        <v>7375</v>
      </c>
      <c r="D80" s="34" t="s">
        <v>7373</v>
      </c>
      <c r="E80" s="34" t="s">
        <v>7374</v>
      </c>
      <c r="F80" s="34" t="s">
        <v>7376</v>
      </c>
      <c r="G80" s="34" t="s">
        <v>7377</v>
      </c>
      <c r="H80" s="34" t="s">
        <v>7378</v>
      </c>
      <c r="I80" s="34" t="s">
        <v>7379</v>
      </c>
      <c r="J80" s="34" t="s">
        <v>7380</v>
      </c>
      <c r="K80" s="34" t="s">
        <v>7381</v>
      </c>
      <c r="L80" s="34" t="s">
        <v>11385</v>
      </c>
      <c r="M80" s="33" t="s">
        <v>11142</v>
      </c>
      <c r="N80" s="1" t="s">
        <v>10962</v>
      </c>
    </row>
    <row r="81" spans="1:14">
      <c r="A81" s="123"/>
      <c r="C81" s="126" t="s">
        <v>7384</v>
      </c>
      <c r="D81" s="34" t="s">
        <v>7382</v>
      </c>
      <c r="E81" s="36" t="s">
        <v>7383</v>
      </c>
      <c r="F81" s="35" t="s">
        <v>7385</v>
      </c>
      <c r="G81" s="33" t="s">
        <v>7386</v>
      </c>
      <c r="H81" s="33" t="s">
        <v>7387</v>
      </c>
      <c r="I81" s="33" t="s">
        <v>7388</v>
      </c>
      <c r="J81" s="33" t="s">
        <v>7389</v>
      </c>
      <c r="K81" s="33" t="s">
        <v>7390</v>
      </c>
      <c r="L81" s="33" t="s">
        <v>11386</v>
      </c>
      <c r="M81" s="33" t="s">
        <v>11143</v>
      </c>
      <c r="N81" s="1" t="s">
        <v>10963</v>
      </c>
    </row>
    <row r="82" spans="1:14">
      <c r="A82" s="123"/>
      <c r="C82" s="126" t="s">
        <v>7393</v>
      </c>
      <c r="D82" s="34" t="s">
        <v>7391</v>
      </c>
      <c r="E82" s="34" t="s">
        <v>7392</v>
      </c>
      <c r="F82" s="34" t="s">
        <v>7394</v>
      </c>
      <c r="G82" s="34" t="s">
        <v>7395</v>
      </c>
      <c r="H82" s="34" t="s">
        <v>7396</v>
      </c>
      <c r="I82" s="34" t="s">
        <v>7397</v>
      </c>
      <c r="J82" s="34" t="s">
        <v>7398</v>
      </c>
      <c r="K82" s="34" t="s">
        <v>7399</v>
      </c>
      <c r="L82" s="34" t="s">
        <v>11387</v>
      </c>
      <c r="M82" s="33" t="s">
        <v>11568</v>
      </c>
      <c r="N82" s="1" t="s">
        <v>10964</v>
      </c>
    </row>
    <row r="83" spans="1:14">
      <c r="A83" s="123"/>
      <c r="C83" s="126" t="s">
        <v>7402</v>
      </c>
      <c r="D83" s="34" t="s">
        <v>7400</v>
      </c>
      <c r="E83" s="34" t="s">
        <v>7401</v>
      </c>
      <c r="F83" s="34" t="s">
        <v>7403</v>
      </c>
      <c r="G83" s="34" t="s">
        <v>7404</v>
      </c>
      <c r="H83" s="34" t="s">
        <v>7405</v>
      </c>
      <c r="I83" s="34" t="s">
        <v>7406</v>
      </c>
      <c r="J83" s="34" t="s">
        <v>7407</v>
      </c>
      <c r="K83" s="34" t="s">
        <v>7408</v>
      </c>
      <c r="L83" s="34" t="s">
        <v>11388</v>
      </c>
      <c r="M83" s="33" t="s">
        <v>11569</v>
      </c>
      <c r="N83" s="1" t="s">
        <v>10965</v>
      </c>
    </row>
    <row r="84" spans="1:14">
      <c r="A84" s="123"/>
      <c r="C84" s="126" t="s">
        <v>7411</v>
      </c>
      <c r="D84" s="34" t="s">
        <v>7409</v>
      </c>
      <c r="E84" s="34" t="s">
        <v>7410</v>
      </c>
      <c r="F84" s="34" t="s">
        <v>7412</v>
      </c>
      <c r="G84" s="34" t="s">
        <v>7413</v>
      </c>
      <c r="H84" s="34" t="s">
        <v>7414</v>
      </c>
      <c r="I84" s="34" t="s">
        <v>7415</v>
      </c>
      <c r="J84" s="34" t="s">
        <v>7416</v>
      </c>
      <c r="K84" s="34" t="s">
        <v>7417</v>
      </c>
      <c r="L84" s="34" t="s">
        <v>11389</v>
      </c>
      <c r="M84" s="33" t="s">
        <v>11570</v>
      </c>
      <c r="N84" s="1" t="s">
        <v>10966</v>
      </c>
    </row>
    <row r="85" spans="1:14">
      <c r="A85" s="123"/>
      <c r="C85" s="126" t="s">
        <v>7420</v>
      </c>
      <c r="D85" s="34" t="s">
        <v>7418</v>
      </c>
      <c r="E85" s="34" t="s">
        <v>7419</v>
      </c>
      <c r="F85" s="34" t="s">
        <v>7421</v>
      </c>
      <c r="G85" s="34" t="s">
        <v>7422</v>
      </c>
      <c r="H85" s="34" t="s">
        <v>7423</v>
      </c>
      <c r="I85" s="34" t="s">
        <v>7424</v>
      </c>
      <c r="J85" s="34" t="s">
        <v>7425</v>
      </c>
      <c r="K85" s="34" t="s">
        <v>7426</v>
      </c>
      <c r="L85" s="34" t="s">
        <v>11388</v>
      </c>
      <c r="M85" s="33" t="s">
        <v>11571</v>
      </c>
      <c r="N85" s="1" t="s">
        <v>10967</v>
      </c>
    </row>
    <row r="86" spans="1:14">
      <c r="A86" s="123"/>
      <c r="C86" s="126" t="s">
        <v>7429</v>
      </c>
      <c r="D86" s="34" t="s">
        <v>7427</v>
      </c>
      <c r="E86" s="34" t="s">
        <v>7428</v>
      </c>
      <c r="F86" s="34" t="s">
        <v>7430</v>
      </c>
      <c r="G86" s="34" t="s">
        <v>7431</v>
      </c>
      <c r="H86" s="34" t="s">
        <v>7432</v>
      </c>
      <c r="I86" s="34" t="s">
        <v>7433</v>
      </c>
      <c r="J86" s="34" t="s">
        <v>7434</v>
      </c>
      <c r="K86" s="34" t="s">
        <v>7435</v>
      </c>
      <c r="L86" s="34" t="s">
        <v>11389</v>
      </c>
      <c r="M86" s="33" t="s">
        <v>11572</v>
      </c>
      <c r="N86" s="1" t="s">
        <v>10968</v>
      </c>
    </row>
    <row r="87" spans="1:14">
      <c r="A87" s="123"/>
      <c r="C87" s="126" t="s">
        <v>7438</v>
      </c>
      <c r="D87" s="34" t="s">
        <v>7436</v>
      </c>
      <c r="E87" s="34" t="s">
        <v>7437</v>
      </c>
      <c r="F87" s="34" t="s">
        <v>7439</v>
      </c>
      <c r="G87" s="34" t="s">
        <v>7440</v>
      </c>
      <c r="H87" s="34" t="s">
        <v>7441</v>
      </c>
      <c r="I87" s="34" t="s">
        <v>7442</v>
      </c>
      <c r="J87" s="34" t="s">
        <v>7443</v>
      </c>
      <c r="K87" s="34" t="s">
        <v>7444</v>
      </c>
      <c r="L87" s="34" t="s">
        <v>11390</v>
      </c>
      <c r="M87" s="33" t="s">
        <v>11550</v>
      </c>
      <c r="N87" s="1" t="s">
        <v>10970</v>
      </c>
    </row>
    <row r="88" spans="1:14">
      <c r="A88" s="123"/>
      <c r="C88" s="126" t="s">
        <v>7447</v>
      </c>
      <c r="D88" s="34" t="s">
        <v>7445</v>
      </c>
      <c r="E88" s="34" t="s">
        <v>7446</v>
      </c>
      <c r="F88" s="34" t="s">
        <v>7448</v>
      </c>
      <c r="G88" s="34" t="s">
        <v>7449</v>
      </c>
      <c r="H88" s="34" t="s">
        <v>7450</v>
      </c>
      <c r="I88" s="34" t="s">
        <v>7451</v>
      </c>
      <c r="J88" s="34" t="s">
        <v>7452</v>
      </c>
      <c r="K88" s="34" t="s">
        <v>7453</v>
      </c>
      <c r="L88" s="34" t="s">
        <v>11391</v>
      </c>
      <c r="M88" s="33" t="s">
        <v>11573</v>
      </c>
      <c r="N88" s="1" t="s">
        <v>10971</v>
      </c>
    </row>
    <row r="89" spans="1:14">
      <c r="A89" s="123"/>
      <c r="C89" s="126" t="s">
        <v>7456</v>
      </c>
      <c r="D89" s="34" t="s">
        <v>7454</v>
      </c>
      <c r="E89" s="34" t="s">
        <v>7455</v>
      </c>
      <c r="F89" s="34" t="s">
        <v>7457</v>
      </c>
      <c r="G89" s="34" t="s">
        <v>7458</v>
      </c>
      <c r="H89" s="34" t="s">
        <v>7459</v>
      </c>
      <c r="I89" s="34" t="s">
        <v>7460</v>
      </c>
      <c r="J89" s="34" t="s">
        <v>7461</v>
      </c>
      <c r="K89" s="34" t="s">
        <v>7462</v>
      </c>
      <c r="L89" s="34" t="s">
        <v>11392</v>
      </c>
      <c r="M89" s="33" t="s">
        <v>11574</v>
      </c>
      <c r="N89" s="1" t="s">
        <v>10972</v>
      </c>
    </row>
    <row r="90" spans="1:14">
      <c r="A90" s="123"/>
      <c r="C90" s="126" t="s">
        <v>7465</v>
      </c>
      <c r="D90" s="34" t="s">
        <v>7463</v>
      </c>
      <c r="E90" s="34" t="s">
        <v>7464</v>
      </c>
      <c r="F90" s="34" t="s">
        <v>7466</v>
      </c>
      <c r="G90" s="34" t="s">
        <v>7467</v>
      </c>
      <c r="H90" s="34" t="s">
        <v>7468</v>
      </c>
      <c r="I90" s="34" t="s">
        <v>7451</v>
      </c>
      <c r="J90" s="34" t="s">
        <v>7469</v>
      </c>
      <c r="K90" s="34" t="s">
        <v>7470</v>
      </c>
      <c r="L90" s="34" t="s">
        <v>11393</v>
      </c>
      <c r="M90" s="33" t="s">
        <v>11575</v>
      </c>
      <c r="N90" s="1" t="s">
        <v>10973</v>
      </c>
    </row>
    <row r="91" spans="1:14">
      <c r="A91" s="123"/>
      <c r="C91" s="126" t="s">
        <v>7473</v>
      </c>
      <c r="D91" s="34" t="s">
        <v>7471</v>
      </c>
      <c r="E91" s="34" t="s">
        <v>7472</v>
      </c>
      <c r="F91" s="34" t="s">
        <v>7474</v>
      </c>
      <c r="G91" s="34" t="s">
        <v>7475</v>
      </c>
      <c r="H91" s="34" t="s">
        <v>7476</v>
      </c>
      <c r="I91" s="34" t="s">
        <v>7477</v>
      </c>
      <c r="J91" s="34" t="s">
        <v>7478</v>
      </c>
      <c r="K91" s="34" t="s">
        <v>7479</v>
      </c>
      <c r="L91" s="34" t="s">
        <v>11394</v>
      </c>
      <c r="M91" s="33" t="s">
        <v>11576</v>
      </c>
      <c r="N91" s="1" t="s">
        <v>10974</v>
      </c>
    </row>
    <row r="92" spans="1:14">
      <c r="A92" s="123"/>
      <c r="C92" s="126" t="s">
        <v>7482</v>
      </c>
      <c r="D92" s="34" t="s">
        <v>7480</v>
      </c>
      <c r="E92" s="34" t="s">
        <v>7481</v>
      </c>
      <c r="F92" s="34" t="s">
        <v>7483</v>
      </c>
      <c r="G92" s="34" t="s">
        <v>7484</v>
      </c>
      <c r="H92" s="34" t="s">
        <v>7485</v>
      </c>
      <c r="I92" s="34" t="s">
        <v>7486</v>
      </c>
      <c r="J92" s="34" t="s">
        <v>7487</v>
      </c>
      <c r="K92" s="34" t="s">
        <v>7488</v>
      </c>
      <c r="L92" s="34" t="s">
        <v>11395</v>
      </c>
      <c r="M92" s="33" t="s">
        <v>11577</v>
      </c>
      <c r="N92" s="1" t="s">
        <v>10976</v>
      </c>
    </row>
    <row r="93" spans="1:14">
      <c r="A93" s="123"/>
      <c r="C93" s="126" t="s">
        <v>7491</v>
      </c>
      <c r="D93" s="34" t="s">
        <v>7489</v>
      </c>
      <c r="E93" s="34" t="s">
        <v>7490</v>
      </c>
      <c r="F93" s="34" t="s">
        <v>7492</v>
      </c>
      <c r="G93" s="34" t="s">
        <v>7493</v>
      </c>
      <c r="H93" s="34" t="s">
        <v>7494</v>
      </c>
      <c r="I93" s="34" t="s">
        <v>7495</v>
      </c>
      <c r="J93" s="34" t="s">
        <v>7496</v>
      </c>
      <c r="K93" s="34" t="s">
        <v>7497</v>
      </c>
      <c r="L93" s="34" t="s">
        <v>11396</v>
      </c>
      <c r="M93" s="33" t="s">
        <v>11578</v>
      </c>
      <c r="N93" s="1" t="s">
        <v>10977</v>
      </c>
    </row>
    <row r="94" spans="1:14">
      <c r="A94" s="123"/>
      <c r="C94" s="126" t="s">
        <v>7500</v>
      </c>
      <c r="D94" s="34" t="s">
        <v>7498</v>
      </c>
      <c r="E94" s="34" t="s">
        <v>7499</v>
      </c>
      <c r="F94" s="34" t="s">
        <v>7501</v>
      </c>
      <c r="G94" s="34" t="s">
        <v>7502</v>
      </c>
      <c r="H94" s="34" t="s">
        <v>7503</v>
      </c>
      <c r="I94" s="34" t="s">
        <v>7504</v>
      </c>
      <c r="J94" s="34" t="s">
        <v>7505</v>
      </c>
      <c r="K94" s="34" t="s">
        <v>7506</v>
      </c>
      <c r="L94" s="34" t="s">
        <v>11397</v>
      </c>
      <c r="M94" s="33" t="s">
        <v>11579</v>
      </c>
      <c r="N94" s="1" t="s">
        <v>10978</v>
      </c>
    </row>
    <row r="95" spans="1:14">
      <c r="A95" s="123"/>
      <c r="C95" s="126" t="s">
        <v>7509</v>
      </c>
      <c r="D95" s="34" t="s">
        <v>7507</v>
      </c>
      <c r="E95" s="34" t="s">
        <v>7508</v>
      </c>
      <c r="F95" s="34" t="s">
        <v>7510</v>
      </c>
      <c r="G95" s="34" t="s">
        <v>7511</v>
      </c>
      <c r="H95" s="34" t="s">
        <v>7512</v>
      </c>
      <c r="I95" s="34" t="s">
        <v>7513</v>
      </c>
      <c r="J95" s="34" t="s">
        <v>7514</v>
      </c>
      <c r="K95" s="34" t="s">
        <v>7515</v>
      </c>
      <c r="L95" s="34" t="s">
        <v>11398</v>
      </c>
      <c r="M95" s="33" t="s">
        <v>11580</v>
      </c>
      <c r="N95" s="1" t="s">
        <v>10979</v>
      </c>
    </row>
    <row r="96" spans="1:14">
      <c r="A96" s="123"/>
      <c r="C96" s="126" t="s">
        <v>7518</v>
      </c>
      <c r="D96" s="34" t="s">
        <v>7516</v>
      </c>
      <c r="E96" s="34" t="s">
        <v>7517</v>
      </c>
      <c r="F96" s="34" t="s">
        <v>7519</v>
      </c>
      <c r="G96" s="34" t="s">
        <v>7520</v>
      </c>
      <c r="H96" s="34" t="s">
        <v>7521</v>
      </c>
      <c r="I96" s="34" t="s">
        <v>7522</v>
      </c>
      <c r="J96" s="34" t="s">
        <v>7523</v>
      </c>
      <c r="K96" s="34" t="s">
        <v>7524</v>
      </c>
      <c r="L96" s="34" t="s">
        <v>11399</v>
      </c>
      <c r="M96" s="33" t="s">
        <v>11581</v>
      </c>
      <c r="N96" s="1" t="s">
        <v>10980</v>
      </c>
    </row>
    <row r="97" spans="1:14">
      <c r="A97" s="123"/>
      <c r="C97" s="126" t="s">
        <v>7527</v>
      </c>
      <c r="D97" s="34" t="s">
        <v>7525</v>
      </c>
      <c r="E97" s="34" t="s">
        <v>7526</v>
      </c>
      <c r="F97" s="34" t="s">
        <v>7528</v>
      </c>
      <c r="G97" s="34" t="s">
        <v>7529</v>
      </c>
      <c r="H97" s="34" t="s">
        <v>7530</v>
      </c>
      <c r="I97" s="34" t="s">
        <v>7531</v>
      </c>
      <c r="J97" s="34" t="s">
        <v>7532</v>
      </c>
      <c r="K97" s="34" t="s">
        <v>7533</v>
      </c>
      <c r="L97" s="34" t="s">
        <v>11400</v>
      </c>
      <c r="M97" s="33" t="s">
        <v>11582</v>
      </c>
      <c r="N97" s="1" t="s">
        <v>10981</v>
      </c>
    </row>
    <row r="98" spans="1:14">
      <c r="A98" s="123"/>
      <c r="C98" s="126" t="s">
        <v>7536</v>
      </c>
      <c r="D98" s="34" t="s">
        <v>7534</v>
      </c>
      <c r="E98" s="34" t="s">
        <v>7535</v>
      </c>
      <c r="F98" s="34" t="s">
        <v>7537</v>
      </c>
      <c r="G98" s="34" t="s">
        <v>7538</v>
      </c>
      <c r="H98" s="34" t="s">
        <v>7539</v>
      </c>
      <c r="I98" s="34" t="s">
        <v>7540</v>
      </c>
      <c r="J98" s="34" t="s">
        <v>7541</v>
      </c>
      <c r="K98" s="34" t="s">
        <v>7542</v>
      </c>
      <c r="L98" s="34" t="s">
        <v>11401</v>
      </c>
      <c r="M98" s="33" t="s">
        <v>11583</v>
      </c>
      <c r="N98" s="1" t="s">
        <v>10982</v>
      </c>
    </row>
    <row r="99" spans="1:14">
      <c r="A99" s="123"/>
      <c r="C99" s="126" t="s">
        <v>7545</v>
      </c>
      <c r="D99" s="34" t="s">
        <v>7543</v>
      </c>
      <c r="E99" s="34" t="s">
        <v>7544</v>
      </c>
      <c r="F99" s="34" t="s">
        <v>7546</v>
      </c>
      <c r="G99" s="34" t="s">
        <v>7547</v>
      </c>
      <c r="H99" s="34" t="s">
        <v>7548</v>
      </c>
      <c r="I99" s="34" t="s">
        <v>7549</v>
      </c>
      <c r="J99" s="34" t="s">
        <v>7550</v>
      </c>
      <c r="K99" s="34" t="s">
        <v>7551</v>
      </c>
      <c r="L99" s="34" t="s">
        <v>11402</v>
      </c>
      <c r="M99" s="33" t="s">
        <v>11584</v>
      </c>
      <c r="N99" s="1" t="s">
        <v>10983</v>
      </c>
    </row>
    <row r="100" spans="1:14">
      <c r="A100" s="123"/>
      <c r="C100" s="126" t="s">
        <v>7554</v>
      </c>
      <c r="D100" s="34" t="s">
        <v>7552</v>
      </c>
      <c r="E100" s="34" t="s">
        <v>7553</v>
      </c>
      <c r="F100" s="34" t="s">
        <v>7555</v>
      </c>
      <c r="G100" s="34" t="s">
        <v>7556</v>
      </c>
      <c r="H100" s="34" t="s">
        <v>7557</v>
      </c>
      <c r="I100" s="34" t="s">
        <v>7558</v>
      </c>
      <c r="J100" s="34" t="s">
        <v>7559</v>
      </c>
      <c r="K100" s="34" t="s">
        <v>7560</v>
      </c>
      <c r="L100" s="34" t="s">
        <v>11403</v>
      </c>
      <c r="M100" s="33" t="s">
        <v>11585</v>
      </c>
      <c r="N100" s="1" t="s">
        <v>10984</v>
      </c>
    </row>
    <row r="101" spans="1:14">
      <c r="A101" s="123"/>
      <c r="C101" s="126" t="s">
        <v>7563</v>
      </c>
      <c r="D101" s="34" t="s">
        <v>7561</v>
      </c>
      <c r="E101" s="34" t="s">
        <v>7562</v>
      </c>
      <c r="F101" s="34" t="s">
        <v>7564</v>
      </c>
      <c r="G101" s="34" t="s">
        <v>7565</v>
      </c>
      <c r="H101" s="34" t="s">
        <v>7566</v>
      </c>
      <c r="I101" s="34" t="s">
        <v>7567</v>
      </c>
      <c r="J101" s="34" t="s">
        <v>7568</v>
      </c>
      <c r="K101" s="34" t="s">
        <v>7569</v>
      </c>
      <c r="L101" s="34" t="s">
        <v>11404</v>
      </c>
      <c r="M101" s="33" t="s">
        <v>11586</v>
      </c>
      <c r="N101" s="1" t="s">
        <v>10985</v>
      </c>
    </row>
    <row r="102" spans="1:14">
      <c r="A102" s="123"/>
      <c r="C102" s="126" t="s">
        <v>7572</v>
      </c>
      <c r="D102" s="34" t="s">
        <v>7570</v>
      </c>
      <c r="E102" s="34" t="s">
        <v>7571</v>
      </c>
      <c r="F102" s="34" t="s">
        <v>7573</v>
      </c>
      <c r="G102" s="34" t="s">
        <v>7574</v>
      </c>
      <c r="H102" s="34" t="s">
        <v>7575</v>
      </c>
      <c r="I102" s="34" t="s">
        <v>7576</v>
      </c>
      <c r="J102" s="34" t="s">
        <v>7577</v>
      </c>
      <c r="K102" s="34" t="s">
        <v>7578</v>
      </c>
      <c r="L102" s="34" t="s">
        <v>11405</v>
      </c>
      <c r="M102" s="33" t="s">
        <v>11587</v>
      </c>
      <c r="N102" s="1" t="s">
        <v>10986</v>
      </c>
    </row>
    <row r="103" spans="1:14">
      <c r="A103" s="123"/>
      <c r="C103" s="126" t="s">
        <v>7581</v>
      </c>
      <c r="D103" s="34" t="s">
        <v>7579</v>
      </c>
      <c r="E103" s="34" t="s">
        <v>7580</v>
      </c>
      <c r="F103" s="34" t="s">
        <v>7582</v>
      </c>
      <c r="G103" s="34" t="s">
        <v>7583</v>
      </c>
      <c r="H103" s="34" t="s">
        <v>7584</v>
      </c>
      <c r="I103" s="34" t="s">
        <v>7585</v>
      </c>
      <c r="J103" s="34" t="s">
        <v>7586</v>
      </c>
      <c r="K103" s="34" t="s">
        <v>7587</v>
      </c>
      <c r="L103" s="34" t="s">
        <v>11406</v>
      </c>
      <c r="M103" s="33" t="s">
        <v>11588</v>
      </c>
      <c r="N103" s="1" t="s">
        <v>10987</v>
      </c>
    </row>
    <row r="104" spans="1:14">
      <c r="A104" s="123"/>
      <c r="C104" s="126" t="s">
        <v>7590</v>
      </c>
      <c r="D104" s="34" t="s">
        <v>7588</v>
      </c>
      <c r="E104" s="36" t="s">
        <v>7589</v>
      </c>
      <c r="F104" s="35" t="s">
        <v>7591</v>
      </c>
      <c r="G104" s="33" t="s">
        <v>7592</v>
      </c>
      <c r="H104" s="33" t="s">
        <v>7593</v>
      </c>
      <c r="I104" s="33" t="s">
        <v>7594</v>
      </c>
      <c r="J104" s="33" t="s">
        <v>7595</v>
      </c>
      <c r="K104" s="33" t="s">
        <v>7596</v>
      </c>
      <c r="L104" s="33" t="s">
        <v>11407</v>
      </c>
      <c r="M104" s="33" t="s">
        <v>11589</v>
      </c>
      <c r="N104" s="1" t="s">
        <v>10988</v>
      </c>
    </row>
    <row r="105" spans="1:14">
      <c r="A105" s="123"/>
      <c r="C105" s="126" t="s">
        <v>7599</v>
      </c>
      <c r="D105" s="34" t="s">
        <v>7597</v>
      </c>
      <c r="E105" s="34" t="s">
        <v>7598</v>
      </c>
      <c r="F105" s="34" t="s">
        <v>7600</v>
      </c>
      <c r="G105" s="34" t="s">
        <v>7601</v>
      </c>
      <c r="H105" s="34" t="s">
        <v>7602</v>
      </c>
      <c r="I105" s="34" t="s">
        <v>7585</v>
      </c>
      <c r="J105" s="34" t="s">
        <v>7603</v>
      </c>
      <c r="K105" s="34" t="s">
        <v>7604</v>
      </c>
      <c r="L105" s="34" t="s">
        <v>11408</v>
      </c>
      <c r="M105" s="33" t="s">
        <v>11590</v>
      </c>
      <c r="N105" s="1" t="s">
        <v>10989</v>
      </c>
    </row>
    <row r="106" spans="1:14">
      <c r="A106" s="123"/>
      <c r="C106" s="126" t="s">
        <v>7607</v>
      </c>
      <c r="D106" s="34" t="s">
        <v>7605</v>
      </c>
      <c r="E106" s="34" t="s">
        <v>7606</v>
      </c>
      <c r="F106" s="34" t="s">
        <v>7608</v>
      </c>
      <c r="G106" s="34" t="s">
        <v>7609</v>
      </c>
      <c r="H106" s="34" t="s">
        <v>7610</v>
      </c>
      <c r="I106" s="34" t="s">
        <v>7611</v>
      </c>
      <c r="J106" s="34" t="s">
        <v>7612</v>
      </c>
      <c r="K106" s="34" t="s">
        <v>7613</v>
      </c>
      <c r="L106" s="34" t="s">
        <v>11409</v>
      </c>
      <c r="M106" s="33" t="s">
        <v>11591</v>
      </c>
      <c r="N106" s="1" t="s">
        <v>10990</v>
      </c>
    </row>
    <row r="107" spans="1:14">
      <c r="A107" s="123"/>
      <c r="C107" s="126" t="s">
        <v>7616</v>
      </c>
      <c r="D107" s="34" t="s">
        <v>7614</v>
      </c>
      <c r="E107" s="34" t="s">
        <v>7615</v>
      </c>
      <c r="F107" s="34" t="s">
        <v>7617</v>
      </c>
      <c r="G107" s="34" t="s">
        <v>7618</v>
      </c>
      <c r="H107" s="34" t="s">
        <v>7619</v>
      </c>
      <c r="I107" s="34" t="s">
        <v>7620</v>
      </c>
      <c r="J107" s="34" t="s">
        <v>7621</v>
      </c>
      <c r="K107" s="34" t="s">
        <v>7622</v>
      </c>
      <c r="L107" s="34" t="s">
        <v>11410</v>
      </c>
      <c r="M107" s="33" t="s">
        <v>11592</v>
      </c>
      <c r="N107" s="1" t="s">
        <v>10991</v>
      </c>
    </row>
    <row r="108" spans="1:14">
      <c r="A108" s="123"/>
      <c r="C108" s="126" t="s">
        <v>7625</v>
      </c>
      <c r="D108" s="34" t="s">
        <v>7623</v>
      </c>
      <c r="E108" s="34" t="s">
        <v>7624</v>
      </c>
      <c r="F108" s="34" t="s">
        <v>7626</v>
      </c>
      <c r="G108" s="34" t="s">
        <v>7627</v>
      </c>
      <c r="H108" s="34" t="s">
        <v>7628</v>
      </c>
      <c r="I108" s="34" t="s">
        <v>7629</v>
      </c>
      <c r="J108" s="34" t="s">
        <v>7630</v>
      </c>
      <c r="K108" s="34" t="s">
        <v>7631</v>
      </c>
      <c r="L108" s="34" t="s">
        <v>11411</v>
      </c>
      <c r="M108" s="33" t="s">
        <v>11593</v>
      </c>
      <c r="N108" s="1" t="s">
        <v>10992</v>
      </c>
    </row>
    <row r="109" spans="1:14">
      <c r="A109" s="123"/>
      <c r="C109" s="126" t="s">
        <v>7634</v>
      </c>
      <c r="D109" s="34" t="s">
        <v>7632</v>
      </c>
      <c r="E109" s="34" t="s">
        <v>7633</v>
      </c>
      <c r="F109" s="34" t="s">
        <v>7635</v>
      </c>
      <c r="G109" s="34" t="s">
        <v>7636</v>
      </c>
      <c r="H109" s="34" t="s">
        <v>7637</v>
      </c>
      <c r="I109" s="34" t="s">
        <v>7638</v>
      </c>
      <c r="J109" s="34" t="s">
        <v>7639</v>
      </c>
      <c r="K109" s="34" t="s">
        <v>7640</v>
      </c>
      <c r="L109" s="34" t="s">
        <v>11412</v>
      </c>
      <c r="M109" s="33" t="s">
        <v>11594</v>
      </c>
      <c r="N109" s="1" t="s">
        <v>10993</v>
      </c>
    </row>
    <row r="110" spans="1:14">
      <c r="A110" s="123"/>
      <c r="C110" s="126" t="s">
        <v>7643</v>
      </c>
      <c r="D110" s="34" t="s">
        <v>7641</v>
      </c>
      <c r="E110" s="34" t="s">
        <v>7642</v>
      </c>
      <c r="F110" s="34" t="s">
        <v>7644</v>
      </c>
      <c r="G110" s="34" t="s">
        <v>7645</v>
      </c>
      <c r="H110" s="34" t="s">
        <v>7646</v>
      </c>
      <c r="I110" s="34" t="s">
        <v>7647</v>
      </c>
      <c r="J110" s="34" t="s">
        <v>7648</v>
      </c>
      <c r="K110" s="34" t="s">
        <v>7649</v>
      </c>
      <c r="L110" s="34" t="s">
        <v>11413</v>
      </c>
      <c r="M110" s="33" t="s">
        <v>11595</v>
      </c>
      <c r="N110" s="1" t="s">
        <v>10994</v>
      </c>
    </row>
    <row r="111" spans="1:14">
      <c r="A111" s="123"/>
      <c r="C111" s="126" t="s">
        <v>7652</v>
      </c>
      <c r="D111" s="34" t="s">
        <v>7650</v>
      </c>
      <c r="E111" s="34" t="s">
        <v>7651</v>
      </c>
      <c r="F111" s="34" t="s">
        <v>7653</v>
      </c>
      <c r="G111" s="34" t="s">
        <v>7654</v>
      </c>
      <c r="H111" s="34" t="s">
        <v>7655</v>
      </c>
      <c r="I111" s="34" t="s">
        <v>7656</v>
      </c>
      <c r="J111" s="34" t="s">
        <v>7657</v>
      </c>
      <c r="K111" s="34" t="s">
        <v>7658</v>
      </c>
      <c r="L111" s="34" t="s">
        <v>11414</v>
      </c>
      <c r="M111" s="33" t="s">
        <v>11596</v>
      </c>
      <c r="N111" s="1" t="s">
        <v>10995</v>
      </c>
    </row>
    <row r="112" spans="1:14">
      <c r="A112" s="123"/>
      <c r="C112" s="126" t="s">
        <v>7661</v>
      </c>
      <c r="D112" s="34" t="s">
        <v>7659</v>
      </c>
      <c r="E112" s="34" t="s">
        <v>7660</v>
      </c>
      <c r="F112" s="34" t="s">
        <v>7662</v>
      </c>
      <c r="G112" s="34" t="s">
        <v>7663</v>
      </c>
      <c r="H112" s="34" t="s">
        <v>7664</v>
      </c>
      <c r="I112" s="34" t="s">
        <v>7665</v>
      </c>
      <c r="J112" s="34" t="s">
        <v>7666</v>
      </c>
      <c r="K112" s="34" t="s">
        <v>7667</v>
      </c>
      <c r="L112" s="34" t="s">
        <v>11415</v>
      </c>
      <c r="M112" s="33" t="s">
        <v>11597</v>
      </c>
      <c r="N112" s="1" t="s">
        <v>10996</v>
      </c>
    </row>
    <row r="113" spans="1:14">
      <c r="A113" s="123"/>
      <c r="C113" s="126" t="s">
        <v>7670</v>
      </c>
      <c r="D113" s="34" t="s">
        <v>7668</v>
      </c>
      <c r="E113" s="34" t="s">
        <v>7669</v>
      </c>
      <c r="F113" s="34" t="s">
        <v>7671</v>
      </c>
      <c r="G113" s="34" t="s">
        <v>7672</v>
      </c>
      <c r="H113" s="34" t="s">
        <v>7673</v>
      </c>
      <c r="I113" s="34" t="s">
        <v>7674</v>
      </c>
      <c r="J113" s="34" t="s">
        <v>7675</v>
      </c>
      <c r="K113" s="34" t="s">
        <v>7676</v>
      </c>
      <c r="L113" s="34" t="s">
        <v>11416</v>
      </c>
      <c r="M113" s="33" t="s">
        <v>11598</v>
      </c>
      <c r="N113" s="1" t="s">
        <v>10997</v>
      </c>
    </row>
    <row r="114" spans="1:14">
      <c r="A114" s="123"/>
      <c r="C114" s="126" t="s">
        <v>7679</v>
      </c>
      <c r="D114" s="34" t="s">
        <v>7677</v>
      </c>
      <c r="E114" s="34" t="s">
        <v>7678</v>
      </c>
      <c r="F114" s="34" t="s">
        <v>7680</v>
      </c>
      <c r="G114" s="34" t="s">
        <v>7681</v>
      </c>
      <c r="H114" s="34" t="s">
        <v>7682</v>
      </c>
      <c r="I114" s="34" t="s">
        <v>7683</v>
      </c>
      <c r="J114" s="34" t="s">
        <v>7684</v>
      </c>
      <c r="K114" s="34" t="s">
        <v>7685</v>
      </c>
      <c r="L114" s="34" t="s">
        <v>11417</v>
      </c>
      <c r="M114" s="33" t="s">
        <v>11599</v>
      </c>
      <c r="N114" s="1" t="s">
        <v>10998</v>
      </c>
    </row>
    <row r="115" spans="1:14">
      <c r="A115" s="123"/>
      <c r="C115" s="126" t="s">
        <v>7688</v>
      </c>
      <c r="D115" s="34" t="s">
        <v>7686</v>
      </c>
      <c r="E115" s="36" t="s">
        <v>7687</v>
      </c>
      <c r="F115" s="35" t="s">
        <v>7689</v>
      </c>
      <c r="G115" s="33" t="s">
        <v>7690</v>
      </c>
      <c r="H115" s="33" t="s">
        <v>7691</v>
      </c>
      <c r="I115" s="33" t="s">
        <v>7692</v>
      </c>
      <c r="J115" s="33" t="s">
        <v>7693</v>
      </c>
      <c r="K115" s="33" t="s">
        <v>7694</v>
      </c>
      <c r="L115" s="33" t="s">
        <v>11418</v>
      </c>
      <c r="M115" s="33" t="s">
        <v>11600</v>
      </c>
      <c r="N115" s="1" t="s">
        <v>10999</v>
      </c>
    </row>
    <row r="116" spans="1:14">
      <c r="A116" s="123"/>
      <c r="C116" s="126" t="s">
        <v>7697</v>
      </c>
      <c r="D116" s="34" t="s">
        <v>7695</v>
      </c>
      <c r="E116" s="34" t="s">
        <v>7696</v>
      </c>
      <c r="F116" s="34" t="s">
        <v>7698</v>
      </c>
      <c r="G116" s="34" t="s">
        <v>7690</v>
      </c>
      <c r="H116" s="34" t="s">
        <v>7699</v>
      </c>
      <c r="I116" s="34" t="s">
        <v>7700</v>
      </c>
      <c r="J116" s="34" t="s">
        <v>7701</v>
      </c>
      <c r="K116" s="34" t="s">
        <v>7702</v>
      </c>
      <c r="L116" s="34" t="s">
        <v>11419</v>
      </c>
      <c r="M116" s="33" t="s">
        <v>11601</v>
      </c>
      <c r="N116" s="1" t="s">
        <v>11001</v>
      </c>
    </row>
    <row r="117" spans="1:14">
      <c r="A117" s="123"/>
      <c r="C117" s="126" t="s">
        <v>7705</v>
      </c>
      <c r="D117" s="34" t="s">
        <v>7703</v>
      </c>
      <c r="E117" s="34" t="s">
        <v>7704</v>
      </c>
      <c r="F117" s="34" t="s">
        <v>7706</v>
      </c>
      <c r="G117" s="34" t="s">
        <v>7707</v>
      </c>
      <c r="H117" s="34" t="s">
        <v>7708</v>
      </c>
      <c r="I117" s="34" t="s">
        <v>7709</v>
      </c>
      <c r="J117" s="34" t="s">
        <v>7710</v>
      </c>
      <c r="K117" s="34" t="s">
        <v>7711</v>
      </c>
      <c r="L117" s="34" t="s">
        <v>11420</v>
      </c>
      <c r="M117" s="33" t="s">
        <v>11602</v>
      </c>
      <c r="N117" s="1" t="s">
        <v>11002</v>
      </c>
    </row>
    <row r="118" spans="1:14">
      <c r="A118" s="123"/>
      <c r="C118" s="126" t="s">
        <v>7714</v>
      </c>
      <c r="D118" s="34" t="s">
        <v>7712</v>
      </c>
      <c r="E118" s="34" t="s">
        <v>7713</v>
      </c>
      <c r="F118" s="34" t="s">
        <v>7715</v>
      </c>
      <c r="G118" s="34" t="s">
        <v>7716</v>
      </c>
      <c r="H118" s="34" t="s">
        <v>7708</v>
      </c>
      <c r="I118" s="34" t="s">
        <v>7709</v>
      </c>
      <c r="J118" s="34" t="s">
        <v>7717</v>
      </c>
      <c r="K118" s="34" t="s">
        <v>7718</v>
      </c>
      <c r="L118" s="34" t="s">
        <v>11421</v>
      </c>
      <c r="M118" s="33" t="s">
        <v>11603</v>
      </c>
      <c r="N118" s="1" t="s">
        <v>11003</v>
      </c>
    </row>
    <row r="119" spans="1:14">
      <c r="A119" s="123"/>
      <c r="C119" s="126" t="s">
        <v>7721</v>
      </c>
      <c r="D119" s="34" t="s">
        <v>7719</v>
      </c>
      <c r="E119" s="34" t="s">
        <v>7720</v>
      </c>
      <c r="F119" s="34" t="s">
        <v>7722</v>
      </c>
      <c r="G119" s="34" t="s">
        <v>7723</v>
      </c>
      <c r="H119" s="34" t="s">
        <v>7724</v>
      </c>
      <c r="I119" s="34" t="s">
        <v>7725</v>
      </c>
      <c r="J119" s="34" t="s">
        <v>7726</v>
      </c>
      <c r="K119" s="34" t="s">
        <v>7727</v>
      </c>
      <c r="L119" s="34" t="s">
        <v>11422</v>
      </c>
      <c r="M119" s="33" t="s">
        <v>11604</v>
      </c>
      <c r="N119" s="1" t="s">
        <v>11004</v>
      </c>
    </row>
    <row r="120" spans="1:14">
      <c r="A120" s="123"/>
      <c r="C120" s="126" t="s">
        <v>7730</v>
      </c>
      <c r="D120" s="34" t="s">
        <v>7728</v>
      </c>
      <c r="E120" s="34" t="s">
        <v>7729</v>
      </c>
      <c r="F120" s="34" t="s">
        <v>7731</v>
      </c>
      <c r="G120" s="34" t="s">
        <v>7732</v>
      </c>
      <c r="H120" s="34" t="s">
        <v>7733</v>
      </c>
      <c r="I120" s="34" t="s">
        <v>7734</v>
      </c>
      <c r="J120" s="34" t="s">
        <v>7735</v>
      </c>
      <c r="K120" s="34" t="s">
        <v>7736</v>
      </c>
      <c r="L120" s="34" t="s">
        <v>11423</v>
      </c>
      <c r="M120" s="33" t="s">
        <v>11605</v>
      </c>
      <c r="N120" s="1" t="s">
        <v>11005</v>
      </c>
    </row>
    <row r="121" spans="1:14">
      <c r="A121" s="123"/>
      <c r="C121" s="126" t="s">
        <v>7739</v>
      </c>
      <c r="D121" s="34" t="s">
        <v>7737</v>
      </c>
      <c r="E121" s="34" t="s">
        <v>7738</v>
      </c>
      <c r="F121" s="34" t="s">
        <v>7740</v>
      </c>
      <c r="G121" s="34" t="s">
        <v>7741</v>
      </c>
      <c r="H121" s="34" t="s">
        <v>7742</v>
      </c>
      <c r="I121" s="34" t="s">
        <v>7743</v>
      </c>
      <c r="J121" s="34" t="s">
        <v>7744</v>
      </c>
      <c r="K121" s="34" t="s">
        <v>7745</v>
      </c>
      <c r="L121" s="34" t="s">
        <v>11424</v>
      </c>
      <c r="M121" s="33" t="s">
        <v>11606</v>
      </c>
      <c r="N121" s="1" t="s">
        <v>11006</v>
      </c>
    </row>
    <row r="122" spans="1:14">
      <c r="A122" s="123"/>
      <c r="C122" s="126" t="s">
        <v>7748</v>
      </c>
      <c r="D122" s="34" t="s">
        <v>7746</v>
      </c>
      <c r="E122" s="36" t="s">
        <v>7747</v>
      </c>
      <c r="F122" s="35" t="s">
        <v>7749</v>
      </c>
      <c r="G122" s="33" t="s">
        <v>7750</v>
      </c>
      <c r="H122" s="33" t="s">
        <v>7751</v>
      </c>
      <c r="I122" s="33" t="s">
        <v>7752</v>
      </c>
      <c r="J122" s="33" t="s">
        <v>7753</v>
      </c>
      <c r="K122" s="33" t="s">
        <v>7754</v>
      </c>
      <c r="L122" s="33" t="s">
        <v>11425</v>
      </c>
      <c r="M122" s="33" t="s">
        <v>11607</v>
      </c>
      <c r="N122" s="1" t="s">
        <v>11007</v>
      </c>
    </row>
    <row r="123" spans="1:14">
      <c r="A123" s="123"/>
      <c r="C123" s="126" t="s">
        <v>7757</v>
      </c>
      <c r="D123" s="34" t="s">
        <v>7755</v>
      </c>
      <c r="E123" s="34" t="s">
        <v>7756</v>
      </c>
      <c r="F123" s="34" t="s">
        <v>7758</v>
      </c>
      <c r="G123" s="34" t="s">
        <v>7759</v>
      </c>
      <c r="H123" s="34" t="s">
        <v>7760</v>
      </c>
      <c r="I123" s="34" t="s">
        <v>7761</v>
      </c>
      <c r="J123" s="34" t="s">
        <v>7762</v>
      </c>
      <c r="K123" s="34" t="s">
        <v>7763</v>
      </c>
      <c r="L123" s="34" t="s">
        <v>11426</v>
      </c>
      <c r="M123" s="33" t="s">
        <v>11608</v>
      </c>
      <c r="N123" s="1" t="s">
        <v>11008</v>
      </c>
    </row>
    <row r="124" spans="1:14">
      <c r="A124" s="123"/>
      <c r="C124" s="126" t="s">
        <v>7766</v>
      </c>
      <c r="D124" s="34" t="s">
        <v>7764</v>
      </c>
      <c r="E124" s="34" t="s">
        <v>7765</v>
      </c>
      <c r="F124" s="34" t="s">
        <v>7767</v>
      </c>
      <c r="G124" s="34" t="s">
        <v>7768</v>
      </c>
      <c r="H124" s="34" t="s">
        <v>7769</v>
      </c>
      <c r="I124" s="34" t="s">
        <v>7770</v>
      </c>
      <c r="J124" s="34" t="s">
        <v>7771</v>
      </c>
      <c r="K124" s="34" t="s">
        <v>7772</v>
      </c>
      <c r="L124" s="34" t="s">
        <v>11427</v>
      </c>
      <c r="M124" s="33" t="s">
        <v>11608</v>
      </c>
      <c r="N124" s="1" t="s">
        <v>11009</v>
      </c>
    </row>
    <row r="125" spans="1:14">
      <c r="A125" s="123"/>
      <c r="C125" s="126" t="s">
        <v>7775</v>
      </c>
      <c r="D125" s="34" t="s">
        <v>7773</v>
      </c>
      <c r="E125" s="34" t="s">
        <v>7774</v>
      </c>
      <c r="F125" s="34" t="s">
        <v>7776</v>
      </c>
      <c r="G125" s="34" t="s">
        <v>7777</v>
      </c>
      <c r="H125" s="34" t="s">
        <v>7778</v>
      </c>
      <c r="I125" s="34" t="s">
        <v>7779</v>
      </c>
      <c r="J125" s="34" t="s">
        <v>7780</v>
      </c>
      <c r="K125" s="34" t="s">
        <v>7781</v>
      </c>
      <c r="L125" s="34" t="s">
        <v>11428</v>
      </c>
      <c r="M125" s="33" t="s">
        <v>11609</v>
      </c>
      <c r="N125" s="1" t="s">
        <v>11010</v>
      </c>
    </row>
    <row r="126" spans="1:14">
      <c r="A126" s="123"/>
      <c r="C126" s="126" t="s">
        <v>7784</v>
      </c>
      <c r="D126" s="34" t="s">
        <v>7782</v>
      </c>
      <c r="E126" s="34" t="s">
        <v>7783</v>
      </c>
      <c r="F126" s="34" t="s">
        <v>7785</v>
      </c>
      <c r="G126" s="34" t="s">
        <v>7786</v>
      </c>
      <c r="H126" s="34" t="s">
        <v>7787</v>
      </c>
      <c r="I126" s="34" t="s">
        <v>7788</v>
      </c>
      <c r="J126" s="34" t="s">
        <v>7789</v>
      </c>
      <c r="K126" s="34" t="s">
        <v>7790</v>
      </c>
      <c r="L126" s="34" t="s">
        <v>11429</v>
      </c>
      <c r="M126" s="33" t="s">
        <v>11610</v>
      </c>
      <c r="N126" s="1" t="s">
        <v>11011</v>
      </c>
    </row>
    <row r="127" spans="1:14">
      <c r="A127" s="123"/>
      <c r="C127" s="126" t="s">
        <v>7793</v>
      </c>
      <c r="D127" s="34" t="s">
        <v>7791</v>
      </c>
      <c r="E127" s="34" t="s">
        <v>7792</v>
      </c>
      <c r="F127" s="34" t="s">
        <v>7794</v>
      </c>
      <c r="G127" s="34" t="s">
        <v>7795</v>
      </c>
      <c r="H127" s="34" t="s">
        <v>7796</v>
      </c>
      <c r="I127" s="34" t="s">
        <v>7788</v>
      </c>
      <c r="J127" s="34" t="s">
        <v>7797</v>
      </c>
      <c r="K127" s="34" t="s">
        <v>7798</v>
      </c>
      <c r="L127" s="34" t="s">
        <v>11429</v>
      </c>
      <c r="M127" s="33" t="s">
        <v>11611</v>
      </c>
      <c r="N127" s="1" t="s">
        <v>11012</v>
      </c>
    </row>
    <row r="128" spans="1:14">
      <c r="A128" s="123"/>
      <c r="C128" s="126" t="s">
        <v>7801</v>
      </c>
      <c r="D128" s="34" t="s">
        <v>7799</v>
      </c>
      <c r="E128" s="34" t="s">
        <v>7800</v>
      </c>
      <c r="F128" s="34" t="s">
        <v>7802</v>
      </c>
      <c r="G128" s="34" t="s">
        <v>7803</v>
      </c>
      <c r="H128" s="34" t="s">
        <v>7804</v>
      </c>
      <c r="I128" s="34" t="s">
        <v>7805</v>
      </c>
      <c r="J128" s="34" t="s">
        <v>7806</v>
      </c>
      <c r="K128" s="34" t="s">
        <v>7807</v>
      </c>
      <c r="L128" s="34" t="s">
        <v>11430</v>
      </c>
      <c r="M128" s="33" t="s">
        <v>11612</v>
      </c>
      <c r="N128" s="1" t="s">
        <v>11013</v>
      </c>
    </row>
    <row r="129" spans="1:14">
      <c r="A129" s="123"/>
      <c r="C129" s="126" t="s">
        <v>7810</v>
      </c>
      <c r="D129" s="34" t="s">
        <v>7808</v>
      </c>
      <c r="E129" s="34" t="s">
        <v>7809</v>
      </c>
      <c r="F129" s="34" t="s">
        <v>7811</v>
      </c>
      <c r="G129" s="34" t="s">
        <v>7812</v>
      </c>
      <c r="H129" s="34" t="s">
        <v>7813</v>
      </c>
      <c r="I129" s="34" t="s">
        <v>7814</v>
      </c>
      <c r="J129" s="34" t="s">
        <v>7815</v>
      </c>
      <c r="K129" s="34" t="s">
        <v>7816</v>
      </c>
      <c r="L129" s="34" t="s">
        <v>11431</v>
      </c>
      <c r="M129" s="33" t="s">
        <v>11612</v>
      </c>
      <c r="N129" s="1" t="s">
        <v>11014</v>
      </c>
    </row>
    <row r="130" spans="1:14">
      <c r="A130" s="123"/>
      <c r="C130" s="126" t="s">
        <v>7819</v>
      </c>
      <c r="D130" s="34" t="s">
        <v>7817</v>
      </c>
      <c r="E130" s="34" t="s">
        <v>7818</v>
      </c>
      <c r="F130" s="34" t="s">
        <v>7820</v>
      </c>
      <c r="G130" s="34" t="s">
        <v>7821</v>
      </c>
      <c r="H130" s="34" t="s">
        <v>7822</v>
      </c>
      <c r="I130" s="34" t="s">
        <v>7424</v>
      </c>
      <c r="J130" s="34" t="s">
        <v>7823</v>
      </c>
      <c r="K130" s="34" t="s">
        <v>7824</v>
      </c>
      <c r="L130" s="34" t="s">
        <v>11432</v>
      </c>
      <c r="M130" s="33" t="s">
        <v>11613</v>
      </c>
      <c r="N130" s="1" t="s">
        <v>11015</v>
      </c>
    </row>
    <row r="131" spans="1:14">
      <c r="A131" s="123"/>
      <c r="C131" s="126" t="s">
        <v>7827</v>
      </c>
      <c r="D131" s="34" t="s">
        <v>7825</v>
      </c>
      <c r="E131" s="34" t="s">
        <v>7826</v>
      </c>
      <c r="F131" s="34" t="s">
        <v>7828</v>
      </c>
      <c r="G131" s="34" t="s">
        <v>7829</v>
      </c>
      <c r="H131" s="34" t="s">
        <v>7830</v>
      </c>
      <c r="I131" s="34" t="s">
        <v>7831</v>
      </c>
      <c r="J131" s="34" t="s">
        <v>7832</v>
      </c>
      <c r="K131" s="34" t="s">
        <v>7833</v>
      </c>
      <c r="L131" s="34" t="s">
        <v>11433</v>
      </c>
      <c r="M131" s="33" t="s">
        <v>11614</v>
      </c>
      <c r="N131" s="1" t="s">
        <v>11016</v>
      </c>
    </row>
    <row r="132" spans="1:14">
      <c r="A132" s="123"/>
      <c r="C132" s="126" t="s">
        <v>7836</v>
      </c>
      <c r="D132" s="34" t="s">
        <v>7834</v>
      </c>
      <c r="E132" s="34" t="s">
        <v>7835</v>
      </c>
      <c r="F132" s="34" t="s">
        <v>7837</v>
      </c>
      <c r="G132" s="34" t="s">
        <v>7838</v>
      </c>
      <c r="H132" s="34" t="s">
        <v>7839</v>
      </c>
      <c r="I132" s="34" t="s">
        <v>7840</v>
      </c>
      <c r="J132" s="34" t="s">
        <v>7841</v>
      </c>
      <c r="K132" s="34" t="s">
        <v>7842</v>
      </c>
      <c r="L132" s="34" t="s">
        <v>11434</v>
      </c>
      <c r="M132" s="33" t="s">
        <v>11615</v>
      </c>
      <c r="N132" s="1" t="s">
        <v>11017</v>
      </c>
    </row>
    <row r="133" spans="1:14">
      <c r="A133" s="123"/>
      <c r="C133" s="126" t="s">
        <v>7845</v>
      </c>
      <c r="D133" s="34" t="s">
        <v>7843</v>
      </c>
      <c r="E133" s="34" t="s">
        <v>7844</v>
      </c>
      <c r="F133" s="34" t="s">
        <v>7846</v>
      </c>
      <c r="G133" s="34" t="s">
        <v>7847</v>
      </c>
      <c r="H133" s="34" t="s">
        <v>7848</v>
      </c>
      <c r="I133" s="34" t="s">
        <v>7849</v>
      </c>
      <c r="J133" s="34" t="s">
        <v>7850</v>
      </c>
      <c r="K133" s="34" t="s">
        <v>7851</v>
      </c>
      <c r="L133" s="34" t="s">
        <v>11435</v>
      </c>
      <c r="M133" s="33" t="s">
        <v>11616</v>
      </c>
      <c r="N133" s="1" t="s">
        <v>11018</v>
      </c>
    </row>
    <row r="134" spans="1:14">
      <c r="A134" s="123"/>
      <c r="C134" s="126" t="s">
        <v>7854</v>
      </c>
      <c r="D134" s="34" t="s">
        <v>7852</v>
      </c>
      <c r="E134" s="36" t="s">
        <v>7853</v>
      </c>
      <c r="F134" s="35" t="s">
        <v>7855</v>
      </c>
      <c r="G134" s="33" t="s">
        <v>7856</v>
      </c>
      <c r="H134" s="33" t="s">
        <v>7857</v>
      </c>
      <c r="I134" s="33" t="s">
        <v>7858</v>
      </c>
      <c r="J134" s="33" t="s">
        <v>7859</v>
      </c>
      <c r="K134" s="33" t="s">
        <v>7860</v>
      </c>
      <c r="L134" s="33" t="s">
        <v>11436</v>
      </c>
      <c r="M134" s="33" t="s">
        <v>11617</v>
      </c>
      <c r="N134" s="1" t="s">
        <v>11019</v>
      </c>
    </row>
    <row r="135" spans="1:14">
      <c r="A135" s="123"/>
      <c r="C135" s="126" t="s">
        <v>7863</v>
      </c>
      <c r="D135" s="34" t="s">
        <v>7861</v>
      </c>
      <c r="E135" s="34" t="s">
        <v>7862</v>
      </c>
      <c r="F135" s="34" t="s">
        <v>7864</v>
      </c>
      <c r="G135" s="34" t="s">
        <v>7865</v>
      </c>
      <c r="H135" s="34" t="s">
        <v>7866</v>
      </c>
      <c r="I135" s="34" t="s">
        <v>7867</v>
      </c>
      <c r="J135" s="34" t="s">
        <v>7868</v>
      </c>
      <c r="K135" s="34" t="s">
        <v>7869</v>
      </c>
      <c r="L135" s="34" t="s">
        <v>11437</v>
      </c>
      <c r="M135" s="33" t="s">
        <v>11618</v>
      </c>
      <c r="N135" s="1" t="s">
        <v>11020</v>
      </c>
    </row>
    <row r="136" spans="1:14">
      <c r="A136" s="123"/>
      <c r="C136" s="126" t="s">
        <v>7872</v>
      </c>
      <c r="D136" s="34" t="s">
        <v>7870</v>
      </c>
      <c r="E136" s="34" t="s">
        <v>7871</v>
      </c>
      <c r="F136" s="34" t="s">
        <v>7873</v>
      </c>
      <c r="G136" s="34" t="s">
        <v>7874</v>
      </c>
      <c r="H136" s="34" t="s">
        <v>7875</v>
      </c>
      <c r="I136" s="34" t="s">
        <v>7876</v>
      </c>
      <c r="J136" s="34" t="s">
        <v>7877</v>
      </c>
      <c r="K136" s="34" t="s">
        <v>7878</v>
      </c>
      <c r="L136" s="34" t="s">
        <v>11438</v>
      </c>
      <c r="M136" s="33" t="s">
        <v>11619</v>
      </c>
      <c r="N136" s="1" t="s">
        <v>11021</v>
      </c>
    </row>
    <row r="137" spans="1:14">
      <c r="A137" s="123"/>
      <c r="C137" s="126" t="s">
        <v>7881</v>
      </c>
      <c r="D137" s="34" t="s">
        <v>7879</v>
      </c>
      <c r="E137" s="34" t="s">
        <v>7880</v>
      </c>
      <c r="F137" s="34" t="s">
        <v>7882</v>
      </c>
      <c r="G137" s="34" t="s">
        <v>7883</v>
      </c>
      <c r="H137" s="34" t="s">
        <v>7884</v>
      </c>
      <c r="I137" s="34" t="s">
        <v>7885</v>
      </c>
      <c r="J137" s="34" t="s">
        <v>7886</v>
      </c>
      <c r="K137" s="34" t="s">
        <v>7887</v>
      </c>
      <c r="L137" s="34" t="s">
        <v>11439</v>
      </c>
      <c r="M137" s="33" t="s">
        <v>11620</v>
      </c>
      <c r="N137" s="1" t="s">
        <v>11022</v>
      </c>
    </row>
    <row r="138" spans="1:14">
      <c r="A138" s="123"/>
      <c r="C138" s="126" t="s">
        <v>7890</v>
      </c>
      <c r="D138" s="34" t="s">
        <v>7888</v>
      </c>
      <c r="E138" s="34" t="s">
        <v>7889</v>
      </c>
      <c r="F138" s="34" t="s">
        <v>7891</v>
      </c>
      <c r="G138" s="34" t="s">
        <v>7892</v>
      </c>
      <c r="H138" s="34" t="s">
        <v>7893</v>
      </c>
      <c r="I138" s="34" t="s">
        <v>7894</v>
      </c>
      <c r="J138" s="34" t="s">
        <v>7895</v>
      </c>
      <c r="K138" s="34" t="s">
        <v>7896</v>
      </c>
      <c r="L138" s="34" t="s">
        <v>11440</v>
      </c>
      <c r="M138" s="33" t="s">
        <v>11621</v>
      </c>
      <c r="N138" s="1" t="s">
        <v>11023</v>
      </c>
    </row>
    <row r="139" spans="1:14">
      <c r="A139" s="123"/>
      <c r="C139" s="126" t="s">
        <v>7899</v>
      </c>
      <c r="D139" s="34" t="s">
        <v>7897</v>
      </c>
      <c r="E139" s="34" t="s">
        <v>7898</v>
      </c>
      <c r="F139" s="34" t="s">
        <v>7900</v>
      </c>
      <c r="G139" s="34" t="s">
        <v>7901</v>
      </c>
      <c r="H139" s="34" t="s">
        <v>7902</v>
      </c>
      <c r="I139" s="34" t="s">
        <v>7903</v>
      </c>
      <c r="J139" s="34" t="s">
        <v>7904</v>
      </c>
      <c r="K139" s="34" t="s">
        <v>7905</v>
      </c>
      <c r="L139" s="34" t="s">
        <v>11441</v>
      </c>
      <c r="M139" s="33" t="s">
        <v>11622</v>
      </c>
      <c r="N139" s="1" t="s">
        <v>11024</v>
      </c>
    </row>
    <row r="140" spans="1:14">
      <c r="A140" s="123"/>
      <c r="C140" s="126" t="s">
        <v>7908</v>
      </c>
      <c r="D140" s="34" t="s">
        <v>7906</v>
      </c>
      <c r="E140" s="34" t="s">
        <v>7907</v>
      </c>
      <c r="F140" s="34" t="s">
        <v>7909</v>
      </c>
      <c r="G140" s="34" t="s">
        <v>7910</v>
      </c>
      <c r="H140" s="34" t="s">
        <v>7911</v>
      </c>
      <c r="I140" s="34" t="s">
        <v>7912</v>
      </c>
      <c r="J140" s="34" t="s">
        <v>7913</v>
      </c>
      <c r="K140" s="34" t="s">
        <v>7914</v>
      </c>
      <c r="L140" s="34" t="s">
        <v>11442</v>
      </c>
      <c r="M140" s="33" t="s">
        <v>11623</v>
      </c>
      <c r="N140" s="1" t="s">
        <v>11025</v>
      </c>
    </row>
    <row r="141" spans="1:14">
      <c r="A141" s="123"/>
      <c r="C141" s="126" t="s">
        <v>7917</v>
      </c>
      <c r="D141" s="34" t="s">
        <v>7915</v>
      </c>
      <c r="E141" s="34" t="s">
        <v>7916</v>
      </c>
      <c r="F141" s="34" t="s">
        <v>7918</v>
      </c>
      <c r="G141" s="34" t="s">
        <v>7919</v>
      </c>
      <c r="H141" s="34" t="s">
        <v>7920</v>
      </c>
      <c r="I141" s="34" t="s">
        <v>7921</v>
      </c>
      <c r="J141" s="34" t="s">
        <v>7922</v>
      </c>
      <c r="K141" s="34" t="s">
        <v>7923</v>
      </c>
      <c r="L141" s="34" t="s">
        <v>11443</v>
      </c>
      <c r="M141" s="33" t="s">
        <v>11624</v>
      </c>
      <c r="N141" s="1" t="s">
        <v>11026</v>
      </c>
    </row>
    <row r="142" spans="1:14">
      <c r="A142" s="123"/>
      <c r="C142" s="126" t="s">
        <v>7926</v>
      </c>
      <c r="D142" s="34" t="s">
        <v>7924</v>
      </c>
      <c r="E142" s="34" t="s">
        <v>7925</v>
      </c>
      <c r="F142" s="34" t="s">
        <v>7927</v>
      </c>
      <c r="G142" s="34" t="s">
        <v>7928</v>
      </c>
      <c r="H142" s="34" t="s">
        <v>7929</v>
      </c>
      <c r="I142" s="34" t="s">
        <v>7930</v>
      </c>
      <c r="J142" s="34" t="s">
        <v>7931</v>
      </c>
      <c r="K142" s="34" t="s">
        <v>7932</v>
      </c>
      <c r="L142" s="34" t="s">
        <v>11444</v>
      </c>
      <c r="M142" s="33" t="s">
        <v>11625</v>
      </c>
      <c r="N142" s="1" t="s">
        <v>11027</v>
      </c>
    </row>
    <row r="143" spans="1:14">
      <c r="A143" s="123"/>
      <c r="C143" s="126" t="s">
        <v>7935</v>
      </c>
      <c r="D143" s="34" t="s">
        <v>7933</v>
      </c>
      <c r="E143" s="34" t="s">
        <v>7934</v>
      </c>
      <c r="F143" s="34" t="s">
        <v>7936</v>
      </c>
      <c r="G143" s="34" t="s">
        <v>7937</v>
      </c>
      <c r="H143" s="34" t="s">
        <v>7938</v>
      </c>
      <c r="I143" s="34" t="s">
        <v>7939</v>
      </c>
      <c r="J143" s="34" t="s">
        <v>7940</v>
      </c>
      <c r="K143" s="34" t="s">
        <v>7941</v>
      </c>
      <c r="L143" s="34" t="s">
        <v>11445</v>
      </c>
      <c r="M143" s="33" t="s">
        <v>11626</v>
      </c>
      <c r="N143" s="1" t="s">
        <v>11028</v>
      </c>
    </row>
    <row r="144" spans="1:14">
      <c r="A144" s="123"/>
      <c r="C144" s="126" t="s">
        <v>7944</v>
      </c>
      <c r="D144" s="34" t="s">
        <v>7942</v>
      </c>
      <c r="E144" s="34" t="s">
        <v>7943</v>
      </c>
      <c r="F144" s="34" t="s">
        <v>7945</v>
      </c>
      <c r="G144" s="34" t="s">
        <v>7946</v>
      </c>
      <c r="H144" s="34" t="s">
        <v>7947</v>
      </c>
      <c r="I144" s="34" t="s">
        <v>7948</v>
      </c>
      <c r="J144" s="34" t="s">
        <v>7949</v>
      </c>
      <c r="K144" s="34" t="s">
        <v>7950</v>
      </c>
      <c r="L144" s="34" t="s">
        <v>11446</v>
      </c>
      <c r="M144" s="33" t="s">
        <v>11627</v>
      </c>
      <c r="N144" s="1" t="s">
        <v>11029</v>
      </c>
    </row>
    <row r="145" spans="1:14">
      <c r="A145" s="123"/>
      <c r="C145" s="126" t="s">
        <v>7953</v>
      </c>
      <c r="D145" s="34" t="s">
        <v>7951</v>
      </c>
      <c r="E145" s="34" t="s">
        <v>7952</v>
      </c>
      <c r="F145" s="34" t="s">
        <v>7954</v>
      </c>
      <c r="G145" s="34" t="s">
        <v>7955</v>
      </c>
      <c r="H145" s="34" t="s">
        <v>7956</v>
      </c>
      <c r="I145" s="34" t="s">
        <v>7957</v>
      </c>
      <c r="J145" s="34" t="s">
        <v>7958</v>
      </c>
      <c r="K145" s="34" t="s">
        <v>7959</v>
      </c>
      <c r="L145" s="34" t="s">
        <v>11447</v>
      </c>
      <c r="M145" s="33" t="s">
        <v>11628</v>
      </c>
      <c r="N145" s="1" t="s">
        <v>11030</v>
      </c>
    </row>
    <row r="146" spans="1:14">
      <c r="A146" s="123"/>
      <c r="C146" s="126" t="s">
        <v>7962</v>
      </c>
      <c r="D146" s="34" t="s">
        <v>7960</v>
      </c>
      <c r="E146" s="34" t="s">
        <v>7961</v>
      </c>
      <c r="F146" s="34" t="s">
        <v>7963</v>
      </c>
      <c r="G146" s="34" t="s">
        <v>7964</v>
      </c>
      <c r="H146" s="34" t="s">
        <v>7965</v>
      </c>
      <c r="I146" s="34" t="s">
        <v>7966</v>
      </c>
      <c r="J146" s="34" t="s">
        <v>7967</v>
      </c>
      <c r="K146" s="34" t="s">
        <v>7968</v>
      </c>
      <c r="L146" s="34" t="s">
        <v>9862</v>
      </c>
      <c r="M146" s="33" t="s">
        <v>11144</v>
      </c>
      <c r="N146" s="1" t="s">
        <v>11031</v>
      </c>
    </row>
    <row r="147" spans="1:14">
      <c r="A147" s="123"/>
      <c r="C147" s="126" t="s">
        <v>7971</v>
      </c>
      <c r="D147" s="34" t="s">
        <v>7969</v>
      </c>
      <c r="E147" s="34" t="s">
        <v>7970</v>
      </c>
      <c r="F147" s="34" t="s">
        <v>7972</v>
      </c>
      <c r="G147" s="34" t="s">
        <v>7973</v>
      </c>
      <c r="H147" s="34" t="s">
        <v>7974</v>
      </c>
      <c r="I147" s="34" t="s">
        <v>7975</v>
      </c>
      <c r="J147" s="34" t="s">
        <v>7976</v>
      </c>
      <c r="K147" s="34" t="s">
        <v>7977</v>
      </c>
      <c r="L147" s="34" t="s">
        <v>11448</v>
      </c>
      <c r="M147" s="33" t="s">
        <v>11629</v>
      </c>
      <c r="N147" s="1" t="s">
        <v>11032</v>
      </c>
    </row>
    <row r="148" spans="1:14">
      <c r="A148" s="123"/>
      <c r="C148" s="126" t="s">
        <v>7980</v>
      </c>
      <c r="D148" s="34" t="s">
        <v>7978</v>
      </c>
      <c r="E148" s="36" t="s">
        <v>7979</v>
      </c>
      <c r="F148" s="35" t="s">
        <v>7981</v>
      </c>
      <c r="G148" s="33" t="s">
        <v>7982</v>
      </c>
      <c r="H148" s="33" t="s">
        <v>7983</v>
      </c>
      <c r="I148" s="33" t="s">
        <v>7984</v>
      </c>
      <c r="J148" s="33" t="s">
        <v>7985</v>
      </c>
      <c r="K148" s="33" t="s">
        <v>7986</v>
      </c>
      <c r="L148" s="33" t="s">
        <v>11449</v>
      </c>
      <c r="M148" s="33" t="s">
        <v>11630</v>
      </c>
      <c r="N148" s="1" t="s">
        <v>11033</v>
      </c>
    </row>
    <row r="149" spans="1:14">
      <c r="A149" s="123"/>
      <c r="C149" s="126" t="s">
        <v>7989</v>
      </c>
      <c r="D149" s="34" t="s">
        <v>7987</v>
      </c>
      <c r="E149" s="34" t="s">
        <v>7988</v>
      </c>
      <c r="F149" s="34" t="s">
        <v>7990</v>
      </c>
      <c r="G149" s="34" t="s">
        <v>7991</v>
      </c>
      <c r="H149" s="34" t="s">
        <v>7992</v>
      </c>
      <c r="I149" s="34" t="s">
        <v>7993</v>
      </c>
      <c r="J149" s="34" t="s">
        <v>7994</v>
      </c>
      <c r="K149" s="34" t="s">
        <v>7995</v>
      </c>
      <c r="L149" s="34" t="s">
        <v>11450</v>
      </c>
      <c r="M149" s="33" t="s">
        <v>11631</v>
      </c>
      <c r="N149" s="1" t="s">
        <v>11034</v>
      </c>
    </row>
    <row r="150" spans="1:14">
      <c r="A150" s="123"/>
      <c r="C150" s="126" t="s">
        <v>7998</v>
      </c>
      <c r="D150" s="34" t="s">
        <v>7996</v>
      </c>
      <c r="E150" s="34" t="s">
        <v>7997</v>
      </c>
      <c r="F150" s="34" t="s">
        <v>7999</v>
      </c>
      <c r="G150" s="34" t="s">
        <v>8000</v>
      </c>
      <c r="H150" s="34" t="s">
        <v>8001</v>
      </c>
      <c r="I150" s="34" t="s">
        <v>8002</v>
      </c>
      <c r="J150" s="34" t="s">
        <v>8003</v>
      </c>
      <c r="K150" s="34" t="s">
        <v>8004</v>
      </c>
      <c r="L150" s="34" t="s">
        <v>11451</v>
      </c>
      <c r="M150" s="33" t="s">
        <v>11632</v>
      </c>
      <c r="N150" s="1" t="s">
        <v>11035</v>
      </c>
    </row>
    <row r="151" spans="1:14">
      <c r="A151" s="123"/>
      <c r="C151" s="126" t="s">
        <v>8007</v>
      </c>
      <c r="D151" s="34" t="s">
        <v>8005</v>
      </c>
      <c r="E151" s="34" t="s">
        <v>8006</v>
      </c>
      <c r="F151" s="34" t="s">
        <v>8008</v>
      </c>
      <c r="G151" s="34" t="s">
        <v>8009</v>
      </c>
      <c r="H151" s="34" t="s">
        <v>8010</v>
      </c>
      <c r="I151" s="34" t="s">
        <v>8011</v>
      </c>
      <c r="J151" s="34" t="s">
        <v>8012</v>
      </c>
      <c r="K151" s="34" t="s">
        <v>8013</v>
      </c>
      <c r="L151" s="34" t="s">
        <v>11452</v>
      </c>
      <c r="M151" s="33" t="s">
        <v>11633</v>
      </c>
      <c r="N151" s="1" t="s">
        <v>11036</v>
      </c>
    </row>
    <row r="152" spans="1:14">
      <c r="A152" s="123"/>
      <c r="C152" s="126" t="s">
        <v>8016</v>
      </c>
      <c r="D152" s="34" t="s">
        <v>8014</v>
      </c>
      <c r="E152" s="34" t="s">
        <v>8015</v>
      </c>
      <c r="F152" s="34" t="s">
        <v>8017</v>
      </c>
      <c r="G152" s="34" t="s">
        <v>8018</v>
      </c>
      <c r="H152" s="34" t="s">
        <v>8019</v>
      </c>
      <c r="I152" s="34" t="s">
        <v>8020</v>
      </c>
      <c r="J152" s="34" t="s">
        <v>8021</v>
      </c>
      <c r="K152" s="34" t="s">
        <v>8022</v>
      </c>
      <c r="L152" s="34" t="s">
        <v>11453</v>
      </c>
      <c r="M152" s="33" t="s">
        <v>11634</v>
      </c>
      <c r="N152" s="1" t="s">
        <v>11037</v>
      </c>
    </row>
    <row r="153" spans="1:14">
      <c r="A153" s="123"/>
      <c r="C153" s="126" t="s">
        <v>8025</v>
      </c>
      <c r="D153" s="34" t="s">
        <v>8023</v>
      </c>
      <c r="E153" s="34" t="s">
        <v>8024</v>
      </c>
      <c r="F153" s="34" t="s">
        <v>8026</v>
      </c>
      <c r="G153" s="34" t="s">
        <v>8027</v>
      </c>
      <c r="H153" s="34" t="s">
        <v>8028</v>
      </c>
      <c r="I153" s="34" t="s">
        <v>8029</v>
      </c>
      <c r="J153" s="34" t="s">
        <v>8030</v>
      </c>
      <c r="K153" s="34" t="s">
        <v>8031</v>
      </c>
      <c r="L153" s="34" t="s">
        <v>11454</v>
      </c>
      <c r="M153" s="33" t="s">
        <v>11635</v>
      </c>
      <c r="N153" s="1" t="s">
        <v>11038</v>
      </c>
    </row>
    <row r="154" spans="1:14">
      <c r="A154" s="123"/>
      <c r="C154" s="126" t="s">
        <v>8034</v>
      </c>
      <c r="D154" s="34" t="s">
        <v>8032</v>
      </c>
      <c r="E154" s="34" t="s">
        <v>8033</v>
      </c>
      <c r="F154" s="34" t="s">
        <v>8035</v>
      </c>
      <c r="G154" s="34" t="s">
        <v>8036</v>
      </c>
      <c r="H154" s="34" t="s">
        <v>8037</v>
      </c>
      <c r="I154" s="34" t="s">
        <v>8038</v>
      </c>
      <c r="J154" s="34" t="s">
        <v>8039</v>
      </c>
      <c r="K154" s="34" t="s">
        <v>8040</v>
      </c>
      <c r="L154" s="34" t="s">
        <v>11455</v>
      </c>
      <c r="M154" s="33" t="s">
        <v>11636</v>
      </c>
      <c r="N154" s="1" t="s">
        <v>11039</v>
      </c>
    </row>
    <row r="155" spans="1:14">
      <c r="A155" s="123"/>
      <c r="C155" s="126" t="s">
        <v>8043</v>
      </c>
      <c r="D155" s="34" t="s">
        <v>8041</v>
      </c>
      <c r="E155" s="34" t="s">
        <v>8042</v>
      </c>
      <c r="F155" s="34" t="s">
        <v>8044</v>
      </c>
      <c r="G155" s="34" t="s">
        <v>8045</v>
      </c>
      <c r="H155" s="34" t="s">
        <v>8046</v>
      </c>
      <c r="I155" s="34" t="s">
        <v>8047</v>
      </c>
      <c r="J155" s="34" t="s">
        <v>8048</v>
      </c>
      <c r="K155" s="34" t="s">
        <v>8049</v>
      </c>
      <c r="L155" s="34" t="s">
        <v>11456</v>
      </c>
      <c r="M155" s="33" t="s">
        <v>11637</v>
      </c>
      <c r="N155" s="1" t="s">
        <v>11040</v>
      </c>
    </row>
    <row r="156" spans="1:14">
      <c r="A156" s="123"/>
      <c r="C156" s="126" t="s">
        <v>8052</v>
      </c>
      <c r="D156" s="34" t="s">
        <v>8050</v>
      </c>
      <c r="E156" s="34" t="s">
        <v>8051</v>
      </c>
      <c r="F156" s="34" t="s">
        <v>8053</v>
      </c>
      <c r="G156" s="34" t="s">
        <v>8054</v>
      </c>
      <c r="H156" s="34" t="s">
        <v>8055</v>
      </c>
      <c r="I156" s="34" t="s">
        <v>8056</v>
      </c>
      <c r="J156" s="34" t="s">
        <v>8057</v>
      </c>
      <c r="K156" s="34" t="s">
        <v>8058</v>
      </c>
      <c r="L156" s="34" t="s">
        <v>11457</v>
      </c>
      <c r="M156" s="33" t="s">
        <v>11638</v>
      </c>
      <c r="N156" s="1" t="s">
        <v>11041</v>
      </c>
    </row>
    <row r="157" spans="1:14">
      <c r="A157" s="123"/>
      <c r="C157" s="126" t="s">
        <v>8061</v>
      </c>
      <c r="D157" s="34" t="s">
        <v>8059</v>
      </c>
      <c r="E157" s="36" t="s">
        <v>8060</v>
      </c>
      <c r="F157" s="35" t="s">
        <v>8062</v>
      </c>
      <c r="G157" s="33" t="s">
        <v>8063</v>
      </c>
      <c r="H157" s="33" t="s">
        <v>8064</v>
      </c>
      <c r="I157" s="33" t="s">
        <v>8065</v>
      </c>
      <c r="J157" s="33" t="s">
        <v>8066</v>
      </c>
      <c r="K157" s="33" t="s">
        <v>8067</v>
      </c>
      <c r="L157" s="33"/>
      <c r="M157" s="33" t="s">
        <v>11639</v>
      </c>
      <c r="N157" s="1" t="s">
        <v>11042</v>
      </c>
    </row>
    <row r="158" spans="1:14">
      <c r="A158" s="123"/>
      <c r="C158" s="126" t="s">
        <v>8070</v>
      </c>
      <c r="D158" s="34" t="s">
        <v>8068</v>
      </c>
      <c r="E158" s="34" t="s">
        <v>8069</v>
      </c>
      <c r="F158" s="34" t="s">
        <v>8071</v>
      </c>
      <c r="G158" s="34" t="s">
        <v>8072</v>
      </c>
      <c r="H158" s="34" t="s">
        <v>8073</v>
      </c>
      <c r="I158" s="34" t="s">
        <v>8074</v>
      </c>
      <c r="J158" s="34" t="s">
        <v>8075</v>
      </c>
      <c r="K158" s="34" t="s">
        <v>8076</v>
      </c>
      <c r="L158" s="34" t="s">
        <v>11458</v>
      </c>
      <c r="M158" s="33" t="s">
        <v>11640</v>
      </c>
      <c r="N158" s="1" t="s">
        <v>11043</v>
      </c>
    </row>
    <row r="159" spans="1:14">
      <c r="A159" s="123"/>
      <c r="C159" s="126" t="s">
        <v>8079</v>
      </c>
      <c r="D159" s="34" t="s">
        <v>8077</v>
      </c>
      <c r="E159" s="34" t="s">
        <v>8078</v>
      </c>
      <c r="F159" s="34" t="s">
        <v>8080</v>
      </c>
      <c r="G159" s="34" t="s">
        <v>8081</v>
      </c>
      <c r="H159" s="34" t="s">
        <v>8082</v>
      </c>
      <c r="I159" s="34" t="s">
        <v>8083</v>
      </c>
      <c r="J159" s="34" t="s">
        <v>8084</v>
      </c>
      <c r="K159" s="34" t="s">
        <v>8085</v>
      </c>
      <c r="L159" s="34" t="s">
        <v>11459</v>
      </c>
      <c r="M159" s="33" t="s">
        <v>11641</v>
      </c>
      <c r="N159" s="1" t="s">
        <v>11044</v>
      </c>
    </row>
    <row r="160" spans="1:14">
      <c r="A160" s="123"/>
      <c r="C160" s="126" t="s">
        <v>8088</v>
      </c>
      <c r="D160" s="34" t="s">
        <v>8086</v>
      </c>
      <c r="E160" s="34" t="s">
        <v>8087</v>
      </c>
      <c r="F160" s="34" t="s">
        <v>8089</v>
      </c>
      <c r="G160" s="34" t="s">
        <v>8090</v>
      </c>
      <c r="H160" s="34" t="s">
        <v>8091</v>
      </c>
      <c r="I160" s="34" t="s">
        <v>8092</v>
      </c>
      <c r="J160" s="34" t="s">
        <v>8093</v>
      </c>
      <c r="K160" s="34" t="s">
        <v>8094</v>
      </c>
      <c r="L160" s="34" t="s">
        <v>11460</v>
      </c>
      <c r="M160" s="33" t="s">
        <v>11642</v>
      </c>
      <c r="N160" s="1" t="s">
        <v>11045</v>
      </c>
    </row>
    <row r="161" spans="1:14">
      <c r="A161" s="123"/>
      <c r="C161" s="126" t="s">
        <v>8097</v>
      </c>
      <c r="D161" s="34" t="s">
        <v>8095</v>
      </c>
      <c r="E161" s="36" t="s">
        <v>8096</v>
      </c>
      <c r="F161" s="35" t="s">
        <v>8098</v>
      </c>
      <c r="G161" s="33" t="s">
        <v>8099</v>
      </c>
      <c r="H161" s="33" t="s">
        <v>8100</v>
      </c>
      <c r="I161" s="33" t="s">
        <v>8101</v>
      </c>
      <c r="J161" s="33" t="s">
        <v>8102</v>
      </c>
      <c r="K161" s="33" t="s">
        <v>8103</v>
      </c>
      <c r="L161" s="33" t="s">
        <v>11461</v>
      </c>
      <c r="M161" s="33" t="s">
        <v>11643</v>
      </c>
      <c r="N161" s="1" t="s">
        <v>11046</v>
      </c>
    </row>
    <row r="162" spans="1:14">
      <c r="A162" s="123"/>
      <c r="C162" s="126" t="s">
        <v>8106</v>
      </c>
      <c r="D162" s="34" t="s">
        <v>8104</v>
      </c>
      <c r="E162" s="34" t="s">
        <v>8105</v>
      </c>
      <c r="F162" s="34" t="s">
        <v>8107</v>
      </c>
      <c r="G162" s="34" t="s">
        <v>8108</v>
      </c>
      <c r="H162" s="34" t="s">
        <v>8109</v>
      </c>
      <c r="I162" s="34" t="s">
        <v>8110</v>
      </c>
      <c r="J162" s="34" t="s">
        <v>8111</v>
      </c>
      <c r="K162" s="34" t="s">
        <v>8112</v>
      </c>
      <c r="L162" s="34" t="s">
        <v>11462</v>
      </c>
      <c r="M162" s="33" t="s">
        <v>11644</v>
      </c>
      <c r="N162" s="1" t="s">
        <v>11047</v>
      </c>
    </row>
    <row r="163" spans="1:14">
      <c r="A163" s="123"/>
      <c r="C163" s="126" t="s">
        <v>8115</v>
      </c>
      <c r="D163" s="34" t="s">
        <v>8113</v>
      </c>
      <c r="E163" s="34" t="s">
        <v>8114</v>
      </c>
      <c r="F163" s="34" t="s">
        <v>8116</v>
      </c>
      <c r="G163" s="34" t="s">
        <v>8117</v>
      </c>
      <c r="H163" s="34" t="s">
        <v>8118</v>
      </c>
      <c r="I163" s="34" t="s">
        <v>8119</v>
      </c>
      <c r="J163" s="34" t="s">
        <v>8120</v>
      </c>
      <c r="K163" s="34" t="s">
        <v>8121</v>
      </c>
      <c r="L163" s="34" t="s">
        <v>11463</v>
      </c>
      <c r="M163" s="33" t="s">
        <v>11645</v>
      </c>
      <c r="N163" s="1" t="s">
        <v>11048</v>
      </c>
    </row>
    <row r="164" spans="1:14">
      <c r="A164" s="123"/>
      <c r="C164" s="126" t="s">
        <v>8124</v>
      </c>
      <c r="D164" s="34" t="s">
        <v>8122</v>
      </c>
      <c r="E164" s="34" t="s">
        <v>8123</v>
      </c>
      <c r="F164" s="34" t="s">
        <v>8125</v>
      </c>
      <c r="G164" s="34" t="s">
        <v>8126</v>
      </c>
      <c r="H164" s="34" t="s">
        <v>8127</v>
      </c>
      <c r="I164" s="34" t="s">
        <v>8128</v>
      </c>
      <c r="J164" s="34" t="s">
        <v>8129</v>
      </c>
      <c r="K164" s="34" t="s">
        <v>8130</v>
      </c>
      <c r="L164" s="34" t="s">
        <v>9863</v>
      </c>
      <c r="M164" s="33" t="s">
        <v>11646</v>
      </c>
      <c r="N164" s="1" t="s">
        <v>11049</v>
      </c>
    </row>
    <row r="165" spans="1:14">
      <c r="A165" s="123"/>
      <c r="C165" s="126" t="s">
        <v>8133</v>
      </c>
      <c r="D165" s="34" t="s">
        <v>8131</v>
      </c>
      <c r="E165" s="34" t="s">
        <v>8132</v>
      </c>
      <c r="F165" s="34" t="s">
        <v>8134</v>
      </c>
      <c r="G165" s="34" t="s">
        <v>8135</v>
      </c>
      <c r="H165" s="34" t="s">
        <v>8136</v>
      </c>
      <c r="I165" s="34" t="s">
        <v>8137</v>
      </c>
      <c r="J165" s="34" t="s">
        <v>8138</v>
      </c>
      <c r="K165" s="34" t="s">
        <v>8139</v>
      </c>
      <c r="L165" s="34" t="s">
        <v>11464</v>
      </c>
      <c r="M165" s="33" t="s">
        <v>11647</v>
      </c>
      <c r="N165" s="1" t="s">
        <v>11050</v>
      </c>
    </row>
    <row r="166" spans="1:14">
      <c r="A166" s="123"/>
      <c r="C166" s="126" t="s">
        <v>8142</v>
      </c>
      <c r="D166" s="34" t="s">
        <v>8140</v>
      </c>
      <c r="E166" s="34" t="s">
        <v>8141</v>
      </c>
      <c r="F166" s="34" t="s">
        <v>8143</v>
      </c>
      <c r="G166" s="34" t="s">
        <v>8144</v>
      </c>
      <c r="H166" s="34" t="s">
        <v>8145</v>
      </c>
      <c r="I166" s="34" t="s">
        <v>8146</v>
      </c>
      <c r="J166" s="34" t="s">
        <v>8147</v>
      </c>
      <c r="K166" s="34" t="s">
        <v>8148</v>
      </c>
      <c r="L166" s="34" t="s">
        <v>11465</v>
      </c>
      <c r="M166" s="33" t="s">
        <v>11648</v>
      </c>
      <c r="N166" s="1" t="s">
        <v>11051</v>
      </c>
    </row>
    <row r="167" spans="1:14">
      <c r="A167" s="123"/>
      <c r="C167" s="126" t="s">
        <v>8151</v>
      </c>
      <c r="D167" s="34" t="s">
        <v>8149</v>
      </c>
      <c r="E167" s="34" t="s">
        <v>8150</v>
      </c>
      <c r="F167" s="34" t="s">
        <v>8152</v>
      </c>
      <c r="G167" s="34" t="s">
        <v>8153</v>
      </c>
      <c r="H167" s="34" t="s">
        <v>8154</v>
      </c>
      <c r="I167" s="34" t="s">
        <v>8155</v>
      </c>
      <c r="J167" s="34" t="s">
        <v>8156</v>
      </c>
      <c r="K167" s="34" t="s">
        <v>8157</v>
      </c>
      <c r="L167" s="34" t="s">
        <v>11466</v>
      </c>
      <c r="M167" s="33" t="s">
        <v>11649</v>
      </c>
      <c r="N167" s="1" t="s">
        <v>11052</v>
      </c>
    </row>
    <row r="168" spans="1:14">
      <c r="A168" s="123"/>
      <c r="C168" s="126" t="s">
        <v>8160</v>
      </c>
      <c r="D168" s="34" t="s">
        <v>8158</v>
      </c>
      <c r="E168" s="34" t="s">
        <v>8159</v>
      </c>
      <c r="F168" s="34" t="s">
        <v>8161</v>
      </c>
      <c r="G168" s="34" t="s">
        <v>8162</v>
      </c>
      <c r="H168" s="34" t="s">
        <v>8163</v>
      </c>
      <c r="I168" s="34" t="s">
        <v>8164</v>
      </c>
      <c r="J168" s="34" t="s">
        <v>8165</v>
      </c>
      <c r="K168" s="34" t="s">
        <v>8166</v>
      </c>
      <c r="L168" s="34" t="s">
        <v>11467</v>
      </c>
      <c r="M168" s="33" t="s">
        <v>11650</v>
      </c>
      <c r="N168" s="1" t="s">
        <v>11053</v>
      </c>
    </row>
    <row r="169" spans="1:14">
      <c r="A169" s="123"/>
      <c r="C169" s="126" t="s">
        <v>8169</v>
      </c>
      <c r="D169" s="34" t="s">
        <v>8167</v>
      </c>
      <c r="E169" s="34" t="s">
        <v>8168</v>
      </c>
      <c r="F169" s="34" t="s">
        <v>8170</v>
      </c>
      <c r="G169" s="34" t="s">
        <v>8171</v>
      </c>
      <c r="H169" s="34" t="s">
        <v>8172</v>
      </c>
      <c r="I169" s="34" t="s">
        <v>8173</v>
      </c>
      <c r="J169" s="34" t="s">
        <v>8174</v>
      </c>
      <c r="K169" s="34" t="s">
        <v>8175</v>
      </c>
      <c r="L169" s="34" t="s">
        <v>11468</v>
      </c>
      <c r="M169" s="33" t="s">
        <v>11651</v>
      </c>
      <c r="N169" s="1" t="s">
        <v>11054</v>
      </c>
    </row>
    <row r="170" spans="1:14">
      <c r="A170" s="123"/>
      <c r="C170" s="126" t="s">
        <v>8178</v>
      </c>
      <c r="D170" s="34" t="s">
        <v>8176</v>
      </c>
      <c r="E170" s="34" t="s">
        <v>8177</v>
      </c>
      <c r="F170" s="34" t="s">
        <v>8179</v>
      </c>
      <c r="G170" s="34" t="s">
        <v>8180</v>
      </c>
      <c r="H170" s="34" t="s">
        <v>8181</v>
      </c>
      <c r="I170" s="34" t="s">
        <v>8182</v>
      </c>
      <c r="J170" s="34" t="s">
        <v>8183</v>
      </c>
      <c r="K170" s="34" t="s">
        <v>8184</v>
      </c>
      <c r="L170" s="34" t="s">
        <v>11469</v>
      </c>
      <c r="M170" s="33" t="s">
        <v>11652</v>
      </c>
      <c r="N170" s="1" t="s">
        <v>11055</v>
      </c>
    </row>
    <row r="171" spans="1:14">
      <c r="A171" s="123"/>
      <c r="C171" s="126" t="s">
        <v>8187</v>
      </c>
      <c r="D171" s="34" t="s">
        <v>8185</v>
      </c>
      <c r="E171" s="34" t="s">
        <v>8186</v>
      </c>
      <c r="F171" s="34" t="s">
        <v>8188</v>
      </c>
      <c r="G171" s="34" t="s">
        <v>8189</v>
      </c>
      <c r="H171" s="34" t="s">
        <v>8190</v>
      </c>
      <c r="I171" s="34" t="s">
        <v>7966</v>
      </c>
      <c r="J171" s="34" t="s">
        <v>8191</v>
      </c>
      <c r="K171" s="34" t="s">
        <v>8192</v>
      </c>
      <c r="L171" s="34" t="s">
        <v>9864</v>
      </c>
      <c r="M171" s="33" t="s">
        <v>11145</v>
      </c>
      <c r="N171" s="1" t="s">
        <v>11056</v>
      </c>
    </row>
    <row r="172" spans="1:14">
      <c r="A172" s="123"/>
      <c r="C172" s="126" t="s">
        <v>8195</v>
      </c>
      <c r="D172" s="34" t="s">
        <v>8193</v>
      </c>
      <c r="E172" s="34" t="s">
        <v>8194</v>
      </c>
      <c r="F172" s="34" t="s">
        <v>8196</v>
      </c>
      <c r="G172" s="34" t="s">
        <v>8197</v>
      </c>
      <c r="H172" s="34" t="s">
        <v>8198</v>
      </c>
      <c r="I172" s="34" t="s">
        <v>8199</v>
      </c>
      <c r="J172" s="34" t="s">
        <v>8200</v>
      </c>
      <c r="K172" s="34" t="s">
        <v>8201</v>
      </c>
      <c r="L172" s="34" t="s">
        <v>11470</v>
      </c>
      <c r="M172" s="33" t="s">
        <v>11653</v>
      </c>
      <c r="N172" s="1" t="s">
        <v>11057</v>
      </c>
    </row>
    <row r="173" spans="1:14">
      <c r="A173" s="123"/>
      <c r="C173" s="126" t="s">
        <v>8204</v>
      </c>
      <c r="D173" s="34" t="s">
        <v>8202</v>
      </c>
      <c r="E173" s="34" t="s">
        <v>8203</v>
      </c>
      <c r="F173" s="34" t="s">
        <v>8205</v>
      </c>
      <c r="G173" s="34" t="s">
        <v>8206</v>
      </c>
      <c r="H173" s="34" t="s">
        <v>8207</v>
      </c>
      <c r="I173" s="34" t="s">
        <v>8208</v>
      </c>
      <c r="J173" s="34" t="s">
        <v>8209</v>
      </c>
      <c r="K173" s="34" t="s">
        <v>8210</v>
      </c>
      <c r="L173" s="34" t="s">
        <v>11471</v>
      </c>
      <c r="M173" s="33" t="s">
        <v>11654</v>
      </c>
      <c r="N173" s="1" t="s">
        <v>11058</v>
      </c>
    </row>
    <row r="174" spans="1:14">
      <c r="A174" s="123"/>
      <c r="C174" s="126" t="s">
        <v>8213</v>
      </c>
      <c r="D174" s="34" t="s">
        <v>8211</v>
      </c>
      <c r="E174" s="34" t="s">
        <v>8212</v>
      </c>
      <c r="F174" s="34" t="s">
        <v>8214</v>
      </c>
      <c r="G174" s="34" t="s">
        <v>8215</v>
      </c>
      <c r="H174" s="34" t="s">
        <v>8216</v>
      </c>
      <c r="I174" s="34" t="s">
        <v>8217</v>
      </c>
      <c r="J174" s="34" t="s">
        <v>8218</v>
      </c>
      <c r="K174" s="34" t="s">
        <v>8219</v>
      </c>
      <c r="L174" s="34" t="s">
        <v>11472</v>
      </c>
      <c r="M174" s="33" t="s">
        <v>11655</v>
      </c>
      <c r="N174" s="1" t="s">
        <v>11059</v>
      </c>
    </row>
    <row r="175" spans="1:14">
      <c r="A175" s="123"/>
      <c r="C175" s="126" t="s">
        <v>8222</v>
      </c>
      <c r="D175" s="34" t="s">
        <v>8220</v>
      </c>
      <c r="E175" s="34" t="s">
        <v>8221</v>
      </c>
      <c r="F175" s="34" t="s">
        <v>8223</v>
      </c>
      <c r="G175" s="34" t="s">
        <v>8224</v>
      </c>
      <c r="H175" s="34" t="s">
        <v>8225</v>
      </c>
      <c r="I175" s="34" t="s">
        <v>8226</v>
      </c>
      <c r="J175" s="34" t="s">
        <v>8227</v>
      </c>
      <c r="K175" s="34" t="s">
        <v>8228</v>
      </c>
      <c r="L175" s="34" t="s">
        <v>11473</v>
      </c>
      <c r="M175" s="33" t="s">
        <v>11656</v>
      </c>
      <c r="N175" s="1" t="s">
        <v>11060</v>
      </c>
    </row>
    <row r="176" spans="1:14">
      <c r="A176" s="123"/>
      <c r="C176" s="126" t="s">
        <v>8231</v>
      </c>
      <c r="D176" s="34" t="s">
        <v>8229</v>
      </c>
      <c r="E176" s="34" t="s">
        <v>8230</v>
      </c>
      <c r="F176" s="34" t="s">
        <v>8232</v>
      </c>
      <c r="G176" s="34" t="s">
        <v>8233</v>
      </c>
      <c r="H176" s="34" t="s">
        <v>8234</v>
      </c>
      <c r="I176" s="34" t="s">
        <v>8235</v>
      </c>
      <c r="J176" s="34" t="s">
        <v>8236</v>
      </c>
      <c r="K176" s="34" t="s">
        <v>8237</v>
      </c>
      <c r="L176" s="34" t="s">
        <v>11474</v>
      </c>
      <c r="M176" s="33" t="s">
        <v>11657</v>
      </c>
      <c r="N176" s="1" t="s">
        <v>11061</v>
      </c>
    </row>
    <row r="177" spans="1:14">
      <c r="A177" s="123"/>
      <c r="C177" s="126" t="s">
        <v>8240</v>
      </c>
      <c r="D177" s="34" t="s">
        <v>8238</v>
      </c>
      <c r="E177" s="34" t="s">
        <v>8239</v>
      </c>
      <c r="F177" s="34" t="s">
        <v>8241</v>
      </c>
      <c r="G177" s="34" t="s">
        <v>8242</v>
      </c>
      <c r="H177" s="34" t="s">
        <v>8243</v>
      </c>
      <c r="I177" s="34" t="s">
        <v>8244</v>
      </c>
      <c r="J177" s="34" t="s">
        <v>8245</v>
      </c>
      <c r="K177" s="34" t="s">
        <v>8246</v>
      </c>
      <c r="L177" s="34" t="s">
        <v>11475</v>
      </c>
      <c r="M177" s="33" t="s">
        <v>11658</v>
      </c>
      <c r="N177" s="1" t="s">
        <v>11062</v>
      </c>
    </row>
    <row r="178" spans="1:14">
      <c r="A178" s="123"/>
      <c r="C178" s="126" t="s">
        <v>8249</v>
      </c>
      <c r="D178" s="34" t="s">
        <v>8247</v>
      </c>
      <c r="E178" s="36" t="s">
        <v>8248</v>
      </c>
      <c r="F178" s="35" t="s">
        <v>8250</v>
      </c>
      <c r="G178" s="33" t="s">
        <v>8251</v>
      </c>
      <c r="H178" s="33" t="s">
        <v>8252</v>
      </c>
      <c r="I178" s="33" t="s">
        <v>8253</v>
      </c>
      <c r="J178" s="33" t="s">
        <v>8254</v>
      </c>
      <c r="K178" s="33" t="s">
        <v>8255</v>
      </c>
      <c r="L178" s="33" t="s">
        <v>11476</v>
      </c>
      <c r="M178" s="33" t="s">
        <v>11659</v>
      </c>
      <c r="N178" s="1" t="s">
        <v>11063</v>
      </c>
    </row>
    <row r="179" spans="1:14">
      <c r="A179" s="123"/>
      <c r="C179" s="126" t="s">
        <v>8258</v>
      </c>
      <c r="D179" s="34" t="s">
        <v>8256</v>
      </c>
      <c r="E179" s="34" t="s">
        <v>8257</v>
      </c>
      <c r="F179" s="34" t="s">
        <v>8259</v>
      </c>
      <c r="G179" s="34" t="s">
        <v>8260</v>
      </c>
      <c r="H179" s="34" t="s">
        <v>8261</v>
      </c>
      <c r="I179" s="34" t="s">
        <v>8262</v>
      </c>
      <c r="J179" s="34" t="s">
        <v>8263</v>
      </c>
      <c r="K179" s="34" t="s">
        <v>8264</v>
      </c>
      <c r="L179" s="34" t="s">
        <v>11477</v>
      </c>
      <c r="M179" s="33" t="s">
        <v>11660</v>
      </c>
      <c r="N179" s="1" t="s">
        <v>11064</v>
      </c>
    </row>
    <row r="180" spans="1:14">
      <c r="A180" s="123"/>
      <c r="C180" s="126" t="s">
        <v>8267</v>
      </c>
      <c r="D180" s="34" t="s">
        <v>8265</v>
      </c>
      <c r="E180" s="34" t="s">
        <v>8266</v>
      </c>
      <c r="F180" s="34" t="s">
        <v>8268</v>
      </c>
      <c r="G180" s="34" t="s">
        <v>8269</v>
      </c>
      <c r="H180" s="34" t="s">
        <v>8270</v>
      </c>
      <c r="I180" s="34" t="s">
        <v>8271</v>
      </c>
      <c r="J180" s="34" t="s">
        <v>8272</v>
      </c>
      <c r="K180" s="34" t="s">
        <v>8273</v>
      </c>
      <c r="L180" s="34" t="s">
        <v>11478</v>
      </c>
      <c r="M180" s="33" t="s">
        <v>11661</v>
      </c>
      <c r="N180" s="1" t="s">
        <v>11065</v>
      </c>
    </row>
    <row r="181" spans="1:14">
      <c r="A181" s="123"/>
      <c r="C181" s="126" t="s">
        <v>8276</v>
      </c>
      <c r="D181" s="34" t="s">
        <v>8274</v>
      </c>
      <c r="E181" s="34" t="s">
        <v>8275</v>
      </c>
      <c r="F181" s="34" t="s">
        <v>8277</v>
      </c>
      <c r="G181" s="34" t="s">
        <v>8278</v>
      </c>
      <c r="H181" s="34" t="s">
        <v>8279</v>
      </c>
      <c r="I181" s="34" t="s">
        <v>8280</v>
      </c>
      <c r="J181" s="34" t="s">
        <v>8281</v>
      </c>
      <c r="K181" s="34" t="s">
        <v>8282</v>
      </c>
      <c r="L181" s="34" t="s">
        <v>11479</v>
      </c>
      <c r="M181" s="33" t="s">
        <v>11146</v>
      </c>
      <c r="N181" s="1" t="s">
        <v>11066</v>
      </c>
    </row>
    <row r="182" spans="1:14">
      <c r="A182" s="123"/>
      <c r="C182" s="126" t="s">
        <v>8285</v>
      </c>
      <c r="D182" s="34" t="s">
        <v>8283</v>
      </c>
      <c r="E182" s="34" t="s">
        <v>8284</v>
      </c>
      <c r="F182" s="34" t="s">
        <v>8286</v>
      </c>
      <c r="G182" s="34" t="s">
        <v>8287</v>
      </c>
      <c r="H182" s="34" t="s">
        <v>8288</v>
      </c>
      <c r="I182" s="34" t="s">
        <v>8289</v>
      </c>
      <c r="J182" s="34" t="s">
        <v>8290</v>
      </c>
      <c r="K182" s="34" t="s">
        <v>8291</v>
      </c>
      <c r="L182" s="34" t="s">
        <v>11480</v>
      </c>
      <c r="M182" s="33" t="s">
        <v>11662</v>
      </c>
      <c r="N182" s="1" t="s">
        <v>11067</v>
      </c>
    </row>
    <row r="183" spans="1:14">
      <c r="A183" s="123"/>
      <c r="C183" s="126" t="s">
        <v>8294</v>
      </c>
      <c r="D183" s="34" t="s">
        <v>8292</v>
      </c>
      <c r="E183" s="34" t="s">
        <v>8293</v>
      </c>
      <c r="F183" s="34" t="s">
        <v>8295</v>
      </c>
      <c r="G183" s="34" t="s">
        <v>8296</v>
      </c>
      <c r="H183" s="34" t="s">
        <v>8297</v>
      </c>
      <c r="I183" s="34" t="s">
        <v>8298</v>
      </c>
      <c r="J183" s="34" t="s">
        <v>8299</v>
      </c>
      <c r="K183" s="34" t="s">
        <v>8300</v>
      </c>
      <c r="L183" s="34" t="s">
        <v>11481</v>
      </c>
      <c r="M183" s="33" t="s">
        <v>11663</v>
      </c>
      <c r="N183" s="1" t="s">
        <v>11068</v>
      </c>
    </row>
    <row r="184" spans="1:14">
      <c r="A184" s="123"/>
      <c r="C184" s="126" t="s">
        <v>8303</v>
      </c>
      <c r="D184" s="34" t="s">
        <v>8301</v>
      </c>
      <c r="E184" s="34" t="s">
        <v>8302</v>
      </c>
      <c r="F184" s="34" t="s">
        <v>8304</v>
      </c>
      <c r="G184" s="34" t="s">
        <v>8305</v>
      </c>
      <c r="H184" s="34" t="s">
        <v>8306</v>
      </c>
      <c r="I184" s="34" t="s">
        <v>8302</v>
      </c>
      <c r="J184" s="34" t="s">
        <v>8307</v>
      </c>
      <c r="K184" s="34" t="s">
        <v>8308</v>
      </c>
      <c r="L184" s="34" t="s">
        <v>11482</v>
      </c>
      <c r="M184" s="33" t="s">
        <v>11147</v>
      </c>
      <c r="N184" s="1" t="s">
        <v>11069</v>
      </c>
    </row>
    <row r="185" spans="1:14">
      <c r="A185" s="123"/>
      <c r="C185" s="126" t="s">
        <v>8311</v>
      </c>
      <c r="D185" s="34" t="s">
        <v>8309</v>
      </c>
      <c r="E185" s="34" t="s">
        <v>8310</v>
      </c>
      <c r="F185" s="34" t="s">
        <v>8312</v>
      </c>
      <c r="G185" s="34" t="s">
        <v>8313</v>
      </c>
      <c r="H185" s="34" t="s">
        <v>8314</v>
      </c>
      <c r="I185" s="34" t="s">
        <v>8310</v>
      </c>
      <c r="J185" s="34" t="s">
        <v>8315</v>
      </c>
      <c r="K185" s="34" t="s">
        <v>8316</v>
      </c>
      <c r="L185" s="34" t="s">
        <v>9865</v>
      </c>
      <c r="M185" s="33" t="s">
        <v>11148</v>
      </c>
      <c r="N185" s="1" t="s">
        <v>11070</v>
      </c>
    </row>
    <row r="186" spans="1:14">
      <c r="A186" s="123"/>
      <c r="C186" s="126" t="s">
        <v>8319</v>
      </c>
      <c r="D186" s="34" t="s">
        <v>8317</v>
      </c>
      <c r="E186" s="34" t="s">
        <v>8318</v>
      </c>
      <c r="F186" s="34" t="s">
        <v>8320</v>
      </c>
      <c r="G186" s="34" t="s">
        <v>8321</v>
      </c>
      <c r="H186" s="34" t="s">
        <v>8322</v>
      </c>
      <c r="I186" s="34" t="s">
        <v>8318</v>
      </c>
      <c r="J186" s="34" t="s">
        <v>8323</v>
      </c>
      <c r="K186" s="34" t="s">
        <v>8324</v>
      </c>
      <c r="L186" s="34" t="s">
        <v>11483</v>
      </c>
      <c r="M186" s="33" t="s">
        <v>11664</v>
      </c>
      <c r="N186" s="1" t="s">
        <v>11071</v>
      </c>
    </row>
    <row r="187" spans="1:14">
      <c r="A187" s="123"/>
      <c r="C187" s="126" t="s">
        <v>8327</v>
      </c>
      <c r="D187" s="34" t="s">
        <v>8325</v>
      </c>
      <c r="E187" s="34" t="s">
        <v>8326</v>
      </c>
      <c r="F187" s="34" t="s">
        <v>8328</v>
      </c>
      <c r="G187" s="34" t="s">
        <v>8329</v>
      </c>
      <c r="H187" s="34" t="s">
        <v>8330</v>
      </c>
      <c r="I187" s="34" t="s">
        <v>8326</v>
      </c>
      <c r="J187" s="34" t="s">
        <v>8331</v>
      </c>
      <c r="K187" s="34" t="s">
        <v>8332</v>
      </c>
      <c r="L187" s="34" t="s">
        <v>11484</v>
      </c>
      <c r="M187" s="33" t="s">
        <v>11665</v>
      </c>
      <c r="N187" s="1" t="s">
        <v>11072</v>
      </c>
    </row>
    <row r="188" spans="1:14">
      <c r="A188" s="123"/>
      <c r="C188" s="126" t="s">
        <v>8335</v>
      </c>
      <c r="D188" s="34" t="s">
        <v>8333</v>
      </c>
      <c r="E188" s="34" t="s">
        <v>8334</v>
      </c>
      <c r="F188" s="34" t="s">
        <v>8336</v>
      </c>
      <c r="G188" s="34" t="s">
        <v>8337</v>
      </c>
      <c r="H188" s="34" t="s">
        <v>8338</v>
      </c>
      <c r="I188" s="34" t="s">
        <v>8334</v>
      </c>
      <c r="J188" s="34" t="s">
        <v>8339</v>
      </c>
      <c r="K188" s="34" t="s">
        <v>8340</v>
      </c>
      <c r="L188" s="34" t="s">
        <v>9866</v>
      </c>
      <c r="M188" s="33" t="s">
        <v>11666</v>
      </c>
      <c r="N188" s="1" t="s">
        <v>11073</v>
      </c>
    </row>
    <row r="189" spans="1:14">
      <c r="A189" s="123"/>
      <c r="C189" s="126" t="s">
        <v>8343</v>
      </c>
      <c r="D189" s="34" t="s">
        <v>8341</v>
      </c>
      <c r="E189" s="34" t="s">
        <v>8342</v>
      </c>
      <c r="F189" s="34" t="s">
        <v>8344</v>
      </c>
      <c r="G189" s="34" t="s">
        <v>8345</v>
      </c>
      <c r="H189" s="34" t="s">
        <v>8346</v>
      </c>
      <c r="I189" s="34" t="s">
        <v>8342</v>
      </c>
      <c r="J189" s="34" t="s">
        <v>8347</v>
      </c>
      <c r="K189" s="34" t="s">
        <v>8348</v>
      </c>
      <c r="L189" s="34" t="s">
        <v>9867</v>
      </c>
      <c r="M189" s="33" t="s">
        <v>11667</v>
      </c>
      <c r="N189" s="1" t="s">
        <v>11074</v>
      </c>
    </row>
    <row r="190" spans="1:14">
      <c r="A190" s="123"/>
      <c r="C190" s="126" t="s">
        <v>8351</v>
      </c>
      <c r="D190" s="34" t="s">
        <v>8349</v>
      </c>
      <c r="E190" s="34" t="s">
        <v>8350</v>
      </c>
      <c r="F190" s="34" t="s">
        <v>8352</v>
      </c>
      <c r="G190" s="34" t="s">
        <v>8353</v>
      </c>
      <c r="H190" s="34" t="s">
        <v>8354</v>
      </c>
      <c r="I190" s="34" t="s">
        <v>8350</v>
      </c>
      <c r="J190" s="34" t="s">
        <v>8355</v>
      </c>
      <c r="K190" s="34" t="s">
        <v>8356</v>
      </c>
      <c r="L190" s="34" t="s">
        <v>9868</v>
      </c>
      <c r="M190" s="33" t="s">
        <v>11668</v>
      </c>
      <c r="N190" s="1" t="s">
        <v>11075</v>
      </c>
    </row>
    <row r="191" spans="1:14">
      <c r="A191" s="123"/>
      <c r="C191" s="126" t="s">
        <v>8359</v>
      </c>
      <c r="D191" s="34" t="s">
        <v>8357</v>
      </c>
      <c r="E191" s="34" t="s">
        <v>8358</v>
      </c>
      <c r="F191" s="34" t="s">
        <v>8360</v>
      </c>
      <c r="G191" s="34" t="s">
        <v>8361</v>
      </c>
      <c r="H191" s="34" t="s">
        <v>8362</v>
      </c>
      <c r="I191" s="34" t="s">
        <v>8358</v>
      </c>
      <c r="J191" s="34" t="s">
        <v>8363</v>
      </c>
      <c r="K191" s="34" t="s">
        <v>8364</v>
      </c>
      <c r="L191" s="34" t="s">
        <v>9869</v>
      </c>
      <c r="M191" s="33" t="s">
        <v>11669</v>
      </c>
      <c r="N191" s="1" t="s">
        <v>11076</v>
      </c>
    </row>
    <row r="192" spans="1:14">
      <c r="A192" s="123"/>
      <c r="C192" s="126" t="s">
        <v>8367</v>
      </c>
      <c r="D192" s="34" t="s">
        <v>8365</v>
      </c>
      <c r="E192" s="34" t="s">
        <v>8366</v>
      </c>
      <c r="F192" s="34" t="s">
        <v>8368</v>
      </c>
      <c r="G192" s="34" t="s">
        <v>8369</v>
      </c>
      <c r="H192" s="34" t="s">
        <v>8370</v>
      </c>
      <c r="I192" s="34" t="s">
        <v>8366</v>
      </c>
      <c r="J192" s="34" t="s">
        <v>8371</v>
      </c>
      <c r="K192" s="34" t="s">
        <v>8372</v>
      </c>
      <c r="L192" s="34" t="s">
        <v>9870</v>
      </c>
      <c r="M192" s="33" t="s">
        <v>11670</v>
      </c>
      <c r="N192" s="1" t="s">
        <v>11077</v>
      </c>
    </row>
    <row r="193" spans="1:14">
      <c r="A193" s="123"/>
      <c r="C193" s="126" t="s">
        <v>8375</v>
      </c>
      <c r="D193" s="34" t="s">
        <v>8373</v>
      </c>
      <c r="E193" s="34" t="s">
        <v>8374</v>
      </c>
      <c r="F193" s="34" t="s">
        <v>8376</v>
      </c>
      <c r="G193" s="34" t="s">
        <v>8377</v>
      </c>
      <c r="H193" s="34" t="s">
        <v>8378</v>
      </c>
      <c r="I193" s="34" t="s">
        <v>8374</v>
      </c>
      <c r="J193" s="34" t="s">
        <v>8379</v>
      </c>
      <c r="K193" s="34" t="s">
        <v>8380</v>
      </c>
      <c r="L193" s="34" t="s">
        <v>11485</v>
      </c>
      <c r="M193" s="33" t="s">
        <v>11671</v>
      </c>
      <c r="N193" s="1" t="s">
        <v>11078</v>
      </c>
    </row>
    <row r="194" spans="1:14">
      <c r="A194" s="123"/>
      <c r="C194" s="126" t="s">
        <v>8383</v>
      </c>
      <c r="D194" s="34" t="s">
        <v>8381</v>
      </c>
      <c r="E194" s="34" t="s">
        <v>8382</v>
      </c>
      <c r="F194" s="34" t="s">
        <v>8384</v>
      </c>
      <c r="G194" s="34" t="s">
        <v>8385</v>
      </c>
      <c r="H194" s="34" t="s">
        <v>8386</v>
      </c>
      <c r="I194" s="34" t="s">
        <v>8382</v>
      </c>
      <c r="J194" s="34" t="s">
        <v>8387</v>
      </c>
      <c r="K194" s="34" t="s">
        <v>8388</v>
      </c>
      <c r="L194" s="34" t="s">
        <v>11486</v>
      </c>
      <c r="M194" s="33" t="s">
        <v>11672</v>
      </c>
      <c r="N194" s="1" t="s">
        <v>11079</v>
      </c>
    </row>
    <row r="195" spans="1:14">
      <c r="A195" s="123"/>
      <c r="C195" s="126" t="s">
        <v>8391</v>
      </c>
      <c r="D195" s="34" t="s">
        <v>8389</v>
      </c>
      <c r="E195" s="36" t="s">
        <v>8390</v>
      </c>
      <c r="F195" s="35" t="s">
        <v>8392</v>
      </c>
      <c r="G195" s="33" t="s">
        <v>8393</v>
      </c>
      <c r="H195" s="33" t="s">
        <v>8394</v>
      </c>
      <c r="I195" s="33" t="s">
        <v>8390</v>
      </c>
      <c r="J195" s="33" t="s">
        <v>8395</v>
      </c>
      <c r="K195" s="33" t="s">
        <v>8396</v>
      </c>
      <c r="L195" s="33" t="s">
        <v>11487</v>
      </c>
      <c r="M195" s="33" t="s">
        <v>11673</v>
      </c>
      <c r="N195" s="1" t="s">
        <v>11080</v>
      </c>
    </row>
    <row r="196" spans="1:14">
      <c r="A196" s="123"/>
      <c r="C196" s="126" t="s">
        <v>8399</v>
      </c>
      <c r="D196" s="34" t="s">
        <v>8397</v>
      </c>
      <c r="E196" s="34" t="s">
        <v>8398</v>
      </c>
      <c r="F196" s="34" t="s">
        <v>8400</v>
      </c>
      <c r="G196" s="34" t="s">
        <v>8401</v>
      </c>
      <c r="H196" s="34" t="s">
        <v>8402</v>
      </c>
      <c r="I196" s="34" t="s">
        <v>8398</v>
      </c>
      <c r="J196" s="34" t="s">
        <v>8403</v>
      </c>
      <c r="K196" s="34" t="s">
        <v>8404</v>
      </c>
      <c r="L196" s="34" t="s">
        <v>11488</v>
      </c>
      <c r="M196" s="33" t="s">
        <v>11674</v>
      </c>
      <c r="N196" s="1" t="s">
        <v>11081</v>
      </c>
    </row>
    <row r="197" spans="1:14">
      <c r="A197" s="123"/>
      <c r="C197" s="126" t="s">
        <v>8407</v>
      </c>
      <c r="D197" s="34" t="s">
        <v>8405</v>
      </c>
      <c r="E197" s="34" t="s">
        <v>8406</v>
      </c>
      <c r="F197" s="34" t="s">
        <v>8408</v>
      </c>
      <c r="G197" s="34" t="s">
        <v>8409</v>
      </c>
      <c r="H197" s="34" t="s">
        <v>8410</v>
      </c>
      <c r="I197" s="34" t="s">
        <v>8406</v>
      </c>
      <c r="J197" s="34" t="s">
        <v>8411</v>
      </c>
      <c r="K197" s="34" t="s">
        <v>8412</v>
      </c>
      <c r="L197" s="34" t="s">
        <v>9871</v>
      </c>
      <c r="M197" s="33" t="s">
        <v>11675</v>
      </c>
      <c r="N197" s="1" t="s">
        <v>11082</v>
      </c>
    </row>
    <row r="198" spans="1:14">
      <c r="A198" s="123"/>
      <c r="C198" s="126" t="s">
        <v>8415</v>
      </c>
      <c r="D198" s="34" t="s">
        <v>8413</v>
      </c>
      <c r="E198" s="34" t="s">
        <v>8414</v>
      </c>
      <c r="F198" s="34" t="s">
        <v>8416</v>
      </c>
      <c r="G198" s="34" t="s">
        <v>8417</v>
      </c>
      <c r="H198" s="34" t="s">
        <v>8418</v>
      </c>
      <c r="I198" s="34" t="s">
        <v>8414</v>
      </c>
      <c r="J198" s="34" t="s">
        <v>8419</v>
      </c>
      <c r="K198" s="34" t="s">
        <v>8420</v>
      </c>
      <c r="L198" s="34" t="s">
        <v>9872</v>
      </c>
      <c r="M198" s="33" t="s">
        <v>11676</v>
      </c>
      <c r="N198" s="1" t="s">
        <v>11083</v>
      </c>
    </row>
    <row r="199" spans="1:14">
      <c r="A199" s="123"/>
      <c r="C199" s="126" t="s">
        <v>8423</v>
      </c>
      <c r="D199" s="34" t="s">
        <v>8421</v>
      </c>
      <c r="E199" s="34" t="s">
        <v>8422</v>
      </c>
      <c r="F199" s="34" t="s">
        <v>8424</v>
      </c>
      <c r="G199" s="34" t="s">
        <v>8425</v>
      </c>
      <c r="H199" s="34" t="s">
        <v>8426</v>
      </c>
      <c r="I199" s="34" t="s">
        <v>8422</v>
      </c>
      <c r="J199" s="34" t="s">
        <v>8427</v>
      </c>
      <c r="K199" s="34" t="s">
        <v>8428</v>
      </c>
      <c r="L199" s="34" t="s">
        <v>9873</v>
      </c>
      <c r="M199" s="33" t="s">
        <v>11677</v>
      </c>
      <c r="N199" s="1" t="s">
        <v>11084</v>
      </c>
    </row>
    <row r="200" spans="1:14">
      <c r="A200" s="123"/>
      <c r="C200" s="126" t="s">
        <v>8431</v>
      </c>
      <c r="D200" s="34" t="s">
        <v>8429</v>
      </c>
      <c r="E200" s="34" t="s">
        <v>8430</v>
      </c>
      <c r="F200" s="34" t="s">
        <v>8432</v>
      </c>
      <c r="G200" s="34" t="s">
        <v>8433</v>
      </c>
      <c r="H200" s="34" t="s">
        <v>8434</v>
      </c>
      <c r="I200" s="34" t="s">
        <v>8430</v>
      </c>
      <c r="J200" s="34" t="s">
        <v>8435</v>
      </c>
      <c r="K200" s="34" t="s">
        <v>8436</v>
      </c>
      <c r="L200" s="34" t="s">
        <v>9874</v>
      </c>
      <c r="M200" s="33" t="s">
        <v>11678</v>
      </c>
      <c r="N200" s="1" t="s">
        <v>11085</v>
      </c>
    </row>
    <row r="201" spans="1:14">
      <c r="A201" s="123"/>
      <c r="C201" s="126" t="s">
        <v>8439</v>
      </c>
      <c r="D201" s="34" t="s">
        <v>8437</v>
      </c>
      <c r="E201" s="34" t="s">
        <v>8438</v>
      </c>
      <c r="F201" s="34" t="s">
        <v>8440</v>
      </c>
      <c r="G201" s="34" t="s">
        <v>8441</v>
      </c>
      <c r="H201" s="34" t="s">
        <v>8442</v>
      </c>
      <c r="I201" s="34" t="s">
        <v>8438</v>
      </c>
      <c r="J201" s="34" t="s">
        <v>8443</v>
      </c>
      <c r="K201" s="34" t="s">
        <v>8444</v>
      </c>
      <c r="L201" s="34" t="s">
        <v>11484</v>
      </c>
      <c r="M201" s="33" t="s">
        <v>11679</v>
      </c>
      <c r="N201" s="1" t="s">
        <v>11086</v>
      </c>
    </row>
    <row r="202" spans="1:14">
      <c r="A202" s="123"/>
      <c r="C202" s="126" t="s">
        <v>8447</v>
      </c>
      <c r="D202" s="34" t="s">
        <v>8445</v>
      </c>
      <c r="E202" s="34" t="s">
        <v>8446</v>
      </c>
      <c r="F202" s="34" t="s">
        <v>8448</v>
      </c>
      <c r="G202" s="34" t="s">
        <v>8449</v>
      </c>
      <c r="H202" s="34" t="s">
        <v>8450</v>
      </c>
      <c r="I202" s="34" t="s">
        <v>8446</v>
      </c>
      <c r="J202" s="34" t="s">
        <v>8451</v>
      </c>
      <c r="K202" s="34" t="s">
        <v>8452</v>
      </c>
      <c r="L202" s="34" t="s">
        <v>11489</v>
      </c>
      <c r="M202" s="33" t="s">
        <v>11680</v>
      </c>
      <c r="N202" s="1" t="s">
        <v>11087</v>
      </c>
    </row>
    <row r="203" spans="1:14">
      <c r="A203" s="123"/>
      <c r="C203" s="126" t="s">
        <v>8455</v>
      </c>
      <c r="D203" s="34" t="s">
        <v>8453</v>
      </c>
      <c r="E203" s="34" t="s">
        <v>8454</v>
      </c>
      <c r="F203" s="34" t="s">
        <v>8456</v>
      </c>
      <c r="G203" s="34" t="s">
        <v>8457</v>
      </c>
      <c r="H203" s="34" t="s">
        <v>8458</v>
      </c>
      <c r="I203" s="34" t="s">
        <v>8454</v>
      </c>
      <c r="J203" s="34" t="s">
        <v>8459</v>
      </c>
      <c r="K203" s="34" t="s">
        <v>8460</v>
      </c>
      <c r="L203" s="34" t="s">
        <v>11490</v>
      </c>
      <c r="M203" s="33" t="s">
        <v>11149</v>
      </c>
      <c r="N203" s="1" t="s">
        <v>11088</v>
      </c>
    </row>
    <row r="204" spans="1:14">
      <c r="A204" s="123"/>
      <c r="C204" s="126" t="s">
        <v>8463</v>
      </c>
      <c r="D204" s="34" t="s">
        <v>8461</v>
      </c>
      <c r="E204" s="34" t="s">
        <v>8462</v>
      </c>
      <c r="F204" s="34" t="s">
        <v>8464</v>
      </c>
      <c r="G204" s="34" t="s">
        <v>8465</v>
      </c>
      <c r="H204" s="34" t="s">
        <v>8466</v>
      </c>
      <c r="I204" s="34" t="s">
        <v>8462</v>
      </c>
      <c r="J204" s="34" t="s">
        <v>8467</v>
      </c>
      <c r="K204" s="34" t="s">
        <v>8468</v>
      </c>
      <c r="L204" s="34" t="s">
        <v>11491</v>
      </c>
      <c r="M204" s="33" t="s">
        <v>11150</v>
      </c>
      <c r="N204" s="1" t="s">
        <v>11089</v>
      </c>
    </row>
    <row r="205" spans="1:14">
      <c r="A205" s="123"/>
      <c r="C205" s="126" t="s">
        <v>8471</v>
      </c>
      <c r="D205" s="34" t="s">
        <v>8469</v>
      </c>
      <c r="E205" s="34" t="s">
        <v>8470</v>
      </c>
      <c r="F205" s="34" t="s">
        <v>8472</v>
      </c>
      <c r="G205" s="34" t="s">
        <v>8473</v>
      </c>
      <c r="H205" s="34" t="s">
        <v>8474</v>
      </c>
      <c r="I205" s="34" t="s">
        <v>8470</v>
      </c>
      <c r="J205" s="34" t="s">
        <v>8475</v>
      </c>
      <c r="K205" s="34" t="s">
        <v>8476</v>
      </c>
      <c r="L205" s="34" t="s">
        <v>11492</v>
      </c>
      <c r="M205" s="33" t="s">
        <v>11681</v>
      </c>
      <c r="N205" s="1" t="s">
        <v>11090</v>
      </c>
    </row>
    <row r="206" spans="1:14">
      <c r="A206" s="123"/>
      <c r="C206" s="126" t="s">
        <v>8479</v>
      </c>
      <c r="D206" s="34" t="s">
        <v>8477</v>
      </c>
      <c r="E206" s="34" t="s">
        <v>8478</v>
      </c>
      <c r="F206" s="34" t="s">
        <v>8480</v>
      </c>
      <c r="G206" s="34" t="s">
        <v>8481</v>
      </c>
      <c r="H206" s="34" t="s">
        <v>8482</v>
      </c>
      <c r="I206" s="34" t="s">
        <v>8478</v>
      </c>
      <c r="J206" s="34" t="s">
        <v>8483</v>
      </c>
      <c r="K206" s="34" t="s">
        <v>8484</v>
      </c>
      <c r="L206" s="34" t="s">
        <v>11493</v>
      </c>
      <c r="M206" s="33" t="s">
        <v>11682</v>
      </c>
      <c r="N206" s="1" t="s">
        <v>11091</v>
      </c>
    </row>
    <row r="207" spans="1:14">
      <c r="A207" s="123"/>
      <c r="C207" s="126" t="s">
        <v>8487</v>
      </c>
      <c r="D207" s="34" t="s">
        <v>8485</v>
      </c>
      <c r="E207" s="34" t="s">
        <v>8486</v>
      </c>
      <c r="F207" s="34" t="s">
        <v>8488</v>
      </c>
      <c r="G207" s="34" t="s">
        <v>8489</v>
      </c>
      <c r="H207" s="34" t="s">
        <v>8490</v>
      </c>
      <c r="I207" s="34" t="s">
        <v>8486</v>
      </c>
      <c r="J207" s="34" t="s">
        <v>8491</v>
      </c>
      <c r="K207" s="34" t="s">
        <v>8492</v>
      </c>
      <c r="L207" s="34" t="s">
        <v>11494</v>
      </c>
      <c r="M207" s="33" t="s">
        <v>11683</v>
      </c>
      <c r="N207" s="1" t="s">
        <v>11092</v>
      </c>
    </row>
    <row r="208" spans="1:14">
      <c r="A208" s="123"/>
      <c r="C208" s="126" t="s">
        <v>8495</v>
      </c>
      <c r="D208" s="34" t="s">
        <v>8493</v>
      </c>
      <c r="E208" s="34" t="s">
        <v>8494</v>
      </c>
      <c r="F208" s="34" t="s">
        <v>8496</v>
      </c>
      <c r="G208" s="34" t="s">
        <v>8497</v>
      </c>
      <c r="H208" s="34" t="s">
        <v>8498</v>
      </c>
      <c r="I208" s="34" t="s">
        <v>8494</v>
      </c>
      <c r="J208" s="34" t="s">
        <v>8499</v>
      </c>
      <c r="K208" s="34" t="s">
        <v>8500</v>
      </c>
      <c r="L208" s="34" t="s">
        <v>11495</v>
      </c>
      <c r="M208" s="33" t="s">
        <v>11684</v>
      </c>
      <c r="N208" s="1" t="s">
        <v>11093</v>
      </c>
    </row>
    <row r="209" spans="1:14">
      <c r="A209" s="123"/>
      <c r="C209" s="126" t="s">
        <v>8503</v>
      </c>
      <c r="D209" s="34" t="s">
        <v>8501</v>
      </c>
      <c r="E209" s="34" t="s">
        <v>8502</v>
      </c>
      <c r="F209" s="34" t="s">
        <v>8504</v>
      </c>
      <c r="G209" s="34" t="s">
        <v>8505</v>
      </c>
      <c r="H209" s="34" t="s">
        <v>8506</v>
      </c>
      <c r="I209" s="34" t="s">
        <v>8502</v>
      </c>
      <c r="J209" s="34" t="s">
        <v>8507</v>
      </c>
      <c r="K209" s="34" t="s">
        <v>8508</v>
      </c>
      <c r="L209" s="34" t="s">
        <v>9875</v>
      </c>
      <c r="M209" s="33" t="s">
        <v>11151</v>
      </c>
      <c r="N209" s="1" t="s">
        <v>11094</v>
      </c>
    </row>
    <row r="210" spans="1:14">
      <c r="A210" s="123"/>
      <c r="C210" s="126" t="s">
        <v>8511</v>
      </c>
      <c r="D210" s="34" t="s">
        <v>8509</v>
      </c>
      <c r="E210" s="34" t="s">
        <v>8510</v>
      </c>
      <c r="F210" s="34" t="s">
        <v>8512</v>
      </c>
      <c r="G210" s="34" t="s">
        <v>8513</v>
      </c>
      <c r="H210" s="34" t="s">
        <v>8514</v>
      </c>
      <c r="I210" s="34" t="s">
        <v>8510</v>
      </c>
      <c r="J210" s="34" t="s">
        <v>8515</v>
      </c>
      <c r="K210" s="34" t="s">
        <v>8516</v>
      </c>
      <c r="L210" s="34" t="s">
        <v>9876</v>
      </c>
      <c r="M210" s="33" t="s">
        <v>11152</v>
      </c>
      <c r="N210" s="1" t="s">
        <v>11095</v>
      </c>
    </row>
    <row r="211" spans="1:14">
      <c r="A211" s="123"/>
      <c r="C211" s="126" t="s">
        <v>8518</v>
      </c>
      <c r="D211" s="34" t="s">
        <v>6791</v>
      </c>
      <c r="E211" s="36" t="s">
        <v>8517</v>
      </c>
      <c r="F211" s="35" t="s">
        <v>11496</v>
      </c>
      <c r="G211" s="33" t="s">
        <v>11497</v>
      </c>
      <c r="H211" s="33" t="s">
        <v>11498</v>
      </c>
      <c r="I211" s="33" t="s">
        <v>8517</v>
      </c>
      <c r="J211" s="33" t="s">
        <v>11496</v>
      </c>
      <c r="K211" s="33" t="s">
        <v>11499</v>
      </c>
      <c r="L211" s="33" t="s">
        <v>11500</v>
      </c>
      <c r="M211" s="33" t="s">
        <v>11685</v>
      </c>
      <c r="N211" s="1" t="s">
        <v>11501</v>
      </c>
    </row>
    <row r="212" spans="1:14">
      <c r="A212" s="123"/>
      <c r="C212" s="126" t="s">
        <v>8521</v>
      </c>
      <c r="D212" s="34" t="s">
        <v>8519</v>
      </c>
      <c r="E212" s="34" t="s">
        <v>8520</v>
      </c>
      <c r="F212" s="34" t="s">
        <v>11502</v>
      </c>
      <c r="G212" s="34" t="s">
        <v>11503</v>
      </c>
      <c r="H212" s="34" t="s">
        <v>11504</v>
      </c>
      <c r="I212" s="34" t="s">
        <v>8520</v>
      </c>
      <c r="J212" s="34" t="s">
        <v>11505</v>
      </c>
      <c r="K212" s="34" t="s">
        <v>11506</v>
      </c>
      <c r="L212" s="34" t="s">
        <v>11507</v>
      </c>
      <c r="M212" s="33" t="s">
        <v>11686</v>
      </c>
      <c r="N212" s="1" t="s">
        <v>11508</v>
      </c>
    </row>
    <row r="213" spans="1:14">
      <c r="A213" s="123"/>
      <c r="C213" s="126" t="s">
        <v>8524</v>
      </c>
      <c r="D213" s="34" t="s">
        <v>8522</v>
      </c>
      <c r="E213" s="34" t="s">
        <v>8523</v>
      </c>
      <c r="F213" s="34" t="s">
        <v>11509</v>
      </c>
      <c r="G213" s="34" t="s">
        <v>11510</v>
      </c>
      <c r="H213" s="34" t="s">
        <v>11511</v>
      </c>
      <c r="I213" s="34" t="s">
        <v>8523</v>
      </c>
      <c r="J213" s="34" t="s">
        <v>11512</v>
      </c>
      <c r="K213" s="34" t="s">
        <v>11513</v>
      </c>
      <c r="L213" s="34" t="s">
        <v>11514</v>
      </c>
      <c r="M213" s="33" t="s">
        <v>11687</v>
      </c>
      <c r="N213" s="1" t="s">
        <v>11515</v>
      </c>
    </row>
    <row r="214" spans="1:14">
      <c r="A214" s="123"/>
      <c r="C214" s="126" t="s">
        <v>8527</v>
      </c>
      <c r="D214" s="34" t="s">
        <v>8525</v>
      </c>
      <c r="E214" s="34" t="s">
        <v>8526</v>
      </c>
      <c r="F214" s="34" t="s">
        <v>11516</v>
      </c>
      <c r="G214" s="34" t="s">
        <v>11517</v>
      </c>
      <c r="H214" s="34" t="s">
        <v>11518</v>
      </c>
      <c r="I214" s="34" t="s">
        <v>8526</v>
      </c>
      <c r="J214" s="34" t="s">
        <v>11519</v>
      </c>
      <c r="K214" s="34" t="s">
        <v>11520</v>
      </c>
      <c r="L214" s="34" t="s">
        <v>11521</v>
      </c>
      <c r="M214" s="33" t="s">
        <v>11688</v>
      </c>
      <c r="N214" s="1" t="s">
        <v>11522</v>
      </c>
    </row>
    <row r="215" spans="1:14">
      <c r="A215" s="123"/>
      <c r="C215" s="126" t="s">
        <v>8530</v>
      </c>
      <c r="D215" s="34" t="s">
        <v>8528</v>
      </c>
      <c r="E215" s="34" t="s">
        <v>8529</v>
      </c>
      <c r="F215" s="34" t="s">
        <v>7136</v>
      </c>
      <c r="G215" s="34" t="s">
        <v>8531</v>
      </c>
      <c r="H215" s="34" t="s">
        <v>8532</v>
      </c>
      <c r="I215" s="34" t="s">
        <v>8533</v>
      </c>
      <c r="J215" s="34" t="s">
        <v>8534</v>
      </c>
      <c r="K215" s="34" t="s">
        <v>8535</v>
      </c>
      <c r="L215" s="34"/>
      <c r="M215" s="33" t="s">
        <v>11689</v>
      </c>
      <c r="N215" s="1" t="s">
        <v>10937</v>
      </c>
    </row>
    <row r="216" spans="1:14">
      <c r="A216" s="123"/>
      <c r="C216" s="126" t="s">
        <v>8538</v>
      </c>
      <c r="D216" s="34" t="s">
        <v>8536</v>
      </c>
      <c r="E216" s="34" t="s">
        <v>8537</v>
      </c>
      <c r="F216" s="34" t="s">
        <v>8539</v>
      </c>
      <c r="G216" s="34" t="s">
        <v>8540</v>
      </c>
      <c r="H216" s="34" t="s">
        <v>8541</v>
      </c>
      <c r="I216" s="34"/>
      <c r="J216" s="34" t="s">
        <v>8542</v>
      </c>
      <c r="K216" s="34" t="s">
        <v>8543</v>
      </c>
      <c r="L216" s="34"/>
      <c r="M216" s="33" t="s">
        <v>11690</v>
      </c>
      <c r="N216" s="1" t="s">
        <v>10969</v>
      </c>
    </row>
    <row r="217" spans="1:14">
      <c r="A217" s="123"/>
      <c r="C217" s="126" t="s">
        <v>8546</v>
      </c>
      <c r="D217" s="34" t="s">
        <v>8544</v>
      </c>
      <c r="E217" s="34" t="s">
        <v>8545</v>
      </c>
      <c r="F217" s="34" t="s">
        <v>8547</v>
      </c>
      <c r="G217" s="34" t="s">
        <v>8548</v>
      </c>
      <c r="H217" s="34" t="s">
        <v>8549</v>
      </c>
      <c r="I217" s="34" t="s">
        <v>8550</v>
      </c>
      <c r="J217" s="34" t="s">
        <v>8551</v>
      </c>
      <c r="K217" s="34" t="s">
        <v>8552</v>
      </c>
      <c r="L217" s="34"/>
      <c r="M217" s="33" t="s">
        <v>11691</v>
      </c>
      <c r="N217" s="1" t="s">
        <v>10975</v>
      </c>
    </row>
    <row r="218" spans="1:14">
      <c r="A218" s="123"/>
      <c r="C218" s="126" t="s">
        <v>8555</v>
      </c>
      <c r="D218" s="34" t="s">
        <v>8553</v>
      </c>
      <c r="E218" s="34" t="s">
        <v>8554</v>
      </c>
      <c r="F218" s="34" t="s">
        <v>8556</v>
      </c>
      <c r="G218" s="34" t="s">
        <v>7681</v>
      </c>
      <c r="H218" s="34" t="s">
        <v>8557</v>
      </c>
      <c r="I218" s="34" t="s">
        <v>8558</v>
      </c>
      <c r="J218" s="34" t="s">
        <v>8559</v>
      </c>
      <c r="K218" s="34" t="s">
        <v>8560</v>
      </c>
      <c r="L218" s="34"/>
      <c r="M218" s="33" t="s">
        <v>11692</v>
      </c>
      <c r="N218" s="1" t="s">
        <v>11000</v>
      </c>
    </row>
    <row r="219" spans="1:14">
      <c r="A219" s="123"/>
      <c r="C219" s="126" t="s">
        <v>8563</v>
      </c>
      <c r="D219" s="34" t="s">
        <v>8561</v>
      </c>
      <c r="E219" s="34" t="s">
        <v>8562</v>
      </c>
      <c r="F219" s="34" t="s">
        <v>11523</v>
      </c>
      <c r="G219" s="34" t="s">
        <v>11524</v>
      </c>
      <c r="H219" s="34" t="s">
        <v>11525</v>
      </c>
      <c r="I219" s="34" t="s">
        <v>8562</v>
      </c>
      <c r="J219" s="34" t="s">
        <v>11526</v>
      </c>
      <c r="K219" s="34" t="s">
        <v>11527</v>
      </c>
      <c r="L219" s="34" t="s">
        <v>11528</v>
      </c>
      <c r="M219" s="33" t="s">
        <v>11693</v>
      </c>
      <c r="N219" s="1" t="s">
        <v>11023</v>
      </c>
    </row>
    <row r="220" spans="1:14">
      <c r="A220" s="123"/>
      <c r="C220" s="126" t="s">
        <v>8566</v>
      </c>
      <c r="D220" s="34" t="s">
        <v>8564</v>
      </c>
      <c r="E220" s="34" t="s">
        <v>8565</v>
      </c>
      <c r="F220" s="34" t="s">
        <v>11529</v>
      </c>
      <c r="G220" s="34" t="s">
        <v>11530</v>
      </c>
      <c r="H220" s="34" t="s">
        <v>11531</v>
      </c>
      <c r="I220" s="34" t="s">
        <v>8565</v>
      </c>
      <c r="J220" s="34" t="s">
        <v>11529</v>
      </c>
      <c r="K220" s="34" t="s">
        <v>11532</v>
      </c>
      <c r="L220" s="34" t="s">
        <v>11533</v>
      </c>
      <c r="M220" s="33" t="s">
        <v>11534</v>
      </c>
      <c r="N220" s="1" t="s">
        <v>11535</v>
      </c>
    </row>
    <row r="221" spans="1:14">
      <c r="A221" s="123"/>
      <c r="C221" s="126" t="s">
        <v>8569</v>
      </c>
      <c r="D221" s="34" t="s">
        <v>8567</v>
      </c>
      <c r="E221" s="34" t="s">
        <v>8568</v>
      </c>
      <c r="F221" s="34" t="s">
        <v>11536</v>
      </c>
      <c r="G221" s="34" t="s">
        <v>11537</v>
      </c>
      <c r="H221" s="34" t="s">
        <v>11538</v>
      </c>
      <c r="I221" s="34" t="s">
        <v>8568</v>
      </c>
      <c r="J221" s="34" t="s">
        <v>11539</v>
      </c>
      <c r="K221" s="34" t="s">
        <v>11540</v>
      </c>
      <c r="L221" s="34" t="s">
        <v>11541</v>
      </c>
      <c r="M221" s="33" t="s">
        <v>11694</v>
      </c>
      <c r="N221" s="1" t="s">
        <v>11542</v>
      </c>
    </row>
    <row r="222" spans="1:14" ht="15" customHeight="1">
      <c r="C222" s="212" t="s">
        <v>11850</v>
      </c>
      <c r="D222" s="212" t="s">
        <v>11850</v>
      </c>
      <c r="E222" s="212" t="s">
        <v>11850</v>
      </c>
      <c r="F222" s="212" t="s">
        <v>11850</v>
      </c>
      <c r="G222" s="212" t="s">
        <v>11850</v>
      </c>
      <c r="H222" s="212" t="s">
        <v>11850</v>
      </c>
      <c r="I222" s="212" t="s">
        <v>11850</v>
      </c>
      <c r="J222" s="212" t="s">
        <v>11850</v>
      </c>
      <c r="K222" s="212" t="s">
        <v>11850</v>
      </c>
      <c r="L222" s="212" t="s">
        <v>11850</v>
      </c>
      <c r="M222" s="212" t="s">
        <v>11850</v>
      </c>
      <c r="N222" s="212" t="s">
        <v>11850</v>
      </c>
    </row>
    <row r="223" spans="1:14" ht="15" customHeight="1">
      <c r="C223" t="s">
        <v>12119</v>
      </c>
      <c r="D223" t="s">
        <v>12129</v>
      </c>
      <c r="E223" t="s">
        <v>12120</v>
      </c>
      <c r="F223" t="s">
        <v>12123</v>
      </c>
      <c r="G223" t="s">
        <v>12124</v>
      </c>
      <c r="H223" t="s">
        <v>12125</v>
      </c>
      <c r="I223" t="s">
        <v>12121</v>
      </c>
      <c r="J223" t="s">
        <v>12123</v>
      </c>
      <c r="K223" t="s">
        <v>12122</v>
      </c>
      <c r="L223" t="s">
        <v>12128</v>
      </c>
      <c r="M223" t="s">
        <v>12126</v>
      </c>
      <c r="N223" t="s">
        <v>12127</v>
      </c>
    </row>
    <row r="224" spans="1:14" ht="15" customHeight="1">
      <c r="C224" s="432" t="s">
        <v>12477</v>
      </c>
      <c r="D224" s="433" t="s">
        <v>12478</v>
      </c>
      <c r="E224" s="433" t="s">
        <v>12479</v>
      </c>
      <c r="F224" s="433" t="s">
        <v>12480</v>
      </c>
      <c r="G224" s="433" t="s">
        <v>12481</v>
      </c>
      <c r="H224" s="433" t="s">
        <v>12482</v>
      </c>
      <c r="I224" s="433" t="s">
        <v>12483</v>
      </c>
      <c r="J224" s="433" t="s">
        <v>12484</v>
      </c>
      <c r="K224" s="433" t="s">
        <v>12485</v>
      </c>
      <c r="L224" s="433" t="s">
        <v>12486</v>
      </c>
      <c r="M224" s="434" t="s">
        <v>12487</v>
      </c>
      <c r="N224" s="216" t="s">
        <v>12488</v>
      </c>
    </row>
    <row r="225" spans="3:15" ht="15" customHeight="1">
      <c r="C225" s="597" t="s">
        <v>13495</v>
      </c>
      <c r="D225" s="597" t="s">
        <v>13495</v>
      </c>
      <c r="E225" s="597" t="s">
        <v>13495</v>
      </c>
      <c r="F225" s="597" t="s">
        <v>13495</v>
      </c>
      <c r="G225" s="597" t="s">
        <v>13495</v>
      </c>
      <c r="H225" s="597" t="s">
        <v>13495</v>
      </c>
      <c r="I225" s="597" t="s">
        <v>13495</v>
      </c>
      <c r="J225" s="597" t="s">
        <v>13495</v>
      </c>
      <c r="K225" s="597" t="s">
        <v>13495</v>
      </c>
      <c r="L225" s="597" t="s">
        <v>13495</v>
      </c>
      <c r="M225" s="29" t="s">
        <v>13495</v>
      </c>
      <c r="N225" s="597" t="s">
        <v>13495</v>
      </c>
      <c r="O225" s="597" t="s">
        <v>13495</v>
      </c>
    </row>
  </sheetData>
  <conditionalFormatting sqref="C1:C223 C225:C1048576 D222:N222">
    <cfRule type="duplicateValues" dxfId="6" priority="2"/>
  </conditionalFormatting>
  <conditionalFormatting sqref="C224">
    <cfRule type="duplicateValues" dxfId="5" priority="1"/>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90" activePane="bottomRight" state="frozen"/>
      <selection activeCell="BC71" sqref="BC71:BG72"/>
      <selection pane="topRight" activeCell="BC71" sqref="BC71:BG72"/>
      <selection pane="bottomLeft" activeCell="BC71" sqref="BC71:BG72"/>
      <selection pane="bottomRight" activeCell="A126" sqref="A126"/>
    </sheetView>
  </sheetViews>
  <sheetFormatPr defaultColWidth="9.140625" defaultRowHeight="15" customHeight="1"/>
  <cols>
    <col min="1" max="12" width="35.42578125" style="156" customWidth="1"/>
    <col min="13" max="16384" width="9.140625" style="156"/>
  </cols>
  <sheetData>
    <row r="1" spans="1:22" s="171" customFormat="1" ht="15" customHeight="1">
      <c r="A1" s="147" t="s">
        <v>3089</v>
      </c>
      <c r="B1" s="147" t="s">
        <v>3090</v>
      </c>
      <c r="C1" s="147" t="s">
        <v>3091</v>
      </c>
      <c r="D1" s="168" t="s">
        <v>8981</v>
      </c>
      <c r="E1" s="169" t="s">
        <v>3093</v>
      </c>
      <c r="F1" s="169" t="s">
        <v>3092</v>
      </c>
      <c r="G1" s="169" t="s">
        <v>8573</v>
      </c>
      <c r="H1" s="169" t="s">
        <v>9834</v>
      </c>
      <c r="I1" s="169" t="s">
        <v>8570</v>
      </c>
      <c r="J1" s="169" t="s">
        <v>8926</v>
      </c>
      <c r="K1" s="169" t="s">
        <v>9833</v>
      </c>
      <c r="L1" s="170" t="s">
        <v>9835</v>
      </c>
      <c r="M1" s="169"/>
      <c r="N1" s="169"/>
      <c r="O1" s="169"/>
      <c r="P1" s="169"/>
      <c r="Q1" s="169"/>
      <c r="R1" s="169"/>
      <c r="S1" s="169" t="s">
        <v>9039</v>
      </c>
      <c r="T1" s="169"/>
      <c r="U1" s="169"/>
      <c r="V1" s="169"/>
    </row>
    <row r="2" spans="1:22" ht="15" customHeight="1">
      <c r="A2" s="153"/>
      <c r="B2" s="153"/>
      <c r="C2" s="153"/>
      <c r="D2" s="154">
        <v>5</v>
      </c>
      <c r="E2" s="155"/>
      <c r="F2" s="155" t="s">
        <v>8574</v>
      </c>
      <c r="G2" s="155"/>
      <c r="H2" s="155"/>
      <c r="I2" s="155"/>
      <c r="J2" s="155" t="s">
        <v>9279</v>
      </c>
      <c r="K2" s="155"/>
      <c r="L2" s="155" t="s">
        <v>9844</v>
      </c>
      <c r="M2" s="155"/>
      <c r="N2" s="155"/>
      <c r="O2" s="155"/>
      <c r="P2" s="155"/>
      <c r="Q2" s="155"/>
      <c r="R2" s="155"/>
      <c r="S2" s="155"/>
      <c r="T2" s="155"/>
      <c r="U2" s="155"/>
      <c r="V2" s="155"/>
    </row>
    <row r="3" spans="1:22" ht="15" customHeight="1">
      <c r="A3" s="148" t="s">
        <v>2889</v>
      </c>
      <c r="B3" s="13" t="s">
        <v>3120</v>
      </c>
      <c r="C3" s="13" t="s">
        <v>2986</v>
      </c>
      <c r="D3" s="157" t="s">
        <v>8667</v>
      </c>
      <c r="E3" s="156" t="s">
        <v>8983</v>
      </c>
      <c r="F3" s="156" t="s">
        <v>8870</v>
      </c>
      <c r="G3" s="156" t="s">
        <v>8668</v>
      </c>
      <c r="H3" s="156" t="s">
        <v>8669</v>
      </c>
      <c r="I3" s="156" t="s">
        <v>8670</v>
      </c>
      <c r="J3" s="156" t="s">
        <v>8927</v>
      </c>
      <c r="K3" s="156" t="s">
        <v>9821</v>
      </c>
      <c r="L3" s="156" t="s">
        <v>10478</v>
      </c>
    </row>
    <row r="4" spans="1:22" ht="15" customHeight="1">
      <c r="A4" s="148" t="s">
        <v>3112</v>
      </c>
      <c r="B4" s="13" t="s">
        <v>3121</v>
      </c>
      <c r="C4" s="13" t="s">
        <v>2987</v>
      </c>
      <c r="D4" s="157" t="s">
        <v>8671</v>
      </c>
      <c r="E4" s="156" t="s">
        <v>8984</v>
      </c>
      <c r="F4" s="156" t="s">
        <v>8871</v>
      </c>
      <c r="G4" s="156" t="s">
        <v>8672</v>
      </c>
      <c r="H4" s="156" t="s">
        <v>8673</v>
      </c>
      <c r="I4" s="156" t="s">
        <v>8674</v>
      </c>
      <c r="J4" s="156" t="s">
        <v>8928</v>
      </c>
      <c r="K4" s="156" t="s">
        <v>9822</v>
      </c>
      <c r="L4" s="156" t="s">
        <v>10479</v>
      </c>
    </row>
    <row r="5" spans="1:22" ht="15" customHeight="1">
      <c r="A5" s="158" t="s">
        <v>2442</v>
      </c>
      <c r="B5" s="13" t="s">
        <v>2444</v>
      </c>
      <c r="C5" s="13" t="s">
        <v>2443</v>
      </c>
      <c r="D5" s="157" t="s">
        <v>8675</v>
      </c>
      <c r="E5" s="156" t="s">
        <v>8985</v>
      </c>
      <c r="F5" s="156" t="s">
        <v>8872</v>
      </c>
      <c r="G5" s="156" t="s">
        <v>8676</v>
      </c>
      <c r="H5" s="156" t="s">
        <v>8677</v>
      </c>
      <c r="I5" s="156" t="s">
        <v>8678</v>
      </c>
      <c r="J5" s="156" t="s">
        <v>8929</v>
      </c>
      <c r="K5" s="156" t="s">
        <v>11153</v>
      </c>
      <c r="L5" s="156" t="s">
        <v>10480</v>
      </c>
    </row>
    <row r="6" spans="1:22" ht="15" customHeight="1">
      <c r="A6" s="152" t="s">
        <v>12341</v>
      </c>
      <c r="B6" s="13" t="s">
        <v>3096</v>
      </c>
      <c r="C6" s="148" t="s">
        <v>3098</v>
      </c>
      <c r="D6" s="157" t="s">
        <v>8679</v>
      </c>
      <c r="E6" s="156" t="s">
        <v>8986</v>
      </c>
      <c r="F6" s="156" t="s">
        <v>8657</v>
      </c>
      <c r="G6" s="156" t="s">
        <v>8680</v>
      </c>
      <c r="H6" s="156" t="s">
        <v>8658</v>
      </c>
      <c r="I6" s="156" t="s">
        <v>8681</v>
      </c>
      <c r="J6" s="156" t="s">
        <v>8930</v>
      </c>
      <c r="K6" s="156" t="s">
        <v>11154</v>
      </c>
      <c r="L6" s="156" t="s">
        <v>10481</v>
      </c>
    </row>
    <row r="7" spans="1:22" ht="15" customHeight="1">
      <c r="A7" s="158" t="s">
        <v>3080</v>
      </c>
      <c r="B7" s="13" t="s">
        <v>3095</v>
      </c>
      <c r="C7" s="13" t="s">
        <v>2426</v>
      </c>
      <c r="D7" s="156" t="s">
        <v>8682</v>
      </c>
      <c r="E7" s="156" t="s">
        <v>8987</v>
      </c>
      <c r="F7" s="156" t="s">
        <v>8873</v>
      </c>
      <c r="G7" s="156" t="s">
        <v>8683</v>
      </c>
      <c r="H7" s="156" t="s">
        <v>8684</v>
      </c>
      <c r="I7" s="156" t="s">
        <v>8685</v>
      </c>
      <c r="J7" s="156" t="s">
        <v>8931</v>
      </c>
      <c r="K7" s="156" t="s">
        <v>11155</v>
      </c>
      <c r="L7" s="156" t="s">
        <v>10482</v>
      </c>
    </row>
    <row r="8" spans="1:22" ht="15" customHeight="1">
      <c r="A8" s="159" t="s">
        <v>3094</v>
      </c>
      <c r="B8" s="148" t="s">
        <v>3097</v>
      </c>
      <c r="C8" s="148" t="s">
        <v>3106</v>
      </c>
      <c r="D8" s="156" t="s">
        <v>8686</v>
      </c>
      <c r="E8" s="156" t="s">
        <v>8988</v>
      </c>
      <c r="F8" s="156" t="s">
        <v>8874</v>
      </c>
      <c r="G8" s="156" t="s">
        <v>8687</v>
      </c>
      <c r="H8" s="156" t="s">
        <v>8688</v>
      </c>
      <c r="I8" s="156" t="s">
        <v>8689</v>
      </c>
      <c r="J8" s="156" t="s">
        <v>8932</v>
      </c>
      <c r="K8" s="156" t="s">
        <v>11156</v>
      </c>
      <c r="L8" s="156" t="s">
        <v>10483</v>
      </c>
    </row>
    <row r="9" spans="1:22" ht="15" customHeight="1">
      <c r="A9" s="152" t="s">
        <v>8659</v>
      </c>
      <c r="B9" s="148" t="s">
        <v>8660</v>
      </c>
      <c r="C9" s="148" t="s">
        <v>8661</v>
      </c>
      <c r="D9" s="156" t="s">
        <v>8690</v>
      </c>
      <c r="E9" s="156" t="s">
        <v>9037</v>
      </c>
      <c r="F9" s="156" t="s">
        <v>8924</v>
      </c>
      <c r="G9" s="156" t="s">
        <v>8691</v>
      </c>
      <c r="H9" s="156" t="s">
        <v>8692</v>
      </c>
      <c r="I9" s="156" t="s">
        <v>9038</v>
      </c>
      <c r="J9" s="156" t="s">
        <v>8933</v>
      </c>
      <c r="K9" s="156" t="s">
        <v>11157</v>
      </c>
      <c r="L9" s="156" t="s">
        <v>10484</v>
      </c>
    </row>
    <row r="10" spans="1:22" ht="15" customHeight="1">
      <c r="A10" s="160" t="s">
        <v>2364</v>
      </c>
      <c r="B10" s="148" t="s">
        <v>14</v>
      </c>
      <c r="C10" s="148" t="s">
        <v>3107</v>
      </c>
      <c r="D10" s="156" t="s">
        <v>14</v>
      </c>
      <c r="E10" s="156" t="s">
        <v>8989</v>
      </c>
      <c r="F10" s="156" t="s">
        <v>8875</v>
      </c>
      <c r="G10" s="156" t="s">
        <v>8693</v>
      </c>
      <c r="H10" s="156" t="s">
        <v>8694</v>
      </c>
      <c r="I10" s="156" t="s">
        <v>8695</v>
      </c>
      <c r="J10" s="156" t="s">
        <v>8934</v>
      </c>
      <c r="K10" s="156" t="s">
        <v>11158</v>
      </c>
      <c r="L10" s="156" t="s">
        <v>10485</v>
      </c>
    </row>
    <row r="11" spans="1:22" ht="15" customHeight="1">
      <c r="A11" s="152" t="s">
        <v>2888</v>
      </c>
      <c r="B11" s="148" t="s">
        <v>2907</v>
      </c>
      <c r="C11" s="148" t="s">
        <v>3108</v>
      </c>
      <c r="D11" s="156" t="s">
        <v>2907</v>
      </c>
      <c r="E11" s="156" t="s">
        <v>8990</v>
      </c>
      <c r="F11" s="156" t="s">
        <v>8876</v>
      </c>
      <c r="G11" s="156" t="s">
        <v>8696</v>
      </c>
      <c r="H11" s="156" t="s">
        <v>8697</v>
      </c>
      <c r="I11" s="156" t="s">
        <v>8698</v>
      </c>
      <c r="J11" s="156" t="s">
        <v>8935</v>
      </c>
      <c r="K11" s="156" t="s">
        <v>11159</v>
      </c>
      <c r="L11" s="156" t="s">
        <v>10486</v>
      </c>
    </row>
    <row r="12" spans="1:22" ht="15" customHeight="1">
      <c r="A12" s="152" t="s">
        <v>3082</v>
      </c>
      <c r="B12" s="148" t="s">
        <v>3083</v>
      </c>
      <c r="C12" s="148" t="s">
        <v>8662</v>
      </c>
      <c r="D12" s="156" t="s">
        <v>8699</v>
      </c>
      <c r="E12" s="156" t="s">
        <v>8991</v>
      </c>
      <c r="F12" s="156" t="s">
        <v>8877</v>
      </c>
      <c r="G12" s="156" t="s">
        <v>8700</v>
      </c>
      <c r="H12" s="156" t="s">
        <v>8701</v>
      </c>
      <c r="I12" s="156" t="s">
        <v>8702</v>
      </c>
      <c r="J12" s="156" t="s">
        <v>8936</v>
      </c>
      <c r="K12" s="156" t="s">
        <v>11160</v>
      </c>
      <c r="L12" s="156" t="s">
        <v>10487</v>
      </c>
    </row>
    <row r="13" spans="1:22" ht="15" customHeight="1">
      <c r="A13" s="152" t="s">
        <v>3113</v>
      </c>
      <c r="B13" s="148" t="s">
        <v>3118</v>
      </c>
      <c r="C13" s="148" t="s">
        <v>3119</v>
      </c>
      <c r="D13" s="156" t="s">
        <v>8703</v>
      </c>
      <c r="E13" s="156" t="s">
        <v>8992</v>
      </c>
      <c r="F13" s="156" t="s">
        <v>8878</v>
      </c>
      <c r="G13" s="156" t="s">
        <v>8704</v>
      </c>
      <c r="H13" s="156" t="s">
        <v>8705</v>
      </c>
      <c r="I13" s="156" t="s">
        <v>8706</v>
      </c>
      <c r="J13" s="156" t="s">
        <v>8937</v>
      </c>
      <c r="K13" s="156" t="s">
        <v>11161</v>
      </c>
      <c r="L13" s="156" t="s">
        <v>10488</v>
      </c>
    </row>
    <row r="14" spans="1:22" ht="15" customHeight="1">
      <c r="A14" s="158" t="s">
        <v>2384</v>
      </c>
      <c r="B14" s="13" t="s">
        <v>2436</v>
      </c>
      <c r="C14" s="13" t="s">
        <v>2425</v>
      </c>
      <c r="D14" s="161" t="s">
        <v>11983</v>
      </c>
      <c r="E14" s="156" t="s">
        <v>8993</v>
      </c>
      <c r="F14" s="156" t="s">
        <v>8879</v>
      </c>
      <c r="G14" s="156" t="s">
        <v>8707</v>
      </c>
      <c r="H14" s="156" t="s">
        <v>8708</v>
      </c>
      <c r="I14" s="156" t="s">
        <v>8709</v>
      </c>
      <c r="J14" s="156" t="s">
        <v>8938</v>
      </c>
      <c r="K14" s="156" t="s">
        <v>11162</v>
      </c>
      <c r="L14" s="156" t="s">
        <v>2384</v>
      </c>
    </row>
    <row r="15" spans="1:22" ht="15" customHeight="1">
      <c r="A15" s="158" t="s">
        <v>14697</v>
      </c>
      <c r="B15" s="13" t="s">
        <v>14698</v>
      </c>
      <c r="C15" s="13" t="s">
        <v>14699</v>
      </c>
      <c r="D15" s="161" t="s">
        <v>11983</v>
      </c>
      <c r="E15" s="156" t="s">
        <v>14700</v>
      </c>
      <c r="F15" s="156" t="s">
        <v>14701</v>
      </c>
      <c r="G15" s="156" t="s">
        <v>14702</v>
      </c>
      <c r="H15" s="156" t="s">
        <v>14703</v>
      </c>
      <c r="I15" s="156" t="s">
        <v>14705</v>
      </c>
      <c r="J15" s="156" t="s">
        <v>14706</v>
      </c>
      <c r="K15" s="156" t="s">
        <v>14704</v>
      </c>
      <c r="L15" s="156" t="s">
        <v>14697</v>
      </c>
    </row>
    <row r="16" spans="1:22" ht="15" customHeight="1">
      <c r="A16" s="162" t="s">
        <v>3084</v>
      </c>
      <c r="B16" s="13" t="s">
        <v>3099</v>
      </c>
      <c r="C16" s="13" t="s">
        <v>3100</v>
      </c>
      <c r="D16" s="157" t="s">
        <v>11984</v>
      </c>
      <c r="E16" s="156" t="s">
        <v>8994</v>
      </c>
      <c r="F16" s="156" t="s">
        <v>8880</v>
      </c>
      <c r="G16" s="156" t="s">
        <v>8710</v>
      </c>
      <c r="H16" s="156" t="s">
        <v>8711</v>
      </c>
      <c r="I16" s="156" t="s">
        <v>8712</v>
      </c>
      <c r="J16" s="156" t="s">
        <v>8939</v>
      </c>
      <c r="K16" s="156" t="s">
        <v>11163</v>
      </c>
      <c r="L16" s="156" t="s">
        <v>10489</v>
      </c>
    </row>
    <row r="17" spans="1:15" ht="15" customHeight="1">
      <c r="A17" s="160" t="s">
        <v>2358</v>
      </c>
      <c r="B17" s="13" t="s">
        <v>2433</v>
      </c>
      <c r="C17" s="13" t="s">
        <v>2422</v>
      </c>
      <c r="D17" s="157" t="s">
        <v>8713</v>
      </c>
      <c r="E17" s="156" t="s">
        <v>8995</v>
      </c>
      <c r="F17" s="156" t="s">
        <v>8881</v>
      </c>
      <c r="G17" s="156" t="s">
        <v>8714</v>
      </c>
      <c r="H17" s="156" t="s">
        <v>8715</v>
      </c>
      <c r="I17" s="156" t="s">
        <v>8716</v>
      </c>
      <c r="J17" s="156" t="s">
        <v>8940</v>
      </c>
      <c r="K17" s="156" t="s">
        <v>11164</v>
      </c>
      <c r="L17" s="156" t="s">
        <v>10490</v>
      </c>
    </row>
    <row r="18" spans="1:15" ht="15" customHeight="1">
      <c r="A18" s="160" t="s">
        <v>2383</v>
      </c>
      <c r="B18" s="13" t="s">
        <v>2435</v>
      </c>
      <c r="C18" s="13" t="s">
        <v>2424</v>
      </c>
      <c r="D18" s="157" t="s">
        <v>8717</v>
      </c>
      <c r="E18" s="156" t="s">
        <v>8996</v>
      </c>
      <c r="F18" s="156" t="s">
        <v>8882</v>
      </c>
      <c r="G18" s="156" t="s">
        <v>8718</v>
      </c>
      <c r="H18" s="156" t="s">
        <v>8719</v>
      </c>
      <c r="I18" s="156" t="s">
        <v>8720</v>
      </c>
      <c r="J18" s="156" t="s">
        <v>8941</v>
      </c>
      <c r="K18" s="156" t="s">
        <v>11165</v>
      </c>
      <c r="L18" s="156" t="s">
        <v>10491</v>
      </c>
    </row>
    <row r="19" spans="1:15" ht="15" customHeight="1">
      <c r="A19" s="163" t="s">
        <v>2359</v>
      </c>
      <c r="B19" s="13" t="s">
        <v>2434</v>
      </c>
      <c r="C19" s="13" t="s">
        <v>2423</v>
      </c>
      <c r="D19" s="157" t="s">
        <v>8721</v>
      </c>
      <c r="E19" s="156" t="s">
        <v>8997</v>
      </c>
      <c r="F19" s="156" t="s">
        <v>8883</v>
      </c>
      <c r="G19" s="156" t="s">
        <v>8722</v>
      </c>
      <c r="H19" s="156" t="s">
        <v>8723</v>
      </c>
      <c r="I19" s="156" t="s">
        <v>8724</v>
      </c>
      <c r="J19" s="156" t="s">
        <v>8942</v>
      </c>
      <c r="K19" s="156" t="s">
        <v>11166</v>
      </c>
      <c r="L19" s="156" t="s">
        <v>10492</v>
      </c>
    </row>
    <row r="20" spans="1:15" ht="15" customHeight="1">
      <c r="A20" s="152" t="s">
        <v>2400</v>
      </c>
      <c r="B20" s="13" t="s">
        <v>8663</v>
      </c>
      <c r="C20" s="13" t="s">
        <v>2431</v>
      </c>
      <c r="D20" s="156" t="s">
        <v>8725</v>
      </c>
      <c r="E20" s="156" t="s">
        <v>8998</v>
      </c>
      <c r="F20" s="149" t="s">
        <v>8884</v>
      </c>
      <c r="G20" s="149" t="s">
        <v>8726</v>
      </c>
      <c r="H20" s="149" t="s">
        <v>8727</v>
      </c>
      <c r="I20" s="149" t="s">
        <v>8728</v>
      </c>
      <c r="J20" s="149" t="s">
        <v>8943</v>
      </c>
      <c r="K20" s="150" t="s">
        <v>11167</v>
      </c>
      <c r="L20" s="151" t="s">
        <v>10493</v>
      </c>
      <c r="N20" s="149"/>
      <c r="O20" s="149"/>
    </row>
    <row r="21" spans="1:15" ht="15" customHeight="1">
      <c r="A21" s="158" t="s">
        <v>2650</v>
      </c>
      <c r="B21" s="13" t="s">
        <v>2908</v>
      </c>
      <c r="C21" s="13" t="s">
        <v>2651</v>
      </c>
      <c r="D21" s="156" t="s">
        <v>8729</v>
      </c>
      <c r="E21" s="156" t="s">
        <v>8999</v>
      </c>
      <c r="F21" s="149" t="s">
        <v>8885</v>
      </c>
      <c r="G21" s="149" t="s">
        <v>8730</v>
      </c>
      <c r="H21" s="149" t="s">
        <v>8731</v>
      </c>
      <c r="I21" s="149" t="s">
        <v>8732</v>
      </c>
      <c r="J21" s="149" t="s">
        <v>8944</v>
      </c>
      <c r="K21" s="149" t="s">
        <v>11168</v>
      </c>
      <c r="L21" s="156" t="s">
        <v>10494</v>
      </c>
    </row>
    <row r="22" spans="1:15" ht="15" customHeight="1">
      <c r="A22" s="158" t="s">
        <v>11939</v>
      </c>
      <c r="B22" s="13" t="s">
        <v>11950</v>
      </c>
      <c r="C22" s="13" t="s">
        <v>11949</v>
      </c>
      <c r="D22" s="156" t="s">
        <v>11948</v>
      </c>
      <c r="E22" s="156" t="s">
        <v>11947</v>
      </c>
      <c r="F22" s="149" t="s">
        <v>11946</v>
      </c>
      <c r="G22" s="149" t="s">
        <v>11945</v>
      </c>
      <c r="H22" s="149" t="s">
        <v>11944</v>
      </c>
      <c r="I22" s="149" t="s">
        <v>11943</v>
      </c>
      <c r="J22" s="149" t="s">
        <v>11942</v>
      </c>
      <c r="K22" s="149" t="s">
        <v>11941</v>
      </c>
      <c r="L22" s="156" t="s">
        <v>11940</v>
      </c>
    </row>
    <row r="23" spans="1:15" ht="15" customHeight="1">
      <c r="A23" s="158" t="s">
        <v>11932</v>
      </c>
      <c r="B23" s="13" t="s">
        <v>11933</v>
      </c>
      <c r="C23" s="13" t="s">
        <v>11932</v>
      </c>
      <c r="D23" s="156" t="s">
        <v>11934</v>
      </c>
      <c r="E23" s="156" t="s">
        <v>11935</v>
      </c>
      <c r="F23" s="149" t="s">
        <v>11934</v>
      </c>
      <c r="G23" s="149" t="s">
        <v>11932</v>
      </c>
      <c r="H23" s="149" t="s">
        <v>11932</v>
      </c>
      <c r="I23" s="149" t="s">
        <v>11934</v>
      </c>
      <c r="J23" s="149" t="s">
        <v>11936</v>
      </c>
      <c r="K23" s="149" t="s">
        <v>11937</v>
      </c>
      <c r="L23" s="156" t="s">
        <v>11938</v>
      </c>
    </row>
    <row r="24" spans="1:15" ht="15" customHeight="1">
      <c r="A24" s="152" t="s">
        <v>2432</v>
      </c>
      <c r="B24" s="152" t="s">
        <v>11929</v>
      </c>
      <c r="C24" s="148" t="s">
        <v>11930</v>
      </c>
      <c r="D24" s="156" t="s">
        <v>8733</v>
      </c>
      <c r="E24" s="156" t="s">
        <v>9000</v>
      </c>
      <c r="F24" s="149" t="s">
        <v>8886</v>
      </c>
      <c r="G24" s="149" t="s">
        <v>3111</v>
      </c>
      <c r="H24" s="149" t="s">
        <v>2432</v>
      </c>
      <c r="I24" s="156" t="s">
        <v>2432</v>
      </c>
      <c r="J24" s="156" t="s">
        <v>8945</v>
      </c>
      <c r="K24" s="156" t="s">
        <v>2432</v>
      </c>
      <c r="L24" s="156" t="s">
        <v>10531</v>
      </c>
    </row>
    <row r="25" spans="1:15" ht="15" customHeight="1">
      <c r="A25" s="158" t="s">
        <v>2396</v>
      </c>
      <c r="B25" s="152" t="s">
        <v>5</v>
      </c>
      <c r="C25" s="148" t="s">
        <v>2427</v>
      </c>
      <c r="D25" s="164" t="s">
        <v>8734</v>
      </c>
      <c r="E25" s="156" t="s">
        <v>9001</v>
      </c>
      <c r="F25" s="165" t="s">
        <v>8887</v>
      </c>
      <c r="G25" s="165" t="s">
        <v>8735</v>
      </c>
      <c r="H25" s="165" t="s">
        <v>8735</v>
      </c>
      <c r="I25" s="165" t="s">
        <v>8736</v>
      </c>
      <c r="J25" s="165" t="s">
        <v>8946</v>
      </c>
      <c r="K25" s="156" t="s">
        <v>11169</v>
      </c>
      <c r="L25" s="156" t="s">
        <v>10495</v>
      </c>
    </row>
    <row r="26" spans="1:15" ht="15" customHeight="1">
      <c r="A26" s="152" t="s">
        <v>3079</v>
      </c>
      <c r="B26" s="152" t="s">
        <v>3101</v>
      </c>
      <c r="C26" s="148" t="s">
        <v>2420</v>
      </c>
      <c r="D26" s="164" t="s">
        <v>8737</v>
      </c>
      <c r="E26" s="156" t="s">
        <v>9002</v>
      </c>
      <c r="F26" s="156" t="s">
        <v>8888</v>
      </c>
      <c r="G26" s="156" t="s">
        <v>8738</v>
      </c>
      <c r="H26" s="156" t="s">
        <v>8738</v>
      </c>
      <c r="I26" s="156" t="s">
        <v>8739</v>
      </c>
      <c r="J26" s="156" t="s">
        <v>8947</v>
      </c>
      <c r="K26" s="156" t="s">
        <v>11170</v>
      </c>
      <c r="L26" s="156" t="s">
        <v>10496</v>
      </c>
    </row>
    <row r="27" spans="1:15" ht="15" customHeight="1">
      <c r="A27" s="152" t="s">
        <v>12342</v>
      </c>
      <c r="B27" s="158" t="s">
        <v>3105</v>
      </c>
      <c r="C27" s="148" t="s">
        <v>3081</v>
      </c>
      <c r="D27" s="164" t="s">
        <v>8740</v>
      </c>
      <c r="E27" s="156" t="s">
        <v>9003</v>
      </c>
      <c r="F27" s="156" t="s">
        <v>8889</v>
      </c>
      <c r="G27" s="156" t="s">
        <v>8665</v>
      </c>
      <c r="H27" s="150" t="s">
        <v>8665</v>
      </c>
      <c r="I27" s="156" t="s">
        <v>8741</v>
      </c>
      <c r="J27" s="156" t="s">
        <v>8948</v>
      </c>
      <c r="K27" s="156" t="s">
        <v>11171</v>
      </c>
      <c r="L27" s="156" t="s">
        <v>10497</v>
      </c>
    </row>
    <row r="28" spans="1:15" ht="15" customHeight="1">
      <c r="A28" s="158" t="s">
        <v>2385</v>
      </c>
      <c r="B28" s="13" t="s">
        <v>3102</v>
      </c>
      <c r="C28" s="13" t="s">
        <v>2445</v>
      </c>
      <c r="D28" s="164" t="s">
        <v>8742</v>
      </c>
      <c r="E28" s="156" t="s">
        <v>9004</v>
      </c>
      <c r="F28" s="156" t="s">
        <v>8890</v>
      </c>
      <c r="G28" s="156" t="s">
        <v>8743</v>
      </c>
      <c r="H28" s="156" t="s">
        <v>2445</v>
      </c>
      <c r="I28" s="156" t="s">
        <v>8744</v>
      </c>
      <c r="J28" s="156" t="s">
        <v>8949</v>
      </c>
      <c r="K28" s="156" t="s">
        <v>11172</v>
      </c>
      <c r="L28" s="156" t="s">
        <v>10533</v>
      </c>
    </row>
    <row r="29" spans="1:15" ht="15" customHeight="1">
      <c r="A29" s="152" t="s">
        <v>2398</v>
      </c>
      <c r="B29" s="13" t="s">
        <v>2382</v>
      </c>
      <c r="C29" s="13" t="s">
        <v>2429</v>
      </c>
      <c r="D29" s="164" t="s">
        <v>8745</v>
      </c>
      <c r="E29" s="156" t="s">
        <v>9005</v>
      </c>
      <c r="F29" s="156" t="s">
        <v>8891</v>
      </c>
      <c r="G29" s="156" t="s">
        <v>8746</v>
      </c>
      <c r="H29" s="156" t="s">
        <v>8747</v>
      </c>
      <c r="I29" s="156" t="s">
        <v>8748</v>
      </c>
      <c r="J29" s="156" t="s">
        <v>8950</v>
      </c>
      <c r="K29" s="156" t="s">
        <v>11173</v>
      </c>
      <c r="L29" s="156" t="s">
        <v>10498</v>
      </c>
    </row>
    <row r="30" spans="1:15" ht="15" customHeight="1">
      <c r="A30" s="152" t="s">
        <v>11953</v>
      </c>
      <c r="B30" s="13" t="s">
        <v>3103</v>
      </c>
      <c r="C30" s="13" t="s">
        <v>3104</v>
      </c>
      <c r="D30" s="164" t="s">
        <v>8749</v>
      </c>
      <c r="E30" s="156" t="s">
        <v>9006</v>
      </c>
      <c r="F30" s="156" t="s">
        <v>8892</v>
      </c>
      <c r="G30" s="156" t="s">
        <v>8750</v>
      </c>
      <c r="H30" s="156" t="s">
        <v>8751</v>
      </c>
      <c r="I30" s="156" t="s">
        <v>8752</v>
      </c>
      <c r="J30" s="156" t="s">
        <v>8951</v>
      </c>
      <c r="K30" s="156" t="s">
        <v>11174</v>
      </c>
      <c r="L30" s="156" t="s">
        <v>10499</v>
      </c>
    </row>
    <row r="31" spans="1:15" ht="15" customHeight="1">
      <c r="A31" s="152" t="s">
        <v>2391</v>
      </c>
      <c r="B31" s="148" t="s">
        <v>2</v>
      </c>
      <c r="C31" s="148" t="s">
        <v>2421</v>
      </c>
      <c r="D31" s="156" t="s">
        <v>8753</v>
      </c>
      <c r="E31" s="156" t="s">
        <v>9007</v>
      </c>
      <c r="F31" s="156" t="s">
        <v>8893</v>
      </c>
      <c r="G31" s="156" t="s">
        <v>8754</v>
      </c>
      <c r="H31" s="156" t="s">
        <v>8754</v>
      </c>
      <c r="I31" s="156" t="s">
        <v>8755</v>
      </c>
      <c r="J31" s="156" t="s">
        <v>8952</v>
      </c>
      <c r="K31" s="156" t="s">
        <v>11175</v>
      </c>
      <c r="L31" s="156" t="s">
        <v>10500</v>
      </c>
    </row>
    <row r="32" spans="1:15" ht="15" customHeight="1">
      <c r="A32" s="152" t="s">
        <v>3086</v>
      </c>
      <c r="B32" s="13" t="s">
        <v>3114</v>
      </c>
      <c r="C32" s="13" t="s">
        <v>3115</v>
      </c>
      <c r="D32" s="157" t="s">
        <v>8756</v>
      </c>
      <c r="E32" s="156" t="s">
        <v>9008</v>
      </c>
      <c r="F32" s="156" t="s">
        <v>8894</v>
      </c>
      <c r="G32" s="156" t="s">
        <v>8757</v>
      </c>
      <c r="H32" s="156" t="s">
        <v>8757</v>
      </c>
      <c r="I32" s="156" t="s">
        <v>8758</v>
      </c>
      <c r="J32" s="156" t="s">
        <v>8953</v>
      </c>
      <c r="K32" s="156" t="s">
        <v>11176</v>
      </c>
      <c r="L32" s="156" t="s">
        <v>10501</v>
      </c>
    </row>
    <row r="33" spans="1:12" ht="15" customHeight="1">
      <c r="A33" s="152" t="s">
        <v>2392</v>
      </c>
      <c r="B33" s="152" t="s">
        <v>8762</v>
      </c>
      <c r="C33" s="148" t="s">
        <v>11931</v>
      </c>
      <c r="D33" s="166" t="s">
        <v>8759</v>
      </c>
      <c r="E33" s="156" t="s">
        <v>9009</v>
      </c>
      <c r="F33" s="156" t="s">
        <v>8925</v>
      </c>
      <c r="G33" s="156" t="s">
        <v>8760</v>
      </c>
      <c r="H33" s="156" t="s">
        <v>8761</v>
      </c>
      <c r="I33" s="156" t="s">
        <v>8762</v>
      </c>
      <c r="K33" s="156" t="s">
        <v>11177</v>
      </c>
      <c r="L33" s="156" t="s">
        <v>10532</v>
      </c>
    </row>
    <row r="34" spans="1:12" ht="15" customHeight="1">
      <c r="A34" s="158" t="s">
        <v>3088</v>
      </c>
      <c r="B34" s="13" t="s">
        <v>2988</v>
      </c>
      <c r="C34" s="13" t="s">
        <v>3074</v>
      </c>
      <c r="D34" s="166" t="s">
        <v>8763</v>
      </c>
      <c r="E34" s="156" t="s">
        <v>9010</v>
      </c>
      <c r="F34" s="156" t="s">
        <v>8895</v>
      </c>
      <c r="G34" s="156" t="s">
        <v>8764</v>
      </c>
      <c r="H34" s="149" t="s">
        <v>8764</v>
      </c>
      <c r="I34" s="156" t="s">
        <v>8765</v>
      </c>
      <c r="J34" s="156" t="s">
        <v>8954</v>
      </c>
      <c r="K34" s="156" t="s">
        <v>11178</v>
      </c>
      <c r="L34" s="156" t="s">
        <v>10502</v>
      </c>
    </row>
    <row r="35" spans="1:12" ht="15" customHeight="1">
      <c r="A35" s="152" t="s">
        <v>9</v>
      </c>
      <c r="B35" s="13" t="s">
        <v>3109</v>
      </c>
      <c r="C35" s="13" t="s">
        <v>3110</v>
      </c>
      <c r="D35" s="164" t="s">
        <v>3157</v>
      </c>
      <c r="E35" s="156" t="s">
        <v>3158</v>
      </c>
      <c r="F35" s="149" t="s">
        <v>3159</v>
      </c>
      <c r="G35" s="149" t="s">
        <v>3155</v>
      </c>
      <c r="H35" s="149" t="s">
        <v>3155</v>
      </c>
      <c r="I35" s="149" t="s">
        <v>3156</v>
      </c>
      <c r="J35" s="149" t="s">
        <v>8955</v>
      </c>
      <c r="K35" s="156" t="s">
        <v>11179</v>
      </c>
      <c r="L35" s="156" t="s">
        <v>10503</v>
      </c>
    </row>
    <row r="36" spans="1:12" ht="15" customHeight="1">
      <c r="A36" s="167" t="s">
        <v>3087</v>
      </c>
      <c r="B36" s="13" t="s">
        <v>3116</v>
      </c>
      <c r="C36" s="13" t="s">
        <v>3117</v>
      </c>
      <c r="D36" s="164" t="s">
        <v>8766</v>
      </c>
      <c r="E36" s="156" t="s">
        <v>9011</v>
      </c>
      <c r="F36" s="156" t="s">
        <v>8896</v>
      </c>
      <c r="G36" s="156" t="s">
        <v>8767</v>
      </c>
      <c r="H36" s="156" t="s">
        <v>8768</v>
      </c>
      <c r="I36" s="156" t="s">
        <v>8769</v>
      </c>
      <c r="J36" s="156" t="s">
        <v>8956</v>
      </c>
      <c r="K36" s="156" t="s">
        <v>11180</v>
      </c>
      <c r="L36" s="156" t="s">
        <v>10504</v>
      </c>
    </row>
    <row r="37" spans="1:12" ht="15" customHeight="1">
      <c r="A37" s="152" t="s">
        <v>2399</v>
      </c>
      <c r="B37" s="13" t="s">
        <v>6</v>
      </c>
      <c r="C37" s="13" t="s">
        <v>2430</v>
      </c>
      <c r="D37" s="164" t="s">
        <v>8664</v>
      </c>
      <c r="E37" s="156" t="s">
        <v>9012</v>
      </c>
      <c r="F37" s="156" t="s">
        <v>8897</v>
      </c>
      <c r="G37" s="156" t="s">
        <v>8770</v>
      </c>
      <c r="H37" s="156" t="s">
        <v>8770</v>
      </c>
      <c r="I37" s="156" t="s">
        <v>8771</v>
      </c>
      <c r="J37" s="156" t="s">
        <v>8957</v>
      </c>
      <c r="K37" s="156" t="s">
        <v>11181</v>
      </c>
      <c r="L37" s="156" t="s">
        <v>10505</v>
      </c>
    </row>
    <row r="38" spans="1:12" ht="15" customHeight="1">
      <c r="A38" s="162" t="s">
        <v>11782</v>
      </c>
      <c r="B38" s="148" t="s">
        <v>11891</v>
      </c>
      <c r="C38" s="148" t="s">
        <v>11892</v>
      </c>
      <c r="D38" s="164" t="s">
        <v>11893</v>
      </c>
      <c r="E38" s="156" t="s">
        <v>11894</v>
      </c>
      <c r="F38" s="156" t="s">
        <v>11895</v>
      </c>
      <c r="G38" s="156" t="s">
        <v>11893</v>
      </c>
      <c r="H38" s="156" t="s">
        <v>11896</v>
      </c>
      <c r="I38" s="156" t="s">
        <v>11897</v>
      </c>
      <c r="J38" s="156" t="s">
        <v>11898</v>
      </c>
      <c r="K38" s="156" t="s">
        <v>11899</v>
      </c>
      <c r="L38" s="156" t="s">
        <v>11890</v>
      </c>
    </row>
    <row r="39" spans="1:12" ht="15" customHeight="1">
      <c r="A39" s="152" t="s">
        <v>2397</v>
      </c>
      <c r="B39" s="13" t="s">
        <v>2381</v>
      </c>
      <c r="C39" s="13" t="s">
        <v>2428</v>
      </c>
      <c r="D39" s="164" t="s">
        <v>8772</v>
      </c>
      <c r="E39" s="156" t="s">
        <v>9013</v>
      </c>
      <c r="F39" s="156" t="s">
        <v>8898</v>
      </c>
      <c r="G39" s="156" t="s">
        <v>8773</v>
      </c>
      <c r="H39" s="156" t="s">
        <v>8774</v>
      </c>
      <c r="I39" s="156" t="s">
        <v>8775</v>
      </c>
      <c r="J39" s="156" t="s">
        <v>8958</v>
      </c>
      <c r="K39" s="156" t="s">
        <v>11182</v>
      </c>
      <c r="L39" s="156" t="s">
        <v>10506</v>
      </c>
    </row>
    <row r="40" spans="1:12" ht="15" customHeight="1">
      <c r="A40" s="152" t="s">
        <v>7</v>
      </c>
      <c r="B40" s="152" t="s">
        <v>7</v>
      </c>
      <c r="C40" s="148" t="s">
        <v>7</v>
      </c>
      <c r="D40" s="164" t="s">
        <v>8776</v>
      </c>
      <c r="E40" s="156" t="s">
        <v>7</v>
      </c>
      <c r="F40" s="156" t="s">
        <v>8899</v>
      </c>
      <c r="G40" s="156" t="s">
        <v>7</v>
      </c>
      <c r="H40" s="156" t="s">
        <v>7</v>
      </c>
      <c r="I40" s="156" t="s">
        <v>8777</v>
      </c>
      <c r="J40" s="156" t="s">
        <v>8959</v>
      </c>
      <c r="K40" s="156" t="s">
        <v>8959</v>
      </c>
      <c r="L40" s="156" t="s">
        <v>7</v>
      </c>
    </row>
    <row r="41" spans="1:12" ht="15" customHeight="1">
      <c r="A41" s="152" t="s">
        <v>2985</v>
      </c>
      <c r="B41" s="152" t="s">
        <v>3032</v>
      </c>
      <c r="C41" s="148" t="s">
        <v>3035</v>
      </c>
      <c r="D41" s="164" t="s">
        <v>8778</v>
      </c>
      <c r="E41" s="156" t="s">
        <v>9014</v>
      </c>
      <c r="F41" s="156" t="s">
        <v>8900</v>
      </c>
      <c r="G41" s="156" t="s">
        <v>8779</v>
      </c>
      <c r="H41" s="156" t="s">
        <v>8780</v>
      </c>
      <c r="I41" s="156" t="s">
        <v>8781</v>
      </c>
      <c r="J41" s="156" t="s">
        <v>8960</v>
      </c>
      <c r="K41" s="156" t="s">
        <v>9824</v>
      </c>
      <c r="L41" s="156" t="s">
        <v>10507</v>
      </c>
    </row>
    <row r="42" spans="1:12" ht="15" customHeight="1">
      <c r="A42" s="152" t="s">
        <v>3030</v>
      </c>
      <c r="B42" s="152" t="s">
        <v>3033</v>
      </c>
      <c r="C42" s="148" t="s">
        <v>3036</v>
      </c>
      <c r="D42" s="164" t="s">
        <v>8782</v>
      </c>
      <c r="E42" s="156" t="s">
        <v>9015</v>
      </c>
      <c r="F42" s="156" t="s">
        <v>8901</v>
      </c>
      <c r="G42" s="156" t="s">
        <v>8783</v>
      </c>
      <c r="H42" s="156" t="s">
        <v>8784</v>
      </c>
      <c r="I42" s="156" t="s">
        <v>8785</v>
      </c>
      <c r="J42" s="156" t="s">
        <v>8961</v>
      </c>
      <c r="K42" s="156" t="s">
        <v>9825</v>
      </c>
      <c r="L42" s="156" t="s">
        <v>10508</v>
      </c>
    </row>
    <row r="43" spans="1:12" ht="15" customHeight="1">
      <c r="A43" s="152" t="s">
        <v>12019</v>
      </c>
      <c r="B43" s="152" t="s">
        <v>12020</v>
      </c>
      <c r="C43" s="148" t="s">
        <v>12021</v>
      </c>
      <c r="D43" s="164" t="s">
        <v>12022</v>
      </c>
      <c r="E43" s="156" t="s">
        <v>12023</v>
      </c>
      <c r="F43" s="156" t="s">
        <v>12024</v>
      </c>
      <c r="G43" s="156" t="s">
        <v>12025</v>
      </c>
      <c r="H43" s="156" t="s">
        <v>12026</v>
      </c>
      <c r="I43" s="156" t="s">
        <v>12027</v>
      </c>
      <c r="J43" s="156" t="s">
        <v>12028</v>
      </c>
      <c r="K43" s="156" t="s">
        <v>12029</v>
      </c>
      <c r="L43" s="156" t="s">
        <v>12030</v>
      </c>
    </row>
    <row r="44" spans="1:12" ht="15" customHeight="1">
      <c r="A44" s="152" t="s">
        <v>3031</v>
      </c>
      <c r="B44" s="152" t="s">
        <v>3034</v>
      </c>
      <c r="C44" s="148" t="s">
        <v>3122</v>
      </c>
      <c r="D44" s="164" t="s">
        <v>8786</v>
      </c>
      <c r="E44" s="156" t="s">
        <v>9016</v>
      </c>
      <c r="F44" s="156" t="s">
        <v>8902</v>
      </c>
      <c r="G44" s="156" t="s">
        <v>8787</v>
      </c>
      <c r="H44" s="156" t="s">
        <v>8788</v>
      </c>
      <c r="I44" s="156" t="s">
        <v>8789</v>
      </c>
      <c r="J44" s="156" t="s">
        <v>8962</v>
      </c>
      <c r="K44" s="156" t="s">
        <v>9826</v>
      </c>
      <c r="L44" s="156" t="s">
        <v>10509</v>
      </c>
    </row>
    <row r="45" spans="1:12" ht="15" customHeight="1">
      <c r="A45" s="152" t="s">
        <v>3072</v>
      </c>
      <c r="B45" s="152" t="s">
        <v>3071</v>
      </c>
      <c r="C45" s="148" t="s">
        <v>3073</v>
      </c>
      <c r="D45" s="164" t="s">
        <v>8790</v>
      </c>
      <c r="E45" s="156" t="s">
        <v>9017</v>
      </c>
      <c r="F45" s="156" t="s">
        <v>8903</v>
      </c>
      <c r="G45" s="156" t="s">
        <v>8791</v>
      </c>
      <c r="H45" s="156" t="s">
        <v>8792</v>
      </c>
      <c r="I45" s="156" t="s">
        <v>8793</v>
      </c>
      <c r="J45" s="156" t="s">
        <v>8963</v>
      </c>
      <c r="K45" s="156" t="s">
        <v>9827</v>
      </c>
      <c r="L45" s="156" t="s">
        <v>10510</v>
      </c>
    </row>
    <row r="46" spans="1:12" ht="15" customHeight="1">
      <c r="A46" s="152" t="s">
        <v>2905</v>
      </c>
      <c r="B46" s="152" t="s">
        <v>2971</v>
      </c>
      <c r="C46" s="148" t="s">
        <v>3028</v>
      </c>
      <c r="D46" s="164" t="s">
        <v>8794</v>
      </c>
      <c r="E46" s="156" t="s">
        <v>9018</v>
      </c>
      <c r="F46" s="156" t="s">
        <v>8904</v>
      </c>
      <c r="G46" s="156" t="s">
        <v>8795</v>
      </c>
      <c r="H46" s="156" t="s">
        <v>8796</v>
      </c>
      <c r="I46" s="156" t="s">
        <v>8797</v>
      </c>
      <c r="J46" s="156" t="s">
        <v>8964</v>
      </c>
      <c r="K46" s="156" t="s">
        <v>9828</v>
      </c>
      <c r="L46" s="156" t="s">
        <v>10511</v>
      </c>
    </row>
    <row r="47" spans="1:12" ht="15" customHeight="1">
      <c r="A47" s="152" t="s">
        <v>13589</v>
      </c>
      <c r="B47" s="152" t="s">
        <v>13590</v>
      </c>
      <c r="C47" s="148" t="s">
        <v>13591</v>
      </c>
      <c r="D47" s="164" t="s">
        <v>13589</v>
      </c>
      <c r="E47" s="156" t="s">
        <v>13592</v>
      </c>
      <c r="F47" s="156" t="s">
        <v>13593</v>
      </c>
      <c r="G47" s="156" t="s">
        <v>13594</v>
      </c>
      <c r="H47" s="156" t="s">
        <v>13594</v>
      </c>
      <c r="I47" s="156" t="s">
        <v>13595</v>
      </c>
      <c r="J47" s="156" t="s">
        <v>13596</v>
      </c>
      <c r="K47" s="156" t="s">
        <v>13597</v>
      </c>
      <c r="L47" s="156" t="s">
        <v>13598</v>
      </c>
    </row>
    <row r="48" spans="1:12" ht="15" customHeight="1">
      <c r="A48" s="152" t="s">
        <v>2892</v>
      </c>
      <c r="B48" s="152" t="s">
        <v>2970</v>
      </c>
      <c r="C48" s="148" t="s">
        <v>3029</v>
      </c>
      <c r="D48" s="164" t="s">
        <v>8798</v>
      </c>
      <c r="E48" s="156" t="s">
        <v>9019</v>
      </c>
      <c r="F48" s="156" t="s">
        <v>8905</v>
      </c>
      <c r="G48" s="156" t="s">
        <v>8799</v>
      </c>
      <c r="H48" s="156" t="s">
        <v>8800</v>
      </c>
      <c r="I48" s="156" t="s">
        <v>8801</v>
      </c>
      <c r="J48" s="156" t="s">
        <v>8965</v>
      </c>
      <c r="K48" s="156" t="s">
        <v>9829</v>
      </c>
      <c r="L48" s="156" t="s">
        <v>10534</v>
      </c>
    </row>
    <row r="49" spans="1:12" ht="15" customHeight="1">
      <c r="A49" s="152" t="s">
        <v>3123</v>
      </c>
      <c r="B49" s="152" t="s">
        <v>3126</v>
      </c>
      <c r="C49" s="148" t="s">
        <v>3127</v>
      </c>
      <c r="D49" s="164" t="s">
        <v>8802</v>
      </c>
      <c r="E49" s="156" t="s">
        <v>9020</v>
      </c>
      <c r="F49" s="156" t="s">
        <v>8906</v>
      </c>
      <c r="G49" s="156" t="s">
        <v>8803</v>
      </c>
      <c r="H49" s="156" t="s">
        <v>8804</v>
      </c>
      <c r="I49" s="156" t="s">
        <v>8805</v>
      </c>
      <c r="J49" s="156" t="s">
        <v>8961</v>
      </c>
      <c r="K49" s="156" t="s">
        <v>9830</v>
      </c>
      <c r="L49" s="156" t="s">
        <v>10514</v>
      </c>
    </row>
    <row r="50" spans="1:12" ht="15" customHeight="1">
      <c r="A50" s="152" t="s">
        <v>3124</v>
      </c>
      <c r="B50" s="152" t="s">
        <v>3128</v>
      </c>
      <c r="C50" s="148" t="s">
        <v>3129</v>
      </c>
      <c r="D50" s="164" t="s">
        <v>8806</v>
      </c>
      <c r="E50" s="156" t="s">
        <v>9021</v>
      </c>
      <c r="F50" s="156" t="s">
        <v>8907</v>
      </c>
      <c r="G50" s="156" t="s">
        <v>8806</v>
      </c>
      <c r="H50" s="156" t="s">
        <v>3128</v>
      </c>
      <c r="I50" s="156" t="s">
        <v>8807</v>
      </c>
      <c r="J50" s="156" t="s">
        <v>8954</v>
      </c>
      <c r="K50" s="156" t="s">
        <v>9831</v>
      </c>
      <c r="L50" s="156" t="s">
        <v>10512</v>
      </c>
    </row>
    <row r="51" spans="1:12" ht="15" customHeight="1">
      <c r="A51" s="152" t="s">
        <v>3125</v>
      </c>
      <c r="B51" s="152" t="s">
        <v>3130</v>
      </c>
      <c r="C51" s="148" t="s">
        <v>3131</v>
      </c>
      <c r="D51" s="164" t="s">
        <v>8808</v>
      </c>
      <c r="E51" s="156" t="s">
        <v>9022</v>
      </c>
      <c r="F51" s="156" t="s">
        <v>8908</v>
      </c>
      <c r="G51" s="156" t="s">
        <v>8809</v>
      </c>
      <c r="H51" s="156" t="s">
        <v>8810</v>
      </c>
      <c r="I51" s="156" t="s">
        <v>8811</v>
      </c>
      <c r="J51" s="156" t="s">
        <v>8966</v>
      </c>
      <c r="K51" s="156" t="s">
        <v>9832</v>
      </c>
      <c r="L51" s="156" t="s">
        <v>10513</v>
      </c>
    </row>
    <row r="52" spans="1:12" ht="15" customHeight="1">
      <c r="A52" s="152" t="s">
        <v>2880</v>
      </c>
      <c r="B52" s="152" t="s">
        <v>2451</v>
      </c>
      <c r="C52" s="148" t="s">
        <v>2446</v>
      </c>
      <c r="D52" s="164" t="s">
        <v>8812</v>
      </c>
      <c r="E52" s="156" t="s">
        <v>9023</v>
      </c>
      <c r="F52" s="156" t="s">
        <v>8909</v>
      </c>
      <c r="G52" s="156" t="s">
        <v>8813</v>
      </c>
      <c r="H52" s="156" t="s">
        <v>8814</v>
      </c>
      <c r="I52" s="156" t="s">
        <v>8815</v>
      </c>
      <c r="J52" s="156" t="s">
        <v>8967</v>
      </c>
      <c r="K52" s="156" t="s">
        <v>11183</v>
      </c>
      <c r="L52" s="156" t="s">
        <v>10515</v>
      </c>
    </row>
    <row r="53" spans="1:12" ht="15" customHeight="1">
      <c r="A53" s="152" t="s">
        <v>13784</v>
      </c>
      <c r="B53" s="152" t="s">
        <v>13785</v>
      </c>
      <c r="C53" s="148" t="s">
        <v>13786</v>
      </c>
      <c r="D53" s="164" t="s">
        <v>13787</v>
      </c>
      <c r="E53" s="156" t="s">
        <v>13788</v>
      </c>
      <c r="F53" s="156" t="s">
        <v>13789</v>
      </c>
      <c r="G53" s="156" t="s">
        <v>13790</v>
      </c>
      <c r="H53" s="156" t="s">
        <v>13791</v>
      </c>
      <c r="I53" s="156" t="s">
        <v>13792</v>
      </c>
      <c r="J53" s="156" t="s">
        <v>13793</v>
      </c>
      <c r="K53" s="156" t="s">
        <v>13794</v>
      </c>
      <c r="L53" s="156" t="s">
        <v>13795</v>
      </c>
    </row>
    <row r="54" spans="1:12" ht="15" customHeight="1">
      <c r="A54" s="152" t="s">
        <v>12869</v>
      </c>
      <c r="B54" s="152" t="s">
        <v>12870</v>
      </c>
      <c r="C54" s="148" t="s">
        <v>12871</v>
      </c>
      <c r="D54" s="164" t="s">
        <v>12872</v>
      </c>
      <c r="E54" s="156" t="s">
        <v>12873</v>
      </c>
      <c r="F54" s="156" t="s">
        <v>12874</v>
      </c>
      <c r="G54" s="156" t="s">
        <v>12875</v>
      </c>
      <c r="H54" t="s">
        <v>12876</v>
      </c>
      <c r="I54" s="156" t="s">
        <v>12877</v>
      </c>
      <c r="J54" s="156" t="s">
        <v>12878</v>
      </c>
      <c r="K54" s="156" t="s">
        <v>12879</v>
      </c>
      <c r="L54" s="156" t="s">
        <v>12880</v>
      </c>
    </row>
    <row r="55" spans="1:12" ht="15" customHeight="1">
      <c r="A55" s="152" t="s">
        <v>12891</v>
      </c>
      <c r="B55" s="152" t="s">
        <v>12890</v>
      </c>
      <c r="C55" s="148" t="s">
        <v>12889</v>
      </c>
      <c r="D55" s="164" t="s">
        <v>12888</v>
      </c>
      <c r="E55" s="156" t="s">
        <v>12887</v>
      </c>
      <c r="F55" s="156" t="s">
        <v>12886</v>
      </c>
      <c r="G55" s="156" t="s">
        <v>12885</v>
      </c>
      <c r="H55" t="s">
        <v>12885</v>
      </c>
      <c r="I55" s="156" t="s">
        <v>12884</v>
      </c>
      <c r="J55" s="156" t="s">
        <v>12883</v>
      </c>
      <c r="K55" s="156" t="s">
        <v>12882</v>
      </c>
      <c r="L55" s="156" t="s">
        <v>12881</v>
      </c>
    </row>
    <row r="56" spans="1:12" ht="15" customHeight="1">
      <c r="A56" s="152" t="s">
        <v>2881</v>
      </c>
      <c r="B56" s="152" t="s">
        <v>2452</v>
      </c>
      <c r="C56" s="148" t="s">
        <v>2447</v>
      </c>
      <c r="D56" s="164" t="s">
        <v>8816</v>
      </c>
      <c r="E56" s="156" t="s">
        <v>9024</v>
      </c>
      <c r="F56" s="156" t="s">
        <v>8910</v>
      </c>
      <c r="G56" s="156" t="s">
        <v>8817</v>
      </c>
      <c r="H56" s="156" t="s">
        <v>8818</v>
      </c>
      <c r="I56" s="156" t="s">
        <v>8819</v>
      </c>
      <c r="J56" s="156" t="s">
        <v>8968</v>
      </c>
      <c r="K56" s="156" t="s">
        <v>11184</v>
      </c>
      <c r="L56" s="156" t="s">
        <v>10516</v>
      </c>
    </row>
    <row r="57" spans="1:12" ht="15" customHeight="1">
      <c r="A57" s="152" t="s">
        <v>2879</v>
      </c>
      <c r="B57" s="152" t="s">
        <v>2453</v>
      </c>
      <c r="C57" s="148" t="s">
        <v>2448</v>
      </c>
      <c r="D57" s="164" t="s">
        <v>8820</v>
      </c>
      <c r="E57" s="156" t="s">
        <v>9025</v>
      </c>
      <c r="F57" s="156" t="s">
        <v>8911</v>
      </c>
      <c r="G57" s="156" t="s">
        <v>8821</v>
      </c>
      <c r="H57" s="156" t="s">
        <v>8822</v>
      </c>
      <c r="I57" s="156" t="s">
        <v>8823</v>
      </c>
      <c r="J57" s="156" t="s">
        <v>8969</v>
      </c>
      <c r="K57" s="156" t="s">
        <v>11185</v>
      </c>
      <c r="L57" s="156" t="s">
        <v>10517</v>
      </c>
    </row>
    <row r="58" spans="1:12" ht="15" customHeight="1">
      <c r="A58" s="152" t="s">
        <v>2882</v>
      </c>
      <c r="B58" s="152" t="s">
        <v>2454</v>
      </c>
      <c r="C58" s="148" t="s">
        <v>2449</v>
      </c>
      <c r="D58" s="164" t="s">
        <v>8824</v>
      </c>
      <c r="E58" s="156" t="s">
        <v>9026</v>
      </c>
      <c r="F58" s="156" t="s">
        <v>8912</v>
      </c>
      <c r="G58" s="156" t="s">
        <v>8825</v>
      </c>
      <c r="H58" s="156" t="s">
        <v>8826</v>
      </c>
      <c r="I58" s="156" t="s">
        <v>8827</v>
      </c>
      <c r="J58" s="156" t="s">
        <v>8970</v>
      </c>
      <c r="K58" s="156" t="s">
        <v>11186</v>
      </c>
      <c r="L58" s="156" t="s">
        <v>10518</v>
      </c>
    </row>
    <row r="59" spans="1:12" ht="15" customHeight="1">
      <c r="A59" s="152" t="s">
        <v>2883</v>
      </c>
      <c r="B59" s="152" t="s">
        <v>2455</v>
      </c>
      <c r="C59" s="148" t="s">
        <v>2450</v>
      </c>
      <c r="D59" s="164" t="s">
        <v>8828</v>
      </c>
      <c r="E59" s="156" t="s">
        <v>9027</v>
      </c>
      <c r="F59" s="156" t="s">
        <v>8913</v>
      </c>
      <c r="G59" s="156" t="s">
        <v>8829</v>
      </c>
      <c r="H59" s="156" t="s">
        <v>8830</v>
      </c>
      <c r="I59" s="156" t="s">
        <v>8831</v>
      </c>
      <c r="J59" s="156" t="s">
        <v>8971</v>
      </c>
      <c r="K59" s="156" t="s">
        <v>11187</v>
      </c>
      <c r="L59" s="156" t="s">
        <v>10519</v>
      </c>
    </row>
    <row r="60" spans="1:12" ht="15" customHeight="1">
      <c r="A60" s="152" t="s">
        <v>2980</v>
      </c>
      <c r="B60" s="152" t="s">
        <v>2981</v>
      </c>
      <c r="C60" s="148" t="s">
        <v>3027</v>
      </c>
      <c r="D60" s="164" t="s">
        <v>8832</v>
      </c>
      <c r="E60" s="156" t="s">
        <v>11198</v>
      </c>
      <c r="F60" s="156" t="s">
        <v>8914</v>
      </c>
      <c r="G60" s="156" t="s">
        <v>8833</v>
      </c>
      <c r="H60" s="156" t="s">
        <v>8834</v>
      </c>
      <c r="I60" s="156" t="s">
        <v>8835</v>
      </c>
      <c r="J60" s="156" t="s">
        <v>11199</v>
      </c>
      <c r="K60" s="156" t="s">
        <v>11188</v>
      </c>
      <c r="L60" s="156" t="s">
        <v>10520</v>
      </c>
    </row>
    <row r="61" spans="1:12" ht="15" customHeight="1">
      <c r="A61" s="152" t="s">
        <v>12892</v>
      </c>
      <c r="B61" s="152" t="s">
        <v>12893</v>
      </c>
      <c r="C61" s="148" t="s">
        <v>12894</v>
      </c>
      <c r="D61" s="164" t="s">
        <v>12895</v>
      </c>
      <c r="E61" s="156" t="s">
        <v>12896</v>
      </c>
      <c r="F61" s="156" t="s">
        <v>12897</v>
      </c>
      <c r="G61" s="156" t="s">
        <v>12898</v>
      </c>
      <c r="H61" t="s">
        <v>12899</v>
      </c>
      <c r="I61" s="156" t="s">
        <v>12900</v>
      </c>
      <c r="J61" s="156" t="s">
        <v>12901</v>
      </c>
      <c r="K61" s="156" t="s">
        <v>12902</v>
      </c>
      <c r="L61" s="156" t="s">
        <v>12903</v>
      </c>
    </row>
    <row r="62" spans="1:12" ht="15" customHeight="1">
      <c r="A62" s="152" t="s">
        <v>2884</v>
      </c>
      <c r="B62" s="152" t="s">
        <v>2982</v>
      </c>
      <c r="C62" s="148" t="s">
        <v>3026</v>
      </c>
      <c r="D62" s="164" t="s">
        <v>8836</v>
      </c>
      <c r="E62" s="156" t="s">
        <v>9028</v>
      </c>
      <c r="F62" s="156" t="s">
        <v>8915</v>
      </c>
      <c r="G62" s="156" t="s">
        <v>8837</v>
      </c>
      <c r="H62" s="156" t="s">
        <v>8838</v>
      </c>
      <c r="I62" s="156" t="s">
        <v>8839</v>
      </c>
      <c r="J62" s="156" t="s">
        <v>8972</v>
      </c>
      <c r="K62" s="156" t="s">
        <v>11189</v>
      </c>
      <c r="L62" s="156" t="s">
        <v>10521</v>
      </c>
    </row>
    <row r="63" spans="1:12" ht="15" customHeight="1">
      <c r="A63" s="152" t="s">
        <v>3136</v>
      </c>
      <c r="B63" s="152" t="s">
        <v>3137</v>
      </c>
      <c r="C63" s="148" t="s">
        <v>3138</v>
      </c>
      <c r="D63" s="164" t="s">
        <v>8840</v>
      </c>
      <c r="E63" s="156" t="s">
        <v>9029</v>
      </c>
      <c r="F63" s="156" t="s">
        <v>8916</v>
      </c>
      <c r="G63" s="156" t="s">
        <v>8841</v>
      </c>
      <c r="H63" s="156" t="s">
        <v>8842</v>
      </c>
      <c r="I63" s="156" t="s">
        <v>8843</v>
      </c>
      <c r="J63" s="156" t="s">
        <v>8973</v>
      </c>
      <c r="K63" s="156" t="s">
        <v>11190</v>
      </c>
      <c r="L63" s="156" t="s">
        <v>10522</v>
      </c>
    </row>
    <row r="64" spans="1:12" ht="15" customHeight="1">
      <c r="A64" s="152" t="s">
        <v>2972</v>
      </c>
      <c r="B64" s="152" t="s">
        <v>2984</v>
      </c>
      <c r="C64" s="148" t="s">
        <v>3037</v>
      </c>
      <c r="D64" s="164" t="s">
        <v>8844</v>
      </c>
      <c r="E64" s="156" t="s">
        <v>9030</v>
      </c>
      <c r="F64" s="156" t="s">
        <v>8917</v>
      </c>
      <c r="G64" s="156" t="s">
        <v>8845</v>
      </c>
      <c r="H64" s="156" t="s">
        <v>8846</v>
      </c>
      <c r="I64" s="156" t="s">
        <v>8847</v>
      </c>
      <c r="J64" s="156" t="s">
        <v>8974</v>
      </c>
      <c r="K64" s="156" t="s">
        <v>11191</v>
      </c>
      <c r="L64" s="156" t="s">
        <v>10523</v>
      </c>
    </row>
    <row r="65" spans="1:13" ht="15" customHeight="1">
      <c r="A65" s="152" t="s">
        <v>2979</v>
      </c>
      <c r="B65" s="152" t="s">
        <v>2437</v>
      </c>
      <c r="C65" s="148" t="s">
        <v>3038</v>
      </c>
      <c r="D65" s="164" t="s">
        <v>8848</v>
      </c>
      <c r="E65" s="156" t="s">
        <v>9031</v>
      </c>
      <c r="F65" s="156" t="s">
        <v>8918</v>
      </c>
      <c r="G65" s="156" t="s">
        <v>8849</v>
      </c>
      <c r="H65" s="156" t="s">
        <v>8850</v>
      </c>
      <c r="I65" s="156" t="s">
        <v>8851</v>
      </c>
      <c r="J65" s="156" t="s">
        <v>8975</v>
      </c>
      <c r="K65" s="156" t="s">
        <v>11192</v>
      </c>
      <c r="L65" s="156" t="s">
        <v>10524</v>
      </c>
    </row>
    <row r="66" spans="1:13">
      <c r="A66" s="152" t="s">
        <v>3142</v>
      </c>
      <c r="B66" s="152" t="s">
        <v>3147</v>
      </c>
      <c r="C66" s="148" t="s">
        <v>3150</v>
      </c>
      <c r="D66" s="164" t="s">
        <v>8852</v>
      </c>
      <c r="E66" s="156" t="s">
        <v>9032</v>
      </c>
      <c r="F66" s="156" t="s">
        <v>8919</v>
      </c>
      <c r="G66" s="156" t="s">
        <v>8853</v>
      </c>
      <c r="H66" s="156" t="s">
        <v>8853</v>
      </c>
      <c r="I66" s="156" t="s">
        <v>8854</v>
      </c>
      <c r="J66" s="156" t="s">
        <v>8976</v>
      </c>
      <c r="K66" s="156" t="s">
        <v>11193</v>
      </c>
      <c r="L66" s="156" t="s">
        <v>10525</v>
      </c>
    </row>
    <row r="67" spans="1:13">
      <c r="A67" s="152" t="s">
        <v>3143</v>
      </c>
      <c r="B67" s="152" t="s">
        <v>3145</v>
      </c>
      <c r="C67" s="148" t="s">
        <v>3149</v>
      </c>
      <c r="D67" s="164" t="s">
        <v>8855</v>
      </c>
      <c r="E67" s="156" t="s">
        <v>9033</v>
      </c>
      <c r="F67" s="156" t="s">
        <v>8920</v>
      </c>
      <c r="G67" s="156" t="s">
        <v>8856</v>
      </c>
      <c r="H67" s="156" t="s">
        <v>8857</v>
      </c>
      <c r="I67" s="156" t="s">
        <v>8858</v>
      </c>
      <c r="J67" s="156" t="s">
        <v>8977</v>
      </c>
      <c r="K67" s="156" t="s">
        <v>11194</v>
      </c>
      <c r="L67" s="156" t="s">
        <v>10526</v>
      </c>
    </row>
    <row r="68" spans="1:13">
      <c r="A68" s="152" t="s">
        <v>3144</v>
      </c>
      <c r="B68" s="152" t="s">
        <v>3146</v>
      </c>
      <c r="C68" s="148" t="s">
        <v>3148</v>
      </c>
      <c r="D68" s="164" t="s">
        <v>8859</v>
      </c>
      <c r="E68" s="156" t="s">
        <v>9034</v>
      </c>
      <c r="F68" s="156" t="s">
        <v>8921</v>
      </c>
      <c r="G68" s="156" t="s">
        <v>8860</v>
      </c>
      <c r="H68" s="156" t="s">
        <v>8861</v>
      </c>
      <c r="I68" s="156" t="s">
        <v>8862</v>
      </c>
      <c r="J68" s="156" t="s">
        <v>8978</v>
      </c>
      <c r="K68" s="156" t="s">
        <v>11195</v>
      </c>
      <c r="L68" s="156" t="s">
        <v>10527</v>
      </c>
    </row>
    <row r="69" spans="1:13">
      <c r="A69" s="152" t="s">
        <v>3151</v>
      </c>
      <c r="B69" s="152" t="s">
        <v>8575</v>
      </c>
      <c r="C69" s="148" t="s">
        <v>8577</v>
      </c>
      <c r="D69" s="164" t="s">
        <v>8863</v>
      </c>
      <c r="E69" s="156" t="s">
        <v>9035</v>
      </c>
      <c r="F69" s="156" t="s">
        <v>8922</v>
      </c>
      <c r="G69" s="156" t="s">
        <v>8864</v>
      </c>
      <c r="H69" s="156" t="s">
        <v>8865</v>
      </c>
      <c r="I69" s="156" t="s">
        <v>8866</v>
      </c>
      <c r="J69" s="156" t="s">
        <v>8979</v>
      </c>
      <c r="K69" s="156" t="s">
        <v>11196</v>
      </c>
      <c r="L69" s="156" t="s">
        <v>10528</v>
      </c>
    </row>
    <row r="70" spans="1:13">
      <c r="A70" s="152" t="s">
        <v>3139</v>
      </c>
      <c r="B70" s="152" t="s">
        <v>8576</v>
      </c>
      <c r="C70" s="148" t="s">
        <v>8578</v>
      </c>
      <c r="D70" s="164" t="s">
        <v>8867</v>
      </c>
      <c r="E70" s="156" t="s">
        <v>9036</v>
      </c>
      <c r="F70" s="156" t="s">
        <v>8923</v>
      </c>
      <c r="G70" s="156" t="s">
        <v>8868</v>
      </c>
      <c r="H70" s="156" t="s">
        <v>8868</v>
      </c>
      <c r="I70" s="156" t="s">
        <v>8869</v>
      </c>
      <c r="J70" s="156" t="s">
        <v>8980</v>
      </c>
      <c r="K70" s="156" t="s">
        <v>11197</v>
      </c>
      <c r="L70" s="156" t="s">
        <v>10529</v>
      </c>
    </row>
    <row r="71" spans="1:13">
      <c r="A71" s="152" t="s">
        <v>11709</v>
      </c>
      <c r="B71" s="152" t="s">
        <v>11913</v>
      </c>
      <c r="C71" s="148" t="s">
        <v>11914</v>
      </c>
      <c r="D71" s="164" t="s">
        <v>11905</v>
      </c>
      <c r="E71" s="156" t="s">
        <v>11915</v>
      </c>
      <c r="F71" s="156" t="s">
        <v>11906</v>
      </c>
      <c r="G71" s="156" t="s">
        <v>11907</v>
      </c>
      <c r="H71" s="156" t="s">
        <v>11908</v>
      </c>
      <c r="I71" s="156" t="s">
        <v>11909</v>
      </c>
      <c r="J71" s="156" t="s">
        <v>11910</v>
      </c>
      <c r="K71" s="156" t="s">
        <v>11911</v>
      </c>
      <c r="L71" s="156" t="s">
        <v>11912</v>
      </c>
    </row>
    <row r="72" spans="1:13">
      <c r="A72" s="152" t="s">
        <v>2878</v>
      </c>
      <c r="B72" s="152" t="s">
        <v>9271</v>
      </c>
      <c r="C72" s="148" t="s">
        <v>9272</v>
      </c>
      <c r="D72" s="164" t="s">
        <v>9273</v>
      </c>
      <c r="E72" s="156" t="s">
        <v>9274</v>
      </c>
      <c r="F72" s="156" t="s">
        <v>9275</v>
      </c>
      <c r="G72" s="156" t="s">
        <v>9276</v>
      </c>
      <c r="H72" s="156" t="s">
        <v>9276</v>
      </c>
      <c r="I72" s="156" t="s">
        <v>9277</v>
      </c>
      <c r="J72" s="156" t="s">
        <v>9278</v>
      </c>
      <c r="K72" s="156" t="s">
        <v>10477</v>
      </c>
      <c r="L72" s="156" t="s">
        <v>10530</v>
      </c>
    </row>
    <row r="73" spans="1:13">
      <c r="A73" s="152" t="s">
        <v>11714</v>
      </c>
      <c r="B73" s="152" t="str">
        <f>UPPER(B1)</f>
        <v>ENGLISH</v>
      </c>
      <c r="C73" s="152" t="str">
        <f t="shared" ref="C73:M73" si="0">UPPER(C1)</f>
        <v>DEUTSCH</v>
      </c>
      <c r="D73" s="152" t="str">
        <f t="shared" si="0"/>
        <v>POLSKIE</v>
      </c>
      <c r="E73" s="152" t="str">
        <f t="shared" si="0"/>
        <v>TIẾNG VIỆT</v>
      </c>
      <c r="F73" s="152" t="str">
        <f t="shared" si="0"/>
        <v>LIETUVIS</v>
      </c>
      <c r="G73" s="152" t="str">
        <f t="shared" si="0"/>
        <v>HRVATSKI</v>
      </c>
      <c r="H73" s="152" t="str">
        <f t="shared" si="0"/>
        <v>SRPSKI</v>
      </c>
      <c r="I73" s="152" t="str">
        <f t="shared" si="0"/>
        <v>ITALIANO</v>
      </c>
      <c r="J73" s="152" t="str">
        <f t="shared" si="0"/>
        <v>EESTLANE</v>
      </c>
      <c r="K73" s="152" t="str">
        <f t="shared" si="0"/>
        <v>MAGYAR</v>
      </c>
      <c r="L73" s="152" t="str">
        <f t="shared" si="0"/>
        <v>LATVIETIS</v>
      </c>
      <c r="M73" s="152" t="str">
        <f t="shared" si="0"/>
        <v/>
      </c>
    </row>
    <row r="74" spans="1:13">
      <c r="A74" s="152" t="s">
        <v>11708</v>
      </c>
      <c r="B74" s="152" t="s">
        <v>11721</v>
      </c>
      <c r="C74" s="148" t="s">
        <v>11722</v>
      </c>
      <c r="D74" s="164" t="s">
        <v>11723</v>
      </c>
      <c r="E74" s="156" t="s">
        <v>11724</v>
      </c>
      <c r="F74" s="156" t="s">
        <v>11725</v>
      </c>
      <c r="G74" s="156" t="s">
        <v>11728</v>
      </c>
      <c r="H74" s="156" t="s">
        <v>11728</v>
      </c>
      <c r="I74" s="156" t="s">
        <v>11729</v>
      </c>
      <c r="J74" s="156" t="s">
        <v>11731</v>
      </c>
      <c r="K74" s="156" t="s">
        <v>11733</v>
      </c>
      <c r="L74" s="156" t="s">
        <v>11889</v>
      </c>
    </row>
    <row r="75" spans="1:13">
      <c r="A75" s="152" t="s">
        <v>11716</v>
      </c>
      <c r="B75" s="152" t="s">
        <v>11717</v>
      </c>
      <c r="C75" s="148" t="s">
        <v>11718</v>
      </c>
      <c r="D75" s="164" t="s">
        <v>11719</v>
      </c>
      <c r="E75" s="156" t="s">
        <v>11727</v>
      </c>
      <c r="F75" s="156" t="s">
        <v>11726</v>
      </c>
      <c r="G75" s="156" t="s">
        <v>11720</v>
      </c>
      <c r="H75" s="156" t="s">
        <v>11960</v>
      </c>
      <c r="I75" s="156" t="s">
        <v>11730</v>
      </c>
      <c r="J75" s="156" t="s">
        <v>11732</v>
      </c>
      <c r="K75" s="156" t="s">
        <v>11734</v>
      </c>
      <c r="L75" s="156" t="s">
        <v>11958</v>
      </c>
    </row>
    <row r="76" spans="1:13">
      <c r="A76" s="152" t="s">
        <v>11968</v>
      </c>
      <c r="B76" s="152" t="s">
        <v>11967</v>
      </c>
      <c r="C76" s="148" t="s">
        <v>11966</v>
      </c>
      <c r="D76" s="164" t="s">
        <v>11965</v>
      </c>
      <c r="E76" s="156" t="s">
        <v>11964</v>
      </c>
      <c r="F76" s="156" t="s">
        <v>11963</v>
      </c>
      <c r="G76" s="156" t="s">
        <v>11962</v>
      </c>
      <c r="H76" s="156" t="s">
        <v>11961</v>
      </c>
      <c r="I76" s="156" t="s">
        <v>11955</v>
      </c>
      <c r="J76" s="156" t="s">
        <v>11956</v>
      </c>
      <c r="K76" s="156" t="s">
        <v>11957</v>
      </c>
      <c r="L76" s="156" t="s">
        <v>11959</v>
      </c>
    </row>
    <row r="77" spans="1:13">
      <c r="A77" s="152" t="s">
        <v>11779</v>
      </c>
      <c r="B77" s="152" t="s">
        <v>11742</v>
      </c>
      <c r="C77" s="156" t="s">
        <v>11735</v>
      </c>
      <c r="D77" s="156" t="s">
        <v>11743</v>
      </c>
      <c r="E77" s="156" t="s">
        <v>11747</v>
      </c>
      <c r="F77" s="156" t="s">
        <v>11751</v>
      </c>
      <c r="G77" s="156" t="s">
        <v>11755</v>
      </c>
      <c r="H77" s="172" t="s">
        <v>11760</v>
      </c>
      <c r="I77" s="156" t="s">
        <v>11763</v>
      </c>
      <c r="J77" s="156" t="s">
        <v>11767</v>
      </c>
      <c r="K77" s="156" t="s">
        <v>11771</v>
      </c>
      <c r="L77" s="156" t="s">
        <v>11775</v>
      </c>
    </row>
    <row r="78" spans="1:13" ht="30">
      <c r="A78" s="152" t="s">
        <v>11713</v>
      </c>
      <c r="B78" s="152" t="s">
        <v>11739</v>
      </c>
      <c r="C78" s="148" t="s">
        <v>11736</v>
      </c>
      <c r="D78" s="164" t="s">
        <v>11744</v>
      </c>
      <c r="E78" s="156" t="s">
        <v>11748</v>
      </c>
      <c r="F78" s="156" t="s">
        <v>11752</v>
      </c>
      <c r="G78" s="156" t="s">
        <v>11756</v>
      </c>
      <c r="H78" s="172" t="s">
        <v>11761</v>
      </c>
      <c r="I78" s="156" t="s">
        <v>11764</v>
      </c>
      <c r="J78" s="156" t="s">
        <v>11768</v>
      </c>
      <c r="K78" s="156" t="s">
        <v>11772</v>
      </c>
      <c r="L78" s="156" t="s">
        <v>11776</v>
      </c>
    </row>
    <row r="79" spans="1:13">
      <c r="A79" s="152" t="s">
        <v>11780</v>
      </c>
      <c r="B79" s="152" t="s">
        <v>11740</v>
      </c>
      <c r="C79" s="148" t="s">
        <v>11737</v>
      </c>
      <c r="D79" s="164" t="s">
        <v>11745</v>
      </c>
      <c r="E79" s="156" t="s">
        <v>11749</v>
      </c>
      <c r="F79" s="156" t="s">
        <v>11753</v>
      </c>
      <c r="G79" s="156" t="s">
        <v>11757</v>
      </c>
      <c r="H79" s="172" t="s">
        <v>11762</v>
      </c>
      <c r="I79" s="156" t="s">
        <v>11765</v>
      </c>
      <c r="J79" s="156" t="s">
        <v>11769</v>
      </c>
      <c r="K79" s="156" t="s">
        <v>11773</v>
      </c>
      <c r="L79" s="156" t="s">
        <v>11777</v>
      </c>
    </row>
    <row r="80" spans="1:13">
      <c r="A80" s="152" t="s">
        <v>14615</v>
      </c>
      <c r="B80" s="152" t="s">
        <v>14616</v>
      </c>
      <c r="C80" s="148" t="s">
        <v>14617</v>
      </c>
      <c r="D80" s="164" t="s">
        <v>14618</v>
      </c>
      <c r="E80" s="156" t="s">
        <v>14619</v>
      </c>
      <c r="F80" s="156" t="s">
        <v>14620</v>
      </c>
      <c r="G80" s="156" t="s">
        <v>14621</v>
      </c>
      <c r="H80" s="172" t="s">
        <v>14622</v>
      </c>
      <c r="I80" s="156" t="s">
        <v>14623</v>
      </c>
      <c r="J80" s="156" t="s">
        <v>14624</v>
      </c>
      <c r="K80" s="156" t="s">
        <v>14625</v>
      </c>
      <c r="L80" s="156" t="s">
        <v>14626</v>
      </c>
    </row>
    <row r="81" spans="1:12" ht="60">
      <c r="A81" s="152" t="s">
        <v>11917</v>
      </c>
      <c r="B81" s="152" t="s">
        <v>11928</v>
      </c>
      <c r="C81" s="148" t="s">
        <v>11918</v>
      </c>
      <c r="D81" s="164" t="s">
        <v>11927</v>
      </c>
      <c r="E81" s="156" t="s">
        <v>11926</v>
      </c>
      <c r="F81" s="156" t="s">
        <v>11925</v>
      </c>
      <c r="G81" s="156" t="s">
        <v>11924</v>
      </c>
      <c r="H81" s="172" t="s">
        <v>11923</v>
      </c>
      <c r="I81" s="156" t="s">
        <v>11922</v>
      </c>
      <c r="J81" s="156" t="s">
        <v>11921</v>
      </c>
      <c r="K81" s="156" t="s">
        <v>11920</v>
      </c>
      <c r="L81" s="156" t="s">
        <v>11919</v>
      </c>
    </row>
    <row r="82" spans="1:12">
      <c r="A82" s="152" t="s">
        <v>11970</v>
      </c>
      <c r="B82" s="152" t="s">
        <v>11980</v>
      </c>
      <c r="C82" s="148" t="s">
        <v>11979</v>
      </c>
      <c r="D82" s="164" t="s">
        <v>11975</v>
      </c>
      <c r="E82" s="156" t="s">
        <v>11978</v>
      </c>
      <c r="F82" s="156" t="s">
        <v>11977</v>
      </c>
      <c r="G82" s="156" t="s">
        <v>11976</v>
      </c>
      <c r="H82" s="172" t="s">
        <v>11975</v>
      </c>
      <c r="I82" s="156" t="s">
        <v>11974</v>
      </c>
      <c r="J82" s="156" t="s">
        <v>11973</v>
      </c>
      <c r="K82" s="156" t="s">
        <v>11972</v>
      </c>
      <c r="L82" s="156" t="s">
        <v>11971</v>
      </c>
    </row>
    <row r="83" spans="1:12">
      <c r="A83" s="152" t="s">
        <v>11781</v>
      </c>
      <c r="B83" s="152" t="s">
        <v>11741</v>
      </c>
      <c r="C83" s="148" t="s">
        <v>11738</v>
      </c>
      <c r="D83" s="164" t="s">
        <v>11746</v>
      </c>
      <c r="E83" s="156" t="s">
        <v>11750</v>
      </c>
      <c r="F83" s="156" t="s">
        <v>11754</v>
      </c>
      <c r="G83" s="156" t="s">
        <v>11758</v>
      </c>
      <c r="H83" s="156" t="s">
        <v>11759</v>
      </c>
      <c r="I83" s="156" t="s">
        <v>11766</v>
      </c>
      <c r="J83" s="156" t="s">
        <v>11770</v>
      </c>
      <c r="K83" s="156" t="s">
        <v>11774</v>
      </c>
      <c r="L83" s="156" t="s">
        <v>11778</v>
      </c>
    </row>
    <row r="84" spans="1:12" ht="24.75">
      <c r="A84" s="174" t="s">
        <v>13797</v>
      </c>
      <c r="B84" s="175" t="s">
        <v>13798</v>
      </c>
      <c r="C84" s="210" t="s">
        <v>13799</v>
      </c>
      <c r="D84" s="176" t="s">
        <v>13796</v>
      </c>
      <c r="E84" s="177" t="s">
        <v>13800</v>
      </c>
      <c r="F84" s="177" t="s">
        <v>13801</v>
      </c>
      <c r="G84" s="177" t="s">
        <v>13807</v>
      </c>
      <c r="H84" s="177" t="s">
        <v>13802</v>
      </c>
      <c r="I84" s="177" t="s">
        <v>13803</v>
      </c>
      <c r="J84" s="177" t="s">
        <v>13804</v>
      </c>
      <c r="K84" s="177" t="s">
        <v>13805</v>
      </c>
      <c r="L84" s="178" t="s">
        <v>13806</v>
      </c>
    </row>
    <row r="85" spans="1:12">
      <c r="A85" s="179" t="s">
        <v>13808</v>
      </c>
      <c r="B85" s="152" t="s">
        <v>13809</v>
      </c>
      <c r="C85" s="148" t="s">
        <v>13810</v>
      </c>
      <c r="D85" s="164" t="s">
        <v>13811</v>
      </c>
      <c r="E85" s="156" t="s">
        <v>13812</v>
      </c>
      <c r="F85" s="156" t="s">
        <v>13813</v>
      </c>
      <c r="G85" s="156" t="s">
        <v>13814</v>
      </c>
      <c r="H85" s="156" t="s">
        <v>13815</v>
      </c>
      <c r="I85" s="156" t="s">
        <v>13816</v>
      </c>
      <c r="J85" s="177" t="s">
        <v>13817</v>
      </c>
      <c r="K85" s="156" t="s">
        <v>13818</v>
      </c>
      <c r="L85" s="178" t="s">
        <v>13819</v>
      </c>
    </row>
    <row r="86" spans="1:12">
      <c r="A86" s="179" t="s">
        <v>11715</v>
      </c>
      <c r="B86" s="152" t="s">
        <v>11789</v>
      </c>
      <c r="C86" s="148" t="s">
        <v>11847</v>
      </c>
      <c r="D86" s="164" t="s">
        <v>11813</v>
      </c>
      <c r="E86" s="156" t="s">
        <v>11824</v>
      </c>
      <c r="F86" s="156" t="s">
        <v>11871</v>
      </c>
      <c r="G86" s="156" t="s">
        <v>11795</v>
      </c>
      <c r="H86" s="156" t="s">
        <v>11830</v>
      </c>
      <c r="I86" s="156" t="s">
        <v>11792</v>
      </c>
      <c r="J86" s="177" t="s">
        <v>11877</v>
      </c>
      <c r="K86" s="156" t="s">
        <v>11786</v>
      </c>
      <c r="L86" s="178" t="s">
        <v>11883</v>
      </c>
    </row>
    <row r="87" spans="1:12">
      <c r="A87" s="179" t="s">
        <v>11784</v>
      </c>
      <c r="B87" s="152" t="s">
        <v>11790</v>
      </c>
      <c r="C87" s="148" t="s">
        <v>11848</v>
      </c>
      <c r="D87" s="164" t="s">
        <v>11814</v>
      </c>
      <c r="E87" s="156" t="s">
        <v>11825</v>
      </c>
      <c r="F87" s="156" t="s">
        <v>11872</v>
      </c>
      <c r="G87" s="156" t="s">
        <v>11797</v>
      </c>
      <c r="H87" s="156" t="s">
        <v>11831</v>
      </c>
      <c r="I87" s="156" t="s">
        <v>11793</v>
      </c>
      <c r="J87" s="177" t="s">
        <v>11878</v>
      </c>
      <c r="K87" s="156" t="s">
        <v>11787</v>
      </c>
      <c r="L87" s="178" t="s">
        <v>11884</v>
      </c>
    </row>
    <row r="88" spans="1:12">
      <c r="A88" s="180" t="s">
        <v>11785</v>
      </c>
      <c r="B88" s="181" t="s">
        <v>11791</v>
      </c>
      <c r="C88" s="182" t="s">
        <v>11846</v>
      </c>
      <c r="D88" s="183" t="s">
        <v>11815</v>
      </c>
      <c r="E88" s="184" t="s">
        <v>11826</v>
      </c>
      <c r="F88" s="184" t="s">
        <v>11873</v>
      </c>
      <c r="G88" s="184" t="s">
        <v>11796</v>
      </c>
      <c r="H88" s="184" t="s">
        <v>11832</v>
      </c>
      <c r="I88" s="184" t="s">
        <v>11794</v>
      </c>
      <c r="J88" s="177" t="s">
        <v>11879</v>
      </c>
      <c r="K88" s="184" t="s">
        <v>11788</v>
      </c>
      <c r="L88" s="178" t="s">
        <v>11885</v>
      </c>
    </row>
    <row r="89" spans="1:12">
      <c r="A89" s="152" t="s">
        <v>11710</v>
      </c>
      <c r="B89" s="152" t="s">
        <v>11809</v>
      </c>
      <c r="C89" s="148" t="s">
        <v>11841</v>
      </c>
      <c r="D89" s="164" t="s">
        <v>11818</v>
      </c>
      <c r="E89" s="156" t="s">
        <v>11827</v>
      </c>
      <c r="F89" s="177" t="s">
        <v>11874</v>
      </c>
      <c r="G89" s="177" t="s">
        <v>11838</v>
      </c>
      <c r="H89" s="177" t="s">
        <v>11809</v>
      </c>
      <c r="I89" s="177" t="s">
        <v>11833</v>
      </c>
      <c r="J89" s="177" t="s">
        <v>11880</v>
      </c>
      <c r="K89" s="177" t="str">
        <f>A89</f>
        <v>VEŠKERÉ OBJEDNÁVKY ZASÍLEJTE POUZE NA ADRESU:</v>
      </c>
      <c r="L89" s="177" t="s">
        <v>11886</v>
      </c>
    </row>
    <row r="90" spans="1:12" s="386" customFormat="1">
      <c r="A90" s="383" t="s">
        <v>11802</v>
      </c>
      <c r="B90" s="383" t="s">
        <v>11807</v>
      </c>
      <c r="C90" s="384" t="s">
        <v>11842</v>
      </c>
      <c r="D90" s="385" t="s">
        <v>11812</v>
      </c>
      <c r="E90" s="386" t="str">
        <f>A90</f>
        <v>Česká republika</v>
      </c>
      <c r="F90" s="386" t="str">
        <f t="shared" ref="F90:F98" si="1">B90</f>
        <v>Czech republic</v>
      </c>
      <c r="G90" s="386" t="s">
        <v>11807</v>
      </c>
      <c r="H90" s="386" t="str">
        <f>B90</f>
        <v>Czech republic</v>
      </c>
      <c r="I90" s="386" t="s">
        <v>11834</v>
      </c>
      <c r="J90" s="386" t="str">
        <f t="shared" ref="J90:J98" si="2">B90</f>
        <v>Czech republic</v>
      </c>
      <c r="K90" s="386" t="str">
        <f t="shared" ref="K90:K99" si="3">A90</f>
        <v>Česká republika</v>
      </c>
      <c r="L90" s="386" t="str">
        <f t="shared" ref="L90:L98" si="4">B90</f>
        <v>Czech republic</v>
      </c>
    </row>
    <row r="91" spans="1:12" s="386" customFormat="1">
      <c r="A91" s="383" t="s">
        <v>11803</v>
      </c>
      <c r="B91" s="383" t="s">
        <v>11808</v>
      </c>
      <c r="C91" s="384" t="s">
        <v>11843</v>
      </c>
      <c r="D91" s="385" t="s">
        <v>11816</v>
      </c>
      <c r="E91" s="386" t="str">
        <f>A91</f>
        <v xml:space="preserve">  ○ IČO: 26848643  ○  DIČ: CZ26848643</v>
      </c>
      <c r="F91" s="386" t="str">
        <f t="shared" si="1"/>
        <v xml:space="preserve">  ○ IN: 26848643  ○ VAT: CZ26848643</v>
      </c>
      <c r="G91" s="386" t="s">
        <v>11808</v>
      </c>
      <c r="H91" s="386" t="str">
        <f t="shared" ref="H91:H98" si="5">B91</f>
        <v xml:space="preserve">  ○ IN: 26848643  ○ VAT: CZ26848643</v>
      </c>
      <c r="I91" s="386" t="s">
        <v>11835</v>
      </c>
      <c r="J91" s="386" t="str">
        <f t="shared" si="2"/>
        <v xml:space="preserve">  ○ IN: 26848643  ○ VAT: CZ26848643</v>
      </c>
      <c r="K91" s="386" t="str">
        <f t="shared" si="3"/>
        <v xml:space="preserve">  ○ IČO: 26848643  ○  DIČ: CZ26848643</v>
      </c>
      <c r="L91" s="386" t="str">
        <f t="shared" si="4"/>
        <v xml:space="preserve">  ○ IN: 26848643  ○ VAT: CZ26848643</v>
      </c>
    </row>
    <row r="92" spans="1:12" s="386" customFormat="1">
      <c r="A92" s="383" t="s">
        <v>11798</v>
      </c>
      <c r="B92" s="383" t="s">
        <v>11805</v>
      </c>
      <c r="C92" s="384" t="s">
        <v>11844</v>
      </c>
      <c r="D92" s="385" t="s">
        <v>11810</v>
      </c>
      <c r="E92" s="386" t="s">
        <v>11829</v>
      </c>
      <c r="F92" s="386" t="s">
        <v>11875</v>
      </c>
      <c r="G92" s="386" t="s">
        <v>11839</v>
      </c>
      <c r="H92" s="386" t="str">
        <f t="shared" si="5"/>
        <v>office:</v>
      </c>
      <c r="I92" s="386" t="s">
        <v>11836</v>
      </c>
      <c r="J92" s="386" t="s">
        <v>11881</v>
      </c>
      <c r="K92" s="386" t="str">
        <f t="shared" si="3"/>
        <v>kancelář:</v>
      </c>
      <c r="L92" s="386" t="s">
        <v>11887</v>
      </c>
    </row>
    <row r="93" spans="1:12" s="386" customFormat="1">
      <c r="A93" s="383" t="s">
        <v>11804</v>
      </c>
      <c r="B93" s="383" t="s">
        <v>11806</v>
      </c>
      <c r="C93" s="384" t="s">
        <v>11845</v>
      </c>
      <c r="D93" s="385" t="s">
        <v>11811</v>
      </c>
      <c r="E93" s="386" t="s">
        <v>11828</v>
      </c>
      <c r="F93" s="386" t="s">
        <v>11876</v>
      </c>
      <c r="G93" s="386" t="s">
        <v>11840</v>
      </c>
      <c r="H93" s="386" t="str">
        <f t="shared" si="5"/>
        <v>storage:</v>
      </c>
      <c r="I93" s="386" t="s">
        <v>11837</v>
      </c>
      <c r="J93" s="386" t="s">
        <v>11882</v>
      </c>
      <c r="K93" s="386" t="str">
        <f t="shared" si="3"/>
        <v>sklad:</v>
      </c>
      <c r="L93" s="386" t="s">
        <v>11888</v>
      </c>
    </row>
    <row r="94" spans="1:12" s="386" customFormat="1">
      <c r="A94" s="386" t="s">
        <v>14465</v>
      </c>
      <c r="B94" s="386" t="s">
        <v>14466</v>
      </c>
      <c r="C94" s="384" t="s">
        <v>14467</v>
      </c>
      <c r="D94" s="385" t="s">
        <v>14468</v>
      </c>
      <c r="E94" s="386" t="s">
        <v>14469</v>
      </c>
      <c r="F94" s="386" t="s">
        <v>14470</v>
      </c>
      <c r="G94" s="386" t="s">
        <v>14471</v>
      </c>
      <c r="H94" s="386" t="s">
        <v>14472</v>
      </c>
      <c r="I94" s="386" t="s">
        <v>14473</v>
      </c>
      <c r="J94" s="386" t="s">
        <v>14474</v>
      </c>
      <c r="K94" s="386" t="s">
        <v>14475</v>
      </c>
      <c r="L94" s="386" t="s">
        <v>14476</v>
      </c>
    </row>
    <row r="95" spans="1:12" s="386" customFormat="1">
      <c r="A95" s="383" t="s">
        <v>11799</v>
      </c>
      <c r="B95" s="383" t="s">
        <v>11799</v>
      </c>
      <c r="C95" s="383" t="s">
        <v>11799</v>
      </c>
      <c r="D95" s="385" t="s">
        <v>11819</v>
      </c>
      <c r="E95" s="386" t="str">
        <f>A95</f>
        <v>+420 799 999 333</v>
      </c>
      <c r="F95" s="386" t="str">
        <f t="shared" si="1"/>
        <v>+420 799 999 333</v>
      </c>
      <c r="G95" s="386" t="str">
        <f>A95</f>
        <v>+420 799 999 333</v>
      </c>
      <c r="H95" s="386" t="str">
        <f t="shared" si="5"/>
        <v>+420 799 999 333</v>
      </c>
      <c r="I95" s="386" t="str">
        <f>A95</f>
        <v>+420 799 999 333</v>
      </c>
      <c r="J95" s="386" t="str">
        <f t="shared" si="2"/>
        <v>+420 799 999 333</v>
      </c>
      <c r="K95" s="386" t="str">
        <f t="shared" si="3"/>
        <v>+420 799 999 333</v>
      </c>
      <c r="L95" s="386" t="str">
        <f t="shared" si="4"/>
        <v>+420 799 999 333</v>
      </c>
    </row>
    <row r="96" spans="1:12" s="386" customFormat="1">
      <c r="A96" s="385" t="s">
        <v>11801</v>
      </c>
      <c r="B96" s="385" t="s">
        <v>11801</v>
      </c>
      <c r="C96" s="385" t="s">
        <v>11801</v>
      </c>
      <c r="D96" s="385" t="s">
        <v>11817</v>
      </c>
      <c r="E96" s="386" t="str">
        <f>A96</f>
        <v>+420 799 799 733</v>
      </c>
      <c r="F96" s="386" t="str">
        <f t="shared" si="1"/>
        <v>+420 799 799 733</v>
      </c>
      <c r="G96" s="386" t="str">
        <f>A96</f>
        <v>+420 799 799 733</v>
      </c>
      <c r="H96" s="386" t="str">
        <f t="shared" si="5"/>
        <v>+420 799 799 733</v>
      </c>
      <c r="I96" s="386" t="str">
        <f>A96</f>
        <v>+420 799 799 733</v>
      </c>
      <c r="J96" s="386" t="str">
        <f t="shared" si="2"/>
        <v>+420 799 799 733</v>
      </c>
      <c r="K96" s="386" t="str">
        <f t="shared" si="3"/>
        <v>+420 799 799 733</v>
      </c>
      <c r="L96" s="386" t="str">
        <f t="shared" si="4"/>
        <v>+420 799 799 733</v>
      </c>
    </row>
    <row r="97" spans="1:12" s="386" customFormat="1">
      <c r="A97" s="383" t="s">
        <v>11820</v>
      </c>
      <c r="B97" s="383" t="s">
        <v>11820</v>
      </c>
      <c r="C97" s="383" t="s">
        <v>11820</v>
      </c>
      <c r="D97" s="385" t="s">
        <v>11822</v>
      </c>
      <c r="E97" s="386" t="str">
        <f>A97</f>
        <v>Klásek Trading  s.r.o.  ○</v>
      </c>
      <c r="F97" s="386" t="str">
        <f t="shared" si="1"/>
        <v>Klásek Trading  s.r.o.  ○</v>
      </c>
      <c r="G97" s="386" t="str">
        <f>A97</f>
        <v>Klásek Trading  s.r.o.  ○</v>
      </c>
      <c r="H97" s="386" t="str">
        <f t="shared" si="5"/>
        <v>Klásek Trading  s.r.o.  ○</v>
      </c>
      <c r="I97" s="386" t="str">
        <f>A97</f>
        <v>Klásek Trading  s.r.o.  ○</v>
      </c>
      <c r="J97" s="386" t="str">
        <f t="shared" si="2"/>
        <v>Klásek Trading  s.r.o.  ○</v>
      </c>
      <c r="K97" s="386" t="str">
        <f t="shared" si="3"/>
        <v>Klásek Trading  s.r.o.  ○</v>
      </c>
      <c r="L97" s="387" t="str">
        <f t="shared" si="4"/>
        <v>Klásek Trading  s.r.o.  ○</v>
      </c>
    </row>
    <row r="98" spans="1:12" s="386" customFormat="1">
      <c r="A98" s="383" t="s">
        <v>11821</v>
      </c>
      <c r="B98" s="383" t="s">
        <v>11821</v>
      </c>
      <c r="C98" s="383" t="s">
        <v>11821</v>
      </c>
      <c r="D98" s="385" t="s">
        <v>11823</v>
      </c>
      <c r="E98" s="386" t="str">
        <f>A98</f>
        <v xml:space="preserve"> K Zyfu 1083, Ostrava-Hrabová 720 00 ○</v>
      </c>
      <c r="F98" s="388" t="str">
        <f t="shared" si="1"/>
        <v xml:space="preserve"> K Zyfu 1083, Ostrava-Hrabová 720 00 ○</v>
      </c>
      <c r="G98" s="386" t="str">
        <f>A98</f>
        <v xml:space="preserve"> K Zyfu 1083, Ostrava-Hrabová 720 00 ○</v>
      </c>
      <c r="H98" s="386" t="str">
        <f t="shared" si="5"/>
        <v xml:space="preserve"> K Zyfu 1083, Ostrava-Hrabová 720 00 ○</v>
      </c>
      <c r="I98" s="386" t="str">
        <f>A98</f>
        <v xml:space="preserve"> K Zyfu 1083, Ostrava-Hrabová 720 00 ○</v>
      </c>
      <c r="J98" s="388" t="str">
        <f t="shared" si="2"/>
        <v xml:space="preserve"> K Zyfu 1083, Ostrava-Hrabová 720 00 ○</v>
      </c>
      <c r="K98" s="386" t="str">
        <f t="shared" si="3"/>
        <v xml:space="preserve"> K Zyfu 1083, Ostrava-Hrabová 720 00 ○</v>
      </c>
      <c r="L98" s="389" t="str">
        <f t="shared" si="4"/>
        <v xml:space="preserve"> K Zyfu 1083, Ostrava-Hrabová 720 00 ○</v>
      </c>
    </row>
    <row r="99" spans="1:12" s="386" customFormat="1">
      <c r="A99" s="390" t="s">
        <v>11952</v>
      </c>
      <c r="B99" s="383" t="str">
        <f>A99</f>
        <v>info@klasekpyrotechnics.cz</v>
      </c>
      <c r="C99" s="384" t="str">
        <f>A99</f>
        <v>info@klasekpyrotechnics.cz</v>
      </c>
      <c r="D99" s="391" t="s">
        <v>11985</v>
      </c>
      <c r="E99" s="386" t="str">
        <f>A99</f>
        <v>info@klasekpyrotechnics.cz</v>
      </c>
      <c r="F99" s="392" t="s">
        <v>11969</v>
      </c>
      <c r="G99" s="386" t="str">
        <f>A99</f>
        <v>info@klasekpyrotechnics.cz</v>
      </c>
      <c r="H99" s="386" t="str">
        <f>A99</f>
        <v>info@klasekpyrotechnics.cz</v>
      </c>
      <c r="I99" s="386" t="str">
        <f>A99</f>
        <v>info@klasekpyrotechnics.cz</v>
      </c>
      <c r="J99" s="386" t="str">
        <f>F99</f>
        <v>dariulucky@gmail.com</v>
      </c>
      <c r="K99" s="386" t="str">
        <f t="shared" si="3"/>
        <v>info@klasekpyrotechnics.cz</v>
      </c>
      <c r="L99" s="386" t="str">
        <f>F99</f>
        <v>dariulucky@gmail.com</v>
      </c>
    </row>
    <row r="100" spans="1:12">
      <c r="A100" s="152" t="s">
        <v>12108</v>
      </c>
      <c r="B100" s="152" t="s">
        <v>12118</v>
      </c>
      <c r="C100" t="s">
        <v>12109</v>
      </c>
      <c r="D100" s="164" t="s">
        <v>12117</v>
      </c>
      <c r="E100" s="156" t="s">
        <v>12116</v>
      </c>
      <c r="F100" s="156" t="s">
        <v>12115</v>
      </c>
      <c r="G100" s="156" t="s">
        <v>12114</v>
      </c>
      <c r="H100" s="156" t="s">
        <v>12114</v>
      </c>
      <c r="I100" s="156" t="s">
        <v>12113</v>
      </c>
      <c r="J100" s="156" t="s">
        <v>12112</v>
      </c>
      <c r="K100" t="s">
        <v>12111</v>
      </c>
      <c r="L100" s="156" t="s">
        <v>12110</v>
      </c>
    </row>
    <row r="101" spans="1:12">
      <c r="A101" s="156" t="s">
        <v>12351</v>
      </c>
      <c r="B101" s="152" t="s">
        <v>12302</v>
      </c>
      <c r="C101" s="148" t="s">
        <v>12303</v>
      </c>
      <c r="D101" s="156" t="s">
        <v>12304</v>
      </c>
      <c r="E101" t="s">
        <v>12305</v>
      </c>
      <c r="F101" t="s">
        <v>12306</v>
      </c>
      <c r="G101" t="s">
        <v>12307</v>
      </c>
      <c r="H101" t="s">
        <v>12307</v>
      </c>
      <c r="I101" s="156" t="s">
        <v>12308</v>
      </c>
      <c r="J101" s="156" t="s">
        <v>12309</v>
      </c>
      <c r="K101" t="s">
        <v>12310</v>
      </c>
      <c r="L101" t="s">
        <v>12311</v>
      </c>
    </row>
    <row r="102" spans="1:12">
      <c r="A102" s="156" t="s">
        <v>13568</v>
      </c>
      <c r="B102" s="152" t="s">
        <v>13569</v>
      </c>
      <c r="C102" s="148" t="s">
        <v>13570</v>
      </c>
      <c r="D102" s="156" t="s">
        <v>13571</v>
      </c>
      <c r="E102" t="s">
        <v>13572</v>
      </c>
      <c r="F102" t="s">
        <v>13573</v>
      </c>
      <c r="G102" t="s">
        <v>13574</v>
      </c>
      <c r="H102" t="s">
        <v>13574</v>
      </c>
      <c r="I102" s="156" t="s">
        <v>13575</v>
      </c>
      <c r="J102" s="156" t="s">
        <v>13576</v>
      </c>
      <c r="K102" t="s">
        <v>13577</v>
      </c>
      <c r="L102"/>
    </row>
    <row r="103" spans="1:12">
      <c r="A103" s="156" t="s">
        <v>12751</v>
      </c>
      <c r="B103" s="152" t="s">
        <v>12750</v>
      </c>
      <c r="C103" s="148" t="s">
        <v>12752</v>
      </c>
      <c r="D103" s="156" t="s">
        <v>12753</v>
      </c>
      <c r="E103" t="s">
        <v>12754</v>
      </c>
      <c r="F103" t="s">
        <v>12755</v>
      </c>
      <c r="G103" t="s">
        <v>12756</v>
      </c>
      <c r="H103" t="s">
        <v>12756</v>
      </c>
      <c r="I103" s="156" t="s">
        <v>12757</v>
      </c>
      <c r="J103" s="156" t="s">
        <v>12758</v>
      </c>
      <c r="K103" t="s">
        <v>12759</v>
      </c>
      <c r="L103" t="s">
        <v>12760</v>
      </c>
    </row>
    <row r="104" spans="1:12">
      <c r="A104" s="156" t="s">
        <v>12798</v>
      </c>
      <c r="B104" s="152" t="s">
        <v>12799</v>
      </c>
      <c r="C104" s="148" t="s">
        <v>12800</v>
      </c>
      <c r="D104" s="156" t="s">
        <v>12801</v>
      </c>
      <c r="E104" t="s">
        <v>12802</v>
      </c>
      <c r="F104" t="s">
        <v>12803</v>
      </c>
      <c r="G104" t="s">
        <v>12804</v>
      </c>
      <c r="H104" t="s">
        <v>12805</v>
      </c>
      <c r="I104" s="156" t="s">
        <v>12806</v>
      </c>
      <c r="J104" s="156" t="s">
        <v>12807</v>
      </c>
      <c r="K104" t="s">
        <v>12808</v>
      </c>
      <c r="L104" t="s">
        <v>12809</v>
      </c>
    </row>
    <row r="105" spans="1:12">
      <c r="A105" s="152" t="s">
        <v>12312</v>
      </c>
      <c r="B105" s="152" t="s">
        <v>12313</v>
      </c>
      <c r="C105" s="148" t="s">
        <v>12314</v>
      </c>
      <c r="D105" s="164" t="s">
        <v>12315</v>
      </c>
      <c r="E105" t="s">
        <v>12316</v>
      </c>
      <c r="F105" t="s">
        <v>12317</v>
      </c>
      <c r="G105" t="s">
        <v>12318</v>
      </c>
      <c r="H105" s="156" t="s">
        <v>12318</v>
      </c>
      <c r="I105" s="156" t="s">
        <v>12319</v>
      </c>
      <c r="J105" t="s">
        <v>12320</v>
      </c>
      <c r="K105" t="s">
        <v>12321</v>
      </c>
      <c r="L105" t="s">
        <v>12322</v>
      </c>
    </row>
    <row r="106" spans="1:12">
      <c r="A106" s="152" t="s">
        <v>12770</v>
      </c>
      <c r="B106" s="152" t="s">
        <v>12749</v>
      </c>
      <c r="C106" s="148" t="s">
        <v>12769</v>
      </c>
      <c r="D106" s="164" t="s">
        <v>12768</v>
      </c>
      <c r="E106" t="s">
        <v>12767</v>
      </c>
      <c r="F106" t="s">
        <v>12766</v>
      </c>
      <c r="G106" t="s">
        <v>12765</v>
      </c>
      <c r="H106" s="156" t="s">
        <v>12765</v>
      </c>
      <c r="I106" s="156" t="s">
        <v>12764</v>
      </c>
      <c r="J106" t="s">
        <v>12763</v>
      </c>
      <c r="K106" t="s">
        <v>12762</v>
      </c>
      <c r="L106" t="s">
        <v>12761</v>
      </c>
    </row>
    <row r="107" spans="1:12">
      <c r="A107" s="152" t="s">
        <v>12820</v>
      </c>
      <c r="B107" s="152" t="s">
        <v>12746</v>
      </c>
      <c r="C107" s="148" t="s">
        <v>12819</v>
      </c>
      <c r="D107" s="164" t="s">
        <v>12818</v>
      </c>
      <c r="E107" t="s">
        <v>12817</v>
      </c>
      <c r="F107" t="s">
        <v>12816</v>
      </c>
      <c r="G107" t="s">
        <v>12815</v>
      </c>
      <c r="H107" t="s">
        <v>12814</v>
      </c>
      <c r="I107" s="156" t="s">
        <v>12813</v>
      </c>
      <c r="J107" t="s">
        <v>12811</v>
      </c>
      <c r="K107" t="s">
        <v>12812</v>
      </c>
      <c r="L107" t="s">
        <v>12810</v>
      </c>
    </row>
    <row r="108" spans="1:12">
      <c r="A108" s="152" t="s">
        <v>12821</v>
      </c>
      <c r="B108" s="152" t="s">
        <v>12747</v>
      </c>
      <c r="C108" s="148" t="s">
        <v>12822</v>
      </c>
      <c r="D108" s="164" t="s">
        <v>12823</v>
      </c>
      <c r="E108" t="s">
        <v>12824</v>
      </c>
      <c r="F108" t="s">
        <v>12826</v>
      </c>
      <c r="G108" t="s">
        <v>12825</v>
      </c>
      <c r="H108" t="s">
        <v>12827</v>
      </c>
      <c r="I108" s="156" t="s">
        <v>12828</v>
      </c>
      <c r="J108" t="s">
        <v>12829</v>
      </c>
      <c r="K108" t="s">
        <v>12830</v>
      </c>
      <c r="L108" t="s">
        <v>12831</v>
      </c>
    </row>
    <row r="109" spans="1:12">
      <c r="A109" s="152" t="s">
        <v>12842</v>
      </c>
      <c r="B109" s="152" t="s">
        <v>12748</v>
      </c>
      <c r="C109" s="148" t="s">
        <v>12841</v>
      </c>
      <c r="D109" s="164" t="s">
        <v>12840</v>
      </c>
      <c r="E109" t="s">
        <v>12839</v>
      </c>
      <c r="F109" t="s">
        <v>12838</v>
      </c>
      <c r="G109" t="s">
        <v>12837</v>
      </c>
      <c r="H109" s="156" t="s">
        <v>12836</v>
      </c>
      <c r="I109" s="156" t="s">
        <v>12835</v>
      </c>
      <c r="J109" t="s">
        <v>12834</v>
      </c>
      <c r="K109" t="s">
        <v>12833</v>
      </c>
      <c r="L109" t="s">
        <v>12832</v>
      </c>
    </row>
    <row r="110" spans="1:12">
      <c r="A110" s="152" t="s">
        <v>12859</v>
      </c>
      <c r="B110" s="152" t="s">
        <v>12994</v>
      </c>
      <c r="C110" s="148" t="s">
        <v>12995</v>
      </c>
      <c r="D110" s="164" t="s">
        <v>12998</v>
      </c>
      <c r="E110" t="s">
        <v>12999</v>
      </c>
      <c r="F110" t="s">
        <v>13000</v>
      </c>
      <c r="G110" t="s">
        <v>12996</v>
      </c>
      <c r="H110" t="s">
        <v>12996</v>
      </c>
      <c r="I110" s="156" t="s">
        <v>12997</v>
      </c>
      <c r="J110" t="s">
        <v>13001</v>
      </c>
      <c r="K110" t="s">
        <v>13002</v>
      </c>
      <c r="L110" t="s">
        <v>13003</v>
      </c>
    </row>
    <row r="111" spans="1:12">
      <c r="A111" s="152" t="s">
        <v>12323</v>
      </c>
      <c r="B111" s="152" t="s">
        <v>12323</v>
      </c>
      <c r="C111" s="148" t="s">
        <v>12324</v>
      </c>
      <c r="D111" s="164" t="s">
        <v>13649</v>
      </c>
      <c r="E111" s="156" t="s">
        <v>12325</v>
      </c>
      <c r="F111" s="156" t="s">
        <v>12326</v>
      </c>
      <c r="G111" s="156" t="s">
        <v>12327</v>
      </c>
      <c r="H111" s="156" t="s">
        <v>12328</v>
      </c>
      <c r="I111" s="156" t="s">
        <v>12323</v>
      </c>
      <c r="J111" s="156" t="s">
        <v>12329</v>
      </c>
      <c r="K111" s="156" t="s">
        <v>12330</v>
      </c>
      <c r="L111" s="156" t="s">
        <v>12331</v>
      </c>
    </row>
    <row r="112" spans="1:12">
      <c r="A112" s="152" t="s">
        <v>12332</v>
      </c>
      <c r="B112" s="152" t="s">
        <v>12333</v>
      </c>
      <c r="C112" s="148" t="s">
        <v>12334</v>
      </c>
      <c r="D112" s="164" t="s">
        <v>13650</v>
      </c>
      <c r="E112" s="156" t="s">
        <v>12335</v>
      </c>
      <c r="F112" s="156" t="s">
        <v>12336</v>
      </c>
      <c r="G112" s="156" t="s">
        <v>12337</v>
      </c>
      <c r="H112" s="156" t="s">
        <v>12337</v>
      </c>
      <c r="I112" s="156" t="s">
        <v>12338</v>
      </c>
      <c r="J112" s="156" t="s">
        <v>12339</v>
      </c>
      <c r="K112" s="156" t="s">
        <v>12330</v>
      </c>
      <c r="L112" s="156" t="s">
        <v>12340</v>
      </c>
    </row>
    <row r="113" spans="1:14">
      <c r="A113" s="152" t="s">
        <v>12408</v>
      </c>
      <c r="B113" s="152" t="s">
        <v>12411</v>
      </c>
      <c r="C113" s="148" t="s">
        <v>12409</v>
      </c>
      <c r="D113" t="s">
        <v>12410</v>
      </c>
      <c r="E113" s="156" t="s">
        <v>12412</v>
      </c>
      <c r="F113" s="156" t="s">
        <v>12413</v>
      </c>
      <c r="G113" s="156" t="s">
        <v>12414</v>
      </c>
      <c r="H113" s="156" t="s">
        <v>12415</v>
      </c>
      <c r="I113" s="156" t="s">
        <v>12416</v>
      </c>
      <c r="J113" s="156" t="s">
        <v>12417</v>
      </c>
      <c r="K113" s="156" t="s">
        <v>12418</v>
      </c>
      <c r="L113" s="156" t="s">
        <v>12419</v>
      </c>
    </row>
    <row r="114" spans="1:14">
      <c r="A114" s="152" t="s">
        <v>12420</v>
      </c>
      <c r="B114" s="152" t="s">
        <v>12422</v>
      </c>
      <c r="C114" s="148" t="s">
        <v>12421</v>
      </c>
      <c r="D114" s="164" t="s">
        <v>12423</v>
      </c>
      <c r="E114" s="156" t="s">
        <v>12424</v>
      </c>
      <c r="F114" s="156" t="s">
        <v>12425</v>
      </c>
      <c r="G114" s="156" t="s">
        <v>12426</v>
      </c>
      <c r="H114" s="156" t="s">
        <v>12427</v>
      </c>
      <c r="I114" s="156" t="s">
        <v>12428</v>
      </c>
      <c r="J114" s="156" t="s">
        <v>12429</v>
      </c>
      <c r="K114" s="156" t="s">
        <v>12430</v>
      </c>
      <c r="L114" s="156" t="s">
        <v>12431</v>
      </c>
    </row>
    <row r="115" spans="1:14">
      <c r="A115" s="152" t="s">
        <v>12432</v>
      </c>
      <c r="B115" s="152" t="s">
        <v>12443</v>
      </c>
      <c r="C115" s="148" t="s">
        <v>12433</v>
      </c>
      <c r="D115" s="431" t="s">
        <v>12442</v>
      </c>
      <c r="E115" s="156" t="s">
        <v>12441</v>
      </c>
      <c r="F115" s="156" t="s">
        <v>12440</v>
      </c>
      <c r="G115" s="156" t="s">
        <v>12439</v>
      </c>
      <c r="H115" t="s">
        <v>12438</v>
      </c>
      <c r="I115" s="156" t="s">
        <v>12437</v>
      </c>
      <c r="J115" s="156" t="s">
        <v>12436</v>
      </c>
      <c r="K115" s="156" t="s">
        <v>12435</v>
      </c>
      <c r="L115" s="156" t="s">
        <v>12434</v>
      </c>
    </row>
    <row r="116" spans="1:14">
      <c r="A116" s="152" t="s">
        <v>13532</v>
      </c>
      <c r="B116" s="152" t="s">
        <v>13533</v>
      </c>
      <c r="C116" s="148" t="s">
        <v>13531</v>
      </c>
      <c r="D116" s="164" t="s">
        <v>13534</v>
      </c>
      <c r="E116" s="156" t="s">
        <v>13535</v>
      </c>
      <c r="F116" s="156" t="s">
        <v>13536</v>
      </c>
      <c r="G116" s="156" t="s">
        <v>13537</v>
      </c>
      <c r="H116" s="156" t="s">
        <v>13538</v>
      </c>
      <c r="I116" s="156" t="s">
        <v>13539</v>
      </c>
      <c r="J116" s="156" t="s">
        <v>13540</v>
      </c>
      <c r="K116" s="156" t="s">
        <v>13541</v>
      </c>
      <c r="L116" s="156" t="s">
        <v>13542</v>
      </c>
    </row>
    <row r="117" spans="1:14">
      <c r="A117" s="152" t="s">
        <v>13599</v>
      </c>
      <c r="B117" s="152" t="s">
        <v>13611</v>
      </c>
      <c r="C117" s="148" t="s">
        <v>13610</v>
      </c>
      <c r="D117" s="164" t="s">
        <v>13609</v>
      </c>
      <c r="E117" s="156" t="s">
        <v>13608</v>
      </c>
      <c r="F117" s="156" t="s">
        <v>13607</v>
      </c>
      <c r="G117" s="156" t="s">
        <v>13606</v>
      </c>
      <c r="H117" s="156" t="s">
        <v>13612</v>
      </c>
      <c r="I117" s="156" t="s">
        <v>13605</v>
      </c>
      <c r="J117" s="156" t="s">
        <v>13604</v>
      </c>
      <c r="K117" s="156" t="s">
        <v>13603</v>
      </c>
      <c r="L117" s="156" t="s">
        <v>13602</v>
      </c>
    </row>
    <row r="118" spans="1:14">
      <c r="A118" s="152" t="s">
        <v>13613</v>
      </c>
      <c r="B118" s="152" t="s">
        <v>13614</v>
      </c>
      <c r="C118" s="148" t="s">
        <v>13615</v>
      </c>
      <c r="D118" s="164" t="s">
        <v>13616</v>
      </c>
      <c r="E118" s="156" t="s">
        <v>13617</v>
      </c>
      <c r="F118" s="156" t="s">
        <v>13618</v>
      </c>
      <c r="G118" s="156" t="s">
        <v>13619</v>
      </c>
      <c r="H118" s="156" t="s">
        <v>13620</v>
      </c>
      <c r="I118" s="156" t="s">
        <v>13621</v>
      </c>
      <c r="J118" s="156" t="s">
        <v>13622</v>
      </c>
      <c r="K118" s="156" t="s">
        <v>13623</v>
      </c>
      <c r="L118" s="156" t="s">
        <v>13624</v>
      </c>
      <c r="M118" s="156" t="s">
        <v>24</v>
      </c>
      <c r="N118" s="156" t="s">
        <v>24</v>
      </c>
    </row>
    <row r="119" spans="1:14">
      <c r="A119" s="152" t="s">
        <v>2401</v>
      </c>
      <c r="B119" s="152" t="s">
        <v>13671</v>
      </c>
      <c r="C119" s="148" t="s">
        <v>13670</v>
      </c>
      <c r="D119" s="164" t="s">
        <v>13667</v>
      </c>
      <c r="E119" s="156" t="s">
        <v>13665</v>
      </c>
      <c r="F119" s="156" t="s">
        <v>13663</v>
      </c>
      <c r="G119" s="156" t="s">
        <v>13661</v>
      </c>
      <c r="H119" t="s">
        <v>13659</v>
      </c>
      <c r="I119" s="156" t="s">
        <v>13657</v>
      </c>
      <c r="J119" s="156" t="s">
        <v>13655</v>
      </c>
      <c r="K119" s="156" t="s">
        <v>13653</v>
      </c>
      <c r="L119" s="156" t="s">
        <v>13651</v>
      </c>
    </row>
    <row r="120" spans="1:14">
      <c r="A120" s="152" t="s">
        <v>17</v>
      </c>
      <c r="B120" s="152" t="s">
        <v>13672</v>
      </c>
      <c r="C120" s="148" t="s">
        <v>13669</v>
      </c>
      <c r="D120" s="164" t="s">
        <v>13668</v>
      </c>
      <c r="E120" s="156" t="s">
        <v>13666</v>
      </c>
      <c r="F120" s="156" t="s">
        <v>13664</v>
      </c>
      <c r="G120" s="156" t="s">
        <v>13662</v>
      </c>
      <c r="H120" s="156" t="s">
        <v>13660</v>
      </c>
      <c r="I120" s="156" t="s">
        <v>13658</v>
      </c>
      <c r="J120" s="156" t="s">
        <v>13656</v>
      </c>
      <c r="K120" s="156" t="s">
        <v>13654</v>
      </c>
      <c r="L120" s="156" t="s">
        <v>13652</v>
      </c>
    </row>
    <row r="121" spans="1:14">
      <c r="A121" s="152" t="s">
        <v>13855</v>
      </c>
      <c r="B121" s="152" t="s">
        <v>13860</v>
      </c>
      <c r="C121" s="148" t="s">
        <v>13862</v>
      </c>
      <c r="D121" s="164" t="s">
        <v>13864</v>
      </c>
      <c r="E121" s="156" t="s">
        <v>13867</v>
      </c>
      <c r="F121" s="156" t="s">
        <v>13870</v>
      </c>
      <c r="G121" s="156" t="s">
        <v>13873</v>
      </c>
      <c r="H121" s="156" t="s">
        <v>13873</v>
      </c>
      <c r="I121" s="156" t="s">
        <v>13877</v>
      </c>
      <c r="J121" s="156" t="s">
        <v>13880</v>
      </c>
      <c r="K121" s="156" t="s">
        <v>13883</v>
      </c>
      <c r="L121" s="156" t="s">
        <v>13886</v>
      </c>
    </row>
    <row r="122" spans="1:14">
      <c r="A122" s="152" t="s">
        <v>13856</v>
      </c>
      <c r="B122" s="152" t="s">
        <v>13861</v>
      </c>
      <c r="C122" s="148" t="s">
        <v>13863</v>
      </c>
      <c r="D122" s="164" t="s">
        <v>13865</v>
      </c>
      <c r="E122" s="156" t="s">
        <v>13868</v>
      </c>
      <c r="F122" s="156" t="s">
        <v>13871</v>
      </c>
      <c r="G122" s="156" t="s">
        <v>13874</v>
      </c>
      <c r="H122" s="156" t="s">
        <v>13874</v>
      </c>
      <c r="I122" s="156" t="s">
        <v>13878</v>
      </c>
      <c r="J122" s="156" t="s">
        <v>13881</v>
      </c>
      <c r="K122" s="156" t="s">
        <v>13884</v>
      </c>
      <c r="L122" s="156" t="s">
        <v>13887</v>
      </c>
    </row>
    <row r="123" spans="1:14">
      <c r="A123" s="152" t="s">
        <v>13857</v>
      </c>
      <c r="B123" s="152" t="s">
        <v>13859</v>
      </c>
      <c r="C123" s="148" t="s">
        <v>13858</v>
      </c>
      <c r="D123" s="164" t="s">
        <v>13866</v>
      </c>
      <c r="E123" s="156" t="s">
        <v>13869</v>
      </c>
      <c r="F123" s="156" t="s">
        <v>13872</v>
      </c>
      <c r="G123" s="156" t="s">
        <v>13875</v>
      </c>
      <c r="H123" s="156" t="s">
        <v>13876</v>
      </c>
      <c r="I123" s="156" t="s">
        <v>13879</v>
      </c>
      <c r="J123" s="156" t="s">
        <v>13882</v>
      </c>
      <c r="K123" s="156" t="s">
        <v>13885</v>
      </c>
      <c r="L123" s="156" t="s">
        <v>13888</v>
      </c>
    </row>
    <row r="124" spans="1:14">
      <c r="A124" s="152" t="s">
        <v>14713</v>
      </c>
      <c r="B124" s="152" t="s">
        <v>14718</v>
      </c>
      <c r="C124" s="148" t="s">
        <v>14719</v>
      </c>
      <c r="D124" s="164" t="s">
        <v>14720</v>
      </c>
      <c r="E124" s="156" t="s">
        <v>14721</v>
      </c>
      <c r="F124" s="156" t="s">
        <v>14722</v>
      </c>
      <c r="G124" s="156" t="s">
        <v>14723</v>
      </c>
      <c r="H124" s="156" t="s">
        <v>14724</v>
      </c>
      <c r="I124" s="156" t="s">
        <v>14725</v>
      </c>
      <c r="J124" s="156" t="s">
        <v>14726</v>
      </c>
      <c r="K124" s="156" t="s">
        <v>14727</v>
      </c>
      <c r="L124" s="156" t="s">
        <v>14728</v>
      </c>
    </row>
    <row r="125" spans="1:14">
      <c r="A125" s="152" t="s">
        <v>14735</v>
      </c>
      <c r="B125" s="152" t="s">
        <v>14736</v>
      </c>
      <c r="C125" s="148" t="s">
        <v>14737</v>
      </c>
      <c r="D125" s="164" t="s">
        <v>14738</v>
      </c>
      <c r="E125" s="156" t="s">
        <v>14739</v>
      </c>
      <c r="F125" s="156" t="s">
        <v>14740</v>
      </c>
      <c r="G125" s="156" t="s">
        <v>14741</v>
      </c>
      <c r="H125" t="s">
        <v>14742</v>
      </c>
      <c r="I125" s="156" t="s">
        <v>14743</v>
      </c>
      <c r="J125" s="156" t="s">
        <v>14744</v>
      </c>
      <c r="K125" s="156" t="s">
        <v>14745</v>
      </c>
      <c r="L125" s="156" t="s">
        <v>14746</v>
      </c>
    </row>
    <row r="126" spans="1:14">
      <c r="A126" s="152" t="s">
        <v>14755</v>
      </c>
      <c r="B126" s="152" t="s">
        <v>14766</v>
      </c>
      <c r="C126" s="148" t="s">
        <v>14765</v>
      </c>
      <c r="D126" s="164" t="s">
        <v>14764</v>
      </c>
      <c r="E126" s="156" t="s">
        <v>14763</v>
      </c>
      <c r="F126" s="156" t="s">
        <v>14762</v>
      </c>
      <c r="G126" s="156" t="s">
        <v>14761</v>
      </c>
      <c r="H126" t="s">
        <v>14760</v>
      </c>
      <c r="I126" s="156" t="s">
        <v>14759</v>
      </c>
      <c r="J126" s="156" t="s">
        <v>14758</v>
      </c>
      <c r="K126" s="156" t="s">
        <v>14757</v>
      </c>
      <c r="L126" s="156" t="s">
        <v>14756</v>
      </c>
    </row>
    <row r="127" spans="1:14">
      <c r="A127" s="152"/>
      <c r="B127" s="152"/>
      <c r="C127" s="148"/>
      <c r="D127" s="164"/>
    </row>
    <row r="128" spans="1:14">
      <c r="A128" s="152"/>
      <c r="B128" s="152"/>
      <c r="C128" s="148"/>
      <c r="D128" s="164"/>
    </row>
    <row r="129" spans="1:4">
      <c r="A129" s="152"/>
      <c r="B129" s="152"/>
      <c r="C129" s="148"/>
      <c r="D129" s="164"/>
    </row>
    <row r="130" spans="1:4">
      <c r="A130" s="152"/>
      <c r="B130" s="152"/>
      <c r="C130" s="148"/>
      <c r="D130" s="164"/>
    </row>
    <row r="131" spans="1:4">
      <c r="A131" s="152"/>
      <c r="B131" s="152"/>
      <c r="C131" s="148"/>
      <c r="D131" s="164"/>
    </row>
    <row r="132" spans="1:4">
      <c r="A132" s="152"/>
      <c r="B132" s="152"/>
      <c r="C132" s="148"/>
      <c r="D132" s="164"/>
    </row>
    <row r="133" spans="1:4">
      <c r="A133" s="152"/>
      <c r="B133" s="152"/>
      <c r="C133" s="148"/>
      <c r="D133" s="164"/>
    </row>
    <row r="134" spans="1:4">
      <c r="A134" s="152"/>
      <c r="B134" s="152"/>
      <c r="C134" s="148"/>
      <c r="D134" s="164"/>
    </row>
    <row r="135" spans="1:4">
      <c r="A135" s="152"/>
      <c r="B135" s="152"/>
      <c r="C135" s="148"/>
      <c r="D135" s="164"/>
    </row>
    <row r="136" spans="1:4">
      <c r="A136" s="152"/>
      <c r="B136" s="152"/>
      <c r="C136" s="148"/>
      <c r="D136" s="164"/>
    </row>
    <row r="137" spans="1:4">
      <c r="A137" s="152"/>
      <c r="B137" s="152"/>
      <c r="C137" s="148"/>
      <c r="D137" s="164"/>
    </row>
    <row r="138" spans="1:4">
      <c r="A138" s="152"/>
      <c r="B138" s="152"/>
      <c r="C138" s="148"/>
      <c r="D138" s="164"/>
    </row>
    <row r="139" spans="1:4">
      <c r="A139" s="152"/>
      <c r="B139" s="152"/>
      <c r="C139" s="148"/>
      <c r="D139" s="164"/>
    </row>
    <row r="140" spans="1:4">
      <c r="A140" s="152"/>
      <c r="B140" s="152"/>
      <c r="C140" s="148"/>
      <c r="D140" s="164"/>
    </row>
    <row r="141" spans="1:4">
      <c r="A141" s="152"/>
      <c r="B141" s="152"/>
      <c r="C141" s="148"/>
      <c r="D141" s="164"/>
    </row>
    <row r="142" spans="1:4">
      <c r="A142" s="152"/>
      <c r="B142" s="152"/>
      <c r="C142" s="148"/>
      <c r="D142" s="164"/>
    </row>
    <row r="143" spans="1:4">
      <c r="A143" s="152"/>
      <c r="B143" s="152"/>
      <c r="C143" s="148"/>
      <c r="D143" s="164"/>
    </row>
    <row r="144" spans="1:4">
      <c r="A144" s="152"/>
      <c r="B144" s="152"/>
      <c r="C144" s="148"/>
      <c r="D144" s="164"/>
    </row>
    <row r="145" spans="1:4">
      <c r="A145" s="152"/>
      <c r="B145" s="152"/>
      <c r="C145" s="148"/>
      <c r="D145" s="164"/>
    </row>
    <row r="146" spans="1:4">
      <c r="A146" s="152"/>
      <c r="B146" s="152"/>
      <c r="C146" s="148"/>
      <c r="D146" s="164"/>
    </row>
  </sheetData>
  <sortState xmlns:xlrd2="http://schemas.microsoft.com/office/spreadsheetml/2017/richdata2" ref="A3:A40">
    <sortCondition ref="A1:A40"/>
  </sortState>
  <conditionalFormatting sqref="A1:A93 A95 A97:A100 A105:A146 B97:C98">
    <cfRule type="duplicateValues" dxfId="4" priority="5340"/>
  </conditionalFormatting>
  <conditionalFormatting sqref="B95">
    <cfRule type="duplicateValues" dxfId="3" priority="2"/>
  </conditionalFormatting>
  <conditionalFormatting sqref="C95">
    <cfRule type="duplicateValues" dxfId="2"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P1474"/>
  <sheetViews>
    <sheetView zoomScaleNormal="100" workbookViewId="0">
      <pane xSplit="1" ySplit="8" topLeftCell="B345" activePane="bottomRight" state="frozen"/>
      <selection pane="topRight" activeCell="B1" sqref="B1"/>
      <selection pane="bottomLeft" activeCell="A9" sqref="A9"/>
      <selection pane="bottomRight" activeCell="O380" sqref="O380"/>
    </sheetView>
  </sheetViews>
  <sheetFormatPr defaultRowHeight="15" customHeight="1"/>
  <sheetData>
    <row r="1" spans="1:16">
      <c r="A1" s="29"/>
      <c r="B1" s="30" t="s">
        <v>3153</v>
      </c>
      <c r="C1" s="31"/>
      <c r="D1" s="31"/>
      <c r="E1" s="31"/>
      <c r="F1" s="31"/>
      <c r="G1" s="31"/>
      <c r="H1" s="31"/>
      <c r="I1" s="31"/>
      <c r="J1" s="31"/>
      <c r="K1" s="31"/>
      <c r="L1" s="31"/>
      <c r="M1" s="31"/>
      <c r="P1" s="121"/>
    </row>
    <row r="2" spans="1:16">
      <c r="A2" s="29"/>
      <c r="B2" s="29" t="s">
        <v>3154</v>
      </c>
      <c r="C2" s="31"/>
      <c r="D2" s="31"/>
      <c r="E2" s="31"/>
      <c r="F2" s="31"/>
      <c r="G2" s="31"/>
      <c r="H2" s="31"/>
      <c r="I2" s="31"/>
      <c r="J2" s="31"/>
      <c r="K2" s="31"/>
      <c r="L2" s="31"/>
      <c r="M2" s="31"/>
      <c r="P2" s="121"/>
    </row>
    <row r="3" spans="1:16">
      <c r="A3" s="29"/>
      <c r="B3" s="29" t="s">
        <v>11200</v>
      </c>
      <c r="C3" s="31"/>
      <c r="D3" s="31"/>
      <c r="E3" s="31"/>
      <c r="F3" s="31"/>
      <c r="G3" s="31"/>
      <c r="H3" s="31"/>
      <c r="I3" s="31"/>
      <c r="J3" s="31"/>
      <c r="K3" s="31"/>
      <c r="L3" s="31"/>
      <c r="M3" s="31"/>
      <c r="P3" s="121"/>
    </row>
    <row r="4" spans="1:16">
      <c r="A4" s="29"/>
      <c r="B4" s="29" t="s">
        <v>0</v>
      </c>
      <c r="C4" s="31"/>
      <c r="D4" s="31"/>
      <c r="E4" s="31"/>
      <c r="F4" s="31"/>
      <c r="G4" s="31"/>
      <c r="H4" s="31"/>
      <c r="I4" s="31"/>
      <c r="J4" s="31"/>
      <c r="K4" s="31"/>
      <c r="L4" s="31"/>
      <c r="M4" s="31"/>
      <c r="P4" s="121"/>
    </row>
    <row r="5" spans="1:16" ht="15.75" thickBot="1">
      <c r="A5" s="32">
        <v>1</v>
      </c>
      <c r="B5" s="32">
        <v>96</v>
      </c>
      <c r="C5" s="32">
        <v>19</v>
      </c>
      <c r="D5" s="32">
        <v>97</v>
      </c>
      <c r="E5" s="32">
        <v>139</v>
      </c>
      <c r="F5" s="32">
        <v>140</v>
      </c>
      <c r="G5" s="32">
        <v>141</v>
      </c>
      <c r="H5" s="32">
        <v>142</v>
      </c>
      <c r="I5" s="32">
        <v>143</v>
      </c>
      <c r="J5" s="32">
        <v>144</v>
      </c>
      <c r="K5" s="32">
        <v>158</v>
      </c>
      <c r="L5" s="32">
        <v>159</v>
      </c>
      <c r="M5" s="32">
        <v>157</v>
      </c>
      <c r="P5" s="121"/>
    </row>
    <row r="6" spans="1:16">
      <c r="A6" s="40" t="s">
        <v>1</v>
      </c>
      <c r="B6" s="41" t="s">
        <v>9</v>
      </c>
      <c r="C6" s="42" t="s">
        <v>8</v>
      </c>
      <c r="D6" s="42" t="s">
        <v>10</v>
      </c>
      <c r="E6" s="42" t="s">
        <v>3155</v>
      </c>
      <c r="F6" s="42" t="s">
        <v>3156</v>
      </c>
      <c r="G6" s="43" t="s">
        <v>3157</v>
      </c>
      <c r="H6" s="44" t="s">
        <v>3155</v>
      </c>
      <c r="I6" s="43" t="s">
        <v>3158</v>
      </c>
      <c r="J6" s="45" t="s">
        <v>3159</v>
      </c>
      <c r="K6" s="46" t="s">
        <v>8955</v>
      </c>
      <c r="L6" s="46" t="s">
        <v>9823</v>
      </c>
      <c r="M6" s="46"/>
      <c r="P6" s="121"/>
    </row>
    <row r="7" spans="1:16">
      <c r="A7" s="47" t="s">
        <v>16</v>
      </c>
      <c r="B7" s="48" t="s">
        <v>3089</v>
      </c>
      <c r="C7" s="49" t="s">
        <v>3090</v>
      </c>
      <c r="D7" s="49" t="s">
        <v>3091</v>
      </c>
      <c r="E7" s="49" t="s">
        <v>8573</v>
      </c>
      <c r="F7" s="49" t="s">
        <v>8570</v>
      </c>
      <c r="G7" s="50" t="s">
        <v>8981</v>
      </c>
      <c r="H7" s="51" t="s">
        <v>9834</v>
      </c>
      <c r="I7" s="50" t="s">
        <v>3093</v>
      </c>
      <c r="J7" s="52" t="s">
        <v>3092</v>
      </c>
      <c r="K7" s="53" t="s">
        <v>8926</v>
      </c>
      <c r="L7" s="53" t="s">
        <v>9833</v>
      </c>
      <c r="M7" s="53" t="s">
        <v>9835</v>
      </c>
      <c r="P7" s="121"/>
    </row>
    <row r="8" spans="1:16">
      <c r="A8" s="47"/>
      <c r="B8" s="48" t="s">
        <v>11866</v>
      </c>
      <c r="C8" s="49" t="s">
        <v>3090</v>
      </c>
      <c r="D8" s="49" t="s">
        <v>11867</v>
      </c>
      <c r="E8" s="49" t="s">
        <v>11868</v>
      </c>
      <c r="F8" s="49" t="s">
        <v>8570</v>
      </c>
      <c r="G8" s="49" t="s">
        <v>11869</v>
      </c>
      <c r="H8" s="54" t="s">
        <v>8571</v>
      </c>
      <c r="I8" s="49" t="s">
        <v>8572</v>
      </c>
      <c r="J8" s="54" t="s">
        <v>8574</v>
      </c>
      <c r="K8" s="55" t="s">
        <v>9279</v>
      </c>
      <c r="L8" s="55" t="s">
        <v>11870</v>
      </c>
      <c r="M8" s="55" t="s">
        <v>9844</v>
      </c>
      <c r="P8" s="121"/>
    </row>
    <row r="9" spans="1:16" ht="15.75" thickBot="1">
      <c r="A9" s="56"/>
      <c r="B9" s="57" t="s">
        <v>9</v>
      </c>
      <c r="C9" s="58" t="s">
        <v>8</v>
      </c>
      <c r="D9" s="57" t="s">
        <v>10</v>
      </c>
      <c r="E9" s="58" t="s">
        <v>3155</v>
      </c>
      <c r="F9" s="58" t="s">
        <v>3156</v>
      </c>
      <c r="G9" s="58" t="s">
        <v>3157</v>
      </c>
      <c r="H9" s="59" t="s">
        <v>3155</v>
      </c>
      <c r="I9" s="58" t="s">
        <v>3158</v>
      </c>
      <c r="J9" s="59" t="s">
        <v>3159</v>
      </c>
      <c r="K9" s="60" t="s">
        <v>8955</v>
      </c>
      <c r="L9" s="60" t="s">
        <v>9823</v>
      </c>
      <c r="M9" s="60"/>
      <c r="P9" s="121"/>
    </row>
    <row r="10" spans="1:16" ht="36.75" customHeight="1" thickTop="1">
      <c r="A10" s="213" t="s">
        <v>2466</v>
      </c>
      <c r="B10" s="37" t="s">
        <v>2806</v>
      </c>
      <c r="C10" s="38" t="s">
        <v>2909</v>
      </c>
      <c r="D10" s="39" t="s">
        <v>2989</v>
      </c>
      <c r="E10" s="38" t="s">
        <v>3160</v>
      </c>
      <c r="F10" s="37" t="s">
        <v>3161</v>
      </c>
      <c r="G10" s="37" t="s">
        <v>3162</v>
      </c>
      <c r="H10" s="37" t="s">
        <v>3163</v>
      </c>
      <c r="I10" s="37" t="s">
        <v>3164</v>
      </c>
      <c r="J10" s="37" t="s">
        <v>3165</v>
      </c>
      <c r="K10" s="37" t="s">
        <v>9280</v>
      </c>
      <c r="L10" s="37" t="s">
        <v>10535</v>
      </c>
      <c r="M10" s="37" t="s">
        <v>9877</v>
      </c>
      <c r="P10" s="121"/>
    </row>
    <row r="11" spans="1:16" ht="45" customHeight="1">
      <c r="A11" s="213" t="s">
        <v>2657</v>
      </c>
      <c r="B11" s="213" t="s">
        <v>2806</v>
      </c>
      <c r="C11" s="221" t="s">
        <v>2909</v>
      </c>
      <c r="D11" s="221" t="s">
        <v>2989</v>
      </c>
      <c r="E11" s="221" t="s">
        <v>3160</v>
      </c>
      <c r="F11" s="213" t="s">
        <v>3161</v>
      </c>
      <c r="G11" s="213" t="s">
        <v>3162</v>
      </c>
      <c r="H11" s="213" t="s">
        <v>3163</v>
      </c>
      <c r="I11" s="213" t="s">
        <v>3164</v>
      </c>
      <c r="J11" s="213" t="s">
        <v>3165</v>
      </c>
      <c r="K11" s="213" t="s">
        <v>9280</v>
      </c>
      <c r="L11" s="213" t="s">
        <v>10535</v>
      </c>
      <c r="M11" s="213" t="s">
        <v>9877</v>
      </c>
      <c r="P11" s="121"/>
    </row>
    <row r="12" spans="1:16" ht="36.75" customHeight="1">
      <c r="A12" s="213" t="s">
        <v>2468</v>
      </c>
      <c r="B12" s="213" t="s">
        <v>2807</v>
      </c>
      <c r="C12" s="221" t="s">
        <v>2910</v>
      </c>
      <c r="D12" s="221" t="s">
        <v>2990</v>
      </c>
      <c r="E12" s="221" t="s">
        <v>3166</v>
      </c>
      <c r="F12" s="213" t="s">
        <v>3167</v>
      </c>
      <c r="G12" s="213" t="s">
        <v>3168</v>
      </c>
      <c r="H12" s="213" t="s">
        <v>3169</v>
      </c>
      <c r="I12" s="213" t="s">
        <v>3170</v>
      </c>
      <c r="J12" s="213" t="s">
        <v>3171</v>
      </c>
      <c r="K12" s="213" t="s">
        <v>9281</v>
      </c>
      <c r="L12" s="213" t="s">
        <v>10536</v>
      </c>
      <c r="M12" s="213" t="s">
        <v>9878</v>
      </c>
      <c r="P12" s="121"/>
    </row>
    <row r="13" spans="1:16" ht="36.75" customHeight="1">
      <c r="A13" s="213" t="s">
        <v>2658</v>
      </c>
      <c r="B13" s="213" t="s">
        <v>2807</v>
      </c>
      <c r="C13" s="221" t="s">
        <v>2910</v>
      </c>
      <c r="D13" s="221" t="s">
        <v>2990</v>
      </c>
      <c r="E13" s="221" t="s">
        <v>3166</v>
      </c>
      <c r="F13" s="213" t="s">
        <v>3167</v>
      </c>
      <c r="G13" s="213" t="s">
        <v>3168</v>
      </c>
      <c r="H13" s="213" t="s">
        <v>3169</v>
      </c>
      <c r="I13" s="213" t="s">
        <v>3170</v>
      </c>
      <c r="J13" s="213" t="s">
        <v>3171</v>
      </c>
      <c r="K13" s="213" t="s">
        <v>9281</v>
      </c>
      <c r="L13" s="213" t="s">
        <v>10536</v>
      </c>
      <c r="M13" s="213" t="s">
        <v>9878</v>
      </c>
      <c r="P13" s="121"/>
    </row>
    <row r="14" spans="1:16" ht="36.75" customHeight="1">
      <c r="A14" s="213" t="s">
        <v>20</v>
      </c>
      <c r="B14" s="213" t="s">
        <v>27</v>
      </c>
      <c r="C14" s="221" t="s">
        <v>26</v>
      </c>
      <c r="D14" s="221" t="s">
        <v>28</v>
      </c>
      <c r="E14" s="221" t="s">
        <v>3172</v>
      </c>
      <c r="F14" s="213" t="s">
        <v>3173</v>
      </c>
      <c r="G14" s="213" t="s">
        <v>3174</v>
      </c>
      <c r="H14" s="213" t="s">
        <v>3175</v>
      </c>
      <c r="I14" s="213" t="s">
        <v>3176</v>
      </c>
      <c r="J14" s="213" t="s">
        <v>3177</v>
      </c>
      <c r="K14" s="213" t="s">
        <v>9282</v>
      </c>
      <c r="L14" s="213" t="s">
        <v>10537</v>
      </c>
      <c r="M14" s="213" t="s">
        <v>9879</v>
      </c>
      <c r="P14" s="121"/>
    </row>
    <row r="15" spans="1:16" ht="36.75" customHeight="1">
      <c r="A15" s="213" t="s">
        <v>29</v>
      </c>
      <c r="B15" s="213" t="s">
        <v>27</v>
      </c>
      <c r="C15" s="221" t="s">
        <v>26</v>
      </c>
      <c r="D15" s="221" t="s">
        <v>28</v>
      </c>
      <c r="E15" s="221" t="s">
        <v>3172</v>
      </c>
      <c r="F15" s="213" t="s">
        <v>3173</v>
      </c>
      <c r="G15" s="213" t="s">
        <v>3174</v>
      </c>
      <c r="H15" s="213" t="s">
        <v>3175</v>
      </c>
      <c r="I15" s="213" t="s">
        <v>3176</v>
      </c>
      <c r="J15" s="213" t="s">
        <v>3177</v>
      </c>
      <c r="K15" s="213" t="s">
        <v>9282</v>
      </c>
      <c r="L15" s="213" t="s">
        <v>10537</v>
      </c>
      <c r="M15" s="213" t="s">
        <v>9879</v>
      </c>
      <c r="P15" s="121"/>
    </row>
    <row r="16" spans="1:16" ht="36.75" customHeight="1">
      <c r="A16" s="213" t="s">
        <v>2470</v>
      </c>
      <c r="B16" s="213" t="s">
        <v>2808</v>
      </c>
      <c r="C16" s="221" t="s">
        <v>2911</v>
      </c>
      <c r="D16" s="221" t="s">
        <v>2991</v>
      </c>
      <c r="E16" s="221" t="s">
        <v>3178</v>
      </c>
      <c r="F16" s="213" t="s">
        <v>3179</v>
      </c>
      <c r="G16" s="213" t="s">
        <v>3180</v>
      </c>
      <c r="H16" s="213" t="s">
        <v>3181</v>
      </c>
      <c r="I16" s="213" t="s">
        <v>3182</v>
      </c>
      <c r="J16" s="213" t="s">
        <v>3183</v>
      </c>
      <c r="K16" s="213" t="s">
        <v>9283</v>
      </c>
      <c r="L16" s="213" t="s">
        <v>10538</v>
      </c>
      <c r="M16" s="213" t="s">
        <v>9880</v>
      </c>
      <c r="P16" s="121"/>
    </row>
    <row r="17" spans="1:16" ht="36.75" customHeight="1">
      <c r="A17" s="213" t="s">
        <v>30</v>
      </c>
      <c r="B17" s="213" t="s">
        <v>33</v>
      </c>
      <c r="C17" s="221" t="s">
        <v>32</v>
      </c>
      <c r="D17" s="221" t="s">
        <v>34</v>
      </c>
      <c r="E17" s="221" t="s">
        <v>3184</v>
      </c>
      <c r="F17" s="213" t="s">
        <v>3173</v>
      </c>
      <c r="G17" s="213" t="s">
        <v>3185</v>
      </c>
      <c r="H17" s="213" t="s">
        <v>3186</v>
      </c>
      <c r="I17" s="213" t="s">
        <v>3187</v>
      </c>
      <c r="J17" s="213" t="s">
        <v>3188</v>
      </c>
      <c r="K17" s="213" t="s">
        <v>9284</v>
      </c>
      <c r="L17" s="213" t="s">
        <v>10539</v>
      </c>
      <c r="M17" s="213" t="s">
        <v>9881</v>
      </c>
      <c r="P17" s="121"/>
    </row>
    <row r="18" spans="1:16" ht="36.75" customHeight="1">
      <c r="A18" s="214" t="s">
        <v>3189</v>
      </c>
      <c r="B18" s="213" t="s">
        <v>3192</v>
      </c>
      <c r="C18" s="221" t="s">
        <v>3191</v>
      </c>
      <c r="D18" s="221" t="s">
        <v>3193</v>
      </c>
      <c r="E18" s="221" t="s">
        <v>3194</v>
      </c>
      <c r="F18" s="213" t="s">
        <v>3195</v>
      </c>
      <c r="G18" s="213" t="s">
        <v>3196</v>
      </c>
      <c r="H18" s="213" t="s">
        <v>3197</v>
      </c>
      <c r="I18" s="213" t="s">
        <v>3198</v>
      </c>
      <c r="J18" s="213" t="s">
        <v>3199</v>
      </c>
      <c r="K18" s="213" t="s">
        <v>9285</v>
      </c>
      <c r="L18" s="213" t="s">
        <v>10540</v>
      </c>
      <c r="M18" s="213" t="s">
        <v>9882</v>
      </c>
      <c r="P18" s="121"/>
    </row>
    <row r="19" spans="1:16" ht="36.75" customHeight="1">
      <c r="A19" s="213" t="s">
        <v>36</v>
      </c>
      <c r="B19" s="213" t="s">
        <v>39</v>
      </c>
      <c r="C19" s="221" t="s">
        <v>38</v>
      </c>
      <c r="D19" s="221" t="s">
        <v>40</v>
      </c>
      <c r="E19" s="221" t="s">
        <v>3200</v>
      </c>
      <c r="F19" s="213" t="s">
        <v>3201</v>
      </c>
      <c r="G19" s="213" t="s">
        <v>3202</v>
      </c>
      <c r="H19" s="213" t="s">
        <v>3203</v>
      </c>
      <c r="I19" s="213" t="s">
        <v>3176</v>
      </c>
      <c r="J19" s="213" t="s">
        <v>3204</v>
      </c>
      <c r="K19" s="213" t="s">
        <v>9286</v>
      </c>
      <c r="L19" s="213" t="s">
        <v>10541</v>
      </c>
      <c r="M19" s="213" t="s">
        <v>9883</v>
      </c>
      <c r="P19" s="121"/>
    </row>
    <row r="20" spans="1:16">
      <c r="A20" s="213" t="s">
        <v>41</v>
      </c>
      <c r="B20" s="213" t="s">
        <v>39</v>
      </c>
      <c r="C20" s="221" t="s">
        <v>38</v>
      </c>
      <c r="D20" s="221" t="s">
        <v>40</v>
      </c>
      <c r="E20" s="221" t="s">
        <v>3200</v>
      </c>
      <c r="F20" s="213" t="s">
        <v>3201</v>
      </c>
      <c r="G20" s="213" t="s">
        <v>3202</v>
      </c>
      <c r="H20" s="213" t="s">
        <v>3203</v>
      </c>
      <c r="I20" s="213" t="s">
        <v>3176</v>
      </c>
      <c r="J20" s="213" t="s">
        <v>3204</v>
      </c>
      <c r="K20" s="213" t="s">
        <v>9286</v>
      </c>
      <c r="L20" s="213" t="s">
        <v>10541</v>
      </c>
      <c r="M20" s="213" t="s">
        <v>9883</v>
      </c>
      <c r="P20" s="121"/>
    </row>
    <row r="21" spans="1:16">
      <c r="A21" s="213" t="s">
        <v>43</v>
      </c>
      <c r="B21" s="213" t="s">
        <v>2809</v>
      </c>
      <c r="C21" s="221" t="s">
        <v>2912</v>
      </c>
      <c r="D21" s="221" t="s">
        <v>2992</v>
      </c>
      <c r="E21" s="221" t="s">
        <v>3205</v>
      </c>
      <c r="F21" s="213" t="s">
        <v>3206</v>
      </c>
      <c r="G21" s="213" t="s">
        <v>3207</v>
      </c>
      <c r="H21" s="213" t="s">
        <v>3208</v>
      </c>
      <c r="I21" s="213" t="s">
        <v>3209</v>
      </c>
      <c r="J21" s="213" t="s">
        <v>3210</v>
      </c>
      <c r="K21" s="213" t="s">
        <v>9287</v>
      </c>
      <c r="L21" s="213" t="s">
        <v>10542</v>
      </c>
      <c r="M21" s="213" t="s">
        <v>9884</v>
      </c>
      <c r="P21" s="121"/>
    </row>
    <row r="22" spans="1:16">
      <c r="A22" s="213" t="s">
        <v>11995</v>
      </c>
      <c r="B22" s="213" t="s">
        <v>13015</v>
      </c>
      <c r="C22" s="221" t="s">
        <v>13016</v>
      </c>
      <c r="D22" s="221" t="s">
        <v>13017</v>
      </c>
      <c r="E22" s="221" t="s">
        <v>12188</v>
      </c>
      <c r="F22" s="213" t="s">
        <v>12189</v>
      </c>
      <c r="G22" s="213" t="s">
        <v>12190</v>
      </c>
      <c r="H22" s="213" t="s">
        <v>12191</v>
      </c>
      <c r="I22" s="213" t="s">
        <v>13018</v>
      </c>
      <c r="J22" s="213" t="s">
        <v>12192</v>
      </c>
      <c r="K22" s="213" t="s">
        <v>12194</v>
      </c>
      <c r="L22" s="213" t="s">
        <v>12195</v>
      </c>
      <c r="M22" s="213" t="s">
        <v>12193</v>
      </c>
      <c r="P22" s="121"/>
    </row>
    <row r="23" spans="1:16">
      <c r="A23" s="213" t="s">
        <v>12352</v>
      </c>
      <c r="B23" s="213" t="s">
        <v>12196</v>
      </c>
      <c r="C23" s="221" t="s">
        <v>84</v>
      </c>
      <c r="D23" s="221" t="s">
        <v>86</v>
      </c>
      <c r="E23" s="221" t="s">
        <v>3211</v>
      </c>
      <c r="F23" s="213" t="s">
        <v>3212</v>
      </c>
      <c r="G23" s="213" t="s">
        <v>3213</v>
      </c>
      <c r="H23" s="213" t="s">
        <v>3214</v>
      </c>
      <c r="I23" s="213" t="s">
        <v>3215</v>
      </c>
      <c r="J23" s="213" t="s">
        <v>3216</v>
      </c>
      <c r="K23" s="213" t="s">
        <v>9288</v>
      </c>
      <c r="L23" s="213" t="s">
        <v>10543</v>
      </c>
      <c r="M23" s="213" t="s">
        <v>9885</v>
      </c>
      <c r="P23" s="121"/>
    </row>
    <row r="24" spans="1:16">
      <c r="A24" s="213" t="s">
        <v>12353</v>
      </c>
      <c r="B24" s="213" t="s">
        <v>12196</v>
      </c>
      <c r="C24" s="221" t="s">
        <v>84</v>
      </c>
      <c r="D24" s="221" t="s">
        <v>86</v>
      </c>
      <c r="E24" s="221" t="s">
        <v>3211</v>
      </c>
      <c r="F24" s="213" t="s">
        <v>3212</v>
      </c>
      <c r="G24" s="213" t="s">
        <v>3213</v>
      </c>
      <c r="H24" s="213" t="s">
        <v>3214</v>
      </c>
      <c r="I24" s="213" t="s">
        <v>3215</v>
      </c>
      <c r="J24" s="213" t="s">
        <v>3216</v>
      </c>
      <c r="K24" s="213" t="s">
        <v>9288</v>
      </c>
      <c r="L24" s="213" t="s">
        <v>10543</v>
      </c>
      <c r="M24" s="213" t="s">
        <v>9885</v>
      </c>
      <c r="P24" s="121"/>
    </row>
    <row r="25" spans="1:16">
      <c r="A25" s="213" t="s">
        <v>81</v>
      </c>
      <c r="B25" s="213" t="s">
        <v>85</v>
      </c>
      <c r="C25" s="221" t="s">
        <v>84</v>
      </c>
      <c r="D25" s="221" t="s">
        <v>86</v>
      </c>
      <c r="E25" s="221" t="s">
        <v>3211</v>
      </c>
      <c r="F25" s="213" t="s">
        <v>3212</v>
      </c>
      <c r="G25" s="213" t="s">
        <v>3213</v>
      </c>
      <c r="H25" s="213" t="s">
        <v>3214</v>
      </c>
      <c r="I25" s="213" t="s">
        <v>3215</v>
      </c>
      <c r="J25" s="213" t="s">
        <v>3216</v>
      </c>
      <c r="K25" s="213" t="s">
        <v>9288</v>
      </c>
      <c r="L25" s="213" t="s">
        <v>10543</v>
      </c>
      <c r="M25" s="213" t="s">
        <v>9885</v>
      </c>
      <c r="P25" s="121"/>
    </row>
    <row r="26" spans="1:16">
      <c r="A26" s="214" t="s">
        <v>87</v>
      </c>
      <c r="B26" s="213" t="s">
        <v>91</v>
      </c>
      <c r="C26" s="221" t="s">
        <v>90</v>
      </c>
      <c r="D26" s="221" t="s">
        <v>92</v>
      </c>
      <c r="E26" s="221" t="s">
        <v>3217</v>
      </c>
      <c r="F26" s="213" t="s">
        <v>3218</v>
      </c>
      <c r="G26" s="213" t="s">
        <v>3219</v>
      </c>
      <c r="H26" s="213" t="s">
        <v>3220</v>
      </c>
      <c r="I26" s="213" t="s">
        <v>3221</v>
      </c>
      <c r="J26" s="213" t="s">
        <v>3222</v>
      </c>
      <c r="K26" s="213" t="s">
        <v>9289</v>
      </c>
      <c r="L26" s="213" t="s">
        <v>10544</v>
      </c>
      <c r="M26" s="213" t="s">
        <v>9886</v>
      </c>
      <c r="P26" s="121"/>
    </row>
    <row r="27" spans="1:16">
      <c r="A27" s="214" t="s">
        <v>93</v>
      </c>
      <c r="B27" s="213" t="s">
        <v>91</v>
      </c>
      <c r="C27" s="221" t="s">
        <v>90</v>
      </c>
      <c r="D27" s="221" t="s">
        <v>92</v>
      </c>
      <c r="E27" s="221" t="s">
        <v>3217</v>
      </c>
      <c r="F27" s="213" t="s">
        <v>3218</v>
      </c>
      <c r="G27" s="213" t="s">
        <v>3219</v>
      </c>
      <c r="H27" s="213" t="s">
        <v>3220</v>
      </c>
      <c r="I27" s="213" t="s">
        <v>3221</v>
      </c>
      <c r="J27" s="213" t="s">
        <v>3222</v>
      </c>
      <c r="K27" s="213" t="s">
        <v>9289</v>
      </c>
      <c r="L27" s="213" t="s">
        <v>10544</v>
      </c>
      <c r="M27" s="213" t="s">
        <v>9886</v>
      </c>
      <c r="P27" s="121"/>
    </row>
    <row r="28" spans="1:16">
      <c r="A28" s="214" t="s">
        <v>4579</v>
      </c>
      <c r="B28" s="213" t="s">
        <v>4582</v>
      </c>
      <c r="C28" s="221" t="s">
        <v>4581</v>
      </c>
      <c r="D28" s="221" t="s">
        <v>4583</v>
      </c>
      <c r="E28" s="221" t="s">
        <v>4584</v>
      </c>
      <c r="F28" s="213" t="s">
        <v>4585</v>
      </c>
      <c r="G28" s="213" t="s">
        <v>4586</v>
      </c>
      <c r="H28" s="213" t="s">
        <v>4587</v>
      </c>
      <c r="I28" s="213" t="s">
        <v>4588</v>
      </c>
      <c r="J28" s="213" t="s">
        <v>4589</v>
      </c>
      <c r="K28" s="213" t="s">
        <v>9487</v>
      </c>
      <c r="L28" s="213" t="s">
        <v>10738</v>
      </c>
      <c r="M28" s="213" t="s">
        <v>10089</v>
      </c>
      <c r="P28" s="121"/>
    </row>
    <row r="29" spans="1:16">
      <c r="A29" s="213" t="s">
        <v>99</v>
      </c>
      <c r="B29" s="213" t="s">
        <v>102</v>
      </c>
      <c r="C29" s="221" t="s">
        <v>101</v>
      </c>
      <c r="D29" s="221" t="s">
        <v>103</v>
      </c>
      <c r="E29" s="221" t="s">
        <v>3223</v>
      </c>
      <c r="F29" s="213" t="s">
        <v>3224</v>
      </c>
      <c r="G29" s="213" t="s">
        <v>3225</v>
      </c>
      <c r="H29" s="213" t="s">
        <v>3226</v>
      </c>
      <c r="I29" s="213" t="s">
        <v>3227</v>
      </c>
      <c r="J29" s="213" t="s">
        <v>3228</v>
      </c>
      <c r="K29" s="213" t="s">
        <v>9290</v>
      </c>
      <c r="L29" s="213" t="s">
        <v>10545</v>
      </c>
      <c r="M29" s="213" t="s">
        <v>9887</v>
      </c>
      <c r="P29" s="121"/>
    </row>
    <row r="30" spans="1:16">
      <c r="A30" s="213" t="s">
        <v>104</v>
      </c>
      <c r="B30" s="213" t="s">
        <v>102</v>
      </c>
      <c r="C30" s="221" t="s">
        <v>101</v>
      </c>
      <c r="D30" s="221" t="s">
        <v>103</v>
      </c>
      <c r="E30" s="221" t="s">
        <v>3223</v>
      </c>
      <c r="F30" s="213" t="s">
        <v>3224</v>
      </c>
      <c r="G30" s="213" t="s">
        <v>3225</v>
      </c>
      <c r="H30" s="213" t="s">
        <v>3226</v>
      </c>
      <c r="I30" s="213" t="s">
        <v>3227</v>
      </c>
      <c r="J30" s="213" t="s">
        <v>3228</v>
      </c>
      <c r="K30" s="213" t="s">
        <v>9290</v>
      </c>
      <c r="L30" s="213" t="s">
        <v>10545</v>
      </c>
      <c r="M30" s="213" t="s">
        <v>9887</v>
      </c>
      <c r="P30" s="121"/>
    </row>
    <row r="31" spans="1:16">
      <c r="A31" s="213" t="s">
        <v>3229</v>
      </c>
      <c r="B31" s="213" t="s">
        <v>102</v>
      </c>
      <c r="C31" s="221" t="s">
        <v>101</v>
      </c>
      <c r="D31" s="221" t="s">
        <v>103</v>
      </c>
      <c r="E31" s="221" t="s">
        <v>3223</v>
      </c>
      <c r="F31" s="213" t="s">
        <v>3224</v>
      </c>
      <c r="G31" s="213" t="s">
        <v>3225</v>
      </c>
      <c r="H31" s="213" t="s">
        <v>3226</v>
      </c>
      <c r="I31" s="213" t="s">
        <v>3227</v>
      </c>
      <c r="J31" s="213" t="s">
        <v>3228</v>
      </c>
      <c r="K31" s="213" t="s">
        <v>9290</v>
      </c>
      <c r="L31" s="213" t="s">
        <v>10545</v>
      </c>
      <c r="M31" s="213" t="s">
        <v>9887</v>
      </c>
      <c r="P31" s="121"/>
    </row>
    <row r="32" spans="1:16">
      <c r="A32" s="213" t="s">
        <v>105</v>
      </c>
      <c r="B32" s="213" t="s">
        <v>109</v>
      </c>
      <c r="C32" s="221" t="s">
        <v>108</v>
      </c>
      <c r="D32" s="221" t="s">
        <v>110</v>
      </c>
      <c r="E32" s="221" t="s">
        <v>3230</v>
      </c>
      <c r="F32" s="213" t="s">
        <v>3231</v>
      </c>
      <c r="G32" s="213" t="s">
        <v>3232</v>
      </c>
      <c r="H32" s="213" t="s">
        <v>3233</v>
      </c>
      <c r="I32" s="213" t="s">
        <v>3234</v>
      </c>
      <c r="J32" s="213" t="s">
        <v>3235</v>
      </c>
      <c r="K32" s="213" t="s">
        <v>9291</v>
      </c>
      <c r="L32" s="213" t="s">
        <v>10546</v>
      </c>
      <c r="M32" s="213" t="s">
        <v>9888</v>
      </c>
      <c r="P32" s="121"/>
    </row>
    <row r="33" spans="1:16">
      <c r="A33" s="213" t="s">
        <v>111</v>
      </c>
      <c r="B33" s="213" t="s">
        <v>109</v>
      </c>
      <c r="C33" s="221" t="s">
        <v>108</v>
      </c>
      <c r="D33" s="221" t="s">
        <v>110</v>
      </c>
      <c r="E33" s="221" t="s">
        <v>3230</v>
      </c>
      <c r="F33" s="213" t="s">
        <v>3231</v>
      </c>
      <c r="G33" s="213" t="s">
        <v>3232</v>
      </c>
      <c r="H33" s="213" t="s">
        <v>3233</v>
      </c>
      <c r="I33" s="213" t="s">
        <v>3234</v>
      </c>
      <c r="J33" s="213" t="s">
        <v>3235</v>
      </c>
      <c r="K33" s="213" t="s">
        <v>9291</v>
      </c>
      <c r="L33" s="213" t="s">
        <v>10546</v>
      </c>
      <c r="M33" s="213" t="s">
        <v>9888</v>
      </c>
      <c r="P33" s="121"/>
    </row>
    <row r="34" spans="1:16">
      <c r="A34" s="213" t="s">
        <v>11916</v>
      </c>
      <c r="B34" s="213" t="s">
        <v>12198</v>
      </c>
      <c r="C34" s="221" t="s">
        <v>12197</v>
      </c>
      <c r="D34" s="221" t="s">
        <v>12199</v>
      </c>
      <c r="E34" s="221" t="s">
        <v>3236</v>
      </c>
      <c r="F34" s="213" t="s">
        <v>12200</v>
      </c>
      <c r="G34" s="213" t="s">
        <v>12201</v>
      </c>
      <c r="H34" s="213" t="s">
        <v>3239</v>
      </c>
      <c r="I34" s="213" t="s">
        <v>3240</v>
      </c>
      <c r="J34" s="213" t="s">
        <v>3241</v>
      </c>
      <c r="K34" s="213" t="s">
        <v>9292</v>
      </c>
      <c r="L34" s="213" t="s">
        <v>10547</v>
      </c>
      <c r="M34" s="213" t="s">
        <v>9889</v>
      </c>
      <c r="P34" s="121"/>
    </row>
    <row r="35" spans="1:16">
      <c r="A35" s="213" t="s">
        <v>116</v>
      </c>
      <c r="B35" s="213" t="s">
        <v>114</v>
      </c>
      <c r="C35" s="221" t="s">
        <v>113</v>
      </c>
      <c r="D35" s="221" t="s">
        <v>115</v>
      </c>
      <c r="E35" s="221" t="s">
        <v>3236</v>
      </c>
      <c r="F35" s="213" t="s">
        <v>3237</v>
      </c>
      <c r="G35" s="213" t="s">
        <v>3238</v>
      </c>
      <c r="H35" s="213" t="s">
        <v>3239</v>
      </c>
      <c r="I35" s="213" t="s">
        <v>3240</v>
      </c>
      <c r="J35" s="213" t="s">
        <v>3241</v>
      </c>
      <c r="K35" s="222" t="s">
        <v>9292</v>
      </c>
      <c r="L35" s="213" t="s">
        <v>10547</v>
      </c>
      <c r="M35" s="213" t="s">
        <v>9889</v>
      </c>
      <c r="P35" s="121"/>
    </row>
    <row r="36" spans="1:16">
      <c r="A36" s="213" t="s">
        <v>11999</v>
      </c>
      <c r="B36" s="213" t="s">
        <v>12203</v>
      </c>
      <c r="C36" s="221" t="s">
        <v>12202</v>
      </c>
      <c r="D36" s="221" t="s">
        <v>13410</v>
      </c>
      <c r="E36" s="221" t="s">
        <v>13402</v>
      </c>
      <c r="F36" s="213" t="s">
        <v>13403</v>
      </c>
      <c r="G36" s="213" t="s">
        <v>13404</v>
      </c>
      <c r="H36" s="213" t="s">
        <v>13402</v>
      </c>
      <c r="I36" s="213" t="s">
        <v>13405</v>
      </c>
      <c r="J36" s="213" t="s">
        <v>13409</v>
      </c>
      <c r="K36" s="222" t="s">
        <v>13406</v>
      </c>
      <c r="L36" s="213" t="s">
        <v>13407</v>
      </c>
      <c r="M36" s="213" t="s">
        <v>13408</v>
      </c>
      <c r="P36" s="121"/>
    </row>
    <row r="37" spans="1:16">
      <c r="A37" s="214" t="s">
        <v>118</v>
      </c>
      <c r="B37" s="213" t="s">
        <v>122</v>
      </c>
      <c r="C37" s="221" t="s">
        <v>121</v>
      </c>
      <c r="D37" s="221" t="s">
        <v>123</v>
      </c>
      <c r="E37" s="221" t="s">
        <v>3242</v>
      </c>
      <c r="F37" s="213" t="s">
        <v>3243</v>
      </c>
      <c r="G37" s="213" t="s">
        <v>3244</v>
      </c>
      <c r="H37" s="213" t="s">
        <v>3245</v>
      </c>
      <c r="I37" s="213" t="s">
        <v>3246</v>
      </c>
      <c r="J37" s="213" t="s">
        <v>3247</v>
      </c>
      <c r="K37" s="213" t="s">
        <v>9293</v>
      </c>
      <c r="L37" s="213" t="s">
        <v>10548</v>
      </c>
      <c r="M37" s="213" t="s">
        <v>9890</v>
      </c>
      <c r="P37" s="121"/>
    </row>
    <row r="38" spans="1:16">
      <c r="A38" s="213" t="s">
        <v>124</v>
      </c>
      <c r="B38" s="213" t="s">
        <v>122</v>
      </c>
      <c r="C38" s="221" t="s">
        <v>121</v>
      </c>
      <c r="D38" s="221" t="s">
        <v>123</v>
      </c>
      <c r="E38" s="221" t="s">
        <v>3242</v>
      </c>
      <c r="F38" s="213" t="s">
        <v>3243</v>
      </c>
      <c r="G38" s="213" t="s">
        <v>3244</v>
      </c>
      <c r="H38" s="213" t="s">
        <v>3245</v>
      </c>
      <c r="I38" s="213" t="s">
        <v>3246</v>
      </c>
      <c r="J38" s="213" t="s">
        <v>3247</v>
      </c>
      <c r="K38" s="213" t="s">
        <v>9293</v>
      </c>
      <c r="L38" s="213" t="s">
        <v>10548</v>
      </c>
      <c r="M38" s="213" t="s">
        <v>9890</v>
      </c>
      <c r="P38" s="121"/>
    </row>
    <row r="39" spans="1:16">
      <c r="A39" s="214" t="s">
        <v>2480</v>
      </c>
      <c r="B39" s="213" t="s">
        <v>2810</v>
      </c>
      <c r="C39" s="221" t="s">
        <v>2913</v>
      </c>
      <c r="D39" s="221" t="s">
        <v>2993</v>
      </c>
      <c r="E39" s="221" t="s">
        <v>3248</v>
      </c>
      <c r="F39" s="213" t="s">
        <v>3249</v>
      </c>
      <c r="G39" s="213" t="s">
        <v>3250</v>
      </c>
      <c r="H39" s="213" t="s">
        <v>3251</v>
      </c>
      <c r="I39" s="213" t="s">
        <v>3252</v>
      </c>
      <c r="J39" s="213" t="s">
        <v>3253</v>
      </c>
      <c r="K39" s="213" t="s">
        <v>9294</v>
      </c>
      <c r="L39" s="213" t="s">
        <v>10549</v>
      </c>
      <c r="M39" s="213" t="s">
        <v>9891</v>
      </c>
      <c r="P39" s="121"/>
    </row>
    <row r="40" spans="1:16">
      <c r="A40" s="213" t="s">
        <v>12354</v>
      </c>
      <c r="B40" s="213" t="s">
        <v>12205</v>
      </c>
      <c r="C40" s="221" t="s">
        <v>12204</v>
      </c>
      <c r="D40" s="221" t="s">
        <v>12206</v>
      </c>
      <c r="E40" s="221" t="s">
        <v>12207</v>
      </c>
      <c r="F40" s="213" t="s">
        <v>12208</v>
      </c>
      <c r="G40" s="213" t="s">
        <v>12209</v>
      </c>
      <c r="H40" s="213" t="s">
        <v>12210</v>
      </c>
      <c r="I40" s="213" t="s">
        <v>12211</v>
      </c>
      <c r="J40" s="213" t="s">
        <v>12212</v>
      </c>
      <c r="K40" s="213" t="s">
        <v>12214</v>
      </c>
      <c r="L40" s="213" t="s">
        <v>12215</v>
      </c>
      <c r="M40" s="213" t="s">
        <v>12213</v>
      </c>
      <c r="P40" s="121"/>
    </row>
    <row r="41" spans="1:16">
      <c r="A41" s="213" t="s">
        <v>129</v>
      </c>
      <c r="B41" s="213" t="s">
        <v>127</v>
      </c>
      <c r="C41" s="221" t="s">
        <v>126</v>
      </c>
      <c r="D41" s="221" t="s">
        <v>128</v>
      </c>
      <c r="E41" s="221" t="s">
        <v>3254</v>
      </c>
      <c r="F41" s="213" t="s">
        <v>3249</v>
      </c>
      <c r="G41" s="213" t="s">
        <v>3255</v>
      </c>
      <c r="H41" s="213" t="s">
        <v>3256</v>
      </c>
      <c r="I41" s="213" t="s">
        <v>3257</v>
      </c>
      <c r="J41" s="213" t="s">
        <v>3258</v>
      </c>
      <c r="K41" s="213" t="s">
        <v>9295</v>
      </c>
      <c r="L41" s="213" t="s">
        <v>10550</v>
      </c>
      <c r="M41" s="213" t="s">
        <v>9892</v>
      </c>
      <c r="P41" s="121"/>
    </row>
    <row r="42" spans="1:16">
      <c r="A42" s="213" t="s">
        <v>132</v>
      </c>
      <c r="B42" s="213" t="s">
        <v>127</v>
      </c>
      <c r="C42" s="221" t="s">
        <v>126</v>
      </c>
      <c r="D42" s="221" t="s">
        <v>128</v>
      </c>
      <c r="E42" s="221" t="s">
        <v>3254</v>
      </c>
      <c r="F42" s="213" t="s">
        <v>3249</v>
      </c>
      <c r="G42" s="213" t="s">
        <v>3255</v>
      </c>
      <c r="H42" s="213" t="s">
        <v>3256</v>
      </c>
      <c r="I42" s="213" t="s">
        <v>3257</v>
      </c>
      <c r="J42" s="213" t="s">
        <v>3258</v>
      </c>
      <c r="K42" s="213" t="s">
        <v>9295</v>
      </c>
      <c r="L42" s="213" t="s">
        <v>10550</v>
      </c>
      <c r="M42" s="213" t="s">
        <v>9892</v>
      </c>
      <c r="P42" s="121"/>
    </row>
    <row r="43" spans="1:16">
      <c r="A43" s="214" t="s">
        <v>133</v>
      </c>
      <c r="B43" s="213" t="s">
        <v>3261</v>
      </c>
      <c r="C43" s="221" t="s">
        <v>3260</v>
      </c>
      <c r="D43" s="221" t="s">
        <v>3262</v>
      </c>
      <c r="E43" s="221" t="s">
        <v>3263</v>
      </c>
      <c r="F43" s="213" t="s">
        <v>3264</v>
      </c>
      <c r="G43" s="213" t="s">
        <v>3265</v>
      </c>
      <c r="H43" s="213" t="s">
        <v>3266</v>
      </c>
      <c r="I43" s="213" t="s">
        <v>3257</v>
      </c>
      <c r="J43" s="213" t="s">
        <v>3267</v>
      </c>
      <c r="K43" s="213" t="s">
        <v>9296</v>
      </c>
      <c r="L43" s="213" t="s">
        <v>10551</v>
      </c>
      <c r="M43" s="213" t="s">
        <v>9893</v>
      </c>
      <c r="P43" s="121"/>
    </row>
    <row r="44" spans="1:16">
      <c r="A44" s="214" t="s">
        <v>135</v>
      </c>
      <c r="B44" s="213" t="s">
        <v>3261</v>
      </c>
      <c r="C44" s="221" t="s">
        <v>3260</v>
      </c>
      <c r="D44" s="221" t="s">
        <v>3262</v>
      </c>
      <c r="E44" s="221" t="s">
        <v>3263</v>
      </c>
      <c r="F44" s="213" t="s">
        <v>3264</v>
      </c>
      <c r="G44" s="213" t="s">
        <v>3265</v>
      </c>
      <c r="H44" s="213" t="s">
        <v>3266</v>
      </c>
      <c r="I44" s="213" t="s">
        <v>3268</v>
      </c>
      <c r="J44" s="213" t="s">
        <v>3267</v>
      </c>
      <c r="K44" s="213" t="s">
        <v>9296</v>
      </c>
      <c r="L44" s="213" t="s">
        <v>10551</v>
      </c>
      <c r="M44" s="213" t="s">
        <v>9893</v>
      </c>
      <c r="P44" s="121"/>
    </row>
    <row r="45" spans="1:16">
      <c r="A45" s="213" t="s">
        <v>47</v>
      </c>
      <c r="B45" s="213" t="s">
        <v>49</v>
      </c>
      <c r="C45" s="221" t="s">
        <v>48</v>
      </c>
      <c r="D45" s="221" t="s">
        <v>50</v>
      </c>
      <c r="E45" s="221" t="s">
        <v>3269</v>
      </c>
      <c r="F45" s="213" t="s">
        <v>3270</v>
      </c>
      <c r="G45" s="213" t="s">
        <v>3271</v>
      </c>
      <c r="H45" s="213" t="s">
        <v>3272</v>
      </c>
      <c r="I45" s="213" t="s">
        <v>3273</v>
      </c>
      <c r="J45" s="213" t="s">
        <v>3274</v>
      </c>
      <c r="K45" s="213" t="s">
        <v>9297</v>
      </c>
      <c r="L45" s="213" t="s">
        <v>10552</v>
      </c>
      <c r="M45" s="213" t="s">
        <v>9894</v>
      </c>
      <c r="P45" s="121"/>
    </row>
    <row r="46" spans="1:16">
      <c r="A46" s="213" t="s">
        <v>51</v>
      </c>
      <c r="B46" s="213" t="s">
        <v>49</v>
      </c>
      <c r="C46" s="221" t="s">
        <v>48</v>
      </c>
      <c r="D46" s="221" t="s">
        <v>50</v>
      </c>
      <c r="E46" s="221" t="s">
        <v>3269</v>
      </c>
      <c r="F46" s="213" t="s">
        <v>3270</v>
      </c>
      <c r="G46" s="213" t="s">
        <v>3271</v>
      </c>
      <c r="H46" s="213" t="s">
        <v>3272</v>
      </c>
      <c r="I46" s="213" t="s">
        <v>3273</v>
      </c>
      <c r="J46" s="213" t="s">
        <v>3274</v>
      </c>
      <c r="K46" s="213" t="s">
        <v>9297</v>
      </c>
      <c r="L46" s="213" t="s">
        <v>10552</v>
      </c>
      <c r="M46" s="213" t="s">
        <v>9894</v>
      </c>
      <c r="P46" s="121"/>
    </row>
    <row r="47" spans="1:16">
      <c r="A47" s="214" t="s">
        <v>3275</v>
      </c>
      <c r="B47" s="213" t="s">
        <v>3278</v>
      </c>
      <c r="C47" s="221" t="s">
        <v>3277</v>
      </c>
      <c r="D47" s="221" t="s">
        <v>3279</v>
      </c>
      <c r="E47" s="221" t="s">
        <v>3280</v>
      </c>
      <c r="F47" s="213" t="s">
        <v>3281</v>
      </c>
      <c r="G47" s="213" t="s">
        <v>3282</v>
      </c>
      <c r="H47" s="213" t="s">
        <v>3283</v>
      </c>
      <c r="I47" s="213" t="s">
        <v>3284</v>
      </c>
      <c r="J47" s="213" t="s">
        <v>3285</v>
      </c>
      <c r="K47" s="213" t="s">
        <v>9298</v>
      </c>
      <c r="L47" s="213" t="s">
        <v>10553</v>
      </c>
      <c r="M47" s="213" t="s">
        <v>9895</v>
      </c>
      <c r="P47" s="121"/>
    </row>
    <row r="48" spans="1:16">
      <c r="A48" s="213" t="s">
        <v>11310</v>
      </c>
      <c r="B48" s="213" t="s">
        <v>3278</v>
      </c>
      <c r="C48" s="221" t="s">
        <v>3277</v>
      </c>
      <c r="D48" s="221" t="s">
        <v>3279</v>
      </c>
      <c r="E48" s="221" t="s">
        <v>3280</v>
      </c>
      <c r="F48" s="213" t="s">
        <v>3281</v>
      </c>
      <c r="G48" s="213" t="s">
        <v>3282</v>
      </c>
      <c r="H48" s="213" t="s">
        <v>3283</v>
      </c>
      <c r="I48" s="213" t="s">
        <v>3284</v>
      </c>
      <c r="J48" s="213" t="s">
        <v>3285</v>
      </c>
      <c r="K48" s="213" t="s">
        <v>9298</v>
      </c>
      <c r="L48" s="213" t="s">
        <v>10553</v>
      </c>
      <c r="M48" s="213" t="s">
        <v>9895</v>
      </c>
      <c r="P48" s="121"/>
    </row>
    <row r="49" spans="1:16">
      <c r="A49" s="213" t="s">
        <v>75</v>
      </c>
      <c r="B49" s="213" t="s">
        <v>79</v>
      </c>
      <c r="C49" s="221" t="s">
        <v>78</v>
      </c>
      <c r="D49" s="221" t="s">
        <v>80</v>
      </c>
      <c r="E49" s="221" t="s">
        <v>3286</v>
      </c>
      <c r="F49" s="213" t="s">
        <v>3287</v>
      </c>
      <c r="G49" s="213" t="s">
        <v>3288</v>
      </c>
      <c r="H49" s="213" t="s">
        <v>3289</v>
      </c>
      <c r="I49" s="213" t="s">
        <v>3290</v>
      </c>
      <c r="J49" s="213" t="s">
        <v>3291</v>
      </c>
      <c r="K49" s="213" t="s">
        <v>9299</v>
      </c>
      <c r="L49" s="213" t="s">
        <v>10554</v>
      </c>
      <c r="M49" s="213" t="s">
        <v>9896</v>
      </c>
      <c r="P49" s="121"/>
    </row>
    <row r="50" spans="1:16">
      <c r="A50" s="213" t="s">
        <v>70</v>
      </c>
      <c r="B50" s="213" t="s">
        <v>73</v>
      </c>
      <c r="C50" s="221" t="s">
        <v>72</v>
      </c>
      <c r="D50" s="221" t="s">
        <v>74</v>
      </c>
      <c r="E50" s="221" t="s">
        <v>3292</v>
      </c>
      <c r="F50" s="213" t="s">
        <v>3293</v>
      </c>
      <c r="G50" s="213" t="s">
        <v>3294</v>
      </c>
      <c r="H50" s="213" t="s">
        <v>3295</v>
      </c>
      <c r="I50" s="213" t="s">
        <v>3296</v>
      </c>
      <c r="J50" s="213" t="s">
        <v>3297</v>
      </c>
      <c r="K50" s="213" t="s">
        <v>9300</v>
      </c>
      <c r="L50" s="213" t="s">
        <v>10555</v>
      </c>
      <c r="M50" s="213" t="s">
        <v>9897</v>
      </c>
      <c r="P50" s="121"/>
    </row>
    <row r="51" spans="1:16">
      <c r="A51" s="213" t="s">
        <v>64</v>
      </c>
      <c r="B51" s="213" t="s">
        <v>68</v>
      </c>
      <c r="C51" s="221" t="s">
        <v>67</v>
      </c>
      <c r="D51" s="221" t="s">
        <v>69</v>
      </c>
      <c r="E51" s="221" t="s">
        <v>3298</v>
      </c>
      <c r="F51" s="213" t="s">
        <v>3299</v>
      </c>
      <c r="G51" s="213" t="s">
        <v>3300</v>
      </c>
      <c r="H51" s="213" t="s">
        <v>3301</v>
      </c>
      <c r="I51" s="213" t="s">
        <v>3198</v>
      </c>
      <c r="J51" s="213" t="s">
        <v>3302</v>
      </c>
      <c r="K51" s="213" t="s">
        <v>9301</v>
      </c>
      <c r="L51" s="213" t="s">
        <v>10556</v>
      </c>
      <c r="M51" s="213" t="s">
        <v>9898</v>
      </c>
      <c r="P51" s="121"/>
    </row>
    <row r="52" spans="1:16">
      <c r="A52" s="213" t="s">
        <v>58</v>
      </c>
      <c r="B52" s="213" t="s">
        <v>62</v>
      </c>
      <c r="C52" s="221" t="s">
        <v>61</v>
      </c>
      <c r="D52" s="221" t="s">
        <v>63</v>
      </c>
      <c r="E52" s="221" t="s">
        <v>3303</v>
      </c>
      <c r="F52" s="213" t="s">
        <v>3304</v>
      </c>
      <c r="G52" s="213" t="s">
        <v>3305</v>
      </c>
      <c r="H52" s="213" t="s">
        <v>3306</v>
      </c>
      <c r="I52" s="213" t="s">
        <v>3307</v>
      </c>
      <c r="J52" s="213" t="s">
        <v>3308</v>
      </c>
      <c r="K52" s="213" t="s">
        <v>9302</v>
      </c>
      <c r="L52" s="213" t="s">
        <v>10557</v>
      </c>
      <c r="M52" s="213" t="s">
        <v>9899</v>
      </c>
      <c r="P52" s="121"/>
    </row>
    <row r="53" spans="1:16">
      <c r="A53" s="214" t="s">
        <v>52</v>
      </c>
      <c r="B53" s="213" t="s">
        <v>56</v>
      </c>
      <c r="C53" s="221" t="s">
        <v>55</v>
      </c>
      <c r="D53" s="221" t="s">
        <v>57</v>
      </c>
      <c r="E53" s="221" t="s">
        <v>3309</v>
      </c>
      <c r="F53" s="213" t="s">
        <v>3310</v>
      </c>
      <c r="G53" s="213" t="s">
        <v>3311</v>
      </c>
      <c r="H53" s="213" t="s">
        <v>3312</v>
      </c>
      <c r="I53" s="213" t="s">
        <v>3313</v>
      </c>
      <c r="J53" s="213" t="s">
        <v>3314</v>
      </c>
      <c r="K53" s="213" t="s">
        <v>9303</v>
      </c>
      <c r="L53" s="213" t="s">
        <v>10558</v>
      </c>
      <c r="M53" s="213" t="s">
        <v>9900</v>
      </c>
      <c r="P53" s="121"/>
    </row>
    <row r="54" spans="1:16">
      <c r="A54" s="214" t="s">
        <v>2472</v>
      </c>
      <c r="B54" s="213" t="s">
        <v>2811</v>
      </c>
      <c r="C54" s="221" t="s">
        <v>2914</v>
      </c>
      <c r="D54" s="221" t="s">
        <v>11201</v>
      </c>
      <c r="E54" s="221" t="s">
        <v>3315</v>
      </c>
      <c r="F54" s="213" t="s">
        <v>3316</v>
      </c>
      <c r="G54" s="213" t="s">
        <v>3317</v>
      </c>
      <c r="H54" s="213" t="s">
        <v>3318</v>
      </c>
      <c r="I54" s="213" t="s">
        <v>3319</v>
      </c>
      <c r="J54" s="213" t="s">
        <v>3320</v>
      </c>
      <c r="K54" s="213" t="s">
        <v>9304</v>
      </c>
      <c r="L54" s="213" t="s">
        <v>10559</v>
      </c>
      <c r="M54" s="213" t="s">
        <v>9901</v>
      </c>
      <c r="P54" s="121"/>
    </row>
    <row r="55" spans="1:16">
      <c r="A55" s="213" t="s">
        <v>2474</v>
      </c>
      <c r="B55" s="213" t="s">
        <v>2812</v>
      </c>
      <c r="C55" s="221" t="s">
        <v>2915</v>
      </c>
      <c r="D55" s="221" t="s">
        <v>11202</v>
      </c>
      <c r="E55" s="221" t="s">
        <v>3321</v>
      </c>
      <c r="F55" s="213" t="s">
        <v>3322</v>
      </c>
      <c r="G55" s="213" t="s">
        <v>3323</v>
      </c>
      <c r="H55" s="213" t="s">
        <v>3324</v>
      </c>
      <c r="I55" s="213" t="s">
        <v>3325</v>
      </c>
      <c r="J55" s="213" t="s">
        <v>3326</v>
      </c>
      <c r="K55" s="222" t="s">
        <v>9305</v>
      </c>
      <c r="L55" s="213" t="s">
        <v>10560</v>
      </c>
      <c r="M55" s="213" t="s">
        <v>9902</v>
      </c>
      <c r="P55" s="121"/>
    </row>
    <row r="56" spans="1:16">
      <c r="A56" s="213" t="s">
        <v>2476</v>
      </c>
      <c r="B56" s="213" t="s">
        <v>2813</v>
      </c>
      <c r="C56" s="221" t="s">
        <v>2916</v>
      </c>
      <c r="D56" s="221" t="s">
        <v>2916</v>
      </c>
      <c r="E56" s="221" t="s">
        <v>3327</v>
      </c>
      <c r="F56" s="213" t="s">
        <v>3328</v>
      </c>
      <c r="G56" s="213" t="s">
        <v>3329</v>
      </c>
      <c r="H56" s="213" t="s">
        <v>3330</v>
      </c>
      <c r="I56" s="213" t="s">
        <v>3331</v>
      </c>
      <c r="J56" s="213" t="s">
        <v>3332</v>
      </c>
      <c r="K56" s="222" t="s">
        <v>9306</v>
      </c>
      <c r="L56" s="213" t="s">
        <v>10561</v>
      </c>
      <c r="M56" s="213" t="s">
        <v>9903</v>
      </c>
      <c r="P56" s="121"/>
    </row>
    <row r="57" spans="1:16">
      <c r="A57" s="213" t="s">
        <v>3333</v>
      </c>
      <c r="B57" s="213" t="s">
        <v>2813</v>
      </c>
      <c r="C57" s="221" t="s">
        <v>2916</v>
      </c>
      <c r="D57" s="221" t="s">
        <v>2916</v>
      </c>
      <c r="E57" s="221" t="s">
        <v>3327</v>
      </c>
      <c r="F57" s="213" t="s">
        <v>3328</v>
      </c>
      <c r="G57" s="213" t="s">
        <v>3329</v>
      </c>
      <c r="H57" s="213" t="s">
        <v>3330</v>
      </c>
      <c r="I57" s="213" t="s">
        <v>3331</v>
      </c>
      <c r="J57" s="213" t="s">
        <v>3334</v>
      </c>
      <c r="K57" s="213" t="s">
        <v>9306</v>
      </c>
      <c r="L57" s="213" t="s">
        <v>10561</v>
      </c>
      <c r="M57" s="213" t="s">
        <v>9903</v>
      </c>
      <c r="P57" s="121"/>
    </row>
    <row r="58" spans="1:16">
      <c r="A58" s="213" t="s">
        <v>3335</v>
      </c>
      <c r="B58" s="213" t="s">
        <v>3338</v>
      </c>
      <c r="C58" s="221" t="s">
        <v>3337</v>
      </c>
      <c r="D58" s="221" t="s">
        <v>3337</v>
      </c>
      <c r="E58" s="221" t="s">
        <v>3339</v>
      </c>
      <c r="F58" s="213" t="s">
        <v>3340</v>
      </c>
      <c r="G58" s="213" t="s">
        <v>3341</v>
      </c>
      <c r="H58" s="213" t="s">
        <v>3342</v>
      </c>
      <c r="I58" s="213" t="s">
        <v>3343</v>
      </c>
      <c r="J58" s="213" t="s">
        <v>3344</v>
      </c>
      <c r="K58" s="213" t="s">
        <v>9307</v>
      </c>
      <c r="L58" s="213" t="s">
        <v>10562</v>
      </c>
      <c r="M58" s="213" t="s">
        <v>9904</v>
      </c>
      <c r="P58" s="121"/>
    </row>
    <row r="59" spans="1:16">
      <c r="A59" s="214" t="s">
        <v>139</v>
      </c>
      <c r="B59" s="213" t="s">
        <v>142</v>
      </c>
      <c r="C59" s="221" t="s">
        <v>2917</v>
      </c>
      <c r="D59" s="213" t="s">
        <v>143</v>
      </c>
      <c r="E59" s="213" t="s">
        <v>3345</v>
      </c>
      <c r="F59" s="213" t="s">
        <v>3346</v>
      </c>
      <c r="G59" s="213" t="s">
        <v>3347</v>
      </c>
      <c r="H59" s="213" t="s">
        <v>3348</v>
      </c>
      <c r="I59" s="213" t="s">
        <v>3349</v>
      </c>
      <c r="J59" s="213" t="s">
        <v>3350</v>
      </c>
      <c r="K59" s="213" t="s">
        <v>9308</v>
      </c>
      <c r="L59" s="213" t="s">
        <v>11695</v>
      </c>
      <c r="M59" s="213" t="s">
        <v>9905</v>
      </c>
      <c r="P59" s="121"/>
    </row>
    <row r="60" spans="1:16">
      <c r="A60" s="214" t="s">
        <v>3351</v>
      </c>
      <c r="B60" s="213" t="s">
        <v>11696</v>
      </c>
      <c r="C60" s="221" t="s">
        <v>11697</v>
      </c>
      <c r="D60" s="221" t="s">
        <v>11698</v>
      </c>
      <c r="E60" s="221" t="s">
        <v>11699</v>
      </c>
      <c r="F60" s="213" t="s">
        <v>11700</v>
      </c>
      <c r="G60" s="213" t="s">
        <v>11307</v>
      </c>
      <c r="H60" s="213" t="s">
        <v>11701</v>
      </c>
      <c r="I60" s="213" t="s">
        <v>11702</v>
      </c>
      <c r="J60" s="213" t="s">
        <v>11703</v>
      </c>
      <c r="K60" s="213" t="s">
        <v>11864</v>
      </c>
      <c r="L60" s="213" t="s">
        <v>11865</v>
      </c>
      <c r="M60" s="213" t="s">
        <v>9906</v>
      </c>
      <c r="P60" s="121"/>
    </row>
    <row r="61" spans="1:16">
      <c r="A61" s="213" t="s">
        <v>11311</v>
      </c>
      <c r="B61" s="213" t="s">
        <v>3354</v>
      </c>
      <c r="C61" s="221" t="s">
        <v>3353</v>
      </c>
      <c r="D61" s="221" t="s">
        <v>3355</v>
      </c>
      <c r="E61" s="221" t="s">
        <v>3356</v>
      </c>
      <c r="F61" s="213" t="s">
        <v>3357</v>
      </c>
      <c r="G61" s="213" t="s">
        <v>11704</v>
      </c>
      <c r="H61" s="213" t="s">
        <v>3358</v>
      </c>
      <c r="I61" s="213" t="s">
        <v>3359</v>
      </c>
      <c r="J61" s="213" t="s">
        <v>3360</v>
      </c>
      <c r="K61" s="213" t="s">
        <v>9309</v>
      </c>
      <c r="L61" s="213" t="s">
        <v>10563</v>
      </c>
      <c r="M61" s="213" t="s">
        <v>11705</v>
      </c>
      <c r="P61" s="121"/>
    </row>
    <row r="62" spans="1:16">
      <c r="A62" s="213" t="s">
        <v>144</v>
      </c>
      <c r="B62" s="213" t="s">
        <v>147</v>
      </c>
      <c r="C62" s="221" t="s">
        <v>2918</v>
      </c>
      <c r="D62" s="221" t="s">
        <v>148</v>
      </c>
      <c r="E62" s="221" t="s">
        <v>3361</v>
      </c>
      <c r="F62" s="213" t="s">
        <v>3362</v>
      </c>
      <c r="G62" s="213" t="s">
        <v>3363</v>
      </c>
      <c r="H62" s="213" t="s">
        <v>3364</v>
      </c>
      <c r="I62" s="213" t="s">
        <v>3365</v>
      </c>
      <c r="J62" s="213" t="s">
        <v>3366</v>
      </c>
      <c r="K62" s="213" t="s">
        <v>9310</v>
      </c>
      <c r="L62" s="213" t="s">
        <v>11706</v>
      </c>
      <c r="M62" s="213" t="s">
        <v>9907</v>
      </c>
      <c r="P62" s="121"/>
    </row>
    <row r="63" spans="1:16">
      <c r="A63" s="213" t="s">
        <v>149</v>
      </c>
      <c r="B63" s="213" t="s">
        <v>147</v>
      </c>
      <c r="C63" s="221" t="s">
        <v>2918</v>
      </c>
      <c r="D63" s="221" t="s">
        <v>148</v>
      </c>
      <c r="E63" s="221" t="s">
        <v>3361</v>
      </c>
      <c r="F63" s="213" t="s">
        <v>3362</v>
      </c>
      <c r="G63" s="213" t="s">
        <v>3363</v>
      </c>
      <c r="H63" s="213" t="s">
        <v>3364</v>
      </c>
      <c r="I63" s="213" t="s">
        <v>3365</v>
      </c>
      <c r="J63" s="213" t="s">
        <v>3366</v>
      </c>
      <c r="K63" s="222" t="s">
        <v>9310</v>
      </c>
      <c r="L63" s="213" t="s">
        <v>11706</v>
      </c>
      <c r="M63" s="213" t="s">
        <v>9907</v>
      </c>
      <c r="P63" s="121"/>
    </row>
    <row r="64" spans="1:16">
      <c r="A64" s="213" t="s">
        <v>2482</v>
      </c>
      <c r="B64" s="213" t="s">
        <v>2814</v>
      </c>
      <c r="C64" s="221" t="s">
        <v>2919</v>
      </c>
      <c r="D64" s="221" t="s">
        <v>2994</v>
      </c>
      <c r="E64" s="221" t="s">
        <v>3367</v>
      </c>
      <c r="F64" s="213" t="s">
        <v>3368</v>
      </c>
      <c r="G64" s="213" t="s">
        <v>3369</v>
      </c>
      <c r="H64" s="213" t="s">
        <v>3370</v>
      </c>
      <c r="I64" s="213" t="s">
        <v>3371</v>
      </c>
      <c r="J64" s="213" t="s">
        <v>3372</v>
      </c>
      <c r="K64" s="213" t="s">
        <v>9311</v>
      </c>
      <c r="L64" s="213" t="s">
        <v>11707</v>
      </c>
      <c r="M64" s="213" t="s">
        <v>9908</v>
      </c>
      <c r="P64" s="121"/>
    </row>
    <row r="65" spans="1:16">
      <c r="A65" s="213" t="s">
        <v>151</v>
      </c>
      <c r="B65" s="213" t="s">
        <v>2815</v>
      </c>
      <c r="C65" s="221" t="s">
        <v>154</v>
      </c>
      <c r="D65" s="221" t="s">
        <v>155</v>
      </c>
      <c r="E65" s="221" t="s">
        <v>3373</v>
      </c>
      <c r="F65" s="213" t="s">
        <v>3374</v>
      </c>
      <c r="G65" s="213" t="s">
        <v>3375</v>
      </c>
      <c r="H65" s="213" t="s">
        <v>3376</v>
      </c>
      <c r="I65" s="213" t="s">
        <v>3377</v>
      </c>
      <c r="J65" s="213" t="s">
        <v>3378</v>
      </c>
      <c r="K65" s="213" t="s">
        <v>9312</v>
      </c>
      <c r="L65" s="213" t="s">
        <v>10564</v>
      </c>
      <c r="M65" s="213" t="s">
        <v>9909</v>
      </c>
      <c r="P65" s="121"/>
    </row>
    <row r="66" spans="1:16">
      <c r="A66" s="213" t="s">
        <v>156</v>
      </c>
      <c r="B66" s="213" t="s">
        <v>162</v>
      </c>
      <c r="C66" s="221" t="s">
        <v>161</v>
      </c>
      <c r="D66" s="221" t="s">
        <v>163</v>
      </c>
      <c r="E66" s="221" t="s">
        <v>3379</v>
      </c>
      <c r="F66" s="213" t="s">
        <v>3380</v>
      </c>
      <c r="G66" s="213" t="s">
        <v>3381</v>
      </c>
      <c r="H66" s="213" t="s">
        <v>3382</v>
      </c>
      <c r="I66" s="213" t="s">
        <v>3383</v>
      </c>
      <c r="J66" s="213" t="s">
        <v>3384</v>
      </c>
      <c r="K66" s="213" t="s">
        <v>9313</v>
      </c>
      <c r="L66" s="213" t="s">
        <v>10565</v>
      </c>
      <c r="M66" s="213" t="s">
        <v>9910</v>
      </c>
      <c r="P66" s="121"/>
    </row>
    <row r="67" spans="1:16">
      <c r="A67" s="213" t="s">
        <v>164</v>
      </c>
      <c r="B67" s="213" t="s">
        <v>168</v>
      </c>
      <c r="C67" s="221" t="s">
        <v>167</v>
      </c>
      <c r="D67" s="221" t="s">
        <v>169</v>
      </c>
      <c r="E67" s="221" t="s">
        <v>3385</v>
      </c>
      <c r="F67" s="213" t="s">
        <v>3386</v>
      </c>
      <c r="G67" s="213" t="s">
        <v>3387</v>
      </c>
      <c r="H67" s="213" t="s">
        <v>3388</v>
      </c>
      <c r="I67" s="213" t="s">
        <v>3389</v>
      </c>
      <c r="J67" s="213" t="s">
        <v>3390</v>
      </c>
      <c r="K67" s="213" t="s">
        <v>9314</v>
      </c>
      <c r="L67" s="213" t="s">
        <v>10566</v>
      </c>
      <c r="M67" s="213" t="s">
        <v>9911</v>
      </c>
      <c r="P67" s="121"/>
    </row>
    <row r="68" spans="1:16">
      <c r="A68" s="213" t="s">
        <v>170</v>
      </c>
      <c r="B68" s="213" t="s">
        <v>173</v>
      </c>
      <c r="C68" s="221" t="s">
        <v>172</v>
      </c>
      <c r="D68" s="221" t="s">
        <v>174</v>
      </c>
      <c r="E68" s="221" t="s">
        <v>3391</v>
      </c>
      <c r="F68" s="213" t="s">
        <v>3392</v>
      </c>
      <c r="G68" s="213" t="s">
        <v>3393</v>
      </c>
      <c r="H68" s="213" t="s">
        <v>3394</v>
      </c>
      <c r="I68" s="213" t="s">
        <v>3395</v>
      </c>
      <c r="J68" s="213" t="s">
        <v>3396</v>
      </c>
      <c r="K68" s="213" t="s">
        <v>9315</v>
      </c>
      <c r="L68" s="213" t="s">
        <v>10567</v>
      </c>
      <c r="M68" s="213" t="s">
        <v>9912</v>
      </c>
      <c r="P68" s="121"/>
    </row>
    <row r="69" spans="1:16">
      <c r="A69" s="213" t="s">
        <v>175</v>
      </c>
      <c r="B69" s="213" t="s">
        <v>3398</v>
      </c>
      <c r="C69" s="221" t="s">
        <v>3397</v>
      </c>
      <c r="D69" s="221" t="s">
        <v>3399</v>
      </c>
      <c r="E69" s="221" t="s">
        <v>3400</v>
      </c>
      <c r="F69" s="213" t="s">
        <v>3401</v>
      </c>
      <c r="G69" s="213" t="s">
        <v>3402</v>
      </c>
      <c r="H69" s="213" t="s">
        <v>3403</v>
      </c>
      <c r="I69" s="213" t="s">
        <v>3404</v>
      </c>
      <c r="J69" s="213" t="s">
        <v>3405</v>
      </c>
      <c r="K69" s="213" t="s">
        <v>9316</v>
      </c>
      <c r="L69" s="213" t="s">
        <v>10568</v>
      </c>
      <c r="M69" s="213" t="s">
        <v>9913</v>
      </c>
      <c r="P69" s="121"/>
    </row>
    <row r="70" spans="1:16">
      <c r="A70" s="213" t="s">
        <v>176</v>
      </c>
      <c r="B70" s="213" t="s">
        <v>180</v>
      </c>
      <c r="C70" s="221" t="s">
        <v>179</v>
      </c>
      <c r="D70" s="221" t="s">
        <v>181</v>
      </c>
      <c r="E70" s="221" t="s">
        <v>3406</v>
      </c>
      <c r="F70" s="213" t="s">
        <v>3407</v>
      </c>
      <c r="G70" s="213" t="s">
        <v>3375</v>
      </c>
      <c r="H70" s="213" t="s">
        <v>3408</v>
      </c>
      <c r="I70" s="213" t="s">
        <v>3409</v>
      </c>
      <c r="J70" s="213" t="s">
        <v>3410</v>
      </c>
      <c r="K70" s="213" t="s">
        <v>9317</v>
      </c>
      <c r="L70" s="213" t="s">
        <v>10569</v>
      </c>
      <c r="M70" s="213" t="s">
        <v>9914</v>
      </c>
      <c r="P70" s="121"/>
    </row>
    <row r="71" spans="1:16">
      <c r="A71" s="213" t="s">
        <v>12002</v>
      </c>
      <c r="B71" s="213" t="s">
        <v>180</v>
      </c>
      <c r="C71" s="221" t="s">
        <v>179</v>
      </c>
      <c r="D71" s="221" t="s">
        <v>181</v>
      </c>
      <c r="E71" s="221" t="s">
        <v>3406</v>
      </c>
      <c r="F71" s="213" t="s">
        <v>3407</v>
      </c>
      <c r="G71" s="213" t="s">
        <v>3375</v>
      </c>
      <c r="H71" s="213" t="s">
        <v>3408</v>
      </c>
      <c r="I71" s="213" t="s">
        <v>3409</v>
      </c>
      <c r="J71" s="213" t="s">
        <v>3410</v>
      </c>
      <c r="K71" s="213" t="s">
        <v>9317</v>
      </c>
      <c r="L71" s="213" t="s">
        <v>10569</v>
      </c>
      <c r="M71" s="213" t="s">
        <v>9914</v>
      </c>
      <c r="P71" s="121"/>
    </row>
    <row r="72" spans="1:16">
      <c r="A72" s="213" t="s">
        <v>182</v>
      </c>
      <c r="B72" s="213" t="s">
        <v>185</v>
      </c>
      <c r="C72" s="221" t="s">
        <v>184</v>
      </c>
      <c r="D72" s="221" t="s">
        <v>186</v>
      </c>
      <c r="E72" s="221" t="s">
        <v>3411</v>
      </c>
      <c r="F72" s="213" t="s">
        <v>3412</v>
      </c>
      <c r="G72" s="213" t="s">
        <v>3413</v>
      </c>
      <c r="H72" s="213" t="s">
        <v>3414</v>
      </c>
      <c r="I72" s="213" t="s">
        <v>3415</v>
      </c>
      <c r="J72" s="213" t="s">
        <v>3416</v>
      </c>
      <c r="K72" s="213" t="s">
        <v>9318</v>
      </c>
      <c r="L72" s="213" t="s">
        <v>10570</v>
      </c>
      <c r="M72" s="213" t="s">
        <v>9915</v>
      </c>
      <c r="P72" s="121"/>
    </row>
    <row r="73" spans="1:16">
      <c r="A73" s="213" t="s">
        <v>187</v>
      </c>
      <c r="B73" s="213" t="s">
        <v>185</v>
      </c>
      <c r="C73" s="221" t="s">
        <v>184</v>
      </c>
      <c r="D73" s="221" t="s">
        <v>186</v>
      </c>
      <c r="E73" s="221" t="s">
        <v>3411</v>
      </c>
      <c r="F73" s="213" t="s">
        <v>3412</v>
      </c>
      <c r="G73" s="213" t="s">
        <v>3413</v>
      </c>
      <c r="H73" s="213" t="s">
        <v>3414</v>
      </c>
      <c r="I73" s="213" t="s">
        <v>3415</v>
      </c>
      <c r="J73" s="213" t="s">
        <v>3416</v>
      </c>
      <c r="K73" s="213" t="s">
        <v>9318</v>
      </c>
      <c r="L73" s="213" t="s">
        <v>10570</v>
      </c>
      <c r="M73" s="213" t="s">
        <v>9915</v>
      </c>
      <c r="P73" s="121"/>
    </row>
    <row r="74" spans="1:16">
      <c r="A74" s="213" t="s">
        <v>12004</v>
      </c>
      <c r="B74" s="213" t="s">
        <v>185</v>
      </c>
      <c r="C74" s="221" t="s">
        <v>184</v>
      </c>
      <c r="D74" s="221" t="s">
        <v>186</v>
      </c>
      <c r="E74" s="221" t="s">
        <v>3411</v>
      </c>
      <c r="F74" s="213" t="s">
        <v>3412</v>
      </c>
      <c r="G74" s="213" t="s">
        <v>3413</v>
      </c>
      <c r="H74" s="213" t="s">
        <v>3414</v>
      </c>
      <c r="I74" s="213" t="s">
        <v>3415</v>
      </c>
      <c r="J74" s="213" t="s">
        <v>3416</v>
      </c>
      <c r="K74" s="213" t="s">
        <v>9318</v>
      </c>
      <c r="L74" s="213" t="s">
        <v>10570</v>
      </c>
      <c r="M74" s="213" t="s">
        <v>9915</v>
      </c>
      <c r="P74" s="121"/>
    </row>
    <row r="75" spans="1:16">
      <c r="A75" s="213" t="s">
        <v>189</v>
      </c>
      <c r="B75" s="213" t="s">
        <v>192</v>
      </c>
      <c r="C75" s="221" t="s">
        <v>191</v>
      </c>
      <c r="D75" s="221" t="s">
        <v>193</v>
      </c>
      <c r="E75" s="221" t="s">
        <v>3417</v>
      </c>
      <c r="F75" s="213" t="s">
        <v>3418</v>
      </c>
      <c r="G75" s="213" t="s">
        <v>3419</v>
      </c>
      <c r="H75" s="213" t="s">
        <v>3420</v>
      </c>
      <c r="I75" s="213" t="s">
        <v>3421</v>
      </c>
      <c r="J75" s="213" t="s">
        <v>3422</v>
      </c>
      <c r="K75" s="213" t="s">
        <v>9319</v>
      </c>
      <c r="L75" s="213" t="s">
        <v>10571</v>
      </c>
      <c r="M75" s="213" t="s">
        <v>9916</v>
      </c>
      <c r="P75" s="121"/>
    </row>
    <row r="76" spans="1:16">
      <c r="A76" s="213" t="s">
        <v>194</v>
      </c>
      <c r="B76" s="213" t="s">
        <v>198</v>
      </c>
      <c r="C76" s="221" t="s">
        <v>197</v>
      </c>
      <c r="D76" s="221" t="s">
        <v>199</v>
      </c>
      <c r="E76" s="221" t="s">
        <v>3423</v>
      </c>
      <c r="F76" s="213" t="s">
        <v>3424</v>
      </c>
      <c r="G76" s="213" t="s">
        <v>3425</v>
      </c>
      <c r="H76" s="213" t="s">
        <v>3426</v>
      </c>
      <c r="I76" s="213" t="s">
        <v>3427</v>
      </c>
      <c r="J76" s="213" t="s">
        <v>3428</v>
      </c>
      <c r="K76" s="213" t="s">
        <v>9320</v>
      </c>
      <c r="L76" s="213" t="s">
        <v>10572</v>
      </c>
      <c r="M76" s="213" t="s">
        <v>9917</v>
      </c>
      <c r="P76" s="121"/>
    </row>
    <row r="77" spans="1:16">
      <c r="A77" s="213" t="s">
        <v>200</v>
      </c>
      <c r="B77" s="213" t="s">
        <v>198</v>
      </c>
      <c r="C77" s="221" t="s">
        <v>197</v>
      </c>
      <c r="D77" s="221" t="s">
        <v>199</v>
      </c>
      <c r="E77" s="221" t="s">
        <v>3423</v>
      </c>
      <c r="F77" s="213" t="s">
        <v>3424</v>
      </c>
      <c r="G77" s="213" t="s">
        <v>3425</v>
      </c>
      <c r="H77" s="213" t="s">
        <v>3426</v>
      </c>
      <c r="I77" s="213" t="s">
        <v>3427</v>
      </c>
      <c r="J77" s="213" t="s">
        <v>3428</v>
      </c>
      <c r="K77" s="213" t="s">
        <v>9320</v>
      </c>
      <c r="L77" s="213" t="s">
        <v>10572</v>
      </c>
      <c r="M77" s="213" t="s">
        <v>9917</v>
      </c>
      <c r="P77" s="121"/>
    </row>
    <row r="78" spans="1:16">
      <c r="A78" s="213" t="s">
        <v>201</v>
      </c>
      <c r="B78" s="213" t="s">
        <v>2816</v>
      </c>
      <c r="C78" s="221" t="s">
        <v>2920</v>
      </c>
      <c r="D78" s="221" t="s">
        <v>2995</v>
      </c>
      <c r="E78" s="221" t="s">
        <v>3429</v>
      </c>
      <c r="F78" s="213" t="s">
        <v>3430</v>
      </c>
      <c r="G78" s="213" t="s">
        <v>3431</v>
      </c>
      <c r="H78" s="213" t="s">
        <v>3432</v>
      </c>
      <c r="I78" s="213" t="s">
        <v>3433</v>
      </c>
      <c r="J78" s="213" t="s">
        <v>3434</v>
      </c>
      <c r="K78" s="213" t="s">
        <v>9321</v>
      </c>
      <c r="L78" s="213" t="s">
        <v>10573</v>
      </c>
      <c r="M78" s="213" t="s">
        <v>9918</v>
      </c>
      <c r="P78" s="121"/>
    </row>
    <row r="79" spans="1:16">
      <c r="A79" s="213" t="s">
        <v>204</v>
      </c>
      <c r="B79" s="213" t="s">
        <v>208</v>
      </c>
      <c r="C79" s="221" t="s">
        <v>207</v>
      </c>
      <c r="D79" s="221" t="s">
        <v>209</v>
      </c>
      <c r="E79" s="221" t="s">
        <v>3435</v>
      </c>
      <c r="F79" s="213" t="s">
        <v>3436</v>
      </c>
      <c r="G79" s="213" t="s">
        <v>3437</v>
      </c>
      <c r="H79" s="213" t="s">
        <v>3438</v>
      </c>
      <c r="I79" s="213" t="s">
        <v>3439</v>
      </c>
      <c r="J79" s="213" t="s">
        <v>3440</v>
      </c>
      <c r="K79" s="213" t="s">
        <v>9322</v>
      </c>
      <c r="L79" s="213" t="s">
        <v>10574</v>
      </c>
      <c r="M79" s="213" t="s">
        <v>9919</v>
      </c>
      <c r="P79" s="121"/>
    </row>
    <row r="80" spans="1:16">
      <c r="A80" s="213" t="s">
        <v>210</v>
      </c>
      <c r="B80" s="213" t="s">
        <v>212</v>
      </c>
      <c r="C80" s="221" t="s">
        <v>211</v>
      </c>
      <c r="D80" s="221" t="s">
        <v>213</v>
      </c>
      <c r="E80" s="221" t="s">
        <v>3441</v>
      </c>
      <c r="F80" s="213" t="s">
        <v>3442</v>
      </c>
      <c r="G80" s="213" t="s">
        <v>3443</v>
      </c>
      <c r="H80" s="213" t="s">
        <v>3444</v>
      </c>
      <c r="I80" s="213" t="s">
        <v>3445</v>
      </c>
      <c r="J80" s="213" t="s">
        <v>3446</v>
      </c>
      <c r="K80" s="213" t="s">
        <v>9323</v>
      </c>
      <c r="L80" s="213" t="s">
        <v>10575</v>
      </c>
      <c r="M80" s="213" t="s">
        <v>9920</v>
      </c>
      <c r="P80" s="121"/>
    </row>
    <row r="81" spans="1:16">
      <c r="A81" s="213" t="s">
        <v>214</v>
      </c>
      <c r="B81" s="213" t="s">
        <v>219</v>
      </c>
      <c r="C81" s="221" t="s">
        <v>218</v>
      </c>
      <c r="D81" s="221" t="s">
        <v>220</v>
      </c>
      <c r="E81" s="221" t="s">
        <v>3447</v>
      </c>
      <c r="F81" s="213" t="s">
        <v>3448</v>
      </c>
      <c r="G81" s="213" t="s">
        <v>3449</v>
      </c>
      <c r="H81" s="213" t="s">
        <v>3450</v>
      </c>
      <c r="I81" s="213" t="s">
        <v>3451</v>
      </c>
      <c r="J81" s="213" t="s">
        <v>3452</v>
      </c>
      <c r="K81" s="213" t="s">
        <v>9324</v>
      </c>
      <c r="L81" s="213" t="s">
        <v>10576</v>
      </c>
      <c r="M81" s="213" t="s">
        <v>9921</v>
      </c>
      <c r="P81" s="121"/>
    </row>
    <row r="82" spans="1:16">
      <c r="A82" s="213" t="s">
        <v>221</v>
      </c>
      <c r="B82" s="213" t="s">
        <v>224</v>
      </c>
      <c r="C82" s="221" t="s">
        <v>223</v>
      </c>
      <c r="D82" s="221" t="s">
        <v>225</v>
      </c>
      <c r="E82" s="221" t="s">
        <v>3453</v>
      </c>
      <c r="F82" s="213" t="s">
        <v>3454</v>
      </c>
      <c r="G82" s="213" t="s">
        <v>3455</v>
      </c>
      <c r="H82" s="213" t="s">
        <v>3456</v>
      </c>
      <c r="I82" s="213" t="s">
        <v>3457</v>
      </c>
      <c r="J82" s="213" t="s">
        <v>3458</v>
      </c>
      <c r="K82" s="213" t="s">
        <v>9325</v>
      </c>
      <c r="L82" s="213" t="s">
        <v>10577</v>
      </c>
      <c r="M82" s="213" t="s">
        <v>9922</v>
      </c>
      <c r="P82" s="121"/>
    </row>
    <row r="83" spans="1:16">
      <c r="A83" s="213" t="s">
        <v>226</v>
      </c>
      <c r="B83" s="213" t="s">
        <v>229</v>
      </c>
      <c r="C83" s="221" t="s">
        <v>228</v>
      </c>
      <c r="D83" s="221" t="s">
        <v>230</v>
      </c>
      <c r="E83" s="221" t="s">
        <v>3459</v>
      </c>
      <c r="F83" s="213" t="s">
        <v>3460</v>
      </c>
      <c r="G83" s="213" t="s">
        <v>3461</v>
      </c>
      <c r="H83" s="213" t="s">
        <v>3462</v>
      </c>
      <c r="I83" s="213" t="s">
        <v>3463</v>
      </c>
      <c r="J83" s="213" t="s">
        <v>3464</v>
      </c>
      <c r="K83" s="213" t="s">
        <v>9326</v>
      </c>
      <c r="L83" s="213" t="s">
        <v>10578</v>
      </c>
      <c r="M83" s="213" t="s">
        <v>9923</v>
      </c>
      <c r="P83" s="121"/>
    </row>
    <row r="84" spans="1:16">
      <c r="A84" s="213" t="s">
        <v>231</v>
      </c>
      <c r="B84" s="213" t="s">
        <v>235</v>
      </c>
      <c r="C84" s="221" t="s">
        <v>234</v>
      </c>
      <c r="D84" s="221" t="s">
        <v>236</v>
      </c>
      <c r="E84" s="221" t="s">
        <v>3465</v>
      </c>
      <c r="F84" s="213" t="s">
        <v>3466</v>
      </c>
      <c r="G84" s="213" t="s">
        <v>3467</v>
      </c>
      <c r="H84" s="213" t="s">
        <v>3468</v>
      </c>
      <c r="I84" s="213" t="s">
        <v>3469</v>
      </c>
      <c r="J84" s="213" t="s">
        <v>3470</v>
      </c>
      <c r="K84" s="213" t="s">
        <v>9327</v>
      </c>
      <c r="L84" s="213" t="s">
        <v>10579</v>
      </c>
      <c r="M84" s="213" t="s">
        <v>9924</v>
      </c>
      <c r="P84" s="121"/>
    </row>
    <row r="85" spans="1:16">
      <c r="A85" s="213" t="s">
        <v>2973</v>
      </c>
      <c r="B85" s="213" t="s">
        <v>2975</v>
      </c>
      <c r="C85" s="221" t="s">
        <v>2983</v>
      </c>
      <c r="D85" s="221" t="s">
        <v>3017</v>
      </c>
      <c r="E85" s="221" t="s">
        <v>5036</v>
      </c>
      <c r="F85" s="213" t="s">
        <v>5037</v>
      </c>
      <c r="G85" s="213" t="s">
        <v>5038</v>
      </c>
      <c r="H85" s="213" t="s">
        <v>5039</v>
      </c>
      <c r="I85" s="213" t="s">
        <v>5040</v>
      </c>
      <c r="J85" s="213" t="s">
        <v>5041</v>
      </c>
      <c r="K85" s="213"/>
      <c r="L85" s="213" t="s">
        <v>10812</v>
      </c>
      <c r="M85" s="213" t="s">
        <v>10164</v>
      </c>
      <c r="P85" s="121"/>
    </row>
    <row r="86" spans="1:16">
      <c r="A86" s="213" t="s">
        <v>237</v>
      </c>
      <c r="B86" s="213" t="s">
        <v>242</v>
      </c>
      <c r="C86" s="221" t="s">
        <v>241</v>
      </c>
      <c r="D86" s="221" t="s">
        <v>243</v>
      </c>
      <c r="E86" s="221" t="s">
        <v>3471</v>
      </c>
      <c r="F86" s="213" t="s">
        <v>3472</v>
      </c>
      <c r="G86" s="213" t="s">
        <v>3473</v>
      </c>
      <c r="H86" s="213" t="s">
        <v>3474</v>
      </c>
      <c r="I86" s="213" t="s">
        <v>3475</v>
      </c>
      <c r="J86" s="213" t="s">
        <v>3476</v>
      </c>
      <c r="K86" s="213" t="s">
        <v>9328</v>
      </c>
      <c r="L86" s="213" t="s">
        <v>10580</v>
      </c>
      <c r="M86" s="213" t="s">
        <v>9925</v>
      </c>
      <c r="P86" s="121"/>
    </row>
    <row r="87" spans="1:16">
      <c r="A87" s="213" t="s">
        <v>13472</v>
      </c>
      <c r="B87" s="213" t="s">
        <v>13543</v>
      </c>
      <c r="C87" s="221" t="s">
        <v>13544</v>
      </c>
      <c r="D87" s="221" t="s">
        <v>13545</v>
      </c>
      <c r="E87" s="221" t="s">
        <v>13546</v>
      </c>
      <c r="F87" s="213" t="s">
        <v>13547</v>
      </c>
      <c r="G87" s="213" t="s">
        <v>13548</v>
      </c>
      <c r="H87" s="213" t="s">
        <v>13549</v>
      </c>
      <c r="I87" s="213" t="s">
        <v>13550</v>
      </c>
      <c r="J87" s="213" t="s">
        <v>13551</v>
      </c>
      <c r="K87" s="213" t="s">
        <v>13553</v>
      </c>
      <c r="L87" s="213" t="s">
        <v>13554</v>
      </c>
      <c r="M87" s="213" t="s">
        <v>13552</v>
      </c>
      <c r="P87" s="121"/>
    </row>
    <row r="88" spans="1:16">
      <c r="A88" s="213" t="s">
        <v>244</v>
      </c>
      <c r="B88" s="213" t="s">
        <v>247</v>
      </c>
      <c r="C88" s="221" t="s">
        <v>246</v>
      </c>
      <c r="D88" s="221" t="s">
        <v>248</v>
      </c>
      <c r="E88" s="221" t="s">
        <v>3477</v>
      </c>
      <c r="F88" s="213" t="s">
        <v>3478</v>
      </c>
      <c r="G88" s="213" t="s">
        <v>3479</v>
      </c>
      <c r="H88" s="213" t="s">
        <v>3480</v>
      </c>
      <c r="I88" s="213" t="s">
        <v>3481</v>
      </c>
      <c r="J88" s="213" t="s">
        <v>3482</v>
      </c>
      <c r="K88" s="213" t="s">
        <v>9329</v>
      </c>
      <c r="L88" s="213" t="s">
        <v>10581</v>
      </c>
      <c r="M88" s="213" t="s">
        <v>9926</v>
      </c>
      <c r="P88" s="121"/>
    </row>
    <row r="89" spans="1:16">
      <c r="A89" s="214" t="s">
        <v>249</v>
      </c>
      <c r="B89" s="213" t="s">
        <v>252</v>
      </c>
      <c r="C89" s="221" t="s">
        <v>251</v>
      </c>
      <c r="D89" s="221" t="s">
        <v>253</v>
      </c>
      <c r="E89" s="221" t="s">
        <v>3483</v>
      </c>
      <c r="F89" s="213" t="s">
        <v>3484</v>
      </c>
      <c r="G89" s="213" t="s">
        <v>3485</v>
      </c>
      <c r="H89" s="213" t="s">
        <v>3486</v>
      </c>
      <c r="I89" s="213" t="s">
        <v>3487</v>
      </c>
      <c r="J89" s="213" t="s">
        <v>3488</v>
      </c>
      <c r="K89" s="213" t="s">
        <v>9330</v>
      </c>
      <c r="L89" s="213" t="s">
        <v>10582</v>
      </c>
      <c r="M89" s="213" t="s">
        <v>9927</v>
      </c>
      <c r="P89" s="121"/>
    </row>
    <row r="90" spans="1:16">
      <c r="A90" s="214" t="s">
        <v>3489</v>
      </c>
      <c r="B90" s="213" t="s">
        <v>247</v>
      </c>
      <c r="C90" s="221" t="s">
        <v>246</v>
      </c>
      <c r="D90" s="221" t="s">
        <v>248</v>
      </c>
      <c r="E90" s="221" t="s">
        <v>3477</v>
      </c>
      <c r="F90" s="213" t="s">
        <v>3478</v>
      </c>
      <c r="G90" s="213" t="s">
        <v>3479</v>
      </c>
      <c r="H90" s="213" t="s">
        <v>3480</v>
      </c>
      <c r="I90" s="213" t="s">
        <v>3481</v>
      </c>
      <c r="J90" s="213" t="s">
        <v>3482</v>
      </c>
      <c r="K90" s="213" t="s">
        <v>9329</v>
      </c>
      <c r="L90" s="213" t="s">
        <v>10581</v>
      </c>
      <c r="M90" s="213" t="s">
        <v>9928</v>
      </c>
      <c r="P90" s="121"/>
    </row>
    <row r="91" spans="1:16">
      <c r="A91" s="213" t="s">
        <v>3490</v>
      </c>
      <c r="B91" s="213" t="s">
        <v>252</v>
      </c>
      <c r="C91" s="221" t="s">
        <v>251</v>
      </c>
      <c r="D91" s="221" t="s">
        <v>253</v>
      </c>
      <c r="E91" s="221" t="s">
        <v>3483</v>
      </c>
      <c r="F91" s="213" t="s">
        <v>3484</v>
      </c>
      <c r="G91" s="213" t="s">
        <v>3485</v>
      </c>
      <c r="H91" s="213" t="s">
        <v>3486</v>
      </c>
      <c r="I91" s="213" t="s">
        <v>3487</v>
      </c>
      <c r="J91" s="213" t="s">
        <v>3488</v>
      </c>
      <c r="K91" s="213" t="s">
        <v>9330</v>
      </c>
      <c r="L91" s="213" t="s">
        <v>10582</v>
      </c>
      <c r="M91" s="213" t="s">
        <v>9927</v>
      </c>
      <c r="P91" s="121"/>
    </row>
    <row r="92" spans="1:16">
      <c r="A92" s="213" t="s">
        <v>2484</v>
      </c>
      <c r="B92" s="213" t="s">
        <v>2817</v>
      </c>
      <c r="C92" s="221" t="s">
        <v>2921</v>
      </c>
      <c r="D92" s="221" t="s">
        <v>2996</v>
      </c>
      <c r="E92" s="221" t="s">
        <v>3491</v>
      </c>
      <c r="F92" s="213" t="s">
        <v>3492</v>
      </c>
      <c r="G92" s="213" t="s">
        <v>3493</v>
      </c>
      <c r="H92" s="213" t="s">
        <v>3491</v>
      </c>
      <c r="I92" s="213" t="s">
        <v>3494</v>
      </c>
      <c r="J92" s="213" t="s">
        <v>3495</v>
      </c>
      <c r="K92" s="213" t="s">
        <v>9331</v>
      </c>
      <c r="L92" s="213" t="s">
        <v>10583</v>
      </c>
      <c r="M92" s="213" t="s">
        <v>9929</v>
      </c>
      <c r="P92" s="121"/>
    </row>
    <row r="93" spans="1:16">
      <c r="A93" s="213" t="s">
        <v>254</v>
      </c>
      <c r="B93" s="213" t="s">
        <v>259</v>
      </c>
      <c r="C93" s="221" t="s">
        <v>258</v>
      </c>
      <c r="D93" s="221" t="s">
        <v>260</v>
      </c>
      <c r="E93" s="221" t="s">
        <v>3496</v>
      </c>
      <c r="F93" s="213" t="s">
        <v>3497</v>
      </c>
      <c r="G93" s="213" t="s">
        <v>3498</v>
      </c>
      <c r="H93" s="213" t="s">
        <v>3499</v>
      </c>
      <c r="I93" s="213" t="s">
        <v>3500</v>
      </c>
      <c r="J93" s="213" t="s">
        <v>3501</v>
      </c>
      <c r="K93" s="213" t="s">
        <v>9332</v>
      </c>
      <c r="L93" s="213" t="s">
        <v>10584</v>
      </c>
      <c r="M93" s="213" t="s">
        <v>9930</v>
      </c>
      <c r="P93" s="121"/>
    </row>
    <row r="94" spans="1:16">
      <c r="A94" s="213" t="s">
        <v>261</v>
      </c>
      <c r="B94" s="213" t="s">
        <v>259</v>
      </c>
      <c r="C94" s="221" t="s">
        <v>258</v>
      </c>
      <c r="D94" s="221" t="s">
        <v>260</v>
      </c>
      <c r="E94" s="221" t="s">
        <v>3496</v>
      </c>
      <c r="F94" s="213" t="s">
        <v>3497</v>
      </c>
      <c r="G94" s="213" t="s">
        <v>3498</v>
      </c>
      <c r="H94" s="213" t="s">
        <v>3499</v>
      </c>
      <c r="I94" s="213" t="s">
        <v>3500</v>
      </c>
      <c r="J94" s="213" t="s">
        <v>3501</v>
      </c>
      <c r="K94" s="213" t="s">
        <v>9332</v>
      </c>
      <c r="L94" s="213" t="s">
        <v>10584</v>
      </c>
      <c r="M94" s="213" t="s">
        <v>9930</v>
      </c>
      <c r="P94" s="121"/>
    </row>
    <row r="95" spans="1:16">
      <c r="A95" s="213" t="s">
        <v>262</v>
      </c>
      <c r="B95" s="213" t="s">
        <v>265</v>
      </c>
      <c r="C95" s="221" t="s">
        <v>264</v>
      </c>
      <c r="D95" s="221" t="s">
        <v>266</v>
      </c>
      <c r="E95" s="221" t="s">
        <v>3502</v>
      </c>
      <c r="F95" s="213" t="s">
        <v>3503</v>
      </c>
      <c r="G95" s="213" t="s">
        <v>3504</v>
      </c>
      <c r="H95" s="213" t="s">
        <v>3505</v>
      </c>
      <c r="I95" s="213" t="s">
        <v>3506</v>
      </c>
      <c r="J95" s="213" t="s">
        <v>3507</v>
      </c>
      <c r="K95" s="213" t="s">
        <v>9333</v>
      </c>
      <c r="L95" s="213" t="s">
        <v>10585</v>
      </c>
      <c r="M95" s="213" t="s">
        <v>9931</v>
      </c>
      <c r="P95" s="121"/>
    </row>
    <row r="96" spans="1:16">
      <c r="A96" s="213" t="s">
        <v>267</v>
      </c>
      <c r="B96" s="213" t="s">
        <v>265</v>
      </c>
      <c r="C96" s="221" t="s">
        <v>264</v>
      </c>
      <c r="D96" s="221" t="s">
        <v>266</v>
      </c>
      <c r="E96" s="221" t="s">
        <v>3502</v>
      </c>
      <c r="F96" s="213" t="s">
        <v>3508</v>
      </c>
      <c r="G96" s="213" t="s">
        <v>3504</v>
      </c>
      <c r="H96" s="213" t="s">
        <v>3505</v>
      </c>
      <c r="I96" s="213" t="s">
        <v>3506</v>
      </c>
      <c r="J96" s="213" t="s">
        <v>3507</v>
      </c>
      <c r="K96" s="213" t="s">
        <v>9333</v>
      </c>
      <c r="L96" s="213" t="s">
        <v>10585</v>
      </c>
      <c r="M96" s="213" t="s">
        <v>9932</v>
      </c>
      <c r="P96" s="121"/>
    </row>
    <row r="97" spans="1:16">
      <c r="A97" s="213" t="s">
        <v>268</v>
      </c>
      <c r="B97" s="213" t="s">
        <v>271</v>
      </c>
      <c r="C97" s="221" t="s">
        <v>270</v>
      </c>
      <c r="D97" s="221" t="s">
        <v>272</v>
      </c>
      <c r="E97" s="221" t="s">
        <v>3509</v>
      </c>
      <c r="F97" s="213" t="s">
        <v>3510</v>
      </c>
      <c r="G97" s="213" t="s">
        <v>3511</v>
      </c>
      <c r="H97" s="213" t="s">
        <v>3512</v>
      </c>
      <c r="I97" s="213" t="s">
        <v>3513</v>
      </c>
      <c r="J97" s="213" t="s">
        <v>3514</v>
      </c>
      <c r="K97" s="213" t="s">
        <v>9334</v>
      </c>
      <c r="L97" s="213" t="s">
        <v>10586</v>
      </c>
      <c r="M97" s="213" t="s">
        <v>9933</v>
      </c>
      <c r="P97" s="121"/>
    </row>
    <row r="98" spans="1:16">
      <c r="A98" s="213" t="s">
        <v>273</v>
      </c>
      <c r="B98" s="213" t="s">
        <v>271</v>
      </c>
      <c r="C98" s="221" t="s">
        <v>270</v>
      </c>
      <c r="D98" s="221" t="s">
        <v>272</v>
      </c>
      <c r="E98" s="221" t="s">
        <v>3509</v>
      </c>
      <c r="F98" s="213" t="s">
        <v>3510</v>
      </c>
      <c r="G98" s="213" t="s">
        <v>3511</v>
      </c>
      <c r="H98" s="213" t="s">
        <v>3512</v>
      </c>
      <c r="I98" s="213" t="s">
        <v>3513</v>
      </c>
      <c r="J98" s="213" t="s">
        <v>3514</v>
      </c>
      <c r="K98" s="213" t="s">
        <v>9334</v>
      </c>
      <c r="L98" s="213" t="s">
        <v>10586</v>
      </c>
      <c r="M98" s="213" t="s">
        <v>9933</v>
      </c>
      <c r="P98" s="121"/>
    </row>
    <row r="99" spans="1:16">
      <c r="A99" s="213" t="s">
        <v>274</v>
      </c>
      <c r="B99" s="213" t="s">
        <v>277</v>
      </c>
      <c r="C99" s="221" t="s">
        <v>276</v>
      </c>
      <c r="D99" s="221" t="s">
        <v>278</v>
      </c>
      <c r="E99" s="221" t="s">
        <v>3515</v>
      </c>
      <c r="F99" s="213" t="s">
        <v>3516</v>
      </c>
      <c r="G99" s="213" t="s">
        <v>3517</v>
      </c>
      <c r="H99" s="213" t="s">
        <v>3518</v>
      </c>
      <c r="I99" s="213" t="s">
        <v>3519</v>
      </c>
      <c r="J99" s="213" t="s">
        <v>3520</v>
      </c>
      <c r="K99" s="213" t="s">
        <v>9335</v>
      </c>
      <c r="L99" s="213" t="s">
        <v>10587</v>
      </c>
      <c r="M99" s="213" t="s">
        <v>9934</v>
      </c>
      <c r="P99" s="121"/>
    </row>
    <row r="100" spans="1:16">
      <c r="A100" s="213" t="s">
        <v>279</v>
      </c>
      <c r="B100" s="213" t="s">
        <v>277</v>
      </c>
      <c r="C100" s="221" t="s">
        <v>276</v>
      </c>
      <c r="D100" s="221" t="s">
        <v>278</v>
      </c>
      <c r="E100" s="221" t="s">
        <v>3515</v>
      </c>
      <c r="F100" s="213" t="s">
        <v>3521</v>
      </c>
      <c r="G100" s="213" t="s">
        <v>3517</v>
      </c>
      <c r="H100" s="213" t="s">
        <v>3518</v>
      </c>
      <c r="I100" s="213" t="s">
        <v>3519</v>
      </c>
      <c r="J100" s="213" t="s">
        <v>3520</v>
      </c>
      <c r="K100" s="213" t="s">
        <v>9335</v>
      </c>
      <c r="L100" s="213" t="s">
        <v>10587</v>
      </c>
      <c r="M100" s="213" t="s">
        <v>9934</v>
      </c>
      <c r="P100" s="121"/>
    </row>
    <row r="101" spans="1:16">
      <c r="A101" s="213" t="s">
        <v>280</v>
      </c>
      <c r="B101" s="213" t="s">
        <v>283</v>
      </c>
      <c r="C101" s="221" t="s">
        <v>282</v>
      </c>
      <c r="D101" s="221" t="s">
        <v>284</v>
      </c>
      <c r="E101" s="221" t="s">
        <v>3522</v>
      </c>
      <c r="F101" s="213" t="s">
        <v>3523</v>
      </c>
      <c r="G101" s="213" t="s">
        <v>3524</v>
      </c>
      <c r="H101" s="213" t="s">
        <v>3525</v>
      </c>
      <c r="I101" s="213" t="s">
        <v>3526</v>
      </c>
      <c r="J101" s="213" t="s">
        <v>3527</v>
      </c>
      <c r="K101" s="213" t="s">
        <v>9336</v>
      </c>
      <c r="L101" s="213" t="s">
        <v>10588</v>
      </c>
      <c r="M101" s="213" t="s">
        <v>9935</v>
      </c>
      <c r="P101" s="121"/>
    </row>
    <row r="102" spans="1:16">
      <c r="A102" s="213" t="s">
        <v>285</v>
      </c>
      <c r="B102" s="213" t="s">
        <v>283</v>
      </c>
      <c r="C102" s="221" t="s">
        <v>282</v>
      </c>
      <c r="D102" s="221" t="s">
        <v>284</v>
      </c>
      <c r="E102" s="221" t="s">
        <v>3522</v>
      </c>
      <c r="F102" s="213" t="s">
        <v>3523</v>
      </c>
      <c r="G102" s="213" t="s">
        <v>3524</v>
      </c>
      <c r="H102" s="213" t="s">
        <v>3525</v>
      </c>
      <c r="I102" s="213" t="s">
        <v>3526</v>
      </c>
      <c r="J102" s="213" t="s">
        <v>3527</v>
      </c>
      <c r="K102" s="213" t="s">
        <v>9336</v>
      </c>
      <c r="L102" s="213" t="s">
        <v>10588</v>
      </c>
      <c r="M102" s="213" t="s">
        <v>9935</v>
      </c>
      <c r="P102" s="121"/>
    </row>
    <row r="103" spans="1:16">
      <c r="A103" s="213" t="s">
        <v>286</v>
      </c>
      <c r="B103" s="213" t="s">
        <v>289</v>
      </c>
      <c r="C103" s="221" t="s">
        <v>288</v>
      </c>
      <c r="D103" s="221" t="s">
        <v>290</v>
      </c>
      <c r="E103" s="221" t="s">
        <v>3528</v>
      </c>
      <c r="F103" s="213" t="s">
        <v>3529</v>
      </c>
      <c r="G103" s="213" t="s">
        <v>3530</v>
      </c>
      <c r="H103" s="213" t="s">
        <v>3531</v>
      </c>
      <c r="I103" s="213" t="s">
        <v>3532</v>
      </c>
      <c r="J103" s="213" t="s">
        <v>3533</v>
      </c>
      <c r="K103" s="213" t="s">
        <v>9337</v>
      </c>
      <c r="L103" s="213" t="s">
        <v>10589</v>
      </c>
      <c r="M103" s="213" t="s">
        <v>9936</v>
      </c>
      <c r="P103" s="121"/>
    </row>
    <row r="104" spans="1:16">
      <c r="A104" s="213" t="s">
        <v>291</v>
      </c>
      <c r="B104" s="213" t="s">
        <v>289</v>
      </c>
      <c r="C104" s="221" t="s">
        <v>288</v>
      </c>
      <c r="D104" s="221" t="s">
        <v>290</v>
      </c>
      <c r="E104" s="221" t="s">
        <v>3528</v>
      </c>
      <c r="F104" s="213" t="s">
        <v>3529</v>
      </c>
      <c r="G104" s="213" t="s">
        <v>3530</v>
      </c>
      <c r="H104" s="213" t="s">
        <v>3531</v>
      </c>
      <c r="I104" s="213" t="s">
        <v>3532</v>
      </c>
      <c r="J104" s="213" t="s">
        <v>3533</v>
      </c>
      <c r="K104" s="213" t="s">
        <v>9337</v>
      </c>
      <c r="L104" s="213" t="s">
        <v>10589</v>
      </c>
      <c r="M104" s="213" t="s">
        <v>9936</v>
      </c>
      <c r="P104" s="121"/>
    </row>
    <row r="105" spans="1:16">
      <c r="A105" s="213" t="s">
        <v>292</v>
      </c>
      <c r="B105" s="213" t="s">
        <v>295</v>
      </c>
      <c r="C105" s="221" t="s">
        <v>294</v>
      </c>
      <c r="D105" s="221" t="s">
        <v>296</v>
      </c>
      <c r="E105" s="221" t="s">
        <v>3534</v>
      </c>
      <c r="F105" s="213" t="s">
        <v>3535</v>
      </c>
      <c r="G105" s="213" t="s">
        <v>3536</v>
      </c>
      <c r="H105" s="213" t="s">
        <v>3537</v>
      </c>
      <c r="I105" s="213" t="s">
        <v>3538</v>
      </c>
      <c r="J105" s="213" t="s">
        <v>3539</v>
      </c>
      <c r="K105" s="213" t="s">
        <v>9338</v>
      </c>
      <c r="L105" s="213" t="s">
        <v>10590</v>
      </c>
      <c r="M105" s="213" t="s">
        <v>9937</v>
      </c>
      <c r="P105" s="121"/>
    </row>
    <row r="106" spans="1:16">
      <c r="A106" s="213" t="s">
        <v>297</v>
      </c>
      <c r="B106" s="213" t="s">
        <v>300</v>
      </c>
      <c r="C106" s="221" t="s">
        <v>299</v>
      </c>
      <c r="D106" s="221" t="s">
        <v>301</v>
      </c>
      <c r="E106" s="221" t="s">
        <v>3540</v>
      </c>
      <c r="F106" s="213" t="s">
        <v>3541</v>
      </c>
      <c r="G106" s="213" t="s">
        <v>3542</v>
      </c>
      <c r="H106" s="213" t="s">
        <v>3543</v>
      </c>
      <c r="I106" s="213" t="s">
        <v>3544</v>
      </c>
      <c r="J106" s="213" t="s">
        <v>3545</v>
      </c>
      <c r="K106" s="213" t="s">
        <v>9339</v>
      </c>
      <c r="L106" s="213" t="s">
        <v>10591</v>
      </c>
      <c r="M106" s="213" t="s">
        <v>9938</v>
      </c>
      <c r="P106" s="121"/>
    </row>
    <row r="107" spans="1:16">
      <c r="A107" s="213" t="s">
        <v>302</v>
      </c>
      <c r="B107" s="213" t="s">
        <v>305</v>
      </c>
      <c r="C107" s="221" t="s">
        <v>304</v>
      </c>
      <c r="D107" s="221" t="s">
        <v>306</v>
      </c>
      <c r="E107" s="221" t="s">
        <v>3546</v>
      </c>
      <c r="F107" s="213" t="s">
        <v>3547</v>
      </c>
      <c r="G107" s="213" t="s">
        <v>3548</v>
      </c>
      <c r="H107" s="213" t="s">
        <v>3549</v>
      </c>
      <c r="I107" s="213" t="s">
        <v>3550</v>
      </c>
      <c r="J107" s="213" t="s">
        <v>3551</v>
      </c>
      <c r="K107" s="213" t="s">
        <v>9340</v>
      </c>
      <c r="L107" s="213" t="s">
        <v>10592</v>
      </c>
      <c r="M107" s="213" t="s">
        <v>9939</v>
      </c>
      <c r="P107" s="121"/>
    </row>
    <row r="108" spans="1:16">
      <c r="A108" s="213" t="s">
        <v>12355</v>
      </c>
      <c r="B108" s="213" t="s">
        <v>309</v>
      </c>
      <c r="C108" s="221" t="s">
        <v>308</v>
      </c>
      <c r="D108" s="221" t="s">
        <v>310</v>
      </c>
      <c r="E108" s="221" t="s">
        <v>3552</v>
      </c>
      <c r="F108" s="213" t="s">
        <v>3553</v>
      </c>
      <c r="G108" s="213" t="s">
        <v>3554</v>
      </c>
      <c r="H108" s="213" t="s">
        <v>3555</v>
      </c>
      <c r="I108" s="213" t="s">
        <v>3556</v>
      </c>
      <c r="J108" s="213" t="s">
        <v>3557</v>
      </c>
      <c r="K108" s="213" t="s">
        <v>9341</v>
      </c>
      <c r="L108" s="213" t="s">
        <v>10593</v>
      </c>
      <c r="M108" s="213" t="s">
        <v>9940</v>
      </c>
      <c r="P108" s="121"/>
    </row>
    <row r="109" spans="1:16">
      <c r="A109" s="213" t="s">
        <v>12356</v>
      </c>
      <c r="B109" s="213" t="s">
        <v>312</v>
      </c>
      <c r="C109" s="221" t="s">
        <v>311</v>
      </c>
      <c r="D109" s="221" t="s">
        <v>313</v>
      </c>
      <c r="E109" s="221" t="s">
        <v>3558</v>
      </c>
      <c r="F109" s="213" t="s">
        <v>3559</v>
      </c>
      <c r="G109" s="213" t="s">
        <v>3560</v>
      </c>
      <c r="H109" s="213" t="s">
        <v>3561</v>
      </c>
      <c r="I109" s="213" t="s">
        <v>3562</v>
      </c>
      <c r="J109" s="213" t="s">
        <v>3563</v>
      </c>
      <c r="K109" s="213" t="s">
        <v>9342</v>
      </c>
      <c r="L109" s="213" t="s">
        <v>10594</v>
      </c>
      <c r="M109" s="213" t="s">
        <v>9941</v>
      </c>
      <c r="P109" s="121"/>
    </row>
    <row r="110" spans="1:16">
      <c r="A110" s="213" t="s">
        <v>12357</v>
      </c>
      <c r="B110" s="213" t="s">
        <v>315</v>
      </c>
      <c r="C110" s="221" t="s">
        <v>314</v>
      </c>
      <c r="D110" s="221" t="s">
        <v>316</v>
      </c>
      <c r="E110" s="221" t="s">
        <v>3564</v>
      </c>
      <c r="F110" s="213" t="s">
        <v>3565</v>
      </c>
      <c r="G110" s="213" t="s">
        <v>3566</v>
      </c>
      <c r="H110" s="213" t="s">
        <v>3567</v>
      </c>
      <c r="I110" s="213" t="s">
        <v>3568</v>
      </c>
      <c r="J110" s="213" t="s">
        <v>3569</v>
      </c>
      <c r="K110" s="213" t="s">
        <v>9343</v>
      </c>
      <c r="L110" s="213" t="s">
        <v>10595</v>
      </c>
      <c r="M110" s="213" t="s">
        <v>9942</v>
      </c>
      <c r="P110" s="121"/>
    </row>
    <row r="111" spans="1:16">
      <c r="A111" s="213" t="s">
        <v>12358</v>
      </c>
      <c r="B111" s="213" t="s">
        <v>318</v>
      </c>
      <c r="C111" s="221" t="s">
        <v>317</v>
      </c>
      <c r="D111" s="221" t="s">
        <v>319</v>
      </c>
      <c r="E111" s="221" t="s">
        <v>3570</v>
      </c>
      <c r="F111" s="213" t="s">
        <v>3571</v>
      </c>
      <c r="G111" s="213" t="s">
        <v>3572</v>
      </c>
      <c r="H111" s="213" t="s">
        <v>3573</v>
      </c>
      <c r="I111" s="213" t="s">
        <v>3574</v>
      </c>
      <c r="J111" s="213" t="s">
        <v>3575</v>
      </c>
      <c r="K111" s="213" t="s">
        <v>9344</v>
      </c>
      <c r="L111" s="213" t="s">
        <v>10596</v>
      </c>
      <c r="M111" s="213" t="s">
        <v>9943</v>
      </c>
      <c r="P111" s="121"/>
    </row>
    <row r="112" spans="1:16">
      <c r="A112" s="213" t="s">
        <v>12359</v>
      </c>
      <c r="B112" s="213" t="s">
        <v>321</v>
      </c>
      <c r="C112" s="221" t="s">
        <v>320</v>
      </c>
      <c r="D112" s="221" t="s">
        <v>322</v>
      </c>
      <c r="E112" s="221" t="s">
        <v>3576</v>
      </c>
      <c r="F112" s="213" t="s">
        <v>3577</v>
      </c>
      <c r="G112" s="213" t="s">
        <v>3578</v>
      </c>
      <c r="H112" s="213" t="s">
        <v>3579</v>
      </c>
      <c r="I112" s="213" t="s">
        <v>3580</v>
      </c>
      <c r="J112" s="213" t="s">
        <v>3581</v>
      </c>
      <c r="K112" s="213" t="s">
        <v>9345</v>
      </c>
      <c r="L112" s="213" t="s">
        <v>10597</v>
      </c>
      <c r="M112" s="213" t="s">
        <v>9944</v>
      </c>
      <c r="P112" s="121"/>
    </row>
    <row r="113" spans="1:16">
      <c r="A113" s="213" t="s">
        <v>12360</v>
      </c>
      <c r="B113" s="213" t="s">
        <v>324</v>
      </c>
      <c r="C113" s="221" t="s">
        <v>323</v>
      </c>
      <c r="D113" s="221" t="s">
        <v>325</v>
      </c>
      <c r="E113" s="221" t="s">
        <v>3582</v>
      </c>
      <c r="F113" s="213" t="s">
        <v>3583</v>
      </c>
      <c r="G113" s="213" t="s">
        <v>3584</v>
      </c>
      <c r="H113" s="213" t="s">
        <v>3585</v>
      </c>
      <c r="I113" s="213" t="s">
        <v>3586</v>
      </c>
      <c r="J113" s="213" t="s">
        <v>3587</v>
      </c>
      <c r="K113" s="213" t="s">
        <v>9346</v>
      </c>
      <c r="L113" s="213" t="s">
        <v>10598</v>
      </c>
      <c r="M113" s="213" t="s">
        <v>9945</v>
      </c>
      <c r="P113" s="121"/>
    </row>
    <row r="114" spans="1:16">
      <c r="A114" s="213" t="s">
        <v>12361</v>
      </c>
      <c r="B114" s="213" t="s">
        <v>327</v>
      </c>
      <c r="C114" s="221" t="s">
        <v>326</v>
      </c>
      <c r="D114" s="221" t="s">
        <v>328</v>
      </c>
      <c r="E114" s="221" t="s">
        <v>3558</v>
      </c>
      <c r="F114" s="213" t="s">
        <v>3588</v>
      </c>
      <c r="G114" s="213" t="s">
        <v>3589</v>
      </c>
      <c r="H114" s="213" t="s">
        <v>3590</v>
      </c>
      <c r="I114" s="213" t="s">
        <v>3591</v>
      </c>
      <c r="J114" s="213" t="s">
        <v>3592</v>
      </c>
      <c r="K114" s="213" t="s">
        <v>9347</v>
      </c>
      <c r="L114" s="213" t="s">
        <v>10599</v>
      </c>
      <c r="M114" s="213" t="s">
        <v>9946</v>
      </c>
      <c r="P114" s="121"/>
    </row>
    <row r="115" spans="1:16">
      <c r="A115" s="213" t="s">
        <v>12362</v>
      </c>
      <c r="B115" s="213" t="s">
        <v>330</v>
      </c>
      <c r="C115" s="221" t="s">
        <v>329</v>
      </c>
      <c r="D115" s="221" t="s">
        <v>331</v>
      </c>
      <c r="E115" s="221" t="s">
        <v>3593</v>
      </c>
      <c r="F115" s="213" t="s">
        <v>3594</v>
      </c>
      <c r="G115" s="213" t="s">
        <v>3595</v>
      </c>
      <c r="H115" s="213" t="s">
        <v>3596</v>
      </c>
      <c r="I115" s="213" t="s">
        <v>3597</v>
      </c>
      <c r="J115" s="213" t="s">
        <v>3598</v>
      </c>
      <c r="K115" s="213" t="s">
        <v>9348</v>
      </c>
      <c r="L115" s="213" t="s">
        <v>10600</v>
      </c>
      <c r="M115" s="213" t="s">
        <v>9947</v>
      </c>
      <c r="P115" s="121"/>
    </row>
    <row r="116" spans="1:16">
      <c r="A116" s="213" t="s">
        <v>12363</v>
      </c>
      <c r="B116" s="213" t="s">
        <v>333</v>
      </c>
      <c r="C116" s="221" t="s">
        <v>332</v>
      </c>
      <c r="D116" s="221" t="s">
        <v>334</v>
      </c>
      <c r="E116" s="221" t="s">
        <v>3599</v>
      </c>
      <c r="F116" s="213" t="s">
        <v>3600</v>
      </c>
      <c r="G116" s="213" t="s">
        <v>3601</v>
      </c>
      <c r="H116" s="213" t="s">
        <v>3602</v>
      </c>
      <c r="I116" s="213" t="s">
        <v>3603</v>
      </c>
      <c r="J116" s="213" t="s">
        <v>3604</v>
      </c>
      <c r="K116" s="213" t="s">
        <v>9349</v>
      </c>
      <c r="L116" s="213" t="s">
        <v>10601</v>
      </c>
      <c r="M116" s="213" t="s">
        <v>9948</v>
      </c>
      <c r="P116" s="121"/>
    </row>
    <row r="117" spans="1:16">
      <c r="A117" s="213" t="s">
        <v>12364</v>
      </c>
      <c r="B117" s="213" t="s">
        <v>336</v>
      </c>
      <c r="C117" s="221" t="s">
        <v>335</v>
      </c>
      <c r="D117" s="221" t="s">
        <v>337</v>
      </c>
      <c r="E117" s="221" t="s">
        <v>3605</v>
      </c>
      <c r="F117" s="213" t="s">
        <v>3606</v>
      </c>
      <c r="G117" s="213" t="s">
        <v>3607</v>
      </c>
      <c r="H117" s="213" t="s">
        <v>3608</v>
      </c>
      <c r="I117" s="213" t="s">
        <v>3609</v>
      </c>
      <c r="J117" s="213" t="s">
        <v>3610</v>
      </c>
      <c r="K117" s="213" t="s">
        <v>9350</v>
      </c>
      <c r="L117" s="213" t="s">
        <v>10602</v>
      </c>
      <c r="M117" s="213" t="s">
        <v>9949</v>
      </c>
      <c r="P117" s="121"/>
    </row>
    <row r="118" spans="1:16">
      <c r="A118" s="213" t="s">
        <v>12365</v>
      </c>
      <c r="B118" s="213" t="s">
        <v>339</v>
      </c>
      <c r="C118" s="221" t="s">
        <v>338</v>
      </c>
      <c r="D118" s="221" t="s">
        <v>340</v>
      </c>
      <c r="E118" s="221" t="s">
        <v>3611</v>
      </c>
      <c r="F118" s="213" t="s">
        <v>3612</v>
      </c>
      <c r="G118" s="213" t="s">
        <v>3613</v>
      </c>
      <c r="H118" s="213" t="s">
        <v>3614</v>
      </c>
      <c r="I118" s="213" t="s">
        <v>3615</v>
      </c>
      <c r="J118" s="213" t="s">
        <v>3616</v>
      </c>
      <c r="K118" s="213" t="s">
        <v>9351</v>
      </c>
      <c r="L118" s="213" t="s">
        <v>10603</v>
      </c>
      <c r="M118" s="213" t="s">
        <v>9950</v>
      </c>
      <c r="P118" s="121"/>
    </row>
    <row r="119" spans="1:16">
      <c r="A119" s="213" t="s">
        <v>12366</v>
      </c>
      <c r="B119" s="213" t="s">
        <v>2818</v>
      </c>
      <c r="C119" s="221" t="s">
        <v>341</v>
      </c>
      <c r="D119" s="221" t="s">
        <v>342</v>
      </c>
      <c r="E119" s="221" t="s">
        <v>3617</v>
      </c>
      <c r="F119" s="213" t="s">
        <v>3618</v>
      </c>
      <c r="G119" s="213" t="s">
        <v>3619</v>
      </c>
      <c r="H119" s="213" t="s">
        <v>3620</v>
      </c>
      <c r="I119" s="213" t="s">
        <v>3621</v>
      </c>
      <c r="J119" s="213" t="s">
        <v>3622</v>
      </c>
      <c r="K119" s="213" t="s">
        <v>9352</v>
      </c>
      <c r="L119" s="213" t="s">
        <v>10604</v>
      </c>
      <c r="M119" s="213" t="s">
        <v>9951</v>
      </c>
      <c r="P119" s="121"/>
    </row>
    <row r="120" spans="1:16">
      <c r="A120" s="213" t="s">
        <v>12367</v>
      </c>
      <c r="B120" s="213" t="s">
        <v>344</v>
      </c>
      <c r="C120" s="221" t="s">
        <v>343</v>
      </c>
      <c r="D120" s="221" t="s">
        <v>345</v>
      </c>
      <c r="E120" s="221" t="s">
        <v>3623</v>
      </c>
      <c r="F120" s="213" t="s">
        <v>3624</v>
      </c>
      <c r="G120" s="213" t="s">
        <v>3625</v>
      </c>
      <c r="H120" s="213" t="s">
        <v>3626</v>
      </c>
      <c r="I120" s="213" t="s">
        <v>3627</v>
      </c>
      <c r="J120" s="213" t="s">
        <v>3628</v>
      </c>
      <c r="K120" s="213" t="s">
        <v>9353</v>
      </c>
      <c r="L120" s="213" t="s">
        <v>10605</v>
      </c>
      <c r="M120" s="213" t="s">
        <v>9952</v>
      </c>
      <c r="P120" s="121"/>
    </row>
    <row r="121" spans="1:16">
      <c r="A121" s="214" t="s">
        <v>12368</v>
      </c>
      <c r="B121" s="213" t="s">
        <v>347</v>
      </c>
      <c r="C121" s="221" t="s">
        <v>346</v>
      </c>
      <c r="D121" s="221" t="s">
        <v>348</v>
      </c>
      <c r="E121" s="221" t="s">
        <v>3629</v>
      </c>
      <c r="F121" s="213" t="s">
        <v>3630</v>
      </c>
      <c r="G121" s="213" t="s">
        <v>3631</v>
      </c>
      <c r="H121" s="213" t="s">
        <v>3632</v>
      </c>
      <c r="I121" s="213" t="s">
        <v>3633</v>
      </c>
      <c r="J121" s="213" t="s">
        <v>3634</v>
      </c>
      <c r="K121" s="213" t="s">
        <v>9354</v>
      </c>
      <c r="L121" s="213" t="s">
        <v>10606</v>
      </c>
      <c r="M121" s="213" t="s">
        <v>9953</v>
      </c>
      <c r="P121" s="121"/>
    </row>
    <row r="122" spans="1:16">
      <c r="A122" s="214" t="s">
        <v>3635</v>
      </c>
      <c r="B122" s="213" t="s">
        <v>3638</v>
      </c>
      <c r="C122" s="221" t="s">
        <v>3637</v>
      </c>
      <c r="D122" s="221" t="s">
        <v>3639</v>
      </c>
      <c r="E122" s="221" t="s">
        <v>3640</v>
      </c>
      <c r="F122" s="213" t="s">
        <v>3641</v>
      </c>
      <c r="G122" s="213" t="s">
        <v>3642</v>
      </c>
      <c r="H122" s="213" t="s">
        <v>3643</v>
      </c>
      <c r="I122" s="213" t="s">
        <v>3644</v>
      </c>
      <c r="J122" s="213" t="s">
        <v>3645</v>
      </c>
      <c r="K122" s="213" t="s">
        <v>9355</v>
      </c>
      <c r="L122" s="213" t="s">
        <v>10607</v>
      </c>
      <c r="M122" s="213" t="s">
        <v>9954</v>
      </c>
      <c r="P122" s="121"/>
    </row>
    <row r="123" spans="1:16">
      <c r="A123" s="214" t="s">
        <v>3646</v>
      </c>
      <c r="B123" s="213" t="s">
        <v>3649</v>
      </c>
      <c r="C123" s="221" t="s">
        <v>3648</v>
      </c>
      <c r="D123" s="221" t="s">
        <v>3650</v>
      </c>
      <c r="E123" s="221" t="s">
        <v>3651</v>
      </c>
      <c r="F123" s="213" t="s">
        <v>3652</v>
      </c>
      <c r="G123" s="213" t="s">
        <v>3653</v>
      </c>
      <c r="H123" s="213" t="s">
        <v>3654</v>
      </c>
      <c r="I123" s="213" t="s">
        <v>3655</v>
      </c>
      <c r="J123" s="213" t="s">
        <v>3656</v>
      </c>
      <c r="K123" s="213" t="s">
        <v>9356</v>
      </c>
      <c r="L123" s="213" t="s">
        <v>10608</v>
      </c>
      <c r="M123" s="213" t="s">
        <v>9955</v>
      </c>
      <c r="P123" s="121"/>
    </row>
    <row r="124" spans="1:16">
      <c r="A124" s="214" t="s">
        <v>3657</v>
      </c>
      <c r="B124" s="213" t="s">
        <v>3660</v>
      </c>
      <c r="C124" s="221" t="s">
        <v>3659</v>
      </c>
      <c r="D124" s="221" t="s">
        <v>3661</v>
      </c>
      <c r="E124" s="221" t="s">
        <v>3662</v>
      </c>
      <c r="F124" s="213" t="s">
        <v>3663</v>
      </c>
      <c r="G124" s="213" t="s">
        <v>3664</v>
      </c>
      <c r="H124" s="213" t="s">
        <v>3665</v>
      </c>
      <c r="I124" s="213" t="s">
        <v>3666</v>
      </c>
      <c r="J124" s="213" t="s">
        <v>3667</v>
      </c>
      <c r="K124" s="213" t="s">
        <v>9357</v>
      </c>
      <c r="L124" s="213" t="s">
        <v>10609</v>
      </c>
      <c r="M124" s="213" t="s">
        <v>9956</v>
      </c>
      <c r="P124" s="121"/>
    </row>
    <row r="125" spans="1:16">
      <c r="A125" s="214" t="s">
        <v>3668</v>
      </c>
      <c r="B125" s="213" t="s">
        <v>3671</v>
      </c>
      <c r="C125" s="221" t="s">
        <v>3670</v>
      </c>
      <c r="D125" s="221" t="s">
        <v>3672</v>
      </c>
      <c r="E125" s="221" t="s">
        <v>3673</v>
      </c>
      <c r="F125" s="213" t="s">
        <v>3674</v>
      </c>
      <c r="G125" s="213" t="s">
        <v>3675</v>
      </c>
      <c r="H125" s="213" t="s">
        <v>3676</v>
      </c>
      <c r="I125" s="213" t="s">
        <v>3677</v>
      </c>
      <c r="J125" s="213" t="s">
        <v>3678</v>
      </c>
      <c r="K125" s="213" t="s">
        <v>9358</v>
      </c>
      <c r="L125" s="213" t="s">
        <v>10610</v>
      </c>
      <c r="M125" s="213" t="s">
        <v>9957</v>
      </c>
      <c r="P125" s="121"/>
    </row>
    <row r="126" spans="1:16">
      <c r="A126" s="214" t="s">
        <v>3679</v>
      </c>
      <c r="B126" s="213" t="s">
        <v>3682</v>
      </c>
      <c r="C126" s="221" t="s">
        <v>3681</v>
      </c>
      <c r="D126" s="221" t="s">
        <v>3683</v>
      </c>
      <c r="E126" s="221" t="s">
        <v>3684</v>
      </c>
      <c r="F126" s="213" t="s">
        <v>3685</v>
      </c>
      <c r="G126" s="213" t="s">
        <v>3686</v>
      </c>
      <c r="H126" s="213" t="s">
        <v>3687</v>
      </c>
      <c r="I126" s="213" t="s">
        <v>3688</v>
      </c>
      <c r="J126" s="213" t="s">
        <v>3689</v>
      </c>
      <c r="K126" s="213" t="s">
        <v>9359</v>
      </c>
      <c r="L126" s="213" t="s">
        <v>10611</v>
      </c>
      <c r="M126" s="213" t="s">
        <v>9958</v>
      </c>
      <c r="P126" s="121"/>
    </row>
    <row r="127" spans="1:16">
      <c r="A127" s="214" t="s">
        <v>3690</v>
      </c>
      <c r="B127" s="213" t="s">
        <v>3693</v>
      </c>
      <c r="C127" s="221" t="s">
        <v>3692</v>
      </c>
      <c r="D127" s="221" t="s">
        <v>3694</v>
      </c>
      <c r="E127" s="221" t="s">
        <v>3695</v>
      </c>
      <c r="F127" s="213" t="s">
        <v>3696</v>
      </c>
      <c r="G127" s="213" t="s">
        <v>3697</v>
      </c>
      <c r="H127" s="213" t="s">
        <v>3698</v>
      </c>
      <c r="I127" s="213" t="s">
        <v>3699</v>
      </c>
      <c r="J127" s="213" t="s">
        <v>3700</v>
      </c>
      <c r="K127" s="213" t="s">
        <v>9360</v>
      </c>
      <c r="L127" s="213" t="s">
        <v>10612</v>
      </c>
      <c r="M127" s="213" t="s">
        <v>9959</v>
      </c>
      <c r="P127" s="121"/>
    </row>
    <row r="128" spans="1:16">
      <c r="A128" s="214" t="s">
        <v>3701</v>
      </c>
      <c r="B128" s="213" t="s">
        <v>3704</v>
      </c>
      <c r="C128" s="221" t="s">
        <v>3703</v>
      </c>
      <c r="D128" s="221" t="s">
        <v>3705</v>
      </c>
      <c r="E128" s="221" t="s">
        <v>3706</v>
      </c>
      <c r="F128" s="213" t="s">
        <v>3707</v>
      </c>
      <c r="G128" s="213" t="s">
        <v>3708</v>
      </c>
      <c r="H128" s="213" t="s">
        <v>3709</v>
      </c>
      <c r="I128" s="213" t="s">
        <v>3710</v>
      </c>
      <c r="J128" s="213" t="s">
        <v>3711</v>
      </c>
      <c r="K128" s="213" t="s">
        <v>9361</v>
      </c>
      <c r="L128" s="213" t="s">
        <v>10613</v>
      </c>
      <c r="M128" s="213" t="s">
        <v>9960</v>
      </c>
      <c r="P128" s="121"/>
    </row>
    <row r="129" spans="1:16">
      <c r="A129" s="213" t="s">
        <v>3712</v>
      </c>
      <c r="B129" s="213" t="s">
        <v>3715</v>
      </c>
      <c r="C129" s="221" t="s">
        <v>3714</v>
      </c>
      <c r="D129" s="221" t="s">
        <v>3716</v>
      </c>
      <c r="E129" s="221" t="s">
        <v>3717</v>
      </c>
      <c r="F129" s="213" t="s">
        <v>3718</v>
      </c>
      <c r="G129" s="213" t="s">
        <v>3719</v>
      </c>
      <c r="H129" s="213" t="s">
        <v>3720</v>
      </c>
      <c r="I129" s="213" t="s">
        <v>3721</v>
      </c>
      <c r="J129" s="213" t="s">
        <v>3722</v>
      </c>
      <c r="K129" s="213" t="s">
        <v>9362</v>
      </c>
      <c r="L129" s="213" t="s">
        <v>10614</v>
      </c>
      <c r="M129" s="213" t="s">
        <v>9961</v>
      </c>
      <c r="P129" s="121"/>
    </row>
    <row r="130" spans="1:16">
      <c r="A130" s="213" t="s">
        <v>361</v>
      </c>
      <c r="B130" s="213" t="s">
        <v>364</v>
      </c>
      <c r="C130" s="221" t="s">
        <v>363</v>
      </c>
      <c r="D130" s="221" t="s">
        <v>365</v>
      </c>
      <c r="E130" s="221" t="s">
        <v>3723</v>
      </c>
      <c r="F130" s="213" t="s">
        <v>3724</v>
      </c>
      <c r="G130" s="213" t="s">
        <v>3725</v>
      </c>
      <c r="H130" s="213" t="s">
        <v>3726</v>
      </c>
      <c r="I130" s="213" t="s">
        <v>3727</v>
      </c>
      <c r="J130" s="213" t="s">
        <v>3728</v>
      </c>
      <c r="K130" s="213" t="s">
        <v>9363</v>
      </c>
      <c r="L130" s="213" t="s">
        <v>10615</v>
      </c>
      <c r="M130" s="213" t="s">
        <v>9962</v>
      </c>
      <c r="P130" s="121"/>
    </row>
    <row r="131" spans="1:16">
      <c r="A131" s="213" t="s">
        <v>366</v>
      </c>
      <c r="B131" s="213" t="s">
        <v>364</v>
      </c>
      <c r="C131" s="221" t="s">
        <v>363</v>
      </c>
      <c r="D131" s="221" t="s">
        <v>365</v>
      </c>
      <c r="E131" s="221" t="s">
        <v>3723</v>
      </c>
      <c r="F131" s="213" t="s">
        <v>3724</v>
      </c>
      <c r="G131" s="213" t="s">
        <v>3725</v>
      </c>
      <c r="H131" s="213" t="s">
        <v>3726</v>
      </c>
      <c r="I131" s="213" t="s">
        <v>3727</v>
      </c>
      <c r="J131" s="213" t="s">
        <v>3729</v>
      </c>
      <c r="K131" s="213" t="s">
        <v>9363</v>
      </c>
      <c r="L131" s="213" t="s">
        <v>10615</v>
      </c>
      <c r="M131" s="213" t="s">
        <v>9962</v>
      </c>
      <c r="P131" s="121"/>
    </row>
    <row r="132" spans="1:16">
      <c r="A132" s="213" t="s">
        <v>367</v>
      </c>
      <c r="B132" s="213" t="s">
        <v>369</v>
      </c>
      <c r="C132" s="221" t="s">
        <v>368</v>
      </c>
      <c r="D132" s="221" t="s">
        <v>370</v>
      </c>
      <c r="E132" s="221" t="s">
        <v>3730</v>
      </c>
      <c r="F132" s="213" t="s">
        <v>3731</v>
      </c>
      <c r="G132" s="213" t="s">
        <v>3732</v>
      </c>
      <c r="H132" s="213" t="s">
        <v>3733</v>
      </c>
      <c r="I132" s="213" t="s">
        <v>3734</v>
      </c>
      <c r="J132" s="213" t="s">
        <v>3735</v>
      </c>
      <c r="K132" s="213" t="s">
        <v>9364</v>
      </c>
      <c r="L132" s="213" t="s">
        <v>10616</v>
      </c>
      <c r="M132" s="213" t="s">
        <v>9963</v>
      </c>
      <c r="P132" s="121"/>
    </row>
    <row r="133" spans="1:16">
      <c r="A133" s="213" t="s">
        <v>371</v>
      </c>
      <c r="B133" s="213" t="s">
        <v>373</v>
      </c>
      <c r="C133" s="221" t="s">
        <v>372</v>
      </c>
      <c r="D133" s="221" t="s">
        <v>374</v>
      </c>
      <c r="E133" s="221" t="s">
        <v>3736</v>
      </c>
      <c r="F133" s="213" t="s">
        <v>3737</v>
      </c>
      <c r="G133" s="213" t="s">
        <v>3738</v>
      </c>
      <c r="H133" s="213" t="s">
        <v>3739</v>
      </c>
      <c r="I133" s="213" t="s">
        <v>3740</v>
      </c>
      <c r="J133" s="213" t="s">
        <v>3741</v>
      </c>
      <c r="K133" s="213" t="s">
        <v>9365</v>
      </c>
      <c r="L133" s="213" t="s">
        <v>10617</v>
      </c>
      <c r="M133" s="213" t="s">
        <v>9964</v>
      </c>
      <c r="P133" s="121"/>
    </row>
    <row r="134" spans="1:16">
      <c r="A134" s="213" t="s">
        <v>375</v>
      </c>
      <c r="B134" s="213" t="s">
        <v>373</v>
      </c>
      <c r="C134" s="221" t="s">
        <v>372</v>
      </c>
      <c r="D134" s="221" t="s">
        <v>374</v>
      </c>
      <c r="E134" s="221" t="s">
        <v>3736</v>
      </c>
      <c r="F134" s="213" t="s">
        <v>3737</v>
      </c>
      <c r="G134" s="213" t="s">
        <v>3738</v>
      </c>
      <c r="H134" s="213" t="s">
        <v>3739</v>
      </c>
      <c r="I134" s="213" t="s">
        <v>3742</v>
      </c>
      <c r="J134" s="213" t="s">
        <v>3743</v>
      </c>
      <c r="K134" s="213" t="s">
        <v>9366</v>
      </c>
      <c r="L134" s="213" t="s">
        <v>10617</v>
      </c>
      <c r="M134" s="213" t="s">
        <v>9964</v>
      </c>
      <c r="P134" s="121"/>
    </row>
    <row r="135" spans="1:16">
      <c r="A135" s="213" t="s">
        <v>376</v>
      </c>
      <c r="B135" s="213" t="s">
        <v>378</v>
      </c>
      <c r="C135" s="221" t="s">
        <v>377</v>
      </c>
      <c r="D135" s="221" t="s">
        <v>379</v>
      </c>
      <c r="E135" s="221" t="s">
        <v>3744</v>
      </c>
      <c r="F135" s="213" t="s">
        <v>3745</v>
      </c>
      <c r="G135" s="213" t="s">
        <v>3746</v>
      </c>
      <c r="H135" s="213" t="s">
        <v>3747</v>
      </c>
      <c r="I135" s="213" t="s">
        <v>3748</v>
      </c>
      <c r="J135" s="213" t="s">
        <v>3749</v>
      </c>
      <c r="K135" s="213" t="s">
        <v>9367</v>
      </c>
      <c r="L135" s="213" t="s">
        <v>10618</v>
      </c>
      <c r="M135" s="213" t="s">
        <v>9965</v>
      </c>
      <c r="P135" s="121"/>
    </row>
    <row r="136" spans="1:16">
      <c r="A136" s="213" t="s">
        <v>380</v>
      </c>
      <c r="B136" s="213" t="s">
        <v>378</v>
      </c>
      <c r="C136" s="221" t="s">
        <v>377</v>
      </c>
      <c r="D136" s="221" t="s">
        <v>379</v>
      </c>
      <c r="E136" s="221" t="s">
        <v>3744</v>
      </c>
      <c r="F136" s="213" t="s">
        <v>3745</v>
      </c>
      <c r="G136" s="213" t="s">
        <v>3746</v>
      </c>
      <c r="H136" s="213" t="s">
        <v>3747</v>
      </c>
      <c r="I136" s="213" t="s">
        <v>3748</v>
      </c>
      <c r="J136" s="213" t="s">
        <v>3749</v>
      </c>
      <c r="K136" s="213" t="s">
        <v>9367</v>
      </c>
      <c r="L136" s="213" t="s">
        <v>10618</v>
      </c>
      <c r="M136" s="213" t="s">
        <v>9965</v>
      </c>
      <c r="P136" s="121"/>
    </row>
    <row r="137" spans="1:16">
      <c r="A137" s="213" t="s">
        <v>381</v>
      </c>
      <c r="B137" s="213" t="s">
        <v>383</v>
      </c>
      <c r="C137" s="221" t="s">
        <v>382</v>
      </c>
      <c r="D137" s="221" t="s">
        <v>384</v>
      </c>
      <c r="E137" s="221" t="s">
        <v>3750</v>
      </c>
      <c r="F137" s="213" t="s">
        <v>3751</v>
      </c>
      <c r="G137" s="213" t="s">
        <v>3752</v>
      </c>
      <c r="H137" s="213" t="s">
        <v>3753</v>
      </c>
      <c r="I137" s="213" t="s">
        <v>3754</v>
      </c>
      <c r="J137" s="213" t="s">
        <v>3755</v>
      </c>
      <c r="K137" s="213" t="s">
        <v>9368</v>
      </c>
      <c r="L137" s="213" t="s">
        <v>10619</v>
      </c>
      <c r="M137" s="213" t="s">
        <v>9966</v>
      </c>
      <c r="P137" s="121"/>
    </row>
    <row r="138" spans="1:16">
      <c r="A138" s="213" t="s">
        <v>385</v>
      </c>
      <c r="B138" s="213" t="s">
        <v>383</v>
      </c>
      <c r="C138" s="221" t="s">
        <v>382</v>
      </c>
      <c r="D138" s="221" t="s">
        <v>384</v>
      </c>
      <c r="E138" s="221" t="s">
        <v>3750</v>
      </c>
      <c r="F138" s="213" t="s">
        <v>3751</v>
      </c>
      <c r="G138" s="213" t="s">
        <v>3752</v>
      </c>
      <c r="H138" s="213" t="s">
        <v>3753</v>
      </c>
      <c r="I138" s="213" t="s">
        <v>3754</v>
      </c>
      <c r="J138" s="213" t="s">
        <v>3755</v>
      </c>
      <c r="K138" s="213" t="s">
        <v>9368</v>
      </c>
      <c r="L138" s="213" t="s">
        <v>10619</v>
      </c>
      <c r="M138" s="213" t="s">
        <v>9966</v>
      </c>
      <c r="P138" s="121"/>
    </row>
    <row r="139" spans="1:16">
      <c r="A139" s="213" t="s">
        <v>386</v>
      </c>
      <c r="B139" s="213" t="s">
        <v>388</v>
      </c>
      <c r="C139" s="221" t="s">
        <v>387</v>
      </c>
      <c r="D139" s="221" t="s">
        <v>389</v>
      </c>
      <c r="E139" s="221" t="s">
        <v>3756</v>
      </c>
      <c r="F139" s="213" t="s">
        <v>3757</v>
      </c>
      <c r="G139" s="213" t="s">
        <v>3758</v>
      </c>
      <c r="H139" s="213" t="s">
        <v>3759</v>
      </c>
      <c r="I139" s="213" t="s">
        <v>3760</v>
      </c>
      <c r="J139" s="213" t="s">
        <v>3761</v>
      </c>
      <c r="K139" s="213" t="s">
        <v>9369</v>
      </c>
      <c r="L139" s="213" t="s">
        <v>10620</v>
      </c>
      <c r="M139" s="213" t="s">
        <v>9967</v>
      </c>
      <c r="P139" s="121"/>
    </row>
    <row r="140" spans="1:16">
      <c r="A140" s="213" t="s">
        <v>390</v>
      </c>
      <c r="B140" s="213" t="s">
        <v>388</v>
      </c>
      <c r="C140" s="221" t="s">
        <v>387</v>
      </c>
      <c r="D140" s="221" t="s">
        <v>389</v>
      </c>
      <c r="E140" s="221" t="s">
        <v>3756</v>
      </c>
      <c r="F140" s="213" t="s">
        <v>3757</v>
      </c>
      <c r="G140" s="213" t="s">
        <v>3758</v>
      </c>
      <c r="H140" s="213" t="s">
        <v>3759</v>
      </c>
      <c r="I140" s="213" t="s">
        <v>3760</v>
      </c>
      <c r="J140" s="213" t="s">
        <v>3761</v>
      </c>
      <c r="K140" s="213" t="s">
        <v>9369</v>
      </c>
      <c r="L140" s="213" t="s">
        <v>10620</v>
      </c>
      <c r="M140" s="213" t="s">
        <v>9968</v>
      </c>
      <c r="P140" s="121"/>
    </row>
    <row r="141" spans="1:16">
      <c r="A141" s="213" t="s">
        <v>12369</v>
      </c>
      <c r="B141" s="213" t="s">
        <v>350</v>
      </c>
      <c r="C141" s="221" t="s">
        <v>349</v>
      </c>
      <c r="D141" s="221" t="s">
        <v>351</v>
      </c>
      <c r="E141" s="221" t="s">
        <v>3762</v>
      </c>
      <c r="F141" s="213" t="s">
        <v>3763</v>
      </c>
      <c r="G141" s="213" t="s">
        <v>3764</v>
      </c>
      <c r="H141" s="213" t="s">
        <v>3573</v>
      </c>
      <c r="I141" s="213" t="s">
        <v>3765</v>
      </c>
      <c r="J141" s="213" t="s">
        <v>3766</v>
      </c>
      <c r="K141" s="213" t="s">
        <v>9370</v>
      </c>
      <c r="L141" s="213" t="s">
        <v>10621</v>
      </c>
      <c r="M141" s="213" t="s">
        <v>9969</v>
      </c>
      <c r="P141" s="121"/>
    </row>
    <row r="142" spans="1:16">
      <c r="A142" s="213" t="s">
        <v>12370</v>
      </c>
      <c r="B142" s="213" t="s">
        <v>353</v>
      </c>
      <c r="C142" s="221" t="s">
        <v>352</v>
      </c>
      <c r="D142" s="221" t="s">
        <v>354</v>
      </c>
      <c r="E142" s="221" t="s">
        <v>3767</v>
      </c>
      <c r="F142" s="213" t="s">
        <v>3768</v>
      </c>
      <c r="G142" s="213" t="s">
        <v>3769</v>
      </c>
      <c r="H142" s="213" t="s">
        <v>3579</v>
      </c>
      <c r="I142" s="213" t="s">
        <v>3770</v>
      </c>
      <c r="J142" s="213" t="s">
        <v>3771</v>
      </c>
      <c r="K142" s="213" t="s">
        <v>9371</v>
      </c>
      <c r="L142" s="213" t="s">
        <v>10622</v>
      </c>
      <c r="M142" s="213" t="s">
        <v>9970</v>
      </c>
      <c r="P142" s="121"/>
    </row>
    <row r="143" spans="1:16">
      <c r="A143" s="213" t="s">
        <v>12371</v>
      </c>
      <c r="B143" s="213" t="s">
        <v>356</v>
      </c>
      <c r="C143" s="221" t="s">
        <v>355</v>
      </c>
      <c r="D143" s="221" t="s">
        <v>357</v>
      </c>
      <c r="E143" s="221" t="s">
        <v>3772</v>
      </c>
      <c r="F143" s="213" t="s">
        <v>3773</v>
      </c>
      <c r="G143" s="213" t="s">
        <v>3774</v>
      </c>
      <c r="H143" s="213" t="s">
        <v>3585</v>
      </c>
      <c r="I143" s="213" t="s">
        <v>3775</v>
      </c>
      <c r="J143" s="213" t="s">
        <v>3776</v>
      </c>
      <c r="K143" s="213" t="s">
        <v>9372</v>
      </c>
      <c r="L143" s="213" t="s">
        <v>10623</v>
      </c>
      <c r="M143" s="213" t="s">
        <v>9971</v>
      </c>
      <c r="P143" s="121"/>
    </row>
    <row r="144" spans="1:16">
      <c r="A144" s="213" t="s">
        <v>12453</v>
      </c>
      <c r="B144" s="213" t="s">
        <v>12455</v>
      </c>
      <c r="C144" s="221" t="s">
        <v>12457</v>
      </c>
      <c r="D144" s="221" t="s">
        <v>12458</v>
      </c>
      <c r="E144" s="221" t="s">
        <v>12459</v>
      </c>
      <c r="F144" s="213" t="s">
        <v>12460</v>
      </c>
      <c r="G144" s="213" t="s">
        <v>12461</v>
      </c>
      <c r="H144" s="213" t="s">
        <v>3561</v>
      </c>
      <c r="I144" s="213" t="s">
        <v>12462</v>
      </c>
      <c r="J144" s="213" t="s">
        <v>12463</v>
      </c>
      <c r="K144" s="213" t="s">
        <v>12464</v>
      </c>
      <c r="L144" s="213" t="s">
        <v>12465</v>
      </c>
      <c r="M144" s="213" t="s">
        <v>12466</v>
      </c>
      <c r="P144" s="121"/>
    </row>
    <row r="145" spans="1:16">
      <c r="A145" s="213" t="s">
        <v>12454</v>
      </c>
      <c r="B145" s="213" t="s">
        <v>12456</v>
      </c>
      <c r="C145" s="221" t="s">
        <v>12467</v>
      </c>
      <c r="D145" s="221" t="s">
        <v>12468</v>
      </c>
      <c r="E145" s="221" t="s">
        <v>12469</v>
      </c>
      <c r="F145" s="213" t="s">
        <v>12470</v>
      </c>
      <c r="G145" s="213" t="s">
        <v>12471</v>
      </c>
      <c r="H145" s="213" t="s">
        <v>3567</v>
      </c>
      <c r="I145" s="213" t="s">
        <v>12472</v>
      </c>
      <c r="J145" s="213" t="s">
        <v>12473</v>
      </c>
      <c r="K145" s="213" t="s">
        <v>12474</v>
      </c>
      <c r="L145" s="213" t="s">
        <v>12475</v>
      </c>
      <c r="M145" s="213" t="s">
        <v>12476</v>
      </c>
      <c r="P145" s="121"/>
    </row>
    <row r="146" spans="1:16">
      <c r="A146" s="213" t="s">
        <v>12372</v>
      </c>
      <c r="B146" s="213" t="s">
        <v>359</v>
      </c>
      <c r="C146" s="221" t="s">
        <v>358</v>
      </c>
      <c r="D146" s="221" t="s">
        <v>360</v>
      </c>
      <c r="E146" s="221" t="s">
        <v>3777</v>
      </c>
      <c r="F146" s="213" t="s">
        <v>3778</v>
      </c>
      <c r="G146" s="213" t="s">
        <v>3779</v>
      </c>
      <c r="H146" s="213" t="s">
        <v>3590</v>
      </c>
      <c r="I146" s="213" t="s">
        <v>3780</v>
      </c>
      <c r="J146" s="213" t="s">
        <v>3781</v>
      </c>
      <c r="K146" s="213" t="s">
        <v>9373</v>
      </c>
      <c r="L146" s="213" t="s">
        <v>10624</v>
      </c>
      <c r="M146" s="213" t="s">
        <v>9972</v>
      </c>
      <c r="P146" s="121"/>
    </row>
    <row r="147" spans="1:16">
      <c r="A147" s="213" t="s">
        <v>3782</v>
      </c>
      <c r="B147" s="213" t="s">
        <v>3785</v>
      </c>
      <c r="C147" s="221" t="s">
        <v>3784</v>
      </c>
      <c r="D147" s="221" t="s">
        <v>3786</v>
      </c>
      <c r="E147" s="221" t="s">
        <v>3787</v>
      </c>
      <c r="F147" s="213" t="s">
        <v>3788</v>
      </c>
      <c r="G147" s="213" t="s">
        <v>3789</v>
      </c>
      <c r="H147" s="213" t="s">
        <v>3790</v>
      </c>
      <c r="I147" s="213" t="s">
        <v>3791</v>
      </c>
      <c r="J147" s="213" t="s">
        <v>3792</v>
      </c>
      <c r="K147" s="213" t="s">
        <v>9374</v>
      </c>
      <c r="L147" s="213" t="s">
        <v>10625</v>
      </c>
      <c r="M147" s="213" t="s">
        <v>9973</v>
      </c>
      <c r="P147" s="121"/>
    </row>
    <row r="148" spans="1:16">
      <c r="A148" s="213" t="s">
        <v>3793</v>
      </c>
      <c r="B148" s="213" t="s">
        <v>3796</v>
      </c>
      <c r="C148" s="221" t="s">
        <v>3795</v>
      </c>
      <c r="D148" s="221" t="s">
        <v>3797</v>
      </c>
      <c r="E148" s="221" t="s">
        <v>3798</v>
      </c>
      <c r="F148" s="213" t="s">
        <v>3799</v>
      </c>
      <c r="G148" s="213" t="s">
        <v>3800</v>
      </c>
      <c r="H148" s="213" t="s">
        <v>3801</v>
      </c>
      <c r="I148" s="213" t="s">
        <v>3802</v>
      </c>
      <c r="J148" s="213" t="s">
        <v>3803</v>
      </c>
      <c r="K148" s="213" t="s">
        <v>9375</v>
      </c>
      <c r="L148" s="213" t="s">
        <v>10626</v>
      </c>
      <c r="M148" s="213" t="s">
        <v>9974</v>
      </c>
      <c r="P148" s="121"/>
    </row>
    <row r="149" spans="1:16">
      <c r="A149" s="213" t="s">
        <v>3804</v>
      </c>
      <c r="B149" s="213" t="s">
        <v>3807</v>
      </c>
      <c r="C149" s="221" t="s">
        <v>3806</v>
      </c>
      <c r="D149" s="221" t="s">
        <v>3808</v>
      </c>
      <c r="E149" s="221" t="s">
        <v>3809</v>
      </c>
      <c r="F149" s="213" t="s">
        <v>3810</v>
      </c>
      <c r="G149" s="213" t="s">
        <v>3811</v>
      </c>
      <c r="H149" s="213" t="s">
        <v>3812</v>
      </c>
      <c r="I149" s="213" t="s">
        <v>3813</v>
      </c>
      <c r="J149" s="213" t="s">
        <v>3814</v>
      </c>
      <c r="K149" s="213" t="s">
        <v>9376</v>
      </c>
      <c r="L149" s="213" t="s">
        <v>10627</v>
      </c>
      <c r="M149" s="213" t="s">
        <v>9975</v>
      </c>
      <c r="P149" s="121"/>
    </row>
    <row r="150" spans="1:16">
      <c r="A150" s="214" t="s">
        <v>3815</v>
      </c>
      <c r="B150" s="213" t="s">
        <v>3818</v>
      </c>
      <c r="C150" s="221" t="s">
        <v>3817</v>
      </c>
      <c r="D150" s="221" t="s">
        <v>3819</v>
      </c>
      <c r="E150" s="221" t="s">
        <v>3820</v>
      </c>
      <c r="F150" s="213" t="s">
        <v>3821</v>
      </c>
      <c r="G150" s="213" t="s">
        <v>3822</v>
      </c>
      <c r="H150" s="213" t="s">
        <v>3823</v>
      </c>
      <c r="I150" s="213" t="s">
        <v>3824</v>
      </c>
      <c r="J150" s="213" t="s">
        <v>3825</v>
      </c>
      <c r="K150" s="213" t="s">
        <v>9377</v>
      </c>
      <c r="L150" s="213" t="s">
        <v>10628</v>
      </c>
      <c r="M150" s="213" t="s">
        <v>9976</v>
      </c>
      <c r="P150" s="121"/>
    </row>
    <row r="151" spans="1:16">
      <c r="A151" s="214" t="s">
        <v>3826</v>
      </c>
      <c r="B151" s="213" t="s">
        <v>3829</v>
      </c>
      <c r="C151" s="221" t="s">
        <v>3828</v>
      </c>
      <c r="D151" s="221" t="s">
        <v>3830</v>
      </c>
      <c r="E151" s="221" t="s">
        <v>3831</v>
      </c>
      <c r="F151" s="213" t="s">
        <v>3832</v>
      </c>
      <c r="G151" s="213" t="s">
        <v>3833</v>
      </c>
      <c r="H151" s="213" t="s">
        <v>3834</v>
      </c>
      <c r="I151" s="213" t="s">
        <v>3835</v>
      </c>
      <c r="J151" s="213" t="s">
        <v>3836</v>
      </c>
      <c r="K151" s="213" t="s">
        <v>9378</v>
      </c>
      <c r="L151" s="213" t="s">
        <v>10629</v>
      </c>
      <c r="M151" s="213" t="s">
        <v>9977</v>
      </c>
      <c r="P151" s="121"/>
    </row>
    <row r="152" spans="1:16">
      <c r="A152" s="214" t="s">
        <v>3837</v>
      </c>
      <c r="B152" s="213" t="s">
        <v>3840</v>
      </c>
      <c r="C152" s="221" t="s">
        <v>3839</v>
      </c>
      <c r="D152" s="221" t="s">
        <v>3841</v>
      </c>
      <c r="E152" s="221" t="s">
        <v>3842</v>
      </c>
      <c r="F152" s="213" t="s">
        <v>3843</v>
      </c>
      <c r="G152" s="213" t="s">
        <v>3844</v>
      </c>
      <c r="H152" s="213" t="s">
        <v>3845</v>
      </c>
      <c r="I152" s="213" t="s">
        <v>3846</v>
      </c>
      <c r="J152" s="213" t="s">
        <v>3847</v>
      </c>
      <c r="K152" s="213" t="s">
        <v>9379</v>
      </c>
      <c r="L152" s="213" t="s">
        <v>10630</v>
      </c>
      <c r="M152" s="213" t="s">
        <v>9978</v>
      </c>
      <c r="P152" s="121"/>
    </row>
    <row r="153" spans="1:16">
      <c r="A153" s="214" t="s">
        <v>3848</v>
      </c>
      <c r="B153" s="213" t="s">
        <v>3851</v>
      </c>
      <c r="C153" s="221" t="s">
        <v>3850</v>
      </c>
      <c r="D153" s="221" t="s">
        <v>3852</v>
      </c>
      <c r="E153" s="221" t="s">
        <v>3853</v>
      </c>
      <c r="F153" s="213" t="s">
        <v>3799</v>
      </c>
      <c r="G153" s="213" t="s">
        <v>3854</v>
      </c>
      <c r="H153" s="213" t="s">
        <v>3855</v>
      </c>
      <c r="I153" s="213" t="s">
        <v>3856</v>
      </c>
      <c r="J153" s="213" t="s">
        <v>3857</v>
      </c>
      <c r="K153" s="213" t="s">
        <v>9380</v>
      </c>
      <c r="L153" s="213" t="s">
        <v>10631</v>
      </c>
      <c r="M153" s="213" t="s">
        <v>9979</v>
      </c>
      <c r="P153" s="121"/>
    </row>
    <row r="154" spans="1:16">
      <c r="A154" s="214" t="s">
        <v>944</v>
      </c>
      <c r="B154" s="213" t="s">
        <v>935</v>
      </c>
      <c r="C154" s="221" t="s">
        <v>934</v>
      </c>
      <c r="D154" s="221" t="s">
        <v>936</v>
      </c>
      <c r="E154" s="221" t="s">
        <v>3858</v>
      </c>
      <c r="F154" s="213" t="s">
        <v>3859</v>
      </c>
      <c r="G154" s="213" t="s">
        <v>3860</v>
      </c>
      <c r="H154" s="213" t="s">
        <v>3861</v>
      </c>
      <c r="I154" s="213" t="s">
        <v>3862</v>
      </c>
      <c r="J154" s="213" t="s">
        <v>3863</v>
      </c>
      <c r="K154" s="213" t="s">
        <v>9381</v>
      </c>
      <c r="L154" s="213" t="s">
        <v>10632</v>
      </c>
      <c r="M154" s="213" t="s">
        <v>9980</v>
      </c>
      <c r="P154" s="121"/>
    </row>
    <row r="155" spans="1:16">
      <c r="A155" s="214" t="s">
        <v>946</v>
      </c>
      <c r="B155" s="213" t="s">
        <v>939</v>
      </c>
      <c r="C155" s="221" t="s">
        <v>938</v>
      </c>
      <c r="D155" s="221" t="s">
        <v>940</v>
      </c>
      <c r="E155" s="221" t="s">
        <v>3864</v>
      </c>
      <c r="F155" s="213" t="s">
        <v>3865</v>
      </c>
      <c r="G155" s="213" t="s">
        <v>3866</v>
      </c>
      <c r="H155" s="213" t="s">
        <v>3867</v>
      </c>
      <c r="I155" s="213" t="s">
        <v>3868</v>
      </c>
      <c r="J155" s="213" t="s">
        <v>3869</v>
      </c>
      <c r="K155" s="213" t="s">
        <v>9382</v>
      </c>
      <c r="L155" s="213" t="s">
        <v>10633</v>
      </c>
      <c r="M155" s="213" t="s">
        <v>9981</v>
      </c>
      <c r="P155" s="121"/>
    </row>
    <row r="156" spans="1:16">
      <c r="A156" s="214" t="s">
        <v>3870</v>
      </c>
      <c r="B156" s="213" t="s">
        <v>3873</v>
      </c>
      <c r="C156" s="221" t="s">
        <v>3872</v>
      </c>
      <c r="D156" s="221" t="s">
        <v>3874</v>
      </c>
      <c r="E156" s="221" t="s">
        <v>3875</v>
      </c>
      <c r="F156" s="213" t="s">
        <v>3876</v>
      </c>
      <c r="G156" s="213" t="s">
        <v>3877</v>
      </c>
      <c r="H156" s="213" t="s">
        <v>3878</v>
      </c>
      <c r="I156" s="213" t="s">
        <v>3879</v>
      </c>
      <c r="J156" s="213" t="s">
        <v>3880</v>
      </c>
      <c r="K156" s="213" t="s">
        <v>9383</v>
      </c>
      <c r="L156" s="213" t="s">
        <v>10634</v>
      </c>
      <c r="M156" s="213" t="s">
        <v>9982</v>
      </c>
      <c r="P156" s="121"/>
    </row>
    <row r="157" spans="1:16">
      <c r="A157" s="213" t="s">
        <v>947</v>
      </c>
      <c r="B157" s="213" t="s">
        <v>2844</v>
      </c>
      <c r="C157" s="221" t="s">
        <v>942</v>
      </c>
      <c r="D157" s="221" t="s">
        <v>943</v>
      </c>
      <c r="E157" s="221" t="s">
        <v>3881</v>
      </c>
      <c r="F157" s="213" t="s">
        <v>3882</v>
      </c>
      <c r="G157" s="213" t="s">
        <v>3883</v>
      </c>
      <c r="H157" s="213" t="s">
        <v>3884</v>
      </c>
      <c r="I157" s="213" t="s">
        <v>3885</v>
      </c>
      <c r="J157" s="213" t="s">
        <v>3886</v>
      </c>
      <c r="K157" s="213" t="s">
        <v>9384</v>
      </c>
      <c r="L157" s="213" t="s">
        <v>10635</v>
      </c>
      <c r="M157" s="213" t="s">
        <v>9983</v>
      </c>
      <c r="P157" s="121"/>
    </row>
    <row r="158" spans="1:16">
      <c r="A158" s="213" t="s">
        <v>2518</v>
      </c>
      <c r="B158" s="213" t="s">
        <v>2845</v>
      </c>
      <c r="C158" s="221" t="s">
        <v>2939</v>
      </c>
      <c r="D158" s="221" t="s">
        <v>3015</v>
      </c>
      <c r="E158" s="221" t="s">
        <v>3887</v>
      </c>
      <c r="F158" s="213" t="s">
        <v>3888</v>
      </c>
      <c r="G158" s="213" t="s">
        <v>3889</v>
      </c>
      <c r="H158" s="213" t="s">
        <v>3890</v>
      </c>
      <c r="I158" s="213" t="s">
        <v>3868</v>
      </c>
      <c r="J158" s="213" t="s">
        <v>3891</v>
      </c>
      <c r="K158" s="213" t="s">
        <v>9385</v>
      </c>
      <c r="L158" s="213" t="s">
        <v>10636</v>
      </c>
      <c r="M158" s="213" t="s">
        <v>9984</v>
      </c>
      <c r="P158" s="121"/>
    </row>
    <row r="159" spans="1:16">
      <c r="A159" s="214" t="s">
        <v>948</v>
      </c>
      <c r="B159" s="213" t="s">
        <v>950</v>
      </c>
      <c r="C159" s="221" t="s">
        <v>949</v>
      </c>
      <c r="D159" s="221" t="s">
        <v>951</v>
      </c>
      <c r="E159" s="221" t="s">
        <v>3892</v>
      </c>
      <c r="F159" s="213" t="s">
        <v>3893</v>
      </c>
      <c r="G159" s="213" t="s">
        <v>3894</v>
      </c>
      <c r="H159" s="213" t="s">
        <v>3895</v>
      </c>
      <c r="I159" s="213" t="s">
        <v>3896</v>
      </c>
      <c r="J159" s="213" t="s">
        <v>3897</v>
      </c>
      <c r="K159" s="213" t="s">
        <v>9386</v>
      </c>
      <c r="L159" s="213" t="s">
        <v>10637</v>
      </c>
      <c r="M159" s="213" t="s">
        <v>9985</v>
      </c>
      <c r="P159" s="121"/>
    </row>
    <row r="160" spans="1:16">
      <c r="A160" s="213" t="s">
        <v>2520</v>
      </c>
      <c r="B160" s="213" t="s">
        <v>2846</v>
      </c>
      <c r="C160" s="221" t="s">
        <v>2940</v>
      </c>
      <c r="D160" s="221" t="s">
        <v>3016</v>
      </c>
      <c r="E160" s="221" t="s">
        <v>3898</v>
      </c>
      <c r="F160" s="213" t="s">
        <v>3899</v>
      </c>
      <c r="G160" s="213" t="s">
        <v>3900</v>
      </c>
      <c r="H160" s="213" t="s">
        <v>3901</v>
      </c>
      <c r="I160" s="213" t="s">
        <v>3902</v>
      </c>
      <c r="J160" s="213" t="s">
        <v>3903</v>
      </c>
      <c r="K160" s="213" t="s">
        <v>9387</v>
      </c>
      <c r="L160" s="213" t="s">
        <v>10638</v>
      </c>
      <c r="M160" s="213" t="s">
        <v>9986</v>
      </c>
      <c r="P160" s="121"/>
    </row>
    <row r="161" spans="1:16">
      <c r="A161" s="213" t="s">
        <v>922</v>
      </c>
      <c r="B161" s="213" t="s">
        <v>926</v>
      </c>
      <c r="C161" s="221" t="s">
        <v>925</v>
      </c>
      <c r="D161" s="221" t="s">
        <v>927</v>
      </c>
      <c r="E161" s="221" t="s">
        <v>3904</v>
      </c>
      <c r="F161" s="213" t="s">
        <v>3905</v>
      </c>
      <c r="G161" s="213" t="s">
        <v>3906</v>
      </c>
      <c r="H161" s="213" t="s">
        <v>3907</v>
      </c>
      <c r="I161" s="213" t="s">
        <v>3246</v>
      </c>
      <c r="J161" s="213" t="s">
        <v>3908</v>
      </c>
      <c r="K161" s="213" t="s">
        <v>9388</v>
      </c>
      <c r="L161" s="213" t="s">
        <v>10639</v>
      </c>
      <c r="M161" s="213" t="s">
        <v>9987</v>
      </c>
      <c r="P161" s="121"/>
    </row>
    <row r="162" spans="1:16">
      <c r="A162" s="213" t="s">
        <v>928</v>
      </c>
      <c r="B162" s="213" t="s">
        <v>926</v>
      </c>
      <c r="C162" s="221" t="s">
        <v>925</v>
      </c>
      <c r="D162" s="221" t="s">
        <v>927</v>
      </c>
      <c r="E162" s="221" t="s">
        <v>3904</v>
      </c>
      <c r="F162" s="213" t="s">
        <v>3905</v>
      </c>
      <c r="G162" s="213" t="s">
        <v>3909</v>
      </c>
      <c r="H162" s="213" t="s">
        <v>3907</v>
      </c>
      <c r="I162" s="213" t="s">
        <v>3246</v>
      </c>
      <c r="J162" s="213" t="s">
        <v>3908</v>
      </c>
      <c r="K162" s="213" t="s">
        <v>9388</v>
      </c>
      <c r="L162" s="213" t="s">
        <v>10639</v>
      </c>
      <c r="M162" s="213" t="s">
        <v>9987</v>
      </c>
      <c r="P162" s="121"/>
    </row>
    <row r="163" spans="1:16">
      <c r="A163" s="213" t="s">
        <v>930</v>
      </c>
      <c r="B163" s="213" t="s">
        <v>932</v>
      </c>
      <c r="C163" s="221" t="s">
        <v>931</v>
      </c>
      <c r="D163" s="221" t="s">
        <v>933</v>
      </c>
      <c r="E163" s="221" t="s">
        <v>3910</v>
      </c>
      <c r="F163" s="213" t="s">
        <v>3911</v>
      </c>
      <c r="G163" s="213" t="s">
        <v>3912</v>
      </c>
      <c r="H163" s="213" t="s">
        <v>3913</v>
      </c>
      <c r="I163" s="213" t="s">
        <v>3914</v>
      </c>
      <c r="J163" s="213" t="s">
        <v>3915</v>
      </c>
      <c r="K163" s="213" t="s">
        <v>9389</v>
      </c>
      <c r="L163" s="213" t="s">
        <v>10640</v>
      </c>
      <c r="M163" s="213" t="s">
        <v>9988</v>
      </c>
      <c r="P163" s="121"/>
    </row>
    <row r="164" spans="1:16">
      <c r="A164" s="213" t="s">
        <v>392</v>
      </c>
      <c r="B164" s="213" t="s">
        <v>395</v>
      </c>
      <c r="C164" s="221" t="s">
        <v>394</v>
      </c>
      <c r="D164" s="221" t="s">
        <v>396</v>
      </c>
      <c r="E164" s="221" t="s">
        <v>3916</v>
      </c>
      <c r="F164" s="213" t="s">
        <v>3917</v>
      </c>
      <c r="G164" s="213" t="s">
        <v>3918</v>
      </c>
      <c r="H164" s="213" t="s">
        <v>3919</v>
      </c>
      <c r="I164" s="213" t="s">
        <v>3920</v>
      </c>
      <c r="J164" s="213" t="s">
        <v>3921</v>
      </c>
      <c r="K164" s="222" t="s">
        <v>9390</v>
      </c>
      <c r="L164" s="213" t="s">
        <v>10641</v>
      </c>
      <c r="M164" s="213" t="s">
        <v>9989</v>
      </c>
      <c r="P164" s="121"/>
    </row>
    <row r="165" spans="1:16">
      <c r="A165" s="213" t="s">
        <v>397</v>
      </c>
      <c r="B165" s="213" t="s">
        <v>401</v>
      </c>
      <c r="C165" s="221" t="s">
        <v>400</v>
      </c>
      <c r="D165" s="221" t="s">
        <v>402</v>
      </c>
      <c r="E165" s="221" t="s">
        <v>3922</v>
      </c>
      <c r="F165" s="213" t="s">
        <v>3923</v>
      </c>
      <c r="G165" s="213" t="s">
        <v>3924</v>
      </c>
      <c r="H165" s="213" t="s">
        <v>3925</v>
      </c>
      <c r="I165" s="213" t="s">
        <v>3926</v>
      </c>
      <c r="J165" s="213" t="s">
        <v>3927</v>
      </c>
      <c r="K165" s="213" t="s">
        <v>9391</v>
      </c>
      <c r="L165" s="213" t="s">
        <v>10642</v>
      </c>
      <c r="M165" s="213" t="s">
        <v>9990</v>
      </c>
      <c r="P165" s="121"/>
    </row>
    <row r="166" spans="1:16">
      <c r="A166" s="214" t="s">
        <v>3928</v>
      </c>
      <c r="B166" s="213" t="s">
        <v>3931</v>
      </c>
      <c r="C166" s="221" t="s">
        <v>3930</v>
      </c>
      <c r="D166" s="221" t="s">
        <v>3932</v>
      </c>
      <c r="E166" s="221" t="s">
        <v>3933</v>
      </c>
      <c r="F166" s="213" t="s">
        <v>3934</v>
      </c>
      <c r="G166" s="213" t="s">
        <v>3935</v>
      </c>
      <c r="H166" s="213" t="s">
        <v>3936</v>
      </c>
      <c r="I166" s="213" t="s">
        <v>3937</v>
      </c>
      <c r="J166" s="213" t="s">
        <v>3938</v>
      </c>
      <c r="K166" s="213" t="s">
        <v>9392</v>
      </c>
      <c r="L166" s="213" t="s">
        <v>10643</v>
      </c>
      <c r="M166" s="213" t="s">
        <v>9991</v>
      </c>
      <c r="P166" s="121"/>
    </row>
    <row r="167" spans="1:16">
      <c r="A167" s="213" t="s">
        <v>403</v>
      </c>
      <c r="B167" s="213" t="s">
        <v>406</v>
      </c>
      <c r="C167" s="221" t="s">
        <v>405</v>
      </c>
      <c r="D167" s="221" t="s">
        <v>407</v>
      </c>
      <c r="E167" s="221" t="s">
        <v>3939</v>
      </c>
      <c r="F167" s="213" t="s">
        <v>3940</v>
      </c>
      <c r="G167" s="213" t="s">
        <v>3941</v>
      </c>
      <c r="H167" s="213" t="s">
        <v>3942</v>
      </c>
      <c r="I167" s="213" t="s">
        <v>3943</v>
      </c>
      <c r="J167" s="213" t="s">
        <v>3944</v>
      </c>
      <c r="K167" s="213" t="s">
        <v>9393</v>
      </c>
      <c r="L167" s="213" t="s">
        <v>10644</v>
      </c>
      <c r="M167" s="213" t="s">
        <v>9992</v>
      </c>
      <c r="P167" s="121"/>
    </row>
    <row r="168" spans="1:16">
      <c r="A168" s="213" t="s">
        <v>409</v>
      </c>
      <c r="B168" s="213" t="s">
        <v>413</v>
      </c>
      <c r="C168" s="221" t="s">
        <v>412</v>
      </c>
      <c r="D168" s="221" t="s">
        <v>414</v>
      </c>
      <c r="E168" s="221" t="s">
        <v>3945</v>
      </c>
      <c r="F168" s="213" t="s">
        <v>3946</v>
      </c>
      <c r="G168" s="213" t="s">
        <v>3947</v>
      </c>
      <c r="H168" s="213" t="s">
        <v>3948</v>
      </c>
      <c r="I168" s="213" t="s">
        <v>3949</v>
      </c>
      <c r="J168" s="213" t="s">
        <v>3950</v>
      </c>
      <c r="K168" s="213" t="s">
        <v>9394</v>
      </c>
      <c r="L168" s="213" t="s">
        <v>10645</v>
      </c>
      <c r="M168" s="213" t="s">
        <v>9993</v>
      </c>
      <c r="P168" s="121"/>
    </row>
    <row r="169" spans="1:16">
      <c r="A169" s="213" t="s">
        <v>3951</v>
      </c>
      <c r="B169" s="213" t="s">
        <v>3953</v>
      </c>
      <c r="C169" s="221" t="s">
        <v>3952</v>
      </c>
      <c r="D169" s="221" t="s">
        <v>3954</v>
      </c>
      <c r="E169" s="221" t="s">
        <v>3955</v>
      </c>
      <c r="F169" s="213" t="s">
        <v>3956</v>
      </c>
      <c r="G169" s="213" t="s">
        <v>3957</v>
      </c>
      <c r="H169" s="213" t="s">
        <v>3958</v>
      </c>
      <c r="I169" s="213" t="s">
        <v>3959</v>
      </c>
      <c r="J169" s="213" t="s">
        <v>3960</v>
      </c>
      <c r="K169" s="222" t="s">
        <v>9395</v>
      </c>
      <c r="L169" s="213" t="s">
        <v>10646</v>
      </c>
      <c r="M169" s="213" t="s">
        <v>9994</v>
      </c>
      <c r="P169" s="121"/>
    </row>
    <row r="170" spans="1:16">
      <c r="A170" s="213" t="s">
        <v>3961</v>
      </c>
      <c r="B170" s="213" t="s">
        <v>3964</v>
      </c>
      <c r="C170" s="221" t="s">
        <v>3963</v>
      </c>
      <c r="D170" s="221" t="s">
        <v>3965</v>
      </c>
      <c r="E170" s="221" t="s">
        <v>3966</v>
      </c>
      <c r="F170" s="213" t="s">
        <v>3967</v>
      </c>
      <c r="G170" s="213" t="s">
        <v>3968</v>
      </c>
      <c r="H170" s="213" t="s">
        <v>3969</v>
      </c>
      <c r="I170" s="213" t="s">
        <v>3970</v>
      </c>
      <c r="J170" s="213" t="s">
        <v>3971</v>
      </c>
      <c r="K170" s="222" t="s">
        <v>9396</v>
      </c>
      <c r="L170" s="213" t="s">
        <v>10647</v>
      </c>
      <c r="M170" s="213" t="s">
        <v>9995</v>
      </c>
      <c r="P170" s="121"/>
    </row>
    <row r="171" spans="1:16">
      <c r="A171" s="213" t="s">
        <v>419</v>
      </c>
      <c r="B171" s="213" t="s">
        <v>423</v>
      </c>
      <c r="C171" s="221" t="s">
        <v>422</v>
      </c>
      <c r="D171" s="221" t="s">
        <v>424</v>
      </c>
      <c r="E171" s="221" t="s">
        <v>3972</v>
      </c>
      <c r="F171" s="213" t="s">
        <v>3973</v>
      </c>
      <c r="G171" s="213" t="s">
        <v>3974</v>
      </c>
      <c r="H171" s="213" t="s">
        <v>3975</v>
      </c>
      <c r="I171" s="213" t="s">
        <v>3976</v>
      </c>
      <c r="J171" s="213" t="s">
        <v>3977</v>
      </c>
      <c r="K171" s="213" t="s">
        <v>9397</v>
      </c>
      <c r="L171" s="213" t="s">
        <v>10648</v>
      </c>
      <c r="M171" s="213" t="s">
        <v>9996</v>
      </c>
      <c r="P171" s="121"/>
    </row>
    <row r="172" spans="1:16">
      <c r="A172" s="214" t="s">
        <v>425</v>
      </c>
      <c r="B172" s="213" t="s">
        <v>427</v>
      </c>
      <c r="C172" s="221" t="s">
        <v>426</v>
      </c>
      <c r="D172" s="221" t="s">
        <v>428</v>
      </c>
      <c r="E172" s="221" t="s">
        <v>3978</v>
      </c>
      <c r="F172" s="213" t="s">
        <v>3979</v>
      </c>
      <c r="G172" s="213" t="s">
        <v>3980</v>
      </c>
      <c r="H172" s="213" t="s">
        <v>3981</v>
      </c>
      <c r="I172" s="213" t="s">
        <v>3982</v>
      </c>
      <c r="J172" s="213" t="s">
        <v>3983</v>
      </c>
      <c r="K172" s="213" t="s">
        <v>9398</v>
      </c>
      <c r="L172" s="213" t="s">
        <v>10649</v>
      </c>
      <c r="M172" s="213" t="s">
        <v>9997</v>
      </c>
      <c r="P172" s="121"/>
    </row>
    <row r="173" spans="1:16">
      <c r="A173" s="213" t="s">
        <v>2486</v>
      </c>
      <c r="B173" s="213" t="s">
        <v>2819</v>
      </c>
      <c r="C173" s="221" t="s">
        <v>2922</v>
      </c>
      <c r="D173" s="221" t="s">
        <v>2997</v>
      </c>
      <c r="E173" s="221" t="s">
        <v>3984</v>
      </c>
      <c r="F173" s="213" t="s">
        <v>3985</v>
      </c>
      <c r="G173" s="213" t="s">
        <v>3986</v>
      </c>
      <c r="H173" s="213" t="s">
        <v>3987</v>
      </c>
      <c r="I173" s="213" t="s">
        <v>3988</v>
      </c>
      <c r="J173" s="213" t="s">
        <v>3989</v>
      </c>
      <c r="K173" s="213" t="s">
        <v>9399</v>
      </c>
      <c r="L173" s="213" t="s">
        <v>10650</v>
      </c>
      <c r="M173" s="213" t="s">
        <v>9998</v>
      </c>
      <c r="P173" s="121"/>
    </row>
    <row r="174" spans="1:16">
      <c r="A174" s="214" t="s">
        <v>430</v>
      </c>
      <c r="B174" s="213" t="s">
        <v>413</v>
      </c>
      <c r="C174" s="221" t="s">
        <v>412</v>
      </c>
      <c r="D174" s="221" t="s">
        <v>414</v>
      </c>
      <c r="E174" s="221" t="s">
        <v>3945</v>
      </c>
      <c r="F174" s="213" t="s">
        <v>3946</v>
      </c>
      <c r="G174" s="213" t="s">
        <v>3990</v>
      </c>
      <c r="H174" s="213" t="s">
        <v>3948</v>
      </c>
      <c r="I174" s="213" t="s">
        <v>3949</v>
      </c>
      <c r="J174" s="213" t="s">
        <v>3950</v>
      </c>
      <c r="K174" s="213" t="s">
        <v>9394</v>
      </c>
      <c r="L174" s="213" t="s">
        <v>10645</v>
      </c>
      <c r="M174" s="213" t="s">
        <v>9993</v>
      </c>
      <c r="P174" s="121"/>
    </row>
    <row r="175" spans="1:16">
      <c r="A175" s="214" t="s">
        <v>433</v>
      </c>
      <c r="B175" s="213" t="s">
        <v>2820</v>
      </c>
      <c r="C175" s="221" t="s">
        <v>436</v>
      </c>
      <c r="D175" s="221" t="s">
        <v>437</v>
      </c>
      <c r="E175" s="221" t="s">
        <v>3995</v>
      </c>
      <c r="F175" s="213" t="s">
        <v>3996</v>
      </c>
      <c r="G175" s="213" t="s">
        <v>3997</v>
      </c>
      <c r="H175" s="213" t="s">
        <v>3995</v>
      </c>
      <c r="I175" s="213" t="s">
        <v>3998</v>
      </c>
      <c r="J175" s="213" t="s">
        <v>3999</v>
      </c>
      <c r="K175" s="213" t="s">
        <v>9401</v>
      </c>
      <c r="L175" s="213" t="s">
        <v>10652</v>
      </c>
      <c r="M175" s="213" t="s">
        <v>9999</v>
      </c>
      <c r="P175" s="121"/>
    </row>
    <row r="176" spans="1:16">
      <c r="A176" s="214" t="s">
        <v>12278</v>
      </c>
      <c r="B176" s="213" t="s">
        <v>2820</v>
      </c>
      <c r="C176" s="221" t="s">
        <v>436</v>
      </c>
      <c r="D176" s="221" t="s">
        <v>437</v>
      </c>
      <c r="E176" s="221" t="s">
        <v>3995</v>
      </c>
      <c r="F176" s="213" t="s">
        <v>3996</v>
      </c>
      <c r="G176" s="213" t="s">
        <v>3997</v>
      </c>
      <c r="H176" s="213" t="s">
        <v>3995</v>
      </c>
      <c r="I176" s="213" t="s">
        <v>3998</v>
      </c>
      <c r="J176" s="213" t="s">
        <v>3999</v>
      </c>
      <c r="K176" s="213" t="s">
        <v>9401</v>
      </c>
      <c r="L176" s="213" t="s">
        <v>10652</v>
      </c>
      <c r="M176" s="213" t="s">
        <v>9999</v>
      </c>
      <c r="P176" s="121"/>
    </row>
    <row r="177" spans="1:16">
      <c r="A177" s="213" t="s">
        <v>4000</v>
      </c>
      <c r="B177" s="213" t="s">
        <v>4003</v>
      </c>
      <c r="C177" s="221" t="s">
        <v>4002</v>
      </c>
      <c r="D177" s="221" t="s">
        <v>4004</v>
      </c>
      <c r="E177" s="221" t="s">
        <v>4005</v>
      </c>
      <c r="F177" s="213" t="s">
        <v>4006</v>
      </c>
      <c r="G177" s="213" t="s">
        <v>4007</v>
      </c>
      <c r="H177" s="213" t="s">
        <v>4008</v>
      </c>
      <c r="I177" s="213" t="s">
        <v>4009</v>
      </c>
      <c r="J177" s="213" t="s">
        <v>4010</v>
      </c>
      <c r="K177" s="213" t="s">
        <v>9402</v>
      </c>
      <c r="L177" s="213" t="s">
        <v>10653</v>
      </c>
      <c r="M177" s="213" t="s">
        <v>10000</v>
      </c>
      <c r="P177" s="121"/>
    </row>
    <row r="178" spans="1:16">
      <c r="A178" s="213" t="s">
        <v>438</v>
      </c>
      <c r="B178" s="213" t="s">
        <v>2821</v>
      </c>
      <c r="C178" s="221" t="s">
        <v>2923</v>
      </c>
      <c r="D178" s="221" t="s">
        <v>2998</v>
      </c>
      <c r="E178" s="221" t="s">
        <v>4011</v>
      </c>
      <c r="F178" s="213" t="s">
        <v>4012</v>
      </c>
      <c r="G178" s="213" t="s">
        <v>4013</v>
      </c>
      <c r="H178" s="213" t="s">
        <v>4014</v>
      </c>
      <c r="I178" s="213" t="s">
        <v>4015</v>
      </c>
      <c r="J178" s="213" t="s">
        <v>4016</v>
      </c>
      <c r="K178" s="213" t="s">
        <v>9403</v>
      </c>
      <c r="L178" s="213" t="s">
        <v>10654</v>
      </c>
      <c r="M178" s="213" t="s">
        <v>10001</v>
      </c>
      <c r="P178" s="121"/>
    </row>
    <row r="179" spans="1:16">
      <c r="A179" s="213" t="s">
        <v>442</v>
      </c>
      <c r="B179" s="213" t="s">
        <v>2822</v>
      </c>
      <c r="C179" s="221" t="s">
        <v>2924</v>
      </c>
      <c r="D179" s="221" t="s">
        <v>2999</v>
      </c>
      <c r="E179" s="221" t="s">
        <v>4017</v>
      </c>
      <c r="F179" s="213" t="s">
        <v>4018</v>
      </c>
      <c r="G179" s="213" t="s">
        <v>4019</v>
      </c>
      <c r="H179" s="213" t="s">
        <v>4020</v>
      </c>
      <c r="I179" s="213" t="s">
        <v>4021</v>
      </c>
      <c r="J179" s="213" t="s">
        <v>4022</v>
      </c>
      <c r="K179" s="213" t="s">
        <v>9404</v>
      </c>
      <c r="L179" s="213" t="s">
        <v>10655</v>
      </c>
      <c r="M179" s="213" t="s">
        <v>10002</v>
      </c>
      <c r="P179" s="121"/>
    </row>
    <row r="180" spans="1:16">
      <c r="A180" s="213" t="s">
        <v>443</v>
      </c>
      <c r="B180" s="213" t="s">
        <v>446</v>
      </c>
      <c r="C180" s="221" t="s">
        <v>445</v>
      </c>
      <c r="D180" s="221" t="s">
        <v>447</v>
      </c>
      <c r="E180" s="221" t="s">
        <v>4023</v>
      </c>
      <c r="F180" s="213" t="s">
        <v>4024</v>
      </c>
      <c r="G180" s="213" t="s">
        <v>4025</v>
      </c>
      <c r="H180" s="213" t="s">
        <v>4026</v>
      </c>
      <c r="I180" s="213" t="s">
        <v>4027</v>
      </c>
      <c r="J180" s="213" t="s">
        <v>4028</v>
      </c>
      <c r="K180" s="213" t="s">
        <v>9405</v>
      </c>
      <c r="L180" s="213" t="s">
        <v>10656</v>
      </c>
      <c r="M180" s="213" t="s">
        <v>10003</v>
      </c>
      <c r="P180" s="121"/>
    </row>
    <row r="181" spans="1:16">
      <c r="A181" s="213" t="s">
        <v>448</v>
      </c>
      <c r="B181" s="213" t="s">
        <v>450</v>
      </c>
      <c r="C181" s="221" t="s">
        <v>449</v>
      </c>
      <c r="D181" s="221" t="s">
        <v>451</v>
      </c>
      <c r="E181" s="221" t="s">
        <v>4029</v>
      </c>
      <c r="F181" s="213" t="s">
        <v>4030</v>
      </c>
      <c r="G181" s="213" t="s">
        <v>4031</v>
      </c>
      <c r="H181" s="213" t="s">
        <v>4032</v>
      </c>
      <c r="I181" s="213" t="s">
        <v>4033</v>
      </c>
      <c r="J181" s="213" t="s">
        <v>4034</v>
      </c>
      <c r="K181" s="222" t="s">
        <v>9406</v>
      </c>
      <c r="L181" s="213" t="s">
        <v>10657</v>
      </c>
      <c r="M181" s="213" t="s">
        <v>10004</v>
      </c>
      <c r="P181" s="121"/>
    </row>
    <row r="182" spans="1:16">
      <c r="A182" s="213" t="s">
        <v>452</v>
      </c>
      <c r="B182" s="213" t="s">
        <v>440</v>
      </c>
      <c r="C182" s="221" t="s">
        <v>453</v>
      </c>
      <c r="D182" s="221" t="s">
        <v>441</v>
      </c>
      <c r="E182" s="221" t="s">
        <v>4035</v>
      </c>
      <c r="F182" s="213" t="s">
        <v>4036</v>
      </c>
      <c r="G182" s="213" t="s">
        <v>4037</v>
      </c>
      <c r="H182" s="213" t="s">
        <v>4038</v>
      </c>
      <c r="I182" s="213" t="s">
        <v>4039</v>
      </c>
      <c r="J182" s="213" t="s">
        <v>4040</v>
      </c>
      <c r="K182" s="222" t="s">
        <v>9407</v>
      </c>
      <c r="L182" s="213" t="s">
        <v>10658</v>
      </c>
      <c r="M182" s="213" t="s">
        <v>10001</v>
      </c>
      <c r="P182" s="121"/>
    </row>
    <row r="183" spans="1:16">
      <c r="A183" s="214" t="s">
        <v>454</v>
      </c>
      <c r="B183" s="213" t="s">
        <v>458</v>
      </c>
      <c r="C183" s="221" t="s">
        <v>457</v>
      </c>
      <c r="D183" s="221" t="s">
        <v>459</v>
      </c>
      <c r="E183" s="221" t="s">
        <v>4041</v>
      </c>
      <c r="F183" s="213" t="s">
        <v>4042</v>
      </c>
      <c r="G183" s="213" t="s">
        <v>4043</v>
      </c>
      <c r="H183" s="213" t="s">
        <v>4044</v>
      </c>
      <c r="I183" s="213" t="s">
        <v>4045</v>
      </c>
      <c r="J183" s="213" t="s">
        <v>4046</v>
      </c>
      <c r="K183" s="213" t="s">
        <v>9408</v>
      </c>
      <c r="L183" s="213" t="s">
        <v>10659</v>
      </c>
      <c r="M183" s="213" t="s">
        <v>10005</v>
      </c>
      <c r="P183" s="121"/>
    </row>
    <row r="184" spans="1:16">
      <c r="A184" s="215" t="s">
        <v>460</v>
      </c>
      <c r="B184" s="213" t="s">
        <v>462</v>
      </c>
      <c r="C184" s="221" t="s">
        <v>461</v>
      </c>
      <c r="D184" s="221" t="s">
        <v>463</v>
      </c>
      <c r="E184" s="221" t="s">
        <v>4047</v>
      </c>
      <c r="F184" s="213" t="s">
        <v>4048</v>
      </c>
      <c r="G184" s="213" t="s">
        <v>4049</v>
      </c>
      <c r="H184" s="213" t="s">
        <v>4050</v>
      </c>
      <c r="I184" s="213" t="s">
        <v>4051</v>
      </c>
      <c r="J184" s="213" t="s">
        <v>4052</v>
      </c>
      <c r="K184" s="213" t="s">
        <v>9409</v>
      </c>
      <c r="L184" s="213" t="s">
        <v>10660</v>
      </c>
      <c r="M184" s="213" t="s">
        <v>10006</v>
      </c>
      <c r="P184" s="121"/>
    </row>
    <row r="185" spans="1:16">
      <c r="A185" s="213" t="s">
        <v>464</v>
      </c>
      <c r="B185" s="213" t="s">
        <v>466</v>
      </c>
      <c r="C185" s="221" t="s">
        <v>465</v>
      </c>
      <c r="D185" s="221" t="s">
        <v>467</v>
      </c>
      <c r="E185" s="221" t="s">
        <v>4053</v>
      </c>
      <c r="F185" s="213" t="s">
        <v>4048</v>
      </c>
      <c r="G185" s="213" t="s">
        <v>4054</v>
      </c>
      <c r="H185" s="213" t="s">
        <v>4055</v>
      </c>
      <c r="I185" s="213" t="s">
        <v>4056</v>
      </c>
      <c r="J185" s="213" t="s">
        <v>4057</v>
      </c>
      <c r="K185" s="213" t="s">
        <v>9410</v>
      </c>
      <c r="L185" s="213" t="s">
        <v>10661</v>
      </c>
      <c r="M185" s="213" t="s">
        <v>10007</v>
      </c>
      <c r="P185" s="121"/>
    </row>
    <row r="186" spans="1:16">
      <c r="A186" s="213" t="s">
        <v>468</v>
      </c>
      <c r="B186" s="213" t="s">
        <v>470</v>
      </c>
      <c r="C186" s="221" t="s">
        <v>469</v>
      </c>
      <c r="D186" s="221" t="s">
        <v>471</v>
      </c>
      <c r="E186" s="221" t="s">
        <v>4058</v>
      </c>
      <c r="F186" s="213" t="s">
        <v>4059</v>
      </c>
      <c r="G186" s="213" t="s">
        <v>4060</v>
      </c>
      <c r="H186" s="213" t="s">
        <v>4061</v>
      </c>
      <c r="I186" s="213" t="s">
        <v>4062</v>
      </c>
      <c r="J186" s="213" t="s">
        <v>4063</v>
      </c>
      <c r="K186" s="213" t="s">
        <v>9411</v>
      </c>
      <c r="L186" s="213" t="s">
        <v>10662</v>
      </c>
      <c r="M186" s="213" t="s">
        <v>10008</v>
      </c>
      <c r="P186" s="121"/>
    </row>
    <row r="187" spans="1:16">
      <c r="A187" s="213" t="s">
        <v>472</v>
      </c>
      <c r="B187" s="213" t="s">
        <v>474</v>
      </c>
      <c r="C187" s="221" t="s">
        <v>473</v>
      </c>
      <c r="D187" s="221" t="s">
        <v>475</v>
      </c>
      <c r="E187" s="221" t="s">
        <v>4064</v>
      </c>
      <c r="F187" s="213" t="s">
        <v>4065</v>
      </c>
      <c r="G187" s="213" t="s">
        <v>4066</v>
      </c>
      <c r="H187" s="213" t="s">
        <v>4067</v>
      </c>
      <c r="I187" s="213" t="s">
        <v>4068</v>
      </c>
      <c r="J187" s="213" t="s">
        <v>4069</v>
      </c>
      <c r="K187" s="213" t="s">
        <v>9412</v>
      </c>
      <c r="L187" s="213" t="s">
        <v>10663</v>
      </c>
      <c r="M187" s="213" t="s">
        <v>10009</v>
      </c>
      <c r="P187" s="121"/>
    </row>
    <row r="188" spans="1:16">
      <c r="A188" s="213" t="s">
        <v>476</v>
      </c>
      <c r="B188" s="213" t="s">
        <v>478</v>
      </c>
      <c r="C188" s="221" t="s">
        <v>477</v>
      </c>
      <c r="D188" s="221" t="s">
        <v>479</v>
      </c>
      <c r="E188" s="221" t="s">
        <v>4070</v>
      </c>
      <c r="F188" s="213" t="s">
        <v>4071</v>
      </c>
      <c r="G188" s="213" t="s">
        <v>4072</v>
      </c>
      <c r="H188" s="213" t="s">
        <v>4073</v>
      </c>
      <c r="I188" s="213" t="s">
        <v>4074</v>
      </c>
      <c r="J188" s="213" t="s">
        <v>4075</v>
      </c>
      <c r="K188" s="213" t="s">
        <v>9413</v>
      </c>
      <c r="L188" s="213" t="s">
        <v>10664</v>
      </c>
      <c r="M188" s="213" t="s">
        <v>10010</v>
      </c>
      <c r="P188" s="121"/>
    </row>
    <row r="189" spans="1:16">
      <c r="A189" s="213" t="s">
        <v>480</v>
      </c>
      <c r="B189" s="213" t="s">
        <v>482</v>
      </c>
      <c r="C189" s="221" t="s">
        <v>481</v>
      </c>
      <c r="D189" s="221" t="s">
        <v>483</v>
      </c>
      <c r="E189" s="221" t="s">
        <v>4076</v>
      </c>
      <c r="F189" s="213" t="s">
        <v>4077</v>
      </c>
      <c r="G189" s="213" t="s">
        <v>4078</v>
      </c>
      <c r="H189" s="213" t="s">
        <v>4079</v>
      </c>
      <c r="I189" s="213" t="s">
        <v>4080</v>
      </c>
      <c r="J189" s="213" t="s">
        <v>4081</v>
      </c>
      <c r="K189" s="213" t="s">
        <v>9414</v>
      </c>
      <c r="L189" s="213" t="s">
        <v>10665</v>
      </c>
      <c r="M189" s="213" t="s">
        <v>10011</v>
      </c>
      <c r="P189" s="121"/>
    </row>
    <row r="190" spans="1:16">
      <c r="A190" s="213" t="s">
        <v>484</v>
      </c>
      <c r="B190" s="213" t="s">
        <v>2823</v>
      </c>
      <c r="C190" s="221" t="s">
        <v>485</v>
      </c>
      <c r="D190" s="221" t="s">
        <v>486</v>
      </c>
      <c r="E190" s="221" t="s">
        <v>4082</v>
      </c>
      <c r="F190" s="213" t="s">
        <v>4083</v>
      </c>
      <c r="G190" s="213" t="s">
        <v>4084</v>
      </c>
      <c r="H190" s="213" t="s">
        <v>4085</v>
      </c>
      <c r="I190" s="213" t="s">
        <v>4086</v>
      </c>
      <c r="J190" s="213" t="s">
        <v>4087</v>
      </c>
      <c r="K190" s="213" t="s">
        <v>9415</v>
      </c>
      <c r="L190" s="213" t="s">
        <v>10666</v>
      </c>
      <c r="M190" s="213" t="s">
        <v>10012</v>
      </c>
      <c r="P190" s="121"/>
    </row>
    <row r="191" spans="1:16">
      <c r="A191" s="213" t="s">
        <v>487</v>
      </c>
      <c r="B191" s="213" t="s">
        <v>489</v>
      </c>
      <c r="C191" s="221" t="s">
        <v>488</v>
      </c>
      <c r="D191" s="221" t="s">
        <v>490</v>
      </c>
      <c r="E191" s="221" t="s">
        <v>4076</v>
      </c>
      <c r="F191" s="213" t="s">
        <v>4088</v>
      </c>
      <c r="G191" s="213" t="s">
        <v>4089</v>
      </c>
      <c r="H191" s="213" t="s">
        <v>4090</v>
      </c>
      <c r="I191" s="213" t="s">
        <v>4091</v>
      </c>
      <c r="J191" s="213" t="s">
        <v>4092</v>
      </c>
      <c r="K191" s="213" t="s">
        <v>9416</v>
      </c>
      <c r="L191" s="213" t="s">
        <v>10667</v>
      </c>
      <c r="M191" s="213" t="s">
        <v>10013</v>
      </c>
      <c r="P191" s="121"/>
    </row>
    <row r="192" spans="1:16">
      <c r="A192" s="213" t="s">
        <v>491</v>
      </c>
      <c r="B192" s="213" t="s">
        <v>495</v>
      </c>
      <c r="C192" s="221" t="s">
        <v>494</v>
      </c>
      <c r="D192" s="221" t="s">
        <v>496</v>
      </c>
      <c r="E192" s="221" t="s">
        <v>4093</v>
      </c>
      <c r="F192" s="213" t="s">
        <v>4094</v>
      </c>
      <c r="G192" s="213" t="s">
        <v>4095</v>
      </c>
      <c r="H192" s="213" t="s">
        <v>4096</v>
      </c>
      <c r="I192" s="213" t="s">
        <v>4097</v>
      </c>
      <c r="J192" s="213" t="s">
        <v>4098</v>
      </c>
      <c r="K192" s="213" t="s">
        <v>9417</v>
      </c>
      <c r="L192" s="213" t="s">
        <v>10668</v>
      </c>
      <c r="M192" s="213" t="s">
        <v>10014</v>
      </c>
      <c r="P192" s="121"/>
    </row>
    <row r="193" spans="1:16">
      <c r="A193" s="213" t="s">
        <v>497</v>
      </c>
      <c r="B193" s="213" t="s">
        <v>501</v>
      </c>
      <c r="C193" s="221" t="s">
        <v>500</v>
      </c>
      <c r="D193" s="221" t="s">
        <v>502</v>
      </c>
      <c r="E193" s="221" t="s">
        <v>4099</v>
      </c>
      <c r="F193" s="213" t="s">
        <v>4100</v>
      </c>
      <c r="G193" s="213" t="s">
        <v>4101</v>
      </c>
      <c r="H193" s="213" t="s">
        <v>4102</v>
      </c>
      <c r="I193" s="213" t="s">
        <v>4103</v>
      </c>
      <c r="J193" s="213" t="s">
        <v>4104</v>
      </c>
      <c r="K193" s="213" t="s">
        <v>9418</v>
      </c>
      <c r="L193" s="213" t="s">
        <v>10669</v>
      </c>
      <c r="M193" s="213" t="s">
        <v>10015</v>
      </c>
      <c r="P193" s="121"/>
    </row>
    <row r="194" spans="1:16">
      <c r="A194" s="213" t="s">
        <v>503</v>
      </c>
      <c r="B194" s="213" t="s">
        <v>507</v>
      </c>
      <c r="C194" s="221" t="s">
        <v>506</v>
      </c>
      <c r="D194" s="221" t="s">
        <v>508</v>
      </c>
      <c r="E194" s="221" t="s">
        <v>4105</v>
      </c>
      <c r="F194" s="213" t="s">
        <v>4106</v>
      </c>
      <c r="G194" s="213" t="s">
        <v>4107</v>
      </c>
      <c r="H194" s="213" t="s">
        <v>4108</v>
      </c>
      <c r="I194" s="213" t="s">
        <v>4109</v>
      </c>
      <c r="J194" s="213" t="s">
        <v>4110</v>
      </c>
      <c r="K194" s="213" t="s">
        <v>9419</v>
      </c>
      <c r="L194" s="213" t="s">
        <v>10670</v>
      </c>
      <c r="M194" s="213" t="s">
        <v>10016</v>
      </c>
      <c r="P194" s="121"/>
    </row>
    <row r="195" spans="1:16">
      <c r="A195" s="213" t="s">
        <v>511</v>
      </c>
      <c r="B195" s="213" t="s">
        <v>514</v>
      </c>
      <c r="C195" s="221" t="s">
        <v>513</v>
      </c>
      <c r="D195" s="221" t="s">
        <v>515</v>
      </c>
      <c r="E195" s="221" t="s">
        <v>4111</v>
      </c>
      <c r="F195" s="213" t="s">
        <v>4112</v>
      </c>
      <c r="G195" s="213" t="s">
        <v>4113</v>
      </c>
      <c r="H195" s="213" t="s">
        <v>4114</v>
      </c>
      <c r="I195" s="213" t="s">
        <v>4115</v>
      </c>
      <c r="J195" s="213" t="s">
        <v>4116</v>
      </c>
      <c r="K195" s="213" t="s">
        <v>9420</v>
      </c>
      <c r="L195" s="213" t="s">
        <v>10671</v>
      </c>
      <c r="M195" s="213" t="s">
        <v>10017</v>
      </c>
      <c r="P195" s="121"/>
    </row>
    <row r="196" spans="1:16">
      <c r="A196" s="213" t="s">
        <v>516</v>
      </c>
      <c r="B196" s="213" t="s">
        <v>520</v>
      </c>
      <c r="C196" s="221" t="s">
        <v>519</v>
      </c>
      <c r="D196" s="221" t="s">
        <v>521</v>
      </c>
      <c r="E196" s="221" t="s">
        <v>4117</v>
      </c>
      <c r="F196" s="213" t="s">
        <v>4118</v>
      </c>
      <c r="G196" s="213" t="s">
        <v>4119</v>
      </c>
      <c r="H196" s="213" t="s">
        <v>4120</v>
      </c>
      <c r="I196" s="213" t="s">
        <v>4121</v>
      </c>
      <c r="J196" s="213" t="s">
        <v>4122</v>
      </c>
      <c r="K196" s="213" t="s">
        <v>9421</v>
      </c>
      <c r="L196" s="213" t="s">
        <v>10672</v>
      </c>
      <c r="M196" s="213" t="s">
        <v>10018</v>
      </c>
      <c r="P196" s="121"/>
    </row>
    <row r="197" spans="1:16">
      <c r="A197" s="213" t="s">
        <v>522</v>
      </c>
      <c r="B197" s="213" t="s">
        <v>510</v>
      </c>
      <c r="C197" s="221" t="s">
        <v>509</v>
      </c>
      <c r="D197" s="221" t="s">
        <v>523</v>
      </c>
      <c r="E197" s="221" t="s">
        <v>4123</v>
      </c>
      <c r="F197" s="213" t="s">
        <v>4124</v>
      </c>
      <c r="G197" s="213" t="s">
        <v>4125</v>
      </c>
      <c r="H197" s="213" t="s">
        <v>4108</v>
      </c>
      <c r="I197" s="213" t="s">
        <v>4126</v>
      </c>
      <c r="J197" s="213" t="s">
        <v>4127</v>
      </c>
      <c r="K197" s="213" t="s">
        <v>9422</v>
      </c>
      <c r="L197" s="213" t="s">
        <v>10673</v>
      </c>
      <c r="M197" s="213" t="s">
        <v>10019</v>
      </c>
      <c r="P197" s="121"/>
    </row>
    <row r="198" spans="1:16">
      <c r="A198" s="213" t="s">
        <v>524</v>
      </c>
      <c r="B198" s="213" t="s">
        <v>507</v>
      </c>
      <c r="C198" s="221" t="s">
        <v>506</v>
      </c>
      <c r="D198" s="221" t="s">
        <v>508</v>
      </c>
      <c r="E198" s="221" t="s">
        <v>4105</v>
      </c>
      <c r="F198" s="213" t="s">
        <v>4106</v>
      </c>
      <c r="G198" s="213" t="s">
        <v>4107</v>
      </c>
      <c r="H198" s="213" t="s">
        <v>4128</v>
      </c>
      <c r="I198" s="213" t="s">
        <v>4109</v>
      </c>
      <c r="J198" s="213" t="s">
        <v>4129</v>
      </c>
      <c r="K198" s="213" t="s">
        <v>9419</v>
      </c>
      <c r="L198" s="213" t="s">
        <v>10670</v>
      </c>
      <c r="M198" s="213" t="s">
        <v>10016</v>
      </c>
      <c r="P198" s="121"/>
    </row>
    <row r="199" spans="1:16">
      <c r="A199" s="213" t="s">
        <v>525</v>
      </c>
      <c r="B199" s="213" t="s">
        <v>527</v>
      </c>
      <c r="C199" s="221" t="s">
        <v>526</v>
      </c>
      <c r="D199" s="221" t="s">
        <v>11203</v>
      </c>
      <c r="E199" s="221" t="s">
        <v>4130</v>
      </c>
      <c r="F199" s="213" t="s">
        <v>4131</v>
      </c>
      <c r="G199" s="213" t="s">
        <v>4132</v>
      </c>
      <c r="H199" s="213" t="s">
        <v>4133</v>
      </c>
      <c r="I199" s="213" t="s">
        <v>4134</v>
      </c>
      <c r="J199" s="213" t="s">
        <v>4135</v>
      </c>
      <c r="K199" s="222" t="s">
        <v>9423</v>
      </c>
      <c r="L199" s="213" t="s">
        <v>10674</v>
      </c>
      <c r="M199" s="213" t="s">
        <v>10020</v>
      </c>
      <c r="P199" s="121"/>
    </row>
    <row r="200" spans="1:16">
      <c r="A200" s="213" t="s">
        <v>528</v>
      </c>
      <c r="B200" s="213" t="s">
        <v>530</v>
      </c>
      <c r="C200" s="221" t="s">
        <v>529</v>
      </c>
      <c r="D200" s="221" t="s">
        <v>11204</v>
      </c>
      <c r="E200" s="221" t="s">
        <v>4136</v>
      </c>
      <c r="F200" s="213" t="s">
        <v>4137</v>
      </c>
      <c r="G200" s="213" t="s">
        <v>4138</v>
      </c>
      <c r="H200" s="213" t="s">
        <v>4139</v>
      </c>
      <c r="I200" s="213" t="s">
        <v>4140</v>
      </c>
      <c r="J200" s="213" t="s">
        <v>4141</v>
      </c>
      <c r="K200" s="213" t="s">
        <v>9424</v>
      </c>
      <c r="L200" s="213" t="s">
        <v>10675</v>
      </c>
      <c r="M200" s="213" t="s">
        <v>10021</v>
      </c>
      <c r="P200" s="121"/>
    </row>
    <row r="201" spans="1:16">
      <c r="A201" s="213" t="s">
        <v>531</v>
      </c>
      <c r="B201" s="213" t="s">
        <v>533</v>
      </c>
      <c r="C201" s="221" t="s">
        <v>532</v>
      </c>
      <c r="D201" s="221" t="s">
        <v>11205</v>
      </c>
      <c r="E201" s="221" t="s">
        <v>4142</v>
      </c>
      <c r="F201" s="213" t="s">
        <v>4143</v>
      </c>
      <c r="G201" s="213" t="s">
        <v>4144</v>
      </c>
      <c r="H201" s="213" t="s">
        <v>4145</v>
      </c>
      <c r="I201" s="213" t="s">
        <v>4146</v>
      </c>
      <c r="J201" s="213" t="s">
        <v>4147</v>
      </c>
      <c r="K201" s="213" t="s">
        <v>9425</v>
      </c>
      <c r="L201" s="213" t="s">
        <v>10676</v>
      </c>
      <c r="M201" s="213" t="s">
        <v>10022</v>
      </c>
      <c r="P201" s="121"/>
    </row>
    <row r="202" spans="1:16">
      <c r="A202" s="213" t="s">
        <v>534</v>
      </c>
      <c r="B202" s="213" t="s">
        <v>536</v>
      </c>
      <c r="C202" s="221" t="s">
        <v>535</v>
      </c>
      <c r="D202" s="221" t="s">
        <v>11206</v>
      </c>
      <c r="E202" s="221" t="s">
        <v>4148</v>
      </c>
      <c r="F202" s="213" t="s">
        <v>4149</v>
      </c>
      <c r="G202" s="213" t="s">
        <v>4150</v>
      </c>
      <c r="H202" s="213" t="s">
        <v>4151</v>
      </c>
      <c r="I202" s="213" t="s">
        <v>4152</v>
      </c>
      <c r="J202" s="213" t="s">
        <v>4153</v>
      </c>
      <c r="K202" s="213" t="s">
        <v>9426</v>
      </c>
      <c r="L202" s="213" t="s">
        <v>10677</v>
      </c>
      <c r="M202" s="213" t="s">
        <v>10023</v>
      </c>
      <c r="P202" s="121"/>
    </row>
    <row r="203" spans="1:16">
      <c r="A203" s="213" t="s">
        <v>537</v>
      </c>
      <c r="B203" s="213" t="s">
        <v>539</v>
      </c>
      <c r="C203" s="221" t="s">
        <v>538</v>
      </c>
      <c r="D203" s="221" t="s">
        <v>11207</v>
      </c>
      <c r="E203" s="221" t="s">
        <v>4154</v>
      </c>
      <c r="F203" s="213" t="s">
        <v>4155</v>
      </c>
      <c r="G203" s="213" t="s">
        <v>4156</v>
      </c>
      <c r="H203" s="213" t="s">
        <v>4157</v>
      </c>
      <c r="I203" s="213" t="s">
        <v>4158</v>
      </c>
      <c r="J203" s="213" t="s">
        <v>4159</v>
      </c>
      <c r="K203" s="213" t="s">
        <v>9427</v>
      </c>
      <c r="L203" s="213" t="s">
        <v>10678</v>
      </c>
      <c r="M203" s="213" t="s">
        <v>10024</v>
      </c>
      <c r="P203" s="121"/>
    </row>
    <row r="204" spans="1:16">
      <c r="A204" s="213" t="s">
        <v>540</v>
      </c>
      <c r="B204" s="213" t="s">
        <v>542</v>
      </c>
      <c r="C204" s="221" t="s">
        <v>541</v>
      </c>
      <c r="D204" s="221" t="s">
        <v>11208</v>
      </c>
      <c r="E204" s="221" t="s">
        <v>4160</v>
      </c>
      <c r="F204" s="213" t="s">
        <v>4161</v>
      </c>
      <c r="G204" s="213" t="s">
        <v>4162</v>
      </c>
      <c r="H204" s="213" t="s">
        <v>4163</v>
      </c>
      <c r="I204" s="213" t="s">
        <v>4164</v>
      </c>
      <c r="J204" s="213" t="s">
        <v>4165</v>
      </c>
      <c r="K204" s="213" t="s">
        <v>9428</v>
      </c>
      <c r="L204" s="213" t="s">
        <v>10679</v>
      </c>
      <c r="M204" s="213" t="s">
        <v>10025</v>
      </c>
      <c r="P204" s="121"/>
    </row>
    <row r="205" spans="1:16">
      <c r="A205" s="213" t="s">
        <v>543</v>
      </c>
      <c r="B205" s="213" t="s">
        <v>2824</v>
      </c>
      <c r="C205" s="221" t="s">
        <v>544</v>
      </c>
      <c r="D205" s="221" t="s">
        <v>11209</v>
      </c>
      <c r="E205" s="221" t="s">
        <v>4166</v>
      </c>
      <c r="F205" s="213" t="s">
        <v>4167</v>
      </c>
      <c r="G205" s="213" t="s">
        <v>4168</v>
      </c>
      <c r="H205" s="213" t="s">
        <v>4169</v>
      </c>
      <c r="I205" s="213" t="s">
        <v>4170</v>
      </c>
      <c r="J205" s="213" t="s">
        <v>4171</v>
      </c>
      <c r="K205" s="213" t="s">
        <v>9429</v>
      </c>
      <c r="L205" s="213" t="s">
        <v>10680</v>
      </c>
      <c r="M205" s="213" t="s">
        <v>10026</v>
      </c>
      <c r="P205" s="121"/>
    </row>
    <row r="206" spans="1:16">
      <c r="A206" s="213" t="s">
        <v>545</v>
      </c>
      <c r="B206" s="213" t="s">
        <v>547</v>
      </c>
      <c r="C206" s="221" t="s">
        <v>546</v>
      </c>
      <c r="D206" s="221" t="s">
        <v>11210</v>
      </c>
      <c r="E206" s="221" t="s">
        <v>4172</v>
      </c>
      <c r="F206" s="213" t="s">
        <v>4173</v>
      </c>
      <c r="G206" s="213" t="s">
        <v>4174</v>
      </c>
      <c r="H206" s="213" t="s">
        <v>4175</v>
      </c>
      <c r="I206" s="213" t="s">
        <v>4176</v>
      </c>
      <c r="J206" s="213" t="s">
        <v>4177</v>
      </c>
      <c r="K206" s="213" t="s">
        <v>9430</v>
      </c>
      <c r="L206" s="213" t="s">
        <v>10681</v>
      </c>
      <c r="M206" s="213" t="s">
        <v>10027</v>
      </c>
      <c r="P206" s="121"/>
    </row>
    <row r="207" spans="1:16">
      <c r="A207" s="213" t="s">
        <v>548</v>
      </c>
      <c r="B207" s="213" t="s">
        <v>550</v>
      </c>
      <c r="C207" s="221" t="s">
        <v>549</v>
      </c>
      <c r="D207" s="221" t="s">
        <v>11211</v>
      </c>
      <c r="E207" s="221" t="s">
        <v>4178</v>
      </c>
      <c r="F207" s="213" t="s">
        <v>4179</v>
      </c>
      <c r="G207" s="213" t="s">
        <v>4180</v>
      </c>
      <c r="H207" s="213" t="s">
        <v>4181</v>
      </c>
      <c r="I207" s="213" t="s">
        <v>4182</v>
      </c>
      <c r="J207" s="213" t="s">
        <v>4183</v>
      </c>
      <c r="K207" s="213" t="s">
        <v>9431</v>
      </c>
      <c r="L207" s="213" t="s">
        <v>10682</v>
      </c>
      <c r="M207" s="213" t="s">
        <v>10028</v>
      </c>
      <c r="P207" s="121"/>
    </row>
    <row r="208" spans="1:16">
      <c r="A208" s="213" t="s">
        <v>551</v>
      </c>
      <c r="B208" s="213" t="s">
        <v>553</v>
      </c>
      <c r="C208" s="221" t="s">
        <v>552</v>
      </c>
      <c r="D208" s="221" t="s">
        <v>11212</v>
      </c>
      <c r="E208" s="221" t="s">
        <v>4184</v>
      </c>
      <c r="F208" s="213" t="s">
        <v>4185</v>
      </c>
      <c r="G208" s="213" t="s">
        <v>4186</v>
      </c>
      <c r="H208" s="213" t="s">
        <v>4187</v>
      </c>
      <c r="I208" s="213" t="s">
        <v>4188</v>
      </c>
      <c r="J208" s="213" t="s">
        <v>4189</v>
      </c>
      <c r="K208" s="213" t="s">
        <v>9432</v>
      </c>
      <c r="L208" s="213" t="s">
        <v>10683</v>
      </c>
      <c r="M208" s="213" t="s">
        <v>10029</v>
      </c>
      <c r="P208" s="121"/>
    </row>
    <row r="209" spans="1:16">
      <c r="A209" s="213" t="s">
        <v>554</v>
      </c>
      <c r="B209" s="213" t="s">
        <v>556</v>
      </c>
      <c r="C209" s="221" t="s">
        <v>555</v>
      </c>
      <c r="D209" s="221" t="s">
        <v>11213</v>
      </c>
      <c r="E209" s="221" t="s">
        <v>4190</v>
      </c>
      <c r="F209" s="213" t="s">
        <v>4191</v>
      </c>
      <c r="G209" s="213" t="s">
        <v>4192</v>
      </c>
      <c r="H209" s="213" t="s">
        <v>4193</v>
      </c>
      <c r="I209" s="213" t="s">
        <v>4194</v>
      </c>
      <c r="J209" s="213" t="s">
        <v>4195</v>
      </c>
      <c r="K209" s="213" t="s">
        <v>9433</v>
      </c>
      <c r="L209" s="213" t="s">
        <v>10684</v>
      </c>
      <c r="M209" s="213" t="s">
        <v>10030</v>
      </c>
      <c r="P209" s="121"/>
    </row>
    <row r="210" spans="1:16">
      <c r="A210" s="213" t="s">
        <v>557</v>
      </c>
      <c r="B210" s="213" t="s">
        <v>561</v>
      </c>
      <c r="C210" s="221" t="s">
        <v>560</v>
      </c>
      <c r="D210" s="221" t="s">
        <v>562</v>
      </c>
      <c r="E210" s="221" t="s">
        <v>4196</v>
      </c>
      <c r="F210" s="213" t="s">
        <v>4197</v>
      </c>
      <c r="G210" s="213" t="s">
        <v>4198</v>
      </c>
      <c r="H210" s="213" t="s">
        <v>4199</v>
      </c>
      <c r="I210" s="213" t="s">
        <v>4200</v>
      </c>
      <c r="J210" s="213" t="s">
        <v>4201</v>
      </c>
      <c r="K210" s="213" t="s">
        <v>9434</v>
      </c>
      <c r="L210" s="213" t="s">
        <v>10685</v>
      </c>
      <c r="M210" s="213" t="s">
        <v>10031</v>
      </c>
      <c r="P210" s="121"/>
    </row>
    <row r="211" spans="1:16">
      <c r="A211" s="213" t="s">
        <v>563</v>
      </c>
      <c r="B211" s="213" t="s">
        <v>566</v>
      </c>
      <c r="C211" s="221" t="s">
        <v>565</v>
      </c>
      <c r="D211" s="221" t="s">
        <v>567</v>
      </c>
      <c r="E211" s="221" t="s">
        <v>4202</v>
      </c>
      <c r="F211" s="213" t="s">
        <v>4203</v>
      </c>
      <c r="G211" s="213" t="s">
        <v>4204</v>
      </c>
      <c r="H211" s="213" t="s">
        <v>4205</v>
      </c>
      <c r="I211" s="213" t="s">
        <v>4206</v>
      </c>
      <c r="J211" s="213" t="s">
        <v>4207</v>
      </c>
      <c r="K211" s="213" t="s">
        <v>9435</v>
      </c>
      <c r="L211" s="213" t="s">
        <v>10686</v>
      </c>
      <c r="M211" s="213" t="s">
        <v>10032</v>
      </c>
      <c r="P211" s="121"/>
    </row>
    <row r="212" spans="1:16">
      <c r="A212" s="213" t="s">
        <v>568</v>
      </c>
      <c r="B212" s="213" t="s">
        <v>571</v>
      </c>
      <c r="C212" s="221" t="s">
        <v>570</v>
      </c>
      <c r="D212" s="221" t="s">
        <v>572</v>
      </c>
      <c r="E212" s="221" t="s">
        <v>4208</v>
      </c>
      <c r="F212" s="213" t="s">
        <v>4209</v>
      </c>
      <c r="G212" s="213" t="s">
        <v>4210</v>
      </c>
      <c r="H212" s="213" t="s">
        <v>4211</v>
      </c>
      <c r="I212" s="213" t="s">
        <v>4212</v>
      </c>
      <c r="J212" s="213" t="s">
        <v>4213</v>
      </c>
      <c r="K212" s="213" t="s">
        <v>9436</v>
      </c>
      <c r="L212" s="213" t="s">
        <v>10687</v>
      </c>
      <c r="M212" s="213" t="s">
        <v>10033</v>
      </c>
      <c r="P212" s="121"/>
    </row>
    <row r="213" spans="1:16">
      <c r="A213" s="213" t="s">
        <v>573</v>
      </c>
      <c r="B213" s="213" t="s">
        <v>577</v>
      </c>
      <c r="C213" s="221" t="s">
        <v>576</v>
      </c>
      <c r="D213" s="221" t="s">
        <v>578</v>
      </c>
      <c r="E213" s="221" t="s">
        <v>4214</v>
      </c>
      <c r="F213" s="213" t="s">
        <v>4215</v>
      </c>
      <c r="G213" s="213" t="s">
        <v>4216</v>
      </c>
      <c r="H213" s="213" t="s">
        <v>4217</v>
      </c>
      <c r="I213" s="213" t="s">
        <v>4218</v>
      </c>
      <c r="J213" s="213" t="s">
        <v>4219</v>
      </c>
      <c r="K213" s="213" t="s">
        <v>9437</v>
      </c>
      <c r="L213" s="213" t="s">
        <v>10688</v>
      </c>
      <c r="M213" s="213" t="s">
        <v>10034</v>
      </c>
      <c r="P213" s="121"/>
    </row>
    <row r="214" spans="1:16">
      <c r="A214" s="213" t="s">
        <v>2488</v>
      </c>
      <c r="B214" s="213" t="s">
        <v>580</v>
      </c>
      <c r="C214" s="221" t="s">
        <v>579</v>
      </c>
      <c r="D214" s="221" t="s">
        <v>581</v>
      </c>
      <c r="E214" s="221" t="s">
        <v>4220</v>
      </c>
      <c r="F214" s="213" t="s">
        <v>4221</v>
      </c>
      <c r="G214" s="213" t="s">
        <v>4222</v>
      </c>
      <c r="H214" s="213" t="s">
        <v>4223</v>
      </c>
      <c r="I214" s="213" t="s">
        <v>4224</v>
      </c>
      <c r="J214" s="213" t="s">
        <v>4225</v>
      </c>
      <c r="K214" s="213" t="s">
        <v>9438</v>
      </c>
      <c r="L214" s="213" t="s">
        <v>10689</v>
      </c>
      <c r="M214" s="213" t="s">
        <v>10035</v>
      </c>
      <c r="P214" s="121"/>
    </row>
    <row r="215" spans="1:16">
      <c r="A215" s="213" t="s">
        <v>582</v>
      </c>
      <c r="B215" s="213" t="s">
        <v>584</v>
      </c>
      <c r="C215" s="221" t="s">
        <v>583</v>
      </c>
      <c r="D215" s="221" t="s">
        <v>585</v>
      </c>
      <c r="E215" s="221" t="s">
        <v>4226</v>
      </c>
      <c r="F215" s="213" t="s">
        <v>4227</v>
      </c>
      <c r="G215" s="213" t="s">
        <v>4228</v>
      </c>
      <c r="H215" s="213" t="s">
        <v>4229</v>
      </c>
      <c r="I215" s="213" t="s">
        <v>4230</v>
      </c>
      <c r="J215" s="213" t="s">
        <v>4231</v>
      </c>
      <c r="K215" s="213" t="s">
        <v>9439</v>
      </c>
      <c r="L215" s="213" t="s">
        <v>10690</v>
      </c>
      <c r="M215" s="213" t="s">
        <v>10036</v>
      </c>
      <c r="P215" s="121"/>
    </row>
    <row r="216" spans="1:16">
      <c r="A216" s="213" t="s">
        <v>587</v>
      </c>
      <c r="B216" s="213" t="s">
        <v>591</v>
      </c>
      <c r="C216" s="221" t="s">
        <v>590</v>
      </c>
      <c r="D216" s="221" t="s">
        <v>592</v>
      </c>
      <c r="E216" s="221" t="s">
        <v>4232</v>
      </c>
      <c r="F216" s="213" t="s">
        <v>4233</v>
      </c>
      <c r="G216" s="213" t="s">
        <v>4234</v>
      </c>
      <c r="H216" s="213" t="s">
        <v>4235</v>
      </c>
      <c r="I216" s="213" t="s">
        <v>4236</v>
      </c>
      <c r="J216" s="213" t="s">
        <v>4237</v>
      </c>
      <c r="K216" s="213" t="s">
        <v>9440</v>
      </c>
      <c r="L216" s="213" t="s">
        <v>10691</v>
      </c>
      <c r="M216" s="213" t="s">
        <v>10037</v>
      </c>
      <c r="P216" s="121"/>
    </row>
    <row r="217" spans="1:16">
      <c r="A217" s="213" t="s">
        <v>2489</v>
      </c>
      <c r="B217" s="213" t="s">
        <v>595</v>
      </c>
      <c r="C217" s="221" t="s">
        <v>2925</v>
      </c>
      <c r="D217" s="221" t="s">
        <v>596</v>
      </c>
      <c r="E217" s="221" t="s">
        <v>4238</v>
      </c>
      <c r="F217" s="213" t="s">
        <v>4239</v>
      </c>
      <c r="G217" s="213" t="s">
        <v>4240</v>
      </c>
      <c r="H217" s="213" t="s">
        <v>4241</v>
      </c>
      <c r="I217" s="213" t="s">
        <v>4242</v>
      </c>
      <c r="J217" s="213" t="s">
        <v>4243</v>
      </c>
      <c r="K217" s="213" t="s">
        <v>9441</v>
      </c>
      <c r="L217" s="213" t="s">
        <v>10692</v>
      </c>
      <c r="M217" s="213" t="s">
        <v>10038</v>
      </c>
      <c r="P217" s="121"/>
    </row>
    <row r="218" spans="1:16">
      <c r="A218" s="213" t="s">
        <v>597</v>
      </c>
      <c r="B218" s="213" t="s">
        <v>601</v>
      </c>
      <c r="C218" s="221" t="s">
        <v>600</v>
      </c>
      <c r="D218" s="221" t="s">
        <v>602</v>
      </c>
      <c r="E218" s="221" t="s">
        <v>4244</v>
      </c>
      <c r="F218" s="213" t="s">
        <v>4245</v>
      </c>
      <c r="G218" s="213" t="s">
        <v>4246</v>
      </c>
      <c r="H218" s="213" t="s">
        <v>4247</v>
      </c>
      <c r="I218" s="213" t="s">
        <v>4248</v>
      </c>
      <c r="J218" s="213" t="s">
        <v>4249</v>
      </c>
      <c r="K218" s="213" t="s">
        <v>9442</v>
      </c>
      <c r="L218" s="213" t="s">
        <v>10693</v>
      </c>
      <c r="M218" s="213" t="s">
        <v>10039</v>
      </c>
      <c r="P218" s="121"/>
    </row>
    <row r="219" spans="1:16">
      <c r="A219" s="213" t="s">
        <v>603</v>
      </c>
      <c r="B219" s="213" t="s">
        <v>607</v>
      </c>
      <c r="C219" s="221" t="s">
        <v>606</v>
      </c>
      <c r="D219" s="221" t="s">
        <v>608</v>
      </c>
      <c r="E219" s="221" t="s">
        <v>4250</v>
      </c>
      <c r="F219" s="213" t="s">
        <v>4251</v>
      </c>
      <c r="G219" s="213" t="s">
        <v>4252</v>
      </c>
      <c r="H219" s="213" t="s">
        <v>4253</v>
      </c>
      <c r="I219" s="213" t="s">
        <v>4254</v>
      </c>
      <c r="J219" s="213" t="s">
        <v>4255</v>
      </c>
      <c r="K219" s="213" t="s">
        <v>9443</v>
      </c>
      <c r="L219" s="213" t="s">
        <v>10694</v>
      </c>
      <c r="M219" s="213" t="s">
        <v>10040</v>
      </c>
      <c r="P219" s="121"/>
    </row>
    <row r="220" spans="1:16">
      <c r="A220" s="213" t="s">
        <v>609</v>
      </c>
      <c r="B220" s="213" t="s">
        <v>611</v>
      </c>
      <c r="C220" s="221" t="s">
        <v>610</v>
      </c>
      <c r="D220" s="221" t="s">
        <v>612</v>
      </c>
      <c r="E220" s="221" t="s">
        <v>4256</v>
      </c>
      <c r="F220" s="213" t="s">
        <v>4257</v>
      </c>
      <c r="G220" s="213" t="s">
        <v>4258</v>
      </c>
      <c r="H220" s="213" t="s">
        <v>4259</v>
      </c>
      <c r="I220" s="213" t="s">
        <v>4260</v>
      </c>
      <c r="J220" s="213" t="s">
        <v>4261</v>
      </c>
      <c r="K220" s="213" t="s">
        <v>9444</v>
      </c>
      <c r="L220" s="213" t="s">
        <v>10695</v>
      </c>
      <c r="M220" s="213" t="s">
        <v>10041</v>
      </c>
      <c r="P220" s="121"/>
    </row>
    <row r="221" spans="1:16">
      <c r="A221" s="213" t="s">
        <v>613</v>
      </c>
      <c r="B221" s="213" t="s">
        <v>617</v>
      </c>
      <c r="C221" s="221" t="s">
        <v>616</v>
      </c>
      <c r="D221" s="221" t="s">
        <v>618</v>
      </c>
      <c r="E221" s="221" t="s">
        <v>4262</v>
      </c>
      <c r="F221" s="213" t="s">
        <v>4263</v>
      </c>
      <c r="G221" s="213" t="s">
        <v>4264</v>
      </c>
      <c r="H221" s="213" t="s">
        <v>4265</v>
      </c>
      <c r="I221" s="213" t="s">
        <v>4266</v>
      </c>
      <c r="J221" s="213" t="s">
        <v>4267</v>
      </c>
      <c r="K221" s="213" t="s">
        <v>9445</v>
      </c>
      <c r="L221" s="213" t="s">
        <v>10696</v>
      </c>
      <c r="M221" s="213" t="s">
        <v>10042</v>
      </c>
      <c r="P221" s="121"/>
    </row>
    <row r="222" spans="1:16">
      <c r="A222" s="213" t="s">
        <v>623</v>
      </c>
      <c r="B222" s="213" t="s">
        <v>621</v>
      </c>
      <c r="C222" s="221" t="s">
        <v>620</v>
      </c>
      <c r="D222" s="221" t="s">
        <v>622</v>
      </c>
      <c r="E222" s="221" t="s">
        <v>4268</v>
      </c>
      <c r="F222" s="213" t="s">
        <v>4269</v>
      </c>
      <c r="G222" s="213" t="s">
        <v>4270</v>
      </c>
      <c r="H222" s="213" t="s">
        <v>4271</v>
      </c>
      <c r="I222" s="213" t="s">
        <v>4272</v>
      </c>
      <c r="J222" s="213" t="s">
        <v>4273</v>
      </c>
      <c r="K222" s="213" t="s">
        <v>9446</v>
      </c>
      <c r="L222" s="213" t="s">
        <v>10697</v>
      </c>
      <c r="M222" s="213" t="s">
        <v>10043</v>
      </c>
      <c r="P222" s="121"/>
    </row>
    <row r="223" spans="1:16">
      <c r="A223" s="213" t="s">
        <v>626</v>
      </c>
      <c r="B223" s="213" t="s">
        <v>629</v>
      </c>
      <c r="C223" s="221" t="s">
        <v>628</v>
      </c>
      <c r="D223" s="221" t="s">
        <v>630</v>
      </c>
      <c r="E223" s="221" t="s">
        <v>4274</v>
      </c>
      <c r="F223" s="213" t="s">
        <v>4275</v>
      </c>
      <c r="G223" s="213" t="s">
        <v>4276</v>
      </c>
      <c r="H223" s="213" t="s">
        <v>4277</v>
      </c>
      <c r="I223" s="213" t="s">
        <v>4278</v>
      </c>
      <c r="J223" s="213" t="s">
        <v>4279</v>
      </c>
      <c r="K223" s="213" t="s">
        <v>9447</v>
      </c>
      <c r="L223" s="213" t="s">
        <v>10698</v>
      </c>
      <c r="M223" s="213" t="s">
        <v>10044</v>
      </c>
      <c r="P223" s="121"/>
    </row>
    <row r="224" spans="1:16">
      <c r="A224" s="215" t="s">
        <v>631</v>
      </c>
      <c r="B224" s="213" t="s">
        <v>634</v>
      </c>
      <c r="C224" s="221" t="s">
        <v>633</v>
      </c>
      <c r="D224" s="221" t="s">
        <v>635</v>
      </c>
      <c r="E224" s="221" t="s">
        <v>4280</v>
      </c>
      <c r="F224" s="213" t="s">
        <v>4281</v>
      </c>
      <c r="G224" s="213" t="s">
        <v>4282</v>
      </c>
      <c r="H224" s="213" t="s">
        <v>4283</v>
      </c>
      <c r="I224" s="213" t="s">
        <v>4284</v>
      </c>
      <c r="J224" s="213" t="s">
        <v>4285</v>
      </c>
      <c r="K224" s="222" t="s">
        <v>9448</v>
      </c>
      <c r="L224" s="213" t="s">
        <v>10699</v>
      </c>
      <c r="M224" s="213" t="s">
        <v>10045</v>
      </c>
      <c r="P224" s="121"/>
    </row>
    <row r="225" spans="1:16">
      <c r="A225" s="213" t="s">
        <v>636</v>
      </c>
      <c r="B225" s="213" t="s">
        <v>595</v>
      </c>
      <c r="C225" s="221" t="s">
        <v>637</v>
      </c>
      <c r="D225" s="221" t="s">
        <v>596</v>
      </c>
      <c r="E225" s="221" t="s">
        <v>4238</v>
      </c>
      <c r="F225" s="213" t="s">
        <v>4239</v>
      </c>
      <c r="G225" s="213" t="s">
        <v>4240</v>
      </c>
      <c r="H225" s="213" t="s">
        <v>4241</v>
      </c>
      <c r="I225" s="213" t="s">
        <v>4286</v>
      </c>
      <c r="J225" s="213" t="s">
        <v>4287</v>
      </c>
      <c r="K225" s="213" t="s">
        <v>9441</v>
      </c>
      <c r="L225" s="213" t="s">
        <v>10692</v>
      </c>
      <c r="M225" s="213" t="s">
        <v>10038</v>
      </c>
      <c r="P225" s="121"/>
    </row>
    <row r="226" spans="1:16">
      <c r="A226" s="213" t="s">
        <v>641</v>
      </c>
      <c r="B226" s="213" t="s">
        <v>646</v>
      </c>
      <c r="C226" s="221" t="s">
        <v>645</v>
      </c>
      <c r="D226" s="221" t="s">
        <v>647</v>
      </c>
      <c r="E226" s="221" t="s">
        <v>4288</v>
      </c>
      <c r="F226" s="213" t="s">
        <v>4289</v>
      </c>
      <c r="G226" s="213" t="s">
        <v>4290</v>
      </c>
      <c r="H226" s="213" t="s">
        <v>4291</v>
      </c>
      <c r="I226" s="213" t="s">
        <v>4292</v>
      </c>
      <c r="J226" s="213" t="s">
        <v>4293</v>
      </c>
      <c r="K226" s="213" t="s">
        <v>9449</v>
      </c>
      <c r="L226" s="213" t="s">
        <v>10700</v>
      </c>
      <c r="M226" s="213" t="s">
        <v>10046</v>
      </c>
      <c r="P226" s="121"/>
    </row>
    <row r="227" spans="1:16">
      <c r="A227" s="213" t="s">
        <v>648</v>
      </c>
      <c r="B227" s="213" t="s">
        <v>651</v>
      </c>
      <c r="C227" s="221" t="s">
        <v>650</v>
      </c>
      <c r="D227" s="221" t="s">
        <v>652</v>
      </c>
      <c r="E227" s="221" t="s">
        <v>4294</v>
      </c>
      <c r="F227" s="213" t="s">
        <v>4295</v>
      </c>
      <c r="G227" s="213" t="s">
        <v>4296</v>
      </c>
      <c r="H227" s="213" t="s">
        <v>4297</v>
      </c>
      <c r="I227" s="213" t="s">
        <v>4298</v>
      </c>
      <c r="J227" s="213" t="s">
        <v>4299</v>
      </c>
      <c r="K227" s="213" t="s">
        <v>9450</v>
      </c>
      <c r="L227" s="213" t="s">
        <v>10701</v>
      </c>
      <c r="M227" s="213" t="s">
        <v>10047</v>
      </c>
      <c r="P227" s="121"/>
    </row>
    <row r="228" spans="1:16">
      <c r="A228" s="213" t="s">
        <v>653</v>
      </c>
      <c r="B228" s="213" t="s">
        <v>2825</v>
      </c>
      <c r="C228" s="221" t="s">
        <v>655</v>
      </c>
      <c r="D228" s="221" t="s">
        <v>656</v>
      </c>
      <c r="E228" s="221" t="s">
        <v>4300</v>
      </c>
      <c r="F228" s="213" t="s">
        <v>4301</v>
      </c>
      <c r="G228" s="213" t="s">
        <v>4302</v>
      </c>
      <c r="H228" s="213" t="s">
        <v>4303</v>
      </c>
      <c r="I228" s="213" t="s">
        <v>4304</v>
      </c>
      <c r="J228" s="213" t="s">
        <v>4305</v>
      </c>
      <c r="K228" s="213" t="s">
        <v>9451</v>
      </c>
      <c r="L228" s="213" t="s">
        <v>10702</v>
      </c>
      <c r="M228" s="213" t="s">
        <v>10048</v>
      </c>
      <c r="P228" s="121"/>
    </row>
    <row r="229" spans="1:16">
      <c r="A229" s="213" t="s">
        <v>2490</v>
      </c>
      <c r="B229" s="213" t="s">
        <v>2826</v>
      </c>
      <c r="C229" s="221" t="s">
        <v>2926</v>
      </c>
      <c r="D229" s="221" t="s">
        <v>3000</v>
      </c>
      <c r="E229" s="221" t="s">
        <v>4306</v>
      </c>
      <c r="F229" s="213" t="s">
        <v>4307</v>
      </c>
      <c r="G229" s="213" t="s">
        <v>4308</v>
      </c>
      <c r="H229" s="213" t="s">
        <v>4309</v>
      </c>
      <c r="I229" s="213" t="s">
        <v>4310</v>
      </c>
      <c r="J229" s="213" t="s">
        <v>4311</v>
      </c>
      <c r="K229" s="213" t="s">
        <v>9452</v>
      </c>
      <c r="L229" s="213" t="s">
        <v>10703</v>
      </c>
      <c r="M229" s="213" t="s">
        <v>10049</v>
      </c>
      <c r="P229" s="121"/>
    </row>
    <row r="230" spans="1:16">
      <c r="A230" s="213" t="s">
        <v>657</v>
      </c>
      <c r="B230" s="213" t="s">
        <v>659</v>
      </c>
      <c r="C230" s="221" t="s">
        <v>658</v>
      </c>
      <c r="D230" s="221" t="s">
        <v>660</v>
      </c>
      <c r="E230" s="221" t="s">
        <v>4312</v>
      </c>
      <c r="F230" s="213" t="s">
        <v>4313</v>
      </c>
      <c r="G230" s="213" t="s">
        <v>4314</v>
      </c>
      <c r="H230" s="213" t="s">
        <v>4315</v>
      </c>
      <c r="I230" s="213" t="s">
        <v>4316</v>
      </c>
      <c r="J230" s="213" t="s">
        <v>4317</v>
      </c>
      <c r="K230" s="213" t="s">
        <v>9453</v>
      </c>
      <c r="L230" s="213" t="s">
        <v>10704</v>
      </c>
      <c r="M230" s="213" t="s">
        <v>10050</v>
      </c>
      <c r="P230" s="121"/>
    </row>
    <row r="231" spans="1:16">
      <c r="A231" s="213" t="s">
        <v>4318</v>
      </c>
      <c r="B231" s="213" t="s">
        <v>659</v>
      </c>
      <c r="C231" s="221" t="s">
        <v>658</v>
      </c>
      <c r="D231" s="221" t="s">
        <v>660</v>
      </c>
      <c r="E231" s="221" t="s">
        <v>4312</v>
      </c>
      <c r="F231" s="213" t="s">
        <v>4313</v>
      </c>
      <c r="G231" s="213" t="s">
        <v>4314</v>
      </c>
      <c r="H231" s="213" t="s">
        <v>4315</v>
      </c>
      <c r="I231" s="213" t="s">
        <v>4316</v>
      </c>
      <c r="J231" s="213" t="s">
        <v>4317</v>
      </c>
      <c r="K231" s="213" t="s">
        <v>9453</v>
      </c>
      <c r="L231" s="213" t="s">
        <v>10704</v>
      </c>
      <c r="M231" s="213" t="s">
        <v>10050</v>
      </c>
      <c r="P231" s="121"/>
    </row>
    <row r="232" spans="1:16">
      <c r="A232" s="213" t="s">
        <v>661</v>
      </c>
      <c r="B232" s="213" t="s">
        <v>664</v>
      </c>
      <c r="C232" s="221" t="s">
        <v>663</v>
      </c>
      <c r="D232" s="221" t="s">
        <v>665</v>
      </c>
      <c r="E232" s="221" t="s">
        <v>4320</v>
      </c>
      <c r="F232" s="213" t="s">
        <v>4321</v>
      </c>
      <c r="G232" s="213" t="s">
        <v>4322</v>
      </c>
      <c r="H232" s="213" t="s">
        <v>4323</v>
      </c>
      <c r="I232" s="213" t="s">
        <v>4324</v>
      </c>
      <c r="J232" s="213" t="s">
        <v>4325</v>
      </c>
      <c r="K232" s="213" t="s">
        <v>9454</v>
      </c>
      <c r="L232" s="213" t="s">
        <v>10705</v>
      </c>
      <c r="M232" s="213" t="s">
        <v>10051</v>
      </c>
      <c r="P232" s="121"/>
    </row>
    <row r="233" spans="1:16">
      <c r="A233" s="213" t="s">
        <v>666</v>
      </c>
      <c r="B233" s="213" t="s">
        <v>664</v>
      </c>
      <c r="C233" s="221" t="s">
        <v>663</v>
      </c>
      <c r="D233" s="221" t="s">
        <v>665</v>
      </c>
      <c r="E233" s="221" t="s">
        <v>4320</v>
      </c>
      <c r="F233" s="213" t="s">
        <v>4321</v>
      </c>
      <c r="G233" s="213" t="s">
        <v>4322</v>
      </c>
      <c r="H233" s="213" t="s">
        <v>4323</v>
      </c>
      <c r="I233" s="213" t="s">
        <v>4324</v>
      </c>
      <c r="J233" s="213" t="s">
        <v>4325</v>
      </c>
      <c r="K233" s="213" t="s">
        <v>9454</v>
      </c>
      <c r="L233" s="213" t="s">
        <v>10705</v>
      </c>
      <c r="M233" s="213" t="s">
        <v>10051</v>
      </c>
      <c r="P233" s="121"/>
    </row>
    <row r="234" spans="1:16">
      <c r="A234" s="213" t="s">
        <v>667</v>
      </c>
      <c r="B234" s="213" t="s">
        <v>669</v>
      </c>
      <c r="C234" s="221" t="s">
        <v>668</v>
      </c>
      <c r="D234" s="221" t="s">
        <v>670</v>
      </c>
      <c r="E234" s="221" t="s">
        <v>4326</v>
      </c>
      <c r="F234" s="213" t="s">
        <v>4327</v>
      </c>
      <c r="G234" s="213" t="s">
        <v>4328</v>
      </c>
      <c r="H234" s="213" t="s">
        <v>4329</v>
      </c>
      <c r="I234" s="213" t="s">
        <v>4330</v>
      </c>
      <c r="J234" s="213" t="s">
        <v>4331</v>
      </c>
      <c r="K234" s="213" t="s">
        <v>9455</v>
      </c>
      <c r="L234" s="213" t="s">
        <v>10706</v>
      </c>
      <c r="M234" s="213" t="s">
        <v>10052</v>
      </c>
      <c r="P234" s="121"/>
    </row>
    <row r="235" spans="1:16">
      <c r="A235" s="213" t="s">
        <v>671</v>
      </c>
      <c r="B235" s="213" t="s">
        <v>674</v>
      </c>
      <c r="C235" s="221" t="s">
        <v>673</v>
      </c>
      <c r="D235" s="221" t="s">
        <v>675</v>
      </c>
      <c r="E235" s="221" t="s">
        <v>4332</v>
      </c>
      <c r="F235" s="213" t="s">
        <v>4333</v>
      </c>
      <c r="G235" s="213" t="s">
        <v>4334</v>
      </c>
      <c r="H235" s="213" t="s">
        <v>4335</v>
      </c>
      <c r="I235" s="213" t="s">
        <v>4336</v>
      </c>
      <c r="J235" s="213" t="s">
        <v>4337</v>
      </c>
      <c r="K235" s="213" t="s">
        <v>9456</v>
      </c>
      <c r="L235" s="213" t="s">
        <v>10707</v>
      </c>
      <c r="M235" s="213" t="s">
        <v>10053</v>
      </c>
      <c r="P235" s="121"/>
    </row>
    <row r="236" spans="1:16">
      <c r="A236" s="213" t="s">
        <v>676</v>
      </c>
      <c r="B236" s="213" t="s">
        <v>680</v>
      </c>
      <c r="C236" s="221" t="s">
        <v>679</v>
      </c>
      <c r="D236" s="221" t="s">
        <v>681</v>
      </c>
      <c r="E236" s="221" t="s">
        <v>4338</v>
      </c>
      <c r="F236" s="213" t="s">
        <v>4339</v>
      </c>
      <c r="G236" s="213" t="s">
        <v>4340</v>
      </c>
      <c r="H236" s="213" t="s">
        <v>4341</v>
      </c>
      <c r="I236" s="213" t="s">
        <v>4342</v>
      </c>
      <c r="J236" s="213" t="s">
        <v>4343</v>
      </c>
      <c r="K236" s="213" t="s">
        <v>9457</v>
      </c>
      <c r="L236" s="213" t="s">
        <v>10708</v>
      </c>
      <c r="M236" s="213" t="s">
        <v>10054</v>
      </c>
      <c r="P236" s="121"/>
    </row>
    <row r="237" spans="1:16">
      <c r="A237" s="213" t="s">
        <v>682</v>
      </c>
      <c r="B237" s="213" t="s">
        <v>680</v>
      </c>
      <c r="C237" s="221" t="s">
        <v>679</v>
      </c>
      <c r="D237" s="221" t="s">
        <v>681</v>
      </c>
      <c r="E237" s="221" t="s">
        <v>4338</v>
      </c>
      <c r="F237" s="213" t="s">
        <v>4339</v>
      </c>
      <c r="G237" s="213" t="s">
        <v>4340</v>
      </c>
      <c r="H237" s="213" t="s">
        <v>4341</v>
      </c>
      <c r="I237" s="213" t="s">
        <v>4342</v>
      </c>
      <c r="J237" s="213" t="s">
        <v>4343</v>
      </c>
      <c r="K237" s="213" t="s">
        <v>9457</v>
      </c>
      <c r="L237" s="213" t="s">
        <v>10708</v>
      </c>
      <c r="M237" s="213" t="s">
        <v>10054</v>
      </c>
      <c r="P237" s="121"/>
    </row>
    <row r="238" spans="1:16">
      <c r="A238" s="213" t="s">
        <v>683</v>
      </c>
      <c r="B238" s="213" t="s">
        <v>685</v>
      </c>
      <c r="C238" s="221" t="s">
        <v>684</v>
      </c>
      <c r="D238" s="221" t="s">
        <v>686</v>
      </c>
      <c r="E238" s="221" t="s">
        <v>4344</v>
      </c>
      <c r="F238" s="213" t="s">
        <v>4345</v>
      </c>
      <c r="G238" s="213" t="s">
        <v>4346</v>
      </c>
      <c r="H238" s="213" t="s">
        <v>4347</v>
      </c>
      <c r="I238" s="213" t="s">
        <v>4348</v>
      </c>
      <c r="J238" s="213" t="s">
        <v>4349</v>
      </c>
      <c r="K238" s="213" t="s">
        <v>9458</v>
      </c>
      <c r="L238" s="213" t="s">
        <v>10709</v>
      </c>
      <c r="M238" s="213" t="s">
        <v>10055</v>
      </c>
      <c r="P238" s="121"/>
    </row>
    <row r="239" spans="1:16">
      <c r="A239" s="213" t="s">
        <v>2492</v>
      </c>
      <c r="B239" s="213" t="s">
        <v>2827</v>
      </c>
      <c r="C239" s="221" t="s">
        <v>2927</v>
      </c>
      <c r="D239" s="221" t="s">
        <v>3001</v>
      </c>
      <c r="E239" s="221" t="s">
        <v>4350</v>
      </c>
      <c r="F239" s="213" t="s">
        <v>4351</v>
      </c>
      <c r="G239" s="213" t="s">
        <v>4352</v>
      </c>
      <c r="H239" s="213" t="s">
        <v>4350</v>
      </c>
      <c r="I239" s="213" t="s">
        <v>4353</v>
      </c>
      <c r="J239" s="213" t="s">
        <v>4354</v>
      </c>
      <c r="K239" s="213" t="s">
        <v>9459</v>
      </c>
      <c r="L239" s="213" t="s">
        <v>10710</v>
      </c>
      <c r="M239" s="213" t="s">
        <v>10056</v>
      </c>
      <c r="P239" s="121"/>
    </row>
    <row r="240" spans="1:16">
      <c r="A240" s="213" t="s">
        <v>687</v>
      </c>
      <c r="B240" s="213" t="s">
        <v>417</v>
      </c>
      <c r="C240" s="221" t="s">
        <v>416</v>
      </c>
      <c r="D240" s="221" t="s">
        <v>418</v>
      </c>
      <c r="E240" s="221" t="s">
        <v>3991</v>
      </c>
      <c r="F240" s="213" t="s">
        <v>3992</v>
      </c>
      <c r="G240" s="213" t="s">
        <v>4355</v>
      </c>
      <c r="H240" s="213" t="s">
        <v>3991</v>
      </c>
      <c r="I240" s="213" t="s">
        <v>3993</v>
      </c>
      <c r="J240" s="213" t="s">
        <v>3994</v>
      </c>
      <c r="K240" s="213" t="s">
        <v>9400</v>
      </c>
      <c r="L240" s="213" t="s">
        <v>10651</v>
      </c>
      <c r="M240" s="213" t="s">
        <v>10057</v>
      </c>
      <c r="P240" s="121"/>
    </row>
    <row r="241" spans="1:16">
      <c r="A241" s="214" t="s">
        <v>690</v>
      </c>
      <c r="B241" s="213" t="s">
        <v>692</v>
      </c>
      <c r="C241" s="221" t="s">
        <v>691</v>
      </c>
      <c r="D241" s="221" t="s">
        <v>693</v>
      </c>
      <c r="E241" s="221" t="s">
        <v>4356</v>
      </c>
      <c r="F241" s="213" t="s">
        <v>4357</v>
      </c>
      <c r="G241" s="213" t="s">
        <v>4358</v>
      </c>
      <c r="H241" s="213" t="s">
        <v>4359</v>
      </c>
      <c r="I241" s="213" t="s">
        <v>4360</v>
      </c>
      <c r="J241" s="213" t="s">
        <v>4361</v>
      </c>
      <c r="K241" s="213" t="s">
        <v>9460</v>
      </c>
      <c r="L241" s="213" t="s">
        <v>10711</v>
      </c>
      <c r="M241" s="213" t="s">
        <v>10058</v>
      </c>
      <c r="P241" s="121"/>
    </row>
    <row r="242" spans="1:16">
      <c r="A242" s="213" t="s">
        <v>2876</v>
      </c>
      <c r="B242" s="213" t="s">
        <v>1103</v>
      </c>
      <c r="C242" s="221" t="s">
        <v>679</v>
      </c>
      <c r="D242" s="221" t="s">
        <v>1104</v>
      </c>
      <c r="E242" s="221" t="s">
        <v>4362</v>
      </c>
      <c r="F242" s="213" t="s">
        <v>4339</v>
      </c>
      <c r="G242" s="213" t="s">
        <v>4340</v>
      </c>
      <c r="H242" s="213" t="s">
        <v>4341</v>
      </c>
      <c r="I242" s="213" t="s">
        <v>4363</v>
      </c>
      <c r="J242" s="213" t="s">
        <v>4343</v>
      </c>
      <c r="K242" s="213" t="s">
        <v>9457</v>
      </c>
      <c r="L242" s="213" t="s">
        <v>10708</v>
      </c>
      <c r="M242" s="213" t="s">
        <v>10059</v>
      </c>
      <c r="P242" s="121"/>
    </row>
    <row r="243" spans="1:16">
      <c r="A243" s="213" t="s">
        <v>2525</v>
      </c>
      <c r="B243" s="213" t="s">
        <v>1103</v>
      </c>
      <c r="C243" s="221" t="s">
        <v>679</v>
      </c>
      <c r="D243" s="221" t="s">
        <v>1104</v>
      </c>
      <c r="E243" s="221" t="s">
        <v>4362</v>
      </c>
      <c r="F243" s="213" t="s">
        <v>4339</v>
      </c>
      <c r="G243" s="213" t="s">
        <v>4340</v>
      </c>
      <c r="H243" s="213" t="s">
        <v>4341</v>
      </c>
      <c r="I243" s="213" t="s">
        <v>4363</v>
      </c>
      <c r="J243" s="213" t="s">
        <v>4343</v>
      </c>
      <c r="K243" s="213" t="s">
        <v>9457</v>
      </c>
      <c r="L243" s="213" t="s">
        <v>10708</v>
      </c>
      <c r="M243" s="213" t="s">
        <v>10059</v>
      </c>
      <c r="P243" s="121"/>
    </row>
    <row r="244" spans="1:16">
      <c r="A244" s="213" t="s">
        <v>2559</v>
      </c>
      <c r="B244" s="213" t="s">
        <v>1473</v>
      </c>
      <c r="C244" s="221" t="s">
        <v>679</v>
      </c>
      <c r="D244" s="221" t="s">
        <v>1474</v>
      </c>
      <c r="E244" s="221" t="s">
        <v>4362</v>
      </c>
      <c r="F244" s="213" t="s">
        <v>4339</v>
      </c>
      <c r="G244" s="213" t="s">
        <v>4340</v>
      </c>
      <c r="H244" s="213" t="s">
        <v>4341</v>
      </c>
      <c r="I244" s="213" t="s">
        <v>4364</v>
      </c>
      <c r="J244" s="213" t="s">
        <v>4343</v>
      </c>
      <c r="K244" s="213" t="s">
        <v>9457</v>
      </c>
      <c r="L244" s="213" t="s">
        <v>10712</v>
      </c>
      <c r="M244" s="213" t="s">
        <v>10059</v>
      </c>
      <c r="P244" s="121"/>
    </row>
    <row r="245" spans="1:16">
      <c r="A245" s="213" t="s">
        <v>694</v>
      </c>
      <c r="B245" s="213" t="s">
        <v>680</v>
      </c>
      <c r="C245" s="221" t="s">
        <v>679</v>
      </c>
      <c r="D245" s="221" t="s">
        <v>681</v>
      </c>
      <c r="E245" s="221" t="s">
        <v>4362</v>
      </c>
      <c r="F245" s="213" t="s">
        <v>4339</v>
      </c>
      <c r="G245" s="213" t="s">
        <v>4340</v>
      </c>
      <c r="H245" s="213" t="s">
        <v>4341</v>
      </c>
      <c r="I245" s="213" t="s">
        <v>4342</v>
      </c>
      <c r="J245" s="213" t="s">
        <v>4343</v>
      </c>
      <c r="K245" s="213" t="s">
        <v>9457</v>
      </c>
      <c r="L245" s="213" t="s">
        <v>10708</v>
      </c>
      <c r="M245" s="213" t="s">
        <v>10059</v>
      </c>
      <c r="P245" s="121"/>
    </row>
    <row r="246" spans="1:16">
      <c r="A246" s="213" t="s">
        <v>696</v>
      </c>
      <c r="B246" s="213" t="s">
        <v>417</v>
      </c>
      <c r="C246" s="221" t="s">
        <v>416</v>
      </c>
      <c r="D246" s="221" t="s">
        <v>418</v>
      </c>
      <c r="E246" s="221" t="s">
        <v>3991</v>
      </c>
      <c r="F246" s="213" t="s">
        <v>3992</v>
      </c>
      <c r="G246" s="213" t="s">
        <v>4355</v>
      </c>
      <c r="H246" s="213" t="s">
        <v>3991</v>
      </c>
      <c r="I246" s="213" t="s">
        <v>3993</v>
      </c>
      <c r="J246" s="213" t="s">
        <v>3994</v>
      </c>
      <c r="K246" s="213" t="s">
        <v>9400</v>
      </c>
      <c r="L246" s="213" t="s">
        <v>10651</v>
      </c>
      <c r="M246" s="213" t="s">
        <v>10057</v>
      </c>
      <c r="P246" s="121"/>
    </row>
    <row r="247" spans="1:16">
      <c r="A247" s="213" t="s">
        <v>699</v>
      </c>
      <c r="B247" s="213" t="s">
        <v>417</v>
      </c>
      <c r="C247" s="221" t="s">
        <v>416</v>
      </c>
      <c r="D247" s="221" t="s">
        <v>418</v>
      </c>
      <c r="E247" s="221" t="s">
        <v>3991</v>
      </c>
      <c r="F247" s="213" t="s">
        <v>3992</v>
      </c>
      <c r="G247" s="213" t="s">
        <v>4355</v>
      </c>
      <c r="H247" s="213" t="s">
        <v>3991</v>
      </c>
      <c r="I247" s="213" t="s">
        <v>3993</v>
      </c>
      <c r="J247" s="213" t="s">
        <v>3994</v>
      </c>
      <c r="K247" s="213" t="s">
        <v>9400</v>
      </c>
      <c r="L247" s="213" t="s">
        <v>10651</v>
      </c>
      <c r="M247" s="213" t="s">
        <v>10057</v>
      </c>
      <c r="P247" s="121"/>
    </row>
    <row r="248" spans="1:16">
      <c r="A248" s="213" t="s">
        <v>702</v>
      </c>
      <c r="B248" s="213" t="s">
        <v>417</v>
      </c>
      <c r="C248" s="221" t="s">
        <v>416</v>
      </c>
      <c r="D248" s="221" t="s">
        <v>418</v>
      </c>
      <c r="E248" s="221" t="s">
        <v>3991</v>
      </c>
      <c r="F248" s="213" t="s">
        <v>3992</v>
      </c>
      <c r="G248" s="213" t="s">
        <v>4355</v>
      </c>
      <c r="H248" s="213" t="s">
        <v>3991</v>
      </c>
      <c r="I248" s="213" t="s">
        <v>3993</v>
      </c>
      <c r="J248" s="213" t="s">
        <v>3994</v>
      </c>
      <c r="K248" s="213" t="s">
        <v>9400</v>
      </c>
      <c r="L248" s="213" t="s">
        <v>10651</v>
      </c>
      <c r="M248" s="213" t="s">
        <v>10057</v>
      </c>
      <c r="P248" s="121"/>
    </row>
    <row r="249" spans="1:16">
      <c r="A249" s="213" t="s">
        <v>703</v>
      </c>
      <c r="B249" s="213" t="s">
        <v>705</v>
      </c>
      <c r="C249" s="221" t="s">
        <v>704</v>
      </c>
      <c r="D249" s="221" t="s">
        <v>706</v>
      </c>
      <c r="E249" s="221" t="s">
        <v>4366</v>
      </c>
      <c r="F249" s="213" t="s">
        <v>4367</v>
      </c>
      <c r="G249" s="213" t="s">
        <v>4368</v>
      </c>
      <c r="H249" s="213" t="s">
        <v>4369</v>
      </c>
      <c r="I249" s="213" t="s">
        <v>4370</v>
      </c>
      <c r="J249" s="213" t="s">
        <v>4371</v>
      </c>
      <c r="K249" s="213" t="s">
        <v>9461</v>
      </c>
      <c r="L249" s="213" t="s">
        <v>10713</v>
      </c>
      <c r="M249" s="213" t="s">
        <v>10060</v>
      </c>
      <c r="P249" s="121"/>
    </row>
    <row r="250" spans="1:16">
      <c r="A250" s="213" t="s">
        <v>707</v>
      </c>
      <c r="B250" s="213" t="s">
        <v>2828</v>
      </c>
      <c r="C250" s="221" t="s">
        <v>710</v>
      </c>
      <c r="D250" s="221" t="s">
        <v>711</v>
      </c>
      <c r="E250" s="221" t="s">
        <v>4372</v>
      </c>
      <c r="F250" s="213" t="s">
        <v>4373</v>
      </c>
      <c r="G250" s="213" t="s">
        <v>4374</v>
      </c>
      <c r="H250" s="213" t="s">
        <v>4375</v>
      </c>
      <c r="I250" s="213" t="s">
        <v>4376</v>
      </c>
      <c r="J250" s="213" t="s">
        <v>4377</v>
      </c>
      <c r="K250" s="213" t="s">
        <v>9462</v>
      </c>
      <c r="L250" s="213" t="s">
        <v>10714</v>
      </c>
      <c r="M250" s="213" t="s">
        <v>10061</v>
      </c>
      <c r="P250" s="121"/>
    </row>
    <row r="251" spans="1:16">
      <c r="A251" s="213" t="s">
        <v>2494</v>
      </c>
      <c r="B251" s="213" t="s">
        <v>2829</v>
      </c>
      <c r="C251" s="221" t="s">
        <v>2928</v>
      </c>
      <c r="D251" s="221" t="s">
        <v>3002</v>
      </c>
      <c r="E251" s="221" t="s">
        <v>4378</v>
      </c>
      <c r="F251" s="213" t="s">
        <v>4379</v>
      </c>
      <c r="G251" s="213" t="s">
        <v>4380</v>
      </c>
      <c r="H251" s="213" t="s">
        <v>4381</v>
      </c>
      <c r="I251" s="213" t="s">
        <v>4382</v>
      </c>
      <c r="J251" s="213" t="s">
        <v>4383</v>
      </c>
      <c r="K251" s="213" t="s">
        <v>9463</v>
      </c>
      <c r="L251" s="213" t="s">
        <v>10715</v>
      </c>
      <c r="M251" s="213" t="s">
        <v>10062</v>
      </c>
      <c r="P251" s="121"/>
    </row>
    <row r="252" spans="1:16">
      <c r="A252" s="213" t="s">
        <v>2495</v>
      </c>
      <c r="B252" s="213" t="s">
        <v>2830</v>
      </c>
      <c r="C252" s="221" t="s">
        <v>2929</v>
      </c>
      <c r="D252" s="221" t="s">
        <v>3003</v>
      </c>
      <c r="E252" s="221" t="s">
        <v>4384</v>
      </c>
      <c r="F252" s="213" t="s">
        <v>4385</v>
      </c>
      <c r="G252" s="213" t="s">
        <v>4386</v>
      </c>
      <c r="H252" s="213" t="s">
        <v>4387</v>
      </c>
      <c r="I252" s="213" t="s">
        <v>4388</v>
      </c>
      <c r="J252" s="213" t="s">
        <v>4389</v>
      </c>
      <c r="K252" s="213" t="s">
        <v>9464</v>
      </c>
      <c r="L252" s="213" t="s">
        <v>10716</v>
      </c>
      <c r="M252" s="213" t="s">
        <v>10063</v>
      </c>
      <c r="P252" s="121"/>
    </row>
    <row r="253" spans="1:16">
      <c r="A253" s="213" t="s">
        <v>4390</v>
      </c>
      <c r="B253" s="213" t="s">
        <v>2830</v>
      </c>
      <c r="C253" s="221" t="s">
        <v>2929</v>
      </c>
      <c r="D253" s="221" t="s">
        <v>3003</v>
      </c>
      <c r="E253" s="221" t="s">
        <v>4384</v>
      </c>
      <c r="F253" s="213" t="s">
        <v>4385</v>
      </c>
      <c r="G253" s="213" t="s">
        <v>4386</v>
      </c>
      <c r="H253" s="213" t="s">
        <v>4387</v>
      </c>
      <c r="I253" s="213" t="s">
        <v>4388</v>
      </c>
      <c r="J253" s="213" t="s">
        <v>4389</v>
      </c>
      <c r="K253" s="213" t="s">
        <v>9464</v>
      </c>
      <c r="L253" s="213" t="s">
        <v>10716</v>
      </c>
      <c r="M253" s="213" t="s">
        <v>10063</v>
      </c>
      <c r="P253" s="121"/>
    </row>
    <row r="254" spans="1:16">
      <c r="A254" s="213" t="s">
        <v>4391</v>
      </c>
      <c r="B254" s="213" t="s">
        <v>4394</v>
      </c>
      <c r="C254" s="221" t="s">
        <v>4393</v>
      </c>
      <c r="D254" s="221" t="s">
        <v>4395</v>
      </c>
      <c r="E254" s="221" t="s">
        <v>4396</v>
      </c>
      <c r="F254" s="213" t="s">
        <v>4397</v>
      </c>
      <c r="G254" s="213" t="s">
        <v>4398</v>
      </c>
      <c r="H254" s="213" t="s">
        <v>4399</v>
      </c>
      <c r="I254" s="213" t="s">
        <v>4400</v>
      </c>
      <c r="J254" s="213" t="s">
        <v>4401</v>
      </c>
      <c r="K254" s="213" t="s">
        <v>9465</v>
      </c>
      <c r="L254" s="213" t="s">
        <v>10717</v>
      </c>
      <c r="M254" s="213" t="s">
        <v>10064</v>
      </c>
      <c r="P254" s="121"/>
    </row>
    <row r="255" spans="1:16">
      <c r="A255" s="213" t="s">
        <v>4402</v>
      </c>
      <c r="B255" s="213" t="s">
        <v>4394</v>
      </c>
      <c r="C255" s="221" t="s">
        <v>4393</v>
      </c>
      <c r="D255" s="221" t="s">
        <v>4395</v>
      </c>
      <c r="E255" s="221" t="s">
        <v>4396</v>
      </c>
      <c r="F255" s="213" t="s">
        <v>4397</v>
      </c>
      <c r="G255" s="213" t="s">
        <v>4398</v>
      </c>
      <c r="H255" s="213" t="s">
        <v>4399</v>
      </c>
      <c r="I255" s="213" t="s">
        <v>4400</v>
      </c>
      <c r="J255" s="213" t="s">
        <v>4401</v>
      </c>
      <c r="K255" s="213" t="s">
        <v>9465</v>
      </c>
      <c r="L255" s="213" t="s">
        <v>10717</v>
      </c>
      <c r="M255" s="213" t="s">
        <v>10064</v>
      </c>
      <c r="P255" s="121"/>
    </row>
    <row r="256" spans="1:16">
      <c r="A256" s="213" t="s">
        <v>4403</v>
      </c>
      <c r="B256" s="213" t="s">
        <v>4405</v>
      </c>
      <c r="C256" s="221" t="s">
        <v>4404</v>
      </c>
      <c r="D256" s="221" t="s">
        <v>4406</v>
      </c>
      <c r="E256" s="221" t="s">
        <v>4407</v>
      </c>
      <c r="F256" s="213" t="s">
        <v>4408</v>
      </c>
      <c r="G256" s="213" t="s">
        <v>4409</v>
      </c>
      <c r="H256" s="213" t="s">
        <v>4410</v>
      </c>
      <c r="I256" s="213" t="s">
        <v>4411</v>
      </c>
      <c r="J256" s="213" t="s">
        <v>4412</v>
      </c>
      <c r="K256" s="213" t="s">
        <v>9466</v>
      </c>
      <c r="L256" s="213" t="s">
        <v>10718</v>
      </c>
      <c r="M256" s="213" t="s">
        <v>10065</v>
      </c>
      <c r="P256" s="121"/>
    </row>
    <row r="257" spans="1:16">
      <c r="A257" s="214" t="s">
        <v>4413</v>
      </c>
      <c r="B257" s="213" t="s">
        <v>4405</v>
      </c>
      <c r="C257" s="221" t="s">
        <v>4404</v>
      </c>
      <c r="D257" s="221" t="s">
        <v>4406</v>
      </c>
      <c r="E257" s="221" t="s">
        <v>4407</v>
      </c>
      <c r="F257" s="213" t="s">
        <v>4408</v>
      </c>
      <c r="G257" s="213" t="s">
        <v>4409</v>
      </c>
      <c r="H257" s="213" t="s">
        <v>4410</v>
      </c>
      <c r="I257" s="213" t="s">
        <v>4411</v>
      </c>
      <c r="J257" s="213" t="s">
        <v>4412</v>
      </c>
      <c r="K257" s="213" t="s">
        <v>9466</v>
      </c>
      <c r="L257" s="213" t="s">
        <v>10718</v>
      </c>
      <c r="M257" s="213" t="s">
        <v>10066</v>
      </c>
      <c r="P257" s="121"/>
    </row>
    <row r="258" spans="1:16">
      <c r="A258" s="213" t="s">
        <v>2665</v>
      </c>
      <c r="B258" s="213" t="s">
        <v>2831</v>
      </c>
      <c r="C258" s="221" t="s">
        <v>2930</v>
      </c>
      <c r="D258" s="221" t="s">
        <v>3004</v>
      </c>
      <c r="E258" s="221" t="s">
        <v>4414</v>
      </c>
      <c r="F258" s="213" t="s">
        <v>4415</v>
      </c>
      <c r="G258" s="213" t="s">
        <v>4416</v>
      </c>
      <c r="H258" s="213" t="s">
        <v>4417</v>
      </c>
      <c r="I258" s="213" t="s">
        <v>4418</v>
      </c>
      <c r="J258" s="213" t="s">
        <v>4419</v>
      </c>
      <c r="K258" s="213" t="s">
        <v>9467</v>
      </c>
      <c r="L258" s="213" t="s">
        <v>10719</v>
      </c>
      <c r="M258" s="213" t="s">
        <v>10067</v>
      </c>
      <c r="P258" s="121"/>
    </row>
    <row r="259" spans="1:16">
      <c r="A259" s="213" t="s">
        <v>14054</v>
      </c>
      <c r="B259" s="213" t="s">
        <v>14405</v>
      </c>
      <c r="C259" s="221" t="s">
        <v>14406</v>
      </c>
      <c r="D259" s="221" t="s">
        <v>14407</v>
      </c>
      <c r="E259" s="221" t="s">
        <v>14408</v>
      </c>
      <c r="F259" s="213" t="s">
        <v>14409</v>
      </c>
      <c r="G259" s="213" t="s">
        <v>4443</v>
      </c>
      <c r="H259" s="213" t="s">
        <v>14410</v>
      </c>
      <c r="I259" s="213" t="s">
        <v>14411</v>
      </c>
      <c r="J259" s="213" t="s">
        <v>14412</v>
      </c>
      <c r="K259" s="213" t="s">
        <v>14413</v>
      </c>
      <c r="L259" s="213" t="s">
        <v>14414</v>
      </c>
      <c r="M259" s="213" t="s">
        <v>14415</v>
      </c>
      <c r="P259" s="121"/>
    </row>
    <row r="260" spans="1:16">
      <c r="A260" s="213" t="s">
        <v>14055</v>
      </c>
      <c r="B260" s="213" t="s">
        <v>749</v>
      </c>
      <c r="C260" s="221" t="s">
        <v>748</v>
      </c>
      <c r="D260" s="221" t="s">
        <v>750</v>
      </c>
      <c r="E260" s="221" t="s">
        <v>4482</v>
      </c>
      <c r="F260" s="213" t="s">
        <v>4483</v>
      </c>
      <c r="G260" s="213" t="s">
        <v>4484</v>
      </c>
      <c r="H260" s="213" t="s">
        <v>4485</v>
      </c>
      <c r="I260" s="213" t="s">
        <v>4486</v>
      </c>
      <c r="J260" s="213" t="s">
        <v>4475</v>
      </c>
      <c r="K260" s="213" t="s">
        <v>9478</v>
      </c>
      <c r="L260" s="213" t="s">
        <v>10729</v>
      </c>
      <c r="M260" s="213" t="s">
        <v>10077</v>
      </c>
      <c r="P260" s="121"/>
    </row>
    <row r="261" spans="1:16">
      <c r="A261" s="213" t="s">
        <v>14056</v>
      </c>
      <c r="B261" s="213" t="s">
        <v>14405</v>
      </c>
      <c r="C261" s="221" t="s">
        <v>14406</v>
      </c>
      <c r="D261" s="221" t="s">
        <v>14407</v>
      </c>
      <c r="E261" s="221" t="s">
        <v>14408</v>
      </c>
      <c r="F261" s="213" t="s">
        <v>14409</v>
      </c>
      <c r="G261" s="213" t="s">
        <v>4443</v>
      </c>
      <c r="H261" s="213" t="s">
        <v>14410</v>
      </c>
      <c r="I261" s="213" t="s">
        <v>14411</v>
      </c>
      <c r="J261" s="213" t="s">
        <v>14412</v>
      </c>
      <c r="K261" s="213" t="s">
        <v>14413</v>
      </c>
      <c r="L261" s="213" t="s">
        <v>14414</v>
      </c>
      <c r="M261" s="213" t="s">
        <v>14415</v>
      </c>
      <c r="P261" s="121"/>
    </row>
    <row r="262" spans="1:16">
      <c r="A262" s="214" t="s">
        <v>714</v>
      </c>
      <c r="B262" s="213" t="s">
        <v>717</v>
      </c>
      <c r="C262" s="221" t="s">
        <v>716</v>
      </c>
      <c r="D262" s="221" t="s">
        <v>718</v>
      </c>
      <c r="E262" s="221" t="s">
        <v>4420</v>
      </c>
      <c r="F262" s="213" t="s">
        <v>4421</v>
      </c>
      <c r="G262" s="213" t="s">
        <v>4422</v>
      </c>
      <c r="H262" s="213" t="s">
        <v>4423</v>
      </c>
      <c r="I262" s="213" t="s">
        <v>4424</v>
      </c>
      <c r="J262" s="213" t="s">
        <v>4425</v>
      </c>
      <c r="K262" s="213" t="s">
        <v>9468</v>
      </c>
      <c r="L262" s="213" t="s">
        <v>10720</v>
      </c>
      <c r="M262" s="213" t="s">
        <v>10068</v>
      </c>
      <c r="P262" s="121"/>
    </row>
    <row r="263" spans="1:16">
      <c r="A263" s="213" t="s">
        <v>2497</v>
      </c>
      <c r="B263" s="213" t="s">
        <v>717</v>
      </c>
      <c r="C263" s="221" t="s">
        <v>716</v>
      </c>
      <c r="D263" s="221" t="s">
        <v>718</v>
      </c>
      <c r="E263" s="221" t="s">
        <v>4420</v>
      </c>
      <c r="F263" s="213" t="s">
        <v>4421</v>
      </c>
      <c r="G263" s="213" t="s">
        <v>4422</v>
      </c>
      <c r="H263" s="213" t="s">
        <v>4423</v>
      </c>
      <c r="I263" s="213" t="s">
        <v>4424</v>
      </c>
      <c r="J263" s="213" t="s">
        <v>4425</v>
      </c>
      <c r="K263" s="213" t="s">
        <v>9468</v>
      </c>
      <c r="L263" s="213" t="s">
        <v>10720</v>
      </c>
      <c r="M263" s="213" t="s">
        <v>10068</v>
      </c>
      <c r="P263" s="121"/>
    </row>
    <row r="264" spans="1:16">
      <c r="A264" s="213" t="s">
        <v>11214</v>
      </c>
      <c r="B264" s="213" t="s">
        <v>717</v>
      </c>
      <c r="C264" s="221" t="s">
        <v>716</v>
      </c>
      <c r="D264" s="221" t="s">
        <v>718</v>
      </c>
      <c r="E264" s="221" t="s">
        <v>4420</v>
      </c>
      <c r="F264" s="213" t="s">
        <v>4421</v>
      </c>
      <c r="G264" s="213" t="s">
        <v>4422</v>
      </c>
      <c r="H264" s="213" t="s">
        <v>4423</v>
      </c>
      <c r="I264" s="213" t="s">
        <v>4426</v>
      </c>
      <c r="J264" s="213" t="s">
        <v>4425</v>
      </c>
      <c r="K264" s="222" t="s">
        <v>9468</v>
      </c>
      <c r="L264" s="213" t="s">
        <v>10720</v>
      </c>
      <c r="M264" s="213" t="s">
        <v>10068</v>
      </c>
      <c r="P264" s="121"/>
    </row>
    <row r="265" spans="1:16">
      <c r="A265" s="213" t="s">
        <v>2498</v>
      </c>
      <c r="B265" s="213" t="s">
        <v>2832</v>
      </c>
      <c r="C265" s="221" t="s">
        <v>2931</v>
      </c>
      <c r="D265" s="221" t="s">
        <v>3005</v>
      </c>
      <c r="E265" s="221" t="s">
        <v>4427</v>
      </c>
      <c r="F265" s="213" t="s">
        <v>4428</v>
      </c>
      <c r="G265" s="213" t="s">
        <v>4429</v>
      </c>
      <c r="H265" s="213" t="s">
        <v>4430</v>
      </c>
      <c r="I265" s="213" t="s">
        <v>4431</v>
      </c>
      <c r="J265" s="213" t="s">
        <v>4432</v>
      </c>
      <c r="K265" s="213" t="s">
        <v>9469</v>
      </c>
      <c r="L265" s="213" t="s">
        <v>10721</v>
      </c>
      <c r="M265" s="213" t="s">
        <v>10069</v>
      </c>
      <c r="P265" s="121"/>
    </row>
    <row r="266" spans="1:16">
      <c r="A266" s="213" t="s">
        <v>2499</v>
      </c>
      <c r="B266" s="213" t="s">
        <v>2832</v>
      </c>
      <c r="C266" s="221" t="s">
        <v>2931</v>
      </c>
      <c r="D266" s="221" t="s">
        <v>3005</v>
      </c>
      <c r="E266" s="221" t="s">
        <v>4427</v>
      </c>
      <c r="F266" s="213" t="s">
        <v>4428</v>
      </c>
      <c r="G266" s="213" t="s">
        <v>4429</v>
      </c>
      <c r="H266" s="213" t="s">
        <v>4430</v>
      </c>
      <c r="I266" s="213" t="s">
        <v>4431</v>
      </c>
      <c r="J266" s="213" t="s">
        <v>4432</v>
      </c>
      <c r="K266" s="213" t="s">
        <v>9469</v>
      </c>
      <c r="L266" s="213" t="s">
        <v>10721</v>
      </c>
      <c r="M266" s="213" t="s">
        <v>10069</v>
      </c>
      <c r="P266" s="121"/>
    </row>
    <row r="267" spans="1:16">
      <c r="A267" s="214" t="s">
        <v>2500</v>
      </c>
      <c r="B267" s="213" t="s">
        <v>2833</v>
      </c>
      <c r="C267" s="221" t="s">
        <v>2932</v>
      </c>
      <c r="D267" s="221" t="s">
        <v>3006</v>
      </c>
      <c r="E267" s="221" t="s">
        <v>4433</v>
      </c>
      <c r="F267" s="213" t="s">
        <v>4434</v>
      </c>
      <c r="G267" s="213" t="s">
        <v>4435</v>
      </c>
      <c r="H267" s="213" t="s">
        <v>4436</v>
      </c>
      <c r="I267" s="213" t="s">
        <v>4437</v>
      </c>
      <c r="J267" s="213" t="s">
        <v>4438</v>
      </c>
      <c r="K267" s="213" t="s">
        <v>9470</v>
      </c>
      <c r="L267" s="213" t="s">
        <v>10722</v>
      </c>
      <c r="M267" s="213" t="s">
        <v>10070</v>
      </c>
      <c r="P267" s="121"/>
    </row>
    <row r="268" spans="1:16">
      <c r="A268" s="214" t="s">
        <v>4439</v>
      </c>
      <c r="B268" s="213" t="s">
        <v>2833</v>
      </c>
      <c r="C268" s="221" t="s">
        <v>2932</v>
      </c>
      <c r="D268" s="221" t="s">
        <v>3006</v>
      </c>
      <c r="E268" s="221" t="s">
        <v>4433</v>
      </c>
      <c r="F268" s="213" t="s">
        <v>4434</v>
      </c>
      <c r="G268" s="213" t="s">
        <v>4435</v>
      </c>
      <c r="H268" s="213" t="s">
        <v>4436</v>
      </c>
      <c r="I268" s="213" t="s">
        <v>4440</v>
      </c>
      <c r="J268" s="213" t="s">
        <v>4438</v>
      </c>
      <c r="K268" s="213" t="s">
        <v>9470</v>
      </c>
      <c r="L268" s="213" t="s">
        <v>10722</v>
      </c>
      <c r="M268" s="213" t="s">
        <v>10070</v>
      </c>
      <c r="P268" s="121"/>
    </row>
    <row r="269" spans="1:16">
      <c r="A269" s="214" t="s">
        <v>2501</v>
      </c>
      <c r="B269" s="213" t="s">
        <v>2834</v>
      </c>
      <c r="C269" s="221" t="s">
        <v>2933</v>
      </c>
      <c r="D269" s="221" t="s">
        <v>3007</v>
      </c>
      <c r="E269" s="221" t="s">
        <v>4441</v>
      </c>
      <c r="F269" s="213" t="s">
        <v>4442</v>
      </c>
      <c r="G269" s="213" t="s">
        <v>4443</v>
      </c>
      <c r="H269" s="213" t="s">
        <v>4444</v>
      </c>
      <c r="I269" s="213" t="s">
        <v>4445</v>
      </c>
      <c r="J269" s="213" t="s">
        <v>4446</v>
      </c>
      <c r="K269" s="213" t="s">
        <v>9471</v>
      </c>
      <c r="L269" s="213" t="s">
        <v>10723</v>
      </c>
      <c r="M269" s="213" t="s">
        <v>10070</v>
      </c>
      <c r="P269" s="121"/>
    </row>
    <row r="270" spans="1:16">
      <c r="A270" s="214" t="s">
        <v>4447</v>
      </c>
      <c r="B270" s="213" t="s">
        <v>2834</v>
      </c>
      <c r="C270" s="221" t="s">
        <v>2933</v>
      </c>
      <c r="D270" s="221" t="s">
        <v>3007</v>
      </c>
      <c r="E270" s="221" t="s">
        <v>4441</v>
      </c>
      <c r="F270" s="213" t="s">
        <v>4442</v>
      </c>
      <c r="G270" s="213" t="s">
        <v>4443</v>
      </c>
      <c r="H270" s="213" t="s">
        <v>4444</v>
      </c>
      <c r="I270" s="213" t="s">
        <v>4445</v>
      </c>
      <c r="J270" s="213" t="s">
        <v>4446</v>
      </c>
      <c r="K270" s="213" t="s">
        <v>9471</v>
      </c>
      <c r="L270" s="213" t="s">
        <v>10723</v>
      </c>
      <c r="M270" s="213" t="s">
        <v>10070</v>
      </c>
      <c r="P270" s="121"/>
    </row>
    <row r="271" spans="1:16">
      <c r="A271" s="214" t="s">
        <v>723</v>
      </c>
      <c r="B271" s="213" t="s">
        <v>721</v>
      </c>
      <c r="C271" s="221" t="s">
        <v>720</v>
      </c>
      <c r="D271" s="221" t="s">
        <v>722</v>
      </c>
      <c r="E271" s="221" t="s">
        <v>4448</v>
      </c>
      <c r="F271" s="213" t="s">
        <v>4449</v>
      </c>
      <c r="G271" s="213" t="s">
        <v>4450</v>
      </c>
      <c r="H271" s="213" t="s">
        <v>4451</v>
      </c>
      <c r="I271" s="213" t="s">
        <v>4452</v>
      </c>
      <c r="J271" s="213" t="s">
        <v>4453</v>
      </c>
      <c r="K271" s="213" t="s">
        <v>9472</v>
      </c>
      <c r="L271" s="213" t="s">
        <v>10724</v>
      </c>
      <c r="M271" s="213" t="s">
        <v>10071</v>
      </c>
      <c r="P271" s="121"/>
    </row>
    <row r="272" spans="1:16">
      <c r="A272" s="213" t="s">
        <v>725</v>
      </c>
      <c r="B272" s="213" t="s">
        <v>729</v>
      </c>
      <c r="C272" s="221" t="s">
        <v>728</v>
      </c>
      <c r="D272" s="221" t="s">
        <v>730</v>
      </c>
      <c r="E272" s="221" t="s">
        <v>4454</v>
      </c>
      <c r="F272" s="213" t="s">
        <v>4455</v>
      </c>
      <c r="G272" s="213" t="s">
        <v>4456</v>
      </c>
      <c r="H272" s="213" t="s">
        <v>4457</v>
      </c>
      <c r="I272" s="213" t="s">
        <v>4458</v>
      </c>
      <c r="J272" s="213" t="s">
        <v>4459</v>
      </c>
      <c r="K272" s="213" t="s">
        <v>9473</v>
      </c>
      <c r="L272" s="213" t="s">
        <v>10725</v>
      </c>
      <c r="M272" s="213" t="s">
        <v>10072</v>
      </c>
      <c r="P272" s="121"/>
    </row>
    <row r="273" spans="1:16">
      <c r="A273" s="213" t="s">
        <v>731</v>
      </c>
      <c r="B273" s="213" t="s">
        <v>729</v>
      </c>
      <c r="C273" s="221" t="s">
        <v>728</v>
      </c>
      <c r="D273" s="221" t="s">
        <v>730</v>
      </c>
      <c r="E273" s="221" t="s">
        <v>4454</v>
      </c>
      <c r="F273" s="213" t="s">
        <v>4455</v>
      </c>
      <c r="G273" s="213" t="s">
        <v>4456</v>
      </c>
      <c r="H273" s="213" t="s">
        <v>4457</v>
      </c>
      <c r="I273" s="213" t="s">
        <v>4458</v>
      </c>
      <c r="J273" s="213" t="s">
        <v>4459</v>
      </c>
      <c r="K273" s="222" t="s">
        <v>9473</v>
      </c>
      <c r="L273" s="213" t="s">
        <v>10725</v>
      </c>
      <c r="M273" s="213" t="s">
        <v>10073</v>
      </c>
      <c r="P273" s="121"/>
    </row>
    <row r="274" spans="1:16">
      <c r="A274" s="213" t="s">
        <v>732</v>
      </c>
      <c r="B274" s="213" t="s">
        <v>735</v>
      </c>
      <c r="C274" s="221" t="s">
        <v>734</v>
      </c>
      <c r="D274" s="221" t="s">
        <v>736</v>
      </c>
      <c r="E274" s="221" t="s">
        <v>4460</v>
      </c>
      <c r="F274" s="213" t="s">
        <v>4461</v>
      </c>
      <c r="G274" s="213" t="s">
        <v>4462</v>
      </c>
      <c r="H274" s="213" t="s">
        <v>4463</v>
      </c>
      <c r="I274" s="213" t="s">
        <v>4464</v>
      </c>
      <c r="J274" s="213" t="s">
        <v>4465</v>
      </c>
      <c r="K274" s="222" t="s">
        <v>9474</v>
      </c>
      <c r="L274" s="213" t="s">
        <v>10726</v>
      </c>
      <c r="M274" s="213" t="s">
        <v>10074</v>
      </c>
      <c r="P274" s="121"/>
    </row>
    <row r="275" spans="1:16">
      <c r="A275" s="213" t="s">
        <v>4466</v>
      </c>
      <c r="B275" s="213" t="s">
        <v>735</v>
      </c>
      <c r="C275" s="221" t="s">
        <v>734</v>
      </c>
      <c r="D275" s="221" t="s">
        <v>736</v>
      </c>
      <c r="E275" s="221" t="s">
        <v>4460</v>
      </c>
      <c r="F275" s="213" t="s">
        <v>4461</v>
      </c>
      <c r="G275" s="213" t="s">
        <v>4462</v>
      </c>
      <c r="H275" s="213" t="s">
        <v>4463</v>
      </c>
      <c r="I275" s="213" t="s">
        <v>4464</v>
      </c>
      <c r="J275" s="213" t="s">
        <v>4465</v>
      </c>
      <c r="K275" s="222" t="s">
        <v>9475</v>
      </c>
      <c r="L275" s="213" t="s">
        <v>10726</v>
      </c>
      <c r="M275" s="213" t="s">
        <v>10074</v>
      </c>
      <c r="P275" s="121"/>
    </row>
    <row r="276" spans="1:16">
      <c r="A276" s="213" t="s">
        <v>4468</v>
      </c>
      <c r="B276" s="213" t="s">
        <v>12217</v>
      </c>
      <c r="C276" s="221" t="s">
        <v>12216</v>
      </c>
      <c r="D276" s="221" t="s">
        <v>12218</v>
      </c>
      <c r="E276" s="221" t="s">
        <v>12219</v>
      </c>
      <c r="F276" s="213" t="s">
        <v>12220</v>
      </c>
      <c r="G276" s="213" t="s">
        <v>12221</v>
      </c>
      <c r="H276" s="213" t="s">
        <v>12222</v>
      </c>
      <c r="I276" s="213" t="s">
        <v>12223</v>
      </c>
      <c r="J276" s="213" t="s">
        <v>12224</v>
      </c>
      <c r="K276" s="222" t="s">
        <v>12226</v>
      </c>
      <c r="L276" s="213" t="s">
        <v>12227</v>
      </c>
      <c r="M276" s="213" t="s">
        <v>12225</v>
      </c>
      <c r="P276" s="121"/>
    </row>
    <row r="277" spans="1:16">
      <c r="A277" s="213" t="s">
        <v>13775</v>
      </c>
      <c r="B277" s="213" t="s">
        <v>13889</v>
      </c>
      <c r="C277" s="221" t="s">
        <v>13890</v>
      </c>
      <c r="D277" s="221" t="s">
        <v>13891</v>
      </c>
      <c r="E277" s="221" t="s">
        <v>13892</v>
      </c>
      <c r="F277" s="213" t="s">
        <v>13893</v>
      </c>
      <c r="G277" s="213" t="s">
        <v>13894</v>
      </c>
      <c r="H277" s="213" t="s">
        <v>13895</v>
      </c>
      <c r="I277" s="213" t="s">
        <v>13896</v>
      </c>
      <c r="J277" s="213" t="s">
        <v>13897</v>
      </c>
      <c r="K277" s="222" t="s">
        <v>13898</v>
      </c>
      <c r="L277" s="213" t="s">
        <v>13899</v>
      </c>
      <c r="M277" s="213" t="s">
        <v>13900</v>
      </c>
      <c r="P277" s="121"/>
    </row>
    <row r="278" spans="1:16">
      <c r="A278" s="213" t="s">
        <v>13776</v>
      </c>
      <c r="B278" s="213" t="s">
        <v>13901</v>
      </c>
      <c r="C278" s="221" t="s">
        <v>13902</v>
      </c>
      <c r="D278" s="221" t="s">
        <v>13903</v>
      </c>
      <c r="E278" s="221" t="s">
        <v>13904</v>
      </c>
      <c r="F278" s="213" t="s">
        <v>13905</v>
      </c>
      <c r="G278" s="213" t="s">
        <v>13906</v>
      </c>
      <c r="H278" s="213" t="s">
        <v>13907</v>
      </c>
      <c r="I278" s="213" t="s">
        <v>13908</v>
      </c>
      <c r="J278" s="213" t="s">
        <v>13909</v>
      </c>
      <c r="K278" s="222" t="s">
        <v>13910</v>
      </c>
      <c r="L278" s="213" t="s">
        <v>13911</v>
      </c>
      <c r="M278" s="213" t="s">
        <v>13912</v>
      </c>
      <c r="P278" s="121"/>
    </row>
    <row r="279" spans="1:16">
      <c r="A279" s="213" t="s">
        <v>737</v>
      </c>
      <c r="B279" s="213" t="s">
        <v>741</v>
      </c>
      <c r="C279" s="221" t="s">
        <v>740</v>
      </c>
      <c r="D279" s="221" t="s">
        <v>3008</v>
      </c>
      <c r="E279" s="221" t="s">
        <v>4470</v>
      </c>
      <c r="F279" s="213" t="s">
        <v>4471</v>
      </c>
      <c r="G279" s="213" t="s">
        <v>4472</v>
      </c>
      <c r="H279" s="213" t="s">
        <v>4473</v>
      </c>
      <c r="I279" s="213" t="s">
        <v>4474</v>
      </c>
      <c r="J279" s="213" t="s">
        <v>4475</v>
      </c>
      <c r="K279" s="222" t="s">
        <v>9476</v>
      </c>
      <c r="L279" s="213" t="s">
        <v>10727</v>
      </c>
      <c r="M279" s="213" t="s">
        <v>10075</v>
      </c>
      <c r="P279" s="121"/>
    </row>
    <row r="280" spans="1:16">
      <c r="A280" s="213" t="s">
        <v>742</v>
      </c>
      <c r="B280" s="213" t="s">
        <v>2835</v>
      </c>
      <c r="C280" s="221" t="s">
        <v>745</v>
      </c>
      <c r="D280" s="221" t="s">
        <v>746</v>
      </c>
      <c r="E280" s="221" t="s">
        <v>4476</v>
      </c>
      <c r="F280" s="213" t="s">
        <v>4477</v>
      </c>
      <c r="G280" s="213" t="s">
        <v>4478</v>
      </c>
      <c r="H280" s="213" t="s">
        <v>4479</v>
      </c>
      <c r="I280" s="213" t="s">
        <v>4480</v>
      </c>
      <c r="J280" s="213" t="s">
        <v>4481</v>
      </c>
      <c r="K280" s="222" t="s">
        <v>9477</v>
      </c>
      <c r="L280" s="213" t="s">
        <v>10728</v>
      </c>
      <c r="M280" s="213" t="s">
        <v>10076</v>
      </c>
      <c r="P280" s="121"/>
    </row>
    <row r="281" spans="1:16">
      <c r="A281" s="213" t="s">
        <v>747</v>
      </c>
      <c r="B281" s="213" t="s">
        <v>749</v>
      </c>
      <c r="C281" s="221" t="s">
        <v>748</v>
      </c>
      <c r="D281" s="221" t="s">
        <v>750</v>
      </c>
      <c r="E281" s="221" t="s">
        <v>4482</v>
      </c>
      <c r="F281" s="213" t="s">
        <v>4483</v>
      </c>
      <c r="G281" s="213" t="s">
        <v>4484</v>
      </c>
      <c r="H281" s="213" t="s">
        <v>4485</v>
      </c>
      <c r="I281" s="213" t="s">
        <v>4486</v>
      </c>
      <c r="J281" s="213" t="s">
        <v>4475</v>
      </c>
      <c r="K281" s="222" t="s">
        <v>9478</v>
      </c>
      <c r="L281" s="213" t="s">
        <v>10729</v>
      </c>
      <c r="M281" s="213" t="s">
        <v>10077</v>
      </c>
      <c r="P281" s="121"/>
    </row>
    <row r="282" spans="1:16">
      <c r="A282" s="213" t="s">
        <v>751</v>
      </c>
      <c r="B282" s="213" t="s">
        <v>749</v>
      </c>
      <c r="C282" s="221" t="s">
        <v>748</v>
      </c>
      <c r="D282" s="221" t="s">
        <v>750</v>
      </c>
      <c r="E282" s="221" t="s">
        <v>4482</v>
      </c>
      <c r="F282" s="213" t="s">
        <v>4483</v>
      </c>
      <c r="G282" s="213" t="s">
        <v>4484</v>
      </c>
      <c r="H282" s="213" t="s">
        <v>4485</v>
      </c>
      <c r="I282" s="213" t="s">
        <v>4487</v>
      </c>
      <c r="J282" s="213" t="s">
        <v>4475</v>
      </c>
      <c r="K282" s="222" t="s">
        <v>9478</v>
      </c>
      <c r="L282" s="213" t="s">
        <v>10729</v>
      </c>
      <c r="M282" s="213" t="s">
        <v>10077</v>
      </c>
      <c r="P282" s="121"/>
    </row>
    <row r="283" spans="1:16">
      <c r="A283" s="214" t="s">
        <v>4488</v>
      </c>
      <c r="B283" s="213" t="s">
        <v>4490</v>
      </c>
      <c r="C283" s="221" t="s">
        <v>4489</v>
      </c>
      <c r="D283" s="221" t="s">
        <v>4491</v>
      </c>
      <c r="E283" s="221" t="s">
        <v>12228</v>
      </c>
      <c r="F283" s="213" t="s">
        <v>4493</v>
      </c>
      <c r="G283" s="213" t="s">
        <v>4494</v>
      </c>
      <c r="H283" s="213" t="s">
        <v>4495</v>
      </c>
      <c r="I283" s="213" t="s">
        <v>4522</v>
      </c>
      <c r="J283" s="213" t="s">
        <v>4496</v>
      </c>
      <c r="K283" s="222" t="s">
        <v>9479</v>
      </c>
      <c r="L283" s="213" t="s">
        <v>10730</v>
      </c>
      <c r="M283" s="213" t="s">
        <v>10078</v>
      </c>
      <c r="P283" s="121"/>
    </row>
    <row r="284" spans="1:16">
      <c r="A284" s="213" t="s">
        <v>12130</v>
      </c>
      <c r="B284" s="213" t="s">
        <v>12230</v>
      </c>
      <c r="C284" s="221" t="s">
        <v>12229</v>
      </c>
      <c r="D284" s="221" t="s">
        <v>12231</v>
      </c>
      <c r="E284" s="221" t="s">
        <v>12232</v>
      </c>
      <c r="F284" s="213" t="s">
        <v>12233</v>
      </c>
      <c r="G284" s="213" t="s">
        <v>12234</v>
      </c>
      <c r="H284" s="213" t="s">
        <v>12235</v>
      </c>
      <c r="I284" s="213" t="s">
        <v>12236</v>
      </c>
      <c r="J284" s="213" t="s">
        <v>4496</v>
      </c>
      <c r="K284" s="222" t="s">
        <v>12238</v>
      </c>
      <c r="L284" s="213" t="s">
        <v>10730</v>
      </c>
      <c r="M284" s="213" t="s">
        <v>12237</v>
      </c>
      <c r="P284" s="121"/>
    </row>
    <row r="285" spans="1:16">
      <c r="A285" s="214" t="s">
        <v>4497</v>
      </c>
      <c r="B285" s="213" t="s">
        <v>4500</v>
      </c>
      <c r="C285" s="221" t="s">
        <v>4499</v>
      </c>
      <c r="D285" s="221" t="s">
        <v>4501</v>
      </c>
      <c r="E285" s="221" t="s">
        <v>4492</v>
      </c>
      <c r="F285" s="213" t="s">
        <v>4502</v>
      </c>
      <c r="G285" s="213" t="s">
        <v>4503</v>
      </c>
      <c r="H285" s="213" t="s">
        <v>4504</v>
      </c>
      <c r="I285" s="213" t="s">
        <v>4505</v>
      </c>
      <c r="J285" s="213" t="s">
        <v>4506</v>
      </c>
      <c r="K285" s="222" t="s">
        <v>9480</v>
      </c>
      <c r="L285" s="213" t="s">
        <v>10731</v>
      </c>
      <c r="M285" s="213" t="s">
        <v>10079</v>
      </c>
      <c r="P285" s="121"/>
    </row>
    <row r="286" spans="1:16">
      <c r="A286" s="213" t="s">
        <v>757</v>
      </c>
      <c r="B286" s="213" t="s">
        <v>755</v>
      </c>
      <c r="C286" s="221" t="s">
        <v>754</v>
      </c>
      <c r="D286" s="221" t="s">
        <v>756</v>
      </c>
      <c r="E286" s="221" t="s">
        <v>4507</v>
      </c>
      <c r="F286" s="213" t="s">
        <v>4508</v>
      </c>
      <c r="G286" s="213" t="s">
        <v>4509</v>
      </c>
      <c r="H286" s="213" t="s">
        <v>4510</v>
      </c>
      <c r="I286" s="213" t="s">
        <v>4511</v>
      </c>
      <c r="J286" s="213" t="s">
        <v>4512</v>
      </c>
      <c r="K286" s="222" t="s">
        <v>9481</v>
      </c>
      <c r="L286" s="213" t="s">
        <v>10732</v>
      </c>
      <c r="M286" s="213" t="s">
        <v>10080</v>
      </c>
      <c r="P286" s="121"/>
    </row>
    <row r="287" spans="1:16">
      <c r="A287" s="213" t="s">
        <v>759</v>
      </c>
      <c r="B287" s="213" t="s">
        <v>755</v>
      </c>
      <c r="C287" s="221" t="s">
        <v>754</v>
      </c>
      <c r="D287" s="221" t="s">
        <v>756</v>
      </c>
      <c r="E287" s="221" t="s">
        <v>4507</v>
      </c>
      <c r="F287" s="213" t="s">
        <v>4508</v>
      </c>
      <c r="G287" s="213" t="s">
        <v>4509</v>
      </c>
      <c r="H287" s="213" t="s">
        <v>4510</v>
      </c>
      <c r="I287" s="213" t="s">
        <v>4511</v>
      </c>
      <c r="J287" s="213" t="s">
        <v>4512</v>
      </c>
      <c r="K287" s="213" t="s">
        <v>9481</v>
      </c>
      <c r="L287" s="213" t="s">
        <v>10732</v>
      </c>
      <c r="M287" s="213" t="s">
        <v>10081</v>
      </c>
      <c r="P287" s="121"/>
    </row>
    <row r="288" spans="1:16">
      <c r="A288" s="213" t="s">
        <v>763</v>
      </c>
      <c r="B288" s="213" t="s">
        <v>766</v>
      </c>
      <c r="C288" s="221" t="s">
        <v>765</v>
      </c>
      <c r="D288" s="221" t="s">
        <v>767</v>
      </c>
      <c r="E288" s="221" t="s">
        <v>4513</v>
      </c>
      <c r="F288" s="213" t="s">
        <v>4508</v>
      </c>
      <c r="G288" s="213" t="s">
        <v>4514</v>
      </c>
      <c r="H288" s="213" t="s">
        <v>4515</v>
      </c>
      <c r="I288" s="213" t="s">
        <v>4516</v>
      </c>
      <c r="J288" s="213" t="s">
        <v>4517</v>
      </c>
      <c r="K288" s="213" t="s">
        <v>9475</v>
      </c>
      <c r="L288" s="213" t="s">
        <v>10733</v>
      </c>
      <c r="M288" s="213" t="s">
        <v>10082</v>
      </c>
      <c r="P288" s="121"/>
    </row>
    <row r="289" spans="1:16">
      <c r="A289" s="213" t="s">
        <v>4518</v>
      </c>
      <c r="B289" s="213" t="s">
        <v>4531</v>
      </c>
      <c r="C289" s="221" t="s">
        <v>4530</v>
      </c>
      <c r="D289" s="221" t="s">
        <v>4532</v>
      </c>
      <c r="E289" s="221" t="s">
        <v>11861</v>
      </c>
      <c r="F289" s="213" t="s">
        <v>11862</v>
      </c>
      <c r="G289" s="213" t="s">
        <v>11863</v>
      </c>
      <c r="H289" s="213" t="s">
        <v>4535</v>
      </c>
      <c r="I289" s="213" t="s">
        <v>4522</v>
      </c>
      <c r="J289" s="213" t="s">
        <v>4517</v>
      </c>
      <c r="K289" s="213" t="s">
        <v>9475</v>
      </c>
      <c r="L289" s="213" t="s">
        <v>10733</v>
      </c>
      <c r="M289" s="213" t="s">
        <v>10082</v>
      </c>
      <c r="P289" s="121"/>
    </row>
    <row r="290" spans="1:16">
      <c r="A290" s="213" t="s">
        <v>768</v>
      </c>
      <c r="B290" s="213" t="s">
        <v>749</v>
      </c>
      <c r="C290" s="221" t="s">
        <v>748</v>
      </c>
      <c r="D290" s="221" t="s">
        <v>750</v>
      </c>
      <c r="E290" s="221" t="s">
        <v>4482</v>
      </c>
      <c r="F290" s="213" t="s">
        <v>4520</v>
      </c>
      <c r="G290" s="213" t="s">
        <v>4484</v>
      </c>
      <c r="H290" s="213" t="s">
        <v>4485</v>
      </c>
      <c r="I290" s="213" t="s">
        <v>4523</v>
      </c>
      <c r="J290" s="213" t="s">
        <v>4475</v>
      </c>
      <c r="K290" s="213" t="s">
        <v>9478</v>
      </c>
      <c r="L290" s="213" t="s">
        <v>10729</v>
      </c>
      <c r="M290" s="213" t="s">
        <v>10077</v>
      </c>
      <c r="P290" s="121"/>
    </row>
    <row r="291" spans="1:16">
      <c r="A291" s="214" t="s">
        <v>769</v>
      </c>
      <c r="B291" s="213" t="s">
        <v>755</v>
      </c>
      <c r="C291" s="221" t="s">
        <v>754</v>
      </c>
      <c r="D291" s="221" t="s">
        <v>756</v>
      </c>
      <c r="E291" s="221" t="s">
        <v>4507</v>
      </c>
      <c r="F291" s="213" t="s">
        <v>4483</v>
      </c>
      <c r="G291" s="213" t="s">
        <v>4509</v>
      </c>
      <c r="H291" s="213" t="s">
        <v>4510</v>
      </c>
      <c r="I291" s="213" t="s">
        <v>4524</v>
      </c>
      <c r="J291" s="213" t="s">
        <v>4512</v>
      </c>
      <c r="K291" s="213" t="s">
        <v>9481</v>
      </c>
      <c r="L291" s="213" t="s">
        <v>10732</v>
      </c>
      <c r="M291" s="213" t="s">
        <v>10083</v>
      </c>
      <c r="P291" s="121"/>
    </row>
    <row r="292" spans="1:16">
      <c r="A292" s="214" t="s">
        <v>771</v>
      </c>
      <c r="B292" s="213" t="s">
        <v>755</v>
      </c>
      <c r="C292" s="221" t="s">
        <v>754</v>
      </c>
      <c r="D292" s="221" t="s">
        <v>756</v>
      </c>
      <c r="E292" s="221" t="s">
        <v>4507</v>
      </c>
      <c r="F292" s="213" t="s">
        <v>4508</v>
      </c>
      <c r="G292" s="213" t="s">
        <v>4509</v>
      </c>
      <c r="H292" s="213" t="s">
        <v>4510</v>
      </c>
      <c r="I292" s="213" t="s">
        <v>4524</v>
      </c>
      <c r="J292" s="213" t="s">
        <v>4512</v>
      </c>
      <c r="K292" s="213" t="s">
        <v>9481</v>
      </c>
      <c r="L292" s="213" t="s">
        <v>10732</v>
      </c>
      <c r="M292" s="213" t="s">
        <v>10080</v>
      </c>
      <c r="P292" s="121"/>
    </row>
    <row r="293" spans="1:16">
      <c r="A293" s="213" t="s">
        <v>2502</v>
      </c>
      <c r="B293" s="213" t="s">
        <v>755</v>
      </c>
      <c r="C293" s="221" t="s">
        <v>754</v>
      </c>
      <c r="D293" s="221" t="s">
        <v>756</v>
      </c>
      <c r="E293" s="221" t="s">
        <v>4507</v>
      </c>
      <c r="F293" s="213" t="s">
        <v>4508</v>
      </c>
      <c r="G293" s="213" t="s">
        <v>4509</v>
      </c>
      <c r="H293" s="213" t="s">
        <v>4510</v>
      </c>
      <c r="I293" s="213" t="s">
        <v>4524</v>
      </c>
      <c r="J293" s="213" t="s">
        <v>4512</v>
      </c>
      <c r="K293" s="213" t="s">
        <v>9481</v>
      </c>
      <c r="L293" s="213" t="s">
        <v>10732</v>
      </c>
      <c r="M293" s="213" t="s">
        <v>10080</v>
      </c>
      <c r="P293" s="121"/>
    </row>
    <row r="294" spans="1:16">
      <c r="A294" s="213" t="s">
        <v>4525</v>
      </c>
      <c r="B294" s="213" t="s">
        <v>766</v>
      </c>
      <c r="C294" s="221" t="s">
        <v>765</v>
      </c>
      <c r="D294" s="221" t="s">
        <v>767</v>
      </c>
      <c r="E294" s="221" t="s">
        <v>4519</v>
      </c>
      <c r="F294" s="213" t="s">
        <v>4520</v>
      </c>
      <c r="G294" s="213" t="s">
        <v>4514</v>
      </c>
      <c r="H294" s="213" t="s">
        <v>4521</v>
      </c>
      <c r="I294" s="213" t="s">
        <v>4522</v>
      </c>
      <c r="J294" s="213" t="s">
        <v>4517</v>
      </c>
      <c r="K294" s="213" t="s">
        <v>9475</v>
      </c>
      <c r="L294" s="213" t="s">
        <v>10733</v>
      </c>
      <c r="M294" s="213" t="s">
        <v>10082</v>
      </c>
      <c r="P294" s="121"/>
    </row>
    <row r="295" spans="1:16">
      <c r="A295" s="213" t="s">
        <v>4527</v>
      </c>
      <c r="B295" s="213" t="s">
        <v>766</v>
      </c>
      <c r="C295" s="221" t="s">
        <v>765</v>
      </c>
      <c r="D295" s="221" t="s">
        <v>767</v>
      </c>
      <c r="E295" s="221" t="s">
        <v>4519</v>
      </c>
      <c r="F295" s="213" t="s">
        <v>4520</v>
      </c>
      <c r="G295" s="213" t="s">
        <v>4514</v>
      </c>
      <c r="H295" s="213" t="s">
        <v>4521</v>
      </c>
      <c r="I295" s="213" t="s">
        <v>4522</v>
      </c>
      <c r="J295" s="213" t="s">
        <v>4517</v>
      </c>
      <c r="K295" s="213" t="s">
        <v>9475</v>
      </c>
      <c r="L295" s="213" t="s">
        <v>10733</v>
      </c>
      <c r="M295" s="213" t="s">
        <v>10082</v>
      </c>
      <c r="P295" s="121"/>
    </row>
    <row r="296" spans="1:16">
      <c r="A296" s="213" t="s">
        <v>4528</v>
      </c>
      <c r="B296" s="213" t="s">
        <v>4531</v>
      </c>
      <c r="C296" s="221" t="s">
        <v>4530</v>
      </c>
      <c r="D296" s="221" t="s">
        <v>4532</v>
      </c>
      <c r="E296" s="221" t="s">
        <v>4544</v>
      </c>
      <c r="F296" s="213" t="s">
        <v>4533</v>
      </c>
      <c r="G296" s="213" t="s">
        <v>4534</v>
      </c>
      <c r="H296" s="213" t="s">
        <v>4535</v>
      </c>
      <c r="I296" s="213" t="s">
        <v>4536</v>
      </c>
      <c r="J296" s="213" t="s">
        <v>4537</v>
      </c>
      <c r="K296" s="213" t="s">
        <v>9482</v>
      </c>
      <c r="L296" s="213" t="s">
        <v>10733</v>
      </c>
      <c r="M296" s="213" t="s">
        <v>10084</v>
      </c>
      <c r="P296" s="121"/>
    </row>
    <row r="297" spans="1:16">
      <c r="A297" s="214" t="s">
        <v>4538</v>
      </c>
      <c r="B297" s="213" t="s">
        <v>4531</v>
      </c>
      <c r="C297" s="221" t="s">
        <v>4530</v>
      </c>
      <c r="D297" s="221" t="s">
        <v>4532</v>
      </c>
      <c r="E297" s="221" t="s">
        <v>4544</v>
      </c>
      <c r="F297" s="213" t="s">
        <v>4533</v>
      </c>
      <c r="G297" s="213" t="s">
        <v>4534</v>
      </c>
      <c r="H297" s="213" t="s">
        <v>4535</v>
      </c>
      <c r="I297" s="213" t="s">
        <v>4536</v>
      </c>
      <c r="J297" s="213" t="s">
        <v>4537</v>
      </c>
      <c r="K297" s="213" t="s">
        <v>9482</v>
      </c>
      <c r="L297" s="213" t="s">
        <v>10733</v>
      </c>
      <c r="M297" s="213" t="s">
        <v>10084</v>
      </c>
      <c r="P297" s="121"/>
    </row>
    <row r="298" spans="1:16">
      <c r="A298" s="214" t="s">
        <v>2503</v>
      </c>
      <c r="B298" s="213" t="s">
        <v>4490</v>
      </c>
      <c r="C298" s="221" t="s">
        <v>4489</v>
      </c>
      <c r="D298" s="221" t="s">
        <v>4491</v>
      </c>
      <c r="E298" s="221" t="s">
        <v>4513</v>
      </c>
      <c r="F298" s="213" t="s">
        <v>4493</v>
      </c>
      <c r="G298" s="213" t="s">
        <v>4494</v>
      </c>
      <c r="H298" s="213" t="s">
        <v>4540</v>
      </c>
      <c r="I298" s="213" t="s">
        <v>4541</v>
      </c>
      <c r="J298" s="213" t="s">
        <v>4496</v>
      </c>
      <c r="K298" s="213" t="s">
        <v>9479</v>
      </c>
      <c r="L298" s="213" t="s">
        <v>10730</v>
      </c>
      <c r="M298" s="213" t="s">
        <v>10078</v>
      </c>
      <c r="P298" s="121"/>
    </row>
    <row r="299" spans="1:16">
      <c r="A299" s="213" t="s">
        <v>4542</v>
      </c>
      <c r="B299" s="213" t="s">
        <v>766</v>
      </c>
      <c r="C299" s="221" t="s">
        <v>765</v>
      </c>
      <c r="D299" s="221" t="s">
        <v>767</v>
      </c>
      <c r="E299" s="221" t="s">
        <v>4513</v>
      </c>
      <c r="F299" s="213" t="s">
        <v>4520</v>
      </c>
      <c r="G299" s="213" t="s">
        <v>4514</v>
      </c>
      <c r="H299" s="213" t="s">
        <v>4515</v>
      </c>
      <c r="I299" s="213" t="s">
        <v>4539</v>
      </c>
      <c r="J299" s="213" t="s">
        <v>4517</v>
      </c>
      <c r="K299" s="213" t="s">
        <v>9475</v>
      </c>
      <c r="L299" s="213" t="s">
        <v>10733</v>
      </c>
      <c r="M299" s="213" t="s">
        <v>10082</v>
      </c>
      <c r="P299" s="121"/>
    </row>
    <row r="300" spans="1:16">
      <c r="A300" s="213" t="s">
        <v>4543</v>
      </c>
      <c r="B300" s="213" t="s">
        <v>4531</v>
      </c>
      <c r="C300" s="221" t="s">
        <v>4530</v>
      </c>
      <c r="D300" s="221" t="s">
        <v>4532</v>
      </c>
      <c r="E300" s="221" t="s">
        <v>4544</v>
      </c>
      <c r="F300" s="213" t="s">
        <v>4520</v>
      </c>
      <c r="G300" s="213" t="s">
        <v>4514</v>
      </c>
      <c r="H300" s="213" t="s">
        <v>4545</v>
      </c>
      <c r="I300" s="213" t="s">
        <v>4546</v>
      </c>
      <c r="J300" s="213" t="s">
        <v>4517</v>
      </c>
      <c r="K300" s="213" t="s">
        <v>9482</v>
      </c>
      <c r="L300" s="213" t="s">
        <v>10733</v>
      </c>
      <c r="M300" s="213" t="s">
        <v>10084</v>
      </c>
      <c r="P300" s="121"/>
    </row>
    <row r="301" spans="1:16">
      <c r="A301" s="213" t="s">
        <v>775</v>
      </c>
      <c r="B301" s="213" t="s">
        <v>776</v>
      </c>
      <c r="C301" s="221" t="s">
        <v>4547</v>
      </c>
      <c r="D301" s="221" t="s">
        <v>4548</v>
      </c>
      <c r="E301" s="221" t="s">
        <v>4549</v>
      </c>
      <c r="F301" s="213" t="s">
        <v>4550</v>
      </c>
      <c r="G301" s="213" t="s">
        <v>4551</v>
      </c>
      <c r="H301" s="213" t="s">
        <v>4552</v>
      </c>
      <c r="I301" s="213" t="s">
        <v>4553</v>
      </c>
      <c r="J301" s="213" t="s">
        <v>4554</v>
      </c>
      <c r="K301" s="213"/>
      <c r="L301" s="213" t="s">
        <v>24</v>
      </c>
      <c r="M301" s="213"/>
      <c r="P301" s="121"/>
    </row>
    <row r="302" spans="1:16">
      <c r="A302" s="214" t="s">
        <v>778</v>
      </c>
      <c r="B302" s="213" t="s">
        <v>780</v>
      </c>
      <c r="C302" s="221" t="s">
        <v>779</v>
      </c>
      <c r="D302" s="221" t="s">
        <v>781</v>
      </c>
      <c r="E302" s="221" t="s">
        <v>4555</v>
      </c>
      <c r="F302" s="213" t="s">
        <v>4556</v>
      </c>
      <c r="G302" s="213" t="s">
        <v>4557</v>
      </c>
      <c r="H302" s="213" t="s">
        <v>4558</v>
      </c>
      <c r="I302" s="213" t="s">
        <v>4559</v>
      </c>
      <c r="J302" s="213" t="s">
        <v>4560</v>
      </c>
      <c r="K302" s="213" t="s">
        <v>9483</v>
      </c>
      <c r="L302" s="213" t="s">
        <v>10734</v>
      </c>
      <c r="M302" s="213" t="s">
        <v>10085</v>
      </c>
      <c r="P302" s="121"/>
    </row>
    <row r="303" spans="1:16">
      <c r="A303" s="213" t="s">
        <v>782</v>
      </c>
      <c r="B303" s="213" t="s">
        <v>784</v>
      </c>
      <c r="C303" s="221" t="s">
        <v>783</v>
      </c>
      <c r="D303" s="221" t="s">
        <v>785</v>
      </c>
      <c r="E303" s="221" t="s">
        <v>4561</v>
      </c>
      <c r="F303" s="213" t="s">
        <v>4562</v>
      </c>
      <c r="G303" s="213" t="s">
        <v>4563</v>
      </c>
      <c r="H303" s="213" t="s">
        <v>4564</v>
      </c>
      <c r="I303" s="213" t="s">
        <v>4565</v>
      </c>
      <c r="J303" s="213" t="s">
        <v>4566</v>
      </c>
      <c r="K303" s="213" t="s">
        <v>9484</v>
      </c>
      <c r="L303" s="213" t="s">
        <v>10735</v>
      </c>
      <c r="M303" s="213" t="s">
        <v>10086</v>
      </c>
      <c r="P303" s="121"/>
    </row>
    <row r="304" spans="1:16">
      <c r="A304" s="213" t="s">
        <v>786</v>
      </c>
      <c r="B304" s="213" t="s">
        <v>788</v>
      </c>
      <c r="C304" s="221" t="s">
        <v>787</v>
      </c>
      <c r="D304" s="221" t="s">
        <v>789</v>
      </c>
      <c r="E304" s="221" t="s">
        <v>4567</v>
      </c>
      <c r="F304" s="213" t="s">
        <v>4568</v>
      </c>
      <c r="G304" s="213" t="s">
        <v>4569</v>
      </c>
      <c r="H304" s="213" t="s">
        <v>4570</v>
      </c>
      <c r="I304" s="213" t="s">
        <v>4571</v>
      </c>
      <c r="J304" s="213" t="s">
        <v>4572</v>
      </c>
      <c r="K304" s="213" t="s">
        <v>9485</v>
      </c>
      <c r="L304" s="213" t="s">
        <v>10736</v>
      </c>
      <c r="M304" s="213" t="s">
        <v>10087</v>
      </c>
      <c r="P304" s="121"/>
    </row>
    <row r="305" spans="1:16">
      <c r="A305" s="213" t="s">
        <v>2504</v>
      </c>
      <c r="B305" s="213" t="s">
        <v>2836</v>
      </c>
      <c r="C305" s="221" t="s">
        <v>2934</v>
      </c>
      <c r="D305" s="221" t="s">
        <v>3009</v>
      </c>
      <c r="E305" s="221" t="s">
        <v>4573</v>
      </c>
      <c r="F305" s="213" t="s">
        <v>4574</v>
      </c>
      <c r="G305" s="213" t="s">
        <v>4575</v>
      </c>
      <c r="H305" s="213" t="s">
        <v>4576</v>
      </c>
      <c r="I305" s="213" t="s">
        <v>4577</v>
      </c>
      <c r="J305" s="213" t="s">
        <v>4578</v>
      </c>
      <c r="K305" s="213" t="s">
        <v>9486</v>
      </c>
      <c r="L305" s="213" t="s">
        <v>10737</v>
      </c>
      <c r="M305" s="213" t="s">
        <v>10088</v>
      </c>
      <c r="P305" s="121"/>
    </row>
    <row r="306" spans="1:16">
      <c r="A306" s="213" t="s">
        <v>94</v>
      </c>
      <c r="B306" s="213" t="s">
        <v>97</v>
      </c>
      <c r="C306" s="221" t="s">
        <v>96</v>
      </c>
      <c r="D306" s="221" t="s">
        <v>98</v>
      </c>
      <c r="E306" s="221" t="s">
        <v>4591</v>
      </c>
      <c r="F306" s="213" t="s">
        <v>4592</v>
      </c>
      <c r="G306" s="213" t="s">
        <v>4593</v>
      </c>
      <c r="H306" s="213" t="s">
        <v>4594</v>
      </c>
      <c r="I306" s="213" t="s">
        <v>4595</v>
      </c>
      <c r="J306" s="213" t="s">
        <v>4596</v>
      </c>
      <c r="K306" s="213" t="s">
        <v>9488</v>
      </c>
      <c r="L306" s="213" t="s">
        <v>10739</v>
      </c>
      <c r="M306" s="213" t="s">
        <v>10090</v>
      </c>
      <c r="P306" s="121"/>
    </row>
    <row r="307" spans="1:16">
      <c r="A307" s="214" t="s">
        <v>2478</v>
      </c>
      <c r="B307" s="213" t="s">
        <v>2837</v>
      </c>
      <c r="C307" s="221" t="s">
        <v>2935</v>
      </c>
      <c r="D307" s="221" t="s">
        <v>3010</v>
      </c>
      <c r="E307" s="221" t="s">
        <v>4597</v>
      </c>
      <c r="F307" s="213" t="s">
        <v>4598</v>
      </c>
      <c r="G307" s="213" t="s">
        <v>4599</v>
      </c>
      <c r="H307" s="213" t="s">
        <v>4600</v>
      </c>
      <c r="I307" s="213" t="s">
        <v>4601</v>
      </c>
      <c r="J307" s="213" t="s">
        <v>4602</v>
      </c>
      <c r="K307" s="213" t="s">
        <v>9489</v>
      </c>
      <c r="L307" s="213" t="s">
        <v>10740</v>
      </c>
      <c r="M307" s="213" t="s">
        <v>10091</v>
      </c>
      <c r="P307" s="121"/>
    </row>
    <row r="308" spans="1:16">
      <c r="A308" s="214" t="s">
        <v>790</v>
      </c>
      <c r="B308" s="213" t="s">
        <v>12240</v>
      </c>
      <c r="C308" s="221" t="s">
        <v>12239</v>
      </c>
      <c r="D308" s="221" t="s">
        <v>12241</v>
      </c>
      <c r="E308" s="221" t="s">
        <v>12242</v>
      </c>
      <c r="F308" s="213" t="s">
        <v>12243</v>
      </c>
      <c r="G308" s="213" t="s">
        <v>12244</v>
      </c>
      <c r="H308" s="213" t="s">
        <v>12245</v>
      </c>
      <c r="I308" s="213" t="s">
        <v>12246</v>
      </c>
      <c r="J308" s="213" t="s">
        <v>12247</v>
      </c>
      <c r="K308" s="213" t="s">
        <v>12249</v>
      </c>
      <c r="L308" s="213" t="s">
        <v>12250</v>
      </c>
      <c r="M308" s="213" t="s">
        <v>12248</v>
      </c>
      <c r="P308" s="121"/>
    </row>
    <row r="309" spans="1:16">
      <c r="A309" s="214" t="s">
        <v>791</v>
      </c>
      <c r="B309" s="213" t="s">
        <v>12252</v>
      </c>
      <c r="C309" s="221" t="s">
        <v>12251</v>
      </c>
      <c r="D309" s="221" t="s">
        <v>12253</v>
      </c>
      <c r="E309" s="221" t="s">
        <v>12254</v>
      </c>
      <c r="F309" s="213" t="s">
        <v>12255</v>
      </c>
      <c r="G309" s="213" t="s">
        <v>12256</v>
      </c>
      <c r="H309" s="213" t="s">
        <v>12257</v>
      </c>
      <c r="I309" s="213" t="s">
        <v>12258</v>
      </c>
      <c r="J309" s="213" t="s">
        <v>12259</v>
      </c>
      <c r="K309" s="213" t="s">
        <v>12261</v>
      </c>
      <c r="L309" s="213" t="s">
        <v>12262</v>
      </c>
      <c r="M309" s="213" t="s">
        <v>12260</v>
      </c>
      <c r="P309" s="121"/>
    </row>
    <row r="310" spans="1:16">
      <c r="A310" s="214" t="s">
        <v>792</v>
      </c>
      <c r="B310" s="213" t="s">
        <v>2838</v>
      </c>
      <c r="C310" s="221" t="s">
        <v>794</v>
      </c>
      <c r="D310" s="221" t="s">
        <v>795</v>
      </c>
      <c r="E310" s="221" t="s">
        <v>4603</v>
      </c>
      <c r="F310" s="213" t="s">
        <v>4604</v>
      </c>
      <c r="G310" s="213" t="s">
        <v>4605</v>
      </c>
      <c r="H310" s="213" t="s">
        <v>4606</v>
      </c>
      <c r="I310" s="213" t="s">
        <v>4607</v>
      </c>
      <c r="J310" s="213" t="s">
        <v>4608</v>
      </c>
      <c r="K310" s="213" t="s">
        <v>9490</v>
      </c>
      <c r="L310" s="213" t="s">
        <v>10741</v>
      </c>
      <c r="M310" s="213" t="s">
        <v>10092</v>
      </c>
      <c r="P310" s="121"/>
    </row>
    <row r="311" spans="1:16">
      <c r="A311" s="213" t="s">
        <v>796</v>
      </c>
      <c r="B311" s="213" t="s">
        <v>799</v>
      </c>
      <c r="C311" s="221" t="s">
        <v>798</v>
      </c>
      <c r="D311" s="221" t="s">
        <v>800</v>
      </c>
      <c r="E311" s="221" t="s">
        <v>4609</v>
      </c>
      <c r="F311" s="213" t="s">
        <v>4610</v>
      </c>
      <c r="G311" s="213" t="s">
        <v>4611</v>
      </c>
      <c r="H311" s="213" t="s">
        <v>4612</v>
      </c>
      <c r="I311" s="213" t="s">
        <v>4613</v>
      </c>
      <c r="J311" s="213" t="s">
        <v>4614</v>
      </c>
      <c r="K311" s="213" t="s">
        <v>9491</v>
      </c>
      <c r="L311" s="213" t="s">
        <v>10742</v>
      </c>
      <c r="M311" s="213" t="s">
        <v>10093</v>
      </c>
      <c r="P311" s="121"/>
    </row>
    <row r="312" spans="1:16">
      <c r="A312" s="213" t="s">
        <v>801</v>
      </c>
      <c r="B312" s="213" t="s">
        <v>803</v>
      </c>
      <c r="C312" s="221" t="s">
        <v>802</v>
      </c>
      <c r="D312" s="221" t="s">
        <v>804</v>
      </c>
      <c r="E312" s="221" t="s">
        <v>4615</v>
      </c>
      <c r="F312" s="213" t="s">
        <v>4616</v>
      </c>
      <c r="G312" s="213" t="s">
        <v>4617</v>
      </c>
      <c r="H312" s="213" t="s">
        <v>4618</v>
      </c>
      <c r="I312" s="213" t="s">
        <v>4619</v>
      </c>
      <c r="J312" s="213" t="s">
        <v>4620</v>
      </c>
      <c r="K312" s="222" t="s">
        <v>9492</v>
      </c>
      <c r="L312" s="213" t="s">
        <v>10743</v>
      </c>
      <c r="M312" s="213" t="s">
        <v>10094</v>
      </c>
      <c r="P312" s="121"/>
    </row>
    <row r="313" spans="1:16">
      <c r="A313" s="213" t="s">
        <v>805</v>
      </c>
      <c r="B313" s="213" t="s">
        <v>808</v>
      </c>
      <c r="C313" s="221" t="s">
        <v>807</v>
      </c>
      <c r="D313" s="221" t="s">
        <v>809</v>
      </c>
      <c r="E313" s="221" t="s">
        <v>4621</v>
      </c>
      <c r="F313" s="213" t="s">
        <v>4622</v>
      </c>
      <c r="G313" s="213" t="s">
        <v>4623</v>
      </c>
      <c r="H313" s="213" t="s">
        <v>4624</v>
      </c>
      <c r="I313" s="213" t="s">
        <v>4625</v>
      </c>
      <c r="J313" s="213" t="s">
        <v>4626</v>
      </c>
      <c r="K313" s="222" t="s">
        <v>9493</v>
      </c>
      <c r="L313" s="213" t="s">
        <v>10744</v>
      </c>
      <c r="M313" s="213" t="s">
        <v>10095</v>
      </c>
      <c r="P313" s="121"/>
    </row>
    <row r="314" spans="1:16">
      <c r="A314" s="213" t="s">
        <v>814</v>
      </c>
      <c r="B314" s="213" t="s">
        <v>812</v>
      </c>
      <c r="C314" s="221" t="s">
        <v>811</v>
      </c>
      <c r="D314" s="221" t="s">
        <v>813</v>
      </c>
      <c r="E314" s="221" t="s">
        <v>4627</v>
      </c>
      <c r="F314" s="213" t="s">
        <v>4628</v>
      </c>
      <c r="G314" s="213" t="s">
        <v>4629</v>
      </c>
      <c r="H314" s="213" t="s">
        <v>4630</v>
      </c>
      <c r="I314" s="213" t="s">
        <v>4631</v>
      </c>
      <c r="J314" s="213" t="s">
        <v>4632</v>
      </c>
      <c r="K314" s="222" t="s">
        <v>9494</v>
      </c>
      <c r="L314" s="213" t="s">
        <v>10745</v>
      </c>
      <c r="M314" s="213" t="s">
        <v>10096</v>
      </c>
      <c r="P314" s="121"/>
    </row>
    <row r="315" spans="1:16">
      <c r="A315" s="214" t="s">
        <v>816</v>
      </c>
      <c r="B315" s="213" t="s">
        <v>819</v>
      </c>
      <c r="C315" s="221" t="s">
        <v>818</v>
      </c>
      <c r="D315" s="221" t="s">
        <v>820</v>
      </c>
      <c r="E315" s="221" t="s">
        <v>4633</v>
      </c>
      <c r="F315" s="213" t="s">
        <v>4634</v>
      </c>
      <c r="G315" s="213" t="s">
        <v>4635</v>
      </c>
      <c r="H315" s="213" t="s">
        <v>4636</v>
      </c>
      <c r="I315" s="213" t="s">
        <v>4637</v>
      </c>
      <c r="J315" s="213" t="s">
        <v>4638</v>
      </c>
      <c r="K315" s="222" t="s">
        <v>9495</v>
      </c>
      <c r="L315" s="213" t="s">
        <v>10746</v>
      </c>
      <c r="M315" s="213" t="s">
        <v>10097</v>
      </c>
      <c r="P315" s="121"/>
    </row>
    <row r="316" spans="1:16">
      <c r="A316" s="214" t="s">
        <v>11986</v>
      </c>
      <c r="B316" s="213" t="s">
        <v>11988</v>
      </c>
      <c r="C316" s="221" t="s">
        <v>12263</v>
      </c>
      <c r="D316" s="221" t="s">
        <v>12264</v>
      </c>
      <c r="E316" s="221" t="s">
        <v>12265</v>
      </c>
      <c r="F316" s="213" t="s">
        <v>12266</v>
      </c>
      <c r="G316" s="213" t="s">
        <v>12267</v>
      </c>
      <c r="H316" s="213" t="s">
        <v>12268</v>
      </c>
      <c r="I316" s="213" t="s">
        <v>12269</v>
      </c>
      <c r="J316" s="213" t="s">
        <v>12270</v>
      </c>
      <c r="K316" s="222" t="s">
        <v>12272</v>
      </c>
      <c r="L316" s="213" t="s">
        <v>12273</v>
      </c>
      <c r="M316" s="213" t="s">
        <v>12271</v>
      </c>
      <c r="P316" s="121"/>
    </row>
    <row r="317" spans="1:16">
      <c r="A317" s="213" t="s">
        <v>4639</v>
      </c>
      <c r="B317" s="213" t="s">
        <v>12274</v>
      </c>
      <c r="C317" s="221" t="s">
        <v>4641</v>
      </c>
      <c r="D317" s="221" t="s">
        <v>4642</v>
      </c>
      <c r="E317" s="221" t="s">
        <v>4643</v>
      </c>
      <c r="F317" s="213" t="s">
        <v>4644</v>
      </c>
      <c r="G317" s="213"/>
      <c r="H317" s="213" t="s">
        <v>4645</v>
      </c>
      <c r="I317" s="213" t="s">
        <v>4646</v>
      </c>
      <c r="J317" s="213" t="s">
        <v>4647</v>
      </c>
      <c r="K317" s="222" t="s">
        <v>9496</v>
      </c>
      <c r="L317" s="213" t="s">
        <v>10747</v>
      </c>
      <c r="M317" s="213" t="s">
        <v>10098</v>
      </c>
      <c r="P317" s="121"/>
    </row>
    <row r="318" spans="1:16">
      <c r="A318" s="213" t="s">
        <v>824</v>
      </c>
      <c r="B318" s="213" t="s">
        <v>827</v>
      </c>
      <c r="C318" s="221" t="s">
        <v>826</v>
      </c>
      <c r="D318" s="221" t="s">
        <v>828</v>
      </c>
      <c r="E318" s="221" t="s">
        <v>4648</v>
      </c>
      <c r="F318" s="213" t="s">
        <v>4649</v>
      </c>
      <c r="G318" s="213" t="s">
        <v>4650</v>
      </c>
      <c r="H318" s="213" t="s">
        <v>4651</v>
      </c>
      <c r="I318" s="213" t="s">
        <v>4652</v>
      </c>
      <c r="J318" s="213" t="s">
        <v>4653</v>
      </c>
      <c r="K318" s="213" t="s">
        <v>9497</v>
      </c>
      <c r="L318" s="213" t="s">
        <v>10748</v>
      </c>
      <c r="M318" s="213" t="s">
        <v>10099</v>
      </c>
      <c r="P318" s="121"/>
    </row>
    <row r="319" spans="1:16">
      <c r="A319" s="213" t="s">
        <v>829</v>
      </c>
      <c r="B319" s="213" t="s">
        <v>2839</v>
      </c>
      <c r="C319" s="221" t="s">
        <v>831</v>
      </c>
      <c r="D319" s="221" t="s">
        <v>832</v>
      </c>
      <c r="E319" s="221" t="s">
        <v>4654</v>
      </c>
      <c r="F319" s="213" t="s">
        <v>4655</v>
      </c>
      <c r="G319" s="213" t="s">
        <v>4656</v>
      </c>
      <c r="H319" s="213" t="s">
        <v>4654</v>
      </c>
      <c r="I319" s="213" t="s">
        <v>4657</v>
      </c>
      <c r="J319" s="213" t="s">
        <v>4658</v>
      </c>
      <c r="K319" s="213" t="s">
        <v>9498</v>
      </c>
      <c r="L319" s="213" t="s">
        <v>10749</v>
      </c>
      <c r="M319" s="213" t="s">
        <v>10100</v>
      </c>
      <c r="P319" s="121"/>
    </row>
    <row r="320" spans="1:16">
      <c r="A320" s="213" t="s">
        <v>833</v>
      </c>
      <c r="B320" s="213" t="s">
        <v>836</v>
      </c>
      <c r="C320" s="221" t="s">
        <v>835</v>
      </c>
      <c r="D320" s="221" t="s">
        <v>837</v>
      </c>
      <c r="E320" s="221" t="s">
        <v>4659</v>
      </c>
      <c r="F320" s="213" t="s">
        <v>4660</v>
      </c>
      <c r="G320" s="213" t="s">
        <v>4661</v>
      </c>
      <c r="H320" s="213" t="s">
        <v>4662</v>
      </c>
      <c r="I320" s="213" t="s">
        <v>4663</v>
      </c>
      <c r="J320" s="213" t="s">
        <v>4664</v>
      </c>
      <c r="K320" s="222" t="s">
        <v>9499</v>
      </c>
      <c r="L320" s="213" t="s">
        <v>10750</v>
      </c>
      <c r="M320" s="213" t="s">
        <v>10101</v>
      </c>
      <c r="P320" s="121"/>
    </row>
    <row r="321" spans="1:16">
      <c r="A321" s="213" t="s">
        <v>838</v>
      </c>
      <c r="B321" s="213" t="s">
        <v>841</v>
      </c>
      <c r="C321" s="221" t="s">
        <v>840</v>
      </c>
      <c r="D321" s="221" t="s">
        <v>842</v>
      </c>
      <c r="E321" s="221" t="s">
        <v>4665</v>
      </c>
      <c r="F321" s="213" t="s">
        <v>4666</v>
      </c>
      <c r="G321" s="213" t="s">
        <v>4667</v>
      </c>
      <c r="H321" s="213" t="s">
        <v>4668</v>
      </c>
      <c r="I321" s="213" t="s">
        <v>4669</v>
      </c>
      <c r="J321" s="213" t="s">
        <v>4670</v>
      </c>
      <c r="K321" s="213" t="s">
        <v>9500</v>
      </c>
      <c r="L321" s="213" t="s">
        <v>10751</v>
      </c>
      <c r="M321" s="213" t="s">
        <v>10102</v>
      </c>
      <c r="P321" s="121"/>
    </row>
    <row r="322" spans="1:16">
      <c r="A322" s="214" t="s">
        <v>843</v>
      </c>
      <c r="B322" s="213" t="s">
        <v>846</v>
      </c>
      <c r="C322" s="221" t="s">
        <v>845</v>
      </c>
      <c r="D322" s="221" t="s">
        <v>847</v>
      </c>
      <c r="E322" s="221" t="s">
        <v>4671</v>
      </c>
      <c r="F322" s="213" t="s">
        <v>4672</v>
      </c>
      <c r="G322" s="213" t="s">
        <v>4673</v>
      </c>
      <c r="H322" s="213" t="s">
        <v>4674</v>
      </c>
      <c r="I322" s="213" t="s">
        <v>4675</v>
      </c>
      <c r="J322" s="213" t="s">
        <v>4676</v>
      </c>
      <c r="K322" s="213" t="s">
        <v>9501</v>
      </c>
      <c r="L322" s="213" t="s">
        <v>10752</v>
      </c>
      <c r="M322" s="213" t="s">
        <v>10103</v>
      </c>
      <c r="P322" s="121"/>
    </row>
    <row r="323" spans="1:16">
      <c r="A323" s="214" t="s">
        <v>2505</v>
      </c>
      <c r="B323" s="213" t="s">
        <v>2840</v>
      </c>
      <c r="C323" s="221" t="s">
        <v>2936</v>
      </c>
      <c r="D323" s="221" t="s">
        <v>3011</v>
      </c>
      <c r="E323" s="221" t="s">
        <v>4677</v>
      </c>
      <c r="F323" s="213" t="s">
        <v>4678</v>
      </c>
      <c r="G323" s="213" t="s">
        <v>4679</v>
      </c>
      <c r="H323" s="213" t="s">
        <v>4680</v>
      </c>
      <c r="I323" s="213" t="s">
        <v>4681</v>
      </c>
      <c r="J323" s="213" t="s">
        <v>4682</v>
      </c>
      <c r="K323" s="213" t="s">
        <v>9502</v>
      </c>
      <c r="L323" s="213" t="s">
        <v>10753</v>
      </c>
      <c r="M323" s="213" t="s">
        <v>10104</v>
      </c>
      <c r="P323" s="121"/>
    </row>
    <row r="324" spans="1:16">
      <c r="A324" s="213" t="s">
        <v>11900</v>
      </c>
      <c r="B324" s="213" t="s">
        <v>11901</v>
      </c>
      <c r="C324" s="221" t="s">
        <v>11902</v>
      </c>
      <c r="D324" s="221" t="s">
        <v>11903</v>
      </c>
      <c r="E324" s="221" t="s">
        <v>11902</v>
      </c>
      <c r="F324" s="213" t="s">
        <v>11902</v>
      </c>
      <c r="G324" s="213" t="s">
        <v>11902</v>
      </c>
      <c r="H324" s="213" t="s">
        <v>11902</v>
      </c>
      <c r="I324" s="213" t="s">
        <v>11902</v>
      </c>
      <c r="J324" s="213" t="s">
        <v>11902</v>
      </c>
      <c r="K324" s="213" t="s">
        <v>11902</v>
      </c>
      <c r="L324" s="213" t="s">
        <v>11902</v>
      </c>
      <c r="M324" s="213" t="s">
        <v>11902</v>
      </c>
      <c r="P324" s="121"/>
    </row>
    <row r="325" spans="1:16">
      <c r="A325" s="213" t="s">
        <v>848</v>
      </c>
      <c r="B325" s="213" t="s">
        <v>851</v>
      </c>
      <c r="C325" s="221" t="s">
        <v>850</v>
      </c>
      <c r="D325" s="221" t="s">
        <v>852</v>
      </c>
      <c r="E325" s="221" t="s">
        <v>4683</v>
      </c>
      <c r="F325" s="213" t="s">
        <v>4684</v>
      </c>
      <c r="G325" s="213" t="s">
        <v>4685</v>
      </c>
      <c r="H325" s="213" t="s">
        <v>4686</v>
      </c>
      <c r="I325" s="213" t="s">
        <v>4687</v>
      </c>
      <c r="J325" s="213" t="s">
        <v>4688</v>
      </c>
      <c r="K325" s="213" t="s">
        <v>9503</v>
      </c>
      <c r="L325" s="213" t="s">
        <v>10754</v>
      </c>
      <c r="M325" s="213" t="s">
        <v>10105</v>
      </c>
      <c r="P325" s="121"/>
    </row>
    <row r="326" spans="1:16">
      <c r="A326" s="213" t="s">
        <v>853</v>
      </c>
      <c r="B326" s="213" t="s">
        <v>856</v>
      </c>
      <c r="C326" s="221" t="s">
        <v>855</v>
      </c>
      <c r="D326" s="221" t="s">
        <v>857</v>
      </c>
      <c r="E326" s="221" t="s">
        <v>4689</v>
      </c>
      <c r="F326" s="213" t="s">
        <v>4690</v>
      </c>
      <c r="G326" s="213" t="s">
        <v>4691</v>
      </c>
      <c r="H326" s="213" t="s">
        <v>4692</v>
      </c>
      <c r="I326" s="213" t="s">
        <v>4693</v>
      </c>
      <c r="J326" s="213" t="s">
        <v>4694</v>
      </c>
      <c r="K326" s="213" t="s">
        <v>9504</v>
      </c>
      <c r="L326" s="213" t="s">
        <v>10755</v>
      </c>
      <c r="M326" s="213" t="s">
        <v>10106</v>
      </c>
      <c r="P326" s="121"/>
    </row>
    <row r="327" spans="1:16">
      <c r="A327" s="213" t="s">
        <v>2507</v>
      </c>
      <c r="B327" s="213" t="s">
        <v>2841</v>
      </c>
      <c r="C327" s="221" t="s">
        <v>2937</v>
      </c>
      <c r="D327" s="221" t="s">
        <v>3012</v>
      </c>
      <c r="E327" s="221" t="s">
        <v>4695</v>
      </c>
      <c r="F327" s="213" t="s">
        <v>4696</v>
      </c>
      <c r="G327" s="213" t="s">
        <v>4697</v>
      </c>
      <c r="H327" s="213" t="s">
        <v>4698</v>
      </c>
      <c r="I327" s="213" t="s">
        <v>4699</v>
      </c>
      <c r="J327" s="213" t="s">
        <v>4700</v>
      </c>
      <c r="K327" s="213" t="s">
        <v>9505</v>
      </c>
      <c r="L327" s="213" t="s">
        <v>10756</v>
      </c>
      <c r="M327" s="213" t="s">
        <v>10107</v>
      </c>
      <c r="P327" s="121"/>
    </row>
    <row r="328" spans="1:16">
      <c r="A328" s="213" t="s">
        <v>858</v>
      </c>
      <c r="B328" s="213" t="s">
        <v>417</v>
      </c>
      <c r="C328" s="221" t="s">
        <v>416</v>
      </c>
      <c r="D328" s="221" t="s">
        <v>418</v>
      </c>
      <c r="E328" s="221" t="s">
        <v>3991</v>
      </c>
      <c r="F328" s="213" t="s">
        <v>3992</v>
      </c>
      <c r="G328" s="213" t="s">
        <v>4701</v>
      </c>
      <c r="H328" s="213" t="s">
        <v>3991</v>
      </c>
      <c r="I328" s="213" t="s">
        <v>3993</v>
      </c>
      <c r="J328" s="213" t="s">
        <v>3994</v>
      </c>
      <c r="K328" s="213" t="s">
        <v>9400</v>
      </c>
      <c r="L328" s="213" t="s">
        <v>10651</v>
      </c>
      <c r="M328" s="213" t="s">
        <v>10057</v>
      </c>
      <c r="P328" s="121"/>
    </row>
    <row r="329" spans="1:16">
      <c r="A329" s="213" t="s">
        <v>860</v>
      </c>
      <c r="B329" s="213" t="s">
        <v>864</v>
      </c>
      <c r="C329" s="221" t="s">
        <v>863</v>
      </c>
      <c r="D329" s="221" t="s">
        <v>865</v>
      </c>
      <c r="E329" s="221" t="s">
        <v>4702</v>
      </c>
      <c r="F329" s="213" t="s">
        <v>4703</v>
      </c>
      <c r="G329" s="213" t="s">
        <v>4704</v>
      </c>
      <c r="H329" s="213" t="s">
        <v>4705</v>
      </c>
      <c r="I329" s="213" t="s">
        <v>4706</v>
      </c>
      <c r="J329" s="213" t="s">
        <v>4707</v>
      </c>
      <c r="K329" s="213" t="s">
        <v>9506</v>
      </c>
      <c r="L329" s="213" t="s">
        <v>10757</v>
      </c>
      <c r="M329" s="213" t="s">
        <v>10108</v>
      </c>
      <c r="P329" s="121"/>
    </row>
    <row r="330" spans="1:16">
      <c r="A330" s="213" t="s">
        <v>867</v>
      </c>
      <c r="B330" s="213" t="s">
        <v>864</v>
      </c>
      <c r="C330" s="221" t="s">
        <v>863</v>
      </c>
      <c r="D330" s="221" t="s">
        <v>865</v>
      </c>
      <c r="E330" s="221" t="s">
        <v>4702</v>
      </c>
      <c r="F330" s="213" t="s">
        <v>4703</v>
      </c>
      <c r="G330" s="213" t="s">
        <v>4704</v>
      </c>
      <c r="H330" s="213" t="s">
        <v>4705</v>
      </c>
      <c r="I330" s="213" t="s">
        <v>4706</v>
      </c>
      <c r="J330" s="213" t="s">
        <v>4707</v>
      </c>
      <c r="K330" s="213" t="s">
        <v>9506</v>
      </c>
      <c r="L330" s="213" t="s">
        <v>10757</v>
      </c>
      <c r="M330" s="213" t="s">
        <v>10108</v>
      </c>
      <c r="P330" s="121"/>
    </row>
    <row r="331" spans="1:16">
      <c r="A331" s="213" t="s">
        <v>872</v>
      </c>
      <c r="B331" s="213" t="s">
        <v>870</v>
      </c>
      <c r="C331" s="221" t="s">
        <v>869</v>
      </c>
      <c r="D331" s="221" t="s">
        <v>871</v>
      </c>
      <c r="E331" s="221" t="s">
        <v>4708</v>
      </c>
      <c r="F331" s="213" t="s">
        <v>4709</v>
      </c>
      <c r="G331" s="213" t="s">
        <v>4710</v>
      </c>
      <c r="H331" s="213" t="s">
        <v>4711</v>
      </c>
      <c r="I331" s="213" t="s">
        <v>4712</v>
      </c>
      <c r="J331" s="213" t="s">
        <v>4713</v>
      </c>
      <c r="K331" s="213" t="s">
        <v>9507</v>
      </c>
      <c r="L331" s="213" t="s">
        <v>10758</v>
      </c>
      <c r="M331" s="213" t="s">
        <v>10109</v>
      </c>
      <c r="P331" s="121"/>
    </row>
    <row r="332" spans="1:16">
      <c r="A332" s="213" t="s">
        <v>874</v>
      </c>
      <c r="B332" s="213" t="s">
        <v>870</v>
      </c>
      <c r="C332" s="221" t="s">
        <v>869</v>
      </c>
      <c r="D332" s="221" t="s">
        <v>871</v>
      </c>
      <c r="E332" s="221" t="s">
        <v>4708</v>
      </c>
      <c r="F332" s="213" t="s">
        <v>4709</v>
      </c>
      <c r="G332" s="213" t="s">
        <v>4710</v>
      </c>
      <c r="H332" s="213" t="s">
        <v>4711</v>
      </c>
      <c r="I332" s="213" t="s">
        <v>4712</v>
      </c>
      <c r="J332" s="213" t="s">
        <v>4713</v>
      </c>
      <c r="K332" s="213" t="s">
        <v>9507</v>
      </c>
      <c r="L332" s="213" t="s">
        <v>10758</v>
      </c>
      <c r="M332" s="213" t="s">
        <v>10109</v>
      </c>
      <c r="P332" s="121"/>
    </row>
    <row r="333" spans="1:16">
      <c r="A333" s="213" t="s">
        <v>2508</v>
      </c>
      <c r="B333" s="213" t="s">
        <v>870</v>
      </c>
      <c r="C333" s="221" t="s">
        <v>869</v>
      </c>
      <c r="D333" s="221" t="s">
        <v>871</v>
      </c>
      <c r="E333" s="221" t="s">
        <v>4708</v>
      </c>
      <c r="F333" s="213" t="s">
        <v>4709</v>
      </c>
      <c r="G333" s="213" t="s">
        <v>4710</v>
      </c>
      <c r="H333" s="213" t="s">
        <v>4711</v>
      </c>
      <c r="I333" s="213" t="s">
        <v>4712</v>
      </c>
      <c r="J333" s="213" t="s">
        <v>4713</v>
      </c>
      <c r="K333" s="213" t="s">
        <v>9507</v>
      </c>
      <c r="L333" s="213" t="s">
        <v>10758</v>
      </c>
      <c r="M333" s="213" t="s">
        <v>10109</v>
      </c>
      <c r="P333" s="121"/>
    </row>
    <row r="334" spans="1:16">
      <c r="A334" s="214" t="s">
        <v>2509</v>
      </c>
      <c r="B334" s="213" t="s">
        <v>1704</v>
      </c>
      <c r="C334" s="221" t="s">
        <v>1703</v>
      </c>
      <c r="D334" s="221" t="s">
        <v>3013</v>
      </c>
      <c r="E334" s="221" t="s">
        <v>4714</v>
      </c>
      <c r="F334" s="213" t="s">
        <v>4715</v>
      </c>
      <c r="G334" s="213" t="s">
        <v>4716</v>
      </c>
      <c r="H334" s="213" t="s">
        <v>4717</v>
      </c>
      <c r="I334" s="213" t="s">
        <v>4718</v>
      </c>
      <c r="J334" s="213" t="s">
        <v>4719</v>
      </c>
      <c r="K334" s="213" t="s">
        <v>9508</v>
      </c>
      <c r="L334" s="213" t="s">
        <v>10759</v>
      </c>
      <c r="M334" s="213" t="s">
        <v>10110</v>
      </c>
      <c r="P334" s="121"/>
    </row>
    <row r="335" spans="1:16">
      <c r="A335" s="214" t="s">
        <v>2511</v>
      </c>
      <c r="B335" s="213" t="s">
        <v>893</v>
      </c>
      <c r="C335" s="221" t="s">
        <v>892</v>
      </c>
      <c r="D335" s="221" t="s">
        <v>894</v>
      </c>
      <c r="E335" s="221" t="s">
        <v>4720</v>
      </c>
      <c r="F335" s="213" t="s">
        <v>4721</v>
      </c>
      <c r="G335" s="213" t="s">
        <v>4722</v>
      </c>
      <c r="H335" s="213" t="s">
        <v>4720</v>
      </c>
      <c r="I335" s="213" t="s">
        <v>4723</v>
      </c>
      <c r="J335" s="213" t="s">
        <v>4724</v>
      </c>
      <c r="K335" s="213" t="s">
        <v>9509</v>
      </c>
      <c r="L335" s="213" t="s">
        <v>10760</v>
      </c>
      <c r="M335" s="213" t="s">
        <v>10111</v>
      </c>
      <c r="P335" s="121"/>
    </row>
    <row r="336" spans="1:16">
      <c r="A336" s="213" t="s">
        <v>896</v>
      </c>
      <c r="B336" s="213" t="s">
        <v>899</v>
      </c>
      <c r="C336" s="221" t="s">
        <v>821</v>
      </c>
      <c r="D336" s="221" t="s">
        <v>823</v>
      </c>
      <c r="E336" s="221" t="s">
        <v>4725</v>
      </c>
      <c r="F336" s="213" t="s">
        <v>4726</v>
      </c>
      <c r="G336" s="213" t="s">
        <v>4727</v>
      </c>
      <c r="H336" s="213" t="s">
        <v>4728</v>
      </c>
      <c r="I336" s="213" t="s">
        <v>4729</v>
      </c>
      <c r="J336" s="213" t="s">
        <v>4730</v>
      </c>
      <c r="K336" s="213" t="s">
        <v>9510</v>
      </c>
      <c r="L336" s="213" t="s">
        <v>10761</v>
      </c>
      <c r="M336" s="213" t="s">
        <v>10112</v>
      </c>
      <c r="P336" s="121"/>
    </row>
    <row r="337" spans="1:16">
      <c r="A337" s="213" t="s">
        <v>901</v>
      </c>
      <c r="B337" s="213" t="s">
        <v>904</v>
      </c>
      <c r="C337" s="221" t="s">
        <v>903</v>
      </c>
      <c r="D337" s="213" t="s">
        <v>905</v>
      </c>
      <c r="E337" s="213" t="s">
        <v>4731</v>
      </c>
      <c r="F337" s="213" t="s">
        <v>4732</v>
      </c>
      <c r="G337" s="213" t="s">
        <v>4733</v>
      </c>
      <c r="H337" s="213" t="s">
        <v>4734</v>
      </c>
      <c r="I337" s="213" t="s">
        <v>4735</v>
      </c>
      <c r="J337" s="213" t="s">
        <v>4736</v>
      </c>
      <c r="K337" s="213" t="s">
        <v>9511</v>
      </c>
      <c r="L337" s="213" t="s">
        <v>10762</v>
      </c>
      <c r="M337" s="213" t="s">
        <v>10113</v>
      </c>
      <c r="P337" s="121"/>
    </row>
    <row r="338" spans="1:16">
      <c r="A338" s="213" t="s">
        <v>906</v>
      </c>
      <c r="B338" s="213" t="s">
        <v>881</v>
      </c>
      <c r="C338" s="221" t="s">
        <v>880</v>
      </c>
      <c r="D338" s="213" t="s">
        <v>882</v>
      </c>
      <c r="E338" s="213" t="s">
        <v>4737</v>
      </c>
      <c r="F338" s="213" t="s">
        <v>4738</v>
      </c>
      <c r="G338" s="213" t="s">
        <v>4739</v>
      </c>
      <c r="H338" s="213" t="s">
        <v>4740</v>
      </c>
      <c r="I338" s="213" t="s">
        <v>4741</v>
      </c>
      <c r="J338" s="213" t="s">
        <v>4742</v>
      </c>
      <c r="K338" s="213" t="s">
        <v>9512</v>
      </c>
      <c r="L338" s="213" t="s">
        <v>10763</v>
      </c>
      <c r="M338" s="213" t="s">
        <v>10114</v>
      </c>
      <c r="P338" s="121"/>
    </row>
    <row r="339" spans="1:16">
      <c r="A339" s="213" t="s">
        <v>907</v>
      </c>
      <c r="B339" s="229" t="s">
        <v>877</v>
      </c>
      <c r="C339" s="221" t="s">
        <v>876</v>
      </c>
      <c r="D339" s="213" t="s">
        <v>878</v>
      </c>
      <c r="E339" s="223" t="s">
        <v>4743</v>
      </c>
      <c r="F339" s="213" t="s">
        <v>4744</v>
      </c>
      <c r="G339" s="213" t="s">
        <v>4745</v>
      </c>
      <c r="H339" s="213" t="s">
        <v>4746</v>
      </c>
      <c r="I339" s="213" t="s">
        <v>4747</v>
      </c>
      <c r="J339" s="213" t="s">
        <v>4748</v>
      </c>
      <c r="K339" s="213" t="s">
        <v>9513</v>
      </c>
      <c r="L339" s="213" t="s">
        <v>10764</v>
      </c>
      <c r="M339" s="213" t="s">
        <v>10115</v>
      </c>
      <c r="P339" s="121"/>
    </row>
    <row r="340" spans="1:16">
      <c r="A340" s="213" t="s">
        <v>908</v>
      </c>
      <c r="B340" s="213" t="s">
        <v>888</v>
      </c>
      <c r="C340" s="221" t="s">
        <v>887</v>
      </c>
      <c r="D340" s="221" t="s">
        <v>889</v>
      </c>
      <c r="E340" s="221" t="s">
        <v>4749</v>
      </c>
      <c r="F340" s="213" t="s">
        <v>4750</v>
      </c>
      <c r="G340" s="213" t="s">
        <v>4751</v>
      </c>
      <c r="H340" s="213" t="s">
        <v>4752</v>
      </c>
      <c r="I340" s="213" t="s">
        <v>4753</v>
      </c>
      <c r="J340" s="213" t="s">
        <v>4754</v>
      </c>
      <c r="K340" s="213" t="s">
        <v>9514</v>
      </c>
      <c r="L340" s="213" t="s">
        <v>10765</v>
      </c>
      <c r="M340" s="213" t="s">
        <v>10116</v>
      </c>
      <c r="P340" s="121"/>
    </row>
    <row r="341" spans="1:16">
      <c r="A341" s="213" t="s">
        <v>909</v>
      </c>
      <c r="B341" s="213" t="s">
        <v>888</v>
      </c>
      <c r="C341" s="221" t="s">
        <v>887</v>
      </c>
      <c r="D341" s="221" t="s">
        <v>889</v>
      </c>
      <c r="E341" s="221" t="s">
        <v>4749</v>
      </c>
      <c r="F341" s="213" t="s">
        <v>4750</v>
      </c>
      <c r="G341" s="213" t="s">
        <v>4751</v>
      </c>
      <c r="H341" s="213" t="s">
        <v>4752</v>
      </c>
      <c r="I341" s="213" t="s">
        <v>4753</v>
      </c>
      <c r="J341" s="213" t="s">
        <v>4754</v>
      </c>
      <c r="K341" s="213" t="s">
        <v>9514</v>
      </c>
      <c r="L341" s="213" t="s">
        <v>10765</v>
      </c>
      <c r="M341" s="213" t="s">
        <v>10116</v>
      </c>
      <c r="P341" s="121"/>
    </row>
    <row r="342" spans="1:16">
      <c r="A342" s="213" t="s">
        <v>2513</v>
      </c>
      <c r="B342" s="213" t="s">
        <v>1704</v>
      </c>
      <c r="C342" s="221" t="s">
        <v>1703</v>
      </c>
      <c r="D342" s="221" t="s">
        <v>3013</v>
      </c>
      <c r="E342" s="221" t="s">
        <v>4714</v>
      </c>
      <c r="F342" s="213" t="s">
        <v>4715</v>
      </c>
      <c r="G342" s="213" t="s">
        <v>4716</v>
      </c>
      <c r="H342" s="213" t="s">
        <v>4717</v>
      </c>
      <c r="I342" s="213" t="s">
        <v>4718</v>
      </c>
      <c r="J342" s="213" t="s">
        <v>4719</v>
      </c>
      <c r="K342" s="213" t="s">
        <v>9508</v>
      </c>
      <c r="L342" s="213" t="s">
        <v>10759</v>
      </c>
      <c r="M342" s="213" t="s">
        <v>10110</v>
      </c>
      <c r="P342" s="121"/>
    </row>
    <row r="343" spans="1:16">
      <c r="A343" s="213" t="s">
        <v>910</v>
      </c>
      <c r="B343" s="213" t="s">
        <v>893</v>
      </c>
      <c r="C343" s="221" t="s">
        <v>892</v>
      </c>
      <c r="D343" s="221" t="s">
        <v>894</v>
      </c>
      <c r="E343" s="221" t="s">
        <v>4720</v>
      </c>
      <c r="F343" s="213" t="s">
        <v>4721</v>
      </c>
      <c r="G343" s="213" t="s">
        <v>4722</v>
      </c>
      <c r="H343" s="213" t="s">
        <v>4720</v>
      </c>
      <c r="I343" s="213" t="s">
        <v>4723</v>
      </c>
      <c r="J343" s="213" t="s">
        <v>4724</v>
      </c>
      <c r="K343" s="213" t="s">
        <v>9509</v>
      </c>
      <c r="L343" s="213" t="s">
        <v>10760</v>
      </c>
      <c r="M343" s="213" t="s">
        <v>10111</v>
      </c>
      <c r="P343" s="121"/>
    </row>
    <row r="344" spans="1:16">
      <c r="A344" s="213" t="s">
        <v>912</v>
      </c>
      <c r="B344" s="213" t="s">
        <v>899</v>
      </c>
      <c r="C344" s="221" t="s">
        <v>821</v>
      </c>
      <c r="D344" s="221" t="s">
        <v>823</v>
      </c>
      <c r="E344" s="221" t="s">
        <v>4725</v>
      </c>
      <c r="F344" s="213" t="s">
        <v>4726</v>
      </c>
      <c r="G344" s="213" t="s">
        <v>4727</v>
      </c>
      <c r="H344" s="213" t="s">
        <v>4728</v>
      </c>
      <c r="I344" s="213" t="s">
        <v>4729</v>
      </c>
      <c r="J344" s="213" t="s">
        <v>4730</v>
      </c>
      <c r="K344" s="213" t="s">
        <v>9510</v>
      </c>
      <c r="L344" s="213" t="s">
        <v>10761</v>
      </c>
      <c r="M344" s="213" t="s">
        <v>10112</v>
      </c>
      <c r="P344" s="121"/>
    </row>
    <row r="345" spans="1:16">
      <c r="A345" s="213" t="s">
        <v>914</v>
      </c>
      <c r="B345" s="213" t="s">
        <v>2842</v>
      </c>
      <c r="C345" s="221" t="s">
        <v>917</v>
      </c>
      <c r="D345" s="221" t="s">
        <v>918</v>
      </c>
      <c r="E345" s="221" t="s">
        <v>4755</v>
      </c>
      <c r="F345" s="213" t="s">
        <v>4756</v>
      </c>
      <c r="G345" s="213" t="s">
        <v>4757</v>
      </c>
      <c r="H345" s="213" t="s">
        <v>4758</v>
      </c>
      <c r="I345" s="213" t="s">
        <v>4759</v>
      </c>
      <c r="J345" s="213" t="s">
        <v>4760</v>
      </c>
      <c r="K345" s="213" t="s">
        <v>9515</v>
      </c>
      <c r="L345" s="213" t="s">
        <v>10766</v>
      </c>
      <c r="M345" s="213" t="s">
        <v>10117</v>
      </c>
      <c r="P345" s="121"/>
    </row>
    <row r="346" spans="1:16">
      <c r="A346" s="213" t="s">
        <v>2514</v>
      </c>
      <c r="B346" s="213" t="s">
        <v>2843</v>
      </c>
      <c r="C346" s="221" t="s">
        <v>2938</v>
      </c>
      <c r="D346" s="221" t="s">
        <v>3014</v>
      </c>
      <c r="E346" s="221" t="s">
        <v>4761</v>
      </c>
      <c r="F346" s="213" t="s">
        <v>4762</v>
      </c>
      <c r="G346" s="213" t="s">
        <v>4763</v>
      </c>
      <c r="H346" s="213" t="s">
        <v>4758</v>
      </c>
      <c r="I346" s="213" t="s">
        <v>4764</v>
      </c>
      <c r="J346" s="213" t="s">
        <v>4765</v>
      </c>
      <c r="K346" s="213" t="s">
        <v>9516</v>
      </c>
      <c r="L346" s="213" t="s">
        <v>10767</v>
      </c>
      <c r="M346" s="213" t="s">
        <v>10118</v>
      </c>
      <c r="P346" s="121"/>
    </row>
    <row r="347" spans="1:16">
      <c r="A347" s="213" t="s">
        <v>2516</v>
      </c>
      <c r="B347" s="213" t="s">
        <v>899</v>
      </c>
      <c r="C347" s="221" t="s">
        <v>821</v>
      </c>
      <c r="D347" s="221" t="s">
        <v>823</v>
      </c>
      <c r="E347" s="221" t="s">
        <v>4725</v>
      </c>
      <c r="F347" s="213" t="s">
        <v>4726</v>
      </c>
      <c r="G347" s="213" t="s">
        <v>4766</v>
      </c>
      <c r="H347" s="213" t="s">
        <v>4728</v>
      </c>
      <c r="I347" s="213" t="s">
        <v>4729</v>
      </c>
      <c r="J347" s="213" t="s">
        <v>4767</v>
      </c>
      <c r="K347" s="213" t="s">
        <v>9510</v>
      </c>
      <c r="L347" s="213" t="s">
        <v>10761</v>
      </c>
      <c r="M347" s="213" t="s">
        <v>10112</v>
      </c>
      <c r="P347" s="121"/>
    </row>
    <row r="348" spans="1:16">
      <c r="A348" s="213" t="s">
        <v>919</v>
      </c>
      <c r="B348" s="213" t="s">
        <v>899</v>
      </c>
      <c r="C348" s="221" t="s">
        <v>821</v>
      </c>
      <c r="D348" s="221" t="s">
        <v>823</v>
      </c>
      <c r="E348" s="221" t="s">
        <v>4725</v>
      </c>
      <c r="F348" s="213" t="s">
        <v>4726</v>
      </c>
      <c r="G348" s="213" t="s">
        <v>4768</v>
      </c>
      <c r="H348" s="213" t="s">
        <v>4728</v>
      </c>
      <c r="I348" s="213" t="s">
        <v>4729</v>
      </c>
      <c r="J348" s="213" t="s">
        <v>4767</v>
      </c>
      <c r="K348" s="213" t="s">
        <v>9510</v>
      </c>
      <c r="L348" s="213" t="s">
        <v>10761</v>
      </c>
      <c r="M348" s="213" t="s">
        <v>10112</v>
      </c>
      <c r="P348" s="121"/>
    </row>
    <row r="349" spans="1:16">
      <c r="A349" s="213" t="s">
        <v>955</v>
      </c>
      <c r="B349" s="213" t="s">
        <v>953</v>
      </c>
      <c r="C349" s="221" t="s">
        <v>952</v>
      </c>
      <c r="D349" s="221" t="s">
        <v>954</v>
      </c>
      <c r="E349" s="221" t="s">
        <v>4769</v>
      </c>
      <c r="F349" s="213" t="s">
        <v>952</v>
      </c>
      <c r="G349" s="213" t="s">
        <v>4770</v>
      </c>
      <c r="H349" s="213" t="s">
        <v>4771</v>
      </c>
      <c r="I349" s="213" t="s">
        <v>4772</v>
      </c>
      <c r="J349" s="213" t="s">
        <v>4773</v>
      </c>
      <c r="K349" s="213"/>
      <c r="L349" s="213" t="s">
        <v>10768</v>
      </c>
      <c r="M349" s="213" t="s">
        <v>10119</v>
      </c>
      <c r="P349" s="121"/>
    </row>
    <row r="350" spans="1:16">
      <c r="A350" s="213" t="s">
        <v>956</v>
      </c>
      <c r="B350" s="213" t="s">
        <v>953</v>
      </c>
      <c r="C350" s="221" t="s">
        <v>952</v>
      </c>
      <c r="D350" s="221" t="s">
        <v>954</v>
      </c>
      <c r="E350" s="221" t="s">
        <v>4769</v>
      </c>
      <c r="F350" s="213" t="s">
        <v>952</v>
      </c>
      <c r="G350" s="213" t="s">
        <v>4770</v>
      </c>
      <c r="H350" s="213" t="s">
        <v>4771</v>
      </c>
      <c r="I350" s="213" t="s">
        <v>4772</v>
      </c>
      <c r="J350" s="213" t="s">
        <v>4773</v>
      </c>
      <c r="K350" s="213"/>
      <c r="L350" s="213" t="s">
        <v>10768</v>
      </c>
      <c r="M350" s="213" t="s">
        <v>10119</v>
      </c>
      <c r="P350" s="121"/>
    </row>
    <row r="351" spans="1:16">
      <c r="A351" s="213" t="s">
        <v>957</v>
      </c>
      <c r="B351" s="213" t="s">
        <v>953</v>
      </c>
      <c r="C351" s="221" t="s">
        <v>952</v>
      </c>
      <c r="D351" s="221" t="s">
        <v>954</v>
      </c>
      <c r="E351" s="221" t="s">
        <v>4769</v>
      </c>
      <c r="F351" s="213" t="s">
        <v>952</v>
      </c>
      <c r="G351" s="213" t="s">
        <v>4770</v>
      </c>
      <c r="H351" s="213" t="s">
        <v>4771</v>
      </c>
      <c r="I351" s="213" t="s">
        <v>4772</v>
      </c>
      <c r="J351" s="213" t="s">
        <v>4773</v>
      </c>
      <c r="K351" s="213"/>
      <c r="L351" s="213" t="s">
        <v>10768</v>
      </c>
      <c r="M351" s="213" t="s">
        <v>10119</v>
      </c>
      <c r="P351" s="121"/>
    </row>
    <row r="352" spans="1:16">
      <c r="A352" s="213" t="s">
        <v>958</v>
      </c>
      <c r="B352" s="213" t="s">
        <v>953</v>
      </c>
      <c r="C352" s="221" t="s">
        <v>952</v>
      </c>
      <c r="D352" s="221" t="s">
        <v>954</v>
      </c>
      <c r="E352" s="221" t="s">
        <v>4769</v>
      </c>
      <c r="F352" s="213" t="s">
        <v>952</v>
      </c>
      <c r="G352" s="213" t="s">
        <v>4770</v>
      </c>
      <c r="H352" s="213" t="s">
        <v>4771</v>
      </c>
      <c r="I352" s="213" t="s">
        <v>4772</v>
      </c>
      <c r="J352" s="213" t="s">
        <v>4773</v>
      </c>
      <c r="K352" s="213"/>
      <c r="L352" s="213" t="s">
        <v>10768</v>
      </c>
      <c r="M352" s="213" t="s">
        <v>10119</v>
      </c>
      <c r="P352" s="121"/>
    </row>
    <row r="353" spans="1:16">
      <c r="A353" s="213" t="s">
        <v>959</v>
      </c>
      <c r="B353" s="213" t="s">
        <v>953</v>
      </c>
      <c r="C353" s="221" t="s">
        <v>952</v>
      </c>
      <c r="D353" s="221" t="s">
        <v>954</v>
      </c>
      <c r="E353" s="221" t="s">
        <v>4769</v>
      </c>
      <c r="F353" s="213" t="s">
        <v>952</v>
      </c>
      <c r="G353" s="213" t="s">
        <v>4770</v>
      </c>
      <c r="H353" s="213" t="s">
        <v>4771</v>
      </c>
      <c r="I353" s="213" t="s">
        <v>4772</v>
      </c>
      <c r="J353" s="213" t="s">
        <v>4773</v>
      </c>
      <c r="K353" s="213"/>
      <c r="L353" s="213" t="s">
        <v>10768</v>
      </c>
      <c r="M353" s="213" t="s">
        <v>10119</v>
      </c>
      <c r="P353" s="121"/>
    </row>
    <row r="354" spans="1:16">
      <c r="A354" s="213" t="s">
        <v>960</v>
      </c>
      <c r="B354" s="213" t="s">
        <v>953</v>
      </c>
      <c r="C354" s="221" t="s">
        <v>952</v>
      </c>
      <c r="D354" s="221" t="s">
        <v>954</v>
      </c>
      <c r="E354" s="221" t="s">
        <v>4769</v>
      </c>
      <c r="F354" s="213" t="s">
        <v>952</v>
      </c>
      <c r="G354" s="213" t="s">
        <v>4770</v>
      </c>
      <c r="H354" s="213" t="s">
        <v>4771</v>
      </c>
      <c r="I354" s="213" t="s">
        <v>4772</v>
      </c>
      <c r="J354" s="213" t="s">
        <v>4773</v>
      </c>
      <c r="K354" s="213"/>
      <c r="L354" s="213" t="s">
        <v>10768</v>
      </c>
      <c r="M354" s="213" t="s">
        <v>10119</v>
      </c>
      <c r="P354" s="121"/>
    </row>
    <row r="355" spans="1:16">
      <c r="A355" s="213" t="s">
        <v>961</v>
      </c>
      <c r="B355" s="213" t="s">
        <v>953</v>
      </c>
      <c r="C355" s="221" t="s">
        <v>952</v>
      </c>
      <c r="D355" s="221" t="s">
        <v>954</v>
      </c>
      <c r="E355" s="221" t="s">
        <v>4769</v>
      </c>
      <c r="F355" s="213" t="s">
        <v>952</v>
      </c>
      <c r="G355" s="213" t="s">
        <v>4770</v>
      </c>
      <c r="H355" s="213" t="s">
        <v>4771</v>
      </c>
      <c r="I355" s="213" t="s">
        <v>4772</v>
      </c>
      <c r="J355" s="213" t="s">
        <v>4773</v>
      </c>
      <c r="K355" s="213"/>
      <c r="L355" s="213" t="s">
        <v>10768</v>
      </c>
      <c r="M355" s="213" t="s">
        <v>10119</v>
      </c>
      <c r="P355" s="121"/>
    </row>
    <row r="356" spans="1:16">
      <c r="A356" s="213" t="s">
        <v>962</v>
      </c>
      <c r="B356" s="213" t="s">
        <v>953</v>
      </c>
      <c r="C356" s="221" t="s">
        <v>952</v>
      </c>
      <c r="D356" s="221" t="s">
        <v>954</v>
      </c>
      <c r="E356" s="221" t="s">
        <v>4769</v>
      </c>
      <c r="F356" s="213" t="s">
        <v>952</v>
      </c>
      <c r="G356" s="213" t="s">
        <v>4770</v>
      </c>
      <c r="H356" s="213" t="s">
        <v>4771</v>
      </c>
      <c r="I356" s="213" t="s">
        <v>4772</v>
      </c>
      <c r="J356" s="213" t="s">
        <v>4773</v>
      </c>
      <c r="K356" s="213"/>
      <c r="L356" s="213" t="s">
        <v>10768</v>
      </c>
      <c r="M356" s="213" t="s">
        <v>10119</v>
      </c>
      <c r="P356" s="121"/>
    </row>
    <row r="357" spans="1:16">
      <c r="A357" s="213" t="s">
        <v>963</v>
      </c>
      <c r="B357" s="213" t="s">
        <v>953</v>
      </c>
      <c r="C357" s="221" t="s">
        <v>952</v>
      </c>
      <c r="D357" s="221" t="s">
        <v>954</v>
      </c>
      <c r="E357" s="221" t="s">
        <v>4769</v>
      </c>
      <c r="F357" s="213" t="s">
        <v>952</v>
      </c>
      <c r="G357" s="213" t="s">
        <v>4770</v>
      </c>
      <c r="H357" s="213" t="s">
        <v>4771</v>
      </c>
      <c r="I357" s="213" t="s">
        <v>4772</v>
      </c>
      <c r="J357" s="213" t="s">
        <v>4773</v>
      </c>
      <c r="K357" s="213"/>
      <c r="L357" s="213" t="s">
        <v>10768</v>
      </c>
      <c r="M357" s="213" t="s">
        <v>10119</v>
      </c>
      <c r="P357" s="121"/>
    </row>
    <row r="358" spans="1:16">
      <c r="A358" s="213" t="s">
        <v>964</v>
      </c>
      <c r="B358" s="213" t="s">
        <v>966</v>
      </c>
      <c r="C358" s="221" t="s">
        <v>965</v>
      </c>
      <c r="D358" s="221" t="s">
        <v>967</v>
      </c>
      <c r="E358" s="221" t="s">
        <v>4774</v>
      </c>
      <c r="F358" s="213" t="s">
        <v>965</v>
      </c>
      <c r="G358" s="213" t="s">
        <v>4775</v>
      </c>
      <c r="H358" s="213" t="s">
        <v>4776</v>
      </c>
      <c r="I358" s="213" t="s">
        <v>4777</v>
      </c>
      <c r="J358" s="213" t="s">
        <v>4778</v>
      </c>
      <c r="K358" s="213"/>
      <c r="L358" s="213" t="s">
        <v>10769</v>
      </c>
      <c r="M358" s="213" t="s">
        <v>10120</v>
      </c>
      <c r="P358" s="121"/>
    </row>
    <row r="359" spans="1:16">
      <c r="A359" s="213" t="s">
        <v>968</v>
      </c>
      <c r="B359" s="213" t="s">
        <v>966</v>
      </c>
      <c r="C359" s="221" t="s">
        <v>965</v>
      </c>
      <c r="D359" s="221" t="s">
        <v>967</v>
      </c>
      <c r="E359" s="221" t="s">
        <v>4774</v>
      </c>
      <c r="F359" s="213" t="s">
        <v>965</v>
      </c>
      <c r="G359" s="213" t="s">
        <v>4775</v>
      </c>
      <c r="H359" s="213" t="s">
        <v>4776</v>
      </c>
      <c r="I359" s="213" t="s">
        <v>4777</v>
      </c>
      <c r="J359" s="213" t="s">
        <v>4778</v>
      </c>
      <c r="K359" s="213"/>
      <c r="L359" s="213" t="s">
        <v>10769</v>
      </c>
      <c r="M359" s="213" t="s">
        <v>10120</v>
      </c>
      <c r="P359" s="121"/>
    </row>
    <row r="360" spans="1:16">
      <c r="A360" s="213" t="s">
        <v>969</v>
      </c>
      <c r="B360" s="213" t="s">
        <v>966</v>
      </c>
      <c r="C360" s="221" t="s">
        <v>965</v>
      </c>
      <c r="D360" s="221" t="s">
        <v>967</v>
      </c>
      <c r="E360" s="221" t="s">
        <v>4774</v>
      </c>
      <c r="F360" s="213" t="s">
        <v>965</v>
      </c>
      <c r="G360" s="213" t="s">
        <v>4775</v>
      </c>
      <c r="H360" s="213" t="s">
        <v>4776</v>
      </c>
      <c r="I360" s="213" t="s">
        <v>4777</v>
      </c>
      <c r="J360" s="213" t="s">
        <v>4778</v>
      </c>
      <c r="K360" s="213"/>
      <c r="L360" s="213" t="s">
        <v>10769</v>
      </c>
      <c r="M360" s="213" t="s">
        <v>10120</v>
      </c>
      <c r="P360" s="121"/>
    </row>
    <row r="361" spans="1:16">
      <c r="A361" s="213" t="s">
        <v>970</v>
      </c>
      <c r="B361" s="213" t="s">
        <v>972</v>
      </c>
      <c r="C361" s="221" t="s">
        <v>971</v>
      </c>
      <c r="D361" s="221" t="s">
        <v>973</v>
      </c>
      <c r="E361" s="221" t="s">
        <v>4779</v>
      </c>
      <c r="F361" s="213" t="s">
        <v>4780</v>
      </c>
      <c r="G361" s="213" t="s">
        <v>4781</v>
      </c>
      <c r="H361" s="213" t="s">
        <v>4782</v>
      </c>
      <c r="I361" s="213" t="s">
        <v>4783</v>
      </c>
      <c r="J361" s="213" t="s">
        <v>4784</v>
      </c>
      <c r="K361" s="213"/>
      <c r="L361" s="213" t="s">
        <v>10770</v>
      </c>
      <c r="M361" s="213" t="s">
        <v>10121</v>
      </c>
      <c r="P361" s="121"/>
    </row>
    <row r="362" spans="1:16">
      <c r="A362" s="213" t="s">
        <v>974</v>
      </c>
      <c r="B362" s="213" t="s">
        <v>972</v>
      </c>
      <c r="C362" s="221" t="s">
        <v>971</v>
      </c>
      <c r="D362" s="221" t="s">
        <v>973</v>
      </c>
      <c r="E362" s="221" t="s">
        <v>4779</v>
      </c>
      <c r="F362" s="213" t="s">
        <v>4780</v>
      </c>
      <c r="G362" s="213" t="s">
        <v>4781</v>
      </c>
      <c r="H362" s="213" t="s">
        <v>4782</v>
      </c>
      <c r="I362" s="213" t="s">
        <v>4783</v>
      </c>
      <c r="J362" s="213" t="s">
        <v>4784</v>
      </c>
      <c r="K362" s="213"/>
      <c r="L362" s="213" t="s">
        <v>10770</v>
      </c>
      <c r="M362" s="213" t="s">
        <v>10121</v>
      </c>
      <c r="P362" s="121"/>
    </row>
    <row r="363" spans="1:16">
      <c r="A363" s="213" t="s">
        <v>975</v>
      </c>
      <c r="B363" s="213" t="s">
        <v>972</v>
      </c>
      <c r="C363" s="221" t="s">
        <v>971</v>
      </c>
      <c r="D363" s="221" t="s">
        <v>973</v>
      </c>
      <c r="E363" s="221" t="s">
        <v>4779</v>
      </c>
      <c r="F363" s="213" t="s">
        <v>4780</v>
      </c>
      <c r="G363" s="213" t="s">
        <v>4781</v>
      </c>
      <c r="H363" s="213" t="s">
        <v>4782</v>
      </c>
      <c r="I363" s="213" t="s">
        <v>4783</v>
      </c>
      <c r="J363" s="213" t="s">
        <v>4784</v>
      </c>
      <c r="K363" s="213"/>
      <c r="L363" s="213" t="s">
        <v>10770</v>
      </c>
      <c r="M363" s="213" t="s">
        <v>10121</v>
      </c>
      <c r="P363" s="121"/>
    </row>
    <row r="364" spans="1:16">
      <c r="A364" s="213" t="s">
        <v>976</v>
      </c>
      <c r="B364" s="213" t="s">
        <v>978</v>
      </c>
      <c r="C364" s="221" t="s">
        <v>977</v>
      </c>
      <c r="D364" s="221" t="s">
        <v>979</v>
      </c>
      <c r="E364" s="221" t="s">
        <v>4785</v>
      </c>
      <c r="F364" s="213" t="s">
        <v>4786</v>
      </c>
      <c r="G364" s="213" t="s">
        <v>4787</v>
      </c>
      <c r="H364" s="213" t="s">
        <v>4788</v>
      </c>
      <c r="I364" s="213" t="s">
        <v>4789</v>
      </c>
      <c r="J364" s="213" t="s">
        <v>4790</v>
      </c>
      <c r="K364" s="213"/>
      <c r="L364" s="213" t="s">
        <v>10771</v>
      </c>
      <c r="M364" s="213" t="s">
        <v>10122</v>
      </c>
      <c r="P364" s="121"/>
    </row>
    <row r="365" spans="1:16">
      <c r="A365" s="213" t="s">
        <v>980</v>
      </c>
      <c r="B365" s="213" t="s">
        <v>982</v>
      </c>
      <c r="C365" s="221" t="s">
        <v>981</v>
      </c>
      <c r="D365" s="221" t="s">
        <v>983</v>
      </c>
      <c r="E365" s="221" t="s">
        <v>4791</v>
      </c>
      <c r="F365" s="213" t="s">
        <v>4792</v>
      </c>
      <c r="G365" s="213" t="s">
        <v>4793</v>
      </c>
      <c r="H365" s="213" t="s">
        <v>4794</v>
      </c>
      <c r="I365" s="213" t="s">
        <v>4795</v>
      </c>
      <c r="J365" s="213" t="s">
        <v>4796</v>
      </c>
      <c r="K365" s="213"/>
      <c r="L365" s="213" t="s">
        <v>10772</v>
      </c>
      <c r="M365" s="213" t="s">
        <v>10123</v>
      </c>
      <c r="P365" s="121"/>
    </row>
    <row r="366" spans="1:16">
      <c r="A366" s="213" t="s">
        <v>2671</v>
      </c>
      <c r="B366" s="213" t="s">
        <v>2672</v>
      </c>
      <c r="C366" s="221" t="s">
        <v>2941</v>
      </c>
      <c r="D366" s="221" t="s">
        <v>2941</v>
      </c>
      <c r="E366" s="221" t="s">
        <v>4797</v>
      </c>
      <c r="F366" s="213" t="s">
        <v>4798</v>
      </c>
      <c r="G366" s="213" t="s">
        <v>4799</v>
      </c>
      <c r="H366" s="213" t="s">
        <v>4800</v>
      </c>
      <c r="I366" s="213" t="s">
        <v>4801</v>
      </c>
      <c r="J366" s="213" t="s">
        <v>4802</v>
      </c>
      <c r="K366" s="213"/>
      <c r="L366" s="213" t="s">
        <v>10773</v>
      </c>
      <c r="M366" s="213" t="s">
        <v>10124</v>
      </c>
      <c r="P366" s="121"/>
    </row>
    <row r="367" spans="1:16">
      <c r="A367" s="213" t="s">
        <v>2673</v>
      </c>
      <c r="B367" s="213" t="s">
        <v>2674</v>
      </c>
      <c r="C367" s="221" t="s">
        <v>2942</v>
      </c>
      <c r="D367" s="221" t="s">
        <v>2942</v>
      </c>
      <c r="E367" s="221" t="s">
        <v>4803</v>
      </c>
      <c r="F367" s="213" t="s">
        <v>4804</v>
      </c>
      <c r="G367" s="213" t="s">
        <v>4805</v>
      </c>
      <c r="H367" s="213" t="s">
        <v>4806</v>
      </c>
      <c r="I367" s="213" t="s">
        <v>4807</v>
      </c>
      <c r="J367" s="213" t="s">
        <v>4808</v>
      </c>
      <c r="K367" s="213"/>
      <c r="L367" s="213" t="s">
        <v>10774</v>
      </c>
      <c r="M367" s="213" t="s">
        <v>10125</v>
      </c>
      <c r="P367" s="121"/>
    </row>
    <row r="368" spans="1:16">
      <c r="A368" s="213" t="s">
        <v>2675</v>
      </c>
      <c r="B368" s="213" t="s">
        <v>2676</v>
      </c>
      <c r="C368" s="221" t="s">
        <v>2943</v>
      </c>
      <c r="D368" s="221" t="s">
        <v>2943</v>
      </c>
      <c r="E368" s="221" t="s">
        <v>4809</v>
      </c>
      <c r="F368" s="213" t="s">
        <v>4810</v>
      </c>
      <c r="G368" s="213" t="s">
        <v>4811</v>
      </c>
      <c r="H368" s="213" t="s">
        <v>4812</v>
      </c>
      <c r="I368" s="213" t="s">
        <v>4813</v>
      </c>
      <c r="J368" s="213" t="s">
        <v>4814</v>
      </c>
      <c r="K368" s="213"/>
      <c r="L368" s="213" t="s">
        <v>10775</v>
      </c>
      <c r="M368" s="213" t="s">
        <v>10126</v>
      </c>
      <c r="P368" s="121"/>
    </row>
    <row r="369" spans="1:16">
      <c r="A369" s="213" t="s">
        <v>2677</v>
      </c>
      <c r="B369" s="213" t="s">
        <v>2678</v>
      </c>
      <c r="C369" s="221" t="s">
        <v>2944</v>
      </c>
      <c r="D369" s="221" t="s">
        <v>2944</v>
      </c>
      <c r="E369" s="221" t="s">
        <v>4815</v>
      </c>
      <c r="F369" s="213" t="s">
        <v>4816</v>
      </c>
      <c r="G369" s="213" t="s">
        <v>4817</v>
      </c>
      <c r="H369" s="213" t="s">
        <v>4818</v>
      </c>
      <c r="I369" s="213" t="s">
        <v>4819</v>
      </c>
      <c r="J369" s="213" t="s">
        <v>4820</v>
      </c>
      <c r="K369" s="222"/>
      <c r="L369" s="213" t="s">
        <v>10776</v>
      </c>
      <c r="M369" s="213" t="s">
        <v>10127</v>
      </c>
      <c r="P369" s="121"/>
    </row>
    <row r="370" spans="1:16">
      <c r="A370" s="213" t="s">
        <v>2679</v>
      </c>
      <c r="B370" s="213" t="s">
        <v>2680</v>
      </c>
      <c r="C370" s="221" t="s">
        <v>2945</v>
      </c>
      <c r="D370" s="221" t="s">
        <v>2945</v>
      </c>
      <c r="E370" s="221" t="s">
        <v>4821</v>
      </c>
      <c r="F370" s="213" t="s">
        <v>4822</v>
      </c>
      <c r="G370" s="213" t="s">
        <v>4823</v>
      </c>
      <c r="H370" s="213" t="s">
        <v>4824</v>
      </c>
      <c r="I370" s="213" t="s">
        <v>4825</v>
      </c>
      <c r="J370" s="213" t="s">
        <v>4826</v>
      </c>
      <c r="K370" s="222"/>
      <c r="L370" s="213" t="s">
        <v>10777</v>
      </c>
      <c r="M370" s="213" t="s">
        <v>10128</v>
      </c>
      <c r="P370" s="121"/>
    </row>
    <row r="371" spans="1:16">
      <c r="A371" s="213" t="s">
        <v>2681</v>
      </c>
      <c r="B371" s="213" t="s">
        <v>2682</v>
      </c>
      <c r="C371" s="221" t="s">
        <v>2946</v>
      </c>
      <c r="D371" s="221" t="s">
        <v>2946</v>
      </c>
      <c r="E371" s="221" t="s">
        <v>4827</v>
      </c>
      <c r="F371" s="213" t="s">
        <v>4828</v>
      </c>
      <c r="G371" s="213" t="s">
        <v>4829</v>
      </c>
      <c r="H371" s="213" t="s">
        <v>4830</v>
      </c>
      <c r="I371" s="213" t="s">
        <v>4831</v>
      </c>
      <c r="J371" s="213" t="s">
        <v>4832</v>
      </c>
      <c r="K371" s="222"/>
      <c r="L371" s="213" t="s">
        <v>10778</v>
      </c>
      <c r="M371" s="213" t="s">
        <v>10129</v>
      </c>
      <c r="P371" s="121"/>
    </row>
    <row r="372" spans="1:16">
      <c r="A372" s="213" t="s">
        <v>2683</v>
      </c>
      <c r="B372" s="213" t="s">
        <v>2684</v>
      </c>
      <c r="C372" s="221" t="s">
        <v>2947</v>
      </c>
      <c r="D372" s="221" t="s">
        <v>2947</v>
      </c>
      <c r="E372" s="221" t="s">
        <v>4833</v>
      </c>
      <c r="F372" s="213" t="s">
        <v>4834</v>
      </c>
      <c r="G372" s="213" t="s">
        <v>4835</v>
      </c>
      <c r="H372" s="213" t="s">
        <v>4836</v>
      </c>
      <c r="I372" s="213" t="s">
        <v>4837</v>
      </c>
      <c r="J372" s="213" t="s">
        <v>4838</v>
      </c>
      <c r="K372" s="222"/>
      <c r="L372" s="213" t="s">
        <v>10779</v>
      </c>
      <c r="M372" s="213" t="s">
        <v>10130</v>
      </c>
      <c r="P372" s="121"/>
    </row>
    <row r="373" spans="1:16">
      <c r="A373" s="213" t="s">
        <v>2685</v>
      </c>
      <c r="B373" s="213" t="s">
        <v>2686</v>
      </c>
      <c r="C373" s="221" t="s">
        <v>2948</v>
      </c>
      <c r="D373" s="221" t="s">
        <v>2948</v>
      </c>
      <c r="E373" s="221" t="s">
        <v>4839</v>
      </c>
      <c r="F373" s="213" t="s">
        <v>4840</v>
      </c>
      <c r="G373" s="213" t="s">
        <v>4841</v>
      </c>
      <c r="H373" s="213" t="s">
        <v>4842</v>
      </c>
      <c r="I373" s="213" t="s">
        <v>4843</v>
      </c>
      <c r="J373" s="213" t="s">
        <v>4844</v>
      </c>
      <c r="K373" s="222"/>
      <c r="L373" s="213" t="s">
        <v>10780</v>
      </c>
      <c r="M373" s="213" t="s">
        <v>10131</v>
      </c>
      <c r="P373" s="121"/>
    </row>
    <row r="374" spans="1:16">
      <c r="A374" s="213" t="s">
        <v>2687</v>
      </c>
      <c r="B374" s="213" t="s">
        <v>2688</v>
      </c>
      <c r="C374" s="221" t="s">
        <v>2949</v>
      </c>
      <c r="D374" s="221" t="s">
        <v>2949</v>
      </c>
      <c r="E374" s="221" t="s">
        <v>4845</v>
      </c>
      <c r="F374" s="213" t="s">
        <v>4846</v>
      </c>
      <c r="G374" s="213" t="s">
        <v>4847</v>
      </c>
      <c r="H374" s="213" t="s">
        <v>4848</v>
      </c>
      <c r="I374" s="213" t="s">
        <v>4849</v>
      </c>
      <c r="J374" s="213" t="s">
        <v>4850</v>
      </c>
      <c r="K374" s="222"/>
      <c r="L374" s="213" t="s">
        <v>10781</v>
      </c>
      <c r="M374" s="213" t="s">
        <v>10132</v>
      </c>
      <c r="P374" s="121"/>
    </row>
    <row r="375" spans="1:16">
      <c r="A375" s="213" t="s">
        <v>2689</v>
      </c>
      <c r="B375" s="213" t="s">
        <v>2690</v>
      </c>
      <c r="C375" s="221" t="s">
        <v>2950</v>
      </c>
      <c r="D375" s="221" t="s">
        <v>2950</v>
      </c>
      <c r="E375" s="221" t="s">
        <v>4851</v>
      </c>
      <c r="F375" s="213" t="s">
        <v>4852</v>
      </c>
      <c r="G375" s="213" t="s">
        <v>4853</v>
      </c>
      <c r="H375" s="213" t="s">
        <v>4854</v>
      </c>
      <c r="I375" s="213" t="s">
        <v>4855</v>
      </c>
      <c r="J375" s="213" t="s">
        <v>4856</v>
      </c>
      <c r="K375" s="222"/>
      <c r="L375" s="213" t="s">
        <v>10782</v>
      </c>
      <c r="M375" s="213" t="s">
        <v>10133</v>
      </c>
      <c r="P375" s="121"/>
    </row>
    <row r="376" spans="1:16">
      <c r="A376" s="213" t="s">
        <v>2691</v>
      </c>
      <c r="B376" s="213" t="s">
        <v>2692</v>
      </c>
      <c r="C376" s="221" t="s">
        <v>2951</v>
      </c>
      <c r="D376" s="221" t="s">
        <v>2951</v>
      </c>
      <c r="E376" s="221" t="s">
        <v>4857</v>
      </c>
      <c r="F376" s="213" t="s">
        <v>4858</v>
      </c>
      <c r="G376" s="213" t="s">
        <v>4859</v>
      </c>
      <c r="H376" s="213" t="s">
        <v>4860</v>
      </c>
      <c r="I376" s="213" t="s">
        <v>4861</v>
      </c>
      <c r="J376" s="213" t="s">
        <v>4862</v>
      </c>
      <c r="K376" s="222"/>
      <c r="L376" s="213" t="s">
        <v>10783</v>
      </c>
      <c r="M376" s="213" t="s">
        <v>10134</v>
      </c>
      <c r="P376" s="121"/>
    </row>
    <row r="377" spans="1:16">
      <c r="A377" s="213" t="s">
        <v>2693</v>
      </c>
      <c r="B377" s="213" t="s">
        <v>2694</v>
      </c>
      <c r="C377" s="221" t="s">
        <v>2952</v>
      </c>
      <c r="D377" s="221" t="s">
        <v>2952</v>
      </c>
      <c r="E377" s="221" t="s">
        <v>4863</v>
      </c>
      <c r="F377" s="213" t="s">
        <v>4864</v>
      </c>
      <c r="G377" s="213" t="s">
        <v>4865</v>
      </c>
      <c r="H377" s="213" t="s">
        <v>4866</v>
      </c>
      <c r="I377" s="213" t="s">
        <v>4867</v>
      </c>
      <c r="J377" s="213" t="s">
        <v>4868</v>
      </c>
      <c r="K377" s="222"/>
      <c r="L377" s="213" t="s">
        <v>10784</v>
      </c>
      <c r="M377" s="213" t="s">
        <v>10135</v>
      </c>
      <c r="P377" s="121"/>
    </row>
    <row r="378" spans="1:16">
      <c r="A378" s="213" t="s">
        <v>2695</v>
      </c>
      <c r="B378" s="213" t="s">
        <v>2696</v>
      </c>
      <c r="C378" s="221" t="s">
        <v>2953</v>
      </c>
      <c r="D378" s="221" t="s">
        <v>2953</v>
      </c>
      <c r="E378" s="221" t="s">
        <v>4869</v>
      </c>
      <c r="F378" s="213" t="s">
        <v>4870</v>
      </c>
      <c r="G378" s="213" t="s">
        <v>4871</v>
      </c>
      <c r="H378" s="213" t="s">
        <v>4872</v>
      </c>
      <c r="I378" s="213" t="s">
        <v>4873</v>
      </c>
      <c r="J378" s="213" t="s">
        <v>4874</v>
      </c>
      <c r="K378" s="222"/>
      <c r="L378" s="213" t="s">
        <v>10785</v>
      </c>
      <c r="M378" s="213" t="s">
        <v>10136</v>
      </c>
      <c r="P378" s="121"/>
    </row>
    <row r="379" spans="1:16">
      <c r="A379" s="213" t="s">
        <v>2697</v>
      </c>
      <c r="B379" s="213" t="s">
        <v>2698</v>
      </c>
      <c r="C379" s="221" t="s">
        <v>2954</v>
      </c>
      <c r="D379" s="221" t="s">
        <v>2954</v>
      </c>
      <c r="E379" s="221" t="s">
        <v>4875</v>
      </c>
      <c r="F379" s="213" t="s">
        <v>4876</v>
      </c>
      <c r="G379" s="213" t="s">
        <v>4877</v>
      </c>
      <c r="H379" s="213" t="s">
        <v>4878</v>
      </c>
      <c r="I379" s="213" t="s">
        <v>4879</v>
      </c>
      <c r="J379" s="213" t="s">
        <v>4880</v>
      </c>
      <c r="K379" s="222"/>
      <c r="L379" s="213" t="s">
        <v>10786</v>
      </c>
      <c r="M379" s="213" t="s">
        <v>10137</v>
      </c>
      <c r="P379" s="121"/>
    </row>
    <row r="380" spans="1:16">
      <c r="A380" s="213" t="s">
        <v>2699</v>
      </c>
      <c r="B380" s="213" t="s">
        <v>2700</v>
      </c>
      <c r="C380" s="221" t="s">
        <v>2955</v>
      </c>
      <c r="D380" s="221" t="s">
        <v>2955</v>
      </c>
      <c r="E380" s="221" t="s">
        <v>4881</v>
      </c>
      <c r="F380" s="213" t="s">
        <v>4882</v>
      </c>
      <c r="G380" s="213" t="s">
        <v>4883</v>
      </c>
      <c r="H380" s="213" t="s">
        <v>4884</v>
      </c>
      <c r="I380" s="213" t="s">
        <v>4885</v>
      </c>
      <c r="J380" s="213" t="s">
        <v>4886</v>
      </c>
      <c r="K380" s="222"/>
      <c r="L380" s="213" t="s">
        <v>10787</v>
      </c>
      <c r="M380" s="213" t="s">
        <v>10138</v>
      </c>
      <c r="P380" s="121"/>
    </row>
    <row r="381" spans="1:16">
      <c r="A381" s="213" t="s">
        <v>2701</v>
      </c>
      <c r="B381" s="213" t="s">
        <v>2702</v>
      </c>
      <c r="C381" s="221" t="s">
        <v>2956</v>
      </c>
      <c r="D381" s="221" t="s">
        <v>2956</v>
      </c>
      <c r="E381" s="221" t="s">
        <v>4887</v>
      </c>
      <c r="F381" s="213" t="s">
        <v>4888</v>
      </c>
      <c r="G381" s="213" t="s">
        <v>4889</v>
      </c>
      <c r="H381" s="213" t="s">
        <v>4890</v>
      </c>
      <c r="I381" s="213" t="s">
        <v>4891</v>
      </c>
      <c r="J381" s="213" t="s">
        <v>4892</v>
      </c>
      <c r="K381" s="222"/>
      <c r="L381" s="213" t="s">
        <v>10788</v>
      </c>
      <c r="M381" s="213" t="s">
        <v>10139</v>
      </c>
      <c r="P381" s="121"/>
    </row>
    <row r="382" spans="1:16">
      <c r="A382" s="213" t="s">
        <v>14057</v>
      </c>
      <c r="B382" s="213" t="s">
        <v>14416</v>
      </c>
      <c r="C382" s="221" t="s">
        <v>14417</v>
      </c>
      <c r="D382" s="221" t="s">
        <v>14418</v>
      </c>
      <c r="E382" s="221" t="s">
        <v>14419</v>
      </c>
      <c r="F382" s="213" t="s">
        <v>14420</v>
      </c>
      <c r="G382" s="213" t="s">
        <v>14421</v>
      </c>
      <c r="H382" s="213" t="s">
        <v>14422</v>
      </c>
      <c r="I382" s="213" t="s">
        <v>14423</v>
      </c>
      <c r="J382" s="213" t="s">
        <v>14424</v>
      </c>
      <c r="K382" s="222" t="s">
        <v>14425</v>
      </c>
      <c r="L382" s="213" t="s">
        <v>14426</v>
      </c>
      <c r="M382" s="213" t="s">
        <v>14427</v>
      </c>
      <c r="P382" s="121"/>
    </row>
    <row r="383" spans="1:16">
      <c r="A383" s="213" t="s">
        <v>14059</v>
      </c>
      <c r="B383" s="213" t="s">
        <v>14428</v>
      </c>
      <c r="C383" s="221" t="s">
        <v>14429</v>
      </c>
      <c r="D383" s="221" t="s">
        <v>14430</v>
      </c>
      <c r="E383" s="221" t="s">
        <v>14431</v>
      </c>
      <c r="F383" s="213" t="s">
        <v>14432</v>
      </c>
      <c r="G383" s="213" t="s">
        <v>14433</v>
      </c>
      <c r="H383" s="213" t="s">
        <v>14434</v>
      </c>
      <c r="I383" s="213" t="s">
        <v>14435</v>
      </c>
      <c r="J383" s="213" t="s">
        <v>14436</v>
      </c>
      <c r="K383" s="222" t="s">
        <v>14437</v>
      </c>
      <c r="L383" s="213" t="s">
        <v>14438</v>
      </c>
      <c r="M383" s="213" t="s">
        <v>14439</v>
      </c>
      <c r="P383" s="121"/>
    </row>
    <row r="384" spans="1:16">
      <c r="A384" s="213" t="s">
        <v>14061</v>
      </c>
      <c r="B384" s="213" t="s">
        <v>14440</v>
      </c>
      <c r="C384" s="221" t="s">
        <v>14441</v>
      </c>
      <c r="D384" s="221" t="s">
        <v>14442</v>
      </c>
      <c r="E384" s="221" t="s">
        <v>14443</v>
      </c>
      <c r="F384" s="213" t="s">
        <v>14444</v>
      </c>
      <c r="G384" s="213" t="s">
        <v>14445</v>
      </c>
      <c r="H384" s="213" t="s">
        <v>14446</v>
      </c>
      <c r="I384" s="213" t="s">
        <v>14447</v>
      </c>
      <c r="J384" s="213" t="s">
        <v>14448</v>
      </c>
      <c r="K384" s="222" t="s">
        <v>14449</v>
      </c>
      <c r="L384" s="213" t="s">
        <v>14450</v>
      </c>
      <c r="M384" s="213" t="s">
        <v>14451</v>
      </c>
      <c r="P384" s="121"/>
    </row>
    <row r="385" spans="1:16">
      <c r="A385" s="213" t="s">
        <v>14063</v>
      </c>
      <c r="B385" s="213" t="s">
        <v>14452</v>
      </c>
      <c r="C385" s="221" t="s">
        <v>14453</v>
      </c>
      <c r="D385" s="221" t="s">
        <v>14454</v>
      </c>
      <c r="E385" s="221" t="s">
        <v>14455</v>
      </c>
      <c r="F385" s="213" t="s">
        <v>14456</v>
      </c>
      <c r="G385" s="213" t="s">
        <v>14457</v>
      </c>
      <c r="H385" s="213" t="s">
        <v>14458</v>
      </c>
      <c r="I385" s="213" t="s">
        <v>14459</v>
      </c>
      <c r="J385" s="213" t="s">
        <v>14460</v>
      </c>
      <c r="K385" s="222" t="s">
        <v>14461</v>
      </c>
      <c r="L385" s="213" t="s">
        <v>14462</v>
      </c>
      <c r="M385" s="213" t="s">
        <v>14463</v>
      </c>
      <c r="P385" s="121"/>
    </row>
    <row r="386" spans="1:16">
      <c r="A386" s="213" t="s">
        <v>2703</v>
      </c>
      <c r="B386" s="213" t="s">
        <v>2704</v>
      </c>
      <c r="C386" s="221" t="s">
        <v>2957</v>
      </c>
      <c r="D386" s="221" t="s">
        <v>2957</v>
      </c>
      <c r="E386" s="221" t="s">
        <v>4893</v>
      </c>
      <c r="F386" s="213" t="s">
        <v>4894</v>
      </c>
      <c r="G386" s="213" t="s">
        <v>4895</v>
      </c>
      <c r="H386" s="213" t="s">
        <v>4896</v>
      </c>
      <c r="I386" s="213" t="s">
        <v>4897</v>
      </c>
      <c r="J386" s="213" t="s">
        <v>4898</v>
      </c>
      <c r="K386" s="222"/>
      <c r="L386" s="213" t="s">
        <v>10789</v>
      </c>
      <c r="M386" s="213" t="s">
        <v>10140</v>
      </c>
      <c r="P386" s="121"/>
    </row>
    <row r="387" spans="1:16">
      <c r="A387" s="213" t="s">
        <v>2705</v>
      </c>
      <c r="B387" s="213" t="s">
        <v>2706</v>
      </c>
      <c r="C387" s="221" t="s">
        <v>2958</v>
      </c>
      <c r="D387" s="221" t="s">
        <v>2958</v>
      </c>
      <c r="E387" s="221" t="s">
        <v>4899</v>
      </c>
      <c r="F387" s="213" t="s">
        <v>4900</v>
      </c>
      <c r="G387" s="213" t="s">
        <v>4901</v>
      </c>
      <c r="H387" s="213" t="s">
        <v>4902</v>
      </c>
      <c r="I387" s="213" t="s">
        <v>4903</v>
      </c>
      <c r="J387" s="213" t="s">
        <v>4904</v>
      </c>
      <c r="K387" s="222"/>
      <c r="L387" s="213" t="s">
        <v>10790</v>
      </c>
      <c r="M387" s="213" t="s">
        <v>10141</v>
      </c>
      <c r="P387" s="121"/>
    </row>
    <row r="388" spans="1:16">
      <c r="A388" s="213" t="s">
        <v>2707</v>
      </c>
      <c r="B388" s="213" t="s">
        <v>2708</v>
      </c>
      <c r="C388" s="221" t="s">
        <v>2959</v>
      </c>
      <c r="D388" s="221" t="s">
        <v>2959</v>
      </c>
      <c r="E388" s="221" t="s">
        <v>4905</v>
      </c>
      <c r="F388" s="213" t="s">
        <v>4906</v>
      </c>
      <c r="G388" s="213" t="s">
        <v>4907</v>
      </c>
      <c r="H388" s="213" t="s">
        <v>4908</v>
      </c>
      <c r="I388" s="213" t="s">
        <v>4909</v>
      </c>
      <c r="J388" s="213" t="s">
        <v>4910</v>
      </c>
      <c r="K388" s="222"/>
      <c r="L388" s="213" t="s">
        <v>10791</v>
      </c>
      <c r="M388" s="213" t="s">
        <v>10142</v>
      </c>
      <c r="P388" s="121"/>
    </row>
    <row r="389" spans="1:16">
      <c r="A389" s="213" t="s">
        <v>2709</v>
      </c>
      <c r="B389" s="213" t="s">
        <v>2710</v>
      </c>
      <c r="C389" s="221" t="s">
        <v>2960</v>
      </c>
      <c r="D389" s="221" t="s">
        <v>2960</v>
      </c>
      <c r="E389" s="221" t="s">
        <v>4911</v>
      </c>
      <c r="F389" s="213" t="s">
        <v>4912</v>
      </c>
      <c r="G389" s="213" t="s">
        <v>4913</v>
      </c>
      <c r="H389" s="213" t="s">
        <v>4914</v>
      </c>
      <c r="I389" s="213" t="s">
        <v>4915</v>
      </c>
      <c r="J389" s="213" t="s">
        <v>4916</v>
      </c>
      <c r="K389" s="222"/>
      <c r="L389" s="213" t="s">
        <v>10792</v>
      </c>
      <c r="M389" s="213" t="s">
        <v>10143</v>
      </c>
      <c r="P389" s="121"/>
    </row>
    <row r="390" spans="1:16">
      <c r="A390" s="213" t="s">
        <v>2711</v>
      </c>
      <c r="B390" s="213" t="s">
        <v>2712</v>
      </c>
      <c r="C390" s="221" t="s">
        <v>2961</v>
      </c>
      <c r="D390" s="221" t="s">
        <v>2961</v>
      </c>
      <c r="E390" s="221" t="s">
        <v>4917</v>
      </c>
      <c r="F390" s="213" t="s">
        <v>4918</v>
      </c>
      <c r="G390" s="213" t="s">
        <v>4919</v>
      </c>
      <c r="H390" s="213" t="s">
        <v>4920</v>
      </c>
      <c r="I390" s="213" t="s">
        <v>4921</v>
      </c>
      <c r="J390" s="213" t="s">
        <v>4922</v>
      </c>
      <c r="K390" s="222"/>
      <c r="L390" s="213" t="s">
        <v>10793</v>
      </c>
      <c r="M390" s="213" t="s">
        <v>10144</v>
      </c>
      <c r="P390" s="121"/>
    </row>
    <row r="391" spans="1:16">
      <c r="A391" s="213" t="s">
        <v>2713</v>
      </c>
      <c r="B391" s="213" t="s">
        <v>2714</v>
      </c>
      <c r="C391" s="221" t="s">
        <v>2962</v>
      </c>
      <c r="D391" s="221" t="s">
        <v>2962</v>
      </c>
      <c r="E391" s="221" t="s">
        <v>4923</v>
      </c>
      <c r="F391" s="213" t="s">
        <v>4924</v>
      </c>
      <c r="G391" s="213" t="s">
        <v>4925</v>
      </c>
      <c r="H391" s="213" t="s">
        <v>4926</v>
      </c>
      <c r="I391" s="213" t="s">
        <v>4927</v>
      </c>
      <c r="J391" s="213" t="s">
        <v>4928</v>
      </c>
      <c r="K391" s="222"/>
      <c r="L391" s="213" t="s">
        <v>10794</v>
      </c>
      <c r="M391" s="213" t="s">
        <v>10145</v>
      </c>
      <c r="P391" s="121"/>
    </row>
    <row r="392" spans="1:16">
      <c r="A392" s="213" t="s">
        <v>984</v>
      </c>
      <c r="B392" s="213" t="s">
        <v>987</v>
      </c>
      <c r="C392" s="221" t="s">
        <v>986</v>
      </c>
      <c r="D392" s="221" t="s">
        <v>988</v>
      </c>
      <c r="E392" s="221" t="s">
        <v>4929</v>
      </c>
      <c r="F392" s="213" t="s">
        <v>986</v>
      </c>
      <c r="G392" s="213" t="s">
        <v>4930</v>
      </c>
      <c r="H392" s="213" t="s">
        <v>4931</v>
      </c>
      <c r="I392" s="213" t="s">
        <v>4932</v>
      </c>
      <c r="J392" s="213" t="s">
        <v>4933</v>
      </c>
      <c r="K392" s="222"/>
      <c r="L392" s="213" t="s">
        <v>10795</v>
      </c>
      <c r="M392" s="213" t="s">
        <v>10146</v>
      </c>
      <c r="P392" s="121"/>
    </row>
    <row r="393" spans="1:16">
      <c r="A393" s="216" t="s">
        <v>989</v>
      </c>
      <c r="B393" s="213" t="s">
        <v>991</v>
      </c>
      <c r="C393" s="221" t="s">
        <v>990</v>
      </c>
      <c r="D393" s="221" t="s">
        <v>992</v>
      </c>
      <c r="E393" s="221" t="s">
        <v>4934</v>
      </c>
      <c r="F393" s="213" t="s">
        <v>4935</v>
      </c>
      <c r="G393" s="213" t="s">
        <v>4936</v>
      </c>
      <c r="H393" s="213" t="s">
        <v>4937</v>
      </c>
      <c r="I393" s="213" t="s">
        <v>4938</v>
      </c>
      <c r="J393" s="213" t="s">
        <v>4939</v>
      </c>
      <c r="K393" s="222"/>
      <c r="L393" s="213" t="s">
        <v>10796</v>
      </c>
      <c r="M393" s="213" t="s">
        <v>10147</v>
      </c>
      <c r="P393" s="121"/>
    </row>
    <row r="394" spans="1:16">
      <c r="A394" s="216" t="s">
        <v>993</v>
      </c>
      <c r="B394" s="213" t="s">
        <v>995</v>
      </c>
      <c r="C394" s="221" t="s">
        <v>994</v>
      </c>
      <c r="D394" s="221" t="s">
        <v>996</v>
      </c>
      <c r="E394" s="221" t="s">
        <v>4940</v>
      </c>
      <c r="F394" s="213" t="s">
        <v>4941</v>
      </c>
      <c r="G394" s="213" t="s">
        <v>4942</v>
      </c>
      <c r="H394" s="213" t="s">
        <v>4943</v>
      </c>
      <c r="I394" s="213" t="s">
        <v>4944</v>
      </c>
      <c r="J394" s="213" t="s">
        <v>4945</v>
      </c>
      <c r="K394" s="222"/>
      <c r="L394" s="213" t="s">
        <v>10797</v>
      </c>
      <c r="M394" s="213" t="s">
        <v>10148</v>
      </c>
      <c r="P394" s="121"/>
    </row>
    <row r="395" spans="1:16">
      <c r="A395" s="216" t="s">
        <v>997</v>
      </c>
      <c r="B395" s="213" t="s">
        <v>1000</v>
      </c>
      <c r="C395" s="221" t="s">
        <v>999</v>
      </c>
      <c r="D395" s="221" t="s">
        <v>1001</v>
      </c>
      <c r="E395" s="221" t="s">
        <v>4946</v>
      </c>
      <c r="F395" s="213" t="s">
        <v>4947</v>
      </c>
      <c r="G395" s="213" t="s">
        <v>4948</v>
      </c>
      <c r="H395" s="213" t="s">
        <v>4949</v>
      </c>
      <c r="I395" s="213" t="s">
        <v>4950</v>
      </c>
      <c r="J395" s="213" t="s">
        <v>4951</v>
      </c>
      <c r="K395" s="222"/>
      <c r="L395" s="213" t="s">
        <v>10798</v>
      </c>
      <c r="M395" s="213" t="s">
        <v>10149</v>
      </c>
      <c r="P395" s="121"/>
    </row>
    <row r="396" spans="1:16">
      <c r="A396" s="216" t="s">
        <v>1002</v>
      </c>
      <c r="B396" s="213" t="s">
        <v>1004</v>
      </c>
      <c r="C396" s="221" t="s">
        <v>1003</v>
      </c>
      <c r="D396" s="221" t="s">
        <v>1005</v>
      </c>
      <c r="E396" s="221" t="s">
        <v>4952</v>
      </c>
      <c r="F396" s="213" t="s">
        <v>4953</v>
      </c>
      <c r="G396" s="213" t="s">
        <v>4954</v>
      </c>
      <c r="H396" s="213" t="s">
        <v>4955</v>
      </c>
      <c r="I396" s="213" t="s">
        <v>4956</v>
      </c>
      <c r="J396" s="213" t="s">
        <v>4957</v>
      </c>
      <c r="K396" s="222"/>
      <c r="L396" s="213" t="s">
        <v>10799</v>
      </c>
      <c r="M396" s="213" t="s">
        <v>10150</v>
      </c>
      <c r="P396" s="121"/>
    </row>
    <row r="397" spans="1:16">
      <c r="A397" s="216" t="s">
        <v>1006</v>
      </c>
      <c r="B397" s="213" t="s">
        <v>1008</v>
      </c>
      <c r="C397" s="221" t="s">
        <v>1007</v>
      </c>
      <c r="D397" s="221" t="s">
        <v>1009</v>
      </c>
      <c r="E397" s="221" t="s">
        <v>4958</v>
      </c>
      <c r="F397" s="213" t="s">
        <v>4959</v>
      </c>
      <c r="G397" s="213" t="s">
        <v>4960</v>
      </c>
      <c r="H397" s="213" t="s">
        <v>4961</v>
      </c>
      <c r="I397" s="213" t="s">
        <v>4962</v>
      </c>
      <c r="J397" s="213" t="s">
        <v>4963</v>
      </c>
      <c r="K397" s="222"/>
      <c r="L397" s="213" t="s">
        <v>10800</v>
      </c>
      <c r="M397" s="213" t="s">
        <v>10151</v>
      </c>
      <c r="P397" s="121"/>
    </row>
    <row r="398" spans="1:16">
      <c r="A398" s="216" t="s">
        <v>1010</v>
      </c>
      <c r="B398" s="213" t="s">
        <v>1008</v>
      </c>
      <c r="C398" s="221" t="s">
        <v>1007</v>
      </c>
      <c r="D398" s="221" t="s">
        <v>1009</v>
      </c>
      <c r="E398" s="221" t="s">
        <v>4958</v>
      </c>
      <c r="F398" s="213" t="s">
        <v>4959</v>
      </c>
      <c r="G398" s="213" t="s">
        <v>4960</v>
      </c>
      <c r="H398" s="213" t="s">
        <v>4961</v>
      </c>
      <c r="I398" s="213" t="s">
        <v>4962</v>
      </c>
      <c r="J398" s="213" t="s">
        <v>4963</v>
      </c>
      <c r="K398" s="222"/>
      <c r="L398" s="213" t="s">
        <v>10800</v>
      </c>
      <c r="M398" s="213" t="s">
        <v>10151</v>
      </c>
      <c r="P398" s="121"/>
    </row>
    <row r="399" spans="1:16">
      <c r="A399" s="216" t="s">
        <v>1011</v>
      </c>
      <c r="B399" s="213" t="s">
        <v>1013</v>
      </c>
      <c r="C399" s="221" t="s">
        <v>1012</v>
      </c>
      <c r="D399" s="221" t="s">
        <v>1014</v>
      </c>
      <c r="E399" s="221" t="s">
        <v>4964</v>
      </c>
      <c r="F399" s="213" t="s">
        <v>4965</v>
      </c>
      <c r="G399" s="213" t="s">
        <v>4966</v>
      </c>
      <c r="H399" s="213" t="s">
        <v>4967</v>
      </c>
      <c r="I399" s="213" t="s">
        <v>4968</v>
      </c>
      <c r="J399" s="213" t="s">
        <v>4969</v>
      </c>
      <c r="K399" s="222"/>
      <c r="L399" s="213" t="s">
        <v>10801</v>
      </c>
      <c r="M399" s="213" t="s">
        <v>10152</v>
      </c>
      <c r="P399" s="121"/>
    </row>
    <row r="400" spans="1:16">
      <c r="A400" s="216" t="s">
        <v>1015</v>
      </c>
      <c r="B400" s="213" t="s">
        <v>1017</v>
      </c>
      <c r="C400" s="221" t="s">
        <v>1016</v>
      </c>
      <c r="D400" s="221" t="s">
        <v>1018</v>
      </c>
      <c r="E400" s="221" t="s">
        <v>4970</v>
      </c>
      <c r="F400" s="213" t="s">
        <v>4971</v>
      </c>
      <c r="G400" s="213" t="s">
        <v>4972</v>
      </c>
      <c r="H400" s="213" t="s">
        <v>4973</v>
      </c>
      <c r="I400" s="213" t="s">
        <v>4974</v>
      </c>
      <c r="J400" s="213" t="s">
        <v>4975</v>
      </c>
      <c r="K400" s="222"/>
      <c r="L400" s="213" t="s">
        <v>10802</v>
      </c>
      <c r="M400" s="213" t="s">
        <v>10153</v>
      </c>
      <c r="P400" s="121"/>
    </row>
    <row r="401" spans="1:16">
      <c r="A401" s="216" t="s">
        <v>1019</v>
      </c>
      <c r="B401" s="213" t="s">
        <v>1013</v>
      </c>
      <c r="C401" s="221" t="s">
        <v>1012</v>
      </c>
      <c r="D401" s="221" t="s">
        <v>1014</v>
      </c>
      <c r="E401" s="221" t="s">
        <v>4964</v>
      </c>
      <c r="F401" s="213" t="s">
        <v>4965</v>
      </c>
      <c r="G401" s="213" t="s">
        <v>4966</v>
      </c>
      <c r="H401" s="213" t="s">
        <v>4967</v>
      </c>
      <c r="I401" s="213" t="s">
        <v>4968</v>
      </c>
      <c r="J401" s="213" t="s">
        <v>4969</v>
      </c>
      <c r="K401" s="222"/>
      <c r="L401" s="213" t="s">
        <v>10801</v>
      </c>
      <c r="M401" s="213" t="s">
        <v>10152</v>
      </c>
      <c r="P401" s="121"/>
    </row>
    <row r="402" spans="1:16">
      <c r="A402" s="216" t="s">
        <v>1020</v>
      </c>
      <c r="B402" s="225" t="s">
        <v>1017</v>
      </c>
      <c r="C402" s="224" t="s">
        <v>1016</v>
      </c>
      <c r="D402" s="224" t="s">
        <v>1018</v>
      </c>
      <c r="E402" s="224" t="s">
        <v>4970</v>
      </c>
      <c r="F402" s="213" t="s">
        <v>4971</v>
      </c>
      <c r="G402" s="213" t="s">
        <v>4972</v>
      </c>
      <c r="H402" s="213" t="s">
        <v>4973</v>
      </c>
      <c r="I402" s="213" t="s">
        <v>4974</v>
      </c>
      <c r="J402" s="213" t="s">
        <v>4975</v>
      </c>
      <c r="K402" s="222"/>
      <c r="L402" s="213" t="s">
        <v>10802</v>
      </c>
      <c r="M402" s="213" t="s">
        <v>10153</v>
      </c>
      <c r="P402" s="121"/>
    </row>
    <row r="403" spans="1:16">
      <c r="A403" s="216" t="s">
        <v>1021</v>
      </c>
      <c r="B403" s="225" t="s">
        <v>1013</v>
      </c>
      <c r="C403" s="224" t="s">
        <v>1023</v>
      </c>
      <c r="D403" s="224" t="s">
        <v>1014</v>
      </c>
      <c r="E403" s="224" t="s">
        <v>4976</v>
      </c>
      <c r="F403" s="213" t="s">
        <v>4977</v>
      </c>
      <c r="G403" s="213" t="s">
        <v>4978</v>
      </c>
      <c r="H403" s="213" t="s">
        <v>4979</v>
      </c>
      <c r="I403" s="213" t="s">
        <v>4968</v>
      </c>
      <c r="J403" s="213" t="s">
        <v>4980</v>
      </c>
      <c r="K403" s="222"/>
      <c r="L403" s="213" t="s">
        <v>10801</v>
      </c>
      <c r="M403" s="213" t="s">
        <v>10154</v>
      </c>
      <c r="P403" s="121"/>
    </row>
    <row r="404" spans="1:16">
      <c r="A404" s="216" t="s">
        <v>1024</v>
      </c>
      <c r="B404" s="225" t="s">
        <v>1028</v>
      </c>
      <c r="C404" s="224" t="s">
        <v>1027</v>
      </c>
      <c r="D404" s="224" t="s">
        <v>1029</v>
      </c>
      <c r="E404" s="224" t="s">
        <v>4981</v>
      </c>
      <c r="F404" s="213" t="s">
        <v>4982</v>
      </c>
      <c r="G404" s="213" t="s">
        <v>4983</v>
      </c>
      <c r="H404" s="213" t="s">
        <v>4984</v>
      </c>
      <c r="I404" s="213" t="s">
        <v>4985</v>
      </c>
      <c r="J404" s="213" t="s">
        <v>4986</v>
      </c>
      <c r="K404" s="222"/>
      <c r="L404" s="213" t="s">
        <v>10803</v>
      </c>
      <c r="M404" s="213" t="s">
        <v>10155</v>
      </c>
      <c r="P404" s="121"/>
    </row>
    <row r="405" spans="1:16">
      <c r="A405" s="216" t="s">
        <v>1030</v>
      </c>
      <c r="B405" s="213" t="s">
        <v>1031</v>
      </c>
      <c r="C405" s="221" t="s">
        <v>1032</v>
      </c>
      <c r="D405" s="221" t="s">
        <v>1033</v>
      </c>
      <c r="E405" s="221" t="s">
        <v>4987</v>
      </c>
      <c r="F405" s="213" t="s">
        <v>4988</v>
      </c>
      <c r="G405" s="213" t="s">
        <v>4989</v>
      </c>
      <c r="H405" s="213" t="s">
        <v>4987</v>
      </c>
      <c r="I405" s="213" t="s">
        <v>4990</v>
      </c>
      <c r="J405" s="213" t="s">
        <v>4991</v>
      </c>
      <c r="K405" s="222"/>
      <c r="L405" s="213" t="s">
        <v>10804</v>
      </c>
      <c r="M405" s="213" t="s">
        <v>10156</v>
      </c>
      <c r="P405" s="121"/>
    </row>
    <row r="406" spans="1:16">
      <c r="A406" s="216" t="s">
        <v>1034</v>
      </c>
      <c r="B406" s="225" t="s">
        <v>1037</v>
      </c>
      <c r="C406" s="224" t="s">
        <v>1036</v>
      </c>
      <c r="D406" s="224" t="s">
        <v>1038</v>
      </c>
      <c r="E406" s="224" t="s">
        <v>4992</v>
      </c>
      <c r="F406" s="213" t="s">
        <v>4993</v>
      </c>
      <c r="G406" s="213" t="s">
        <v>4994</v>
      </c>
      <c r="H406" s="213" t="s">
        <v>4995</v>
      </c>
      <c r="I406" s="213" t="s">
        <v>4996</v>
      </c>
      <c r="J406" s="213" t="s">
        <v>4997</v>
      </c>
      <c r="K406" s="222"/>
      <c r="L406" s="213" t="s">
        <v>10805</v>
      </c>
      <c r="M406" s="213" t="s">
        <v>10157</v>
      </c>
      <c r="P406" s="121"/>
    </row>
    <row r="407" spans="1:16">
      <c r="A407" s="216" t="s">
        <v>240</v>
      </c>
      <c r="B407" s="225" t="s">
        <v>1040</v>
      </c>
      <c r="C407" s="224" t="s">
        <v>1039</v>
      </c>
      <c r="D407" s="224" t="s">
        <v>1041</v>
      </c>
      <c r="E407" s="224" t="s">
        <v>4998</v>
      </c>
      <c r="F407" s="213" t="s">
        <v>4999</v>
      </c>
      <c r="G407" s="213" t="s">
        <v>5000</v>
      </c>
      <c r="H407" s="213" t="s">
        <v>5001</v>
      </c>
      <c r="I407" s="213" t="s">
        <v>5002</v>
      </c>
      <c r="J407" s="213" t="s">
        <v>5003</v>
      </c>
      <c r="K407" s="222"/>
      <c r="L407" s="213" t="s">
        <v>10806</v>
      </c>
      <c r="M407" s="213" t="s">
        <v>10158</v>
      </c>
      <c r="P407" s="121"/>
    </row>
    <row r="408" spans="1:16">
      <c r="A408" s="216" t="s">
        <v>777</v>
      </c>
      <c r="B408" s="225" t="s">
        <v>1044</v>
      </c>
      <c r="C408" s="224" t="s">
        <v>1043</v>
      </c>
      <c r="D408" s="224" t="s">
        <v>1045</v>
      </c>
      <c r="E408" s="224" t="s">
        <v>5004</v>
      </c>
      <c r="F408" s="213" t="s">
        <v>5005</v>
      </c>
      <c r="G408" s="213" t="s">
        <v>5006</v>
      </c>
      <c r="H408" s="213" t="s">
        <v>5007</v>
      </c>
      <c r="I408" s="213" t="s">
        <v>5008</v>
      </c>
      <c r="J408" s="213" t="s">
        <v>5009</v>
      </c>
      <c r="K408" s="222"/>
      <c r="L408" s="213" t="s">
        <v>10807</v>
      </c>
      <c r="M408" s="213" t="s">
        <v>10159</v>
      </c>
      <c r="P408" s="121"/>
    </row>
    <row r="409" spans="1:16">
      <c r="A409" s="216" t="s">
        <v>13780</v>
      </c>
      <c r="B409" s="213" t="s">
        <v>14034</v>
      </c>
      <c r="C409" s="221" t="s">
        <v>14035</v>
      </c>
      <c r="D409" s="221" t="s">
        <v>14036</v>
      </c>
      <c r="E409" s="221" t="s">
        <v>5010</v>
      </c>
      <c r="F409" s="213" t="s">
        <v>14037</v>
      </c>
      <c r="G409" s="213" t="s">
        <v>14041</v>
      </c>
      <c r="H409" s="213" t="s">
        <v>5011</v>
      </c>
      <c r="I409" s="213" t="s">
        <v>14038</v>
      </c>
      <c r="J409" s="213" t="s">
        <v>14042</v>
      </c>
      <c r="K409" s="222"/>
      <c r="L409" s="213" t="s">
        <v>14039</v>
      </c>
      <c r="M409" s="213" t="s">
        <v>14040</v>
      </c>
      <c r="P409" s="121"/>
    </row>
    <row r="410" spans="1:16">
      <c r="A410" s="216" t="s">
        <v>13473</v>
      </c>
      <c r="B410" s="213" t="s">
        <v>13913</v>
      </c>
      <c r="C410" s="221" t="s">
        <v>13914</v>
      </c>
      <c r="D410" s="221" t="s">
        <v>13915</v>
      </c>
      <c r="E410" s="221" t="s">
        <v>13916</v>
      </c>
      <c r="F410" s="213" t="s">
        <v>13917</v>
      </c>
      <c r="G410" s="213" t="s">
        <v>13918</v>
      </c>
      <c r="H410" s="213" t="s">
        <v>13916</v>
      </c>
      <c r="I410" s="213" t="s">
        <v>13919</v>
      </c>
      <c r="J410" s="213" t="s">
        <v>13920</v>
      </c>
      <c r="K410" s="222" t="s">
        <v>13921</v>
      </c>
      <c r="L410" s="213" t="s">
        <v>13922</v>
      </c>
      <c r="M410" s="213" t="s">
        <v>13923</v>
      </c>
      <c r="P410" s="121"/>
    </row>
    <row r="411" spans="1:16">
      <c r="A411" s="216" t="s">
        <v>1046</v>
      </c>
      <c r="B411" s="213" t="s">
        <v>1049</v>
      </c>
      <c r="C411" s="221" t="s">
        <v>1048</v>
      </c>
      <c r="D411" s="221" t="s">
        <v>1050</v>
      </c>
      <c r="E411" s="221" t="s">
        <v>5012</v>
      </c>
      <c r="F411" s="213" t="s">
        <v>5013</v>
      </c>
      <c r="G411" s="213" t="s">
        <v>5014</v>
      </c>
      <c r="H411" s="213" t="s">
        <v>5015</v>
      </c>
      <c r="I411" s="213" t="s">
        <v>5016</v>
      </c>
      <c r="J411" s="213" t="s">
        <v>5017</v>
      </c>
      <c r="K411" s="222"/>
      <c r="L411" s="213" t="s">
        <v>10808</v>
      </c>
      <c r="M411" s="213" t="s">
        <v>10160</v>
      </c>
      <c r="P411" s="121"/>
    </row>
    <row r="412" spans="1:16">
      <c r="A412" s="216" t="s">
        <v>1051</v>
      </c>
      <c r="B412" s="213" t="s">
        <v>1054</v>
      </c>
      <c r="C412" s="221" t="s">
        <v>1053</v>
      </c>
      <c r="D412" s="221" t="s">
        <v>1055</v>
      </c>
      <c r="E412" s="221" t="s">
        <v>5018</v>
      </c>
      <c r="F412" s="213" t="s">
        <v>5019</v>
      </c>
      <c r="G412" s="213" t="s">
        <v>5020</v>
      </c>
      <c r="H412" s="213" t="s">
        <v>5021</v>
      </c>
      <c r="I412" s="213" t="s">
        <v>5022</v>
      </c>
      <c r="J412" s="213" t="s">
        <v>5023</v>
      </c>
      <c r="K412" s="222"/>
      <c r="L412" s="213" t="s">
        <v>10809</v>
      </c>
      <c r="M412" s="213" t="s">
        <v>10161</v>
      </c>
      <c r="P412" s="121"/>
    </row>
    <row r="413" spans="1:16">
      <c r="A413" s="216" t="s">
        <v>1056</v>
      </c>
      <c r="B413" s="213" t="s">
        <v>1059</v>
      </c>
      <c r="C413" s="221" t="s">
        <v>1058</v>
      </c>
      <c r="D413" s="221" t="s">
        <v>1060</v>
      </c>
      <c r="E413" s="221" t="s">
        <v>5024</v>
      </c>
      <c r="F413" s="213" t="s">
        <v>5025</v>
      </c>
      <c r="G413" s="213" t="s">
        <v>5026</v>
      </c>
      <c r="H413" s="213" t="s">
        <v>5027</v>
      </c>
      <c r="I413" s="213" t="s">
        <v>5028</v>
      </c>
      <c r="J413" s="213" t="s">
        <v>5029</v>
      </c>
      <c r="K413" s="222"/>
      <c r="L413" s="213" t="s">
        <v>10810</v>
      </c>
      <c r="M413" s="213" t="s">
        <v>10162</v>
      </c>
      <c r="P413" s="121"/>
    </row>
    <row r="414" spans="1:16">
      <c r="A414" s="216" t="s">
        <v>13778</v>
      </c>
      <c r="B414" s="213" t="s">
        <v>1008</v>
      </c>
      <c r="C414" s="221" t="s">
        <v>1007</v>
      </c>
      <c r="D414" s="221" t="s">
        <v>1009</v>
      </c>
      <c r="E414" s="221" t="s">
        <v>4958</v>
      </c>
      <c r="F414" s="213" t="s">
        <v>4959</v>
      </c>
      <c r="G414" s="213" t="s">
        <v>4960</v>
      </c>
      <c r="H414" s="213" t="s">
        <v>4961</v>
      </c>
      <c r="I414" s="213" t="s">
        <v>4962</v>
      </c>
      <c r="J414" s="213" t="s">
        <v>4963</v>
      </c>
      <c r="K414" s="222" t="s">
        <v>13924</v>
      </c>
      <c r="L414" s="213" t="s">
        <v>10800</v>
      </c>
      <c r="M414" s="213" t="s">
        <v>10151</v>
      </c>
      <c r="P414" s="121"/>
    </row>
    <row r="415" spans="1:16">
      <c r="A415" s="216" t="s">
        <v>1061</v>
      </c>
      <c r="B415" s="213" t="s">
        <v>2847</v>
      </c>
      <c r="C415" s="221" t="s">
        <v>1062</v>
      </c>
      <c r="D415" s="221" t="s">
        <v>1063</v>
      </c>
      <c r="E415" s="221" t="s">
        <v>5030</v>
      </c>
      <c r="F415" s="213" t="s">
        <v>5031</v>
      </c>
      <c r="G415" s="213" t="s">
        <v>5032</v>
      </c>
      <c r="H415" s="213" t="s">
        <v>5033</v>
      </c>
      <c r="I415" s="213" t="s">
        <v>5034</v>
      </c>
      <c r="J415" s="213" t="s">
        <v>5035</v>
      </c>
      <c r="K415" s="222"/>
      <c r="L415" s="213" t="s">
        <v>10811</v>
      </c>
      <c r="M415" s="213" t="s">
        <v>10163</v>
      </c>
      <c r="P415" s="121"/>
    </row>
    <row r="416" spans="1:16">
      <c r="A416" s="213" t="s">
        <v>1064</v>
      </c>
      <c r="B416" s="213" t="s">
        <v>1067</v>
      </c>
      <c r="C416" s="221" t="s">
        <v>1066</v>
      </c>
      <c r="D416" s="221" t="s">
        <v>1068</v>
      </c>
      <c r="E416" s="221" t="s">
        <v>5042</v>
      </c>
      <c r="F416" s="213" t="s">
        <v>5043</v>
      </c>
      <c r="G416" s="213" t="s">
        <v>5044</v>
      </c>
      <c r="H416" s="213" t="s">
        <v>5045</v>
      </c>
      <c r="I416" s="213" t="s">
        <v>5046</v>
      </c>
      <c r="J416" s="213" t="s">
        <v>5047</v>
      </c>
      <c r="K416" s="222"/>
      <c r="L416" s="213" t="s">
        <v>10813</v>
      </c>
      <c r="M416" s="213" t="s">
        <v>10165</v>
      </c>
      <c r="P416" s="121"/>
    </row>
    <row r="417" spans="1:16">
      <c r="A417" s="214" t="s">
        <v>1069</v>
      </c>
      <c r="B417" s="213" t="s">
        <v>1072</v>
      </c>
      <c r="C417" s="221" t="s">
        <v>1071</v>
      </c>
      <c r="D417" s="221" t="s">
        <v>1073</v>
      </c>
      <c r="E417" s="221" t="s">
        <v>5048</v>
      </c>
      <c r="F417" s="213" t="s">
        <v>5049</v>
      </c>
      <c r="G417" s="213" t="s">
        <v>5050</v>
      </c>
      <c r="H417" s="213" t="s">
        <v>5051</v>
      </c>
      <c r="I417" s="213" t="s">
        <v>5052</v>
      </c>
      <c r="J417" s="213" t="s">
        <v>5053</v>
      </c>
      <c r="K417" s="222"/>
      <c r="L417" s="213" t="s">
        <v>10814</v>
      </c>
      <c r="M417" s="213" t="s">
        <v>10166</v>
      </c>
      <c r="P417" s="121"/>
    </row>
    <row r="418" spans="1:16">
      <c r="A418" s="213" t="s">
        <v>1079</v>
      </c>
      <c r="B418" s="213" t="s">
        <v>1081</v>
      </c>
      <c r="C418" s="221" t="s">
        <v>1080</v>
      </c>
      <c r="D418" s="221" t="s">
        <v>1082</v>
      </c>
      <c r="E418" s="221" t="s">
        <v>5054</v>
      </c>
      <c r="F418" s="213" t="s">
        <v>5055</v>
      </c>
      <c r="G418" s="213" t="s">
        <v>5056</v>
      </c>
      <c r="H418" s="213" t="s">
        <v>5057</v>
      </c>
      <c r="I418" s="213" t="s">
        <v>5058</v>
      </c>
      <c r="J418" s="213" t="s">
        <v>5059</v>
      </c>
      <c r="K418" s="222" t="s">
        <v>9517</v>
      </c>
      <c r="L418" s="213" t="s">
        <v>10815</v>
      </c>
      <c r="M418" s="213" t="s">
        <v>10167</v>
      </c>
      <c r="P418" s="121"/>
    </row>
    <row r="419" spans="1:16">
      <c r="A419" s="213" t="s">
        <v>1083</v>
      </c>
      <c r="B419" s="213" t="s">
        <v>1081</v>
      </c>
      <c r="C419" s="221" t="s">
        <v>1085</v>
      </c>
      <c r="D419" s="221" t="s">
        <v>1082</v>
      </c>
      <c r="E419" s="221" t="s">
        <v>5054</v>
      </c>
      <c r="F419" s="213" t="s">
        <v>5060</v>
      </c>
      <c r="G419" s="213" t="s">
        <v>5056</v>
      </c>
      <c r="H419" s="213" t="s">
        <v>5057</v>
      </c>
      <c r="I419" s="213" t="s">
        <v>5058</v>
      </c>
      <c r="J419" s="213" t="s">
        <v>5059</v>
      </c>
      <c r="K419" s="222" t="s">
        <v>9517</v>
      </c>
      <c r="L419" s="213" t="s">
        <v>10815</v>
      </c>
      <c r="M419" s="213" t="s">
        <v>10167</v>
      </c>
      <c r="P419" s="121"/>
    </row>
    <row r="420" spans="1:16">
      <c r="A420" s="213" t="s">
        <v>1086</v>
      </c>
      <c r="B420" s="213" t="s">
        <v>1081</v>
      </c>
      <c r="C420" s="221" t="s">
        <v>1085</v>
      </c>
      <c r="D420" s="221" t="s">
        <v>1082</v>
      </c>
      <c r="E420" s="221" t="s">
        <v>5054</v>
      </c>
      <c r="F420" s="213" t="s">
        <v>5060</v>
      </c>
      <c r="G420" s="213" t="s">
        <v>5056</v>
      </c>
      <c r="H420" s="213" t="s">
        <v>5057</v>
      </c>
      <c r="I420" s="213" t="s">
        <v>5058</v>
      </c>
      <c r="J420" s="213" t="s">
        <v>5059</v>
      </c>
      <c r="K420" s="222" t="s">
        <v>9517</v>
      </c>
      <c r="L420" s="213" t="s">
        <v>10815</v>
      </c>
      <c r="M420" s="213" t="s">
        <v>10167</v>
      </c>
      <c r="P420" s="121"/>
    </row>
    <row r="421" spans="1:16">
      <c r="A421" s="213" t="s">
        <v>1087</v>
      </c>
      <c r="B421" s="213" t="s">
        <v>1081</v>
      </c>
      <c r="C421" s="221" t="s">
        <v>1080</v>
      </c>
      <c r="D421" s="221" t="s">
        <v>1082</v>
      </c>
      <c r="E421" s="221" t="s">
        <v>5054</v>
      </c>
      <c r="F421" s="213" t="s">
        <v>5055</v>
      </c>
      <c r="G421" s="213" t="s">
        <v>5056</v>
      </c>
      <c r="H421" s="213" t="s">
        <v>5057</v>
      </c>
      <c r="I421" s="213" t="s">
        <v>5058</v>
      </c>
      <c r="J421" s="213" t="s">
        <v>5059</v>
      </c>
      <c r="K421" s="222" t="s">
        <v>9517</v>
      </c>
      <c r="L421" s="213" t="s">
        <v>10815</v>
      </c>
      <c r="M421" s="213" t="s">
        <v>10167</v>
      </c>
      <c r="P421" s="121"/>
    </row>
    <row r="422" spans="1:16">
      <c r="A422" s="213" t="s">
        <v>5061</v>
      </c>
      <c r="B422" s="213" t="s">
        <v>5064</v>
      </c>
      <c r="C422" s="221" t="s">
        <v>5063</v>
      </c>
      <c r="D422" s="221" t="s">
        <v>5065</v>
      </c>
      <c r="E422" s="221" t="s">
        <v>5066</v>
      </c>
      <c r="F422" s="213" t="s">
        <v>5067</v>
      </c>
      <c r="G422" s="213" t="s">
        <v>5068</v>
      </c>
      <c r="H422" s="213" t="s">
        <v>5069</v>
      </c>
      <c r="I422" s="213" t="s">
        <v>5070</v>
      </c>
      <c r="J422" s="213" t="s">
        <v>5071</v>
      </c>
      <c r="K422" s="222" t="s">
        <v>9518</v>
      </c>
      <c r="L422" s="213" t="s">
        <v>10816</v>
      </c>
      <c r="M422" s="213" t="s">
        <v>10168</v>
      </c>
      <c r="P422" s="121"/>
    </row>
    <row r="423" spans="1:16">
      <c r="A423" s="213" t="s">
        <v>1089</v>
      </c>
      <c r="B423" s="213" t="s">
        <v>417</v>
      </c>
      <c r="C423" s="221" t="s">
        <v>416</v>
      </c>
      <c r="D423" s="221" t="s">
        <v>418</v>
      </c>
      <c r="E423" s="221" t="s">
        <v>3991</v>
      </c>
      <c r="F423" s="213" t="s">
        <v>3992</v>
      </c>
      <c r="G423" s="213" t="s">
        <v>4355</v>
      </c>
      <c r="H423" s="213" t="s">
        <v>3991</v>
      </c>
      <c r="I423" s="213" t="s">
        <v>3993</v>
      </c>
      <c r="J423" s="213" t="s">
        <v>5072</v>
      </c>
      <c r="K423" s="222" t="s">
        <v>9400</v>
      </c>
      <c r="L423" s="213" t="s">
        <v>10651</v>
      </c>
      <c r="M423" s="213" t="s">
        <v>10057</v>
      </c>
      <c r="P423" s="121"/>
    </row>
    <row r="424" spans="1:16">
      <c r="A424" s="213" t="s">
        <v>1090</v>
      </c>
      <c r="B424" s="213" t="s">
        <v>1092</v>
      </c>
      <c r="C424" s="221" t="s">
        <v>1075</v>
      </c>
      <c r="D424" s="221" t="s">
        <v>1093</v>
      </c>
      <c r="E424" s="221" t="s">
        <v>5073</v>
      </c>
      <c r="F424" s="213" t="s">
        <v>5074</v>
      </c>
      <c r="G424" s="213" t="s">
        <v>5075</v>
      </c>
      <c r="H424" s="213" t="s">
        <v>5076</v>
      </c>
      <c r="I424" s="213" t="s">
        <v>5077</v>
      </c>
      <c r="J424" s="213" t="s">
        <v>5078</v>
      </c>
      <c r="K424" s="222" t="s">
        <v>9519</v>
      </c>
      <c r="L424" s="213" t="s">
        <v>10817</v>
      </c>
      <c r="M424" s="213" t="s">
        <v>10169</v>
      </c>
      <c r="P424" s="121"/>
    </row>
    <row r="425" spans="1:16">
      <c r="A425" s="213" t="s">
        <v>2523</v>
      </c>
      <c r="B425" s="213" t="s">
        <v>1234</v>
      </c>
      <c r="C425" s="221" t="s">
        <v>1233</v>
      </c>
      <c r="D425" s="221" t="s">
        <v>1235</v>
      </c>
      <c r="E425" s="221" t="s">
        <v>5079</v>
      </c>
      <c r="F425" s="213" t="s">
        <v>5080</v>
      </c>
      <c r="G425" s="213" t="s">
        <v>5081</v>
      </c>
      <c r="H425" s="213" t="s">
        <v>5082</v>
      </c>
      <c r="I425" s="213" t="s">
        <v>5083</v>
      </c>
      <c r="J425" s="213" t="s">
        <v>5084</v>
      </c>
      <c r="K425" s="222" t="s">
        <v>9520</v>
      </c>
      <c r="L425" s="213" t="s">
        <v>10818</v>
      </c>
      <c r="M425" s="213" t="s">
        <v>10170</v>
      </c>
      <c r="P425" s="121"/>
    </row>
    <row r="426" spans="1:16">
      <c r="A426" s="213" t="s">
        <v>1094</v>
      </c>
      <c r="B426" s="213" t="s">
        <v>1097</v>
      </c>
      <c r="C426" s="221" t="s">
        <v>1096</v>
      </c>
      <c r="D426" s="221" t="s">
        <v>1098</v>
      </c>
      <c r="E426" s="221" t="s">
        <v>5085</v>
      </c>
      <c r="F426" s="213" t="s">
        <v>5086</v>
      </c>
      <c r="G426" s="213" t="s">
        <v>5087</v>
      </c>
      <c r="H426" s="213" t="s">
        <v>5085</v>
      </c>
      <c r="I426" s="213" t="s">
        <v>5088</v>
      </c>
      <c r="J426" s="213" t="s">
        <v>5089</v>
      </c>
      <c r="K426" s="222" t="s">
        <v>9521</v>
      </c>
      <c r="L426" s="213" t="s">
        <v>10819</v>
      </c>
      <c r="M426" s="213" t="s">
        <v>10171</v>
      </c>
      <c r="P426" s="121"/>
    </row>
    <row r="427" spans="1:16">
      <c r="A427" s="213" t="s">
        <v>1099</v>
      </c>
      <c r="B427" s="213" t="s">
        <v>1097</v>
      </c>
      <c r="C427" s="221" t="s">
        <v>1096</v>
      </c>
      <c r="D427" s="221" t="s">
        <v>1098</v>
      </c>
      <c r="E427" s="221" t="s">
        <v>5085</v>
      </c>
      <c r="F427" s="213" t="s">
        <v>5086</v>
      </c>
      <c r="G427" s="213" t="s">
        <v>5087</v>
      </c>
      <c r="H427" s="213" t="s">
        <v>5085</v>
      </c>
      <c r="I427" s="213" t="s">
        <v>5088</v>
      </c>
      <c r="J427" s="213" t="s">
        <v>5089</v>
      </c>
      <c r="K427" s="222" t="s">
        <v>9521</v>
      </c>
      <c r="L427" s="213" t="s">
        <v>10819</v>
      </c>
      <c r="M427" s="213" t="s">
        <v>10171</v>
      </c>
      <c r="P427" s="121"/>
    </row>
    <row r="428" spans="1:16">
      <c r="A428" s="213" t="s">
        <v>1101</v>
      </c>
      <c r="B428" s="213" t="s">
        <v>1103</v>
      </c>
      <c r="C428" s="221" t="s">
        <v>679</v>
      </c>
      <c r="D428" s="221" t="s">
        <v>1104</v>
      </c>
      <c r="E428" s="221" t="s">
        <v>5090</v>
      </c>
      <c r="F428" s="213" t="s">
        <v>4339</v>
      </c>
      <c r="G428" s="213" t="s">
        <v>4340</v>
      </c>
      <c r="H428" s="213" t="s">
        <v>5091</v>
      </c>
      <c r="I428" s="213" t="s">
        <v>4363</v>
      </c>
      <c r="J428" s="213" t="s">
        <v>4343</v>
      </c>
      <c r="K428" s="222" t="s">
        <v>9522</v>
      </c>
      <c r="L428" s="213" t="s">
        <v>10820</v>
      </c>
      <c r="M428" s="213" t="s">
        <v>10059</v>
      </c>
      <c r="P428" s="121"/>
    </row>
    <row r="429" spans="1:16">
      <c r="A429" s="213" t="s">
        <v>5092</v>
      </c>
      <c r="B429" s="213" t="s">
        <v>5094</v>
      </c>
      <c r="C429" s="221" t="s">
        <v>5093</v>
      </c>
      <c r="D429" s="221" t="s">
        <v>5095</v>
      </c>
      <c r="E429" s="221" t="s">
        <v>5096</v>
      </c>
      <c r="F429" s="213" t="s">
        <v>5097</v>
      </c>
      <c r="G429" s="213" t="s">
        <v>5098</v>
      </c>
      <c r="H429" s="213" t="s">
        <v>5099</v>
      </c>
      <c r="I429" s="213" t="s">
        <v>5100</v>
      </c>
      <c r="J429" s="213" t="s">
        <v>5101</v>
      </c>
      <c r="K429" s="222" t="s">
        <v>9523</v>
      </c>
      <c r="L429" s="213" t="s">
        <v>10821</v>
      </c>
      <c r="M429" s="213" t="s">
        <v>10172</v>
      </c>
      <c r="P429" s="121"/>
    </row>
    <row r="430" spans="1:16">
      <c r="A430" s="213" t="s">
        <v>5102</v>
      </c>
      <c r="B430" s="213" t="s">
        <v>1103</v>
      </c>
      <c r="C430" s="221" t="s">
        <v>679</v>
      </c>
      <c r="D430" s="221" t="s">
        <v>1104</v>
      </c>
      <c r="E430" s="221" t="s">
        <v>5090</v>
      </c>
      <c r="F430" s="213" t="s">
        <v>4339</v>
      </c>
      <c r="G430" s="213" t="s">
        <v>4340</v>
      </c>
      <c r="H430" s="213" t="s">
        <v>5091</v>
      </c>
      <c r="I430" s="213" t="s">
        <v>4363</v>
      </c>
      <c r="J430" s="213" t="s">
        <v>4343</v>
      </c>
      <c r="K430" s="222" t="s">
        <v>9522</v>
      </c>
      <c r="L430" s="213" t="s">
        <v>10820</v>
      </c>
      <c r="M430" s="213" t="s">
        <v>10059</v>
      </c>
      <c r="P430" s="121"/>
    </row>
    <row r="431" spans="1:16">
      <c r="A431" s="213" t="s">
        <v>1105</v>
      </c>
      <c r="B431" s="213" t="s">
        <v>417</v>
      </c>
      <c r="C431" s="221" t="s">
        <v>416</v>
      </c>
      <c r="D431" s="221" t="s">
        <v>418</v>
      </c>
      <c r="E431" s="221" t="s">
        <v>3991</v>
      </c>
      <c r="F431" s="213" t="s">
        <v>3992</v>
      </c>
      <c r="G431" s="213" t="s">
        <v>4355</v>
      </c>
      <c r="H431" s="213" t="s">
        <v>3991</v>
      </c>
      <c r="I431" s="213" t="s">
        <v>3993</v>
      </c>
      <c r="J431" s="213" t="s">
        <v>5103</v>
      </c>
      <c r="K431" s="222" t="s">
        <v>9400</v>
      </c>
      <c r="L431" s="213" t="s">
        <v>10651</v>
      </c>
      <c r="M431" s="213" t="s">
        <v>10057</v>
      </c>
      <c r="P431" s="121"/>
    </row>
    <row r="432" spans="1:16">
      <c r="A432" s="213" t="s">
        <v>1106</v>
      </c>
      <c r="B432" s="213" t="s">
        <v>417</v>
      </c>
      <c r="C432" s="221" t="s">
        <v>416</v>
      </c>
      <c r="D432" s="221" t="s">
        <v>418</v>
      </c>
      <c r="E432" s="221" t="s">
        <v>3991</v>
      </c>
      <c r="F432" s="213" t="s">
        <v>3992</v>
      </c>
      <c r="G432" s="213" t="s">
        <v>4355</v>
      </c>
      <c r="H432" s="213" t="s">
        <v>3991</v>
      </c>
      <c r="I432" s="213" t="s">
        <v>3993</v>
      </c>
      <c r="J432" s="213" t="s">
        <v>5103</v>
      </c>
      <c r="K432" s="222" t="s">
        <v>9400</v>
      </c>
      <c r="L432" s="213" t="s">
        <v>10651</v>
      </c>
      <c r="M432" s="213" t="s">
        <v>10057</v>
      </c>
      <c r="P432" s="121"/>
    </row>
    <row r="433" spans="1:16">
      <c r="A433" s="213" t="s">
        <v>1108</v>
      </c>
      <c r="B433" s="213" t="s">
        <v>417</v>
      </c>
      <c r="C433" s="221" t="s">
        <v>416</v>
      </c>
      <c r="D433" s="221" t="s">
        <v>418</v>
      </c>
      <c r="E433" s="221" t="s">
        <v>3991</v>
      </c>
      <c r="F433" s="213" t="s">
        <v>3992</v>
      </c>
      <c r="G433" s="213" t="s">
        <v>4355</v>
      </c>
      <c r="H433" s="213" t="s">
        <v>3991</v>
      </c>
      <c r="I433" s="213" t="s">
        <v>3993</v>
      </c>
      <c r="J433" s="213" t="s">
        <v>5103</v>
      </c>
      <c r="K433" s="222" t="s">
        <v>9400</v>
      </c>
      <c r="L433" s="213" t="s">
        <v>10651</v>
      </c>
      <c r="M433" s="213" t="s">
        <v>10057</v>
      </c>
      <c r="P433" s="121"/>
    </row>
    <row r="434" spans="1:16">
      <c r="A434" s="213" t="s">
        <v>1111</v>
      </c>
      <c r="B434" s="213" t="s">
        <v>417</v>
      </c>
      <c r="C434" s="221" t="s">
        <v>416</v>
      </c>
      <c r="D434" s="221" t="s">
        <v>418</v>
      </c>
      <c r="E434" s="221" t="s">
        <v>3991</v>
      </c>
      <c r="F434" s="213" t="s">
        <v>3992</v>
      </c>
      <c r="G434" s="213" t="s">
        <v>4355</v>
      </c>
      <c r="H434" s="213" t="s">
        <v>3991</v>
      </c>
      <c r="I434" s="213" t="s">
        <v>3993</v>
      </c>
      <c r="J434" s="213" t="s">
        <v>5103</v>
      </c>
      <c r="K434" s="222" t="s">
        <v>9400</v>
      </c>
      <c r="L434" s="213" t="s">
        <v>10651</v>
      </c>
      <c r="M434" s="213" t="s">
        <v>10057</v>
      </c>
      <c r="P434" s="121"/>
    </row>
    <row r="435" spans="1:16">
      <c r="A435" s="213" t="s">
        <v>1113</v>
      </c>
      <c r="B435" s="213" t="s">
        <v>417</v>
      </c>
      <c r="C435" s="221" t="s">
        <v>416</v>
      </c>
      <c r="D435" s="221" t="s">
        <v>418</v>
      </c>
      <c r="E435" s="221" t="s">
        <v>3991</v>
      </c>
      <c r="F435" s="213" t="s">
        <v>3992</v>
      </c>
      <c r="G435" s="213" t="s">
        <v>4355</v>
      </c>
      <c r="H435" s="213" t="s">
        <v>3991</v>
      </c>
      <c r="I435" s="213" t="s">
        <v>3993</v>
      </c>
      <c r="J435" s="213" t="s">
        <v>5103</v>
      </c>
      <c r="K435" s="222" t="s">
        <v>9400</v>
      </c>
      <c r="L435" s="213" t="s">
        <v>10651</v>
      </c>
      <c r="M435" s="213" t="s">
        <v>10057</v>
      </c>
      <c r="P435" s="121"/>
    </row>
    <row r="436" spans="1:16">
      <c r="A436" s="213" t="s">
        <v>1115</v>
      </c>
      <c r="B436" s="213" t="s">
        <v>1103</v>
      </c>
      <c r="C436" s="221" t="s">
        <v>679</v>
      </c>
      <c r="D436" s="221" t="s">
        <v>1104</v>
      </c>
      <c r="E436" s="221" t="s">
        <v>5090</v>
      </c>
      <c r="F436" s="213" t="s">
        <v>4339</v>
      </c>
      <c r="G436" s="213" t="s">
        <v>4340</v>
      </c>
      <c r="H436" s="213" t="s">
        <v>5091</v>
      </c>
      <c r="I436" s="213" t="s">
        <v>4363</v>
      </c>
      <c r="J436" s="213" t="s">
        <v>4343</v>
      </c>
      <c r="K436" s="222" t="s">
        <v>9522</v>
      </c>
      <c r="L436" s="213" t="s">
        <v>10820</v>
      </c>
      <c r="M436" s="213" t="s">
        <v>10059</v>
      </c>
      <c r="P436" s="121"/>
    </row>
    <row r="437" spans="1:16">
      <c r="A437" s="213" t="s">
        <v>1116</v>
      </c>
      <c r="B437" s="213" t="s">
        <v>417</v>
      </c>
      <c r="C437" s="221" t="s">
        <v>416</v>
      </c>
      <c r="D437" s="221" t="s">
        <v>418</v>
      </c>
      <c r="E437" s="221" t="s">
        <v>3991</v>
      </c>
      <c r="F437" s="213" t="s">
        <v>3992</v>
      </c>
      <c r="G437" s="213" t="s">
        <v>4355</v>
      </c>
      <c r="H437" s="213" t="s">
        <v>3991</v>
      </c>
      <c r="I437" s="213" t="s">
        <v>3993</v>
      </c>
      <c r="J437" s="213" t="s">
        <v>5103</v>
      </c>
      <c r="K437" s="222" t="s">
        <v>9400</v>
      </c>
      <c r="L437" s="213" t="s">
        <v>10651</v>
      </c>
      <c r="M437" s="213" t="s">
        <v>10057</v>
      </c>
      <c r="P437" s="121"/>
    </row>
    <row r="438" spans="1:16">
      <c r="A438" s="213" t="s">
        <v>1117</v>
      </c>
      <c r="B438" s="213" t="s">
        <v>417</v>
      </c>
      <c r="C438" s="221" t="s">
        <v>416</v>
      </c>
      <c r="D438" s="221" t="s">
        <v>418</v>
      </c>
      <c r="E438" s="221" t="s">
        <v>3991</v>
      </c>
      <c r="F438" s="213" t="s">
        <v>3992</v>
      </c>
      <c r="G438" s="213" t="s">
        <v>4355</v>
      </c>
      <c r="H438" s="213" t="s">
        <v>3991</v>
      </c>
      <c r="I438" s="213" t="s">
        <v>3993</v>
      </c>
      <c r="J438" s="213" t="s">
        <v>5103</v>
      </c>
      <c r="K438" s="222" t="s">
        <v>9400</v>
      </c>
      <c r="L438" s="213" t="s">
        <v>10651</v>
      </c>
      <c r="M438" s="213" t="s">
        <v>10057</v>
      </c>
      <c r="P438" s="121"/>
    </row>
    <row r="439" spans="1:16">
      <c r="A439" s="213" t="s">
        <v>1118</v>
      </c>
      <c r="B439" s="213" t="s">
        <v>417</v>
      </c>
      <c r="C439" s="221" t="s">
        <v>416</v>
      </c>
      <c r="D439" s="221" t="s">
        <v>418</v>
      </c>
      <c r="E439" s="221" t="s">
        <v>3991</v>
      </c>
      <c r="F439" s="213" t="s">
        <v>3992</v>
      </c>
      <c r="G439" s="213" t="s">
        <v>4355</v>
      </c>
      <c r="H439" s="213" t="s">
        <v>3991</v>
      </c>
      <c r="I439" s="213" t="s">
        <v>3993</v>
      </c>
      <c r="J439" s="213" t="s">
        <v>5103</v>
      </c>
      <c r="K439" s="222" t="s">
        <v>9400</v>
      </c>
      <c r="L439" s="213" t="s">
        <v>10651</v>
      </c>
      <c r="M439" s="213" t="s">
        <v>10057</v>
      </c>
      <c r="P439" s="121"/>
    </row>
    <row r="440" spans="1:16">
      <c r="A440" s="213" t="s">
        <v>1119</v>
      </c>
      <c r="B440" s="213" t="s">
        <v>417</v>
      </c>
      <c r="C440" s="221" t="s">
        <v>416</v>
      </c>
      <c r="D440" s="221" t="s">
        <v>418</v>
      </c>
      <c r="E440" s="221" t="s">
        <v>3991</v>
      </c>
      <c r="F440" s="213" t="s">
        <v>3992</v>
      </c>
      <c r="G440" s="213" t="s">
        <v>4355</v>
      </c>
      <c r="H440" s="213" t="s">
        <v>3991</v>
      </c>
      <c r="I440" s="213" t="s">
        <v>3993</v>
      </c>
      <c r="J440" s="213" t="s">
        <v>5103</v>
      </c>
      <c r="K440" s="222" t="s">
        <v>9400</v>
      </c>
      <c r="L440" s="213" t="s">
        <v>10651</v>
      </c>
      <c r="M440" s="213" t="s">
        <v>10057</v>
      </c>
      <c r="P440" s="121"/>
    </row>
    <row r="441" spans="1:16">
      <c r="A441" s="213" t="s">
        <v>2526</v>
      </c>
      <c r="B441" s="213" t="s">
        <v>1103</v>
      </c>
      <c r="C441" s="221" t="s">
        <v>679</v>
      </c>
      <c r="D441" s="221" t="s">
        <v>1104</v>
      </c>
      <c r="E441" s="221" t="s">
        <v>5090</v>
      </c>
      <c r="F441" s="213" t="s">
        <v>4339</v>
      </c>
      <c r="G441" s="213" t="s">
        <v>4340</v>
      </c>
      <c r="H441" s="213" t="s">
        <v>5091</v>
      </c>
      <c r="I441" s="213" t="s">
        <v>4363</v>
      </c>
      <c r="J441" s="213" t="s">
        <v>4343</v>
      </c>
      <c r="K441" s="222" t="s">
        <v>9522</v>
      </c>
      <c r="L441" s="213" t="s">
        <v>10820</v>
      </c>
      <c r="M441" s="213" t="s">
        <v>10059</v>
      </c>
      <c r="P441" s="121"/>
    </row>
    <row r="442" spans="1:16">
      <c r="A442" s="213" t="s">
        <v>2528</v>
      </c>
      <c r="B442" s="213" t="s">
        <v>2848</v>
      </c>
      <c r="C442" s="221" t="s">
        <v>416</v>
      </c>
      <c r="D442" s="221" t="s">
        <v>418</v>
      </c>
      <c r="E442" s="221" t="s">
        <v>3991</v>
      </c>
      <c r="F442" s="213" t="s">
        <v>3992</v>
      </c>
      <c r="G442" s="213" t="s">
        <v>4355</v>
      </c>
      <c r="H442" s="213" t="s">
        <v>3991</v>
      </c>
      <c r="I442" s="213" t="s">
        <v>5104</v>
      </c>
      <c r="J442" s="213" t="s">
        <v>5103</v>
      </c>
      <c r="K442" s="222" t="s">
        <v>9400</v>
      </c>
      <c r="L442" s="213" t="s">
        <v>10651</v>
      </c>
      <c r="M442" s="213" t="s">
        <v>10057</v>
      </c>
      <c r="P442" s="121"/>
    </row>
    <row r="443" spans="1:16">
      <c r="A443" s="213" t="s">
        <v>1120</v>
      </c>
      <c r="B443" s="213" t="s">
        <v>822</v>
      </c>
      <c r="C443" s="221" t="s">
        <v>821</v>
      </c>
      <c r="D443" s="221" t="s">
        <v>823</v>
      </c>
      <c r="E443" s="221" t="s">
        <v>5105</v>
      </c>
      <c r="F443" s="213" t="s">
        <v>4726</v>
      </c>
      <c r="G443" s="213" t="s">
        <v>5106</v>
      </c>
      <c r="H443" s="213" t="s">
        <v>4728</v>
      </c>
      <c r="I443" s="213" t="s">
        <v>5107</v>
      </c>
      <c r="J443" s="213" t="s">
        <v>5108</v>
      </c>
      <c r="K443" s="222" t="s">
        <v>9510</v>
      </c>
      <c r="L443" s="213" t="s">
        <v>10761</v>
      </c>
      <c r="M443" s="213" t="s">
        <v>10112</v>
      </c>
      <c r="P443" s="121"/>
    </row>
    <row r="444" spans="1:16">
      <c r="A444" s="213" t="s">
        <v>1122</v>
      </c>
      <c r="B444" s="213" t="s">
        <v>822</v>
      </c>
      <c r="C444" s="221" t="s">
        <v>821</v>
      </c>
      <c r="D444" s="221" t="s">
        <v>823</v>
      </c>
      <c r="E444" s="221" t="s">
        <v>5105</v>
      </c>
      <c r="F444" s="213" t="s">
        <v>4726</v>
      </c>
      <c r="G444" s="213" t="s">
        <v>5106</v>
      </c>
      <c r="H444" s="213" t="s">
        <v>4728</v>
      </c>
      <c r="I444" s="213" t="s">
        <v>5107</v>
      </c>
      <c r="J444" s="213" t="s">
        <v>5108</v>
      </c>
      <c r="K444" s="222" t="s">
        <v>9510</v>
      </c>
      <c r="L444" s="213" t="s">
        <v>10761</v>
      </c>
      <c r="M444" s="213" t="s">
        <v>10112</v>
      </c>
      <c r="P444" s="121"/>
    </row>
    <row r="445" spans="1:16">
      <c r="A445" s="213" t="s">
        <v>1123</v>
      </c>
      <c r="B445" s="213" t="s">
        <v>822</v>
      </c>
      <c r="C445" s="221" t="s">
        <v>821</v>
      </c>
      <c r="D445" s="221" t="s">
        <v>823</v>
      </c>
      <c r="E445" s="221" t="s">
        <v>5105</v>
      </c>
      <c r="F445" s="213" t="s">
        <v>4726</v>
      </c>
      <c r="G445" s="213" t="s">
        <v>5106</v>
      </c>
      <c r="H445" s="213" t="s">
        <v>4728</v>
      </c>
      <c r="I445" s="213" t="s">
        <v>5107</v>
      </c>
      <c r="J445" s="213" t="s">
        <v>5108</v>
      </c>
      <c r="K445" s="222" t="s">
        <v>9510</v>
      </c>
      <c r="L445" s="213" t="s">
        <v>10761</v>
      </c>
      <c r="M445" s="213" t="s">
        <v>10112</v>
      </c>
      <c r="P445" s="121"/>
    </row>
    <row r="446" spans="1:16">
      <c r="A446" s="213" t="s">
        <v>1125</v>
      </c>
      <c r="B446" s="213" t="s">
        <v>822</v>
      </c>
      <c r="C446" s="221" t="s">
        <v>821</v>
      </c>
      <c r="D446" s="225" t="s">
        <v>823</v>
      </c>
      <c r="E446" s="225" t="s">
        <v>5105</v>
      </c>
      <c r="F446" s="213" t="s">
        <v>4726</v>
      </c>
      <c r="G446" s="213" t="s">
        <v>5106</v>
      </c>
      <c r="H446" s="213" t="s">
        <v>4728</v>
      </c>
      <c r="I446" s="213" t="s">
        <v>5107</v>
      </c>
      <c r="J446" s="213" t="s">
        <v>5108</v>
      </c>
      <c r="K446" s="222" t="s">
        <v>9510</v>
      </c>
      <c r="L446" s="213" t="s">
        <v>10761</v>
      </c>
      <c r="M446" s="213" t="s">
        <v>10112</v>
      </c>
      <c r="P446" s="121"/>
    </row>
    <row r="447" spans="1:16">
      <c r="A447" s="213" t="s">
        <v>1126</v>
      </c>
      <c r="B447" s="213" t="s">
        <v>822</v>
      </c>
      <c r="C447" s="221" t="s">
        <v>821</v>
      </c>
      <c r="D447" s="226" t="s">
        <v>823</v>
      </c>
      <c r="E447" s="225" t="s">
        <v>5105</v>
      </c>
      <c r="F447" s="213" t="s">
        <v>4726</v>
      </c>
      <c r="G447" s="213" t="s">
        <v>5106</v>
      </c>
      <c r="H447" s="213" t="s">
        <v>4728</v>
      </c>
      <c r="I447" s="213" t="s">
        <v>5107</v>
      </c>
      <c r="J447" s="213" t="s">
        <v>5108</v>
      </c>
      <c r="K447" s="222" t="s">
        <v>9510</v>
      </c>
      <c r="L447" s="213" t="s">
        <v>10761</v>
      </c>
      <c r="M447" s="213" t="s">
        <v>10112</v>
      </c>
      <c r="P447" s="121"/>
    </row>
    <row r="448" spans="1:16">
      <c r="A448" s="213" t="s">
        <v>1128</v>
      </c>
      <c r="B448" s="213" t="s">
        <v>822</v>
      </c>
      <c r="C448" s="221" t="s">
        <v>821</v>
      </c>
      <c r="D448" s="225" t="s">
        <v>823</v>
      </c>
      <c r="E448" s="225" t="s">
        <v>5105</v>
      </c>
      <c r="F448" s="213" t="s">
        <v>4726</v>
      </c>
      <c r="G448" s="213" t="s">
        <v>5106</v>
      </c>
      <c r="H448" s="213" t="s">
        <v>4728</v>
      </c>
      <c r="I448" s="213" t="s">
        <v>5107</v>
      </c>
      <c r="J448" s="213" t="s">
        <v>5108</v>
      </c>
      <c r="K448" s="222" t="s">
        <v>9510</v>
      </c>
      <c r="L448" s="213" t="s">
        <v>10761</v>
      </c>
      <c r="M448" s="213" t="s">
        <v>10112</v>
      </c>
      <c r="P448" s="121"/>
    </row>
    <row r="449" spans="1:16">
      <c r="A449" s="213" t="s">
        <v>1130</v>
      </c>
      <c r="B449" s="213" t="s">
        <v>822</v>
      </c>
      <c r="C449" s="221" t="s">
        <v>821</v>
      </c>
      <c r="D449" s="225" t="s">
        <v>823</v>
      </c>
      <c r="E449" s="225" t="s">
        <v>5105</v>
      </c>
      <c r="F449" s="213" t="s">
        <v>4726</v>
      </c>
      <c r="G449" s="213" t="s">
        <v>5106</v>
      </c>
      <c r="H449" s="213" t="s">
        <v>4728</v>
      </c>
      <c r="I449" s="213" t="s">
        <v>5107</v>
      </c>
      <c r="J449" s="213" t="s">
        <v>5108</v>
      </c>
      <c r="K449" s="222" t="s">
        <v>9510</v>
      </c>
      <c r="L449" s="213" t="s">
        <v>10761</v>
      </c>
      <c r="M449" s="213" t="s">
        <v>10112</v>
      </c>
      <c r="P449" s="121"/>
    </row>
    <row r="450" spans="1:16">
      <c r="A450" s="213" t="s">
        <v>1132</v>
      </c>
      <c r="B450" s="213" t="s">
        <v>822</v>
      </c>
      <c r="C450" s="221" t="s">
        <v>821</v>
      </c>
      <c r="D450" s="225" t="s">
        <v>823</v>
      </c>
      <c r="E450" s="225" t="s">
        <v>5105</v>
      </c>
      <c r="F450" s="213" t="s">
        <v>4726</v>
      </c>
      <c r="G450" s="213" t="s">
        <v>5106</v>
      </c>
      <c r="H450" s="213" t="s">
        <v>4728</v>
      </c>
      <c r="I450" s="213" t="s">
        <v>5107</v>
      </c>
      <c r="J450" s="213" t="s">
        <v>4730</v>
      </c>
      <c r="K450" s="222" t="s">
        <v>9510</v>
      </c>
      <c r="L450" s="213" t="s">
        <v>10761</v>
      </c>
      <c r="M450" s="213" t="s">
        <v>10112</v>
      </c>
      <c r="P450" s="121"/>
    </row>
    <row r="451" spans="1:16">
      <c r="A451" s="213" t="s">
        <v>1133</v>
      </c>
      <c r="B451" s="213" t="s">
        <v>822</v>
      </c>
      <c r="C451" s="221" t="s">
        <v>821</v>
      </c>
      <c r="D451" s="225" t="s">
        <v>823</v>
      </c>
      <c r="E451" s="225" t="s">
        <v>5105</v>
      </c>
      <c r="F451" s="213" t="s">
        <v>4726</v>
      </c>
      <c r="G451" s="213" t="s">
        <v>5106</v>
      </c>
      <c r="H451" s="213" t="s">
        <v>4728</v>
      </c>
      <c r="I451" s="213" t="s">
        <v>5107</v>
      </c>
      <c r="J451" s="213" t="s">
        <v>4730</v>
      </c>
      <c r="K451" s="222" t="s">
        <v>9510</v>
      </c>
      <c r="L451" s="213" t="s">
        <v>10761</v>
      </c>
      <c r="M451" s="213" t="s">
        <v>10112</v>
      </c>
      <c r="P451" s="121"/>
    </row>
    <row r="452" spans="1:16">
      <c r="A452" s="213" t="s">
        <v>1134</v>
      </c>
      <c r="B452" s="213" t="s">
        <v>822</v>
      </c>
      <c r="C452" s="221" t="s">
        <v>821</v>
      </c>
      <c r="D452" s="225" t="s">
        <v>823</v>
      </c>
      <c r="E452" s="225" t="s">
        <v>5105</v>
      </c>
      <c r="F452" s="213" t="s">
        <v>4726</v>
      </c>
      <c r="G452" s="213" t="s">
        <v>5106</v>
      </c>
      <c r="H452" s="213" t="s">
        <v>4728</v>
      </c>
      <c r="I452" s="213" t="s">
        <v>5107</v>
      </c>
      <c r="J452" s="213" t="s">
        <v>4730</v>
      </c>
      <c r="K452" s="222" t="s">
        <v>9510</v>
      </c>
      <c r="L452" s="213" t="s">
        <v>10761</v>
      </c>
      <c r="M452" s="213" t="s">
        <v>10112</v>
      </c>
      <c r="P452" s="121"/>
    </row>
    <row r="453" spans="1:16">
      <c r="A453" s="213" t="s">
        <v>1135</v>
      </c>
      <c r="B453" s="213" t="s">
        <v>1138</v>
      </c>
      <c r="C453" s="221" t="s">
        <v>1137</v>
      </c>
      <c r="D453" s="225" t="s">
        <v>1139</v>
      </c>
      <c r="E453" s="225" t="s">
        <v>5110</v>
      </c>
      <c r="F453" s="213" t="s">
        <v>5111</v>
      </c>
      <c r="G453" s="213" t="s">
        <v>5112</v>
      </c>
      <c r="H453" s="213" t="s">
        <v>5113</v>
      </c>
      <c r="I453" s="213" t="s">
        <v>5114</v>
      </c>
      <c r="J453" s="213" t="s">
        <v>5115</v>
      </c>
      <c r="K453" s="222" t="s">
        <v>9524</v>
      </c>
      <c r="L453" s="213" t="s">
        <v>10822</v>
      </c>
      <c r="M453" s="213" t="s">
        <v>10173</v>
      </c>
      <c r="P453" s="121"/>
    </row>
    <row r="454" spans="1:16">
      <c r="A454" s="213" t="s">
        <v>1140</v>
      </c>
      <c r="B454" s="213" t="s">
        <v>1143</v>
      </c>
      <c r="C454" s="221" t="s">
        <v>1142</v>
      </c>
      <c r="D454" s="225" t="s">
        <v>1144</v>
      </c>
      <c r="E454" s="225" t="s">
        <v>5116</v>
      </c>
      <c r="F454" s="213" t="s">
        <v>5117</v>
      </c>
      <c r="G454" s="213" t="s">
        <v>5118</v>
      </c>
      <c r="H454" s="213" t="s">
        <v>5119</v>
      </c>
      <c r="I454" s="213" t="s">
        <v>5120</v>
      </c>
      <c r="J454" s="213" t="s">
        <v>5121</v>
      </c>
      <c r="K454" s="222" t="s">
        <v>9525</v>
      </c>
      <c r="L454" s="213" t="s">
        <v>10823</v>
      </c>
      <c r="M454" s="213" t="s">
        <v>10174</v>
      </c>
      <c r="P454" s="121"/>
    </row>
    <row r="455" spans="1:16">
      <c r="A455" s="213" t="s">
        <v>1145</v>
      </c>
      <c r="B455" s="213" t="s">
        <v>1148</v>
      </c>
      <c r="C455" s="221" t="s">
        <v>1147</v>
      </c>
      <c r="D455" s="225" t="s">
        <v>1149</v>
      </c>
      <c r="E455" s="225" t="s">
        <v>5122</v>
      </c>
      <c r="F455" s="213" t="s">
        <v>5123</v>
      </c>
      <c r="G455" s="213" t="s">
        <v>5124</v>
      </c>
      <c r="H455" s="213" t="s">
        <v>5125</v>
      </c>
      <c r="I455" s="213" t="s">
        <v>5126</v>
      </c>
      <c r="J455" s="213" t="s">
        <v>5127</v>
      </c>
      <c r="K455" s="222" t="s">
        <v>9526</v>
      </c>
      <c r="L455" s="213" t="s">
        <v>10824</v>
      </c>
      <c r="M455" s="213" t="s">
        <v>10175</v>
      </c>
      <c r="P455" s="121"/>
    </row>
    <row r="456" spans="1:16">
      <c r="A456" s="213" t="s">
        <v>1154</v>
      </c>
      <c r="B456" s="213" t="s">
        <v>1152</v>
      </c>
      <c r="C456" s="221" t="s">
        <v>1151</v>
      </c>
      <c r="D456" s="225" t="s">
        <v>1153</v>
      </c>
      <c r="E456" s="225" t="s">
        <v>5128</v>
      </c>
      <c r="F456" s="213" t="s">
        <v>5129</v>
      </c>
      <c r="G456" s="213" t="s">
        <v>5130</v>
      </c>
      <c r="H456" s="213" t="s">
        <v>5131</v>
      </c>
      <c r="I456" s="213" t="s">
        <v>5132</v>
      </c>
      <c r="J456" s="213" t="s">
        <v>5133</v>
      </c>
      <c r="K456" s="222" t="s">
        <v>9527</v>
      </c>
      <c r="L456" s="213" t="s">
        <v>10825</v>
      </c>
      <c r="M456" s="213" t="s">
        <v>10176</v>
      </c>
      <c r="P456" s="121"/>
    </row>
    <row r="457" spans="1:16">
      <c r="A457" s="213" t="s">
        <v>1156</v>
      </c>
      <c r="B457" s="213" t="s">
        <v>864</v>
      </c>
      <c r="C457" s="221" t="s">
        <v>863</v>
      </c>
      <c r="D457" s="225" t="s">
        <v>1157</v>
      </c>
      <c r="E457" s="225" t="s">
        <v>5134</v>
      </c>
      <c r="F457" s="213" t="s">
        <v>4703</v>
      </c>
      <c r="G457" s="213" t="s">
        <v>5135</v>
      </c>
      <c r="H457" s="213" t="s">
        <v>4705</v>
      </c>
      <c r="I457" s="213" t="s">
        <v>4706</v>
      </c>
      <c r="J457" s="213" t="s">
        <v>4707</v>
      </c>
      <c r="K457" s="222" t="s">
        <v>9506</v>
      </c>
      <c r="L457" s="213" t="s">
        <v>10757</v>
      </c>
      <c r="M457" s="213" t="s">
        <v>10108</v>
      </c>
      <c r="P457" s="121"/>
    </row>
    <row r="458" spans="1:16">
      <c r="A458" s="213" t="s">
        <v>1158</v>
      </c>
      <c r="B458" s="213" t="s">
        <v>864</v>
      </c>
      <c r="C458" s="221" t="s">
        <v>863</v>
      </c>
      <c r="D458" s="221" t="s">
        <v>1157</v>
      </c>
      <c r="E458" s="221" t="s">
        <v>5134</v>
      </c>
      <c r="F458" s="213" t="s">
        <v>4703</v>
      </c>
      <c r="G458" s="213" t="s">
        <v>5135</v>
      </c>
      <c r="H458" s="213" t="s">
        <v>4705</v>
      </c>
      <c r="I458" s="213" t="s">
        <v>4706</v>
      </c>
      <c r="J458" s="213" t="s">
        <v>4707</v>
      </c>
      <c r="K458" s="213" t="s">
        <v>9506</v>
      </c>
      <c r="L458" s="213" t="s">
        <v>10757</v>
      </c>
      <c r="M458" s="213" t="s">
        <v>10108</v>
      </c>
      <c r="P458" s="121"/>
    </row>
    <row r="459" spans="1:16">
      <c r="A459" s="213" t="s">
        <v>1160</v>
      </c>
      <c r="B459" s="213" t="s">
        <v>864</v>
      </c>
      <c r="C459" s="221" t="s">
        <v>863</v>
      </c>
      <c r="D459" s="221" t="s">
        <v>1157</v>
      </c>
      <c r="E459" s="221" t="s">
        <v>5134</v>
      </c>
      <c r="F459" s="213" t="s">
        <v>4703</v>
      </c>
      <c r="G459" s="213" t="s">
        <v>5135</v>
      </c>
      <c r="H459" s="213" t="s">
        <v>4705</v>
      </c>
      <c r="I459" s="213" t="s">
        <v>4706</v>
      </c>
      <c r="J459" s="213" t="s">
        <v>4707</v>
      </c>
      <c r="K459" s="213" t="s">
        <v>9506</v>
      </c>
      <c r="L459" s="213" t="s">
        <v>10757</v>
      </c>
      <c r="M459" s="213" t="s">
        <v>10108</v>
      </c>
      <c r="P459" s="121"/>
    </row>
    <row r="460" spans="1:16">
      <c r="A460" s="213" t="s">
        <v>1161</v>
      </c>
      <c r="B460" s="213" t="s">
        <v>864</v>
      </c>
      <c r="C460" s="221" t="s">
        <v>863</v>
      </c>
      <c r="D460" s="221" t="s">
        <v>1157</v>
      </c>
      <c r="E460" s="221" t="s">
        <v>5134</v>
      </c>
      <c r="F460" s="213" t="s">
        <v>4703</v>
      </c>
      <c r="G460" s="213" t="s">
        <v>5135</v>
      </c>
      <c r="H460" s="213" t="s">
        <v>4705</v>
      </c>
      <c r="I460" s="213" t="s">
        <v>4706</v>
      </c>
      <c r="J460" s="213" t="s">
        <v>4707</v>
      </c>
      <c r="K460" s="213" t="s">
        <v>9506</v>
      </c>
      <c r="L460" s="213" t="s">
        <v>10757</v>
      </c>
      <c r="M460" s="213" t="s">
        <v>10108</v>
      </c>
      <c r="P460" s="121"/>
    </row>
    <row r="461" spans="1:16">
      <c r="A461" s="213" t="s">
        <v>1163</v>
      </c>
      <c r="B461" s="213" t="s">
        <v>864</v>
      </c>
      <c r="C461" s="221" t="s">
        <v>863</v>
      </c>
      <c r="D461" s="221" t="s">
        <v>1157</v>
      </c>
      <c r="E461" s="221" t="s">
        <v>5134</v>
      </c>
      <c r="F461" s="213" t="s">
        <v>4703</v>
      </c>
      <c r="G461" s="213" t="s">
        <v>5135</v>
      </c>
      <c r="H461" s="213" t="s">
        <v>4705</v>
      </c>
      <c r="I461" s="213" t="s">
        <v>4706</v>
      </c>
      <c r="J461" s="213" t="s">
        <v>4707</v>
      </c>
      <c r="K461" s="213" t="s">
        <v>9506</v>
      </c>
      <c r="L461" s="213" t="s">
        <v>10757</v>
      </c>
      <c r="M461" s="213" t="s">
        <v>10108</v>
      </c>
      <c r="P461" s="121"/>
    </row>
    <row r="462" spans="1:16">
      <c r="A462" s="214" t="s">
        <v>1166</v>
      </c>
      <c r="B462" s="213" t="s">
        <v>864</v>
      </c>
      <c r="C462" s="221" t="s">
        <v>863</v>
      </c>
      <c r="D462" s="221" t="s">
        <v>1157</v>
      </c>
      <c r="E462" s="221" t="s">
        <v>5134</v>
      </c>
      <c r="F462" s="213" t="s">
        <v>4703</v>
      </c>
      <c r="G462" s="213" t="s">
        <v>5135</v>
      </c>
      <c r="H462" s="213" t="s">
        <v>4705</v>
      </c>
      <c r="I462" s="213" t="s">
        <v>4706</v>
      </c>
      <c r="J462" s="213" t="s">
        <v>4707</v>
      </c>
      <c r="K462" s="213" t="s">
        <v>9506</v>
      </c>
      <c r="L462" s="213" t="s">
        <v>10757</v>
      </c>
      <c r="M462" s="213" t="s">
        <v>10108</v>
      </c>
      <c r="P462" s="121"/>
    </row>
    <row r="463" spans="1:16">
      <c r="A463" s="213" t="s">
        <v>1168</v>
      </c>
      <c r="B463" s="213" t="s">
        <v>864</v>
      </c>
      <c r="C463" s="221" t="s">
        <v>863</v>
      </c>
      <c r="D463" s="221" t="s">
        <v>1157</v>
      </c>
      <c r="E463" s="221" t="s">
        <v>5134</v>
      </c>
      <c r="F463" s="213" t="s">
        <v>4703</v>
      </c>
      <c r="G463" s="213" t="s">
        <v>5135</v>
      </c>
      <c r="H463" s="213" t="s">
        <v>4705</v>
      </c>
      <c r="I463" s="213" t="s">
        <v>4706</v>
      </c>
      <c r="J463" s="213" t="s">
        <v>4707</v>
      </c>
      <c r="K463" s="213" t="s">
        <v>9506</v>
      </c>
      <c r="L463" s="213" t="s">
        <v>10757</v>
      </c>
      <c r="M463" s="213" t="s">
        <v>10108</v>
      </c>
      <c r="P463" s="121"/>
    </row>
    <row r="464" spans="1:16">
      <c r="A464" s="213" t="s">
        <v>1169</v>
      </c>
      <c r="B464" s="213" t="s">
        <v>864</v>
      </c>
      <c r="C464" s="221" t="s">
        <v>863</v>
      </c>
      <c r="D464" s="221" t="s">
        <v>1157</v>
      </c>
      <c r="E464" s="221" t="s">
        <v>5134</v>
      </c>
      <c r="F464" s="213" t="s">
        <v>4703</v>
      </c>
      <c r="G464" s="213" t="s">
        <v>5135</v>
      </c>
      <c r="H464" s="213" t="s">
        <v>4705</v>
      </c>
      <c r="I464" s="213" t="s">
        <v>4706</v>
      </c>
      <c r="J464" s="213" t="s">
        <v>4707</v>
      </c>
      <c r="K464" s="213" t="s">
        <v>9506</v>
      </c>
      <c r="L464" s="213" t="s">
        <v>10757</v>
      </c>
      <c r="M464" s="213" t="s">
        <v>10108</v>
      </c>
      <c r="P464" s="121"/>
    </row>
    <row r="465" spans="1:16">
      <c r="A465" s="213" t="s">
        <v>1170</v>
      </c>
      <c r="B465" s="213" t="s">
        <v>864</v>
      </c>
      <c r="C465" s="221" t="s">
        <v>863</v>
      </c>
      <c r="D465" s="221" t="s">
        <v>1157</v>
      </c>
      <c r="E465" s="221" t="s">
        <v>5134</v>
      </c>
      <c r="F465" s="213" t="s">
        <v>4703</v>
      </c>
      <c r="G465" s="213" t="s">
        <v>5135</v>
      </c>
      <c r="H465" s="213" t="s">
        <v>4705</v>
      </c>
      <c r="I465" s="213" t="s">
        <v>4706</v>
      </c>
      <c r="J465" s="213" t="s">
        <v>4707</v>
      </c>
      <c r="K465" s="213" t="s">
        <v>9506</v>
      </c>
      <c r="L465" s="213" t="s">
        <v>10757</v>
      </c>
      <c r="M465" s="213" t="s">
        <v>10108</v>
      </c>
      <c r="P465" s="121"/>
    </row>
    <row r="466" spans="1:16">
      <c r="A466" s="213" t="s">
        <v>1171</v>
      </c>
      <c r="B466" s="227" t="s">
        <v>864</v>
      </c>
      <c r="C466" s="221" t="s">
        <v>863</v>
      </c>
      <c r="D466" s="221" t="s">
        <v>1157</v>
      </c>
      <c r="E466" s="221" t="s">
        <v>5134</v>
      </c>
      <c r="F466" s="213" t="s">
        <v>4703</v>
      </c>
      <c r="G466" s="213" t="s">
        <v>5135</v>
      </c>
      <c r="H466" s="213" t="s">
        <v>4705</v>
      </c>
      <c r="I466" s="213" t="s">
        <v>4706</v>
      </c>
      <c r="J466" s="213" t="s">
        <v>4707</v>
      </c>
      <c r="K466" s="213" t="s">
        <v>9506</v>
      </c>
      <c r="L466" s="213" t="s">
        <v>10757</v>
      </c>
      <c r="M466" s="213" t="s">
        <v>10108</v>
      </c>
      <c r="P466" s="121"/>
    </row>
    <row r="467" spans="1:16">
      <c r="A467" s="213" t="s">
        <v>1172</v>
      </c>
      <c r="B467" s="213" t="s">
        <v>864</v>
      </c>
      <c r="C467" s="221" t="s">
        <v>863</v>
      </c>
      <c r="D467" s="221" t="s">
        <v>1157</v>
      </c>
      <c r="E467" s="221" t="s">
        <v>5134</v>
      </c>
      <c r="F467" s="213" t="s">
        <v>4703</v>
      </c>
      <c r="G467" s="213" t="s">
        <v>5135</v>
      </c>
      <c r="H467" s="213" t="s">
        <v>4705</v>
      </c>
      <c r="I467" s="213" t="s">
        <v>4706</v>
      </c>
      <c r="J467" s="213" t="s">
        <v>4707</v>
      </c>
      <c r="K467" s="213" t="s">
        <v>9506</v>
      </c>
      <c r="L467" s="213" t="s">
        <v>10757</v>
      </c>
      <c r="M467" s="213" t="s">
        <v>10108</v>
      </c>
      <c r="P467" s="121"/>
    </row>
    <row r="468" spans="1:16">
      <c r="A468" s="213" t="s">
        <v>1174</v>
      </c>
      <c r="B468" s="213" t="s">
        <v>864</v>
      </c>
      <c r="C468" s="221" t="s">
        <v>863</v>
      </c>
      <c r="D468" s="221" t="s">
        <v>1157</v>
      </c>
      <c r="E468" s="221" t="s">
        <v>5134</v>
      </c>
      <c r="F468" s="213" t="s">
        <v>4703</v>
      </c>
      <c r="G468" s="213" t="s">
        <v>5135</v>
      </c>
      <c r="H468" s="213" t="s">
        <v>4705</v>
      </c>
      <c r="I468" s="213" t="s">
        <v>4706</v>
      </c>
      <c r="J468" s="213" t="s">
        <v>4707</v>
      </c>
      <c r="K468" s="213" t="s">
        <v>9506</v>
      </c>
      <c r="L468" s="213" t="s">
        <v>10757</v>
      </c>
      <c r="M468" s="213" t="s">
        <v>10108</v>
      </c>
      <c r="P468" s="121"/>
    </row>
    <row r="469" spans="1:16">
      <c r="A469" s="214" t="s">
        <v>1176</v>
      </c>
      <c r="B469" s="213" t="s">
        <v>864</v>
      </c>
      <c r="C469" s="221" t="s">
        <v>863</v>
      </c>
      <c r="D469" s="221" t="s">
        <v>1157</v>
      </c>
      <c r="E469" s="221" t="s">
        <v>5134</v>
      </c>
      <c r="F469" s="213" t="s">
        <v>4703</v>
      </c>
      <c r="G469" s="213" t="s">
        <v>5135</v>
      </c>
      <c r="H469" s="213" t="s">
        <v>4705</v>
      </c>
      <c r="I469" s="213" t="s">
        <v>4706</v>
      </c>
      <c r="J469" s="213" t="s">
        <v>4707</v>
      </c>
      <c r="K469" s="213" t="s">
        <v>9506</v>
      </c>
      <c r="L469" s="213" t="s">
        <v>10757</v>
      </c>
      <c r="M469" s="213" t="s">
        <v>10108</v>
      </c>
      <c r="P469" s="121"/>
    </row>
    <row r="470" spans="1:16">
      <c r="A470" s="213" t="s">
        <v>1178</v>
      </c>
      <c r="B470" s="213" t="s">
        <v>864</v>
      </c>
      <c r="C470" s="221" t="s">
        <v>863</v>
      </c>
      <c r="D470" s="221" t="s">
        <v>1157</v>
      </c>
      <c r="E470" s="221" t="s">
        <v>5134</v>
      </c>
      <c r="F470" s="213" t="s">
        <v>4703</v>
      </c>
      <c r="G470" s="213" t="s">
        <v>5135</v>
      </c>
      <c r="H470" s="213" t="s">
        <v>4705</v>
      </c>
      <c r="I470" s="213" t="s">
        <v>4706</v>
      </c>
      <c r="J470" s="213" t="s">
        <v>4707</v>
      </c>
      <c r="K470" s="213" t="s">
        <v>9506</v>
      </c>
      <c r="L470" s="213" t="s">
        <v>10757</v>
      </c>
      <c r="M470" s="213" t="s">
        <v>10108</v>
      </c>
      <c r="P470" s="121"/>
    </row>
    <row r="471" spans="1:16">
      <c r="A471" s="213" t="s">
        <v>1179</v>
      </c>
      <c r="B471" s="213" t="s">
        <v>1148</v>
      </c>
      <c r="C471" s="221" t="s">
        <v>1181</v>
      </c>
      <c r="D471" s="221" t="s">
        <v>1155</v>
      </c>
      <c r="E471" s="221" t="s">
        <v>5122</v>
      </c>
      <c r="F471" s="213" t="s">
        <v>5136</v>
      </c>
      <c r="G471" s="213" t="s">
        <v>5124</v>
      </c>
      <c r="H471" s="213" t="s">
        <v>5125</v>
      </c>
      <c r="I471" s="213" t="s">
        <v>5126</v>
      </c>
      <c r="J471" s="213" t="s">
        <v>5127</v>
      </c>
      <c r="K471" s="213" t="s">
        <v>9526</v>
      </c>
      <c r="L471" s="213" t="s">
        <v>10824</v>
      </c>
      <c r="M471" s="213" t="s">
        <v>10177</v>
      </c>
      <c r="P471" s="121"/>
    </row>
    <row r="472" spans="1:16">
      <c r="A472" s="213" t="s">
        <v>2530</v>
      </c>
      <c r="B472" s="213" t="s">
        <v>1185</v>
      </c>
      <c r="C472" s="221" t="s">
        <v>1184</v>
      </c>
      <c r="D472" s="221" t="s">
        <v>1186</v>
      </c>
      <c r="E472" s="221" t="s">
        <v>5137</v>
      </c>
      <c r="F472" s="213" t="s">
        <v>5138</v>
      </c>
      <c r="G472" s="213" t="s">
        <v>5139</v>
      </c>
      <c r="H472" s="213" t="s">
        <v>5140</v>
      </c>
      <c r="I472" s="213" t="s">
        <v>5141</v>
      </c>
      <c r="J472" s="213" t="s">
        <v>5142</v>
      </c>
      <c r="K472" s="213" t="s">
        <v>9528</v>
      </c>
      <c r="L472" s="213" t="s">
        <v>10826</v>
      </c>
      <c r="M472" s="213" t="s">
        <v>10178</v>
      </c>
      <c r="P472" s="121"/>
    </row>
    <row r="473" spans="1:16">
      <c r="A473" s="214" t="s">
        <v>1182</v>
      </c>
      <c r="B473" s="213" t="s">
        <v>1185</v>
      </c>
      <c r="C473" s="221" t="s">
        <v>1184</v>
      </c>
      <c r="D473" s="221" t="s">
        <v>1186</v>
      </c>
      <c r="E473" s="221" t="s">
        <v>5137</v>
      </c>
      <c r="F473" s="213" t="s">
        <v>5138</v>
      </c>
      <c r="G473" s="213" t="s">
        <v>5139</v>
      </c>
      <c r="H473" s="213" t="s">
        <v>5140</v>
      </c>
      <c r="I473" s="213" t="s">
        <v>5141</v>
      </c>
      <c r="J473" s="213" t="s">
        <v>5142</v>
      </c>
      <c r="K473" s="213" t="s">
        <v>9528</v>
      </c>
      <c r="L473" s="213" t="s">
        <v>10826</v>
      </c>
      <c r="M473" s="213" t="s">
        <v>10178</v>
      </c>
      <c r="P473" s="121"/>
    </row>
    <row r="474" spans="1:16">
      <c r="A474" s="214" t="s">
        <v>1187</v>
      </c>
      <c r="B474" s="213" t="s">
        <v>1185</v>
      </c>
      <c r="C474" s="221" t="s">
        <v>1184</v>
      </c>
      <c r="D474" s="221" t="s">
        <v>1186</v>
      </c>
      <c r="E474" s="221" t="s">
        <v>5137</v>
      </c>
      <c r="F474" s="213" t="s">
        <v>5138</v>
      </c>
      <c r="G474" s="213" t="s">
        <v>5139</v>
      </c>
      <c r="H474" s="213" t="s">
        <v>5140</v>
      </c>
      <c r="I474" s="213" t="s">
        <v>5141</v>
      </c>
      <c r="J474" s="213" t="s">
        <v>5142</v>
      </c>
      <c r="K474" s="222" t="s">
        <v>9528</v>
      </c>
      <c r="L474" s="213" t="s">
        <v>10826</v>
      </c>
      <c r="M474" s="213" t="s">
        <v>10178</v>
      </c>
      <c r="P474" s="121"/>
    </row>
    <row r="475" spans="1:16">
      <c r="A475" s="213" t="s">
        <v>1189</v>
      </c>
      <c r="B475" s="213" t="s">
        <v>1185</v>
      </c>
      <c r="C475" s="221" t="s">
        <v>1184</v>
      </c>
      <c r="D475" s="221" t="s">
        <v>1186</v>
      </c>
      <c r="E475" s="221" t="s">
        <v>5137</v>
      </c>
      <c r="F475" s="213" t="s">
        <v>5138</v>
      </c>
      <c r="G475" s="213" t="s">
        <v>5139</v>
      </c>
      <c r="H475" s="213" t="s">
        <v>5140</v>
      </c>
      <c r="I475" s="213" t="s">
        <v>5141</v>
      </c>
      <c r="J475" s="213" t="s">
        <v>5142</v>
      </c>
      <c r="K475" s="222" t="s">
        <v>9528</v>
      </c>
      <c r="L475" s="213" t="s">
        <v>10826</v>
      </c>
      <c r="M475" s="213" t="s">
        <v>10178</v>
      </c>
      <c r="P475" s="121"/>
    </row>
    <row r="476" spans="1:16">
      <c r="A476" s="213" t="s">
        <v>1191</v>
      </c>
      <c r="B476" s="213" t="s">
        <v>1185</v>
      </c>
      <c r="C476" s="221" t="s">
        <v>1184</v>
      </c>
      <c r="D476" s="221" t="s">
        <v>1186</v>
      </c>
      <c r="E476" s="221" t="s">
        <v>5137</v>
      </c>
      <c r="F476" s="213" t="s">
        <v>5138</v>
      </c>
      <c r="G476" s="213" t="s">
        <v>5139</v>
      </c>
      <c r="H476" s="213" t="s">
        <v>5140</v>
      </c>
      <c r="I476" s="213" t="s">
        <v>5141</v>
      </c>
      <c r="J476" s="213" t="s">
        <v>5142</v>
      </c>
      <c r="K476" s="222" t="s">
        <v>9528</v>
      </c>
      <c r="L476" s="213" t="s">
        <v>10826</v>
      </c>
      <c r="M476" s="213" t="s">
        <v>10178</v>
      </c>
      <c r="P476" s="121"/>
    </row>
    <row r="477" spans="1:16">
      <c r="A477" s="214" t="s">
        <v>1192</v>
      </c>
      <c r="B477" s="213" t="s">
        <v>1185</v>
      </c>
      <c r="C477" s="221" t="s">
        <v>1184</v>
      </c>
      <c r="D477" s="221" t="s">
        <v>1186</v>
      </c>
      <c r="E477" s="221" t="s">
        <v>5137</v>
      </c>
      <c r="F477" s="213" t="s">
        <v>5138</v>
      </c>
      <c r="G477" s="213" t="s">
        <v>5139</v>
      </c>
      <c r="H477" s="213" t="s">
        <v>5140</v>
      </c>
      <c r="I477" s="213" t="s">
        <v>5141</v>
      </c>
      <c r="J477" s="213" t="s">
        <v>5142</v>
      </c>
      <c r="K477" s="213" t="s">
        <v>9528</v>
      </c>
      <c r="L477" s="213" t="s">
        <v>10826</v>
      </c>
      <c r="M477" s="213" t="s">
        <v>10178</v>
      </c>
      <c r="P477" s="121"/>
    </row>
    <row r="478" spans="1:16">
      <c r="A478" s="213" t="s">
        <v>1193</v>
      </c>
      <c r="B478" s="213" t="s">
        <v>1195</v>
      </c>
      <c r="C478" s="221" t="s">
        <v>1194</v>
      </c>
      <c r="D478" s="221" t="s">
        <v>1196</v>
      </c>
      <c r="E478" s="221" t="s">
        <v>5143</v>
      </c>
      <c r="F478" s="213" t="s">
        <v>5144</v>
      </c>
      <c r="G478" s="213" t="s">
        <v>5145</v>
      </c>
      <c r="H478" s="213" t="s">
        <v>5146</v>
      </c>
      <c r="I478" s="213" t="s">
        <v>5147</v>
      </c>
      <c r="J478" s="213" t="s">
        <v>5148</v>
      </c>
      <c r="K478" s="213" t="s">
        <v>9529</v>
      </c>
      <c r="L478" s="213" t="s">
        <v>10827</v>
      </c>
      <c r="M478" s="213" t="s">
        <v>10179</v>
      </c>
      <c r="P478" s="121"/>
    </row>
    <row r="479" spans="1:16">
      <c r="A479" s="213" t="s">
        <v>1197</v>
      </c>
      <c r="B479" s="213" t="s">
        <v>870</v>
      </c>
      <c r="C479" s="221" t="s">
        <v>869</v>
      </c>
      <c r="D479" s="221" t="s">
        <v>1076</v>
      </c>
      <c r="E479" s="221" t="s">
        <v>5149</v>
      </c>
      <c r="F479" s="213" t="s">
        <v>4709</v>
      </c>
      <c r="G479" s="213" t="s">
        <v>5150</v>
      </c>
      <c r="H479" s="213" t="s">
        <v>4711</v>
      </c>
      <c r="I479" s="213" t="s">
        <v>4712</v>
      </c>
      <c r="J479" s="213" t="s">
        <v>4713</v>
      </c>
      <c r="K479" s="213" t="s">
        <v>9507</v>
      </c>
      <c r="L479" s="213" t="s">
        <v>10758</v>
      </c>
      <c r="M479" s="213" t="s">
        <v>10109</v>
      </c>
      <c r="P479" s="121"/>
    </row>
    <row r="480" spans="1:16">
      <c r="A480" s="213" t="s">
        <v>1199</v>
      </c>
      <c r="B480" s="213" t="s">
        <v>870</v>
      </c>
      <c r="C480" s="221" t="s">
        <v>869</v>
      </c>
      <c r="D480" s="221" t="s">
        <v>1076</v>
      </c>
      <c r="E480" s="221" t="s">
        <v>5149</v>
      </c>
      <c r="F480" s="213" t="s">
        <v>4709</v>
      </c>
      <c r="G480" s="213" t="s">
        <v>5150</v>
      </c>
      <c r="H480" s="213" t="s">
        <v>4711</v>
      </c>
      <c r="I480" s="213" t="s">
        <v>4712</v>
      </c>
      <c r="J480" s="213" t="s">
        <v>4713</v>
      </c>
      <c r="K480" s="213" t="s">
        <v>9507</v>
      </c>
      <c r="L480" s="213" t="s">
        <v>10758</v>
      </c>
      <c r="M480" s="213" t="s">
        <v>10109</v>
      </c>
      <c r="P480" s="121"/>
    </row>
    <row r="481" spans="1:16">
      <c r="A481" s="213" t="s">
        <v>1201</v>
      </c>
      <c r="B481" s="213" t="s">
        <v>870</v>
      </c>
      <c r="C481" s="221" t="s">
        <v>869</v>
      </c>
      <c r="D481" s="221" t="s">
        <v>1076</v>
      </c>
      <c r="E481" s="221" t="s">
        <v>5149</v>
      </c>
      <c r="F481" s="213" t="s">
        <v>4709</v>
      </c>
      <c r="G481" s="213" t="s">
        <v>5150</v>
      </c>
      <c r="H481" s="213" t="s">
        <v>4711</v>
      </c>
      <c r="I481" s="213" t="s">
        <v>4712</v>
      </c>
      <c r="J481" s="213" t="s">
        <v>4713</v>
      </c>
      <c r="K481" s="213" t="s">
        <v>9507</v>
      </c>
      <c r="L481" s="213" t="s">
        <v>10758</v>
      </c>
      <c r="M481" s="213" t="s">
        <v>10109</v>
      </c>
      <c r="P481" s="121"/>
    </row>
    <row r="482" spans="1:16">
      <c r="A482" s="213" t="s">
        <v>1202</v>
      </c>
      <c r="B482" s="213" t="s">
        <v>870</v>
      </c>
      <c r="C482" s="221" t="s">
        <v>869</v>
      </c>
      <c r="D482" s="221" t="s">
        <v>1076</v>
      </c>
      <c r="E482" s="221" t="s">
        <v>5149</v>
      </c>
      <c r="F482" s="213" t="s">
        <v>4709</v>
      </c>
      <c r="G482" s="213" t="s">
        <v>5150</v>
      </c>
      <c r="H482" s="213" t="s">
        <v>4711</v>
      </c>
      <c r="I482" s="213" t="s">
        <v>4712</v>
      </c>
      <c r="J482" s="213" t="s">
        <v>4713</v>
      </c>
      <c r="K482" s="213" t="s">
        <v>9507</v>
      </c>
      <c r="L482" s="213" t="s">
        <v>10758</v>
      </c>
      <c r="M482" s="213" t="s">
        <v>10109</v>
      </c>
      <c r="P482" s="121"/>
    </row>
    <row r="483" spans="1:16">
      <c r="A483" s="213" t="s">
        <v>1203</v>
      </c>
      <c r="B483" s="213" t="s">
        <v>870</v>
      </c>
      <c r="C483" s="221" t="s">
        <v>869</v>
      </c>
      <c r="D483" s="221" t="s">
        <v>1076</v>
      </c>
      <c r="E483" s="221" t="s">
        <v>5149</v>
      </c>
      <c r="F483" s="213" t="s">
        <v>4709</v>
      </c>
      <c r="G483" s="213" t="s">
        <v>5150</v>
      </c>
      <c r="H483" s="213" t="s">
        <v>4711</v>
      </c>
      <c r="I483" s="213" t="s">
        <v>4712</v>
      </c>
      <c r="J483" s="213" t="s">
        <v>4713</v>
      </c>
      <c r="K483" s="213" t="s">
        <v>9507</v>
      </c>
      <c r="L483" s="213" t="s">
        <v>10758</v>
      </c>
      <c r="M483" s="213" t="s">
        <v>10109</v>
      </c>
      <c r="P483" s="121"/>
    </row>
    <row r="484" spans="1:16">
      <c r="A484" s="213" t="s">
        <v>1204</v>
      </c>
      <c r="B484" s="213" t="s">
        <v>1092</v>
      </c>
      <c r="C484" s="221" t="s">
        <v>1075</v>
      </c>
      <c r="D484" s="221" t="s">
        <v>1093</v>
      </c>
      <c r="E484" s="221" t="s">
        <v>5073</v>
      </c>
      <c r="F484" s="213" t="s">
        <v>5074</v>
      </c>
      <c r="G484" s="213" t="s">
        <v>5075</v>
      </c>
      <c r="H484" s="213" t="s">
        <v>5076</v>
      </c>
      <c r="I484" s="213" t="s">
        <v>5077</v>
      </c>
      <c r="J484" s="213" t="s">
        <v>5151</v>
      </c>
      <c r="K484" s="213" t="s">
        <v>9519</v>
      </c>
      <c r="L484" s="213" t="s">
        <v>10817</v>
      </c>
      <c r="M484" s="213" t="s">
        <v>10169</v>
      </c>
      <c r="P484" s="121"/>
    </row>
    <row r="485" spans="1:16">
      <c r="A485" s="213" t="s">
        <v>1205</v>
      </c>
      <c r="B485" s="213" t="s">
        <v>1092</v>
      </c>
      <c r="C485" s="221" t="s">
        <v>1075</v>
      </c>
      <c r="D485" s="221" t="s">
        <v>1093</v>
      </c>
      <c r="E485" s="221" t="s">
        <v>5073</v>
      </c>
      <c r="F485" s="213" t="s">
        <v>5074</v>
      </c>
      <c r="G485" s="213" t="s">
        <v>5075</v>
      </c>
      <c r="H485" s="213" t="s">
        <v>5076</v>
      </c>
      <c r="I485" s="213" t="s">
        <v>5077</v>
      </c>
      <c r="J485" s="213" t="s">
        <v>5151</v>
      </c>
      <c r="K485" s="213" t="s">
        <v>9519</v>
      </c>
      <c r="L485" s="213" t="s">
        <v>10817</v>
      </c>
      <c r="M485" s="213" t="s">
        <v>10169</v>
      </c>
      <c r="P485" s="121"/>
    </row>
    <row r="486" spans="1:16">
      <c r="A486" s="213" t="s">
        <v>1207</v>
      </c>
      <c r="B486" s="213" t="s">
        <v>1092</v>
      </c>
      <c r="C486" s="221" t="s">
        <v>1075</v>
      </c>
      <c r="D486" s="221" t="s">
        <v>1093</v>
      </c>
      <c r="E486" s="221" t="s">
        <v>5073</v>
      </c>
      <c r="F486" s="213" t="s">
        <v>5074</v>
      </c>
      <c r="G486" s="213" t="s">
        <v>5075</v>
      </c>
      <c r="H486" s="213" t="s">
        <v>5076</v>
      </c>
      <c r="I486" s="213" t="s">
        <v>5077</v>
      </c>
      <c r="J486" s="213" t="s">
        <v>5151</v>
      </c>
      <c r="K486" s="213" t="s">
        <v>9519</v>
      </c>
      <c r="L486" s="213" t="s">
        <v>10817</v>
      </c>
      <c r="M486" s="213" t="s">
        <v>10169</v>
      </c>
      <c r="P486" s="121"/>
    </row>
    <row r="487" spans="1:16">
      <c r="A487" s="213" t="s">
        <v>1209</v>
      </c>
      <c r="B487" s="213" t="s">
        <v>1092</v>
      </c>
      <c r="C487" s="221" t="s">
        <v>1075</v>
      </c>
      <c r="D487" s="221" t="s">
        <v>1093</v>
      </c>
      <c r="E487" s="221" t="s">
        <v>5073</v>
      </c>
      <c r="F487" s="213" t="s">
        <v>5074</v>
      </c>
      <c r="G487" s="213" t="s">
        <v>5075</v>
      </c>
      <c r="H487" s="213" t="s">
        <v>5076</v>
      </c>
      <c r="I487" s="213" t="s">
        <v>5077</v>
      </c>
      <c r="J487" s="213" t="s">
        <v>5151</v>
      </c>
      <c r="K487" s="213" t="s">
        <v>9519</v>
      </c>
      <c r="L487" s="213" t="s">
        <v>10817</v>
      </c>
      <c r="M487" s="213" t="s">
        <v>10169</v>
      </c>
      <c r="P487" s="121"/>
    </row>
    <row r="488" spans="1:16">
      <c r="A488" s="213" t="s">
        <v>1210</v>
      </c>
      <c r="B488" s="213" t="s">
        <v>1092</v>
      </c>
      <c r="C488" s="221" t="s">
        <v>1075</v>
      </c>
      <c r="D488" s="221" t="s">
        <v>1093</v>
      </c>
      <c r="E488" s="221" t="s">
        <v>5073</v>
      </c>
      <c r="F488" s="213" t="s">
        <v>5074</v>
      </c>
      <c r="G488" s="213" t="s">
        <v>5075</v>
      </c>
      <c r="H488" s="213" t="s">
        <v>5076</v>
      </c>
      <c r="I488" s="213" t="s">
        <v>5077</v>
      </c>
      <c r="J488" s="213" t="s">
        <v>5151</v>
      </c>
      <c r="K488" s="213" t="s">
        <v>9519</v>
      </c>
      <c r="L488" s="213" t="s">
        <v>10817</v>
      </c>
      <c r="M488" s="213" t="s">
        <v>10169</v>
      </c>
      <c r="P488" s="121"/>
    </row>
    <row r="489" spans="1:16">
      <c r="A489" s="213" t="s">
        <v>5152</v>
      </c>
      <c r="B489" s="213" t="s">
        <v>1092</v>
      </c>
      <c r="C489" s="221" t="s">
        <v>1075</v>
      </c>
      <c r="D489" s="221" t="s">
        <v>1093</v>
      </c>
      <c r="E489" s="221" t="s">
        <v>5073</v>
      </c>
      <c r="F489" s="213" t="s">
        <v>5074</v>
      </c>
      <c r="G489" s="213" t="s">
        <v>5075</v>
      </c>
      <c r="H489" s="213" t="s">
        <v>5076</v>
      </c>
      <c r="I489" s="213" t="s">
        <v>5077</v>
      </c>
      <c r="J489" s="213" t="s">
        <v>5153</v>
      </c>
      <c r="K489" s="213" t="s">
        <v>9519</v>
      </c>
      <c r="L489" s="213" t="s">
        <v>10817</v>
      </c>
      <c r="M489" s="213" t="s">
        <v>10169</v>
      </c>
      <c r="P489" s="121"/>
    </row>
    <row r="490" spans="1:16">
      <c r="A490" s="213" t="s">
        <v>1211</v>
      </c>
      <c r="B490" s="213" t="s">
        <v>1092</v>
      </c>
      <c r="C490" s="221" t="s">
        <v>1075</v>
      </c>
      <c r="D490" s="221" t="s">
        <v>1093</v>
      </c>
      <c r="E490" s="221" t="s">
        <v>5073</v>
      </c>
      <c r="F490" s="213" t="s">
        <v>5074</v>
      </c>
      <c r="G490" s="213" t="s">
        <v>5075</v>
      </c>
      <c r="H490" s="213" t="s">
        <v>5076</v>
      </c>
      <c r="I490" s="213" t="s">
        <v>5077</v>
      </c>
      <c r="J490" s="213" t="s">
        <v>5151</v>
      </c>
      <c r="K490" s="213" t="s">
        <v>9519</v>
      </c>
      <c r="L490" s="213" t="s">
        <v>10817</v>
      </c>
      <c r="M490" s="213" t="s">
        <v>10169</v>
      </c>
      <c r="P490" s="121"/>
    </row>
    <row r="491" spans="1:16">
      <c r="A491" s="213" t="s">
        <v>2531</v>
      </c>
      <c r="B491" s="213" t="s">
        <v>1092</v>
      </c>
      <c r="C491" s="221" t="s">
        <v>1075</v>
      </c>
      <c r="D491" s="221" t="s">
        <v>1093</v>
      </c>
      <c r="E491" s="221" t="s">
        <v>5073</v>
      </c>
      <c r="F491" s="213" t="s">
        <v>5074</v>
      </c>
      <c r="G491" s="213" t="s">
        <v>5075</v>
      </c>
      <c r="H491" s="213" t="s">
        <v>5076</v>
      </c>
      <c r="I491" s="213" t="s">
        <v>5077</v>
      </c>
      <c r="J491" s="213" t="s">
        <v>5151</v>
      </c>
      <c r="K491" s="213" t="s">
        <v>9519</v>
      </c>
      <c r="L491" s="213" t="s">
        <v>10817</v>
      </c>
      <c r="M491" s="213" t="s">
        <v>10169</v>
      </c>
      <c r="P491" s="121"/>
    </row>
    <row r="492" spans="1:16">
      <c r="A492" s="213" t="s">
        <v>2532</v>
      </c>
      <c r="B492" s="213" t="s">
        <v>1092</v>
      </c>
      <c r="C492" s="221" t="s">
        <v>1075</v>
      </c>
      <c r="D492" s="221" t="s">
        <v>1093</v>
      </c>
      <c r="E492" s="221" t="s">
        <v>5073</v>
      </c>
      <c r="F492" s="213" t="s">
        <v>5074</v>
      </c>
      <c r="G492" s="213" t="s">
        <v>5075</v>
      </c>
      <c r="H492" s="213" t="s">
        <v>5076</v>
      </c>
      <c r="I492" s="213" t="s">
        <v>5077</v>
      </c>
      <c r="J492" s="213" t="s">
        <v>5151</v>
      </c>
      <c r="K492" s="213" t="s">
        <v>9519</v>
      </c>
      <c r="L492" s="213" t="s">
        <v>10817</v>
      </c>
      <c r="M492" s="213" t="s">
        <v>10169</v>
      </c>
      <c r="P492" s="121"/>
    </row>
    <row r="493" spans="1:16">
      <c r="A493" s="213" t="s">
        <v>5154</v>
      </c>
      <c r="B493" s="213" t="s">
        <v>1092</v>
      </c>
      <c r="C493" s="221" t="s">
        <v>1075</v>
      </c>
      <c r="D493" s="221" t="s">
        <v>1093</v>
      </c>
      <c r="E493" s="221" t="s">
        <v>5073</v>
      </c>
      <c r="F493" s="213" t="s">
        <v>5074</v>
      </c>
      <c r="G493" s="213" t="s">
        <v>5075</v>
      </c>
      <c r="H493" s="213" t="s">
        <v>5076</v>
      </c>
      <c r="I493" s="213" t="s">
        <v>5077</v>
      </c>
      <c r="J493" s="213" t="s">
        <v>5151</v>
      </c>
      <c r="K493" s="213" t="s">
        <v>9519</v>
      </c>
      <c r="L493" s="213" t="s">
        <v>10817</v>
      </c>
      <c r="M493" s="213" t="s">
        <v>10169</v>
      </c>
      <c r="P493" s="121"/>
    </row>
    <row r="494" spans="1:16">
      <c r="A494" s="213" t="s">
        <v>2533</v>
      </c>
      <c r="B494" s="213" t="s">
        <v>1092</v>
      </c>
      <c r="C494" s="221" t="s">
        <v>1075</v>
      </c>
      <c r="D494" s="221" t="s">
        <v>1093</v>
      </c>
      <c r="E494" s="221" t="s">
        <v>5073</v>
      </c>
      <c r="F494" s="213" t="s">
        <v>5074</v>
      </c>
      <c r="G494" s="213" t="s">
        <v>5075</v>
      </c>
      <c r="H494" s="213" t="s">
        <v>5076</v>
      </c>
      <c r="I494" s="213" t="s">
        <v>5077</v>
      </c>
      <c r="J494" s="213" t="s">
        <v>5151</v>
      </c>
      <c r="K494" s="213" t="s">
        <v>9519</v>
      </c>
      <c r="L494" s="213" t="s">
        <v>10817</v>
      </c>
      <c r="M494" s="213" t="s">
        <v>10169</v>
      </c>
      <c r="P494" s="121"/>
    </row>
    <row r="495" spans="1:16">
      <c r="A495" s="213" t="s">
        <v>1212</v>
      </c>
      <c r="B495" s="213" t="s">
        <v>1215</v>
      </c>
      <c r="C495" s="221" t="s">
        <v>1214</v>
      </c>
      <c r="D495" s="221" t="s">
        <v>1216</v>
      </c>
      <c r="E495" s="221" t="s">
        <v>5156</v>
      </c>
      <c r="F495" s="213" t="s">
        <v>5157</v>
      </c>
      <c r="G495" s="213" t="s">
        <v>5158</v>
      </c>
      <c r="H495" s="213" t="s">
        <v>5159</v>
      </c>
      <c r="I495" s="213" t="s">
        <v>5160</v>
      </c>
      <c r="J495" s="213" t="s">
        <v>5161</v>
      </c>
      <c r="K495" s="213" t="s">
        <v>9530</v>
      </c>
      <c r="L495" s="213" t="s">
        <v>10828</v>
      </c>
      <c r="M495" s="213" t="s">
        <v>10180</v>
      </c>
      <c r="P495" s="121"/>
    </row>
    <row r="496" spans="1:16">
      <c r="A496" s="213" t="s">
        <v>1217</v>
      </c>
      <c r="B496" s="213" t="s">
        <v>1092</v>
      </c>
      <c r="C496" s="221" t="s">
        <v>1075</v>
      </c>
      <c r="D496" s="221" t="s">
        <v>1093</v>
      </c>
      <c r="E496" s="221" t="s">
        <v>5073</v>
      </c>
      <c r="F496" s="213" t="s">
        <v>5074</v>
      </c>
      <c r="G496" s="213" t="s">
        <v>5075</v>
      </c>
      <c r="H496" s="213" t="s">
        <v>5076</v>
      </c>
      <c r="I496" s="213" t="s">
        <v>5077</v>
      </c>
      <c r="J496" s="213" t="s">
        <v>5151</v>
      </c>
      <c r="K496" s="213" t="s">
        <v>9519</v>
      </c>
      <c r="L496" s="213" t="s">
        <v>10817</v>
      </c>
      <c r="M496" s="213" t="s">
        <v>10169</v>
      </c>
      <c r="P496" s="121"/>
    </row>
    <row r="497" spans="1:16">
      <c r="A497" s="213" t="s">
        <v>2534</v>
      </c>
      <c r="B497" s="213" t="s">
        <v>1222</v>
      </c>
      <c r="C497" s="221" t="s">
        <v>1221</v>
      </c>
      <c r="D497" s="221" t="s">
        <v>1223</v>
      </c>
      <c r="E497" s="221" t="s">
        <v>5162</v>
      </c>
      <c r="F497" s="213" t="s">
        <v>5163</v>
      </c>
      <c r="G497" s="213" t="s">
        <v>5164</v>
      </c>
      <c r="H497" s="213" t="s">
        <v>5165</v>
      </c>
      <c r="I497" s="213" t="s">
        <v>5166</v>
      </c>
      <c r="J497" s="213" t="s">
        <v>5167</v>
      </c>
      <c r="K497" s="213" t="s">
        <v>9531</v>
      </c>
      <c r="L497" s="213" t="s">
        <v>10829</v>
      </c>
      <c r="M497" s="213" t="s">
        <v>10181</v>
      </c>
      <c r="P497" s="121"/>
    </row>
    <row r="498" spans="1:16">
      <c r="A498" s="213" t="s">
        <v>1219</v>
      </c>
      <c r="B498" s="213" t="s">
        <v>1222</v>
      </c>
      <c r="C498" s="221" t="s">
        <v>1221</v>
      </c>
      <c r="D498" s="221" t="s">
        <v>1223</v>
      </c>
      <c r="E498" s="221" t="s">
        <v>5162</v>
      </c>
      <c r="F498" s="213" t="s">
        <v>5163</v>
      </c>
      <c r="G498" s="213" t="s">
        <v>5164</v>
      </c>
      <c r="H498" s="213" t="s">
        <v>5165</v>
      </c>
      <c r="I498" s="213" t="s">
        <v>5166</v>
      </c>
      <c r="J498" s="213" t="s">
        <v>5167</v>
      </c>
      <c r="K498" s="213" t="s">
        <v>9531</v>
      </c>
      <c r="L498" s="213" t="s">
        <v>10829</v>
      </c>
      <c r="M498" s="213" t="s">
        <v>10181</v>
      </c>
      <c r="P498" s="121"/>
    </row>
    <row r="499" spans="1:16">
      <c r="A499" s="213" t="s">
        <v>1224</v>
      </c>
      <c r="B499" s="213" t="s">
        <v>1222</v>
      </c>
      <c r="C499" s="221" t="s">
        <v>1221</v>
      </c>
      <c r="D499" s="221" t="s">
        <v>1223</v>
      </c>
      <c r="E499" s="221" t="s">
        <v>5162</v>
      </c>
      <c r="F499" s="213" t="s">
        <v>5163</v>
      </c>
      <c r="G499" s="213" t="s">
        <v>5164</v>
      </c>
      <c r="H499" s="213" t="s">
        <v>5165</v>
      </c>
      <c r="I499" s="213" t="s">
        <v>5166</v>
      </c>
      <c r="J499" s="213" t="s">
        <v>5167</v>
      </c>
      <c r="K499" s="213" t="s">
        <v>9531</v>
      </c>
      <c r="L499" s="213" t="s">
        <v>10829</v>
      </c>
      <c r="M499" s="213" t="s">
        <v>10181</v>
      </c>
      <c r="P499" s="121"/>
    </row>
    <row r="500" spans="1:16">
      <c r="A500" s="213" t="s">
        <v>1225</v>
      </c>
      <c r="B500" s="213" t="s">
        <v>1227</v>
      </c>
      <c r="C500" s="221" t="s">
        <v>1226</v>
      </c>
      <c r="D500" s="221" t="s">
        <v>1228</v>
      </c>
      <c r="E500" s="221" t="s">
        <v>5168</v>
      </c>
      <c r="F500" s="213" t="s">
        <v>5169</v>
      </c>
      <c r="G500" s="213" t="s">
        <v>5170</v>
      </c>
      <c r="H500" s="213" t="s">
        <v>5171</v>
      </c>
      <c r="I500" s="213" t="s">
        <v>5172</v>
      </c>
      <c r="J500" s="213" t="s">
        <v>5173</v>
      </c>
      <c r="K500" s="213" t="s">
        <v>9532</v>
      </c>
      <c r="L500" s="213" t="s">
        <v>10830</v>
      </c>
      <c r="M500" s="213" t="s">
        <v>10182</v>
      </c>
      <c r="P500" s="121"/>
    </row>
    <row r="501" spans="1:16">
      <c r="A501" s="213" t="s">
        <v>1229</v>
      </c>
      <c r="B501" s="213" t="s">
        <v>1227</v>
      </c>
      <c r="C501" s="221" t="s">
        <v>1226</v>
      </c>
      <c r="D501" s="221" t="s">
        <v>1228</v>
      </c>
      <c r="E501" s="221" t="s">
        <v>5168</v>
      </c>
      <c r="F501" s="213" t="s">
        <v>5169</v>
      </c>
      <c r="G501" s="213" t="s">
        <v>5170</v>
      </c>
      <c r="H501" s="213" t="s">
        <v>5171</v>
      </c>
      <c r="I501" s="213" t="s">
        <v>5172</v>
      </c>
      <c r="J501" s="213" t="s">
        <v>5173</v>
      </c>
      <c r="K501" s="222" t="s">
        <v>9532</v>
      </c>
      <c r="L501" s="213" t="s">
        <v>10830</v>
      </c>
      <c r="M501" s="213" t="s">
        <v>10182</v>
      </c>
      <c r="P501" s="121"/>
    </row>
    <row r="502" spans="1:16">
      <c r="A502" s="213" t="s">
        <v>1232</v>
      </c>
      <c r="B502" s="213" t="s">
        <v>1234</v>
      </c>
      <c r="C502" s="221" t="s">
        <v>1233</v>
      </c>
      <c r="D502" s="221" t="s">
        <v>1235</v>
      </c>
      <c r="E502" s="221" t="s">
        <v>5079</v>
      </c>
      <c r="F502" s="213" t="s">
        <v>5080</v>
      </c>
      <c r="G502" s="213" t="s">
        <v>5081</v>
      </c>
      <c r="H502" s="213" t="s">
        <v>5082</v>
      </c>
      <c r="I502" s="213" t="s">
        <v>5083</v>
      </c>
      <c r="J502" s="213" t="s">
        <v>5174</v>
      </c>
      <c r="K502" s="213" t="s">
        <v>9520</v>
      </c>
      <c r="L502" s="213" t="s">
        <v>10818</v>
      </c>
      <c r="M502" s="213" t="s">
        <v>10170</v>
      </c>
      <c r="P502" s="121"/>
    </row>
    <row r="503" spans="1:16">
      <c r="A503" s="213" t="s">
        <v>1236</v>
      </c>
      <c r="B503" s="213" t="s">
        <v>1234</v>
      </c>
      <c r="C503" s="221" t="s">
        <v>1233</v>
      </c>
      <c r="D503" s="221" t="s">
        <v>1235</v>
      </c>
      <c r="E503" s="221" t="s">
        <v>5079</v>
      </c>
      <c r="F503" s="213" t="s">
        <v>5080</v>
      </c>
      <c r="G503" s="213" t="s">
        <v>5081</v>
      </c>
      <c r="H503" s="213" t="s">
        <v>5082</v>
      </c>
      <c r="I503" s="213" t="s">
        <v>5083</v>
      </c>
      <c r="J503" s="213" t="s">
        <v>5174</v>
      </c>
      <c r="K503" s="213" t="s">
        <v>9520</v>
      </c>
      <c r="L503" s="213" t="s">
        <v>10818</v>
      </c>
      <c r="M503" s="213" t="s">
        <v>10170</v>
      </c>
      <c r="P503" s="121"/>
    </row>
    <row r="504" spans="1:16">
      <c r="A504" s="213" t="s">
        <v>5175</v>
      </c>
      <c r="B504" s="213" t="s">
        <v>1234</v>
      </c>
      <c r="C504" s="221" t="s">
        <v>1233</v>
      </c>
      <c r="D504" s="221" t="s">
        <v>1235</v>
      </c>
      <c r="E504" s="221" t="s">
        <v>5079</v>
      </c>
      <c r="F504" s="213" t="s">
        <v>5080</v>
      </c>
      <c r="G504" s="213" t="s">
        <v>5081</v>
      </c>
      <c r="H504" s="213" t="s">
        <v>5082</v>
      </c>
      <c r="I504" s="213" t="s">
        <v>5083</v>
      </c>
      <c r="J504" s="213" t="s">
        <v>5176</v>
      </c>
      <c r="K504" s="213" t="s">
        <v>9520</v>
      </c>
      <c r="L504" s="213" t="s">
        <v>10818</v>
      </c>
      <c r="M504" s="213" t="s">
        <v>10170</v>
      </c>
      <c r="P504" s="121"/>
    </row>
    <row r="505" spans="1:16">
      <c r="A505" s="217" t="s">
        <v>2535</v>
      </c>
      <c r="B505" s="213" t="s">
        <v>1234</v>
      </c>
      <c r="C505" s="221" t="s">
        <v>1233</v>
      </c>
      <c r="D505" s="221" t="s">
        <v>1235</v>
      </c>
      <c r="E505" s="221" t="s">
        <v>5079</v>
      </c>
      <c r="F505" s="213" t="s">
        <v>5080</v>
      </c>
      <c r="G505" s="213" t="s">
        <v>5081</v>
      </c>
      <c r="H505" s="213" t="s">
        <v>5082</v>
      </c>
      <c r="I505" s="213" t="s">
        <v>5083</v>
      </c>
      <c r="J505" s="213" t="s">
        <v>5174</v>
      </c>
      <c r="K505" s="213" t="s">
        <v>9520</v>
      </c>
      <c r="L505" s="213" t="s">
        <v>24</v>
      </c>
      <c r="M505" s="213" t="s">
        <v>10170</v>
      </c>
      <c r="P505" s="121"/>
    </row>
    <row r="506" spans="1:16">
      <c r="A506" s="213" t="s">
        <v>2536</v>
      </c>
      <c r="B506" s="213" t="s">
        <v>1234</v>
      </c>
      <c r="C506" s="221" t="s">
        <v>1233</v>
      </c>
      <c r="D506" s="221" t="s">
        <v>1235</v>
      </c>
      <c r="E506" s="221" t="s">
        <v>5079</v>
      </c>
      <c r="F506" s="213" t="s">
        <v>5080</v>
      </c>
      <c r="G506" s="213" t="s">
        <v>5081</v>
      </c>
      <c r="H506" s="213" t="s">
        <v>5082</v>
      </c>
      <c r="I506" s="213" t="s">
        <v>5083</v>
      </c>
      <c r="J506" s="213" t="s">
        <v>5174</v>
      </c>
      <c r="K506" s="213" t="s">
        <v>9520</v>
      </c>
      <c r="L506" s="213" t="s">
        <v>10818</v>
      </c>
      <c r="M506" s="213" t="s">
        <v>10170</v>
      </c>
      <c r="P506" s="121"/>
    </row>
    <row r="507" spans="1:16">
      <c r="A507" s="213" t="s">
        <v>2537</v>
      </c>
      <c r="B507" s="213" t="s">
        <v>1234</v>
      </c>
      <c r="C507" s="221" t="s">
        <v>1233</v>
      </c>
      <c r="D507" s="221" t="s">
        <v>1235</v>
      </c>
      <c r="E507" s="221" t="s">
        <v>5079</v>
      </c>
      <c r="F507" s="213" t="s">
        <v>5080</v>
      </c>
      <c r="G507" s="213" t="s">
        <v>5081</v>
      </c>
      <c r="H507" s="213" t="s">
        <v>5082</v>
      </c>
      <c r="I507" s="213" t="s">
        <v>5083</v>
      </c>
      <c r="J507" s="213" t="s">
        <v>5174</v>
      </c>
      <c r="K507" s="213" t="s">
        <v>9520</v>
      </c>
      <c r="L507" s="213" t="s">
        <v>10818</v>
      </c>
      <c r="M507" s="213" t="s">
        <v>10170</v>
      </c>
      <c r="P507" s="121"/>
    </row>
    <row r="508" spans="1:16">
      <c r="A508" s="213" t="s">
        <v>2538</v>
      </c>
      <c r="B508" s="213" t="s">
        <v>1234</v>
      </c>
      <c r="C508" s="221" t="s">
        <v>1233</v>
      </c>
      <c r="D508" s="221" t="s">
        <v>1235</v>
      </c>
      <c r="E508" s="221" t="s">
        <v>5079</v>
      </c>
      <c r="F508" s="213" t="s">
        <v>5080</v>
      </c>
      <c r="G508" s="213" t="s">
        <v>5081</v>
      </c>
      <c r="H508" s="213" t="s">
        <v>5082</v>
      </c>
      <c r="I508" s="213" t="s">
        <v>5083</v>
      </c>
      <c r="J508" s="213" t="s">
        <v>5174</v>
      </c>
      <c r="K508" s="213" t="s">
        <v>9520</v>
      </c>
      <c r="L508" s="213" t="s">
        <v>10818</v>
      </c>
      <c r="M508" s="213" t="s">
        <v>10170</v>
      </c>
      <c r="P508" s="121"/>
    </row>
    <row r="509" spans="1:16">
      <c r="A509" s="213" t="s">
        <v>1237</v>
      </c>
      <c r="B509" s="213" t="s">
        <v>1103</v>
      </c>
      <c r="C509" s="221" t="s">
        <v>679</v>
      </c>
      <c r="D509" s="221" t="s">
        <v>1104</v>
      </c>
      <c r="E509" s="221" t="s">
        <v>5090</v>
      </c>
      <c r="F509" s="213" t="s">
        <v>4339</v>
      </c>
      <c r="G509" s="213" t="s">
        <v>4340</v>
      </c>
      <c r="H509" s="213" t="s">
        <v>5091</v>
      </c>
      <c r="I509" s="213" t="s">
        <v>4363</v>
      </c>
      <c r="J509" s="213" t="s">
        <v>4343</v>
      </c>
      <c r="K509" s="213" t="s">
        <v>9522</v>
      </c>
      <c r="L509" s="213" t="s">
        <v>10820</v>
      </c>
      <c r="M509" s="213" t="s">
        <v>10183</v>
      </c>
      <c r="P509" s="121"/>
    </row>
    <row r="510" spans="1:16">
      <c r="A510" s="213" t="s">
        <v>1238</v>
      </c>
      <c r="B510" s="213" t="s">
        <v>1240</v>
      </c>
      <c r="C510" s="221" t="s">
        <v>1239</v>
      </c>
      <c r="D510" s="221" t="s">
        <v>1241</v>
      </c>
      <c r="E510" s="221" t="s">
        <v>5177</v>
      </c>
      <c r="F510" s="213" t="s">
        <v>5178</v>
      </c>
      <c r="G510" s="213" t="s">
        <v>5179</v>
      </c>
      <c r="H510" s="213" t="s">
        <v>5180</v>
      </c>
      <c r="I510" s="213" t="s">
        <v>5181</v>
      </c>
      <c r="J510" s="213" t="s">
        <v>5182</v>
      </c>
      <c r="K510" s="213" t="s">
        <v>9533</v>
      </c>
      <c r="L510" s="213" t="s">
        <v>10831</v>
      </c>
      <c r="M510" s="213" t="s">
        <v>10184</v>
      </c>
      <c r="P510" s="121"/>
    </row>
    <row r="511" spans="1:16">
      <c r="A511" s="213" t="s">
        <v>1242</v>
      </c>
      <c r="B511" s="213" t="s">
        <v>888</v>
      </c>
      <c r="C511" s="221" t="s">
        <v>887</v>
      </c>
      <c r="D511" s="221" t="s">
        <v>1244</v>
      </c>
      <c r="E511" s="221" t="s">
        <v>4749</v>
      </c>
      <c r="F511" s="213" t="s">
        <v>4750</v>
      </c>
      <c r="G511" s="213" t="s">
        <v>5183</v>
      </c>
      <c r="H511" s="213" t="s">
        <v>4752</v>
      </c>
      <c r="I511" s="213" t="s">
        <v>4753</v>
      </c>
      <c r="J511" s="213" t="s">
        <v>4754</v>
      </c>
      <c r="K511" s="213" t="s">
        <v>9514</v>
      </c>
      <c r="L511" s="213" t="s">
        <v>10765</v>
      </c>
      <c r="M511" s="213" t="s">
        <v>10116</v>
      </c>
      <c r="P511" s="121"/>
    </row>
    <row r="512" spans="1:16">
      <c r="A512" s="213" t="s">
        <v>5184</v>
      </c>
      <c r="B512" s="213" t="s">
        <v>888</v>
      </c>
      <c r="C512" s="221" t="s">
        <v>887</v>
      </c>
      <c r="D512" s="221" t="s">
        <v>1244</v>
      </c>
      <c r="E512" s="221" t="s">
        <v>4749</v>
      </c>
      <c r="F512" s="213" t="s">
        <v>4750</v>
      </c>
      <c r="G512" s="213" t="s">
        <v>5183</v>
      </c>
      <c r="H512" s="213" t="s">
        <v>4752</v>
      </c>
      <c r="I512" s="213" t="s">
        <v>4753</v>
      </c>
      <c r="J512" s="213" t="s">
        <v>4754</v>
      </c>
      <c r="K512" s="213" t="s">
        <v>9514</v>
      </c>
      <c r="L512" s="213" t="s">
        <v>10765</v>
      </c>
      <c r="M512" s="213" t="s">
        <v>10116</v>
      </c>
      <c r="P512" s="121"/>
    </row>
    <row r="513" spans="1:16">
      <c r="A513" s="213" t="s">
        <v>2539</v>
      </c>
      <c r="B513" s="213" t="s">
        <v>1234</v>
      </c>
      <c r="C513" s="221" t="s">
        <v>1233</v>
      </c>
      <c r="D513" s="221" t="s">
        <v>1235</v>
      </c>
      <c r="E513" s="221" t="s">
        <v>5079</v>
      </c>
      <c r="F513" s="213" t="s">
        <v>5080</v>
      </c>
      <c r="G513" s="213" t="s">
        <v>5081</v>
      </c>
      <c r="H513" s="213" t="s">
        <v>5082</v>
      </c>
      <c r="I513" s="213" t="s">
        <v>5083</v>
      </c>
      <c r="J513" s="213" t="s">
        <v>5174</v>
      </c>
      <c r="K513" s="213" t="s">
        <v>9520</v>
      </c>
      <c r="L513" s="213" t="s">
        <v>10818</v>
      </c>
      <c r="M513" s="213" t="s">
        <v>10170</v>
      </c>
      <c r="P513" s="121"/>
    </row>
    <row r="514" spans="1:16">
      <c r="A514" s="213" t="s">
        <v>5186</v>
      </c>
      <c r="B514" s="213" t="s">
        <v>1234</v>
      </c>
      <c r="C514" s="221" t="s">
        <v>1233</v>
      </c>
      <c r="D514" s="221" t="s">
        <v>1235</v>
      </c>
      <c r="E514" s="221" t="s">
        <v>5079</v>
      </c>
      <c r="F514" s="213" t="s">
        <v>5080</v>
      </c>
      <c r="G514" s="213" t="s">
        <v>5081</v>
      </c>
      <c r="H514" s="213" t="s">
        <v>5082</v>
      </c>
      <c r="I514" s="213" t="s">
        <v>5083</v>
      </c>
      <c r="J514" s="213" t="s">
        <v>5174</v>
      </c>
      <c r="K514" s="213" t="s">
        <v>9520</v>
      </c>
      <c r="L514" s="213" t="s">
        <v>10818</v>
      </c>
      <c r="M514" s="213" t="s">
        <v>10185</v>
      </c>
      <c r="P514" s="121"/>
    </row>
    <row r="515" spans="1:16">
      <c r="A515" s="213" t="s">
        <v>1245</v>
      </c>
      <c r="B515" s="213" t="s">
        <v>1247</v>
      </c>
      <c r="C515" s="221" t="s">
        <v>1246</v>
      </c>
      <c r="D515" s="221" t="s">
        <v>1248</v>
      </c>
      <c r="E515" s="221" t="s">
        <v>5188</v>
      </c>
      <c r="F515" s="213" t="s">
        <v>5189</v>
      </c>
      <c r="G515" s="213" t="s">
        <v>5190</v>
      </c>
      <c r="H515" s="213" t="s">
        <v>5188</v>
      </c>
      <c r="I515" s="213" t="s">
        <v>5191</v>
      </c>
      <c r="J515" s="213" t="s">
        <v>5192</v>
      </c>
      <c r="K515" s="213" t="s">
        <v>9534</v>
      </c>
      <c r="L515" s="213" t="s">
        <v>10832</v>
      </c>
      <c r="M515" s="213" t="s">
        <v>10186</v>
      </c>
      <c r="P515" s="121"/>
    </row>
    <row r="516" spans="1:16">
      <c r="A516" s="213" t="s">
        <v>2540</v>
      </c>
      <c r="B516" s="213" t="s">
        <v>1247</v>
      </c>
      <c r="C516" s="221" t="s">
        <v>1246</v>
      </c>
      <c r="D516" s="221" t="s">
        <v>1248</v>
      </c>
      <c r="E516" s="221" t="s">
        <v>5188</v>
      </c>
      <c r="F516" s="213" t="s">
        <v>5189</v>
      </c>
      <c r="G516" s="213" t="s">
        <v>5190</v>
      </c>
      <c r="H516" s="213" t="s">
        <v>5188</v>
      </c>
      <c r="I516" s="213" t="s">
        <v>5191</v>
      </c>
      <c r="J516" s="213" t="s">
        <v>5192</v>
      </c>
      <c r="K516" s="213" t="s">
        <v>9534</v>
      </c>
      <c r="L516" s="213" t="s">
        <v>10832</v>
      </c>
      <c r="M516" s="213" t="s">
        <v>10186</v>
      </c>
      <c r="P516" s="121"/>
    </row>
    <row r="517" spans="1:16">
      <c r="A517" s="213" t="s">
        <v>1250</v>
      </c>
      <c r="B517" s="213" t="s">
        <v>1253</v>
      </c>
      <c r="C517" s="221" t="s">
        <v>1252</v>
      </c>
      <c r="D517" s="221" t="s">
        <v>1254</v>
      </c>
      <c r="E517" s="221" t="s">
        <v>5193</v>
      </c>
      <c r="F517" s="213" t="s">
        <v>5194</v>
      </c>
      <c r="G517" s="213" t="s">
        <v>5195</v>
      </c>
      <c r="H517" s="213" t="s">
        <v>5193</v>
      </c>
      <c r="I517" s="213" t="s">
        <v>5196</v>
      </c>
      <c r="J517" s="213" t="s">
        <v>5197</v>
      </c>
      <c r="K517" s="213" t="s">
        <v>9535</v>
      </c>
      <c r="L517" s="213" t="s">
        <v>10833</v>
      </c>
      <c r="M517" s="213" t="s">
        <v>10187</v>
      </c>
      <c r="P517" s="121"/>
    </row>
    <row r="518" spans="1:16">
      <c r="A518" s="213" t="s">
        <v>1255</v>
      </c>
      <c r="B518" s="213" t="s">
        <v>888</v>
      </c>
      <c r="C518" s="221" t="s">
        <v>887</v>
      </c>
      <c r="D518" s="221" t="s">
        <v>1244</v>
      </c>
      <c r="E518" s="221" t="s">
        <v>4749</v>
      </c>
      <c r="F518" s="213" t="s">
        <v>4750</v>
      </c>
      <c r="G518" s="213" t="s">
        <v>5183</v>
      </c>
      <c r="H518" s="213" t="s">
        <v>4752</v>
      </c>
      <c r="I518" s="213" t="s">
        <v>4753</v>
      </c>
      <c r="J518" s="213" t="s">
        <v>4754</v>
      </c>
      <c r="K518" s="213" t="s">
        <v>9514</v>
      </c>
      <c r="L518" s="213" t="s">
        <v>10765</v>
      </c>
      <c r="M518" s="213" t="s">
        <v>10116</v>
      </c>
      <c r="P518" s="121"/>
    </row>
    <row r="519" spans="1:16">
      <c r="A519" s="213" t="s">
        <v>2542</v>
      </c>
      <c r="B519" s="213" t="s">
        <v>1396</v>
      </c>
      <c r="C519" s="221" t="s">
        <v>1395</v>
      </c>
      <c r="D519" s="221" t="s">
        <v>1397</v>
      </c>
      <c r="E519" s="221" t="s">
        <v>5198</v>
      </c>
      <c r="F519" s="213" t="s">
        <v>5199</v>
      </c>
      <c r="G519" s="213" t="s">
        <v>5200</v>
      </c>
      <c r="H519" s="213" t="s">
        <v>5201</v>
      </c>
      <c r="I519" s="213" t="s">
        <v>5202</v>
      </c>
      <c r="J519" s="213" t="s">
        <v>5203</v>
      </c>
      <c r="K519" s="213" t="s">
        <v>9536</v>
      </c>
      <c r="L519" s="213" t="s">
        <v>10834</v>
      </c>
      <c r="M519" s="213" t="s">
        <v>10188</v>
      </c>
      <c r="P519" s="121"/>
    </row>
    <row r="520" spans="1:16">
      <c r="A520" s="213" t="s">
        <v>2715</v>
      </c>
      <c r="B520" s="213" t="s">
        <v>1240</v>
      </c>
      <c r="C520" s="221" t="s">
        <v>1239</v>
      </c>
      <c r="D520" s="221" t="s">
        <v>1241</v>
      </c>
      <c r="E520" s="221" t="s">
        <v>5177</v>
      </c>
      <c r="F520" s="213" t="s">
        <v>5178</v>
      </c>
      <c r="G520" s="213" t="s">
        <v>5179</v>
      </c>
      <c r="H520" s="213" t="s">
        <v>5180</v>
      </c>
      <c r="I520" s="213" t="s">
        <v>5181</v>
      </c>
      <c r="J520" s="213" t="s">
        <v>5182</v>
      </c>
      <c r="K520" s="213" t="s">
        <v>9533</v>
      </c>
      <c r="L520" s="213" t="s">
        <v>10831</v>
      </c>
      <c r="M520" s="213" t="s">
        <v>10184</v>
      </c>
      <c r="P520" s="121"/>
    </row>
    <row r="521" spans="1:16">
      <c r="A521" s="213" t="s">
        <v>2716</v>
      </c>
      <c r="B521" s="213" t="s">
        <v>888</v>
      </c>
      <c r="C521" s="221" t="s">
        <v>887</v>
      </c>
      <c r="D521" s="221" t="s">
        <v>1244</v>
      </c>
      <c r="E521" s="221" t="s">
        <v>4749</v>
      </c>
      <c r="F521" s="213" t="s">
        <v>4750</v>
      </c>
      <c r="G521" s="213" t="s">
        <v>5183</v>
      </c>
      <c r="H521" s="213" t="s">
        <v>4752</v>
      </c>
      <c r="I521" s="213" t="s">
        <v>4753</v>
      </c>
      <c r="J521" s="213" t="s">
        <v>4754</v>
      </c>
      <c r="K521" s="213" t="s">
        <v>9514</v>
      </c>
      <c r="L521" s="213" t="s">
        <v>10765</v>
      </c>
      <c r="M521" s="213" t="s">
        <v>10116</v>
      </c>
      <c r="P521" s="121"/>
    </row>
    <row r="522" spans="1:16">
      <c r="A522" s="214" t="s">
        <v>5204</v>
      </c>
      <c r="B522" s="213" t="s">
        <v>888</v>
      </c>
      <c r="C522" s="221" t="s">
        <v>887</v>
      </c>
      <c r="D522" s="221" t="s">
        <v>1244</v>
      </c>
      <c r="E522" s="221" t="s">
        <v>4749</v>
      </c>
      <c r="F522" s="213" t="s">
        <v>4750</v>
      </c>
      <c r="G522" s="213" t="s">
        <v>5183</v>
      </c>
      <c r="H522" s="213" t="s">
        <v>4752</v>
      </c>
      <c r="I522" s="213" t="s">
        <v>4753</v>
      </c>
      <c r="J522" s="213" t="s">
        <v>4754</v>
      </c>
      <c r="K522" s="213" t="s">
        <v>9514</v>
      </c>
      <c r="L522" s="213" t="s">
        <v>10765</v>
      </c>
      <c r="M522" s="213" t="s">
        <v>10116</v>
      </c>
      <c r="P522" s="121"/>
    </row>
    <row r="523" spans="1:16">
      <c r="A523" s="213" t="s">
        <v>2717</v>
      </c>
      <c r="B523" s="213" t="s">
        <v>1234</v>
      </c>
      <c r="C523" s="221" t="s">
        <v>1233</v>
      </c>
      <c r="D523" s="221" t="s">
        <v>1235</v>
      </c>
      <c r="E523" s="221" t="s">
        <v>5079</v>
      </c>
      <c r="F523" s="213" t="s">
        <v>5080</v>
      </c>
      <c r="G523" s="213" t="s">
        <v>5081</v>
      </c>
      <c r="H523" s="213" t="s">
        <v>5082</v>
      </c>
      <c r="I523" s="213" t="s">
        <v>5083</v>
      </c>
      <c r="J523" s="213" t="s">
        <v>5174</v>
      </c>
      <c r="K523" s="213" t="s">
        <v>9520</v>
      </c>
      <c r="L523" s="213" t="s">
        <v>10818</v>
      </c>
      <c r="M523" s="213" t="s">
        <v>10170</v>
      </c>
      <c r="P523" s="121"/>
    </row>
    <row r="524" spans="1:16">
      <c r="A524" s="213" t="s">
        <v>5205</v>
      </c>
      <c r="B524" s="213" t="s">
        <v>1234</v>
      </c>
      <c r="C524" s="221" t="s">
        <v>1233</v>
      </c>
      <c r="D524" s="221" t="s">
        <v>1235</v>
      </c>
      <c r="E524" s="221" t="s">
        <v>5079</v>
      </c>
      <c r="F524" s="213" t="s">
        <v>5080</v>
      </c>
      <c r="G524" s="213" t="s">
        <v>5081</v>
      </c>
      <c r="H524" s="213" t="s">
        <v>5082</v>
      </c>
      <c r="I524" s="213" t="s">
        <v>5083</v>
      </c>
      <c r="J524" s="213" t="s">
        <v>5174</v>
      </c>
      <c r="K524" s="213" t="s">
        <v>9520</v>
      </c>
      <c r="L524" s="213" t="s">
        <v>10818</v>
      </c>
      <c r="M524" s="213" t="s">
        <v>10170</v>
      </c>
      <c r="P524" s="121"/>
    </row>
    <row r="525" spans="1:16">
      <c r="A525" s="213" t="s">
        <v>5206</v>
      </c>
      <c r="B525" s="213" t="s">
        <v>1247</v>
      </c>
      <c r="C525" s="221" t="s">
        <v>1246</v>
      </c>
      <c r="D525" s="221" t="s">
        <v>1248</v>
      </c>
      <c r="E525" s="221" t="s">
        <v>5188</v>
      </c>
      <c r="F525" s="213" t="s">
        <v>5189</v>
      </c>
      <c r="G525" s="213" t="s">
        <v>5190</v>
      </c>
      <c r="H525" s="213" t="s">
        <v>5188</v>
      </c>
      <c r="I525" s="213" t="s">
        <v>5191</v>
      </c>
      <c r="J525" s="213" t="s">
        <v>5207</v>
      </c>
      <c r="K525" s="213" t="s">
        <v>9534</v>
      </c>
      <c r="L525" s="213" t="s">
        <v>10832</v>
      </c>
      <c r="M525" s="213" t="s">
        <v>10186</v>
      </c>
      <c r="P525" s="121"/>
    </row>
    <row r="526" spans="1:16">
      <c r="A526" s="213" t="s">
        <v>2718</v>
      </c>
      <c r="B526" s="213" t="s">
        <v>1247</v>
      </c>
      <c r="C526" s="221" t="s">
        <v>1246</v>
      </c>
      <c r="D526" s="221" t="s">
        <v>1248</v>
      </c>
      <c r="E526" s="221" t="s">
        <v>5188</v>
      </c>
      <c r="F526" s="213" t="s">
        <v>5189</v>
      </c>
      <c r="G526" s="213" t="s">
        <v>5190</v>
      </c>
      <c r="H526" s="213" t="s">
        <v>5188</v>
      </c>
      <c r="I526" s="213" t="s">
        <v>5191</v>
      </c>
      <c r="J526" s="213" t="s">
        <v>5192</v>
      </c>
      <c r="K526" s="213" t="s">
        <v>9537</v>
      </c>
      <c r="L526" s="213" t="s">
        <v>10832</v>
      </c>
      <c r="M526" s="213" t="s">
        <v>10186</v>
      </c>
      <c r="P526" s="121"/>
    </row>
    <row r="527" spans="1:16">
      <c r="A527" s="213" t="s">
        <v>5208</v>
      </c>
      <c r="B527" s="213" t="s">
        <v>1253</v>
      </c>
      <c r="C527" s="221" t="s">
        <v>1252</v>
      </c>
      <c r="D527" s="221" t="s">
        <v>1254</v>
      </c>
      <c r="E527" s="221" t="s">
        <v>5193</v>
      </c>
      <c r="F527" s="213" t="s">
        <v>5194</v>
      </c>
      <c r="G527" s="213" t="s">
        <v>5195</v>
      </c>
      <c r="H527" s="213" t="s">
        <v>5193</v>
      </c>
      <c r="I527" s="213" t="s">
        <v>5196</v>
      </c>
      <c r="J527" s="213" t="s">
        <v>5197</v>
      </c>
      <c r="K527" s="213" t="s">
        <v>9535</v>
      </c>
      <c r="L527" s="213" t="s">
        <v>10833</v>
      </c>
      <c r="M527" s="213" t="s">
        <v>10186</v>
      </c>
      <c r="P527" s="121"/>
    </row>
    <row r="528" spans="1:16">
      <c r="A528" s="213" t="s">
        <v>5209</v>
      </c>
      <c r="B528" s="213" t="s">
        <v>888</v>
      </c>
      <c r="C528" s="221" t="s">
        <v>887</v>
      </c>
      <c r="D528" s="221" t="s">
        <v>1244</v>
      </c>
      <c r="E528" s="221" t="s">
        <v>4749</v>
      </c>
      <c r="F528" s="213" t="s">
        <v>4750</v>
      </c>
      <c r="G528" s="213" t="s">
        <v>5183</v>
      </c>
      <c r="H528" s="213" t="s">
        <v>4752</v>
      </c>
      <c r="I528" s="213" t="s">
        <v>4753</v>
      </c>
      <c r="J528" s="213" t="s">
        <v>4754</v>
      </c>
      <c r="K528" s="213" t="s">
        <v>9514</v>
      </c>
      <c r="L528" s="213" t="s">
        <v>10765</v>
      </c>
      <c r="M528" s="213" t="s">
        <v>10116</v>
      </c>
      <c r="P528" s="121"/>
    </row>
    <row r="529" spans="1:16">
      <c r="A529" s="213" t="s">
        <v>2719</v>
      </c>
      <c r="B529" s="213" t="s">
        <v>1396</v>
      </c>
      <c r="C529" s="221" t="s">
        <v>1395</v>
      </c>
      <c r="D529" s="221" t="s">
        <v>1397</v>
      </c>
      <c r="E529" s="221" t="s">
        <v>5198</v>
      </c>
      <c r="F529" s="213" t="s">
        <v>5199</v>
      </c>
      <c r="G529" s="213" t="s">
        <v>5200</v>
      </c>
      <c r="H529" s="213" t="s">
        <v>5201</v>
      </c>
      <c r="I529" s="213" t="s">
        <v>5202</v>
      </c>
      <c r="J529" s="213" t="s">
        <v>5203</v>
      </c>
      <c r="K529" s="213" t="s">
        <v>9536</v>
      </c>
      <c r="L529" s="213" t="s">
        <v>10834</v>
      </c>
      <c r="M529" s="213" t="s">
        <v>10188</v>
      </c>
      <c r="P529" s="121"/>
    </row>
    <row r="530" spans="1:16">
      <c r="A530" s="213" t="s">
        <v>1257</v>
      </c>
      <c r="B530" s="213" t="s">
        <v>1103</v>
      </c>
      <c r="C530" s="221" t="s">
        <v>679</v>
      </c>
      <c r="D530" s="221" t="s">
        <v>1104</v>
      </c>
      <c r="E530" s="221" t="s">
        <v>5090</v>
      </c>
      <c r="F530" s="213" t="s">
        <v>4339</v>
      </c>
      <c r="G530" s="213" t="s">
        <v>4340</v>
      </c>
      <c r="H530" s="213" t="s">
        <v>5210</v>
      </c>
      <c r="I530" s="213" t="s">
        <v>4363</v>
      </c>
      <c r="J530" s="213" t="s">
        <v>4343</v>
      </c>
      <c r="K530" s="222" t="s">
        <v>9522</v>
      </c>
      <c r="L530" s="213" t="s">
        <v>10820</v>
      </c>
      <c r="M530" s="213" t="s">
        <v>10183</v>
      </c>
      <c r="P530" s="121"/>
    </row>
    <row r="531" spans="1:16">
      <c r="A531" s="213" t="s">
        <v>1258</v>
      </c>
      <c r="B531" s="213" t="s">
        <v>1240</v>
      </c>
      <c r="C531" s="221" t="s">
        <v>1239</v>
      </c>
      <c r="D531" s="221" t="s">
        <v>1241</v>
      </c>
      <c r="E531" s="221" t="s">
        <v>5177</v>
      </c>
      <c r="F531" s="213" t="s">
        <v>5178</v>
      </c>
      <c r="G531" s="213" t="s">
        <v>5179</v>
      </c>
      <c r="H531" s="213" t="s">
        <v>5180</v>
      </c>
      <c r="I531" s="213" t="s">
        <v>5181</v>
      </c>
      <c r="J531" s="213" t="s">
        <v>5182</v>
      </c>
      <c r="K531" s="213" t="s">
        <v>9533</v>
      </c>
      <c r="L531" s="213" t="s">
        <v>10831</v>
      </c>
      <c r="M531" s="213" t="s">
        <v>10184</v>
      </c>
      <c r="P531" s="121"/>
    </row>
    <row r="532" spans="1:16">
      <c r="A532" s="213" t="s">
        <v>1259</v>
      </c>
      <c r="B532" s="213" t="s">
        <v>1240</v>
      </c>
      <c r="C532" s="221" t="s">
        <v>1239</v>
      </c>
      <c r="D532" s="221" t="s">
        <v>1241</v>
      </c>
      <c r="E532" s="221" t="s">
        <v>4749</v>
      </c>
      <c r="F532" s="213" t="s">
        <v>5178</v>
      </c>
      <c r="G532" s="213" t="s">
        <v>5179</v>
      </c>
      <c r="H532" s="213" t="s">
        <v>5180</v>
      </c>
      <c r="I532" s="213" t="s">
        <v>5181</v>
      </c>
      <c r="J532" s="213" t="s">
        <v>5182</v>
      </c>
      <c r="K532" s="213" t="s">
        <v>9533</v>
      </c>
      <c r="L532" s="213" t="s">
        <v>10831</v>
      </c>
      <c r="M532" s="213" t="s">
        <v>10184</v>
      </c>
      <c r="P532" s="121"/>
    </row>
    <row r="533" spans="1:16">
      <c r="A533" s="213" t="s">
        <v>1261</v>
      </c>
      <c r="B533" s="213" t="s">
        <v>888</v>
      </c>
      <c r="C533" s="221" t="s">
        <v>887</v>
      </c>
      <c r="D533" s="221" t="s">
        <v>1244</v>
      </c>
      <c r="E533" s="221" t="s">
        <v>4749</v>
      </c>
      <c r="F533" s="213" t="s">
        <v>4750</v>
      </c>
      <c r="G533" s="213" t="s">
        <v>5183</v>
      </c>
      <c r="H533" s="213" t="s">
        <v>4752</v>
      </c>
      <c r="I533" s="213" t="s">
        <v>4753</v>
      </c>
      <c r="J533" s="213" t="s">
        <v>4754</v>
      </c>
      <c r="K533" s="213" t="s">
        <v>9514</v>
      </c>
      <c r="L533" s="213" t="s">
        <v>10765</v>
      </c>
      <c r="M533" s="213" t="s">
        <v>10116</v>
      </c>
      <c r="P533" s="121"/>
    </row>
    <row r="534" spans="1:16">
      <c r="A534" s="213" t="s">
        <v>1263</v>
      </c>
      <c r="B534" s="213" t="s">
        <v>1247</v>
      </c>
      <c r="C534" s="221" t="s">
        <v>1246</v>
      </c>
      <c r="D534" s="221" t="s">
        <v>1248</v>
      </c>
      <c r="E534" s="221" t="s">
        <v>5188</v>
      </c>
      <c r="F534" s="213" t="s">
        <v>5189</v>
      </c>
      <c r="G534" s="213" t="s">
        <v>5190</v>
      </c>
      <c r="H534" s="213" t="s">
        <v>5188</v>
      </c>
      <c r="I534" s="213" t="s">
        <v>5191</v>
      </c>
      <c r="J534" s="213" t="s">
        <v>5192</v>
      </c>
      <c r="K534" s="213" t="s">
        <v>9534</v>
      </c>
      <c r="L534" s="213" t="s">
        <v>10832</v>
      </c>
      <c r="M534" s="213" t="s">
        <v>10186</v>
      </c>
      <c r="P534" s="121"/>
    </row>
    <row r="535" spans="1:16">
      <c r="A535" s="213" t="s">
        <v>1264</v>
      </c>
      <c r="B535" s="213" t="s">
        <v>864</v>
      </c>
      <c r="C535" s="221" t="s">
        <v>863</v>
      </c>
      <c r="D535" s="221" t="s">
        <v>1157</v>
      </c>
      <c r="E535" s="221" t="s">
        <v>4702</v>
      </c>
      <c r="F535" s="213" t="s">
        <v>4703</v>
      </c>
      <c r="G535" s="213" t="s">
        <v>5135</v>
      </c>
      <c r="H535" s="213" t="s">
        <v>4705</v>
      </c>
      <c r="I535" s="213" t="s">
        <v>4706</v>
      </c>
      <c r="J535" s="213" t="s">
        <v>4707</v>
      </c>
      <c r="K535" s="213" t="s">
        <v>9506</v>
      </c>
      <c r="L535" s="213" t="s">
        <v>10757</v>
      </c>
      <c r="M535" s="213" t="s">
        <v>10108</v>
      </c>
      <c r="P535" s="121"/>
    </row>
    <row r="536" spans="1:16">
      <c r="A536" s="213" t="s">
        <v>2543</v>
      </c>
      <c r="B536" s="213" t="s">
        <v>1247</v>
      </c>
      <c r="C536" s="221" t="s">
        <v>1246</v>
      </c>
      <c r="D536" s="221" t="s">
        <v>1248</v>
      </c>
      <c r="E536" s="221" t="s">
        <v>5188</v>
      </c>
      <c r="F536" s="213" t="s">
        <v>5189</v>
      </c>
      <c r="G536" s="213" t="s">
        <v>5190</v>
      </c>
      <c r="H536" s="213" t="s">
        <v>5188</v>
      </c>
      <c r="I536" s="213" t="s">
        <v>5191</v>
      </c>
      <c r="J536" s="213" t="s">
        <v>5192</v>
      </c>
      <c r="K536" s="213" t="s">
        <v>9534</v>
      </c>
      <c r="L536" s="213" t="s">
        <v>10832</v>
      </c>
      <c r="M536" s="213" t="s">
        <v>10186</v>
      </c>
      <c r="P536" s="121"/>
    </row>
    <row r="537" spans="1:16">
      <c r="A537" s="213" t="s">
        <v>1265</v>
      </c>
      <c r="B537" s="213" t="s">
        <v>1253</v>
      </c>
      <c r="C537" s="221" t="s">
        <v>1252</v>
      </c>
      <c r="D537" s="221" t="s">
        <v>1254</v>
      </c>
      <c r="E537" s="221" t="s">
        <v>5193</v>
      </c>
      <c r="F537" s="213" t="s">
        <v>5194</v>
      </c>
      <c r="G537" s="213" t="s">
        <v>5195</v>
      </c>
      <c r="H537" s="213" t="s">
        <v>5193</v>
      </c>
      <c r="I537" s="213" t="s">
        <v>5196</v>
      </c>
      <c r="J537" s="213" t="s">
        <v>5197</v>
      </c>
      <c r="K537" s="213" t="s">
        <v>9535</v>
      </c>
      <c r="L537" s="213" t="s">
        <v>10833</v>
      </c>
      <c r="M537" s="213" t="s">
        <v>10187</v>
      </c>
      <c r="P537" s="121"/>
    </row>
    <row r="538" spans="1:16">
      <c r="A538" s="213" t="s">
        <v>1266</v>
      </c>
      <c r="B538" s="213" t="s">
        <v>888</v>
      </c>
      <c r="C538" s="221" t="s">
        <v>887</v>
      </c>
      <c r="D538" s="221" t="s">
        <v>1244</v>
      </c>
      <c r="E538" s="221" t="s">
        <v>4749</v>
      </c>
      <c r="F538" s="213" t="s">
        <v>4750</v>
      </c>
      <c r="G538" s="213" t="s">
        <v>5183</v>
      </c>
      <c r="H538" s="213" t="s">
        <v>4752</v>
      </c>
      <c r="I538" s="213" t="s">
        <v>4753</v>
      </c>
      <c r="J538" s="213" t="s">
        <v>4754</v>
      </c>
      <c r="K538" s="213" t="s">
        <v>9514</v>
      </c>
      <c r="L538" s="213" t="s">
        <v>10765</v>
      </c>
      <c r="M538" s="213" t="s">
        <v>10116</v>
      </c>
      <c r="P538" s="121"/>
    </row>
    <row r="539" spans="1:16">
      <c r="A539" s="213" t="s">
        <v>2720</v>
      </c>
      <c r="B539" s="213" t="s">
        <v>1240</v>
      </c>
      <c r="C539" s="221" t="s">
        <v>1239</v>
      </c>
      <c r="D539" s="221" t="s">
        <v>1241</v>
      </c>
      <c r="E539" s="221" t="s">
        <v>5177</v>
      </c>
      <c r="F539" s="213" t="s">
        <v>5178</v>
      </c>
      <c r="G539" s="213" t="s">
        <v>5179</v>
      </c>
      <c r="H539" s="213" t="s">
        <v>5180</v>
      </c>
      <c r="I539" s="213" t="s">
        <v>5181</v>
      </c>
      <c r="J539" s="213" t="s">
        <v>5182</v>
      </c>
      <c r="K539" s="213" t="s">
        <v>9533</v>
      </c>
      <c r="L539" s="213" t="s">
        <v>10831</v>
      </c>
      <c r="M539" s="213" t="s">
        <v>10184</v>
      </c>
      <c r="P539" s="121"/>
    </row>
    <row r="540" spans="1:16">
      <c r="A540" s="213" t="s">
        <v>5211</v>
      </c>
      <c r="B540" s="213" t="s">
        <v>1240</v>
      </c>
      <c r="C540" s="221" t="s">
        <v>1239</v>
      </c>
      <c r="D540" s="221" t="s">
        <v>1241</v>
      </c>
      <c r="E540" s="221" t="s">
        <v>5177</v>
      </c>
      <c r="F540" s="213" t="s">
        <v>5178</v>
      </c>
      <c r="G540" s="213" t="s">
        <v>5179</v>
      </c>
      <c r="H540" s="213" t="s">
        <v>5180</v>
      </c>
      <c r="I540" s="213" t="s">
        <v>5181</v>
      </c>
      <c r="J540" s="213" t="s">
        <v>5182</v>
      </c>
      <c r="K540" s="213" t="s">
        <v>9533</v>
      </c>
      <c r="L540" s="213" t="s">
        <v>10831</v>
      </c>
      <c r="M540" s="213" t="s">
        <v>10184</v>
      </c>
      <c r="P540" s="121"/>
    </row>
    <row r="541" spans="1:16">
      <c r="A541" s="213" t="s">
        <v>5212</v>
      </c>
      <c r="B541" s="213" t="s">
        <v>888</v>
      </c>
      <c r="C541" s="221" t="s">
        <v>887</v>
      </c>
      <c r="D541" s="221" t="s">
        <v>1244</v>
      </c>
      <c r="E541" s="221" t="s">
        <v>4749</v>
      </c>
      <c r="F541" s="213" t="s">
        <v>4750</v>
      </c>
      <c r="G541" s="213" t="s">
        <v>5183</v>
      </c>
      <c r="H541" s="213" t="s">
        <v>4752</v>
      </c>
      <c r="I541" s="213" t="s">
        <v>4753</v>
      </c>
      <c r="J541" s="213" t="s">
        <v>5213</v>
      </c>
      <c r="K541" s="213" t="s">
        <v>9514</v>
      </c>
      <c r="L541" s="213" t="s">
        <v>10765</v>
      </c>
      <c r="M541" s="213" t="s">
        <v>10116</v>
      </c>
      <c r="P541" s="121"/>
    </row>
    <row r="542" spans="1:16">
      <c r="A542" s="213" t="s">
        <v>2721</v>
      </c>
      <c r="B542" s="213" t="s">
        <v>1247</v>
      </c>
      <c r="C542" s="221" t="s">
        <v>1246</v>
      </c>
      <c r="D542" s="221" t="s">
        <v>1248</v>
      </c>
      <c r="E542" s="221" t="s">
        <v>5188</v>
      </c>
      <c r="F542" s="213" t="s">
        <v>5189</v>
      </c>
      <c r="G542" s="213" t="s">
        <v>5190</v>
      </c>
      <c r="H542" s="213" t="s">
        <v>5188</v>
      </c>
      <c r="I542" s="213" t="s">
        <v>5191</v>
      </c>
      <c r="J542" s="213" t="s">
        <v>5192</v>
      </c>
      <c r="K542" s="213" t="s">
        <v>9534</v>
      </c>
      <c r="L542" s="213" t="s">
        <v>10832</v>
      </c>
      <c r="M542" s="213" t="s">
        <v>10186</v>
      </c>
      <c r="P542" s="121"/>
    </row>
    <row r="543" spans="1:16">
      <c r="A543" s="213" t="s">
        <v>5214</v>
      </c>
      <c r="B543" s="213" t="s">
        <v>864</v>
      </c>
      <c r="C543" s="221" t="s">
        <v>863</v>
      </c>
      <c r="D543" s="221" t="s">
        <v>1157</v>
      </c>
      <c r="E543" s="221" t="s">
        <v>4702</v>
      </c>
      <c r="F543" s="213" t="s">
        <v>4703</v>
      </c>
      <c r="G543" s="213" t="s">
        <v>5135</v>
      </c>
      <c r="H543" s="213" t="s">
        <v>4705</v>
      </c>
      <c r="I543" s="213" t="s">
        <v>4706</v>
      </c>
      <c r="J543" s="213" t="s">
        <v>5215</v>
      </c>
      <c r="K543" s="213" t="s">
        <v>9506</v>
      </c>
      <c r="L543" s="213" t="s">
        <v>10757</v>
      </c>
      <c r="M543" s="213" t="s">
        <v>10108</v>
      </c>
      <c r="P543" s="121"/>
    </row>
    <row r="544" spans="1:16">
      <c r="A544" s="213" t="s">
        <v>2722</v>
      </c>
      <c r="B544" s="213" t="s">
        <v>1247</v>
      </c>
      <c r="C544" s="221" t="s">
        <v>1246</v>
      </c>
      <c r="D544" s="221" t="s">
        <v>1248</v>
      </c>
      <c r="E544" s="221" t="s">
        <v>5188</v>
      </c>
      <c r="F544" s="213" t="s">
        <v>5189</v>
      </c>
      <c r="G544" s="213" t="s">
        <v>5190</v>
      </c>
      <c r="H544" s="213" t="s">
        <v>5188</v>
      </c>
      <c r="I544" s="213" t="s">
        <v>5191</v>
      </c>
      <c r="J544" s="213" t="s">
        <v>5192</v>
      </c>
      <c r="K544" s="213" t="s">
        <v>9534</v>
      </c>
      <c r="L544" s="213" t="s">
        <v>10832</v>
      </c>
      <c r="M544" s="213" t="s">
        <v>10186</v>
      </c>
      <c r="P544" s="121"/>
    </row>
    <row r="545" spans="1:16">
      <c r="A545" s="213" t="s">
        <v>2723</v>
      </c>
      <c r="B545" s="213" t="s">
        <v>1253</v>
      </c>
      <c r="C545" s="221" t="s">
        <v>1252</v>
      </c>
      <c r="D545" s="221" t="s">
        <v>1254</v>
      </c>
      <c r="E545" s="221" t="s">
        <v>5193</v>
      </c>
      <c r="F545" s="213" t="s">
        <v>5194</v>
      </c>
      <c r="G545" s="213" t="s">
        <v>5195</v>
      </c>
      <c r="H545" s="213" t="s">
        <v>5193</v>
      </c>
      <c r="I545" s="213" t="s">
        <v>5196</v>
      </c>
      <c r="J545" s="213" t="s">
        <v>5197</v>
      </c>
      <c r="K545" s="213" t="s">
        <v>9535</v>
      </c>
      <c r="L545" s="213" t="s">
        <v>10833</v>
      </c>
      <c r="M545" s="213" t="s">
        <v>10187</v>
      </c>
      <c r="P545" s="121"/>
    </row>
    <row r="546" spans="1:16">
      <c r="A546" s="213" t="s">
        <v>2724</v>
      </c>
      <c r="B546" s="213" t="s">
        <v>888</v>
      </c>
      <c r="C546" s="221" t="s">
        <v>887</v>
      </c>
      <c r="D546" s="221" t="s">
        <v>1244</v>
      </c>
      <c r="E546" s="221" t="s">
        <v>4749</v>
      </c>
      <c r="F546" s="213" t="s">
        <v>4750</v>
      </c>
      <c r="G546" s="213" t="s">
        <v>5183</v>
      </c>
      <c r="H546" s="213" t="s">
        <v>4752</v>
      </c>
      <c r="I546" s="213" t="s">
        <v>4753</v>
      </c>
      <c r="J546" s="213" t="s">
        <v>4754</v>
      </c>
      <c r="K546" s="213" t="s">
        <v>9514</v>
      </c>
      <c r="L546" s="213" t="s">
        <v>10765</v>
      </c>
      <c r="M546" s="213" t="s">
        <v>10116</v>
      </c>
      <c r="P546" s="121"/>
    </row>
    <row r="547" spans="1:16">
      <c r="A547" s="213" t="s">
        <v>1279</v>
      </c>
      <c r="B547" s="213" t="s">
        <v>1092</v>
      </c>
      <c r="C547" s="221" t="s">
        <v>1075</v>
      </c>
      <c r="D547" s="221" t="s">
        <v>1093</v>
      </c>
      <c r="E547" s="221" t="s">
        <v>5073</v>
      </c>
      <c r="F547" s="213" t="s">
        <v>5074</v>
      </c>
      <c r="G547" s="213" t="s">
        <v>5075</v>
      </c>
      <c r="H547" s="213" t="s">
        <v>5076</v>
      </c>
      <c r="I547" s="213" t="s">
        <v>5077</v>
      </c>
      <c r="J547" s="213" t="s">
        <v>5151</v>
      </c>
      <c r="K547" s="213" t="s">
        <v>9519</v>
      </c>
      <c r="L547" s="213" t="s">
        <v>10817</v>
      </c>
      <c r="M547" s="213" t="s">
        <v>10169</v>
      </c>
      <c r="P547" s="121"/>
    </row>
    <row r="548" spans="1:16">
      <c r="A548" s="214" t="s">
        <v>1282</v>
      </c>
      <c r="B548" s="213" t="s">
        <v>1269</v>
      </c>
      <c r="C548" s="221" t="s">
        <v>1268</v>
      </c>
      <c r="D548" s="221" t="s">
        <v>1270</v>
      </c>
      <c r="E548" s="221" t="s">
        <v>5216</v>
      </c>
      <c r="F548" s="213" t="s">
        <v>5217</v>
      </c>
      <c r="G548" s="213" t="s">
        <v>5218</v>
      </c>
      <c r="H548" s="213" t="s">
        <v>5219</v>
      </c>
      <c r="I548" s="213" t="s">
        <v>5220</v>
      </c>
      <c r="J548" s="213" t="s">
        <v>5221</v>
      </c>
      <c r="K548" s="213" t="s">
        <v>9538</v>
      </c>
      <c r="L548" s="213" t="s">
        <v>10835</v>
      </c>
      <c r="M548" s="213" t="s">
        <v>10189</v>
      </c>
      <c r="P548" s="121"/>
    </row>
    <row r="549" spans="1:16">
      <c r="A549" s="214" t="s">
        <v>1284</v>
      </c>
      <c r="B549" s="213" t="s">
        <v>1269</v>
      </c>
      <c r="C549" s="221" t="s">
        <v>1268</v>
      </c>
      <c r="D549" s="221" t="s">
        <v>1270</v>
      </c>
      <c r="E549" s="221" t="s">
        <v>5216</v>
      </c>
      <c r="F549" s="213" t="s">
        <v>5217</v>
      </c>
      <c r="G549" s="213" t="s">
        <v>5218</v>
      </c>
      <c r="H549" s="213" t="s">
        <v>5219</v>
      </c>
      <c r="I549" s="213" t="s">
        <v>5220</v>
      </c>
      <c r="J549" s="213" t="s">
        <v>5221</v>
      </c>
      <c r="K549" s="213" t="s">
        <v>9538</v>
      </c>
      <c r="L549" s="213" t="s">
        <v>10835</v>
      </c>
      <c r="M549" s="213" t="s">
        <v>10189</v>
      </c>
      <c r="P549" s="121"/>
    </row>
    <row r="550" spans="1:16">
      <c r="A550" s="213" t="s">
        <v>1286</v>
      </c>
      <c r="B550" s="213" t="s">
        <v>1253</v>
      </c>
      <c r="C550" s="221" t="s">
        <v>1252</v>
      </c>
      <c r="D550" s="221" t="s">
        <v>1254</v>
      </c>
      <c r="E550" s="221" t="s">
        <v>5193</v>
      </c>
      <c r="F550" s="213" t="s">
        <v>5194</v>
      </c>
      <c r="G550" s="213" t="s">
        <v>5195</v>
      </c>
      <c r="H550" s="213" t="s">
        <v>5193</v>
      </c>
      <c r="I550" s="213" t="s">
        <v>5196</v>
      </c>
      <c r="J550" s="213" t="s">
        <v>5197</v>
      </c>
      <c r="K550" s="213" t="s">
        <v>9535</v>
      </c>
      <c r="L550" s="213" t="s">
        <v>10833</v>
      </c>
      <c r="M550" s="213" t="s">
        <v>10187</v>
      </c>
      <c r="P550" s="121"/>
    </row>
    <row r="551" spans="1:16">
      <c r="A551" s="213" t="s">
        <v>1287</v>
      </c>
      <c r="B551" s="213" t="s">
        <v>1274</v>
      </c>
      <c r="C551" s="221" t="s">
        <v>1273</v>
      </c>
      <c r="D551" s="221" t="s">
        <v>1275</v>
      </c>
      <c r="E551" s="221" t="s">
        <v>5223</v>
      </c>
      <c r="F551" s="213" t="s">
        <v>5224</v>
      </c>
      <c r="G551" s="213" t="s">
        <v>5195</v>
      </c>
      <c r="H551" s="213" t="s">
        <v>5225</v>
      </c>
      <c r="I551" s="213" t="s">
        <v>5226</v>
      </c>
      <c r="J551" s="213" t="s">
        <v>5227</v>
      </c>
      <c r="K551" s="213" t="s">
        <v>9539</v>
      </c>
      <c r="L551" s="213" t="s">
        <v>10836</v>
      </c>
      <c r="M551" s="213" t="s">
        <v>10190</v>
      </c>
      <c r="P551" s="121"/>
    </row>
    <row r="552" spans="1:16">
      <c r="A552" s="218" t="s">
        <v>1288</v>
      </c>
      <c r="B552" s="213" t="s">
        <v>2849</v>
      </c>
      <c r="C552" s="221" t="s">
        <v>1277</v>
      </c>
      <c r="D552" s="221" t="s">
        <v>1278</v>
      </c>
      <c r="E552" s="221" t="s">
        <v>5228</v>
      </c>
      <c r="F552" s="213" t="s">
        <v>5229</v>
      </c>
      <c r="G552" s="213" t="s">
        <v>5230</v>
      </c>
      <c r="H552" s="213" t="s">
        <v>5228</v>
      </c>
      <c r="I552" s="213" t="s">
        <v>5231</v>
      </c>
      <c r="J552" s="213" t="s">
        <v>5232</v>
      </c>
      <c r="K552" s="213" t="s">
        <v>9540</v>
      </c>
      <c r="L552" s="213" t="s">
        <v>10837</v>
      </c>
      <c r="M552" s="213" t="s">
        <v>10191</v>
      </c>
      <c r="P552" s="121"/>
    </row>
    <row r="553" spans="1:16">
      <c r="A553" s="213" t="s">
        <v>1289</v>
      </c>
      <c r="B553" s="213" t="s">
        <v>1253</v>
      </c>
      <c r="C553" s="221" t="s">
        <v>1252</v>
      </c>
      <c r="D553" s="221" t="s">
        <v>1254</v>
      </c>
      <c r="E553" s="221" t="s">
        <v>5193</v>
      </c>
      <c r="F553" s="213" t="s">
        <v>5194</v>
      </c>
      <c r="G553" s="213" t="s">
        <v>5195</v>
      </c>
      <c r="H553" s="213" t="s">
        <v>5193</v>
      </c>
      <c r="I553" s="213" t="s">
        <v>5196</v>
      </c>
      <c r="J553" s="213" t="s">
        <v>5197</v>
      </c>
      <c r="K553" s="213" t="s">
        <v>9535</v>
      </c>
      <c r="L553" s="213" t="s">
        <v>10833</v>
      </c>
      <c r="M553" s="213" t="s">
        <v>10187</v>
      </c>
      <c r="P553" s="121"/>
    </row>
    <row r="554" spans="1:16">
      <c r="A554" s="213" t="s">
        <v>13475</v>
      </c>
      <c r="B554" s="213" t="s">
        <v>13555</v>
      </c>
      <c r="C554" s="221" t="s">
        <v>13556</v>
      </c>
      <c r="D554" s="221" t="s">
        <v>13557</v>
      </c>
      <c r="E554" s="221" t="s">
        <v>13558</v>
      </c>
      <c r="F554" s="213" t="s">
        <v>13559</v>
      </c>
      <c r="G554" s="213" t="s">
        <v>13560</v>
      </c>
      <c r="H554" s="213" t="s">
        <v>13561</v>
      </c>
      <c r="I554" s="213" t="s">
        <v>13562</v>
      </c>
      <c r="J554" s="213" t="s">
        <v>13563</v>
      </c>
      <c r="K554" s="213" t="s">
        <v>13564</v>
      </c>
      <c r="L554" s="213" t="s">
        <v>13565</v>
      </c>
      <c r="M554" s="213" t="s">
        <v>13566</v>
      </c>
      <c r="P554" s="121"/>
    </row>
    <row r="555" spans="1:16">
      <c r="A555" s="213" t="s">
        <v>2544</v>
      </c>
      <c r="B555" s="213" t="s">
        <v>2850</v>
      </c>
      <c r="C555" s="221" t="s">
        <v>2963</v>
      </c>
      <c r="D555" s="221" t="s">
        <v>3018</v>
      </c>
      <c r="E555" s="221" t="s">
        <v>5233</v>
      </c>
      <c r="F555" s="213" t="s">
        <v>5234</v>
      </c>
      <c r="G555" s="213" t="s">
        <v>5235</v>
      </c>
      <c r="H555" s="213" t="s">
        <v>5236</v>
      </c>
      <c r="I555" s="213" t="s">
        <v>5237</v>
      </c>
      <c r="J555" s="213" t="s">
        <v>5238</v>
      </c>
      <c r="K555" s="213" t="s">
        <v>9541</v>
      </c>
      <c r="L555" s="213" t="s">
        <v>10838</v>
      </c>
      <c r="M555" s="213" t="s">
        <v>10192</v>
      </c>
      <c r="P555" s="121"/>
    </row>
    <row r="556" spans="1:16">
      <c r="A556" s="213" t="s">
        <v>2725</v>
      </c>
      <c r="B556" s="213" t="s">
        <v>1092</v>
      </c>
      <c r="C556" s="221" t="s">
        <v>1075</v>
      </c>
      <c r="D556" s="221" t="s">
        <v>1093</v>
      </c>
      <c r="E556" s="221" t="s">
        <v>5073</v>
      </c>
      <c r="F556" s="213" t="s">
        <v>5074</v>
      </c>
      <c r="G556" s="213" t="s">
        <v>5075</v>
      </c>
      <c r="H556" s="213" t="s">
        <v>5076</v>
      </c>
      <c r="I556" s="213" t="s">
        <v>5077</v>
      </c>
      <c r="J556" s="213" t="s">
        <v>5151</v>
      </c>
      <c r="K556" s="213" t="s">
        <v>9519</v>
      </c>
      <c r="L556" s="213" t="s">
        <v>10817</v>
      </c>
      <c r="M556" s="213" t="s">
        <v>10169</v>
      </c>
      <c r="P556" s="121"/>
    </row>
    <row r="557" spans="1:16">
      <c r="A557" s="213" t="s">
        <v>2726</v>
      </c>
      <c r="B557" s="213" t="s">
        <v>1269</v>
      </c>
      <c r="C557" s="221" t="s">
        <v>1268</v>
      </c>
      <c r="D557" s="221" t="s">
        <v>1270</v>
      </c>
      <c r="E557" s="221" t="s">
        <v>5216</v>
      </c>
      <c r="F557" s="213" t="s">
        <v>5217</v>
      </c>
      <c r="G557" s="213" t="s">
        <v>5218</v>
      </c>
      <c r="H557" s="213" t="s">
        <v>5219</v>
      </c>
      <c r="I557" s="213" t="s">
        <v>5220</v>
      </c>
      <c r="J557" s="213" t="s">
        <v>5221</v>
      </c>
      <c r="K557" s="213" t="s">
        <v>9538</v>
      </c>
      <c r="L557" s="213" t="s">
        <v>10835</v>
      </c>
      <c r="M557" s="213" t="s">
        <v>10189</v>
      </c>
      <c r="P557" s="121"/>
    </row>
    <row r="558" spans="1:16">
      <c r="A558" s="213" t="s">
        <v>5239</v>
      </c>
      <c r="B558" s="213" t="s">
        <v>1269</v>
      </c>
      <c r="C558" s="221" t="s">
        <v>1268</v>
      </c>
      <c r="D558" s="221" t="s">
        <v>1270</v>
      </c>
      <c r="E558" s="221" t="s">
        <v>5216</v>
      </c>
      <c r="F558" s="213" t="s">
        <v>5217</v>
      </c>
      <c r="G558" s="213" t="s">
        <v>5218</v>
      </c>
      <c r="H558" s="213" t="s">
        <v>5219</v>
      </c>
      <c r="I558" s="213" t="s">
        <v>5220</v>
      </c>
      <c r="J558" s="213" t="s">
        <v>5240</v>
      </c>
      <c r="K558" s="213" t="s">
        <v>9538</v>
      </c>
      <c r="L558" s="213" t="s">
        <v>10835</v>
      </c>
      <c r="M558" s="213" t="s">
        <v>10189</v>
      </c>
      <c r="P558" s="121"/>
    </row>
    <row r="559" spans="1:16">
      <c r="A559" s="213" t="s">
        <v>5241</v>
      </c>
      <c r="B559" s="213" t="s">
        <v>1253</v>
      </c>
      <c r="C559" s="221" t="s">
        <v>1252</v>
      </c>
      <c r="D559" s="221" t="s">
        <v>1254</v>
      </c>
      <c r="E559" s="221" t="s">
        <v>5193</v>
      </c>
      <c r="F559" s="213" t="s">
        <v>5194</v>
      </c>
      <c r="G559" s="213" t="s">
        <v>5195</v>
      </c>
      <c r="H559" s="213" t="s">
        <v>5193</v>
      </c>
      <c r="I559" s="213" t="s">
        <v>5196</v>
      </c>
      <c r="J559" s="213" t="s">
        <v>5197</v>
      </c>
      <c r="K559" s="213" t="s">
        <v>9535</v>
      </c>
      <c r="L559" s="213" t="s">
        <v>10833</v>
      </c>
      <c r="M559" s="213" t="s">
        <v>10187</v>
      </c>
      <c r="P559" s="121"/>
    </row>
    <row r="560" spans="1:16">
      <c r="A560" s="213" t="s">
        <v>2727</v>
      </c>
      <c r="B560" s="213" t="s">
        <v>1274</v>
      </c>
      <c r="C560" s="221" t="s">
        <v>1273</v>
      </c>
      <c r="D560" s="221" t="s">
        <v>1275</v>
      </c>
      <c r="E560" s="221" t="s">
        <v>5223</v>
      </c>
      <c r="F560" s="213" t="s">
        <v>5224</v>
      </c>
      <c r="G560" s="213" t="s">
        <v>5242</v>
      </c>
      <c r="H560" s="213" t="s">
        <v>5225</v>
      </c>
      <c r="I560" s="213" t="s">
        <v>5226</v>
      </c>
      <c r="J560" s="213" t="s">
        <v>5227</v>
      </c>
      <c r="K560" s="213" t="s">
        <v>9539</v>
      </c>
      <c r="L560" s="213" t="s">
        <v>10836</v>
      </c>
      <c r="M560" s="213" t="s">
        <v>10190</v>
      </c>
      <c r="P560" s="121"/>
    </row>
    <row r="561" spans="1:16">
      <c r="A561" s="213" t="s">
        <v>2728</v>
      </c>
      <c r="B561" s="213" t="s">
        <v>2849</v>
      </c>
      <c r="C561" s="221" t="s">
        <v>1277</v>
      </c>
      <c r="D561" s="221" t="s">
        <v>1278</v>
      </c>
      <c r="E561" s="221" t="s">
        <v>5228</v>
      </c>
      <c r="F561" s="213" t="s">
        <v>5229</v>
      </c>
      <c r="G561" s="213" t="s">
        <v>5230</v>
      </c>
      <c r="H561" s="213" t="s">
        <v>5228</v>
      </c>
      <c r="I561" s="213" t="s">
        <v>5231</v>
      </c>
      <c r="J561" s="213" t="s">
        <v>5232</v>
      </c>
      <c r="K561" s="213" t="s">
        <v>9540</v>
      </c>
      <c r="L561" s="213" t="s">
        <v>10837</v>
      </c>
      <c r="M561" s="213" t="s">
        <v>10191</v>
      </c>
      <c r="P561" s="121"/>
    </row>
    <row r="562" spans="1:16">
      <c r="A562" s="213" t="s">
        <v>2729</v>
      </c>
      <c r="B562" s="213" t="s">
        <v>1253</v>
      </c>
      <c r="C562" s="221" t="s">
        <v>1252</v>
      </c>
      <c r="D562" s="221" t="s">
        <v>1254</v>
      </c>
      <c r="E562" s="221" t="s">
        <v>5193</v>
      </c>
      <c r="F562" s="213" t="s">
        <v>5194</v>
      </c>
      <c r="G562" s="213" t="s">
        <v>5195</v>
      </c>
      <c r="H562" s="213" t="s">
        <v>5193</v>
      </c>
      <c r="I562" s="213" t="s">
        <v>5196</v>
      </c>
      <c r="J562" s="213" t="s">
        <v>5197</v>
      </c>
      <c r="K562" s="213" t="s">
        <v>9535</v>
      </c>
      <c r="L562" s="213" t="s">
        <v>10833</v>
      </c>
      <c r="M562" s="213" t="s">
        <v>10187</v>
      </c>
      <c r="P562" s="121"/>
    </row>
    <row r="563" spans="1:16">
      <c r="A563" s="213" t="s">
        <v>14033</v>
      </c>
      <c r="B563" s="213" t="s">
        <v>13555</v>
      </c>
      <c r="C563" s="221" t="s">
        <v>13556</v>
      </c>
      <c r="D563" s="221" t="s">
        <v>13557</v>
      </c>
      <c r="E563" s="221" t="s">
        <v>13558</v>
      </c>
      <c r="F563" s="213" t="s">
        <v>13559</v>
      </c>
      <c r="G563" s="213" t="s">
        <v>13560</v>
      </c>
      <c r="H563" s="213" t="s">
        <v>13561</v>
      </c>
      <c r="I563" s="213" t="s">
        <v>13562</v>
      </c>
      <c r="J563" s="213" t="s">
        <v>13563</v>
      </c>
      <c r="K563" s="222" t="s">
        <v>13564</v>
      </c>
      <c r="L563" s="213" t="s">
        <v>13565</v>
      </c>
      <c r="M563" s="213" t="s">
        <v>13566</v>
      </c>
      <c r="P563" s="121"/>
    </row>
    <row r="564" spans="1:16">
      <c r="A564" s="213" t="s">
        <v>1291</v>
      </c>
      <c r="B564" s="213" t="s">
        <v>417</v>
      </c>
      <c r="C564" s="221" t="s">
        <v>416</v>
      </c>
      <c r="D564" s="221" t="s">
        <v>418</v>
      </c>
      <c r="E564" s="221" t="s">
        <v>3991</v>
      </c>
      <c r="F564" s="213" t="s">
        <v>3992</v>
      </c>
      <c r="G564" s="213" t="s">
        <v>4355</v>
      </c>
      <c r="H564" s="213" t="s">
        <v>3991</v>
      </c>
      <c r="I564" s="213" t="s">
        <v>3993</v>
      </c>
      <c r="J564" s="213" t="s">
        <v>3994</v>
      </c>
      <c r="K564" s="213" t="s">
        <v>9400</v>
      </c>
      <c r="L564" s="213" t="s">
        <v>10651</v>
      </c>
      <c r="M564" s="213" t="s">
        <v>10057</v>
      </c>
      <c r="P564" s="121"/>
    </row>
    <row r="565" spans="1:16">
      <c r="A565" s="213" t="s">
        <v>1292</v>
      </c>
      <c r="B565" s="213" t="s">
        <v>417</v>
      </c>
      <c r="C565" s="221" t="s">
        <v>416</v>
      </c>
      <c r="D565" s="221" t="s">
        <v>418</v>
      </c>
      <c r="E565" s="221" t="s">
        <v>3991</v>
      </c>
      <c r="F565" s="213" t="s">
        <v>3992</v>
      </c>
      <c r="G565" s="213" t="s">
        <v>4355</v>
      </c>
      <c r="H565" s="213" t="s">
        <v>3991</v>
      </c>
      <c r="I565" s="213" t="s">
        <v>3993</v>
      </c>
      <c r="J565" s="213" t="s">
        <v>3994</v>
      </c>
      <c r="K565" s="213" t="s">
        <v>9400</v>
      </c>
      <c r="L565" s="213" t="s">
        <v>10651</v>
      </c>
      <c r="M565" s="213" t="s">
        <v>10057</v>
      </c>
      <c r="P565" s="121"/>
    </row>
    <row r="566" spans="1:16">
      <c r="A566" s="214" t="s">
        <v>1294</v>
      </c>
      <c r="B566" s="213" t="s">
        <v>417</v>
      </c>
      <c r="C566" s="221" t="s">
        <v>416</v>
      </c>
      <c r="D566" s="221" t="s">
        <v>418</v>
      </c>
      <c r="E566" s="221" t="s">
        <v>3991</v>
      </c>
      <c r="F566" s="213" t="s">
        <v>3992</v>
      </c>
      <c r="G566" s="213" t="s">
        <v>4355</v>
      </c>
      <c r="H566" s="213" t="s">
        <v>3991</v>
      </c>
      <c r="I566" s="213" t="s">
        <v>3993</v>
      </c>
      <c r="J566" s="213" t="s">
        <v>3994</v>
      </c>
      <c r="K566" s="213" t="s">
        <v>9400</v>
      </c>
      <c r="L566" s="213" t="s">
        <v>10651</v>
      </c>
      <c r="M566" s="213" t="s">
        <v>10057</v>
      </c>
      <c r="P566" s="121"/>
    </row>
    <row r="567" spans="1:16">
      <c r="A567" s="213" t="s">
        <v>1296</v>
      </c>
      <c r="B567" s="213" t="s">
        <v>417</v>
      </c>
      <c r="C567" s="221" t="s">
        <v>416</v>
      </c>
      <c r="D567" s="221" t="s">
        <v>418</v>
      </c>
      <c r="E567" s="221" t="s">
        <v>3991</v>
      </c>
      <c r="F567" s="213" t="s">
        <v>3992</v>
      </c>
      <c r="G567" s="213" t="s">
        <v>4355</v>
      </c>
      <c r="H567" s="213" t="s">
        <v>3991</v>
      </c>
      <c r="I567" s="213" t="s">
        <v>3993</v>
      </c>
      <c r="J567" s="213" t="s">
        <v>3994</v>
      </c>
      <c r="K567" s="213" t="s">
        <v>9400</v>
      </c>
      <c r="L567" s="213" t="s">
        <v>10651</v>
      </c>
      <c r="M567" s="213" t="s">
        <v>10057</v>
      </c>
      <c r="P567" s="121"/>
    </row>
    <row r="568" spans="1:16">
      <c r="A568" s="213" t="s">
        <v>1298</v>
      </c>
      <c r="B568" s="213" t="s">
        <v>417</v>
      </c>
      <c r="C568" s="221" t="s">
        <v>416</v>
      </c>
      <c r="D568" s="221" t="s">
        <v>418</v>
      </c>
      <c r="E568" s="221" t="s">
        <v>3991</v>
      </c>
      <c r="F568" s="213" t="s">
        <v>3992</v>
      </c>
      <c r="G568" s="213" t="s">
        <v>4355</v>
      </c>
      <c r="H568" s="213" t="s">
        <v>3991</v>
      </c>
      <c r="I568" s="213" t="s">
        <v>3993</v>
      </c>
      <c r="J568" s="213" t="s">
        <v>3994</v>
      </c>
      <c r="K568" s="213" t="s">
        <v>9400</v>
      </c>
      <c r="L568" s="213" t="s">
        <v>10651</v>
      </c>
      <c r="M568" s="213" t="s">
        <v>10057</v>
      </c>
      <c r="P568" s="121"/>
    </row>
    <row r="569" spans="1:16">
      <c r="A569" s="213" t="s">
        <v>1300</v>
      </c>
      <c r="B569" s="213" t="s">
        <v>417</v>
      </c>
      <c r="C569" s="221" t="s">
        <v>416</v>
      </c>
      <c r="D569" s="221" t="s">
        <v>418</v>
      </c>
      <c r="E569" s="221" t="s">
        <v>3991</v>
      </c>
      <c r="F569" s="213" t="s">
        <v>3992</v>
      </c>
      <c r="G569" s="213" t="s">
        <v>4355</v>
      </c>
      <c r="H569" s="213" t="s">
        <v>3991</v>
      </c>
      <c r="I569" s="213" t="s">
        <v>3993</v>
      </c>
      <c r="J569" s="213" t="s">
        <v>3994</v>
      </c>
      <c r="K569" s="213" t="s">
        <v>9400</v>
      </c>
      <c r="L569" s="213" t="s">
        <v>10651</v>
      </c>
      <c r="M569" s="213" t="s">
        <v>10057</v>
      </c>
      <c r="P569" s="121"/>
    </row>
    <row r="570" spans="1:16">
      <c r="A570" s="213" t="s">
        <v>1301</v>
      </c>
      <c r="B570" s="213" t="s">
        <v>417</v>
      </c>
      <c r="C570" s="221" t="s">
        <v>416</v>
      </c>
      <c r="D570" s="221" t="s">
        <v>418</v>
      </c>
      <c r="E570" s="221" t="s">
        <v>3991</v>
      </c>
      <c r="F570" s="213" t="s">
        <v>3992</v>
      </c>
      <c r="G570" s="213" t="s">
        <v>4355</v>
      </c>
      <c r="H570" s="213" t="s">
        <v>3991</v>
      </c>
      <c r="I570" s="213" t="s">
        <v>3993</v>
      </c>
      <c r="J570" s="213" t="s">
        <v>3994</v>
      </c>
      <c r="K570" s="213" t="s">
        <v>9400</v>
      </c>
      <c r="L570" s="213" t="s">
        <v>10651</v>
      </c>
      <c r="M570" s="213" t="s">
        <v>10057</v>
      </c>
      <c r="P570" s="121"/>
    </row>
    <row r="571" spans="1:16">
      <c r="A571" s="213" t="s">
        <v>1302</v>
      </c>
      <c r="B571" s="213" t="s">
        <v>417</v>
      </c>
      <c r="C571" s="221" t="s">
        <v>416</v>
      </c>
      <c r="D571" s="221" t="s">
        <v>418</v>
      </c>
      <c r="E571" s="221" t="s">
        <v>3991</v>
      </c>
      <c r="F571" s="213" t="s">
        <v>3992</v>
      </c>
      <c r="G571" s="213" t="s">
        <v>4355</v>
      </c>
      <c r="H571" s="213" t="s">
        <v>3991</v>
      </c>
      <c r="I571" s="213" t="s">
        <v>3993</v>
      </c>
      <c r="J571" s="213" t="s">
        <v>3994</v>
      </c>
      <c r="K571" s="213" t="s">
        <v>9400</v>
      </c>
      <c r="L571" s="213" t="s">
        <v>10651</v>
      </c>
      <c r="M571" s="213" t="s">
        <v>10057</v>
      </c>
      <c r="P571" s="121"/>
    </row>
    <row r="572" spans="1:16">
      <c r="A572" s="214" t="s">
        <v>2545</v>
      </c>
      <c r="B572" s="213" t="s">
        <v>822</v>
      </c>
      <c r="C572" s="221" t="s">
        <v>821</v>
      </c>
      <c r="D572" s="221" t="s">
        <v>823</v>
      </c>
      <c r="E572" s="221" t="s">
        <v>4725</v>
      </c>
      <c r="F572" s="213" t="s">
        <v>4726</v>
      </c>
      <c r="G572" s="213" t="s">
        <v>5106</v>
      </c>
      <c r="H572" s="213" t="s">
        <v>4728</v>
      </c>
      <c r="I572" s="213" t="s">
        <v>5107</v>
      </c>
      <c r="J572" s="213" t="s">
        <v>4730</v>
      </c>
      <c r="K572" s="213" t="s">
        <v>9510</v>
      </c>
      <c r="L572" s="213" t="s">
        <v>10761</v>
      </c>
      <c r="M572" s="213" t="s">
        <v>10112</v>
      </c>
      <c r="P572" s="121"/>
    </row>
    <row r="573" spans="1:16">
      <c r="A573" s="213" t="s">
        <v>1303</v>
      </c>
      <c r="B573" s="213" t="s">
        <v>1450</v>
      </c>
      <c r="C573" s="221" t="s">
        <v>821</v>
      </c>
      <c r="D573" s="221" t="s">
        <v>823</v>
      </c>
      <c r="E573" s="221" t="s">
        <v>4725</v>
      </c>
      <c r="F573" s="213" t="s">
        <v>4726</v>
      </c>
      <c r="G573" s="213" t="s">
        <v>5106</v>
      </c>
      <c r="H573" s="213" t="s">
        <v>4728</v>
      </c>
      <c r="I573" s="213" t="s">
        <v>5107</v>
      </c>
      <c r="J573" s="213" t="s">
        <v>5109</v>
      </c>
      <c r="K573" s="213" t="s">
        <v>9510</v>
      </c>
      <c r="L573" s="213" t="s">
        <v>10839</v>
      </c>
      <c r="M573" s="213" t="s">
        <v>10112</v>
      </c>
      <c r="P573" s="121"/>
    </row>
    <row r="574" spans="1:16">
      <c r="A574" s="218" t="s">
        <v>1304</v>
      </c>
      <c r="B574" s="213" t="s">
        <v>1103</v>
      </c>
      <c r="C574" s="221" t="s">
        <v>679</v>
      </c>
      <c r="D574" s="221" t="s">
        <v>1104</v>
      </c>
      <c r="E574" s="221" t="s">
        <v>5243</v>
      </c>
      <c r="F574" s="213" t="s">
        <v>4339</v>
      </c>
      <c r="G574" s="213" t="s">
        <v>4340</v>
      </c>
      <c r="H574" s="213" t="s">
        <v>5091</v>
      </c>
      <c r="I574" s="213" t="s">
        <v>4363</v>
      </c>
      <c r="J574" s="213" t="s">
        <v>4343</v>
      </c>
      <c r="K574" s="213" t="s">
        <v>9542</v>
      </c>
      <c r="L574" s="213" t="s">
        <v>10820</v>
      </c>
      <c r="M574" s="213" t="s">
        <v>10193</v>
      </c>
      <c r="P574" s="121"/>
    </row>
    <row r="575" spans="1:16">
      <c r="A575" s="213" t="s">
        <v>1306</v>
      </c>
      <c r="B575" s="213" t="s">
        <v>822</v>
      </c>
      <c r="C575" s="221" t="s">
        <v>821</v>
      </c>
      <c r="D575" s="221" t="s">
        <v>823</v>
      </c>
      <c r="E575" s="221" t="s">
        <v>4725</v>
      </c>
      <c r="F575" s="213" t="s">
        <v>4726</v>
      </c>
      <c r="G575" s="213" t="s">
        <v>5106</v>
      </c>
      <c r="H575" s="213" t="s">
        <v>4728</v>
      </c>
      <c r="I575" s="213" t="s">
        <v>5107</v>
      </c>
      <c r="J575" s="213" t="s">
        <v>4730</v>
      </c>
      <c r="K575" s="213" t="s">
        <v>9510</v>
      </c>
      <c r="L575" s="213" t="s">
        <v>10761</v>
      </c>
      <c r="M575" s="213" t="s">
        <v>10112</v>
      </c>
      <c r="P575" s="121"/>
    </row>
    <row r="576" spans="1:16">
      <c r="A576" s="218" t="s">
        <v>1308</v>
      </c>
      <c r="B576" s="213" t="s">
        <v>822</v>
      </c>
      <c r="C576" s="221" t="s">
        <v>821</v>
      </c>
      <c r="D576" s="221" t="s">
        <v>823</v>
      </c>
      <c r="E576" s="221" t="s">
        <v>4725</v>
      </c>
      <c r="F576" s="213" t="s">
        <v>4726</v>
      </c>
      <c r="G576" s="213" t="s">
        <v>5106</v>
      </c>
      <c r="H576" s="213" t="s">
        <v>4728</v>
      </c>
      <c r="I576" s="213" t="s">
        <v>5107</v>
      </c>
      <c r="J576" s="213" t="s">
        <v>4730</v>
      </c>
      <c r="K576" s="213" t="s">
        <v>9510</v>
      </c>
      <c r="L576" s="213" t="s">
        <v>10761</v>
      </c>
      <c r="M576" s="213" t="s">
        <v>10112</v>
      </c>
      <c r="P576" s="121"/>
    </row>
    <row r="577" spans="1:16">
      <c r="A577" s="213" t="s">
        <v>2546</v>
      </c>
      <c r="B577" s="213" t="s">
        <v>2851</v>
      </c>
      <c r="C577" s="221" t="s">
        <v>2964</v>
      </c>
      <c r="D577" s="221" t="s">
        <v>3019</v>
      </c>
      <c r="E577" s="221" t="s">
        <v>4350</v>
      </c>
      <c r="F577" s="213" t="s">
        <v>5244</v>
      </c>
      <c r="G577" s="213" t="s">
        <v>4352</v>
      </c>
      <c r="H577" s="213" t="s">
        <v>5245</v>
      </c>
      <c r="I577" s="213" t="s">
        <v>5246</v>
      </c>
      <c r="J577" s="213" t="s">
        <v>4354</v>
      </c>
      <c r="K577" s="213" t="s">
        <v>9459</v>
      </c>
      <c r="L577" s="213" t="s">
        <v>10840</v>
      </c>
      <c r="M577" s="213" t="s">
        <v>10194</v>
      </c>
      <c r="P577" s="121"/>
    </row>
    <row r="578" spans="1:16">
      <c r="A578" s="213" t="s">
        <v>1310</v>
      </c>
      <c r="B578" s="213" t="s">
        <v>822</v>
      </c>
      <c r="C578" s="221" t="s">
        <v>821</v>
      </c>
      <c r="D578" s="221" t="s">
        <v>823</v>
      </c>
      <c r="E578" s="221" t="s">
        <v>4725</v>
      </c>
      <c r="F578" s="213" t="s">
        <v>4726</v>
      </c>
      <c r="G578" s="213" t="s">
        <v>5106</v>
      </c>
      <c r="H578" s="213" t="s">
        <v>4728</v>
      </c>
      <c r="I578" s="213" t="s">
        <v>5107</v>
      </c>
      <c r="J578" s="213" t="s">
        <v>4730</v>
      </c>
      <c r="K578" s="213" t="s">
        <v>9510</v>
      </c>
      <c r="L578" s="213" t="s">
        <v>10761</v>
      </c>
      <c r="M578" s="213" t="s">
        <v>10112</v>
      </c>
      <c r="P578" s="121"/>
    </row>
    <row r="579" spans="1:16">
      <c r="A579" s="214" t="s">
        <v>1313</v>
      </c>
      <c r="B579" s="213" t="s">
        <v>822</v>
      </c>
      <c r="C579" s="221" t="s">
        <v>821</v>
      </c>
      <c r="D579" s="221" t="s">
        <v>823</v>
      </c>
      <c r="E579" s="221" t="s">
        <v>4725</v>
      </c>
      <c r="F579" s="213" t="s">
        <v>4726</v>
      </c>
      <c r="G579" s="213" t="s">
        <v>5106</v>
      </c>
      <c r="H579" s="213" t="s">
        <v>4728</v>
      </c>
      <c r="I579" s="213" t="s">
        <v>5107</v>
      </c>
      <c r="J579" s="213" t="s">
        <v>4730</v>
      </c>
      <c r="K579" s="213" t="s">
        <v>9510</v>
      </c>
      <c r="L579" s="213" t="s">
        <v>10761</v>
      </c>
      <c r="M579" s="213" t="s">
        <v>10112</v>
      </c>
      <c r="P579" s="121"/>
    </row>
    <row r="580" spans="1:16">
      <c r="A580" s="213" t="s">
        <v>1316</v>
      </c>
      <c r="B580" s="213" t="s">
        <v>822</v>
      </c>
      <c r="C580" s="221" t="s">
        <v>821</v>
      </c>
      <c r="D580" s="221" t="s">
        <v>823</v>
      </c>
      <c r="E580" s="221" t="s">
        <v>4725</v>
      </c>
      <c r="F580" s="213" t="s">
        <v>4726</v>
      </c>
      <c r="G580" s="213" t="s">
        <v>5106</v>
      </c>
      <c r="H580" s="213" t="s">
        <v>4728</v>
      </c>
      <c r="I580" s="213" t="s">
        <v>5107</v>
      </c>
      <c r="J580" s="213" t="s">
        <v>4730</v>
      </c>
      <c r="K580" s="213" t="s">
        <v>9510</v>
      </c>
      <c r="L580" s="213" t="s">
        <v>10761</v>
      </c>
      <c r="M580" s="213" t="s">
        <v>10112</v>
      </c>
      <c r="P580" s="121"/>
    </row>
    <row r="581" spans="1:16">
      <c r="A581" s="213" t="s">
        <v>1318</v>
      </c>
      <c r="B581" s="213" t="s">
        <v>1185</v>
      </c>
      <c r="C581" s="221" t="s">
        <v>1184</v>
      </c>
      <c r="D581" s="221" t="s">
        <v>1186</v>
      </c>
      <c r="E581" s="221" t="s">
        <v>5247</v>
      </c>
      <c r="F581" s="213" t="s">
        <v>5138</v>
      </c>
      <c r="G581" s="213" t="s">
        <v>5139</v>
      </c>
      <c r="H581" s="213" t="s">
        <v>5140</v>
      </c>
      <c r="I581" s="213" t="s">
        <v>5141</v>
      </c>
      <c r="J581" s="213" t="s">
        <v>5142</v>
      </c>
      <c r="K581" s="213" t="s">
        <v>9528</v>
      </c>
      <c r="L581" s="213" t="s">
        <v>10826</v>
      </c>
      <c r="M581" s="213" t="s">
        <v>10178</v>
      </c>
      <c r="P581" s="121"/>
    </row>
    <row r="582" spans="1:16">
      <c r="A582" s="213" t="s">
        <v>1321</v>
      </c>
      <c r="B582" s="213" t="s">
        <v>864</v>
      </c>
      <c r="C582" s="221" t="s">
        <v>863</v>
      </c>
      <c r="D582" s="221" t="s">
        <v>1157</v>
      </c>
      <c r="E582" s="221" t="s">
        <v>4702</v>
      </c>
      <c r="F582" s="213" t="s">
        <v>5248</v>
      </c>
      <c r="G582" s="213" t="s">
        <v>5135</v>
      </c>
      <c r="H582" s="213" t="s">
        <v>4705</v>
      </c>
      <c r="I582" s="213" t="s">
        <v>4706</v>
      </c>
      <c r="J582" s="213" t="s">
        <v>4707</v>
      </c>
      <c r="K582" s="213" t="s">
        <v>9506</v>
      </c>
      <c r="L582" s="213" t="s">
        <v>10757</v>
      </c>
      <c r="M582" s="213" t="s">
        <v>10108</v>
      </c>
      <c r="P582" s="121"/>
    </row>
    <row r="583" spans="1:16">
      <c r="A583" s="213" t="s">
        <v>1323</v>
      </c>
      <c r="B583" s="213" t="s">
        <v>864</v>
      </c>
      <c r="C583" s="221" t="s">
        <v>863</v>
      </c>
      <c r="D583" s="221" t="s">
        <v>1157</v>
      </c>
      <c r="E583" s="221" t="s">
        <v>4702</v>
      </c>
      <c r="F583" s="213" t="s">
        <v>5248</v>
      </c>
      <c r="G583" s="213" t="s">
        <v>5135</v>
      </c>
      <c r="H583" s="213" t="s">
        <v>4705</v>
      </c>
      <c r="I583" s="213" t="s">
        <v>4706</v>
      </c>
      <c r="J583" s="213" t="s">
        <v>4707</v>
      </c>
      <c r="K583" s="213" t="s">
        <v>9506</v>
      </c>
      <c r="L583" s="213" t="s">
        <v>10757</v>
      </c>
      <c r="M583" s="213" t="s">
        <v>10108</v>
      </c>
      <c r="P583" s="121"/>
    </row>
    <row r="584" spans="1:16">
      <c r="A584" s="219" t="s">
        <v>1324</v>
      </c>
      <c r="B584" s="213" t="s">
        <v>864</v>
      </c>
      <c r="C584" s="221" t="s">
        <v>863</v>
      </c>
      <c r="D584" s="221" t="s">
        <v>1157</v>
      </c>
      <c r="E584" s="221" t="s">
        <v>4702</v>
      </c>
      <c r="F584" s="213" t="s">
        <v>5248</v>
      </c>
      <c r="G584" s="213" t="s">
        <v>5135</v>
      </c>
      <c r="H584" s="213" t="s">
        <v>4705</v>
      </c>
      <c r="I584" s="213" t="s">
        <v>4706</v>
      </c>
      <c r="J584" s="213" t="s">
        <v>4707</v>
      </c>
      <c r="K584" s="213" t="s">
        <v>9506</v>
      </c>
      <c r="L584" s="213" t="s">
        <v>10757</v>
      </c>
      <c r="M584" s="213" t="s">
        <v>10108</v>
      </c>
      <c r="P584" s="121"/>
    </row>
    <row r="585" spans="1:16">
      <c r="A585" s="213" t="s">
        <v>1326</v>
      </c>
      <c r="B585" s="213" t="s">
        <v>864</v>
      </c>
      <c r="C585" s="221" t="s">
        <v>863</v>
      </c>
      <c r="D585" s="221" t="s">
        <v>1157</v>
      </c>
      <c r="E585" s="221" t="s">
        <v>4702</v>
      </c>
      <c r="F585" s="213" t="s">
        <v>5248</v>
      </c>
      <c r="G585" s="213" t="s">
        <v>5135</v>
      </c>
      <c r="H585" s="213" t="s">
        <v>4705</v>
      </c>
      <c r="I585" s="213" t="s">
        <v>4706</v>
      </c>
      <c r="J585" s="213" t="s">
        <v>4707</v>
      </c>
      <c r="K585" s="213" t="s">
        <v>9506</v>
      </c>
      <c r="L585" s="213" t="s">
        <v>10757</v>
      </c>
      <c r="M585" s="213" t="s">
        <v>10108</v>
      </c>
      <c r="P585" s="121"/>
    </row>
    <row r="586" spans="1:16">
      <c r="A586" s="219" t="s">
        <v>1327</v>
      </c>
      <c r="B586" s="213" t="s">
        <v>2852</v>
      </c>
      <c r="C586" s="221" t="s">
        <v>1329</v>
      </c>
      <c r="D586" s="221" t="s">
        <v>1330</v>
      </c>
      <c r="E586" s="221" t="s">
        <v>5249</v>
      </c>
      <c r="F586" s="213" t="s">
        <v>5250</v>
      </c>
      <c r="G586" s="213" t="s">
        <v>5251</v>
      </c>
      <c r="H586" s="213" t="s">
        <v>5252</v>
      </c>
      <c r="I586" s="213" t="s">
        <v>5253</v>
      </c>
      <c r="J586" s="213" t="s">
        <v>5254</v>
      </c>
      <c r="K586" s="213" t="s">
        <v>9543</v>
      </c>
      <c r="L586" s="213" t="s">
        <v>10841</v>
      </c>
      <c r="M586" s="213" t="s">
        <v>10195</v>
      </c>
      <c r="P586" s="121"/>
    </row>
    <row r="587" spans="1:16">
      <c r="A587" s="213" t="s">
        <v>1331</v>
      </c>
      <c r="B587" s="213" t="s">
        <v>864</v>
      </c>
      <c r="C587" s="221" t="s">
        <v>863</v>
      </c>
      <c r="D587" s="221" t="s">
        <v>1157</v>
      </c>
      <c r="E587" s="221" t="s">
        <v>4702</v>
      </c>
      <c r="F587" s="213" t="s">
        <v>5248</v>
      </c>
      <c r="G587" s="213" t="s">
        <v>5135</v>
      </c>
      <c r="H587" s="213" t="s">
        <v>4705</v>
      </c>
      <c r="I587" s="213" t="s">
        <v>4706</v>
      </c>
      <c r="J587" s="213" t="s">
        <v>4707</v>
      </c>
      <c r="K587" s="213" t="s">
        <v>9506</v>
      </c>
      <c r="L587" s="213" t="s">
        <v>10757</v>
      </c>
      <c r="M587" s="213" t="s">
        <v>10108</v>
      </c>
      <c r="P587" s="121"/>
    </row>
    <row r="588" spans="1:16">
      <c r="A588" s="213" t="s">
        <v>1332</v>
      </c>
      <c r="B588" s="213" t="s">
        <v>864</v>
      </c>
      <c r="C588" s="221" t="s">
        <v>863</v>
      </c>
      <c r="D588" s="221" t="s">
        <v>1157</v>
      </c>
      <c r="E588" s="221" t="s">
        <v>4702</v>
      </c>
      <c r="F588" s="213" t="s">
        <v>4703</v>
      </c>
      <c r="G588" s="213" t="s">
        <v>5135</v>
      </c>
      <c r="H588" s="213" t="s">
        <v>4705</v>
      </c>
      <c r="I588" s="213" t="s">
        <v>4706</v>
      </c>
      <c r="J588" s="213" t="s">
        <v>5215</v>
      </c>
      <c r="K588" s="213" t="s">
        <v>9506</v>
      </c>
      <c r="L588" s="213" t="s">
        <v>10842</v>
      </c>
      <c r="M588" s="213" t="s">
        <v>10108</v>
      </c>
      <c r="P588" s="121"/>
    </row>
    <row r="589" spans="1:16">
      <c r="A589" s="213" t="s">
        <v>1333</v>
      </c>
      <c r="B589" s="213" t="s">
        <v>1103</v>
      </c>
      <c r="C589" s="221" t="s">
        <v>679</v>
      </c>
      <c r="D589" s="221" t="s">
        <v>1104</v>
      </c>
      <c r="E589" s="221" t="s">
        <v>5243</v>
      </c>
      <c r="F589" s="213" t="s">
        <v>4339</v>
      </c>
      <c r="G589" s="213" t="s">
        <v>4340</v>
      </c>
      <c r="H589" s="213" t="s">
        <v>5091</v>
      </c>
      <c r="I589" s="213" t="s">
        <v>4363</v>
      </c>
      <c r="J589" s="213" t="s">
        <v>4343</v>
      </c>
      <c r="K589" s="213" t="s">
        <v>9542</v>
      </c>
      <c r="L589" s="213" t="s">
        <v>10820</v>
      </c>
      <c r="M589" s="213" t="s">
        <v>10193</v>
      </c>
      <c r="P589" s="121"/>
    </row>
    <row r="590" spans="1:16">
      <c r="A590" s="213" t="s">
        <v>1334</v>
      </c>
      <c r="B590" s="213" t="s">
        <v>1337</v>
      </c>
      <c r="C590" s="221" t="s">
        <v>1336</v>
      </c>
      <c r="D590" s="221" t="s">
        <v>1338</v>
      </c>
      <c r="E590" s="221" t="s">
        <v>5255</v>
      </c>
      <c r="F590" s="213" t="s">
        <v>5256</v>
      </c>
      <c r="G590" s="213" t="s">
        <v>5257</v>
      </c>
      <c r="H590" s="213" t="s">
        <v>5258</v>
      </c>
      <c r="I590" s="213" t="s">
        <v>5259</v>
      </c>
      <c r="J590" s="213" t="s">
        <v>5260</v>
      </c>
      <c r="K590" s="213" t="s">
        <v>9544</v>
      </c>
      <c r="L590" s="213" t="s">
        <v>10843</v>
      </c>
      <c r="M590" s="213" t="s">
        <v>10196</v>
      </c>
      <c r="P590" s="121"/>
    </row>
    <row r="591" spans="1:16">
      <c r="A591" s="213" t="s">
        <v>2547</v>
      </c>
      <c r="B591" s="213" t="s">
        <v>864</v>
      </c>
      <c r="C591" s="221" t="s">
        <v>863</v>
      </c>
      <c r="D591" s="221" t="s">
        <v>1157</v>
      </c>
      <c r="E591" s="221" t="s">
        <v>4702</v>
      </c>
      <c r="F591" s="213" t="s">
        <v>4703</v>
      </c>
      <c r="G591" s="213" t="s">
        <v>5135</v>
      </c>
      <c r="H591" s="213" t="s">
        <v>4705</v>
      </c>
      <c r="I591" s="213" t="s">
        <v>4706</v>
      </c>
      <c r="J591" s="213" t="s">
        <v>4707</v>
      </c>
      <c r="K591" s="213" t="s">
        <v>9506</v>
      </c>
      <c r="L591" s="213" t="s">
        <v>10757</v>
      </c>
      <c r="M591" s="213" t="s">
        <v>10108</v>
      </c>
      <c r="P591" s="121"/>
    </row>
    <row r="592" spans="1:16">
      <c r="A592" s="213" t="s">
        <v>1339</v>
      </c>
      <c r="B592" s="213" t="s">
        <v>1103</v>
      </c>
      <c r="C592" s="221" t="s">
        <v>679</v>
      </c>
      <c r="D592" s="221" t="s">
        <v>1104</v>
      </c>
      <c r="E592" s="221" t="s">
        <v>5243</v>
      </c>
      <c r="F592" s="213" t="s">
        <v>4339</v>
      </c>
      <c r="G592" s="213" t="s">
        <v>4340</v>
      </c>
      <c r="H592" s="213" t="s">
        <v>5091</v>
      </c>
      <c r="I592" s="213" t="s">
        <v>4363</v>
      </c>
      <c r="J592" s="213" t="s">
        <v>4343</v>
      </c>
      <c r="K592" s="213" t="s">
        <v>9542</v>
      </c>
      <c r="L592" s="213" t="s">
        <v>10820</v>
      </c>
      <c r="M592" s="213" t="s">
        <v>10193</v>
      </c>
      <c r="P592" s="121"/>
    </row>
    <row r="593" spans="1:16">
      <c r="A593" s="214" t="s">
        <v>1341</v>
      </c>
      <c r="B593" s="213" t="s">
        <v>1343</v>
      </c>
      <c r="C593" s="221" t="s">
        <v>1342</v>
      </c>
      <c r="D593" s="221" t="s">
        <v>1344</v>
      </c>
      <c r="E593" s="221" t="s">
        <v>5261</v>
      </c>
      <c r="F593" s="213" t="s">
        <v>5262</v>
      </c>
      <c r="G593" s="213" t="s">
        <v>5263</v>
      </c>
      <c r="H593" s="213" t="s">
        <v>5264</v>
      </c>
      <c r="I593" s="213" t="s">
        <v>5265</v>
      </c>
      <c r="J593" s="213" t="s">
        <v>5266</v>
      </c>
      <c r="K593" s="213" t="s">
        <v>9545</v>
      </c>
      <c r="L593" s="213" t="s">
        <v>10844</v>
      </c>
      <c r="M593" s="213" t="s">
        <v>10197</v>
      </c>
      <c r="P593" s="121"/>
    </row>
    <row r="594" spans="1:16">
      <c r="A594" s="213" t="s">
        <v>2549</v>
      </c>
      <c r="B594" s="213" t="s">
        <v>1377</v>
      </c>
      <c r="C594" s="221" t="s">
        <v>1376</v>
      </c>
      <c r="D594" s="221" t="s">
        <v>1378</v>
      </c>
      <c r="E594" s="221" t="s">
        <v>5267</v>
      </c>
      <c r="F594" s="213" t="s">
        <v>5268</v>
      </c>
      <c r="G594" s="213" t="s">
        <v>5269</v>
      </c>
      <c r="H594" s="213" t="s">
        <v>5270</v>
      </c>
      <c r="I594" s="213" t="s">
        <v>5271</v>
      </c>
      <c r="J594" s="213" t="s">
        <v>5272</v>
      </c>
      <c r="K594" s="213" t="s">
        <v>9546</v>
      </c>
      <c r="L594" s="213" t="s">
        <v>10845</v>
      </c>
      <c r="M594" s="213" t="s">
        <v>10198</v>
      </c>
      <c r="P594" s="121"/>
    </row>
    <row r="595" spans="1:16">
      <c r="A595" s="213" t="s">
        <v>1346</v>
      </c>
      <c r="B595" s="213" t="s">
        <v>881</v>
      </c>
      <c r="C595" s="221" t="s">
        <v>880</v>
      </c>
      <c r="D595" s="221" t="s">
        <v>1345</v>
      </c>
      <c r="E595" s="221" t="s">
        <v>4737</v>
      </c>
      <c r="F595" s="213" t="s">
        <v>4738</v>
      </c>
      <c r="G595" s="213" t="s">
        <v>5273</v>
      </c>
      <c r="H595" s="213" t="s">
        <v>4740</v>
      </c>
      <c r="I595" s="213" t="s">
        <v>4741</v>
      </c>
      <c r="J595" s="213" t="s">
        <v>4742</v>
      </c>
      <c r="K595" s="213" t="s">
        <v>9512</v>
      </c>
      <c r="L595" s="213" t="s">
        <v>10763</v>
      </c>
      <c r="M595" s="213" t="s">
        <v>10114</v>
      </c>
      <c r="P595" s="121"/>
    </row>
    <row r="596" spans="1:16">
      <c r="A596" s="213" t="s">
        <v>1348</v>
      </c>
      <c r="B596" s="213" t="s">
        <v>1351</v>
      </c>
      <c r="C596" s="221" t="s">
        <v>1350</v>
      </c>
      <c r="D596" s="221" t="s">
        <v>1352</v>
      </c>
      <c r="E596" s="221" t="s">
        <v>5274</v>
      </c>
      <c r="F596" s="213" t="s">
        <v>5275</v>
      </c>
      <c r="G596" s="213" t="s">
        <v>5276</v>
      </c>
      <c r="H596" s="213" t="s">
        <v>5277</v>
      </c>
      <c r="I596" s="213" t="s">
        <v>5278</v>
      </c>
      <c r="J596" s="213" t="s">
        <v>5279</v>
      </c>
      <c r="K596" s="213" t="s">
        <v>9547</v>
      </c>
      <c r="L596" s="213" t="s">
        <v>10846</v>
      </c>
      <c r="M596" s="213" t="s">
        <v>10199</v>
      </c>
      <c r="P596" s="121"/>
    </row>
    <row r="597" spans="1:16">
      <c r="A597" s="213" t="s">
        <v>1353</v>
      </c>
      <c r="B597" s="213" t="s">
        <v>881</v>
      </c>
      <c r="C597" s="221" t="s">
        <v>880</v>
      </c>
      <c r="D597" s="221" t="s">
        <v>1345</v>
      </c>
      <c r="E597" s="221" t="s">
        <v>4737</v>
      </c>
      <c r="F597" s="213" t="s">
        <v>4738</v>
      </c>
      <c r="G597" s="213" t="s">
        <v>5273</v>
      </c>
      <c r="H597" s="213" t="s">
        <v>4740</v>
      </c>
      <c r="I597" s="213" t="s">
        <v>4741</v>
      </c>
      <c r="J597" s="213" t="s">
        <v>4742</v>
      </c>
      <c r="K597" s="213" t="s">
        <v>9512</v>
      </c>
      <c r="L597" s="213" t="s">
        <v>10763</v>
      </c>
      <c r="M597" s="213" t="s">
        <v>10114</v>
      </c>
      <c r="P597" s="121"/>
    </row>
    <row r="598" spans="1:16">
      <c r="A598" s="213" t="s">
        <v>1355</v>
      </c>
      <c r="B598" s="213" t="s">
        <v>1358</v>
      </c>
      <c r="C598" s="221" t="s">
        <v>1357</v>
      </c>
      <c r="D598" s="221" t="s">
        <v>1359</v>
      </c>
      <c r="E598" s="221" t="s">
        <v>5280</v>
      </c>
      <c r="F598" s="213" t="s">
        <v>5281</v>
      </c>
      <c r="G598" s="213" t="s">
        <v>5282</v>
      </c>
      <c r="H598" s="213" t="s">
        <v>5283</v>
      </c>
      <c r="I598" s="213" t="s">
        <v>5284</v>
      </c>
      <c r="J598" s="213" t="s">
        <v>5285</v>
      </c>
      <c r="K598" s="213" t="s">
        <v>9548</v>
      </c>
      <c r="L598" s="213" t="s">
        <v>10847</v>
      </c>
      <c r="M598" s="213" t="s">
        <v>10200</v>
      </c>
      <c r="P598" s="121"/>
    </row>
    <row r="599" spans="1:16">
      <c r="A599" s="213" t="s">
        <v>1360</v>
      </c>
      <c r="B599" s="213" t="s">
        <v>1363</v>
      </c>
      <c r="C599" s="221" t="s">
        <v>1362</v>
      </c>
      <c r="D599" s="221" t="s">
        <v>1364</v>
      </c>
      <c r="E599" s="221" t="s">
        <v>5286</v>
      </c>
      <c r="F599" s="213" t="s">
        <v>5287</v>
      </c>
      <c r="G599" s="213" t="s">
        <v>5288</v>
      </c>
      <c r="H599" s="213" t="s">
        <v>5289</v>
      </c>
      <c r="I599" s="213" t="s">
        <v>5290</v>
      </c>
      <c r="J599" s="213" t="s">
        <v>5291</v>
      </c>
      <c r="K599" s="213" t="s">
        <v>9549</v>
      </c>
      <c r="L599" s="213" t="s">
        <v>10848</v>
      </c>
      <c r="M599" s="213" t="s">
        <v>10201</v>
      </c>
      <c r="P599" s="121"/>
    </row>
    <row r="600" spans="1:16">
      <c r="A600" s="213" t="s">
        <v>1365</v>
      </c>
      <c r="B600" s="213" t="s">
        <v>870</v>
      </c>
      <c r="C600" s="221" t="s">
        <v>869</v>
      </c>
      <c r="D600" s="221" t="s">
        <v>1076</v>
      </c>
      <c r="E600" s="221" t="s">
        <v>4708</v>
      </c>
      <c r="F600" s="213" t="s">
        <v>4709</v>
      </c>
      <c r="G600" s="213" t="s">
        <v>5150</v>
      </c>
      <c r="H600" s="213" t="s">
        <v>4711</v>
      </c>
      <c r="I600" s="213" t="s">
        <v>4712</v>
      </c>
      <c r="J600" s="213" t="s">
        <v>4713</v>
      </c>
      <c r="K600" s="213" t="s">
        <v>9507</v>
      </c>
      <c r="L600" s="213" t="s">
        <v>10758</v>
      </c>
      <c r="M600" s="213" t="s">
        <v>10109</v>
      </c>
      <c r="P600" s="121"/>
    </row>
    <row r="601" spans="1:16">
      <c r="A601" s="213" t="s">
        <v>1367</v>
      </c>
      <c r="B601" s="213" t="s">
        <v>1092</v>
      </c>
      <c r="C601" s="221" t="s">
        <v>1075</v>
      </c>
      <c r="D601" s="221" t="s">
        <v>1093</v>
      </c>
      <c r="E601" s="221" t="s">
        <v>5073</v>
      </c>
      <c r="F601" s="213" t="s">
        <v>5074</v>
      </c>
      <c r="G601" s="213" t="s">
        <v>5075</v>
      </c>
      <c r="H601" s="213" t="s">
        <v>5076</v>
      </c>
      <c r="I601" s="213" t="s">
        <v>5077</v>
      </c>
      <c r="J601" s="213" t="s">
        <v>5151</v>
      </c>
      <c r="K601" s="213" t="s">
        <v>9519</v>
      </c>
      <c r="L601" s="213" t="s">
        <v>10817</v>
      </c>
      <c r="M601" s="213" t="s">
        <v>10202</v>
      </c>
      <c r="P601" s="121"/>
    </row>
    <row r="602" spans="1:16">
      <c r="A602" s="213" t="s">
        <v>5292</v>
      </c>
      <c r="B602" s="213" t="s">
        <v>1092</v>
      </c>
      <c r="C602" s="221" t="s">
        <v>1075</v>
      </c>
      <c r="D602" s="221" t="s">
        <v>1093</v>
      </c>
      <c r="E602" s="221" t="s">
        <v>5073</v>
      </c>
      <c r="F602" s="213" t="s">
        <v>5074</v>
      </c>
      <c r="G602" s="213" t="s">
        <v>5075</v>
      </c>
      <c r="H602" s="213" t="s">
        <v>5076</v>
      </c>
      <c r="I602" s="213" t="s">
        <v>5077</v>
      </c>
      <c r="J602" s="213" t="s">
        <v>5153</v>
      </c>
      <c r="K602" s="213" t="s">
        <v>9519</v>
      </c>
      <c r="L602" s="213" t="s">
        <v>10817</v>
      </c>
      <c r="M602" s="213" t="s">
        <v>10202</v>
      </c>
      <c r="P602" s="121"/>
    </row>
    <row r="603" spans="1:16">
      <c r="A603" s="213" t="s">
        <v>2550</v>
      </c>
      <c r="B603" s="213" t="s">
        <v>1092</v>
      </c>
      <c r="C603" s="221" t="s">
        <v>1075</v>
      </c>
      <c r="D603" s="221" t="s">
        <v>1093</v>
      </c>
      <c r="E603" s="221" t="s">
        <v>5073</v>
      </c>
      <c r="F603" s="213" t="s">
        <v>5074</v>
      </c>
      <c r="G603" s="213" t="s">
        <v>5075</v>
      </c>
      <c r="H603" s="213" t="s">
        <v>5076</v>
      </c>
      <c r="I603" s="213" t="s">
        <v>5077</v>
      </c>
      <c r="J603" s="213" t="s">
        <v>5151</v>
      </c>
      <c r="K603" s="213" t="s">
        <v>9519</v>
      </c>
      <c r="L603" s="213" t="s">
        <v>10817</v>
      </c>
      <c r="M603" s="213" t="s">
        <v>10202</v>
      </c>
      <c r="P603" s="121"/>
    </row>
    <row r="604" spans="1:16">
      <c r="A604" s="213" t="s">
        <v>2552</v>
      </c>
      <c r="B604" s="213" t="s">
        <v>1092</v>
      </c>
      <c r="C604" s="221" t="s">
        <v>1075</v>
      </c>
      <c r="D604" s="221" t="s">
        <v>1093</v>
      </c>
      <c r="E604" s="221" t="s">
        <v>5073</v>
      </c>
      <c r="F604" s="213" t="s">
        <v>5074</v>
      </c>
      <c r="G604" s="213" t="s">
        <v>5075</v>
      </c>
      <c r="H604" s="213" t="s">
        <v>5076</v>
      </c>
      <c r="I604" s="213" t="s">
        <v>5077</v>
      </c>
      <c r="J604" s="213" t="s">
        <v>5151</v>
      </c>
      <c r="K604" s="213" t="s">
        <v>9519</v>
      </c>
      <c r="L604" s="213" t="s">
        <v>10817</v>
      </c>
      <c r="M604" s="213" t="s">
        <v>10202</v>
      </c>
      <c r="P604" s="121"/>
    </row>
    <row r="605" spans="1:16">
      <c r="A605" s="213" t="s">
        <v>1368</v>
      </c>
      <c r="B605" s="213" t="s">
        <v>1092</v>
      </c>
      <c r="C605" s="221" t="s">
        <v>1075</v>
      </c>
      <c r="D605" s="221" t="s">
        <v>1093</v>
      </c>
      <c r="E605" s="221" t="s">
        <v>5073</v>
      </c>
      <c r="F605" s="213" t="s">
        <v>5074</v>
      </c>
      <c r="G605" s="213" t="s">
        <v>5075</v>
      </c>
      <c r="H605" s="213" t="s">
        <v>5076</v>
      </c>
      <c r="I605" s="213" t="s">
        <v>5077</v>
      </c>
      <c r="J605" s="213" t="s">
        <v>5151</v>
      </c>
      <c r="K605" s="213" t="s">
        <v>9519</v>
      </c>
      <c r="L605" s="213" t="s">
        <v>10817</v>
      </c>
      <c r="M605" s="213" t="s">
        <v>10202</v>
      </c>
      <c r="P605" s="121"/>
    </row>
    <row r="606" spans="1:16">
      <c r="A606" s="213" t="s">
        <v>1369</v>
      </c>
      <c r="B606" s="213" t="s">
        <v>1092</v>
      </c>
      <c r="C606" s="221" t="s">
        <v>1075</v>
      </c>
      <c r="D606" s="221" t="s">
        <v>1093</v>
      </c>
      <c r="E606" s="221" t="s">
        <v>5073</v>
      </c>
      <c r="F606" s="213" t="s">
        <v>5074</v>
      </c>
      <c r="G606" s="213" t="s">
        <v>5075</v>
      </c>
      <c r="H606" s="213" t="s">
        <v>5076</v>
      </c>
      <c r="I606" s="213" t="s">
        <v>5077</v>
      </c>
      <c r="J606" s="213" t="s">
        <v>5151</v>
      </c>
      <c r="K606" s="213" t="s">
        <v>9519</v>
      </c>
      <c r="L606" s="213" t="s">
        <v>10817</v>
      </c>
      <c r="M606" s="213" t="s">
        <v>10202</v>
      </c>
      <c r="P606" s="121"/>
    </row>
    <row r="607" spans="1:16">
      <c r="A607" s="213" t="s">
        <v>1371</v>
      </c>
      <c r="B607" s="213" t="s">
        <v>1240</v>
      </c>
      <c r="C607" s="221" t="s">
        <v>1239</v>
      </c>
      <c r="D607" s="221" t="s">
        <v>1241</v>
      </c>
      <c r="E607" s="221" t="s">
        <v>5177</v>
      </c>
      <c r="F607" s="213" t="s">
        <v>5178</v>
      </c>
      <c r="G607" s="213" t="s">
        <v>5179</v>
      </c>
      <c r="H607" s="213" t="s">
        <v>5180</v>
      </c>
      <c r="I607" s="213" t="s">
        <v>5181</v>
      </c>
      <c r="J607" s="213" t="s">
        <v>5182</v>
      </c>
      <c r="K607" s="213" t="s">
        <v>9533</v>
      </c>
      <c r="L607" s="213" t="s">
        <v>10831</v>
      </c>
      <c r="M607" s="213" t="s">
        <v>10202</v>
      </c>
      <c r="P607" s="121"/>
    </row>
    <row r="608" spans="1:16">
      <c r="A608" s="213" t="s">
        <v>1373</v>
      </c>
      <c r="B608" s="213" t="s">
        <v>1377</v>
      </c>
      <c r="C608" s="221" t="s">
        <v>1376</v>
      </c>
      <c r="D608" s="221" t="s">
        <v>1378</v>
      </c>
      <c r="E608" s="221" t="s">
        <v>5267</v>
      </c>
      <c r="F608" s="213" t="s">
        <v>5268</v>
      </c>
      <c r="G608" s="213" t="s">
        <v>5269</v>
      </c>
      <c r="H608" s="213" t="s">
        <v>5270</v>
      </c>
      <c r="I608" s="213" t="s">
        <v>5271</v>
      </c>
      <c r="J608" s="213" t="s">
        <v>5272</v>
      </c>
      <c r="K608" s="213" t="s">
        <v>9546</v>
      </c>
      <c r="L608" s="213" t="s">
        <v>10845</v>
      </c>
      <c r="M608" s="213" t="s">
        <v>10202</v>
      </c>
      <c r="P608" s="121"/>
    </row>
    <row r="609" spans="1:16">
      <c r="A609" s="213" t="s">
        <v>5293</v>
      </c>
      <c r="B609" s="213" t="s">
        <v>864</v>
      </c>
      <c r="C609" s="221" t="s">
        <v>863</v>
      </c>
      <c r="D609" s="221" t="s">
        <v>1157</v>
      </c>
      <c r="E609" s="221" t="s">
        <v>4702</v>
      </c>
      <c r="F609" s="213" t="s">
        <v>4703</v>
      </c>
      <c r="G609" s="213" t="s">
        <v>5135</v>
      </c>
      <c r="H609" s="213" t="s">
        <v>4705</v>
      </c>
      <c r="I609" s="213" t="s">
        <v>4706</v>
      </c>
      <c r="J609" s="213" t="s">
        <v>5215</v>
      </c>
      <c r="K609" s="213" t="s">
        <v>9506</v>
      </c>
      <c r="L609" s="213" t="s">
        <v>10757</v>
      </c>
      <c r="M609" s="213" t="s">
        <v>10202</v>
      </c>
      <c r="P609" s="121"/>
    </row>
    <row r="610" spans="1:16">
      <c r="A610" s="214" t="s">
        <v>2554</v>
      </c>
      <c r="B610" s="213" t="s">
        <v>1234</v>
      </c>
      <c r="C610" s="221" t="s">
        <v>1233</v>
      </c>
      <c r="D610" s="221" t="s">
        <v>1235</v>
      </c>
      <c r="E610" s="221" t="s">
        <v>5079</v>
      </c>
      <c r="F610" s="213" t="s">
        <v>5080</v>
      </c>
      <c r="G610" s="213" t="s">
        <v>5081</v>
      </c>
      <c r="H610" s="213" t="s">
        <v>5082</v>
      </c>
      <c r="I610" s="213" t="s">
        <v>5083</v>
      </c>
      <c r="J610" s="213" t="s">
        <v>5174</v>
      </c>
      <c r="K610" s="213" t="s">
        <v>9520</v>
      </c>
      <c r="L610" s="213" t="s">
        <v>10818</v>
      </c>
      <c r="M610" s="213" t="s">
        <v>10202</v>
      </c>
      <c r="P610" s="121"/>
    </row>
    <row r="611" spans="1:16">
      <c r="A611" s="213" t="s">
        <v>2555</v>
      </c>
      <c r="B611" s="213" t="s">
        <v>1234</v>
      </c>
      <c r="C611" s="221" t="s">
        <v>1233</v>
      </c>
      <c r="D611" s="221" t="s">
        <v>1235</v>
      </c>
      <c r="E611" s="221" t="s">
        <v>5079</v>
      </c>
      <c r="F611" s="213" t="s">
        <v>5080</v>
      </c>
      <c r="G611" s="213" t="s">
        <v>5081</v>
      </c>
      <c r="H611" s="213" t="s">
        <v>5082</v>
      </c>
      <c r="I611" s="213" t="s">
        <v>5083</v>
      </c>
      <c r="J611" s="213" t="s">
        <v>5174</v>
      </c>
      <c r="K611" s="213" t="s">
        <v>9520</v>
      </c>
      <c r="L611" s="213" t="s">
        <v>10818</v>
      </c>
      <c r="M611" s="213" t="s">
        <v>10202</v>
      </c>
      <c r="P611" s="121"/>
    </row>
    <row r="612" spans="1:16">
      <c r="A612" s="213" t="s">
        <v>1379</v>
      </c>
      <c r="B612" s="213" t="s">
        <v>1253</v>
      </c>
      <c r="C612" s="221" t="s">
        <v>1252</v>
      </c>
      <c r="D612" s="221" t="s">
        <v>1254</v>
      </c>
      <c r="E612" s="221" t="s">
        <v>5193</v>
      </c>
      <c r="F612" s="213" t="s">
        <v>5194</v>
      </c>
      <c r="G612" s="213" t="s">
        <v>5195</v>
      </c>
      <c r="H612" s="213" t="s">
        <v>5193</v>
      </c>
      <c r="I612" s="213" t="s">
        <v>5196</v>
      </c>
      <c r="J612" s="213" t="s">
        <v>5197</v>
      </c>
      <c r="K612" s="213" t="s">
        <v>9535</v>
      </c>
      <c r="L612" s="213" t="s">
        <v>10833</v>
      </c>
      <c r="M612" s="213" t="s">
        <v>10202</v>
      </c>
      <c r="P612" s="121"/>
    </row>
    <row r="613" spans="1:16">
      <c r="A613" s="214" t="s">
        <v>1381</v>
      </c>
      <c r="B613" s="213" t="s">
        <v>1384</v>
      </c>
      <c r="C613" s="221" t="s">
        <v>1383</v>
      </c>
      <c r="D613" s="221" t="s">
        <v>1385</v>
      </c>
      <c r="E613" s="221" t="s">
        <v>5294</v>
      </c>
      <c r="F613" s="213" t="s">
        <v>5295</v>
      </c>
      <c r="G613" s="213" t="s">
        <v>5296</v>
      </c>
      <c r="H613" s="213" t="s">
        <v>5297</v>
      </c>
      <c r="I613" s="213" t="s">
        <v>5298</v>
      </c>
      <c r="J613" s="213" t="s">
        <v>5299</v>
      </c>
      <c r="K613" s="213" t="s">
        <v>9550</v>
      </c>
      <c r="L613" s="213" t="s">
        <v>10849</v>
      </c>
      <c r="M613" s="213" t="s">
        <v>10202</v>
      </c>
      <c r="P613" s="121"/>
    </row>
    <row r="614" spans="1:16">
      <c r="A614" s="213" t="s">
        <v>2730</v>
      </c>
      <c r="B614" s="213" t="s">
        <v>1240</v>
      </c>
      <c r="C614" s="221" t="s">
        <v>1239</v>
      </c>
      <c r="D614" s="221" t="s">
        <v>1241</v>
      </c>
      <c r="E614" s="221" t="s">
        <v>5177</v>
      </c>
      <c r="F614" s="213" t="s">
        <v>5178</v>
      </c>
      <c r="G614" s="213" t="s">
        <v>5179</v>
      </c>
      <c r="H614" s="213" t="s">
        <v>5180</v>
      </c>
      <c r="I614" s="213" t="s">
        <v>5181</v>
      </c>
      <c r="J614" s="213" t="s">
        <v>5300</v>
      </c>
      <c r="K614" s="213" t="s">
        <v>9533</v>
      </c>
      <c r="L614" s="213" t="s">
        <v>10831</v>
      </c>
      <c r="M614" s="213" t="s">
        <v>10202</v>
      </c>
      <c r="P614" s="121"/>
    </row>
    <row r="615" spans="1:16">
      <c r="A615" s="214" t="s">
        <v>2731</v>
      </c>
      <c r="B615" s="213" t="s">
        <v>1377</v>
      </c>
      <c r="C615" s="221" t="s">
        <v>1376</v>
      </c>
      <c r="D615" s="221" t="s">
        <v>1378</v>
      </c>
      <c r="E615" s="221" t="s">
        <v>5267</v>
      </c>
      <c r="F615" s="213" t="s">
        <v>5268</v>
      </c>
      <c r="G615" s="213" t="s">
        <v>5269</v>
      </c>
      <c r="H615" s="213" t="s">
        <v>5270</v>
      </c>
      <c r="I615" s="213" t="s">
        <v>5271</v>
      </c>
      <c r="J615" s="213" t="s">
        <v>5301</v>
      </c>
      <c r="K615" s="213" t="s">
        <v>9546</v>
      </c>
      <c r="L615" s="213" t="s">
        <v>10845</v>
      </c>
      <c r="M615" s="213" t="s">
        <v>10202</v>
      </c>
      <c r="P615" s="121"/>
    </row>
    <row r="616" spans="1:16">
      <c r="A616" s="213" t="s">
        <v>5302</v>
      </c>
      <c r="B616" s="213" t="s">
        <v>864</v>
      </c>
      <c r="C616" s="221" t="s">
        <v>863</v>
      </c>
      <c r="D616" s="221" t="s">
        <v>1157</v>
      </c>
      <c r="E616" s="221" t="s">
        <v>4702</v>
      </c>
      <c r="F616" s="213" t="s">
        <v>4703</v>
      </c>
      <c r="G616" s="213" t="s">
        <v>5135</v>
      </c>
      <c r="H616" s="213" t="s">
        <v>4705</v>
      </c>
      <c r="I616" s="213" t="s">
        <v>4706</v>
      </c>
      <c r="J616" s="213" t="s">
        <v>5215</v>
      </c>
      <c r="K616" s="213" t="s">
        <v>9506</v>
      </c>
      <c r="L616" s="213" t="s">
        <v>10757</v>
      </c>
      <c r="M616" s="213" t="s">
        <v>10202</v>
      </c>
      <c r="P616" s="121"/>
    </row>
    <row r="617" spans="1:16">
      <c r="A617" s="213" t="s">
        <v>2732</v>
      </c>
      <c r="B617" s="213" t="s">
        <v>1234</v>
      </c>
      <c r="C617" s="221" t="s">
        <v>1233</v>
      </c>
      <c r="D617" s="221" t="s">
        <v>1235</v>
      </c>
      <c r="E617" s="221" t="s">
        <v>5079</v>
      </c>
      <c r="F617" s="213" t="s">
        <v>5080</v>
      </c>
      <c r="G617" s="213" t="s">
        <v>5081</v>
      </c>
      <c r="H617" s="213" t="s">
        <v>5082</v>
      </c>
      <c r="I617" s="213" t="s">
        <v>5083</v>
      </c>
      <c r="J617" s="213" t="s">
        <v>5174</v>
      </c>
      <c r="K617" s="213" t="s">
        <v>9520</v>
      </c>
      <c r="L617" s="213" t="s">
        <v>10818</v>
      </c>
      <c r="M617" s="213" t="s">
        <v>10202</v>
      </c>
      <c r="P617" s="121"/>
    </row>
    <row r="618" spans="1:16">
      <c r="A618" s="213" t="s">
        <v>2733</v>
      </c>
      <c r="B618" s="213" t="s">
        <v>1253</v>
      </c>
      <c r="C618" s="221" t="s">
        <v>1252</v>
      </c>
      <c r="D618" s="221" t="s">
        <v>1254</v>
      </c>
      <c r="E618" s="221" t="s">
        <v>5193</v>
      </c>
      <c r="F618" s="213" t="s">
        <v>5194</v>
      </c>
      <c r="G618" s="213" t="s">
        <v>5195</v>
      </c>
      <c r="H618" s="213" t="s">
        <v>5193</v>
      </c>
      <c r="I618" s="213" t="s">
        <v>5196</v>
      </c>
      <c r="J618" s="213" t="s">
        <v>5303</v>
      </c>
      <c r="K618" s="222" t="s">
        <v>9535</v>
      </c>
      <c r="L618" s="213" t="s">
        <v>10833</v>
      </c>
      <c r="M618" s="213" t="s">
        <v>10202</v>
      </c>
      <c r="P618" s="121"/>
    </row>
    <row r="619" spans="1:16">
      <c r="A619" s="213" t="s">
        <v>5304</v>
      </c>
      <c r="B619" s="213" t="s">
        <v>1384</v>
      </c>
      <c r="C619" s="221" t="s">
        <v>1383</v>
      </c>
      <c r="D619" s="221" t="s">
        <v>1385</v>
      </c>
      <c r="E619" s="221" t="s">
        <v>5294</v>
      </c>
      <c r="F619" s="213" t="s">
        <v>5295</v>
      </c>
      <c r="G619" s="213" t="s">
        <v>5296</v>
      </c>
      <c r="H619" s="213" t="s">
        <v>5297</v>
      </c>
      <c r="I619" s="213" t="s">
        <v>5298</v>
      </c>
      <c r="J619" s="213" t="s">
        <v>5305</v>
      </c>
      <c r="K619" s="222" t="s">
        <v>9550</v>
      </c>
      <c r="L619" s="213" t="s">
        <v>10849</v>
      </c>
      <c r="M619" s="213" t="s">
        <v>10202</v>
      </c>
      <c r="P619" s="121"/>
    </row>
    <row r="620" spans="1:16">
      <c r="A620" s="213" t="s">
        <v>1386</v>
      </c>
      <c r="B620" s="213" t="s">
        <v>1377</v>
      </c>
      <c r="C620" s="221" t="s">
        <v>1376</v>
      </c>
      <c r="D620" s="221" t="s">
        <v>1378</v>
      </c>
      <c r="E620" s="221" t="s">
        <v>5267</v>
      </c>
      <c r="F620" s="213" t="s">
        <v>5268</v>
      </c>
      <c r="G620" s="213" t="s">
        <v>5269</v>
      </c>
      <c r="H620" s="213" t="s">
        <v>5270</v>
      </c>
      <c r="I620" s="213" t="s">
        <v>5271</v>
      </c>
      <c r="J620" s="213" t="s">
        <v>5272</v>
      </c>
      <c r="K620" s="213" t="s">
        <v>9546</v>
      </c>
      <c r="L620" s="213" t="s">
        <v>10845</v>
      </c>
      <c r="M620" s="213" t="s">
        <v>10202</v>
      </c>
      <c r="P620" s="121"/>
    </row>
    <row r="621" spans="1:16">
      <c r="A621" s="213" t="s">
        <v>2557</v>
      </c>
      <c r="B621" s="213" t="s">
        <v>1234</v>
      </c>
      <c r="C621" s="221" t="s">
        <v>1233</v>
      </c>
      <c r="D621" s="221" t="s">
        <v>1235</v>
      </c>
      <c r="E621" s="221" t="s">
        <v>5079</v>
      </c>
      <c r="F621" s="213" t="s">
        <v>5080</v>
      </c>
      <c r="G621" s="213" t="s">
        <v>5081</v>
      </c>
      <c r="H621" s="213" t="s">
        <v>5082</v>
      </c>
      <c r="I621" s="213" t="s">
        <v>5083</v>
      </c>
      <c r="J621" s="213" t="s">
        <v>5174</v>
      </c>
      <c r="K621" s="213" t="s">
        <v>9520</v>
      </c>
      <c r="L621" s="213" t="s">
        <v>10818</v>
      </c>
      <c r="M621" s="213" t="s">
        <v>10202</v>
      </c>
      <c r="P621" s="121"/>
    </row>
    <row r="622" spans="1:16">
      <c r="A622" s="213" t="s">
        <v>1388</v>
      </c>
      <c r="B622" s="213" t="s">
        <v>1384</v>
      </c>
      <c r="C622" s="221" t="s">
        <v>1383</v>
      </c>
      <c r="D622" s="221" t="s">
        <v>1385</v>
      </c>
      <c r="E622" s="221" t="s">
        <v>5294</v>
      </c>
      <c r="F622" s="213" t="s">
        <v>5295</v>
      </c>
      <c r="G622" s="213" t="s">
        <v>5296</v>
      </c>
      <c r="H622" s="213" t="s">
        <v>5297</v>
      </c>
      <c r="I622" s="213" t="s">
        <v>5298</v>
      </c>
      <c r="J622" s="213" t="s">
        <v>5299</v>
      </c>
      <c r="K622" s="213" t="s">
        <v>9550</v>
      </c>
      <c r="L622" s="213" t="s">
        <v>10849</v>
      </c>
      <c r="M622" s="213" t="s">
        <v>10202</v>
      </c>
      <c r="P622" s="121"/>
    </row>
    <row r="623" spans="1:16">
      <c r="A623" s="213" t="s">
        <v>2734</v>
      </c>
      <c r="B623" s="213" t="s">
        <v>1377</v>
      </c>
      <c r="C623" s="221" t="s">
        <v>1376</v>
      </c>
      <c r="D623" s="221" t="s">
        <v>1378</v>
      </c>
      <c r="E623" s="221" t="s">
        <v>5267</v>
      </c>
      <c r="F623" s="213" t="s">
        <v>5268</v>
      </c>
      <c r="G623" s="213" t="s">
        <v>5269</v>
      </c>
      <c r="H623" s="213" t="s">
        <v>5270</v>
      </c>
      <c r="I623" s="213" t="s">
        <v>5271</v>
      </c>
      <c r="J623" s="213" t="s">
        <v>5272</v>
      </c>
      <c r="K623" s="213" t="s">
        <v>9546</v>
      </c>
      <c r="L623" s="213" t="s">
        <v>10845</v>
      </c>
      <c r="M623" s="213" t="s">
        <v>10202</v>
      </c>
      <c r="P623" s="121"/>
    </row>
    <row r="624" spans="1:16">
      <c r="A624" s="213" t="s">
        <v>2735</v>
      </c>
      <c r="B624" s="213" t="s">
        <v>1234</v>
      </c>
      <c r="C624" s="221" t="s">
        <v>1233</v>
      </c>
      <c r="D624" s="221" t="s">
        <v>1235</v>
      </c>
      <c r="E624" s="221" t="s">
        <v>5079</v>
      </c>
      <c r="F624" s="213" t="s">
        <v>5080</v>
      </c>
      <c r="G624" s="213" t="s">
        <v>5081</v>
      </c>
      <c r="H624" s="213" t="s">
        <v>5082</v>
      </c>
      <c r="I624" s="213" t="s">
        <v>5083</v>
      </c>
      <c r="J624" s="213" t="s">
        <v>5174</v>
      </c>
      <c r="K624" s="213" t="s">
        <v>9520</v>
      </c>
      <c r="L624" s="213" t="s">
        <v>10818</v>
      </c>
      <c r="M624" s="213" t="s">
        <v>10202</v>
      </c>
      <c r="P624" s="121"/>
    </row>
    <row r="625" spans="1:16">
      <c r="A625" s="213" t="s">
        <v>5306</v>
      </c>
      <c r="B625" s="213" t="s">
        <v>1384</v>
      </c>
      <c r="C625" s="221" t="s">
        <v>1383</v>
      </c>
      <c r="D625" s="221" t="s">
        <v>1385</v>
      </c>
      <c r="E625" s="221" t="s">
        <v>5294</v>
      </c>
      <c r="F625" s="213" t="s">
        <v>5295</v>
      </c>
      <c r="G625" s="213" t="s">
        <v>5296</v>
      </c>
      <c r="H625" s="213" t="s">
        <v>5297</v>
      </c>
      <c r="I625" s="213" t="s">
        <v>5298</v>
      </c>
      <c r="J625" s="213" t="s">
        <v>5305</v>
      </c>
      <c r="K625" s="213" t="s">
        <v>9550</v>
      </c>
      <c r="L625" s="213" t="s">
        <v>10849</v>
      </c>
      <c r="M625" s="213" t="s">
        <v>10202</v>
      </c>
      <c r="P625" s="121"/>
    </row>
    <row r="626" spans="1:16">
      <c r="A626" s="213" t="s">
        <v>1398</v>
      </c>
      <c r="B626" s="213" t="s">
        <v>1377</v>
      </c>
      <c r="C626" s="221" t="s">
        <v>1376</v>
      </c>
      <c r="D626" s="221" t="s">
        <v>1378</v>
      </c>
      <c r="E626" s="221" t="s">
        <v>5267</v>
      </c>
      <c r="F626" s="213" t="s">
        <v>5268</v>
      </c>
      <c r="G626" s="213" t="s">
        <v>5269</v>
      </c>
      <c r="H626" s="213" t="s">
        <v>5270</v>
      </c>
      <c r="I626" s="213" t="s">
        <v>5271</v>
      </c>
      <c r="J626" s="213" t="s">
        <v>5272</v>
      </c>
      <c r="K626" s="213" t="s">
        <v>9546</v>
      </c>
      <c r="L626" s="213" t="s">
        <v>10845</v>
      </c>
      <c r="M626" s="213" t="s">
        <v>10198</v>
      </c>
      <c r="P626" s="121"/>
    </row>
    <row r="627" spans="1:16">
      <c r="A627" s="213" t="s">
        <v>1400</v>
      </c>
      <c r="B627" s="213" t="s">
        <v>888</v>
      </c>
      <c r="C627" s="221" t="s">
        <v>887</v>
      </c>
      <c r="D627" s="221" t="s">
        <v>1244</v>
      </c>
      <c r="E627" s="221" t="s">
        <v>4749</v>
      </c>
      <c r="F627" s="213" t="s">
        <v>4750</v>
      </c>
      <c r="G627" s="213" t="s">
        <v>5183</v>
      </c>
      <c r="H627" s="213" t="s">
        <v>4752</v>
      </c>
      <c r="I627" s="213" t="s">
        <v>4753</v>
      </c>
      <c r="J627" s="213" t="s">
        <v>4754</v>
      </c>
      <c r="K627" s="213" t="s">
        <v>9514</v>
      </c>
      <c r="L627" s="213" t="s">
        <v>10765</v>
      </c>
      <c r="M627" s="213" t="s">
        <v>10116</v>
      </c>
      <c r="P627" s="121"/>
    </row>
    <row r="628" spans="1:16">
      <c r="A628" s="213" t="s">
        <v>1401</v>
      </c>
      <c r="B628" s="213" t="s">
        <v>1234</v>
      </c>
      <c r="C628" s="221" t="s">
        <v>1233</v>
      </c>
      <c r="D628" s="221" t="s">
        <v>1235</v>
      </c>
      <c r="E628" s="221" t="s">
        <v>5079</v>
      </c>
      <c r="F628" s="213" t="s">
        <v>5080</v>
      </c>
      <c r="G628" s="213" t="s">
        <v>5081</v>
      </c>
      <c r="H628" s="213" t="s">
        <v>5082</v>
      </c>
      <c r="I628" s="213" t="s">
        <v>5083</v>
      </c>
      <c r="J628" s="213" t="s">
        <v>5174</v>
      </c>
      <c r="K628" s="213" t="s">
        <v>9520</v>
      </c>
      <c r="L628" s="213" t="s">
        <v>10818</v>
      </c>
      <c r="M628" s="213" t="s">
        <v>10170</v>
      </c>
      <c r="P628" s="121"/>
    </row>
    <row r="629" spans="1:16">
      <c r="A629" s="213" t="s">
        <v>5307</v>
      </c>
      <c r="B629" s="213" t="s">
        <v>1234</v>
      </c>
      <c r="C629" s="221" t="s">
        <v>1233</v>
      </c>
      <c r="D629" s="221" t="s">
        <v>1235</v>
      </c>
      <c r="E629" s="221" t="s">
        <v>5079</v>
      </c>
      <c r="F629" s="213" t="s">
        <v>5080</v>
      </c>
      <c r="G629" s="213" t="s">
        <v>5081</v>
      </c>
      <c r="H629" s="213" t="s">
        <v>5082</v>
      </c>
      <c r="I629" s="213" t="s">
        <v>5083</v>
      </c>
      <c r="J629" s="213" t="s">
        <v>5176</v>
      </c>
      <c r="K629" s="213" t="s">
        <v>9520</v>
      </c>
      <c r="L629" s="213" t="s">
        <v>10818</v>
      </c>
      <c r="M629" s="213" t="s">
        <v>10170</v>
      </c>
      <c r="P629" s="121"/>
    </row>
    <row r="630" spans="1:16">
      <c r="A630" s="213" t="s">
        <v>1402</v>
      </c>
      <c r="B630" s="213" t="s">
        <v>1392</v>
      </c>
      <c r="C630" s="221" t="s">
        <v>1391</v>
      </c>
      <c r="D630" s="221" t="s">
        <v>1393</v>
      </c>
      <c r="E630" s="221" t="s">
        <v>5308</v>
      </c>
      <c r="F630" s="213" t="s">
        <v>5309</v>
      </c>
      <c r="G630" s="213" t="s">
        <v>5310</v>
      </c>
      <c r="H630" s="213" t="s">
        <v>5311</v>
      </c>
      <c r="I630" s="213" t="s">
        <v>5312</v>
      </c>
      <c r="J630" s="213" t="s">
        <v>5313</v>
      </c>
      <c r="K630" s="213" t="s">
        <v>9551</v>
      </c>
      <c r="L630" s="213" t="s">
        <v>10850</v>
      </c>
      <c r="M630" s="213" t="s">
        <v>10204</v>
      </c>
      <c r="P630" s="121"/>
    </row>
    <row r="631" spans="1:16">
      <c r="A631" s="213" t="s">
        <v>2558</v>
      </c>
      <c r="B631" s="213" t="s">
        <v>1392</v>
      </c>
      <c r="C631" s="221" t="s">
        <v>1391</v>
      </c>
      <c r="D631" s="221" t="s">
        <v>1393</v>
      </c>
      <c r="E631" s="221" t="s">
        <v>5308</v>
      </c>
      <c r="F631" s="213" t="s">
        <v>5309</v>
      </c>
      <c r="G631" s="213" t="s">
        <v>5310</v>
      </c>
      <c r="H631" s="213" t="s">
        <v>5311</v>
      </c>
      <c r="I631" s="213" t="s">
        <v>5312</v>
      </c>
      <c r="J631" s="213" t="s">
        <v>5313</v>
      </c>
      <c r="K631" s="213" t="s">
        <v>9551</v>
      </c>
      <c r="L631" s="213" t="s">
        <v>10850</v>
      </c>
      <c r="M631" s="213" t="s">
        <v>10204</v>
      </c>
      <c r="P631" s="121"/>
    </row>
    <row r="632" spans="1:16">
      <c r="A632" s="213" t="s">
        <v>1403</v>
      </c>
      <c r="B632" s="213" t="s">
        <v>1396</v>
      </c>
      <c r="C632" s="221" t="s">
        <v>1395</v>
      </c>
      <c r="D632" s="221" t="s">
        <v>1397</v>
      </c>
      <c r="E632" s="221" t="s">
        <v>5198</v>
      </c>
      <c r="F632" s="213" t="s">
        <v>5199</v>
      </c>
      <c r="G632" s="213" t="s">
        <v>5200</v>
      </c>
      <c r="H632" s="213" t="s">
        <v>5201</v>
      </c>
      <c r="I632" s="213" t="s">
        <v>5202</v>
      </c>
      <c r="J632" s="213" t="s">
        <v>5203</v>
      </c>
      <c r="K632" s="213" t="s">
        <v>9536</v>
      </c>
      <c r="L632" s="213" t="s">
        <v>10834</v>
      </c>
      <c r="M632" s="213" t="s">
        <v>10188</v>
      </c>
      <c r="P632" s="121"/>
    </row>
    <row r="633" spans="1:16">
      <c r="A633" s="213" t="s">
        <v>5314</v>
      </c>
      <c r="B633" s="213" t="s">
        <v>1377</v>
      </c>
      <c r="C633" s="221" t="s">
        <v>1376</v>
      </c>
      <c r="D633" s="221" t="s">
        <v>1378</v>
      </c>
      <c r="E633" s="221" t="s">
        <v>5267</v>
      </c>
      <c r="F633" s="213" t="s">
        <v>5268</v>
      </c>
      <c r="G633" s="213" t="s">
        <v>5269</v>
      </c>
      <c r="H633" s="213" t="s">
        <v>5270</v>
      </c>
      <c r="I633" s="213" t="s">
        <v>5271</v>
      </c>
      <c r="J633" s="213" t="s">
        <v>5301</v>
      </c>
      <c r="K633" s="213" t="s">
        <v>9546</v>
      </c>
      <c r="L633" s="213" t="s">
        <v>10845</v>
      </c>
      <c r="M633" s="213" t="s">
        <v>10198</v>
      </c>
      <c r="P633" s="121"/>
    </row>
    <row r="634" spans="1:16">
      <c r="A634" s="213" t="s">
        <v>5315</v>
      </c>
      <c r="B634" s="213" t="s">
        <v>888</v>
      </c>
      <c r="C634" s="221" t="s">
        <v>887</v>
      </c>
      <c r="D634" s="221" t="s">
        <v>1244</v>
      </c>
      <c r="E634" s="221" t="s">
        <v>4749</v>
      </c>
      <c r="F634" s="213" t="s">
        <v>4750</v>
      </c>
      <c r="G634" s="213" t="s">
        <v>5183</v>
      </c>
      <c r="H634" s="213" t="s">
        <v>4752</v>
      </c>
      <c r="I634" s="213" t="s">
        <v>4753</v>
      </c>
      <c r="J634" s="213" t="s">
        <v>5213</v>
      </c>
      <c r="K634" s="213" t="s">
        <v>9514</v>
      </c>
      <c r="L634" s="213" t="s">
        <v>10765</v>
      </c>
      <c r="M634" s="213" t="s">
        <v>10116</v>
      </c>
      <c r="P634" s="121"/>
    </row>
    <row r="635" spans="1:16">
      <c r="A635" s="213" t="s">
        <v>2736</v>
      </c>
      <c r="B635" s="213" t="s">
        <v>1234</v>
      </c>
      <c r="C635" s="221" t="s">
        <v>1233</v>
      </c>
      <c r="D635" s="221" t="s">
        <v>1235</v>
      </c>
      <c r="E635" s="221" t="s">
        <v>5079</v>
      </c>
      <c r="F635" s="213" t="s">
        <v>5080</v>
      </c>
      <c r="G635" s="213" t="s">
        <v>5081</v>
      </c>
      <c r="H635" s="213" t="s">
        <v>5082</v>
      </c>
      <c r="I635" s="213" t="s">
        <v>5083</v>
      </c>
      <c r="J635" s="213" t="s">
        <v>5174</v>
      </c>
      <c r="K635" s="213" t="s">
        <v>9520</v>
      </c>
      <c r="L635" s="213" t="s">
        <v>10818</v>
      </c>
      <c r="M635" s="213" t="s">
        <v>10170</v>
      </c>
      <c r="P635" s="121"/>
    </row>
    <row r="636" spans="1:16">
      <c r="A636" s="213" t="s">
        <v>2737</v>
      </c>
      <c r="B636" s="213" t="s">
        <v>1392</v>
      </c>
      <c r="C636" s="221" t="s">
        <v>1391</v>
      </c>
      <c r="D636" s="221" t="s">
        <v>1393</v>
      </c>
      <c r="E636" s="221" t="s">
        <v>5308</v>
      </c>
      <c r="F636" s="213" t="s">
        <v>5309</v>
      </c>
      <c r="G636" s="213" t="s">
        <v>5310</v>
      </c>
      <c r="H636" s="213" t="s">
        <v>5311</v>
      </c>
      <c r="I636" s="213" t="s">
        <v>5312</v>
      </c>
      <c r="J636" s="213" t="s">
        <v>5313</v>
      </c>
      <c r="K636" s="213" t="s">
        <v>9551</v>
      </c>
      <c r="L636" s="213" t="s">
        <v>10850</v>
      </c>
      <c r="M636" s="213" t="s">
        <v>10204</v>
      </c>
      <c r="P636" s="121"/>
    </row>
    <row r="637" spans="1:16">
      <c r="A637" s="213" t="s">
        <v>2738</v>
      </c>
      <c r="B637" s="213" t="s">
        <v>1392</v>
      </c>
      <c r="C637" s="221" t="s">
        <v>1391</v>
      </c>
      <c r="D637" s="221" t="s">
        <v>1393</v>
      </c>
      <c r="E637" s="221" t="s">
        <v>5308</v>
      </c>
      <c r="F637" s="213" t="s">
        <v>5309</v>
      </c>
      <c r="G637" s="213" t="s">
        <v>5310</v>
      </c>
      <c r="H637" s="213" t="s">
        <v>5311</v>
      </c>
      <c r="I637" s="213" t="s">
        <v>5312</v>
      </c>
      <c r="J637" s="213" t="s">
        <v>5313</v>
      </c>
      <c r="K637" s="213" t="s">
        <v>9551</v>
      </c>
      <c r="L637" s="213" t="s">
        <v>10850</v>
      </c>
      <c r="M637" s="213" t="s">
        <v>10204</v>
      </c>
      <c r="P637" s="121"/>
    </row>
    <row r="638" spans="1:16">
      <c r="A638" s="213" t="s">
        <v>2739</v>
      </c>
      <c r="B638" s="213" t="s">
        <v>1396</v>
      </c>
      <c r="C638" s="221" t="s">
        <v>1395</v>
      </c>
      <c r="D638" s="221" t="s">
        <v>1397</v>
      </c>
      <c r="E638" s="221" t="s">
        <v>5198</v>
      </c>
      <c r="F638" s="213" t="s">
        <v>5199</v>
      </c>
      <c r="G638" s="213" t="s">
        <v>5200</v>
      </c>
      <c r="H638" s="213" t="s">
        <v>5201</v>
      </c>
      <c r="I638" s="213" t="s">
        <v>5202</v>
      </c>
      <c r="J638" s="213" t="s">
        <v>5203</v>
      </c>
      <c r="K638" s="213" t="s">
        <v>9536</v>
      </c>
      <c r="L638" s="213" t="s">
        <v>10834</v>
      </c>
      <c r="M638" s="213" t="s">
        <v>10188</v>
      </c>
      <c r="P638" s="121"/>
    </row>
    <row r="639" spans="1:16">
      <c r="A639" s="213" t="s">
        <v>1407</v>
      </c>
      <c r="B639" s="213" t="s">
        <v>417</v>
      </c>
      <c r="C639" s="221" t="s">
        <v>416</v>
      </c>
      <c r="D639" s="221" t="s">
        <v>418</v>
      </c>
      <c r="E639" s="221" t="s">
        <v>3991</v>
      </c>
      <c r="F639" s="213" t="s">
        <v>5316</v>
      </c>
      <c r="G639" s="213" t="s">
        <v>4355</v>
      </c>
      <c r="H639" s="213" t="s">
        <v>3991</v>
      </c>
      <c r="I639" s="213" t="s">
        <v>3993</v>
      </c>
      <c r="J639" s="213" t="s">
        <v>3994</v>
      </c>
      <c r="K639" s="213" t="s">
        <v>9400</v>
      </c>
      <c r="L639" s="213" t="s">
        <v>10651</v>
      </c>
      <c r="M639" s="213" t="s">
        <v>10057</v>
      </c>
      <c r="P639" s="121"/>
    </row>
    <row r="640" spans="1:16">
      <c r="A640" s="213" t="s">
        <v>1408</v>
      </c>
      <c r="B640" s="213" t="s">
        <v>417</v>
      </c>
      <c r="C640" s="221" t="s">
        <v>416</v>
      </c>
      <c r="D640" s="221" t="s">
        <v>418</v>
      </c>
      <c r="E640" s="221" t="s">
        <v>3991</v>
      </c>
      <c r="F640" s="213" t="s">
        <v>5316</v>
      </c>
      <c r="G640" s="213" t="s">
        <v>4355</v>
      </c>
      <c r="H640" s="213" t="s">
        <v>3991</v>
      </c>
      <c r="I640" s="213" t="s">
        <v>3993</v>
      </c>
      <c r="J640" s="213" t="s">
        <v>3994</v>
      </c>
      <c r="K640" s="213" t="s">
        <v>9400</v>
      </c>
      <c r="L640" s="213" t="s">
        <v>10651</v>
      </c>
      <c r="M640" s="213" t="s">
        <v>10057</v>
      </c>
      <c r="P640" s="121"/>
    </row>
    <row r="641" spans="1:16">
      <c r="A641" s="213" t="s">
        <v>1409</v>
      </c>
      <c r="B641" s="213" t="s">
        <v>417</v>
      </c>
      <c r="C641" s="221" t="s">
        <v>416</v>
      </c>
      <c r="D641" s="221" t="s">
        <v>418</v>
      </c>
      <c r="E641" s="221" t="s">
        <v>3991</v>
      </c>
      <c r="F641" s="213" t="s">
        <v>5316</v>
      </c>
      <c r="G641" s="213" t="s">
        <v>4355</v>
      </c>
      <c r="H641" s="213" t="s">
        <v>3991</v>
      </c>
      <c r="I641" s="213" t="s">
        <v>3993</v>
      </c>
      <c r="J641" s="213" t="s">
        <v>3994</v>
      </c>
      <c r="K641" s="213" t="s">
        <v>9400</v>
      </c>
      <c r="L641" s="213" t="s">
        <v>10651</v>
      </c>
      <c r="M641" s="213" t="s">
        <v>10057</v>
      </c>
      <c r="P641" s="121"/>
    </row>
    <row r="642" spans="1:16">
      <c r="A642" s="213" t="s">
        <v>1411</v>
      </c>
      <c r="B642" s="213" t="s">
        <v>417</v>
      </c>
      <c r="C642" s="221" t="s">
        <v>416</v>
      </c>
      <c r="D642" s="221" t="s">
        <v>418</v>
      </c>
      <c r="E642" s="221" t="s">
        <v>3991</v>
      </c>
      <c r="F642" s="213" t="s">
        <v>5316</v>
      </c>
      <c r="G642" s="213" t="s">
        <v>4355</v>
      </c>
      <c r="H642" s="213" t="s">
        <v>3991</v>
      </c>
      <c r="I642" s="213" t="s">
        <v>3993</v>
      </c>
      <c r="J642" s="213" t="s">
        <v>3994</v>
      </c>
      <c r="K642" s="213" t="s">
        <v>9400</v>
      </c>
      <c r="L642" s="213" t="s">
        <v>10651</v>
      </c>
      <c r="M642" s="213" t="s">
        <v>10057</v>
      </c>
      <c r="P642" s="121"/>
    </row>
    <row r="643" spans="1:16">
      <c r="A643" s="213" t="s">
        <v>1413</v>
      </c>
      <c r="B643" s="213" t="s">
        <v>417</v>
      </c>
      <c r="C643" s="221" t="s">
        <v>416</v>
      </c>
      <c r="D643" s="221" t="s">
        <v>418</v>
      </c>
      <c r="E643" s="221" t="s">
        <v>3991</v>
      </c>
      <c r="F643" s="213" t="s">
        <v>5316</v>
      </c>
      <c r="G643" s="213" t="s">
        <v>4355</v>
      </c>
      <c r="H643" s="213" t="s">
        <v>3991</v>
      </c>
      <c r="I643" s="213" t="s">
        <v>3993</v>
      </c>
      <c r="J643" s="213" t="s">
        <v>3994</v>
      </c>
      <c r="K643" s="213" t="s">
        <v>9400</v>
      </c>
      <c r="L643" s="213" t="s">
        <v>10651</v>
      </c>
      <c r="M643" s="213" t="s">
        <v>10057</v>
      </c>
      <c r="P643" s="121"/>
    </row>
    <row r="644" spans="1:16">
      <c r="A644" s="213" t="s">
        <v>1414</v>
      </c>
      <c r="B644" s="213" t="s">
        <v>1417</v>
      </c>
      <c r="C644" s="221" t="s">
        <v>1416</v>
      </c>
      <c r="D644" s="221" t="s">
        <v>1418</v>
      </c>
      <c r="E644" s="221" t="s">
        <v>5317</v>
      </c>
      <c r="F644" s="213" t="s">
        <v>5318</v>
      </c>
      <c r="G644" s="213" t="s">
        <v>5319</v>
      </c>
      <c r="H644" s="213" t="s">
        <v>5320</v>
      </c>
      <c r="I644" s="213" t="s">
        <v>5321</v>
      </c>
      <c r="J644" s="213" t="s">
        <v>5322</v>
      </c>
      <c r="K644" s="213" t="s">
        <v>9552</v>
      </c>
      <c r="L644" s="213" t="s">
        <v>10851</v>
      </c>
      <c r="M644" s="213" t="s">
        <v>10205</v>
      </c>
      <c r="P644" s="121"/>
    </row>
    <row r="645" spans="1:16">
      <c r="A645" s="213" t="s">
        <v>1419</v>
      </c>
      <c r="B645" s="213" t="s">
        <v>417</v>
      </c>
      <c r="C645" s="221" t="s">
        <v>416</v>
      </c>
      <c r="D645" s="221" t="s">
        <v>418</v>
      </c>
      <c r="E645" s="221" t="s">
        <v>3991</v>
      </c>
      <c r="F645" s="213" t="s">
        <v>5316</v>
      </c>
      <c r="G645" s="213" t="s">
        <v>4355</v>
      </c>
      <c r="H645" s="213" t="s">
        <v>3991</v>
      </c>
      <c r="I645" s="213" t="s">
        <v>3993</v>
      </c>
      <c r="J645" s="213" t="s">
        <v>3994</v>
      </c>
      <c r="K645" s="213" t="s">
        <v>9400</v>
      </c>
      <c r="L645" s="213" t="s">
        <v>10651</v>
      </c>
      <c r="M645" s="213" t="s">
        <v>10057</v>
      </c>
      <c r="P645" s="121"/>
    </row>
    <row r="646" spans="1:16">
      <c r="A646" s="213" t="s">
        <v>1421</v>
      </c>
      <c r="B646" s="213" t="s">
        <v>1424</v>
      </c>
      <c r="C646" s="221" t="s">
        <v>1423</v>
      </c>
      <c r="D646" s="221" t="s">
        <v>1425</v>
      </c>
      <c r="E646" s="221" t="s">
        <v>5323</v>
      </c>
      <c r="F646" s="213" t="s">
        <v>5324</v>
      </c>
      <c r="G646" s="213" t="s">
        <v>5325</v>
      </c>
      <c r="H646" s="213" t="s">
        <v>5326</v>
      </c>
      <c r="I646" s="213" t="s">
        <v>5327</v>
      </c>
      <c r="J646" s="213" t="s">
        <v>5328</v>
      </c>
      <c r="K646" s="213" t="s">
        <v>9553</v>
      </c>
      <c r="L646" s="213" t="s">
        <v>10852</v>
      </c>
      <c r="M646" s="213" t="s">
        <v>10206</v>
      </c>
      <c r="P646" s="121"/>
    </row>
    <row r="647" spans="1:16">
      <c r="A647" s="213" t="s">
        <v>1426</v>
      </c>
      <c r="B647" s="213" t="s">
        <v>1429</v>
      </c>
      <c r="C647" s="221" t="s">
        <v>1428</v>
      </c>
      <c r="D647" s="221" t="s">
        <v>1430</v>
      </c>
      <c r="E647" s="221" t="s">
        <v>5329</v>
      </c>
      <c r="F647" s="213" t="s">
        <v>5330</v>
      </c>
      <c r="G647" s="213" t="s">
        <v>5331</v>
      </c>
      <c r="H647" s="213" t="s">
        <v>5332</v>
      </c>
      <c r="I647" s="213" t="s">
        <v>5333</v>
      </c>
      <c r="J647" s="213" t="s">
        <v>5334</v>
      </c>
      <c r="K647" s="213" t="s">
        <v>9554</v>
      </c>
      <c r="L647" s="213" t="s">
        <v>10853</v>
      </c>
      <c r="M647" s="213" t="s">
        <v>10207</v>
      </c>
      <c r="P647" s="121"/>
    </row>
    <row r="648" spans="1:16">
      <c r="A648" s="213" t="s">
        <v>1431</v>
      </c>
      <c r="B648" s="213" t="s">
        <v>1424</v>
      </c>
      <c r="C648" s="221" t="s">
        <v>1423</v>
      </c>
      <c r="D648" s="221" t="s">
        <v>1425</v>
      </c>
      <c r="E648" s="221" t="s">
        <v>5323</v>
      </c>
      <c r="F648" s="213" t="s">
        <v>5324</v>
      </c>
      <c r="G648" s="213" t="s">
        <v>5325</v>
      </c>
      <c r="H648" s="213" t="s">
        <v>5326</v>
      </c>
      <c r="I648" s="213" t="s">
        <v>5327</v>
      </c>
      <c r="J648" s="213" t="s">
        <v>5328</v>
      </c>
      <c r="K648" s="213" t="s">
        <v>9553</v>
      </c>
      <c r="L648" s="213" t="s">
        <v>10852</v>
      </c>
      <c r="M648" s="213" t="s">
        <v>10206</v>
      </c>
      <c r="P648" s="121"/>
    </row>
    <row r="649" spans="1:16">
      <c r="A649" s="213" t="s">
        <v>1432</v>
      </c>
      <c r="B649" s="213" t="s">
        <v>417</v>
      </c>
      <c r="C649" s="221" t="s">
        <v>416</v>
      </c>
      <c r="D649" s="221" t="s">
        <v>418</v>
      </c>
      <c r="E649" s="221" t="s">
        <v>3991</v>
      </c>
      <c r="F649" s="213" t="s">
        <v>5316</v>
      </c>
      <c r="G649" s="213" t="s">
        <v>4355</v>
      </c>
      <c r="H649" s="213" t="s">
        <v>3991</v>
      </c>
      <c r="I649" s="213" t="s">
        <v>3993</v>
      </c>
      <c r="J649" s="213" t="s">
        <v>3994</v>
      </c>
      <c r="K649" s="213" t="s">
        <v>9400</v>
      </c>
      <c r="L649" s="213" t="s">
        <v>10651</v>
      </c>
      <c r="M649" s="213" t="s">
        <v>10057</v>
      </c>
      <c r="P649" s="121"/>
    </row>
    <row r="650" spans="1:16">
      <c r="A650" s="213" t="s">
        <v>1433</v>
      </c>
      <c r="B650" s="213" t="s">
        <v>417</v>
      </c>
      <c r="C650" s="221" t="s">
        <v>416</v>
      </c>
      <c r="D650" s="221" t="s">
        <v>418</v>
      </c>
      <c r="E650" s="221" t="s">
        <v>3991</v>
      </c>
      <c r="F650" s="213" t="s">
        <v>5316</v>
      </c>
      <c r="G650" s="213" t="s">
        <v>4355</v>
      </c>
      <c r="H650" s="213" t="s">
        <v>3991</v>
      </c>
      <c r="I650" s="213" t="s">
        <v>3993</v>
      </c>
      <c r="J650" s="213" t="s">
        <v>3994</v>
      </c>
      <c r="K650" s="213" t="s">
        <v>9400</v>
      </c>
      <c r="L650" s="213" t="s">
        <v>10651</v>
      </c>
      <c r="M650" s="213" t="s">
        <v>10057</v>
      </c>
      <c r="P650" s="121"/>
    </row>
    <row r="651" spans="1:16">
      <c r="A651" s="213" t="s">
        <v>1435</v>
      </c>
      <c r="B651" s="213" t="s">
        <v>417</v>
      </c>
      <c r="C651" s="221" t="s">
        <v>416</v>
      </c>
      <c r="D651" s="221" t="s">
        <v>418</v>
      </c>
      <c r="E651" s="221" t="s">
        <v>3991</v>
      </c>
      <c r="F651" s="213" t="s">
        <v>5316</v>
      </c>
      <c r="G651" s="213" t="s">
        <v>4355</v>
      </c>
      <c r="H651" s="213" t="s">
        <v>3991</v>
      </c>
      <c r="I651" s="213" t="s">
        <v>3993</v>
      </c>
      <c r="J651" s="213" t="s">
        <v>3994</v>
      </c>
      <c r="K651" s="213" t="s">
        <v>9400</v>
      </c>
      <c r="L651" s="213" t="s">
        <v>10651</v>
      </c>
      <c r="M651" s="213" t="s">
        <v>10057</v>
      </c>
      <c r="P651" s="121"/>
    </row>
    <row r="652" spans="1:16">
      <c r="A652" s="213" t="s">
        <v>1437</v>
      </c>
      <c r="B652" s="213" t="s">
        <v>1417</v>
      </c>
      <c r="C652" s="221" t="s">
        <v>1416</v>
      </c>
      <c r="D652" s="221" t="s">
        <v>1418</v>
      </c>
      <c r="E652" s="221" t="s">
        <v>5317</v>
      </c>
      <c r="F652" s="213" t="s">
        <v>5318</v>
      </c>
      <c r="G652" s="213" t="s">
        <v>5319</v>
      </c>
      <c r="H652" s="213" t="s">
        <v>5338</v>
      </c>
      <c r="I652" s="213" t="s">
        <v>5321</v>
      </c>
      <c r="J652" s="213" t="s">
        <v>5339</v>
      </c>
      <c r="K652" s="213" t="s">
        <v>9552</v>
      </c>
      <c r="L652" s="213" t="s">
        <v>10851</v>
      </c>
      <c r="M652" s="213" t="s">
        <v>10205</v>
      </c>
      <c r="P652" s="121"/>
    </row>
    <row r="653" spans="1:16">
      <c r="A653" s="213" t="s">
        <v>1439</v>
      </c>
      <c r="B653" s="213" t="s">
        <v>1442</v>
      </c>
      <c r="C653" s="221" t="s">
        <v>1441</v>
      </c>
      <c r="D653" s="221" t="s">
        <v>1443</v>
      </c>
      <c r="E653" s="221" t="s">
        <v>5340</v>
      </c>
      <c r="F653" s="213" t="s">
        <v>5341</v>
      </c>
      <c r="G653" s="213" t="s">
        <v>5342</v>
      </c>
      <c r="H653" s="213" t="s">
        <v>5343</v>
      </c>
      <c r="I653" s="213" t="s">
        <v>5344</v>
      </c>
      <c r="J653" s="213" t="s">
        <v>5345</v>
      </c>
      <c r="K653" s="213" t="s">
        <v>9556</v>
      </c>
      <c r="L653" s="213" t="s">
        <v>10854</v>
      </c>
      <c r="M653" s="213" t="s">
        <v>10209</v>
      </c>
      <c r="P653" s="121"/>
    </row>
    <row r="654" spans="1:16">
      <c r="A654" s="213" t="s">
        <v>1444</v>
      </c>
      <c r="B654" s="213" t="s">
        <v>1447</v>
      </c>
      <c r="C654" s="221" t="s">
        <v>1446</v>
      </c>
      <c r="D654" s="221" t="s">
        <v>1448</v>
      </c>
      <c r="E654" s="221" t="s">
        <v>5346</v>
      </c>
      <c r="F654" s="213" t="s">
        <v>5347</v>
      </c>
      <c r="G654" s="213" t="s">
        <v>5348</v>
      </c>
      <c r="H654" s="213" t="s">
        <v>5349</v>
      </c>
      <c r="I654" s="213" t="s">
        <v>5350</v>
      </c>
      <c r="J654" s="213" t="s">
        <v>5351</v>
      </c>
      <c r="K654" s="213" t="s">
        <v>9557</v>
      </c>
      <c r="L654" s="213" t="s">
        <v>10855</v>
      </c>
      <c r="M654" s="213" t="s">
        <v>10210</v>
      </c>
      <c r="P654" s="121"/>
    </row>
    <row r="655" spans="1:16">
      <c r="A655" s="213" t="s">
        <v>1449</v>
      </c>
      <c r="B655" s="213" t="s">
        <v>1447</v>
      </c>
      <c r="C655" s="221" t="s">
        <v>1446</v>
      </c>
      <c r="D655" s="221" t="s">
        <v>1448</v>
      </c>
      <c r="E655" s="221" t="s">
        <v>5346</v>
      </c>
      <c r="F655" s="213" t="s">
        <v>5347</v>
      </c>
      <c r="G655" s="213" t="s">
        <v>5348</v>
      </c>
      <c r="H655" s="213" t="s">
        <v>5349</v>
      </c>
      <c r="I655" s="213" t="s">
        <v>5350</v>
      </c>
      <c r="J655" s="213" t="s">
        <v>5351</v>
      </c>
      <c r="K655" s="213" t="s">
        <v>9557</v>
      </c>
      <c r="L655" s="213" t="s">
        <v>10855</v>
      </c>
      <c r="M655" s="213" t="s">
        <v>10210</v>
      </c>
      <c r="P655" s="121"/>
    </row>
    <row r="656" spans="1:16">
      <c r="A656" s="213" t="s">
        <v>1451</v>
      </c>
      <c r="B656" s="213" t="s">
        <v>1450</v>
      </c>
      <c r="C656" s="221" t="s">
        <v>821</v>
      </c>
      <c r="D656" s="221" t="s">
        <v>823</v>
      </c>
      <c r="E656" s="221" t="s">
        <v>4725</v>
      </c>
      <c r="F656" s="213" t="s">
        <v>4726</v>
      </c>
      <c r="G656" s="213" t="s">
        <v>5106</v>
      </c>
      <c r="H656" s="213" t="s">
        <v>4728</v>
      </c>
      <c r="I656" s="213" t="s">
        <v>5107</v>
      </c>
      <c r="J656" s="213" t="s">
        <v>5352</v>
      </c>
      <c r="K656" s="213" t="s">
        <v>9510</v>
      </c>
      <c r="L656" s="213" t="s">
        <v>10839</v>
      </c>
      <c r="M656" s="213" t="s">
        <v>10112</v>
      </c>
      <c r="P656" s="121"/>
    </row>
    <row r="657" spans="1:16">
      <c r="A657" s="213" t="s">
        <v>1460</v>
      </c>
      <c r="B657" s="213" t="s">
        <v>1450</v>
      </c>
      <c r="C657" s="221" t="s">
        <v>821</v>
      </c>
      <c r="D657" s="221" t="s">
        <v>823</v>
      </c>
      <c r="E657" s="221" t="s">
        <v>4725</v>
      </c>
      <c r="F657" s="213" t="s">
        <v>5353</v>
      </c>
      <c r="G657" s="213" t="s">
        <v>5106</v>
      </c>
      <c r="H657" s="213" t="s">
        <v>4728</v>
      </c>
      <c r="I657" s="213" t="s">
        <v>5107</v>
      </c>
      <c r="J657" s="213" t="s">
        <v>4730</v>
      </c>
      <c r="K657" s="213" t="s">
        <v>9510</v>
      </c>
      <c r="L657" s="213" t="s">
        <v>10761</v>
      </c>
      <c r="M657" s="213" t="s">
        <v>10112</v>
      </c>
      <c r="P657" s="121"/>
    </row>
    <row r="658" spans="1:16">
      <c r="A658" s="213" t="s">
        <v>1461</v>
      </c>
      <c r="B658" s="213" t="s">
        <v>1450</v>
      </c>
      <c r="C658" s="221" t="s">
        <v>821</v>
      </c>
      <c r="D658" s="221" t="s">
        <v>823</v>
      </c>
      <c r="E658" s="221" t="s">
        <v>4725</v>
      </c>
      <c r="F658" s="213" t="s">
        <v>5353</v>
      </c>
      <c r="G658" s="213" t="s">
        <v>5106</v>
      </c>
      <c r="H658" s="213" t="s">
        <v>4728</v>
      </c>
      <c r="I658" s="213" t="s">
        <v>5107</v>
      </c>
      <c r="J658" s="213" t="s">
        <v>4730</v>
      </c>
      <c r="K658" s="213" t="s">
        <v>9510</v>
      </c>
      <c r="L658" s="213" t="s">
        <v>10761</v>
      </c>
      <c r="M658" s="213" t="s">
        <v>10112</v>
      </c>
      <c r="P658" s="121"/>
    </row>
    <row r="659" spans="1:16">
      <c r="A659" s="213" t="s">
        <v>1462</v>
      </c>
      <c r="B659" s="213" t="s">
        <v>1450</v>
      </c>
      <c r="C659" s="221" t="s">
        <v>821</v>
      </c>
      <c r="D659" s="221" t="s">
        <v>823</v>
      </c>
      <c r="E659" s="221" t="s">
        <v>4725</v>
      </c>
      <c r="F659" s="213" t="s">
        <v>5353</v>
      </c>
      <c r="G659" s="213" t="s">
        <v>5106</v>
      </c>
      <c r="H659" s="213" t="s">
        <v>4728</v>
      </c>
      <c r="I659" s="213" t="s">
        <v>5107</v>
      </c>
      <c r="J659" s="213" t="s">
        <v>4730</v>
      </c>
      <c r="K659" s="213" t="s">
        <v>9510</v>
      </c>
      <c r="L659" s="213" t="s">
        <v>10761</v>
      </c>
      <c r="M659" s="213" t="s">
        <v>10112</v>
      </c>
      <c r="P659" s="121"/>
    </row>
    <row r="660" spans="1:16">
      <c r="A660" s="213" t="s">
        <v>1463</v>
      </c>
      <c r="B660" s="213" t="s">
        <v>1450</v>
      </c>
      <c r="C660" s="221" t="s">
        <v>821</v>
      </c>
      <c r="D660" s="221" t="s">
        <v>823</v>
      </c>
      <c r="E660" s="221" t="s">
        <v>4725</v>
      </c>
      <c r="F660" s="213" t="s">
        <v>5353</v>
      </c>
      <c r="G660" s="213" t="s">
        <v>5106</v>
      </c>
      <c r="H660" s="213" t="s">
        <v>4728</v>
      </c>
      <c r="I660" s="213" t="s">
        <v>5107</v>
      </c>
      <c r="J660" s="213" t="s">
        <v>4730</v>
      </c>
      <c r="K660" s="213" t="s">
        <v>9510</v>
      </c>
      <c r="L660" s="213" t="s">
        <v>10761</v>
      </c>
      <c r="M660" s="213" t="s">
        <v>10112</v>
      </c>
      <c r="P660" s="121"/>
    </row>
    <row r="661" spans="1:16">
      <c r="A661" s="213" t="s">
        <v>1464</v>
      </c>
      <c r="B661" s="213" t="s">
        <v>1466</v>
      </c>
      <c r="C661" s="221" t="s">
        <v>1465</v>
      </c>
      <c r="D661" s="221" t="s">
        <v>1467</v>
      </c>
      <c r="E661" s="221" t="s">
        <v>5354</v>
      </c>
      <c r="F661" s="213" t="s">
        <v>5355</v>
      </c>
      <c r="G661" s="213" t="s">
        <v>5356</v>
      </c>
      <c r="H661" s="213" t="s">
        <v>5357</v>
      </c>
      <c r="I661" s="213" t="s">
        <v>5358</v>
      </c>
      <c r="J661" s="213" t="s">
        <v>5359</v>
      </c>
      <c r="K661" s="213" t="s">
        <v>9558</v>
      </c>
      <c r="L661" s="213" t="s">
        <v>10856</v>
      </c>
      <c r="M661" s="213" t="s">
        <v>10211</v>
      </c>
      <c r="P661" s="121"/>
    </row>
    <row r="662" spans="1:16">
      <c r="A662" s="213" t="s">
        <v>1468</v>
      </c>
      <c r="B662" s="213" t="s">
        <v>1450</v>
      </c>
      <c r="C662" s="221" t="s">
        <v>821</v>
      </c>
      <c r="D662" s="221" t="s">
        <v>823</v>
      </c>
      <c r="E662" s="221" t="s">
        <v>4725</v>
      </c>
      <c r="F662" s="213" t="s">
        <v>5353</v>
      </c>
      <c r="G662" s="213" t="s">
        <v>5106</v>
      </c>
      <c r="H662" s="213" t="s">
        <v>4728</v>
      </c>
      <c r="I662" s="213" t="s">
        <v>5107</v>
      </c>
      <c r="J662" s="213" t="s">
        <v>4730</v>
      </c>
      <c r="K662" s="213" t="s">
        <v>9510</v>
      </c>
      <c r="L662" s="213" t="s">
        <v>10761</v>
      </c>
      <c r="M662" s="213" t="s">
        <v>10112</v>
      </c>
      <c r="P662" s="121"/>
    </row>
    <row r="663" spans="1:16">
      <c r="A663" s="213" t="s">
        <v>1469</v>
      </c>
      <c r="B663" s="213" t="s">
        <v>1454</v>
      </c>
      <c r="C663" s="221" t="s">
        <v>1453</v>
      </c>
      <c r="D663" s="221" t="s">
        <v>1455</v>
      </c>
      <c r="E663" s="221" t="s">
        <v>5360</v>
      </c>
      <c r="F663" s="213" t="s">
        <v>5361</v>
      </c>
      <c r="G663" s="213" t="s">
        <v>5362</v>
      </c>
      <c r="H663" s="213" t="s">
        <v>5363</v>
      </c>
      <c r="I663" s="213" t="s">
        <v>5364</v>
      </c>
      <c r="J663" s="213" t="s">
        <v>5365</v>
      </c>
      <c r="K663" s="213" t="s">
        <v>9559</v>
      </c>
      <c r="L663" s="213" t="s">
        <v>10857</v>
      </c>
      <c r="M663" s="213" t="s">
        <v>10212</v>
      </c>
      <c r="P663" s="121"/>
    </row>
    <row r="664" spans="1:16">
      <c r="A664" s="213" t="s">
        <v>1470</v>
      </c>
      <c r="B664" s="213" t="s">
        <v>1450</v>
      </c>
      <c r="C664" s="221" t="s">
        <v>821</v>
      </c>
      <c r="D664" s="221" t="s">
        <v>823</v>
      </c>
      <c r="E664" s="221" t="s">
        <v>4725</v>
      </c>
      <c r="F664" s="213" t="s">
        <v>5353</v>
      </c>
      <c r="G664" s="213" t="s">
        <v>5106</v>
      </c>
      <c r="H664" s="213" t="s">
        <v>4728</v>
      </c>
      <c r="I664" s="213" t="s">
        <v>5107</v>
      </c>
      <c r="J664" s="213" t="s">
        <v>4730</v>
      </c>
      <c r="K664" s="213" t="s">
        <v>9510</v>
      </c>
      <c r="L664" s="213" t="s">
        <v>10761</v>
      </c>
      <c r="M664" s="213" t="s">
        <v>10112</v>
      </c>
      <c r="P664" s="121"/>
    </row>
    <row r="665" spans="1:16">
      <c r="A665" s="213" t="s">
        <v>1471</v>
      </c>
      <c r="B665" s="213" t="s">
        <v>1450</v>
      </c>
      <c r="C665" s="221" t="s">
        <v>821</v>
      </c>
      <c r="D665" s="221" t="s">
        <v>823</v>
      </c>
      <c r="E665" s="221" t="s">
        <v>4725</v>
      </c>
      <c r="F665" s="213" t="s">
        <v>5353</v>
      </c>
      <c r="G665" s="213" t="s">
        <v>5106</v>
      </c>
      <c r="H665" s="213" t="s">
        <v>4728</v>
      </c>
      <c r="I665" s="213" t="s">
        <v>5107</v>
      </c>
      <c r="J665" s="213" t="s">
        <v>4730</v>
      </c>
      <c r="K665" s="213" t="s">
        <v>9510</v>
      </c>
      <c r="L665" s="213" t="s">
        <v>10761</v>
      </c>
      <c r="M665" s="213" t="s">
        <v>10112</v>
      </c>
      <c r="P665" s="121"/>
    </row>
    <row r="666" spans="1:16">
      <c r="A666" s="213" t="s">
        <v>1472</v>
      </c>
      <c r="B666" s="213" t="s">
        <v>1473</v>
      </c>
      <c r="C666" s="221" t="s">
        <v>679</v>
      </c>
      <c r="D666" s="221" t="s">
        <v>1474</v>
      </c>
      <c r="E666" s="221" t="s">
        <v>5243</v>
      </c>
      <c r="F666" s="213" t="s">
        <v>4339</v>
      </c>
      <c r="G666" s="213" t="s">
        <v>4340</v>
      </c>
      <c r="H666" s="213" t="s">
        <v>5091</v>
      </c>
      <c r="I666" s="213" t="s">
        <v>4363</v>
      </c>
      <c r="J666" s="213" t="s">
        <v>4343</v>
      </c>
      <c r="K666" s="213" t="s">
        <v>9542</v>
      </c>
      <c r="L666" s="213" t="s">
        <v>10858</v>
      </c>
      <c r="M666" s="213" t="s">
        <v>10193</v>
      </c>
      <c r="P666" s="121"/>
    </row>
    <row r="667" spans="1:16">
      <c r="A667" s="213" t="s">
        <v>1481</v>
      </c>
      <c r="B667" s="213" t="s">
        <v>1148</v>
      </c>
      <c r="C667" s="221" t="s">
        <v>5366</v>
      </c>
      <c r="D667" s="221" t="s">
        <v>1155</v>
      </c>
      <c r="E667" s="221" t="s">
        <v>5367</v>
      </c>
      <c r="F667" s="213" t="s">
        <v>5368</v>
      </c>
      <c r="G667" s="213" t="s">
        <v>5369</v>
      </c>
      <c r="H667" s="213" t="s">
        <v>5370</v>
      </c>
      <c r="I667" s="213" t="s">
        <v>5371</v>
      </c>
      <c r="J667" s="213" t="s">
        <v>5372</v>
      </c>
      <c r="K667" s="213" t="s">
        <v>9560</v>
      </c>
      <c r="L667" s="213" t="s">
        <v>10824</v>
      </c>
      <c r="M667" s="213" t="s">
        <v>10213</v>
      </c>
      <c r="P667" s="121"/>
    </row>
    <row r="668" spans="1:16">
      <c r="A668" s="213" t="s">
        <v>1482</v>
      </c>
      <c r="B668" s="213" t="s">
        <v>1478</v>
      </c>
      <c r="C668" s="221" t="s">
        <v>1477</v>
      </c>
      <c r="D668" s="221" t="s">
        <v>1479</v>
      </c>
      <c r="E668" s="221" t="s">
        <v>5373</v>
      </c>
      <c r="F668" s="213" t="s">
        <v>5374</v>
      </c>
      <c r="G668" s="213" t="s">
        <v>5375</v>
      </c>
      <c r="H668" s="213" t="s">
        <v>5376</v>
      </c>
      <c r="I668" s="213" t="s">
        <v>5377</v>
      </c>
      <c r="J668" s="213" t="s">
        <v>5378</v>
      </c>
      <c r="K668" s="213" t="s">
        <v>9561</v>
      </c>
      <c r="L668" s="213" t="s">
        <v>10859</v>
      </c>
      <c r="M668" s="213" t="s">
        <v>10214</v>
      </c>
      <c r="P668" s="121"/>
    </row>
    <row r="669" spans="1:16">
      <c r="A669" s="213" t="s">
        <v>1486</v>
      </c>
      <c r="B669" s="213" t="s">
        <v>1450</v>
      </c>
      <c r="C669" s="221" t="s">
        <v>821</v>
      </c>
      <c r="D669" s="221" t="s">
        <v>823</v>
      </c>
      <c r="E669" s="221" t="s">
        <v>4725</v>
      </c>
      <c r="F669" s="213" t="s">
        <v>5353</v>
      </c>
      <c r="G669" s="213" t="s">
        <v>5106</v>
      </c>
      <c r="H669" s="213" t="s">
        <v>4728</v>
      </c>
      <c r="I669" s="213" t="s">
        <v>5107</v>
      </c>
      <c r="J669" s="213" t="s">
        <v>4730</v>
      </c>
      <c r="K669" s="213" t="s">
        <v>9510</v>
      </c>
      <c r="L669" s="213" t="s">
        <v>10761</v>
      </c>
      <c r="M669" s="213" t="s">
        <v>10112</v>
      </c>
      <c r="P669" s="121"/>
    </row>
    <row r="670" spans="1:16">
      <c r="A670" s="213" t="s">
        <v>1487</v>
      </c>
      <c r="B670" s="213" t="s">
        <v>1454</v>
      </c>
      <c r="C670" s="221" t="s">
        <v>1453</v>
      </c>
      <c r="D670" s="221" t="s">
        <v>1455</v>
      </c>
      <c r="E670" s="221" t="s">
        <v>5360</v>
      </c>
      <c r="F670" s="213" t="s">
        <v>5361</v>
      </c>
      <c r="G670" s="213" t="s">
        <v>5362</v>
      </c>
      <c r="H670" s="213" t="s">
        <v>5363</v>
      </c>
      <c r="I670" s="213" t="s">
        <v>5364</v>
      </c>
      <c r="J670" s="213" t="s">
        <v>5365</v>
      </c>
      <c r="K670" s="213" t="s">
        <v>9559</v>
      </c>
      <c r="L670" s="213" t="s">
        <v>10857</v>
      </c>
      <c r="M670" s="213" t="s">
        <v>10212</v>
      </c>
      <c r="P670" s="121"/>
    </row>
    <row r="671" spans="1:16">
      <c r="A671" s="214" t="s">
        <v>1488</v>
      </c>
      <c r="B671" s="213" t="s">
        <v>1450</v>
      </c>
      <c r="C671" s="221" t="s">
        <v>821</v>
      </c>
      <c r="D671" s="221" t="s">
        <v>823</v>
      </c>
      <c r="E671" s="221" t="s">
        <v>4725</v>
      </c>
      <c r="F671" s="213" t="s">
        <v>5353</v>
      </c>
      <c r="G671" s="213" t="s">
        <v>5106</v>
      </c>
      <c r="H671" s="213" t="s">
        <v>4728</v>
      </c>
      <c r="I671" s="213" t="s">
        <v>5107</v>
      </c>
      <c r="J671" s="213" t="s">
        <v>4730</v>
      </c>
      <c r="K671" s="213" t="s">
        <v>9510</v>
      </c>
      <c r="L671" s="213" t="s">
        <v>10761</v>
      </c>
      <c r="M671" s="213" t="s">
        <v>10112</v>
      </c>
      <c r="P671" s="121"/>
    </row>
    <row r="672" spans="1:16">
      <c r="A672" s="213" t="s">
        <v>1496</v>
      </c>
      <c r="B672" s="213" t="s">
        <v>1494</v>
      </c>
      <c r="C672" s="221" t="s">
        <v>412</v>
      </c>
      <c r="D672" s="221" t="s">
        <v>414</v>
      </c>
      <c r="E672" s="221" t="s">
        <v>3945</v>
      </c>
      <c r="F672" s="213" t="s">
        <v>3946</v>
      </c>
      <c r="G672" s="213" t="s">
        <v>5382</v>
      </c>
      <c r="H672" s="213" t="s">
        <v>3948</v>
      </c>
      <c r="I672" s="213" t="s">
        <v>3949</v>
      </c>
      <c r="J672" s="213" t="s">
        <v>3950</v>
      </c>
      <c r="K672" s="213" t="s">
        <v>9394</v>
      </c>
      <c r="L672" s="213" t="s">
        <v>10645</v>
      </c>
      <c r="M672" s="213" t="s">
        <v>10215</v>
      </c>
      <c r="P672" s="121"/>
    </row>
    <row r="673" spans="1:16">
      <c r="A673" s="213" t="s">
        <v>1497</v>
      </c>
      <c r="B673" s="213" t="s">
        <v>2853</v>
      </c>
      <c r="C673" s="221" t="s">
        <v>1491</v>
      </c>
      <c r="D673" s="221" t="s">
        <v>1492</v>
      </c>
      <c r="E673" s="221" t="s">
        <v>5383</v>
      </c>
      <c r="F673" s="213" t="s">
        <v>5384</v>
      </c>
      <c r="G673" s="213" t="s">
        <v>5385</v>
      </c>
      <c r="H673" s="213" t="s">
        <v>5386</v>
      </c>
      <c r="I673" s="213" t="s">
        <v>5387</v>
      </c>
      <c r="J673" s="213" t="s">
        <v>5388</v>
      </c>
      <c r="K673" s="213" t="s">
        <v>9562</v>
      </c>
      <c r="L673" s="213" t="s">
        <v>10860</v>
      </c>
      <c r="M673" s="213" t="s">
        <v>10216</v>
      </c>
      <c r="P673" s="121"/>
    </row>
    <row r="674" spans="1:16">
      <c r="A674" s="213" t="s">
        <v>1498</v>
      </c>
      <c r="B674" s="213" t="s">
        <v>1494</v>
      </c>
      <c r="C674" s="221" t="s">
        <v>412</v>
      </c>
      <c r="D674" s="221" t="s">
        <v>414</v>
      </c>
      <c r="E674" s="221" t="s">
        <v>3945</v>
      </c>
      <c r="F674" s="213" t="s">
        <v>3946</v>
      </c>
      <c r="G674" s="213" t="s">
        <v>5382</v>
      </c>
      <c r="H674" s="213" t="s">
        <v>3948</v>
      </c>
      <c r="I674" s="213" t="s">
        <v>3949</v>
      </c>
      <c r="J674" s="213" t="s">
        <v>3950</v>
      </c>
      <c r="K674" s="213" t="s">
        <v>9394</v>
      </c>
      <c r="L674" s="213" t="s">
        <v>10645</v>
      </c>
      <c r="M674" s="213" t="s">
        <v>10215</v>
      </c>
      <c r="P674" s="121"/>
    </row>
    <row r="675" spans="1:16">
      <c r="A675" s="213" t="s">
        <v>1499</v>
      </c>
      <c r="B675" s="213" t="s">
        <v>1494</v>
      </c>
      <c r="C675" s="221" t="s">
        <v>412</v>
      </c>
      <c r="D675" s="221" t="s">
        <v>414</v>
      </c>
      <c r="E675" s="221" t="s">
        <v>3945</v>
      </c>
      <c r="F675" s="213" t="s">
        <v>3946</v>
      </c>
      <c r="G675" s="213" t="s">
        <v>5382</v>
      </c>
      <c r="H675" s="213" t="s">
        <v>3948</v>
      </c>
      <c r="I675" s="213" t="s">
        <v>3949</v>
      </c>
      <c r="J675" s="213" t="s">
        <v>3950</v>
      </c>
      <c r="K675" s="213" t="s">
        <v>9394</v>
      </c>
      <c r="L675" s="213" t="s">
        <v>10645</v>
      </c>
      <c r="M675" s="213" t="s">
        <v>10215</v>
      </c>
      <c r="P675" s="121"/>
    </row>
    <row r="676" spans="1:16">
      <c r="A676" s="213" t="s">
        <v>1500</v>
      </c>
      <c r="B676" s="213" t="s">
        <v>1494</v>
      </c>
      <c r="C676" s="221" t="s">
        <v>412</v>
      </c>
      <c r="D676" s="221" t="s">
        <v>414</v>
      </c>
      <c r="E676" s="221" t="s">
        <v>3945</v>
      </c>
      <c r="F676" s="213" t="s">
        <v>3946</v>
      </c>
      <c r="G676" s="213" t="s">
        <v>5382</v>
      </c>
      <c r="H676" s="213" t="s">
        <v>3948</v>
      </c>
      <c r="I676" s="213" t="s">
        <v>3949</v>
      </c>
      <c r="J676" s="213" t="s">
        <v>3950</v>
      </c>
      <c r="K676" s="213" t="s">
        <v>9394</v>
      </c>
      <c r="L676" s="213" t="s">
        <v>10645</v>
      </c>
      <c r="M676" s="213" t="s">
        <v>10215</v>
      </c>
      <c r="P676" s="121"/>
    </row>
    <row r="677" spans="1:16">
      <c r="A677" s="213" t="s">
        <v>1502</v>
      </c>
      <c r="B677" s="213" t="s">
        <v>1494</v>
      </c>
      <c r="C677" s="221" t="s">
        <v>412</v>
      </c>
      <c r="D677" s="221" t="s">
        <v>414</v>
      </c>
      <c r="E677" s="221" t="s">
        <v>3945</v>
      </c>
      <c r="F677" s="213" t="s">
        <v>3946</v>
      </c>
      <c r="G677" s="213" t="s">
        <v>5382</v>
      </c>
      <c r="H677" s="213" t="s">
        <v>3948</v>
      </c>
      <c r="I677" s="213" t="s">
        <v>3949</v>
      </c>
      <c r="J677" s="213" t="s">
        <v>3950</v>
      </c>
      <c r="K677" s="213" t="s">
        <v>9394</v>
      </c>
      <c r="L677" s="213" t="s">
        <v>10645</v>
      </c>
      <c r="M677" s="213" t="s">
        <v>10215</v>
      </c>
      <c r="P677" s="121"/>
    </row>
    <row r="678" spans="1:16">
      <c r="A678" s="213" t="s">
        <v>1503</v>
      </c>
      <c r="B678" s="213" t="s">
        <v>1489</v>
      </c>
      <c r="C678" s="221" t="s">
        <v>863</v>
      </c>
      <c r="D678" s="221" t="s">
        <v>1157</v>
      </c>
      <c r="E678" s="221" t="s">
        <v>4702</v>
      </c>
      <c r="F678" s="213" t="s">
        <v>4703</v>
      </c>
      <c r="G678" s="213" t="s">
        <v>5135</v>
      </c>
      <c r="H678" s="213" t="s">
        <v>4705</v>
      </c>
      <c r="I678" s="213" t="s">
        <v>5381</v>
      </c>
      <c r="J678" s="213" t="s">
        <v>4707</v>
      </c>
      <c r="K678" s="213" t="s">
        <v>9506</v>
      </c>
      <c r="L678" s="213" t="s">
        <v>10757</v>
      </c>
      <c r="M678" s="213" t="s">
        <v>10108</v>
      </c>
      <c r="P678" s="121"/>
    </row>
    <row r="679" spans="1:16">
      <c r="A679" s="214" t="s">
        <v>1504</v>
      </c>
      <c r="B679" s="213" t="s">
        <v>1489</v>
      </c>
      <c r="C679" s="221" t="s">
        <v>863</v>
      </c>
      <c r="D679" s="221" t="s">
        <v>1157</v>
      </c>
      <c r="E679" s="221" t="s">
        <v>4702</v>
      </c>
      <c r="F679" s="213" t="s">
        <v>4703</v>
      </c>
      <c r="G679" s="213" t="s">
        <v>5135</v>
      </c>
      <c r="H679" s="213" t="s">
        <v>4705</v>
      </c>
      <c r="I679" s="213" t="s">
        <v>5381</v>
      </c>
      <c r="J679" s="213" t="s">
        <v>4707</v>
      </c>
      <c r="K679" s="222" t="s">
        <v>9506</v>
      </c>
      <c r="L679" s="213" t="s">
        <v>10757</v>
      </c>
      <c r="M679" s="213" t="s">
        <v>10108</v>
      </c>
      <c r="P679" s="121"/>
    </row>
    <row r="680" spans="1:16">
      <c r="A680" s="213" t="s">
        <v>5389</v>
      </c>
      <c r="B680" s="213" t="s">
        <v>1489</v>
      </c>
      <c r="C680" s="221" t="s">
        <v>863</v>
      </c>
      <c r="D680" s="221" t="s">
        <v>1157</v>
      </c>
      <c r="E680" s="221" t="s">
        <v>4702</v>
      </c>
      <c r="F680" s="213" t="s">
        <v>4703</v>
      </c>
      <c r="G680" s="213" t="s">
        <v>5135</v>
      </c>
      <c r="H680" s="213" t="s">
        <v>4705</v>
      </c>
      <c r="I680" s="213" t="s">
        <v>5381</v>
      </c>
      <c r="J680" s="213" t="s">
        <v>5215</v>
      </c>
      <c r="K680" s="213" t="s">
        <v>9506</v>
      </c>
      <c r="L680" s="213" t="s">
        <v>10757</v>
      </c>
      <c r="M680" s="213" t="s">
        <v>10108</v>
      </c>
      <c r="P680" s="121"/>
    </row>
    <row r="681" spans="1:16">
      <c r="A681" s="213" t="s">
        <v>2560</v>
      </c>
      <c r="B681" s="213" t="s">
        <v>1489</v>
      </c>
      <c r="C681" s="221" t="s">
        <v>863</v>
      </c>
      <c r="D681" s="221" t="s">
        <v>1157</v>
      </c>
      <c r="E681" s="221" t="s">
        <v>4702</v>
      </c>
      <c r="F681" s="213" t="s">
        <v>4703</v>
      </c>
      <c r="G681" s="213" t="s">
        <v>5135</v>
      </c>
      <c r="H681" s="213" t="s">
        <v>4705</v>
      </c>
      <c r="I681" s="213" t="s">
        <v>5381</v>
      </c>
      <c r="J681" s="213" t="s">
        <v>4707</v>
      </c>
      <c r="K681" s="213" t="s">
        <v>9506</v>
      </c>
      <c r="L681" s="213" t="s">
        <v>10757</v>
      </c>
      <c r="M681" s="213" t="s">
        <v>10108</v>
      </c>
      <c r="P681" s="121"/>
    </row>
    <row r="682" spans="1:16">
      <c r="A682" s="213" t="s">
        <v>1510</v>
      </c>
      <c r="B682" s="213" t="s">
        <v>1489</v>
      </c>
      <c r="C682" s="221" t="s">
        <v>863</v>
      </c>
      <c r="D682" s="221" t="s">
        <v>1157</v>
      </c>
      <c r="E682" s="221" t="s">
        <v>4702</v>
      </c>
      <c r="F682" s="213" t="s">
        <v>4703</v>
      </c>
      <c r="G682" s="213" t="s">
        <v>5135</v>
      </c>
      <c r="H682" s="213" t="s">
        <v>4705</v>
      </c>
      <c r="I682" s="213" t="s">
        <v>5381</v>
      </c>
      <c r="J682" s="213" t="s">
        <v>4707</v>
      </c>
      <c r="K682" s="213" t="s">
        <v>9506</v>
      </c>
      <c r="L682" s="213" t="s">
        <v>10757</v>
      </c>
      <c r="M682" s="213" t="s">
        <v>10108</v>
      </c>
      <c r="P682" s="121"/>
    </row>
    <row r="683" spans="1:16">
      <c r="A683" s="213" t="s">
        <v>1512</v>
      </c>
      <c r="B683" s="213" t="s">
        <v>1489</v>
      </c>
      <c r="C683" s="221" t="s">
        <v>863</v>
      </c>
      <c r="D683" s="221" t="s">
        <v>1157</v>
      </c>
      <c r="E683" s="221" t="s">
        <v>4702</v>
      </c>
      <c r="F683" s="213" t="s">
        <v>4703</v>
      </c>
      <c r="G683" s="213" t="s">
        <v>5135</v>
      </c>
      <c r="H683" s="213" t="s">
        <v>4705</v>
      </c>
      <c r="I683" s="213" t="s">
        <v>5381</v>
      </c>
      <c r="J683" s="213" t="s">
        <v>4707</v>
      </c>
      <c r="K683" s="213" t="s">
        <v>9506</v>
      </c>
      <c r="L683" s="213" t="s">
        <v>10757</v>
      </c>
      <c r="M683" s="213" t="s">
        <v>10108</v>
      </c>
      <c r="P683" s="121"/>
    </row>
    <row r="684" spans="1:16">
      <c r="A684" s="213" t="s">
        <v>1513</v>
      </c>
      <c r="B684" s="213" t="s">
        <v>1507</v>
      </c>
      <c r="C684" s="221" t="s">
        <v>1506</v>
      </c>
      <c r="D684" s="221" t="s">
        <v>1508</v>
      </c>
      <c r="E684" s="221" t="s">
        <v>5390</v>
      </c>
      <c r="F684" s="213" t="s">
        <v>5391</v>
      </c>
      <c r="G684" s="213" t="s">
        <v>5392</v>
      </c>
      <c r="H684" s="213" t="s">
        <v>5393</v>
      </c>
      <c r="I684" s="213" t="s">
        <v>5394</v>
      </c>
      <c r="J684" s="213" t="s">
        <v>5395</v>
      </c>
      <c r="K684" s="213" t="s">
        <v>9563</v>
      </c>
      <c r="L684" s="213" t="s">
        <v>10861</v>
      </c>
      <c r="M684" s="213" t="s">
        <v>10217</v>
      </c>
      <c r="P684" s="121"/>
    </row>
    <row r="685" spans="1:16">
      <c r="A685" s="213" t="s">
        <v>2465</v>
      </c>
      <c r="B685" s="213" t="s">
        <v>1489</v>
      </c>
      <c r="C685" s="221" t="s">
        <v>863</v>
      </c>
      <c r="D685" s="221" t="s">
        <v>1157</v>
      </c>
      <c r="E685" s="221" t="s">
        <v>4702</v>
      </c>
      <c r="F685" s="213" t="s">
        <v>4703</v>
      </c>
      <c r="G685" s="213" t="s">
        <v>5135</v>
      </c>
      <c r="H685" s="213" t="s">
        <v>4705</v>
      </c>
      <c r="I685" s="213" t="s">
        <v>5381</v>
      </c>
      <c r="J685" s="213" t="s">
        <v>4707</v>
      </c>
      <c r="K685" s="213" t="s">
        <v>9506</v>
      </c>
      <c r="L685" s="213" t="s">
        <v>10757</v>
      </c>
      <c r="M685" s="213" t="s">
        <v>10108</v>
      </c>
      <c r="P685" s="121"/>
    </row>
    <row r="686" spans="1:16">
      <c r="A686" s="213" t="s">
        <v>1514</v>
      </c>
      <c r="B686" s="213" t="s">
        <v>1473</v>
      </c>
      <c r="C686" s="221" t="s">
        <v>679</v>
      </c>
      <c r="D686" s="221" t="s">
        <v>1474</v>
      </c>
      <c r="E686" s="221" t="s">
        <v>5243</v>
      </c>
      <c r="F686" s="213" t="s">
        <v>4339</v>
      </c>
      <c r="G686" s="213" t="s">
        <v>4340</v>
      </c>
      <c r="H686" s="213" t="s">
        <v>5091</v>
      </c>
      <c r="I686" s="213" t="s">
        <v>4363</v>
      </c>
      <c r="J686" s="213" t="s">
        <v>4343</v>
      </c>
      <c r="K686" s="213" t="s">
        <v>9542</v>
      </c>
      <c r="L686" s="213" t="s">
        <v>10858</v>
      </c>
      <c r="M686" s="213" t="s">
        <v>10203</v>
      </c>
      <c r="P686" s="121"/>
    </row>
    <row r="687" spans="1:16">
      <c r="A687" s="213" t="s">
        <v>1515</v>
      </c>
      <c r="B687" s="213" t="s">
        <v>1518</v>
      </c>
      <c r="C687" s="221" t="s">
        <v>1517</v>
      </c>
      <c r="D687" s="221" t="s">
        <v>1519</v>
      </c>
      <c r="E687" s="221" t="s">
        <v>5396</v>
      </c>
      <c r="F687" s="213" t="s">
        <v>5397</v>
      </c>
      <c r="G687" s="213" t="s">
        <v>5398</v>
      </c>
      <c r="H687" s="213" t="s">
        <v>5399</v>
      </c>
      <c r="I687" s="213" t="s">
        <v>5400</v>
      </c>
      <c r="J687" s="213" t="s">
        <v>5401</v>
      </c>
      <c r="K687" s="213" t="s">
        <v>9564</v>
      </c>
      <c r="L687" s="213" t="s">
        <v>10862</v>
      </c>
      <c r="M687" s="213" t="s">
        <v>10218</v>
      </c>
      <c r="P687" s="121"/>
    </row>
    <row r="688" spans="1:16">
      <c r="A688" s="213" t="s">
        <v>1520</v>
      </c>
      <c r="B688" s="213" t="s">
        <v>1523</v>
      </c>
      <c r="C688" s="221" t="s">
        <v>1522</v>
      </c>
      <c r="D688" s="221" t="s">
        <v>1524</v>
      </c>
      <c r="E688" s="221" t="s">
        <v>5402</v>
      </c>
      <c r="F688" s="213" t="s">
        <v>5403</v>
      </c>
      <c r="G688" s="213" t="s">
        <v>5404</v>
      </c>
      <c r="H688" s="213" t="s">
        <v>5405</v>
      </c>
      <c r="I688" s="213" t="s">
        <v>5406</v>
      </c>
      <c r="J688" s="213" t="s">
        <v>5407</v>
      </c>
      <c r="K688" s="213" t="s">
        <v>9565</v>
      </c>
      <c r="L688" s="213" t="s">
        <v>10863</v>
      </c>
      <c r="M688" s="213" t="s">
        <v>10219</v>
      </c>
      <c r="P688" s="121"/>
    </row>
    <row r="689" spans="1:16">
      <c r="A689" s="213" t="s">
        <v>1525</v>
      </c>
      <c r="B689" s="213" t="s">
        <v>1528</v>
      </c>
      <c r="C689" s="221" t="s">
        <v>1527</v>
      </c>
      <c r="D689" s="221" t="s">
        <v>1529</v>
      </c>
      <c r="E689" s="221" t="s">
        <v>5408</v>
      </c>
      <c r="F689" s="213" t="s">
        <v>5409</v>
      </c>
      <c r="G689" s="213" t="s">
        <v>5410</v>
      </c>
      <c r="H689" s="213" t="s">
        <v>5411</v>
      </c>
      <c r="I689" s="213" t="s">
        <v>5412</v>
      </c>
      <c r="J689" s="213" t="s">
        <v>5413</v>
      </c>
      <c r="K689" s="213" t="s">
        <v>9566</v>
      </c>
      <c r="L689" s="213" t="s">
        <v>10864</v>
      </c>
      <c r="M689" s="213" t="s">
        <v>10220</v>
      </c>
      <c r="P689" s="121"/>
    </row>
    <row r="690" spans="1:16">
      <c r="A690" s="213" t="s">
        <v>2562</v>
      </c>
      <c r="B690" s="213" t="s">
        <v>2854</v>
      </c>
      <c r="C690" s="221" t="s">
        <v>2965</v>
      </c>
      <c r="D690" s="221" t="s">
        <v>3020</v>
      </c>
      <c r="E690" s="221" t="s">
        <v>5414</v>
      </c>
      <c r="F690" s="213" t="s">
        <v>5415</v>
      </c>
      <c r="G690" s="213" t="s">
        <v>5416</v>
      </c>
      <c r="H690" s="213" t="s">
        <v>5417</v>
      </c>
      <c r="I690" s="213" t="s">
        <v>5418</v>
      </c>
      <c r="J690" s="213" t="s">
        <v>5419</v>
      </c>
      <c r="K690" s="213" t="s">
        <v>9567</v>
      </c>
      <c r="L690" s="213" t="s">
        <v>10865</v>
      </c>
      <c r="M690" s="213" t="s">
        <v>10221</v>
      </c>
      <c r="P690" s="121"/>
    </row>
    <row r="691" spans="1:16">
      <c r="A691" s="213" t="s">
        <v>1530</v>
      </c>
      <c r="B691" s="213" t="s">
        <v>1489</v>
      </c>
      <c r="C691" s="221" t="s">
        <v>863</v>
      </c>
      <c r="D691" s="221" t="s">
        <v>1157</v>
      </c>
      <c r="E691" s="221" t="s">
        <v>4702</v>
      </c>
      <c r="F691" s="213" t="s">
        <v>4703</v>
      </c>
      <c r="G691" s="213" t="s">
        <v>5135</v>
      </c>
      <c r="H691" s="213" t="s">
        <v>4705</v>
      </c>
      <c r="I691" s="213" t="s">
        <v>5381</v>
      </c>
      <c r="J691" s="213" t="s">
        <v>4707</v>
      </c>
      <c r="K691" s="213" t="s">
        <v>9506</v>
      </c>
      <c r="L691" s="213" t="s">
        <v>10757</v>
      </c>
      <c r="M691" s="213" t="s">
        <v>10108</v>
      </c>
      <c r="P691" s="121"/>
    </row>
    <row r="692" spans="1:16">
      <c r="A692" s="213" t="s">
        <v>1531</v>
      </c>
      <c r="B692" s="213" t="s">
        <v>1489</v>
      </c>
      <c r="C692" s="221" t="s">
        <v>863</v>
      </c>
      <c r="D692" s="221" t="s">
        <v>1157</v>
      </c>
      <c r="E692" s="221" t="s">
        <v>4702</v>
      </c>
      <c r="F692" s="213" t="s">
        <v>4703</v>
      </c>
      <c r="G692" s="213" t="s">
        <v>5135</v>
      </c>
      <c r="H692" s="213" t="s">
        <v>4705</v>
      </c>
      <c r="I692" s="213" t="s">
        <v>5381</v>
      </c>
      <c r="J692" s="213" t="s">
        <v>4707</v>
      </c>
      <c r="K692" s="213" t="s">
        <v>9506</v>
      </c>
      <c r="L692" s="213" t="s">
        <v>10757</v>
      </c>
      <c r="M692" s="213" t="s">
        <v>10108</v>
      </c>
      <c r="P692" s="121"/>
    </row>
    <row r="693" spans="1:16">
      <c r="A693" s="213" t="s">
        <v>1533</v>
      </c>
      <c r="B693" s="213" t="s">
        <v>1489</v>
      </c>
      <c r="C693" s="221" t="s">
        <v>863</v>
      </c>
      <c r="D693" s="221" t="s">
        <v>1157</v>
      </c>
      <c r="E693" s="221" t="s">
        <v>4702</v>
      </c>
      <c r="F693" s="213" t="s">
        <v>4703</v>
      </c>
      <c r="G693" s="213" t="s">
        <v>5135</v>
      </c>
      <c r="H693" s="213" t="s">
        <v>4705</v>
      </c>
      <c r="I693" s="213" t="s">
        <v>5381</v>
      </c>
      <c r="J693" s="213" t="s">
        <v>4707</v>
      </c>
      <c r="K693" s="213" t="s">
        <v>9506</v>
      </c>
      <c r="L693" s="213" t="s">
        <v>10757</v>
      </c>
      <c r="M693" s="213" t="s">
        <v>10108</v>
      </c>
      <c r="P693" s="121"/>
    </row>
    <row r="694" spans="1:16">
      <c r="A694" s="213" t="s">
        <v>1535</v>
      </c>
      <c r="B694" s="213" t="s">
        <v>1489</v>
      </c>
      <c r="C694" s="221" t="s">
        <v>863</v>
      </c>
      <c r="D694" s="221" t="s">
        <v>1157</v>
      </c>
      <c r="E694" s="221" t="s">
        <v>4702</v>
      </c>
      <c r="F694" s="213" t="s">
        <v>4703</v>
      </c>
      <c r="G694" s="213" t="s">
        <v>5135</v>
      </c>
      <c r="H694" s="213" t="s">
        <v>4705</v>
      </c>
      <c r="I694" s="213" t="s">
        <v>5381</v>
      </c>
      <c r="J694" s="213" t="s">
        <v>4707</v>
      </c>
      <c r="K694" s="213" t="s">
        <v>9506</v>
      </c>
      <c r="L694" s="213" t="s">
        <v>10757</v>
      </c>
      <c r="M694" s="213" t="s">
        <v>10108</v>
      </c>
      <c r="P694" s="121"/>
    </row>
    <row r="695" spans="1:16">
      <c r="A695" s="213" t="s">
        <v>1537</v>
      </c>
      <c r="B695" s="213" t="s">
        <v>1450</v>
      </c>
      <c r="C695" s="221" t="s">
        <v>821</v>
      </c>
      <c r="D695" s="221" t="s">
        <v>823</v>
      </c>
      <c r="E695" s="221" t="s">
        <v>4725</v>
      </c>
      <c r="F695" s="213" t="s">
        <v>4726</v>
      </c>
      <c r="G695" s="213" t="s">
        <v>5106</v>
      </c>
      <c r="H695" s="213" t="s">
        <v>4728</v>
      </c>
      <c r="I695" s="213" t="s">
        <v>5107</v>
      </c>
      <c r="J695" s="213" t="s">
        <v>4730</v>
      </c>
      <c r="K695" s="213" t="s">
        <v>9510</v>
      </c>
      <c r="L695" s="213" t="s">
        <v>10839</v>
      </c>
      <c r="M695" s="213" t="s">
        <v>10108</v>
      </c>
      <c r="P695" s="121"/>
    </row>
    <row r="696" spans="1:16">
      <c r="A696" s="213" t="s">
        <v>1538</v>
      </c>
      <c r="B696" s="213" t="s">
        <v>1450</v>
      </c>
      <c r="C696" s="221" t="s">
        <v>821</v>
      </c>
      <c r="D696" s="221" t="s">
        <v>823</v>
      </c>
      <c r="E696" s="221" t="s">
        <v>4725</v>
      </c>
      <c r="F696" s="213" t="s">
        <v>4726</v>
      </c>
      <c r="G696" s="213" t="s">
        <v>5106</v>
      </c>
      <c r="H696" s="213" t="s">
        <v>4728</v>
      </c>
      <c r="I696" s="213" t="s">
        <v>5107</v>
      </c>
      <c r="J696" s="213" t="s">
        <v>4730</v>
      </c>
      <c r="K696" s="213" t="s">
        <v>9510</v>
      </c>
      <c r="L696" s="213" t="s">
        <v>10761</v>
      </c>
      <c r="M696" s="213" t="s">
        <v>10108</v>
      </c>
      <c r="P696" s="121"/>
    </row>
    <row r="697" spans="1:16">
      <c r="A697" s="213" t="s">
        <v>1541</v>
      </c>
      <c r="B697" s="213" t="s">
        <v>1450</v>
      </c>
      <c r="C697" s="221" t="s">
        <v>821</v>
      </c>
      <c r="D697" s="221" t="s">
        <v>823</v>
      </c>
      <c r="E697" s="221" t="s">
        <v>4725</v>
      </c>
      <c r="F697" s="213" t="s">
        <v>4726</v>
      </c>
      <c r="G697" s="213" t="s">
        <v>5106</v>
      </c>
      <c r="H697" s="213" t="s">
        <v>4728</v>
      </c>
      <c r="I697" s="213" t="s">
        <v>5107</v>
      </c>
      <c r="J697" s="213" t="s">
        <v>4730</v>
      </c>
      <c r="K697" s="213" t="s">
        <v>9510</v>
      </c>
      <c r="L697" s="213" t="s">
        <v>10761</v>
      </c>
      <c r="M697" s="213" t="s">
        <v>10108</v>
      </c>
      <c r="P697" s="121"/>
    </row>
    <row r="698" spans="1:16">
      <c r="A698" s="213" t="s">
        <v>1543</v>
      </c>
      <c r="B698" s="213" t="s">
        <v>1450</v>
      </c>
      <c r="C698" s="221" t="s">
        <v>821</v>
      </c>
      <c r="D698" s="221" t="s">
        <v>823</v>
      </c>
      <c r="E698" s="221" t="s">
        <v>4725</v>
      </c>
      <c r="F698" s="213" t="s">
        <v>4726</v>
      </c>
      <c r="G698" s="213" t="s">
        <v>5106</v>
      </c>
      <c r="H698" s="213" t="s">
        <v>4728</v>
      </c>
      <c r="I698" s="213" t="s">
        <v>5107</v>
      </c>
      <c r="J698" s="213" t="s">
        <v>4730</v>
      </c>
      <c r="K698" s="213" t="s">
        <v>9510</v>
      </c>
      <c r="L698" s="213" t="s">
        <v>10761</v>
      </c>
      <c r="M698" s="213" t="s">
        <v>10108</v>
      </c>
      <c r="P698" s="121"/>
    </row>
    <row r="699" spans="1:16">
      <c r="A699" s="213" t="s">
        <v>1545</v>
      </c>
      <c r="B699" s="213" t="s">
        <v>1450</v>
      </c>
      <c r="C699" s="221" t="s">
        <v>821</v>
      </c>
      <c r="D699" s="221" t="s">
        <v>823</v>
      </c>
      <c r="E699" s="221" t="s">
        <v>4725</v>
      </c>
      <c r="F699" s="213" t="s">
        <v>4726</v>
      </c>
      <c r="G699" s="213" t="s">
        <v>5106</v>
      </c>
      <c r="H699" s="213" t="s">
        <v>4728</v>
      </c>
      <c r="I699" s="213" t="s">
        <v>5107</v>
      </c>
      <c r="J699" s="213" t="s">
        <v>4730</v>
      </c>
      <c r="K699" s="213" t="s">
        <v>9510</v>
      </c>
      <c r="L699" s="213" t="s">
        <v>10761</v>
      </c>
      <c r="M699" s="213" t="s">
        <v>10108</v>
      </c>
      <c r="P699" s="121"/>
    </row>
    <row r="700" spans="1:16">
      <c r="A700" s="213" t="s">
        <v>1547</v>
      </c>
      <c r="B700" s="213" t="s">
        <v>1450</v>
      </c>
      <c r="C700" s="221" t="s">
        <v>821</v>
      </c>
      <c r="D700" s="221" t="s">
        <v>823</v>
      </c>
      <c r="E700" s="221" t="s">
        <v>4725</v>
      </c>
      <c r="F700" s="213" t="s">
        <v>4726</v>
      </c>
      <c r="G700" s="213" t="s">
        <v>5106</v>
      </c>
      <c r="H700" s="213" t="s">
        <v>4728</v>
      </c>
      <c r="I700" s="213" t="s">
        <v>5107</v>
      </c>
      <c r="J700" s="213" t="s">
        <v>4730</v>
      </c>
      <c r="K700" s="213" t="s">
        <v>9510</v>
      </c>
      <c r="L700" s="213" t="s">
        <v>10761</v>
      </c>
      <c r="M700" s="213" t="s">
        <v>10108</v>
      </c>
      <c r="P700" s="121"/>
    </row>
    <row r="701" spans="1:16">
      <c r="A701" s="213" t="s">
        <v>1549</v>
      </c>
      <c r="B701" s="213" t="s">
        <v>1185</v>
      </c>
      <c r="C701" s="221" t="s">
        <v>1184</v>
      </c>
      <c r="D701" s="221" t="s">
        <v>1186</v>
      </c>
      <c r="E701" s="221" t="s">
        <v>5247</v>
      </c>
      <c r="F701" s="213" t="s">
        <v>5138</v>
      </c>
      <c r="G701" s="213" t="s">
        <v>5139</v>
      </c>
      <c r="H701" s="213" t="s">
        <v>5140</v>
      </c>
      <c r="I701" s="213" t="s">
        <v>5141</v>
      </c>
      <c r="J701" s="213" t="s">
        <v>5142</v>
      </c>
      <c r="K701" s="213" t="s">
        <v>9528</v>
      </c>
      <c r="L701" s="213" t="s">
        <v>10826</v>
      </c>
      <c r="M701" s="213" t="s">
        <v>10108</v>
      </c>
      <c r="P701" s="121"/>
    </row>
    <row r="702" spans="1:16">
      <c r="A702" s="213" t="s">
        <v>1550</v>
      </c>
      <c r="B702" s="213" t="s">
        <v>1185</v>
      </c>
      <c r="C702" s="221" t="s">
        <v>1184</v>
      </c>
      <c r="D702" s="221" t="s">
        <v>1186</v>
      </c>
      <c r="E702" s="221" t="s">
        <v>5247</v>
      </c>
      <c r="F702" s="213" t="s">
        <v>5138</v>
      </c>
      <c r="G702" s="213" t="s">
        <v>5139</v>
      </c>
      <c r="H702" s="213" t="s">
        <v>5140</v>
      </c>
      <c r="I702" s="213" t="s">
        <v>5141</v>
      </c>
      <c r="J702" s="213" t="s">
        <v>5142</v>
      </c>
      <c r="K702" s="213" t="s">
        <v>9528</v>
      </c>
      <c r="L702" s="213" t="s">
        <v>10826</v>
      </c>
      <c r="M702" s="213" t="s">
        <v>10108</v>
      </c>
      <c r="P702" s="121"/>
    </row>
    <row r="703" spans="1:16">
      <c r="A703" s="213" t="s">
        <v>1557</v>
      </c>
      <c r="B703" s="213" t="s">
        <v>1185</v>
      </c>
      <c r="C703" s="221" t="s">
        <v>1184</v>
      </c>
      <c r="D703" s="221" t="s">
        <v>1186</v>
      </c>
      <c r="E703" s="221" t="s">
        <v>5247</v>
      </c>
      <c r="F703" s="213" t="s">
        <v>5138</v>
      </c>
      <c r="G703" s="213" t="s">
        <v>5139</v>
      </c>
      <c r="H703" s="213" t="s">
        <v>5140</v>
      </c>
      <c r="I703" s="213" t="s">
        <v>5141</v>
      </c>
      <c r="J703" s="213" t="s">
        <v>5142</v>
      </c>
      <c r="K703" s="213" t="s">
        <v>9528</v>
      </c>
      <c r="L703" s="213" t="s">
        <v>10826</v>
      </c>
      <c r="M703" s="213" t="s">
        <v>10108</v>
      </c>
      <c r="P703" s="121"/>
    </row>
    <row r="704" spans="1:16">
      <c r="A704" s="213" t="s">
        <v>1558</v>
      </c>
      <c r="B704" s="213" t="s">
        <v>1555</v>
      </c>
      <c r="C704" s="221" t="s">
        <v>1554</v>
      </c>
      <c r="D704" s="221" t="s">
        <v>1556</v>
      </c>
      <c r="E704" s="221" t="s">
        <v>5420</v>
      </c>
      <c r="F704" s="213" t="s">
        <v>5421</v>
      </c>
      <c r="G704" s="213" t="s">
        <v>5422</v>
      </c>
      <c r="H704" s="213" t="s">
        <v>5423</v>
      </c>
      <c r="I704" s="213" t="s">
        <v>5424</v>
      </c>
      <c r="J704" s="213" t="s">
        <v>5425</v>
      </c>
      <c r="K704" s="213" t="s">
        <v>9568</v>
      </c>
      <c r="L704" s="213" t="s">
        <v>10866</v>
      </c>
      <c r="M704" s="213" t="s">
        <v>10108</v>
      </c>
      <c r="P704" s="121"/>
    </row>
    <row r="705" spans="1:16">
      <c r="A705" s="213" t="s">
        <v>1559</v>
      </c>
      <c r="B705" s="213" t="s">
        <v>1185</v>
      </c>
      <c r="C705" s="221" t="s">
        <v>1184</v>
      </c>
      <c r="D705" s="221" t="s">
        <v>1186</v>
      </c>
      <c r="E705" s="221" t="s">
        <v>5247</v>
      </c>
      <c r="F705" s="213" t="s">
        <v>5138</v>
      </c>
      <c r="G705" s="213" t="s">
        <v>5139</v>
      </c>
      <c r="H705" s="213" t="s">
        <v>5140</v>
      </c>
      <c r="I705" s="213" t="s">
        <v>5141</v>
      </c>
      <c r="J705" s="213" t="s">
        <v>5142</v>
      </c>
      <c r="K705" s="213" t="s">
        <v>9528</v>
      </c>
      <c r="L705" s="213" t="s">
        <v>10826</v>
      </c>
      <c r="M705" s="213" t="s">
        <v>10108</v>
      </c>
      <c r="P705" s="121"/>
    </row>
    <row r="706" spans="1:16">
      <c r="A706" s="214" t="s">
        <v>1562</v>
      </c>
      <c r="B706" s="213" t="s">
        <v>1185</v>
      </c>
      <c r="C706" s="221" t="s">
        <v>1184</v>
      </c>
      <c r="D706" s="221" t="s">
        <v>1186</v>
      </c>
      <c r="E706" s="221" t="s">
        <v>5247</v>
      </c>
      <c r="F706" s="213" t="s">
        <v>5138</v>
      </c>
      <c r="G706" s="213" t="s">
        <v>5139</v>
      </c>
      <c r="H706" s="213" t="s">
        <v>5140</v>
      </c>
      <c r="I706" s="213" t="s">
        <v>5141</v>
      </c>
      <c r="J706" s="213" t="s">
        <v>5142</v>
      </c>
      <c r="K706" s="213" t="s">
        <v>9528</v>
      </c>
      <c r="L706" s="213" t="s">
        <v>10826</v>
      </c>
      <c r="M706" s="213" t="s">
        <v>10108</v>
      </c>
      <c r="P706" s="121"/>
    </row>
    <row r="707" spans="1:16">
      <c r="A707" s="213" t="s">
        <v>1563</v>
      </c>
      <c r="B707" s="213" t="s">
        <v>1185</v>
      </c>
      <c r="C707" s="221" t="s">
        <v>1184</v>
      </c>
      <c r="D707" s="221" t="s">
        <v>1186</v>
      </c>
      <c r="E707" s="221" t="s">
        <v>5247</v>
      </c>
      <c r="F707" s="213" t="s">
        <v>5138</v>
      </c>
      <c r="G707" s="213" t="s">
        <v>5139</v>
      </c>
      <c r="H707" s="213" t="s">
        <v>5140</v>
      </c>
      <c r="I707" s="213" t="s">
        <v>5141</v>
      </c>
      <c r="J707" s="213" t="s">
        <v>5142</v>
      </c>
      <c r="K707" s="222" t="s">
        <v>9528</v>
      </c>
      <c r="L707" s="213" t="s">
        <v>10826</v>
      </c>
      <c r="M707" s="213" t="s">
        <v>10108</v>
      </c>
      <c r="P707" s="121"/>
    </row>
    <row r="708" spans="1:16">
      <c r="A708" s="214" t="s">
        <v>1564</v>
      </c>
      <c r="B708" s="213" t="s">
        <v>1555</v>
      </c>
      <c r="C708" s="221" t="s">
        <v>1554</v>
      </c>
      <c r="D708" s="221" t="s">
        <v>1556</v>
      </c>
      <c r="E708" s="221" t="s">
        <v>5420</v>
      </c>
      <c r="F708" s="213" t="s">
        <v>5421</v>
      </c>
      <c r="G708" s="213" t="s">
        <v>5422</v>
      </c>
      <c r="H708" s="213" t="s">
        <v>5426</v>
      </c>
      <c r="I708" s="213" t="s">
        <v>5424</v>
      </c>
      <c r="J708" s="213" t="s">
        <v>5427</v>
      </c>
      <c r="K708" s="222" t="s">
        <v>9568</v>
      </c>
      <c r="L708" s="213" t="s">
        <v>10866</v>
      </c>
      <c r="M708" s="213" t="s">
        <v>10222</v>
      </c>
      <c r="P708" s="121"/>
    </row>
    <row r="709" spans="1:16">
      <c r="A709" s="214" t="s">
        <v>1565</v>
      </c>
      <c r="B709" s="213" t="s">
        <v>413</v>
      </c>
      <c r="C709" s="221" t="s">
        <v>412</v>
      </c>
      <c r="D709" s="221" t="s">
        <v>414</v>
      </c>
      <c r="E709" s="221" t="s">
        <v>3945</v>
      </c>
      <c r="F709" s="213" t="s">
        <v>3946</v>
      </c>
      <c r="G709" s="213" t="s">
        <v>5382</v>
      </c>
      <c r="H709" s="213" t="s">
        <v>3948</v>
      </c>
      <c r="I709" s="213" t="s">
        <v>3949</v>
      </c>
      <c r="J709" s="213" t="s">
        <v>3950</v>
      </c>
      <c r="K709" s="222" t="s">
        <v>9394</v>
      </c>
      <c r="L709" s="213" t="s">
        <v>10645</v>
      </c>
      <c r="M709" s="213" t="s">
        <v>10215</v>
      </c>
      <c r="P709" s="121"/>
    </row>
    <row r="710" spans="1:16">
      <c r="A710" s="213" t="s">
        <v>1567</v>
      </c>
      <c r="B710" s="213" t="s">
        <v>1185</v>
      </c>
      <c r="C710" s="221" t="s">
        <v>1184</v>
      </c>
      <c r="D710" s="221" t="s">
        <v>1186</v>
      </c>
      <c r="E710" s="221" t="s">
        <v>5247</v>
      </c>
      <c r="F710" s="213" t="s">
        <v>5138</v>
      </c>
      <c r="G710" s="213" t="s">
        <v>5139</v>
      </c>
      <c r="H710" s="213" t="s">
        <v>5076</v>
      </c>
      <c r="I710" s="213" t="s">
        <v>5141</v>
      </c>
      <c r="J710" s="213" t="s">
        <v>5142</v>
      </c>
      <c r="K710" s="222" t="s">
        <v>9528</v>
      </c>
      <c r="L710" s="213" t="s">
        <v>10826</v>
      </c>
      <c r="M710" s="213" t="s">
        <v>10178</v>
      </c>
      <c r="P710" s="121"/>
    </row>
    <row r="711" spans="1:16">
      <c r="A711" s="213" t="s">
        <v>1569</v>
      </c>
      <c r="B711" s="213" t="s">
        <v>1185</v>
      </c>
      <c r="C711" s="221" t="s">
        <v>1184</v>
      </c>
      <c r="D711" s="221" t="s">
        <v>1186</v>
      </c>
      <c r="E711" s="221" t="s">
        <v>5247</v>
      </c>
      <c r="F711" s="213" t="s">
        <v>5138</v>
      </c>
      <c r="G711" s="213" t="s">
        <v>5139</v>
      </c>
      <c r="H711" s="213" t="s">
        <v>5076</v>
      </c>
      <c r="I711" s="213" t="s">
        <v>5141</v>
      </c>
      <c r="J711" s="213" t="s">
        <v>5142</v>
      </c>
      <c r="K711" s="213" t="s">
        <v>9528</v>
      </c>
      <c r="L711" s="213" t="s">
        <v>10826</v>
      </c>
      <c r="M711" s="213" t="s">
        <v>10178</v>
      </c>
      <c r="P711" s="121"/>
    </row>
    <row r="712" spans="1:16">
      <c r="A712" s="214" t="s">
        <v>2564</v>
      </c>
      <c r="B712" s="213" t="s">
        <v>2854</v>
      </c>
      <c r="C712" s="221" t="s">
        <v>2965</v>
      </c>
      <c r="D712" s="221" t="s">
        <v>3020</v>
      </c>
      <c r="E712" s="221" t="s">
        <v>5414</v>
      </c>
      <c r="F712" s="213" t="s">
        <v>5415</v>
      </c>
      <c r="G712" s="213" t="s">
        <v>5416</v>
      </c>
      <c r="H712" s="213" t="s">
        <v>5417</v>
      </c>
      <c r="I712" s="213" t="s">
        <v>5418</v>
      </c>
      <c r="J712" s="213" t="s">
        <v>5419</v>
      </c>
      <c r="K712" s="213" t="s">
        <v>9567</v>
      </c>
      <c r="L712" s="213" t="s">
        <v>10865</v>
      </c>
      <c r="M712" s="213" t="s">
        <v>10223</v>
      </c>
      <c r="P712" s="121"/>
    </row>
    <row r="713" spans="1:16">
      <c r="A713" s="213" t="s">
        <v>5428</v>
      </c>
      <c r="B713" s="213" t="s">
        <v>1092</v>
      </c>
      <c r="C713" s="221" t="s">
        <v>1075</v>
      </c>
      <c r="D713" s="221" t="s">
        <v>1093</v>
      </c>
      <c r="E713" s="221" t="s">
        <v>5073</v>
      </c>
      <c r="F713" s="213" t="s">
        <v>5074</v>
      </c>
      <c r="G713" s="213" t="s">
        <v>5075</v>
      </c>
      <c r="H713" s="213" t="s">
        <v>5076</v>
      </c>
      <c r="I713" s="213" t="s">
        <v>5077</v>
      </c>
      <c r="J713" s="213" t="s">
        <v>5151</v>
      </c>
      <c r="K713" s="213" t="s">
        <v>9519</v>
      </c>
      <c r="L713" s="213" t="s">
        <v>10817</v>
      </c>
      <c r="M713" s="213" t="s">
        <v>10169</v>
      </c>
      <c r="P713" s="121"/>
    </row>
    <row r="714" spans="1:16">
      <c r="A714" s="213" t="s">
        <v>1571</v>
      </c>
      <c r="B714" s="213" t="s">
        <v>1092</v>
      </c>
      <c r="C714" s="221" t="s">
        <v>1075</v>
      </c>
      <c r="D714" s="221" t="s">
        <v>1093</v>
      </c>
      <c r="E714" s="221" t="s">
        <v>5073</v>
      </c>
      <c r="F714" s="213" t="s">
        <v>5074</v>
      </c>
      <c r="G714" s="213" t="s">
        <v>5075</v>
      </c>
      <c r="H714" s="213" t="s">
        <v>5076</v>
      </c>
      <c r="I714" s="213" t="s">
        <v>5077</v>
      </c>
      <c r="J714" s="213" t="s">
        <v>5151</v>
      </c>
      <c r="K714" s="213" t="s">
        <v>9519</v>
      </c>
      <c r="L714" s="213" t="s">
        <v>10817</v>
      </c>
      <c r="M714" s="213" t="s">
        <v>10169</v>
      </c>
      <c r="P714" s="121"/>
    </row>
    <row r="715" spans="1:16">
      <c r="A715" s="213" t="s">
        <v>1573</v>
      </c>
      <c r="B715" s="213" t="s">
        <v>1092</v>
      </c>
      <c r="C715" s="221" t="s">
        <v>1075</v>
      </c>
      <c r="D715" s="221" t="s">
        <v>1093</v>
      </c>
      <c r="E715" s="221" t="s">
        <v>5073</v>
      </c>
      <c r="F715" s="213" t="s">
        <v>5074</v>
      </c>
      <c r="G715" s="213" t="s">
        <v>5075</v>
      </c>
      <c r="H715" s="213" t="s">
        <v>5076</v>
      </c>
      <c r="I715" s="213" t="s">
        <v>5077</v>
      </c>
      <c r="J715" s="213" t="s">
        <v>5151</v>
      </c>
      <c r="K715" s="213" t="s">
        <v>9519</v>
      </c>
      <c r="L715" s="213" t="s">
        <v>10817</v>
      </c>
      <c r="M715" s="213" t="s">
        <v>10169</v>
      </c>
      <c r="P715" s="121"/>
    </row>
    <row r="716" spans="1:16">
      <c r="A716" s="213" t="s">
        <v>1576</v>
      </c>
      <c r="B716" s="213" t="s">
        <v>1092</v>
      </c>
      <c r="C716" s="221" t="s">
        <v>1075</v>
      </c>
      <c r="D716" s="221" t="s">
        <v>1093</v>
      </c>
      <c r="E716" s="221" t="s">
        <v>5073</v>
      </c>
      <c r="F716" s="213" t="s">
        <v>5074</v>
      </c>
      <c r="G716" s="213" t="s">
        <v>5075</v>
      </c>
      <c r="H716" s="213" t="s">
        <v>5076</v>
      </c>
      <c r="I716" s="213" t="s">
        <v>5077</v>
      </c>
      <c r="J716" s="213" t="s">
        <v>5151</v>
      </c>
      <c r="K716" s="213" t="s">
        <v>9519</v>
      </c>
      <c r="L716" s="213" t="s">
        <v>10817</v>
      </c>
      <c r="M716" s="213" t="s">
        <v>10169</v>
      </c>
      <c r="P716" s="121"/>
    </row>
    <row r="717" spans="1:16">
      <c r="A717" s="213" t="s">
        <v>1575</v>
      </c>
      <c r="B717" s="213" t="s">
        <v>1092</v>
      </c>
      <c r="C717" s="221" t="s">
        <v>1075</v>
      </c>
      <c r="D717" s="221" t="s">
        <v>1093</v>
      </c>
      <c r="E717" s="221" t="s">
        <v>5073</v>
      </c>
      <c r="F717" s="213" t="s">
        <v>5074</v>
      </c>
      <c r="G717" s="213" t="s">
        <v>5075</v>
      </c>
      <c r="H717" s="213" t="s">
        <v>5076</v>
      </c>
      <c r="I717" s="213" t="s">
        <v>5077</v>
      </c>
      <c r="J717" s="213" t="s">
        <v>5151</v>
      </c>
      <c r="K717" s="213" t="s">
        <v>9519</v>
      </c>
      <c r="L717" s="213" t="s">
        <v>10817</v>
      </c>
      <c r="M717" s="213" t="s">
        <v>10169</v>
      </c>
      <c r="P717" s="121"/>
    </row>
    <row r="718" spans="1:16">
      <c r="A718" s="213" t="s">
        <v>1577</v>
      </c>
      <c r="B718" s="213" t="s">
        <v>1377</v>
      </c>
      <c r="C718" s="221" t="s">
        <v>1376</v>
      </c>
      <c r="D718" s="221" t="s">
        <v>1378</v>
      </c>
      <c r="E718" s="221" t="s">
        <v>5267</v>
      </c>
      <c r="F718" s="213" t="s">
        <v>5268</v>
      </c>
      <c r="G718" s="213" t="s">
        <v>5269</v>
      </c>
      <c r="H718" s="213" t="s">
        <v>5270</v>
      </c>
      <c r="I718" s="213" t="s">
        <v>5271</v>
      </c>
      <c r="J718" s="213" t="s">
        <v>5272</v>
      </c>
      <c r="K718" s="213" t="s">
        <v>9546</v>
      </c>
      <c r="L718" s="213" t="s">
        <v>10845</v>
      </c>
      <c r="M718" s="213" t="s">
        <v>10198</v>
      </c>
      <c r="P718" s="121"/>
    </row>
    <row r="719" spans="1:16">
      <c r="A719" s="213" t="s">
        <v>1578</v>
      </c>
      <c r="B719" s="213" t="s">
        <v>1234</v>
      </c>
      <c r="C719" s="221" t="s">
        <v>1233</v>
      </c>
      <c r="D719" s="221" t="s">
        <v>1235</v>
      </c>
      <c r="E719" s="221" t="s">
        <v>5079</v>
      </c>
      <c r="F719" s="213" t="s">
        <v>5080</v>
      </c>
      <c r="G719" s="213" t="s">
        <v>5081</v>
      </c>
      <c r="H719" s="213" t="s">
        <v>5082</v>
      </c>
      <c r="I719" s="213" t="s">
        <v>5083</v>
      </c>
      <c r="J719" s="213" t="s">
        <v>5174</v>
      </c>
      <c r="K719" s="213" t="s">
        <v>9520</v>
      </c>
      <c r="L719" s="213" t="s">
        <v>10818</v>
      </c>
      <c r="M719" s="213" t="s">
        <v>10170</v>
      </c>
      <c r="P719" s="121"/>
    </row>
    <row r="720" spans="1:16">
      <c r="A720" s="213" t="s">
        <v>2566</v>
      </c>
      <c r="B720" s="213" t="s">
        <v>1234</v>
      </c>
      <c r="C720" s="221" t="s">
        <v>1233</v>
      </c>
      <c r="D720" s="221" t="s">
        <v>1235</v>
      </c>
      <c r="E720" s="221" t="s">
        <v>5079</v>
      </c>
      <c r="F720" s="213" t="s">
        <v>5080</v>
      </c>
      <c r="G720" s="213" t="s">
        <v>5081</v>
      </c>
      <c r="H720" s="213" t="s">
        <v>5082</v>
      </c>
      <c r="I720" s="213" t="s">
        <v>5083</v>
      </c>
      <c r="J720" s="213" t="s">
        <v>5174</v>
      </c>
      <c r="K720" s="213" t="s">
        <v>9520</v>
      </c>
      <c r="L720" s="213" t="s">
        <v>10818</v>
      </c>
      <c r="M720" s="213" t="s">
        <v>10170</v>
      </c>
      <c r="P720" s="121"/>
    </row>
    <row r="721" spans="1:16">
      <c r="A721" s="213" t="s">
        <v>1579</v>
      </c>
      <c r="B721" s="213" t="s">
        <v>1466</v>
      </c>
      <c r="C721" s="221" t="s">
        <v>1465</v>
      </c>
      <c r="D721" s="221" t="s">
        <v>1467</v>
      </c>
      <c r="E721" s="221" t="s">
        <v>5354</v>
      </c>
      <c r="F721" s="213" t="s">
        <v>5355</v>
      </c>
      <c r="G721" s="213" t="s">
        <v>5106</v>
      </c>
      <c r="H721" s="213" t="s">
        <v>5430</v>
      </c>
      <c r="I721" s="213" t="s">
        <v>5358</v>
      </c>
      <c r="J721" s="213" t="s">
        <v>5431</v>
      </c>
      <c r="K721" s="213" t="s">
        <v>9558</v>
      </c>
      <c r="L721" s="213" t="s">
        <v>10856</v>
      </c>
      <c r="M721" s="213" t="s">
        <v>10224</v>
      </c>
      <c r="P721" s="121"/>
    </row>
    <row r="722" spans="1:16">
      <c r="A722" s="213" t="s">
        <v>2567</v>
      </c>
      <c r="B722" s="213" t="s">
        <v>1234</v>
      </c>
      <c r="C722" s="221" t="s">
        <v>1233</v>
      </c>
      <c r="D722" s="221" t="s">
        <v>1235</v>
      </c>
      <c r="E722" s="221" t="s">
        <v>5079</v>
      </c>
      <c r="F722" s="213" t="s">
        <v>5080</v>
      </c>
      <c r="G722" s="213" t="s">
        <v>5081</v>
      </c>
      <c r="H722" s="213" t="s">
        <v>5082</v>
      </c>
      <c r="I722" s="213" t="s">
        <v>5083</v>
      </c>
      <c r="J722" s="213" t="s">
        <v>5174</v>
      </c>
      <c r="K722" s="213" t="s">
        <v>9520</v>
      </c>
      <c r="L722" s="213" t="s">
        <v>10818</v>
      </c>
      <c r="M722" s="213" t="s">
        <v>10170</v>
      </c>
      <c r="P722" s="121"/>
    </row>
    <row r="723" spans="1:16">
      <c r="A723" s="213" t="s">
        <v>1580</v>
      </c>
      <c r="B723" s="213" t="s">
        <v>1377</v>
      </c>
      <c r="C723" s="221" t="s">
        <v>1376</v>
      </c>
      <c r="D723" s="221" t="s">
        <v>1378</v>
      </c>
      <c r="E723" s="221" t="s">
        <v>5267</v>
      </c>
      <c r="F723" s="213" t="s">
        <v>5268</v>
      </c>
      <c r="G723" s="213" t="s">
        <v>5269</v>
      </c>
      <c r="H723" s="213" t="s">
        <v>5270</v>
      </c>
      <c r="I723" s="213" t="s">
        <v>5271</v>
      </c>
      <c r="J723" s="213" t="s">
        <v>5272</v>
      </c>
      <c r="K723" s="213" t="s">
        <v>9546</v>
      </c>
      <c r="L723" s="213" t="s">
        <v>10845</v>
      </c>
      <c r="M723" s="213" t="s">
        <v>10198</v>
      </c>
      <c r="P723" s="121"/>
    </row>
    <row r="724" spans="1:16">
      <c r="A724" s="213" t="s">
        <v>2569</v>
      </c>
      <c r="B724" s="213" t="s">
        <v>1586</v>
      </c>
      <c r="C724" s="221" t="s">
        <v>1585</v>
      </c>
      <c r="D724" s="221" t="s">
        <v>1587</v>
      </c>
      <c r="E724" s="221" t="s">
        <v>5432</v>
      </c>
      <c r="F724" s="213" t="s">
        <v>5433</v>
      </c>
      <c r="G724" s="213" t="s">
        <v>5434</v>
      </c>
      <c r="H724" s="213" t="s">
        <v>5435</v>
      </c>
      <c r="I724" s="213" t="s">
        <v>5436</v>
      </c>
      <c r="J724" s="213" t="s">
        <v>5437</v>
      </c>
      <c r="K724" s="213" t="s">
        <v>9569</v>
      </c>
      <c r="L724" s="213" t="s">
        <v>10867</v>
      </c>
      <c r="M724" s="213" t="s">
        <v>10225</v>
      </c>
      <c r="P724" s="121"/>
    </row>
    <row r="725" spans="1:16">
      <c r="A725" s="213" t="s">
        <v>2740</v>
      </c>
      <c r="B725" s="213" t="s">
        <v>2854</v>
      </c>
      <c r="C725" s="221" t="s">
        <v>2965</v>
      </c>
      <c r="D725" s="221" t="s">
        <v>3020</v>
      </c>
      <c r="E725" s="221" t="s">
        <v>5414</v>
      </c>
      <c r="F725" s="213" t="s">
        <v>5415</v>
      </c>
      <c r="G725" s="213" t="s">
        <v>5416</v>
      </c>
      <c r="H725" s="213" t="s">
        <v>5438</v>
      </c>
      <c r="I725" s="213" t="s">
        <v>5418</v>
      </c>
      <c r="J725" s="213" t="s">
        <v>5419</v>
      </c>
      <c r="K725" s="213" t="s">
        <v>9570</v>
      </c>
      <c r="L725" s="213" t="s">
        <v>10865</v>
      </c>
      <c r="M725" s="213" t="s">
        <v>10223</v>
      </c>
      <c r="P725" s="121"/>
    </row>
    <row r="726" spans="1:16">
      <c r="A726" s="213" t="s">
        <v>5439</v>
      </c>
      <c r="B726" s="213" t="s">
        <v>1092</v>
      </c>
      <c r="C726" s="221" t="s">
        <v>1075</v>
      </c>
      <c r="D726" s="221" t="s">
        <v>1093</v>
      </c>
      <c r="E726" s="221" t="s">
        <v>5073</v>
      </c>
      <c r="F726" s="213" t="s">
        <v>5074</v>
      </c>
      <c r="G726" s="213" t="s">
        <v>5075</v>
      </c>
      <c r="H726" s="213" t="s">
        <v>5076</v>
      </c>
      <c r="I726" s="213" t="s">
        <v>5077</v>
      </c>
      <c r="J726" s="213" t="s">
        <v>5153</v>
      </c>
      <c r="K726" s="213" t="s">
        <v>9519</v>
      </c>
      <c r="L726" s="213" t="s">
        <v>10817</v>
      </c>
      <c r="M726" s="213" t="s">
        <v>10169</v>
      </c>
      <c r="P726" s="121"/>
    </row>
    <row r="727" spans="1:16">
      <c r="A727" s="213" t="s">
        <v>2741</v>
      </c>
      <c r="B727" s="213" t="s">
        <v>1092</v>
      </c>
      <c r="C727" s="221" t="s">
        <v>1075</v>
      </c>
      <c r="D727" s="221" t="s">
        <v>1093</v>
      </c>
      <c r="E727" s="221" t="s">
        <v>5073</v>
      </c>
      <c r="F727" s="213" t="s">
        <v>5074</v>
      </c>
      <c r="G727" s="213" t="s">
        <v>5075</v>
      </c>
      <c r="H727" s="213" t="s">
        <v>5076</v>
      </c>
      <c r="I727" s="213" t="s">
        <v>5077</v>
      </c>
      <c r="J727" s="213" t="s">
        <v>5151</v>
      </c>
      <c r="K727" s="213" t="s">
        <v>9519</v>
      </c>
      <c r="L727" s="213" t="s">
        <v>10817</v>
      </c>
      <c r="M727" s="213" t="s">
        <v>10169</v>
      </c>
      <c r="P727" s="121"/>
    </row>
    <row r="728" spans="1:16">
      <c r="A728" s="213" t="s">
        <v>2742</v>
      </c>
      <c r="B728" s="213" t="s">
        <v>1092</v>
      </c>
      <c r="C728" s="221" t="s">
        <v>1075</v>
      </c>
      <c r="D728" s="221" t="s">
        <v>1093</v>
      </c>
      <c r="E728" s="221" t="s">
        <v>5073</v>
      </c>
      <c r="F728" s="213" t="s">
        <v>5074</v>
      </c>
      <c r="G728" s="213" t="s">
        <v>5075</v>
      </c>
      <c r="H728" s="213" t="s">
        <v>5076</v>
      </c>
      <c r="I728" s="213" t="s">
        <v>5077</v>
      </c>
      <c r="J728" s="213" t="s">
        <v>5151</v>
      </c>
      <c r="K728" s="213" t="s">
        <v>9519</v>
      </c>
      <c r="L728" s="213" t="s">
        <v>10817</v>
      </c>
      <c r="M728" s="213" t="s">
        <v>10169</v>
      </c>
      <c r="P728" s="121"/>
    </row>
    <row r="729" spans="1:16">
      <c r="A729" s="213" t="s">
        <v>2743</v>
      </c>
      <c r="B729" s="213" t="s">
        <v>1092</v>
      </c>
      <c r="C729" s="221" t="s">
        <v>1075</v>
      </c>
      <c r="D729" s="221" t="s">
        <v>1093</v>
      </c>
      <c r="E729" s="221" t="s">
        <v>5073</v>
      </c>
      <c r="F729" s="213" t="s">
        <v>5074</v>
      </c>
      <c r="G729" s="213" t="s">
        <v>5075</v>
      </c>
      <c r="H729" s="213" t="s">
        <v>5076</v>
      </c>
      <c r="I729" s="213" t="s">
        <v>5077</v>
      </c>
      <c r="J729" s="213" t="s">
        <v>5151</v>
      </c>
      <c r="K729" s="213" t="s">
        <v>9519</v>
      </c>
      <c r="L729" s="213" t="s">
        <v>10817</v>
      </c>
      <c r="M729" s="213" t="s">
        <v>10169</v>
      </c>
      <c r="P729" s="121"/>
    </row>
    <row r="730" spans="1:16">
      <c r="A730" s="213" t="s">
        <v>2744</v>
      </c>
      <c r="B730" s="213" t="s">
        <v>1092</v>
      </c>
      <c r="C730" s="221" t="s">
        <v>1075</v>
      </c>
      <c r="D730" s="221" t="s">
        <v>1093</v>
      </c>
      <c r="E730" s="221" t="s">
        <v>5073</v>
      </c>
      <c r="F730" s="213" t="s">
        <v>5074</v>
      </c>
      <c r="G730" s="213" t="s">
        <v>5075</v>
      </c>
      <c r="H730" s="213" t="s">
        <v>5076</v>
      </c>
      <c r="I730" s="213" t="s">
        <v>5077</v>
      </c>
      <c r="J730" s="213" t="s">
        <v>5153</v>
      </c>
      <c r="K730" s="213" t="s">
        <v>9519</v>
      </c>
      <c r="L730" s="213" t="s">
        <v>10817</v>
      </c>
      <c r="M730" s="213" t="s">
        <v>10169</v>
      </c>
      <c r="P730" s="121"/>
    </row>
    <row r="731" spans="1:16">
      <c r="A731" s="213" t="s">
        <v>2745</v>
      </c>
      <c r="B731" s="213" t="s">
        <v>1377</v>
      </c>
      <c r="C731" s="221" t="s">
        <v>1376</v>
      </c>
      <c r="D731" s="221" t="s">
        <v>1378</v>
      </c>
      <c r="E731" s="221" t="s">
        <v>5267</v>
      </c>
      <c r="F731" s="213" t="s">
        <v>5268</v>
      </c>
      <c r="G731" s="213" t="s">
        <v>5269</v>
      </c>
      <c r="H731" s="213" t="s">
        <v>5270</v>
      </c>
      <c r="I731" s="213" t="s">
        <v>5271</v>
      </c>
      <c r="J731" s="213" t="s">
        <v>5301</v>
      </c>
      <c r="K731" s="213" t="s">
        <v>9546</v>
      </c>
      <c r="L731" s="213" t="s">
        <v>10845</v>
      </c>
      <c r="M731" s="213" t="s">
        <v>10198</v>
      </c>
      <c r="P731" s="121"/>
    </row>
    <row r="732" spans="1:16">
      <c r="A732" s="213" t="s">
        <v>2746</v>
      </c>
      <c r="B732" s="213" t="s">
        <v>1234</v>
      </c>
      <c r="C732" s="221" t="s">
        <v>1233</v>
      </c>
      <c r="D732" s="221" t="s">
        <v>1235</v>
      </c>
      <c r="E732" s="221" t="s">
        <v>5079</v>
      </c>
      <c r="F732" s="213" t="s">
        <v>5080</v>
      </c>
      <c r="G732" s="213" t="s">
        <v>5081</v>
      </c>
      <c r="H732" s="213" t="s">
        <v>5082</v>
      </c>
      <c r="I732" s="213" t="s">
        <v>5083</v>
      </c>
      <c r="J732" s="213" t="s">
        <v>5176</v>
      </c>
      <c r="K732" s="213" t="s">
        <v>9520</v>
      </c>
      <c r="L732" s="213" t="s">
        <v>10818</v>
      </c>
      <c r="M732" s="213" t="s">
        <v>10170</v>
      </c>
      <c r="P732" s="121"/>
    </row>
    <row r="733" spans="1:16">
      <c r="A733" s="213" t="s">
        <v>2747</v>
      </c>
      <c r="B733" s="213" t="s">
        <v>1466</v>
      </c>
      <c r="C733" s="221" t="s">
        <v>1465</v>
      </c>
      <c r="D733" s="221" t="s">
        <v>1467</v>
      </c>
      <c r="E733" s="221" t="s">
        <v>5354</v>
      </c>
      <c r="F733" s="213" t="s">
        <v>5355</v>
      </c>
      <c r="G733" s="213" t="s">
        <v>5251</v>
      </c>
      <c r="H733" s="213" t="s">
        <v>5430</v>
      </c>
      <c r="I733" s="213" t="s">
        <v>5358</v>
      </c>
      <c r="J733" s="213" t="s">
        <v>5440</v>
      </c>
      <c r="K733" s="213" t="s">
        <v>9571</v>
      </c>
      <c r="L733" s="213" t="s">
        <v>10856</v>
      </c>
      <c r="M733" s="213" t="s">
        <v>10224</v>
      </c>
      <c r="P733" s="121"/>
    </row>
    <row r="734" spans="1:16">
      <c r="A734" s="213" t="s">
        <v>2748</v>
      </c>
      <c r="B734" s="213" t="s">
        <v>1234</v>
      </c>
      <c r="C734" s="221" t="s">
        <v>1233</v>
      </c>
      <c r="D734" s="221" t="s">
        <v>1235</v>
      </c>
      <c r="E734" s="221" t="s">
        <v>5079</v>
      </c>
      <c r="F734" s="213" t="s">
        <v>5080</v>
      </c>
      <c r="G734" s="213" t="s">
        <v>5081</v>
      </c>
      <c r="H734" s="213" t="s">
        <v>5082</v>
      </c>
      <c r="I734" s="213" t="s">
        <v>5083</v>
      </c>
      <c r="J734" s="213" t="s">
        <v>5174</v>
      </c>
      <c r="K734" s="213" t="s">
        <v>9520</v>
      </c>
      <c r="L734" s="213" t="s">
        <v>10818</v>
      </c>
      <c r="M734" s="213" t="s">
        <v>10170</v>
      </c>
      <c r="P734" s="121"/>
    </row>
    <row r="735" spans="1:16">
      <c r="A735" s="213" t="s">
        <v>2749</v>
      </c>
      <c r="B735" s="213" t="s">
        <v>1377</v>
      </c>
      <c r="C735" s="221" t="s">
        <v>1376</v>
      </c>
      <c r="D735" s="221" t="s">
        <v>1378</v>
      </c>
      <c r="E735" s="221" t="s">
        <v>5267</v>
      </c>
      <c r="F735" s="213" t="s">
        <v>5268</v>
      </c>
      <c r="G735" s="213" t="s">
        <v>5269</v>
      </c>
      <c r="H735" s="213" t="s">
        <v>5270</v>
      </c>
      <c r="I735" s="213" t="s">
        <v>5271</v>
      </c>
      <c r="J735" s="213" t="s">
        <v>5301</v>
      </c>
      <c r="K735" s="213" t="s">
        <v>9546</v>
      </c>
      <c r="L735" s="213" t="s">
        <v>10845</v>
      </c>
      <c r="M735" s="213" t="s">
        <v>10198</v>
      </c>
      <c r="P735" s="121"/>
    </row>
    <row r="736" spans="1:16">
      <c r="A736" s="213" t="s">
        <v>2750</v>
      </c>
      <c r="B736" s="213" t="s">
        <v>1586</v>
      </c>
      <c r="C736" s="221" t="s">
        <v>1585</v>
      </c>
      <c r="D736" s="221" t="s">
        <v>1587</v>
      </c>
      <c r="E736" s="221" t="s">
        <v>5432</v>
      </c>
      <c r="F736" s="213" t="s">
        <v>5433</v>
      </c>
      <c r="G736" s="213" t="s">
        <v>5434</v>
      </c>
      <c r="H736" s="213" t="s">
        <v>5435</v>
      </c>
      <c r="I736" s="213" t="s">
        <v>5436</v>
      </c>
      <c r="J736" s="213" t="s">
        <v>5437</v>
      </c>
      <c r="K736" s="213" t="s">
        <v>9569</v>
      </c>
      <c r="L736" s="213" t="s">
        <v>10867</v>
      </c>
      <c r="M736" s="213" t="s">
        <v>10225</v>
      </c>
      <c r="P736" s="121"/>
    </row>
    <row r="737" spans="1:16">
      <c r="A737" s="213" t="s">
        <v>1590</v>
      </c>
      <c r="B737" s="213" t="s">
        <v>1092</v>
      </c>
      <c r="C737" s="221" t="s">
        <v>1075</v>
      </c>
      <c r="D737" s="221" t="s">
        <v>1093</v>
      </c>
      <c r="E737" s="221" t="s">
        <v>5073</v>
      </c>
      <c r="F737" s="213" t="s">
        <v>5074</v>
      </c>
      <c r="G737" s="213" t="s">
        <v>5075</v>
      </c>
      <c r="H737" s="213" t="s">
        <v>5076</v>
      </c>
      <c r="I737" s="213" t="s">
        <v>5077</v>
      </c>
      <c r="J737" s="213" t="s">
        <v>5151</v>
      </c>
      <c r="K737" s="213" t="s">
        <v>9519</v>
      </c>
      <c r="L737" s="213" t="s">
        <v>10817</v>
      </c>
      <c r="M737" s="213" t="s">
        <v>10169</v>
      </c>
      <c r="P737" s="121"/>
    </row>
    <row r="738" spans="1:16">
      <c r="A738" s="213" t="s">
        <v>1592</v>
      </c>
      <c r="B738" s="213" t="s">
        <v>1092</v>
      </c>
      <c r="C738" s="221" t="s">
        <v>1075</v>
      </c>
      <c r="D738" s="221" t="s">
        <v>1093</v>
      </c>
      <c r="E738" s="221" t="s">
        <v>5073</v>
      </c>
      <c r="F738" s="213" t="s">
        <v>5074</v>
      </c>
      <c r="G738" s="213" t="s">
        <v>5075</v>
      </c>
      <c r="H738" s="213" t="s">
        <v>5076</v>
      </c>
      <c r="I738" s="213" t="s">
        <v>5077</v>
      </c>
      <c r="J738" s="213" t="s">
        <v>5151</v>
      </c>
      <c r="K738" s="222" t="s">
        <v>9519</v>
      </c>
      <c r="L738" s="213" t="s">
        <v>10817</v>
      </c>
      <c r="M738" s="213" t="s">
        <v>10169</v>
      </c>
      <c r="P738" s="121"/>
    </row>
    <row r="739" spans="1:16">
      <c r="A739" s="213" t="s">
        <v>5441</v>
      </c>
      <c r="B739" s="213" t="s">
        <v>1092</v>
      </c>
      <c r="C739" s="221" t="s">
        <v>1075</v>
      </c>
      <c r="D739" s="221" t="s">
        <v>1093</v>
      </c>
      <c r="E739" s="221" t="s">
        <v>5073</v>
      </c>
      <c r="F739" s="213" t="s">
        <v>5074</v>
      </c>
      <c r="G739" s="213" t="s">
        <v>5075</v>
      </c>
      <c r="H739" s="213" t="s">
        <v>5076</v>
      </c>
      <c r="I739" s="213" t="s">
        <v>5077</v>
      </c>
      <c r="J739" s="213" t="s">
        <v>5153</v>
      </c>
      <c r="K739" s="213" t="s">
        <v>9519</v>
      </c>
      <c r="L739" s="213" t="s">
        <v>10817</v>
      </c>
      <c r="M739" s="213" t="s">
        <v>10169</v>
      </c>
      <c r="P739" s="121"/>
    </row>
    <row r="740" spans="1:16">
      <c r="A740" s="213" t="s">
        <v>1593</v>
      </c>
      <c r="B740" s="213" t="s">
        <v>1092</v>
      </c>
      <c r="C740" s="221" t="s">
        <v>1075</v>
      </c>
      <c r="D740" s="221" t="s">
        <v>1093</v>
      </c>
      <c r="E740" s="221" t="s">
        <v>5073</v>
      </c>
      <c r="F740" s="213" t="s">
        <v>5074</v>
      </c>
      <c r="G740" s="213" t="s">
        <v>5075</v>
      </c>
      <c r="H740" s="213" t="s">
        <v>5076</v>
      </c>
      <c r="I740" s="213" t="s">
        <v>5077</v>
      </c>
      <c r="J740" s="213" t="s">
        <v>5151</v>
      </c>
      <c r="K740" s="213" t="s">
        <v>9519</v>
      </c>
      <c r="L740" s="213" t="s">
        <v>10817</v>
      </c>
      <c r="M740" s="213" t="s">
        <v>10169</v>
      </c>
      <c r="P740" s="121"/>
    </row>
    <row r="741" spans="1:16">
      <c r="A741" s="213" t="s">
        <v>1594</v>
      </c>
      <c r="B741" s="213" t="s">
        <v>1092</v>
      </c>
      <c r="C741" s="221" t="s">
        <v>1075</v>
      </c>
      <c r="D741" s="221" t="s">
        <v>1093</v>
      </c>
      <c r="E741" s="221" t="s">
        <v>5073</v>
      </c>
      <c r="F741" s="213" t="s">
        <v>5074</v>
      </c>
      <c r="G741" s="213" t="s">
        <v>5442</v>
      </c>
      <c r="H741" s="213" t="s">
        <v>5076</v>
      </c>
      <c r="I741" s="213" t="s">
        <v>5077</v>
      </c>
      <c r="J741" s="213" t="s">
        <v>5151</v>
      </c>
      <c r="K741" s="213" t="s">
        <v>9519</v>
      </c>
      <c r="L741" s="213" t="s">
        <v>10817</v>
      </c>
      <c r="M741" s="213" t="s">
        <v>10169</v>
      </c>
      <c r="P741" s="121"/>
    </row>
    <row r="742" spans="1:16">
      <c r="A742" s="213" t="s">
        <v>5443</v>
      </c>
      <c r="B742" s="213" t="s">
        <v>1092</v>
      </c>
      <c r="C742" s="221" t="s">
        <v>1075</v>
      </c>
      <c r="D742" s="221" t="s">
        <v>1093</v>
      </c>
      <c r="E742" s="221" t="s">
        <v>5073</v>
      </c>
      <c r="F742" s="213" t="s">
        <v>5074</v>
      </c>
      <c r="G742" s="213" t="s">
        <v>5075</v>
      </c>
      <c r="H742" s="213" t="s">
        <v>5076</v>
      </c>
      <c r="I742" s="213" t="s">
        <v>5077</v>
      </c>
      <c r="J742" s="213" t="s">
        <v>5153</v>
      </c>
      <c r="K742" s="213" t="s">
        <v>9519</v>
      </c>
      <c r="L742" s="213" t="s">
        <v>10817</v>
      </c>
      <c r="M742" s="213" t="s">
        <v>10169</v>
      </c>
      <c r="P742" s="121"/>
    </row>
    <row r="743" spans="1:16">
      <c r="A743" s="213" t="s">
        <v>1595</v>
      </c>
      <c r="B743" s="213" t="s">
        <v>1092</v>
      </c>
      <c r="C743" s="221" t="s">
        <v>1075</v>
      </c>
      <c r="D743" s="221" t="s">
        <v>1093</v>
      </c>
      <c r="E743" s="221" t="s">
        <v>5073</v>
      </c>
      <c r="F743" s="213" t="s">
        <v>5074</v>
      </c>
      <c r="G743" s="213" t="s">
        <v>5075</v>
      </c>
      <c r="H743" s="213" t="s">
        <v>5076</v>
      </c>
      <c r="I743" s="213" t="s">
        <v>5077</v>
      </c>
      <c r="J743" s="213" t="s">
        <v>5153</v>
      </c>
      <c r="K743" s="213" t="s">
        <v>9519</v>
      </c>
      <c r="L743" s="213" t="s">
        <v>10868</v>
      </c>
      <c r="M743" s="213" t="s">
        <v>10169</v>
      </c>
      <c r="P743" s="121"/>
    </row>
    <row r="744" spans="1:16">
      <c r="A744" s="213" t="s">
        <v>1596</v>
      </c>
      <c r="B744" s="213" t="s">
        <v>1473</v>
      </c>
      <c r="C744" s="221" t="s">
        <v>679</v>
      </c>
      <c r="D744" s="221" t="s">
        <v>1474</v>
      </c>
      <c r="E744" s="221" t="s">
        <v>5243</v>
      </c>
      <c r="F744" s="213" t="s">
        <v>4339</v>
      </c>
      <c r="G744" s="213" t="s">
        <v>4340</v>
      </c>
      <c r="H744" s="213" t="s">
        <v>5091</v>
      </c>
      <c r="I744" s="213" t="s">
        <v>4363</v>
      </c>
      <c r="J744" s="213" t="s">
        <v>4343</v>
      </c>
      <c r="K744" s="213" t="s">
        <v>9542</v>
      </c>
      <c r="L744" s="213" t="s">
        <v>10858</v>
      </c>
      <c r="M744" s="213" t="s">
        <v>10193</v>
      </c>
      <c r="P744" s="121"/>
    </row>
    <row r="745" spans="1:16">
      <c r="A745" s="213" t="s">
        <v>1597</v>
      </c>
      <c r="B745" s="213" t="s">
        <v>2855</v>
      </c>
      <c r="C745" s="221" t="s">
        <v>1598</v>
      </c>
      <c r="D745" s="221" t="s">
        <v>1599</v>
      </c>
      <c r="E745" s="221" t="s">
        <v>5444</v>
      </c>
      <c r="F745" s="213" t="s">
        <v>5445</v>
      </c>
      <c r="G745" s="213" t="s">
        <v>5446</v>
      </c>
      <c r="H745" s="213" t="s">
        <v>5447</v>
      </c>
      <c r="I745" s="213" t="s">
        <v>5448</v>
      </c>
      <c r="J745" s="213" t="s">
        <v>5449</v>
      </c>
      <c r="K745" s="222" t="s">
        <v>9572</v>
      </c>
      <c r="L745" s="213" t="s">
        <v>10869</v>
      </c>
      <c r="M745" s="213" t="s">
        <v>10226</v>
      </c>
      <c r="P745" s="121"/>
    </row>
    <row r="746" spans="1:16">
      <c r="A746" s="213" t="s">
        <v>1600</v>
      </c>
      <c r="B746" s="213" t="s">
        <v>1092</v>
      </c>
      <c r="C746" s="221" t="s">
        <v>1075</v>
      </c>
      <c r="D746" s="221" t="s">
        <v>1093</v>
      </c>
      <c r="E746" s="221" t="s">
        <v>5073</v>
      </c>
      <c r="F746" s="213" t="s">
        <v>5074</v>
      </c>
      <c r="G746" s="213" t="s">
        <v>5075</v>
      </c>
      <c r="H746" s="213" t="s">
        <v>5076</v>
      </c>
      <c r="I746" s="213" t="s">
        <v>5077</v>
      </c>
      <c r="J746" s="213" t="s">
        <v>5151</v>
      </c>
      <c r="K746" s="213" t="s">
        <v>9519</v>
      </c>
      <c r="L746" s="213" t="s">
        <v>10817</v>
      </c>
      <c r="M746" s="213" t="s">
        <v>10169</v>
      </c>
      <c r="P746" s="121"/>
    </row>
    <row r="747" spans="1:16">
      <c r="A747" s="213" t="s">
        <v>2571</v>
      </c>
      <c r="B747" s="213" t="s">
        <v>1240</v>
      </c>
      <c r="C747" s="221" t="s">
        <v>1239</v>
      </c>
      <c r="D747" s="221" t="s">
        <v>1241</v>
      </c>
      <c r="E747" s="221" t="s">
        <v>5177</v>
      </c>
      <c r="F747" s="213" t="s">
        <v>5178</v>
      </c>
      <c r="G747" s="213" t="s">
        <v>5179</v>
      </c>
      <c r="H747" s="213" t="s">
        <v>5180</v>
      </c>
      <c r="I747" s="213" t="s">
        <v>5181</v>
      </c>
      <c r="J747" s="213" t="s">
        <v>5182</v>
      </c>
      <c r="K747" s="213" t="s">
        <v>9533</v>
      </c>
      <c r="L747" s="213" t="s">
        <v>10831</v>
      </c>
      <c r="M747" s="213" t="s">
        <v>10184</v>
      </c>
      <c r="P747" s="121"/>
    </row>
    <row r="748" spans="1:16">
      <c r="A748" s="213" t="s">
        <v>1601</v>
      </c>
      <c r="B748" s="213" t="s">
        <v>1240</v>
      </c>
      <c r="C748" s="221" t="s">
        <v>1239</v>
      </c>
      <c r="D748" s="221" t="s">
        <v>1241</v>
      </c>
      <c r="E748" s="221" t="s">
        <v>5177</v>
      </c>
      <c r="F748" s="213" t="s">
        <v>5178</v>
      </c>
      <c r="G748" s="213" t="s">
        <v>5179</v>
      </c>
      <c r="H748" s="213" t="s">
        <v>5180</v>
      </c>
      <c r="I748" s="213" t="s">
        <v>5181</v>
      </c>
      <c r="J748" s="213" t="s">
        <v>5182</v>
      </c>
      <c r="K748" s="213" t="s">
        <v>9533</v>
      </c>
      <c r="L748" s="213" t="s">
        <v>10831</v>
      </c>
      <c r="M748" s="213" t="s">
        <v>10184</v>
      </c>
      <c r="P748" s="121"/>
    </row>
    <row r="749" spans="1:16">
      <c r="A749" s="213" t="s">
        <v>1602</v>
      </c>
      <c r="B749" s="213" t="s">
        <v>1586</v>
      </c>
      <c r="C749" s="221" t="s">
        <v>1585</v>
      </c>
      <c r="D749" s="221" t="s">
        <v>1587</v>
      </c>
      <c r="E749" s="221" t="s">
        <v>5432</v>
      </c>
      <c r="F749" s="213" t="s">
        <v>5433</v>
      </c>
      <c r="G749" s="213" t="s">
        <v>5434</v>
      </c>
      <c r="H749" s="213" t="s">
        <v>5435</v>
      </c>
      <c r="I749" s="213" t="s">
        <v>5436</v>
      </c>
      <c r="J749" s="213" t="s">
        <v>5437</v>
      </c>
      <c r="K749" s="213" t="s">
        <v>9569</v>
      </c>
      <c r="L749" s="213" t="s">
        <v>10867</v>
      </c>
      <c r="M749" s="213" t="s">
        <v>10225</v>
      </c>
      <c r="P749" s="121"/>
    </row>
    <row r="750" spans="1:16">
      <c r="A750" s="213" t="s">
        <v>1604</v>
      </c>
      <c r="B750" s="213" t="s">
        <v>1586</v>
      </c>
      <c r="C750" s="221" t="s">
        <v>1585</v>
      </c>
      <c r="D750" s="221" t="s">
        <v>1587</v>
      </c>
      <c r="E750" s="221" t="s">
        <v>5432</v>
      </c>
      <c r="F750" s="213" t="s">
        <v>5433</v>
      </c>
      <c r="G750" s="213" t="s">
        <v>5434</v>
      </c>
      <c r="H750" s="213" t="s">
        <v>5435</v>
      </c>
      <c r="I750" s="213" t="s">
        <v>5436</v>
      </c>
      <c r="J750" s="213" t="s">
        <v>5437</v>
      </c>
      <c r="K750" s="213" t="s">
        <v>9569</v>
      </c>
      <c r="L750" s="213" t="s">
        <v>10867</v>
      </c>
      <c r="M750" s="213" t="s">
        <v>10225</v>
      </c>
      <c r="P750" s="121"/>
    </row>
    <row r="751" spans="1:16">
      <c r="A751" s="213" t="s">
        <v>12018</v>
      </c>
      <c r="B751" s="213" t="s">
        <v>1247</v>
      </c>
      <c r="C751" s="221" t="s">
        <v>1246</v>
      </c>
      <c r="D751" s="221" t="s">
        <v>1248</v>
      </c>
      <c r="E751" s="221" t="s">
        <v>12275</v>
      </c>
      <c r="F751" s="213" t="s">
        <v>5189</v>
      </c>
      <c r="G751" s="213" t="s">
        <v>12276</v>
      </c>
      <c r="H751" s="213" t="s">
        <v>5188</v>
      </c>
      <c r="I751" s="213" t="s">
        <v>5191</v>
      </c>
      <c r="J751" s="213" t="s">
        <v>5192</v>
      </c>
      <c r="K751" s="213" t="s">
        <v>9534</v>
      </c>
      <c r="L751" s="213" t="s">
        <v>10832</v>
      </c>
      <c r="M751" s="213" t="s">
        <v>10186</v>
      </c>
      <c r="P751" s="121"/>
    </row>
    <row r="752" spans="1:16">
      <c r="A752" s="213" t="s">
        <v>1605</v>
      </c>
      <c r="B752" s="213" t="s">
        <v>1234</v>
      </c>
      <c r="C752" s="221" t="s">
        <v>1233</v>
      </c>
      <c r="D752" s="221" t="s">
        <v>1235</v>
      </c>
      <c r="E752" s="221" t="s">
        <v>5079</v>
      </c>
      <c r="F752" s="213" t="s">
        <v>5080</v>
      </c>
      <c r="G752" s="213" t="s">
        <v>5081</v>
      </c>
      <c r="H752" s="213" t="s">
        <v>5082</v>
      </c>
      <c r="I752" s="213" t="s">
        <v>5083</v>
      </c>
      <c r="J752" s="213" t="s">
        <v>5174</v>
      </c>
      <c r="K752" s="213" t="s">
        <v>9520</v>
      </c>
      <c r="L752" s="213" t="s">
        <v>10818</v>
      </c>
      <c r="M752" s="213" t="s">
        <v>10170</v>
      </c>
      <c r="P752" s="121"/>
    </row>
    <row r="753" spans="1:16">
      <c r="A753" s="213" t="s">
        <v>1606</v>
      </c>
      <c r="B753" s="213" t="s">
        <v>1234</v>
      </c>
      <c r="C753" s="221" t="s">
        <v>1233</v>
      </c>
      <c r="D753" s="221" t="s">
        <v>1235</v>
      </c>
      <c r="E753" s="221" t="s">
        <v>5079</v>
      </c>
      <c r="F753" s="213" t="s">
        <v>5080</v>
      </c>
      <c r="G753" s="213" t="s">
        <v>5081</v>
      </c>
      <c r="H753" s="213" t="s">
        <v>5082</v>
      </c>
      <c r="I753" s="213" t="s">
        <v>5083</v>
      </c>
      <c r="J753" s="213" t="s">
        <v>5174</v>
      </c>
      <c r="K753" s="213" t="s">
        <v>9520</v>
      </c>
      <c r="L753" s="213" t="s">
        <v>10818</v>
      </c>
      <c r="M753" s="213" t="s">
        <v>10170</v>
      </c>
      <c r="P753" s="121"/>
    </row>
    <row r="754" spans="1:16">
      <c r="A754" s="213" t="s">
        <v>1607</v>
      </c>
      <c r="B754" s="213" t="s">
        <v>1234</v>
      </c>
      <c r="C754" s="221" t="s">
        <v>1233</v>
      </c>
      <c r="D754" s="221" t="s">
        <v>1235</v>
      </c>
      <c r="E754" s="221" t="s">
        <v>5079</v>
      </c>
      <c r="F754" s="213" t="s">
        <v>5080</v>
      </c>
      <c r="G754" s="213" t="s">
        <v>5081</v>
      </c>
      <c r="H754" s="213" t="s">
        <v>5082</v>
      </c>
      <c r="I754" s="213" t="s">
        <v>5083</v>
      </c>
      <c r="J754" s="213" t="s">
        <v>5174</v>
      </c>
      <c r="K754" s="213" t="s">
        <v>9520</v>
      </c>
      <c r="L754" s="213" t="s">
        <v>10818</v>
      </c>
      <c r="M754" s="213" t="s">
        <v>10170</v>
      </c>
      <c r="P754" s="121"/>
    </row>
    <row r="755" spans="1:16">
      <c r="A755" s="213" t="s">
        <v>1608</v>
      </c>
      <c r="B755" s="213" t="s">
        <v>1092</v>
      </c>
      <c r="C755" s="221" t="s">
        <v>1075</v>
      </c>
      <c r="D755" s="221" t="s">
        <v>1093</v>
      </c>
      <c r="E755" s="221" t="s">
        <v>5073</v>
      </c>
      <c r="F755" s="213" t="s">
        <v>5074</v>
      </c>
      <c r="G755" s="213" t="s">
        <v>5075</v>
      </c>
      <c r="H755" s="213" t="s">
        <v>5076</v>
      </c>
      <c r="I755" s="213" t="s">
        <v>5077</v>
      </c>
      <c r="J755" s="213" t="s">
        <v>5153</v>
      </c>
      <c r="K755" s="213" t="s">
        <v>9519</v>
      </c>
      <c r="L755" s="213" t="s">
        <v>10868</v>
      </c>
      <c r="M755" s="213" t="s">
        <v>10169</v>
      </c>
      <c r="P755" s="121"/>
    </row>
    <row r="756" spans="1:16">
      <c r="A756" s="213" t="s">
        <v>2573</v>
      </c>
      <c r="B756" s="213" t="s">
        <v>1253</v>
      </c>
      <c r="C756" s="221" t="s">
        <v>1252</v>
      </c>
      <c r="D756" s="221" t="s">
        <v>1254</v>
      </c>
      <c r="E756" s="221" t="s">
        <v>5193</v>
      </c>
      <c r="F756" s="213" t="s">
        <v>5194</v>
      </c>
      <c r="G756" s="213" t="s">
        <v>5195</v>
      </c>
      <c r="H756" s="213" t="s">
        <v>5193</v>
      </c>
      <c r="I756" s="213" t="s">
        <v>5196</v>
      </c>
      <c r="J756" s="213" t="s">
        <v>5197</v>
      </c>
      <c r="K756" s="213" t="s">
        <v>9535</v>
      </c>
      <c r="L756" s="213" t="s">
        <v>10833</v>
      </c>
      <c r="M756" s="213" t="s">
        <v>10187</v>
      </c>
      <c r="P756" s="121"/>
    </row>
    <row r="757" spans="1:16">
      <c r="A757" s="213" t="s">
        <v>1609</v>
      </c>
      <c r="B757" s="213" t="s">
        <v>1253</v>
      </c>
      <c r="C757" s="221" t="s">
        <v>1252</v>
      </c>
      <c r="D757" s="221" t="s">
        <v>1254</v>
      </c>
      <c r="E757" s="221" t="s">
        <v>5193</v>
      </c>
      <c r="F757" s="213" t="s">
        <v>5194</v>
      </c>
      <c r="G757" s="213" t="s">
        <v>5195</v>
      </c>
      <c r="H757" s="213" t="s">
        <v>5193</v>
      </c>
      <c r="I757" s="213" t="s">
        <v>5196</v>
      </c>
      <c r="J757" s="213" t="s">
        <v>5197</v>
      </c>
      <c r="K757" s="213" t="s">
        <v>9535</v>
      </c>
      <c r="L757" s="213" t="s">
        <v>10833</v>
      </c>
      <c r="M757" s="213" t="s">
        <v>10187</v>
      </c>
      <c r="P757" s="121"/>
    </row>
    <row r="758" spans="1:16">
      <c r="A758" s="213" t="s">
        <v>2751</v>
      </c>
      <c r="B758" s="213" t="s">
        <v>1092</v>
      </c>
      <c r="C758" s="221" t="s">
        <v>1075</v>
      </c>
      <c r="D758" s="221" t="s">
        <v>1093</v>
      </c>
      <c r="E758" s="221" t="s">
        <v>5073</v>
      </c>
      <c r="F758" s="213" t="s">
        <v>5074</v>
      </c>
      <c r="G758" s="213" t="s">
        <v>5075</v>
      </c>
      <c r="H758" s="213" t="s">
        <v>5076</v>
      </c>
      <c r="I758" s="213" t="s">
        <v>5077</v>
      </c>
      <c r="J758" s="213" t="s">
        <v>5151</v>
      </c>
      <c r="K758" s="213" t="s">
        <v>9519</v>
      </c>
      <c r="L758" s="213" t="s">
        <v>10817</v>
      </c>
      <c r="M758" s="213" t="s">
        <v>10169</v>
      </c>
      <c r="P758" s="121"/>
    </row>
    <row r="759" spans="1:16">
      <c r="A759" s="213" t="s">
        <v>2752</v>
      </c>
      <c r="B759" s="213" t="s">
        <v>1092</v>
      </c>
      <c r="C759" s="221" t="s">
        <v>1075</v>
      </c>
      <c r="D759" s="221" t="s">
        <v>1093</v>
      </c>
      <c r="E759" s="221" t="s">
        <v>5073</v>
      </c>
      <c r="F759" s="213" t="s">
        <v>5074</v>
      </c>
      <c r="G759" s="213" t="s">
        <v>5075</v>
      </c>
      <c r="H759" s="213" t="s">
        <v>5076</v>
      </c>
      <c r="I759" s="213" t="s">
        <v>5077</v>
      </c>
      <c r="J759" s="213" t="s">
        <v>5151</v>
      </c>
      <c r="K759" s="213" t="s">
        <v>9519</v>
      </c>
      <c r="L759" s="213" t="s">
        <v>10817</v>
      </c>
      <c r="M759" s="213" t="s">
        <v>10169</v>
      </c>
      <c r="P759" s="121"/>
    </row>
    <row r="760" spans="1:16">
      <c r="A760" s="213" t="s">
        <v>5452</v>
      </c>
      <c r="B760" s="213" t="s">
        <v>1092</v>
      </c>
      <c r="C760" s="221" t="s">
        <v>1075</v>
      </c>
      <c r="D760" s="221" t="s">
        <v>1093</v>
      </c>
      <c r="E760" s="221" t="s">
        <v>5073</v>
      </c>
      <c r="F760" s="213" t="s">
        <v>5074</v>
      </c>
      <c r="G760" s="213" t="s">
        <v>5075</v>
      </c>
      <c r="H760" s="213" t="s">
        <v>5076</v>
      </c>
      <c r="I760" s="213" t="s">
        <v>5077</v>
      </c>
      <c r="J760" s="213" t="s">
        <v>5153</v>
      </c>
      <c r="K760" s="213" t="s">
        <v>9519</v>
      </c>
      <c r="L760" s="213" t="s">
        <v>10817</v>
      </c>
      <c r="M760" s="213" t="s">
        <v>10169</v>
      </c>
      <c r="P760" s="121"/>
    </row>
    <row r="761" spans="1:16">
      <c r="A761" s="213" t="s">
        <v>2753</v>
      </c>
      <c r="B761" s="213" t="s">
        <v>1092</v>
      </c>
      <c r="C761" s="221" t="s">
        <v>1075</v>
      </c>
      <c r="D761" s="221" t="s">
        <v>1093</v>
      </c>
      <c r="E761" s="221" t="s">
        <v>5073</v>
      </c>
      <c r="F761" s="213" t="s">
        <v>5074</v>
      </c>
      <c r="G761" s="213" t="s">
        <v>5075</v>
      </c>
      <c r="H761" s="213" t="s">
        <v>5076</v>
      </c>
      <c r="I761" s="213" t="s">
        <v>5077</v>
      </c>
      <c r="J761" s="213" t="s">
        <v>5151</v>
      </c>
      <c r="K761" s="213" t="s">
        <v>9519</v>
      </c>
      <c r="L761" s="213" t="s">
        <v>10817</v>
      </c>
      <c r="M761" s="213" t="s">
        <v>10169</v>
      </c>
      <c r="P761" s="121"/>
    </row>
    <row r="762" spans="1:16">
      <c r="A762" s="213" t="s">
        <v>2754</v>
      </c>
      <c r="B762" s="213" t="s">
        <v>1092</v>
      </c>
      <c r="C762" s="221" t="s">
        <v>1075</v>
      </c>
      <c r="D762" s="221" t="s">
        <v>1093</v>
      </c>
      <c r="E762" s="221" t="s">
        <v>5073</v>
      </c>
      <c r="F762" s="213" t="s">
        <v>5074</v>
      </c>
      <c r="G762" s="213" t="s">
        <v>5075</v>
      </c>
      <c r="H762" s="213" t="s">
        <v>5076</v>
      </c>
      <c r="I762" s="213" t="s">
        <v>5077</v>
      </c>
      <c r="J762" s="213" t="s">
        <v>5153</v>
      </c>
      <c r="K762" s="213" t="s">
        <v>9519</v>
      </c>
      <c r="L762" s="213" t="s">
        <v>10868</v>
      </c>
      <c r="M762" s="213" t="s">
        <v>10169</v>
      </c>
      <c r="P762" s="121"/>
    </row>
    <row r="763" spans="1:16">
      <c r="A763" s="213" t="s">
        <v>2755</v>
      </c>
      <c r="B763" s="213" t="s">
        <v>2855</v>
      </c>
      <c r="C763" s="221" t="s">
        <v>1598</v>
      </c>
      <c r="D763" s="221" t="s">
        <v>1599</v>
      </c>
      <c r="E763" s="221" t="s">
        <v>5453</v>
      </c>
      <c r="F763" s="213" t="s">
        <v>5445</v>
      </c>
      <c r="G763" s="213" t="s">
        <v>5075</v>
      </c>
      <c r="H763" s="213" t="s">
        <v>5454</v>
      </c>
      <c r="I763" s="213" t="s">
        <v>5448</v>
      </c>
      <c r="J763" s="213" t="s">
        <v>5455</v>
      </c>
      <c r="K763" s="213"/>
      <c r="L763" s="213" t="s">
        <v>10869</v>
      </c>
      <c r="M763" s="213" t="s">
        <v>10227</v>
      </c>
      <c r="P763" s="121"/>
    </row>
    <row r="764" spans="1:16">
      <c r="A764" s="213" t="s">
        <v>5456</v>
      </c>
      <c r="B764" s="213" t="s">
        <v>1092</v>
      </c>
      <c r="C764" s="221" t="s">
        <v>1075</v>
      </c>
      <c r="D764" s="221" t="s">
        <v>1093</v>
      </c>
      <c r="E764" s="221" t="s">
        <v>5073</v>
      </c>
      <c r="F764" s="213" t="s">
        <v>5074</v>
      </c>
      <c r="G764" s="213" t="s">
        <v>5075</v>
      </c>
      <c r="H764" s="213" t="s">
        <v>5076</v>
      </c>
      <c r="I764" s="213" t="s">
        <v>5077</v>
      </c>
      <c r="J764" s="213" t="s">
        <v>5151</v>
      </c>
      <c r="K764" s="222" t="s">
        <v>9519</v>
      </c>
      <c r="L764" s="213" t="s">
        <v>24</v>
      </c>
      <c r="M764" s="213" t="s">
        <v>10169</v>
      </c>
      <c r="P764" s="121"/>
    </row>
    <row r="765" spans="1:16">
      <c r="A765" s="213" t="s">
        <v>2756</v>
      </c>
      <c r="B765" s="213" t="s">
        <v>1240</v>
      </c>
      <c r="C765" s="221" t="s">
        <v>1239</v>
      </c>
      <c r="D765" s="221" t="s">
        <v>1241</v>
      </c>
      <c r="E765" s="221" t="s">
        <v>5177</v>
      </c>
      <c r="F765" s="213" t="s">
        <v>5178</v>
      </c>
      <c r="G765" s="213" t="s">
        <v>5179</v>
      </c>
      <c r="H765" s="213" t="s">
        <v>5180</v>
      </c>
      <c r="I765" s="213" t="s">
        <v>5181</v>
      </c>
      <c r="J765" s="213" t="s">
        <v>5182</v>
      </c>
      <c r="K765" s="213" t="s">
        <v>9533</v>
      </c>
      <c r="L765" s="213" t="s">
        <v>10831</v>
      </c>
      <c r="M765" s="213" t="s">
        <v>10184</v>
      </c>
      <c r="P765" s="121"/>
    </row>
    <row r="766" spans="1:16">
      <c r="A766" s="213" t="s">
        <v>2652</v>
      </c>
      <c r="B766" s="213" t="s">
        <v>1240</v>
      </c>
      <c r="C766" s="221" t="s">
        <v>1239</v>
      </c>
      <c r="D766" s="221" t="s">
        <v>1241</v>
      </c>
      <c r="E766" s="221" t="s">
        <v>5177</v>
      </c>
      <c r="F766" s="213" t="s">
        <v>5178</v>
      </c>
      <c r="G766" s="213" t="s">
        <v>5179</v>
      </c>
      <c r="H766" s="213" t="s">
        <v>5180</v>
      </c>
      <c r="I766" s="213" t="s">
        <v>5181</v>
      </c>
      <c r="J766" s="213" t="s">
        <v>5182</v>
      </c>
      <c r="K766" s="213" t="s">
        <v>9533</v>
      </c>
      <c r="L766" s="213" t="s">
        <v>10831</v>
      </c>
      <c r="M766" s="213" t="s">
        <v>10184</v>
      </c>
      <c r="P766" s="121"/>
    </row>
    <row r="767" spans="1:16">
      <c r="A767" s="213" t="s">
        <v>2757</v>
      </c>
      <c r="B767" s="213" t="s">
        <v>1586</v>
      </c>
      <c r="C767" s="221" t="s">
        <v>1585</v>
      </c>
      <c r="D767" s="221" t="s">
        <v>1587</v>
      </c>
      <c r="E767" s="221" t="s">
        <v>5432</v>
      </c>
      <c r="F767" s="213" t="s">
        <v>5433</v>
      </c>
      <c r="G767" s="213" t="s">
        <v>5434</v>
      </c>
      <c r="H767" s="213" t="s">
        <v>5435</v>
      </c>
      <c r="I767" s="213" t="s">
        <v>5436</v>
      </c>
      <c r="J767" s="213" t="s">
        <v>5437</v>
      </c>
      <c r="K767" s="213" t="s">
        <v>9569</v>
      </c>
      <c r="L767" s="213" t="s">
        <v>10867</v>
      </c>
      <c r="M767" s="213" t="s">
        <v>10225</v>
      </c>
      <c r="P767" s="121"/>
    </row>
    <row r="768" spans="1:16">
      <c r="A768" s="213" t="s">
        <v>2758</v>
      </c>
      <c r="B768" s="213" t="s">
        <v>1586</v>
      </c>
      <c r="C768" s="221" t="s">
        <v>1585</v>
      </c>
      <c r="D768" s="221" t="s">
        <v>1587</v>
      </c>
      <c r="E768" s="221" t="s">
        <v>5432</v>
      </c>
      <c r="F768" s="213" t="s">
        <v>5433</v>
      </c>
      <c r="G768" s="213" t="s">
        <v>5434</v>
      </c>
      <c r="H768" s="213" t="s">
        <v>5435</v>
      </c>
      <c r="I768" s="213" t="s">
        <v>5436</v>
      </c>
      <c r="J768" s="213" t="s">
        <v>5437</v>
      </c>
      <c r="K768" s="213" t="s">
        <v>9569</v>
      </c>
      <c r="L768" s="213" t="s">
        <v>10867</v>
      </c>
      <c r="M768" s="213" t="s">
        <v>10225</v>
      </c>
      <c r="P768" s="121"/>
    </row>
    <row r="769" spans="1:16">
      <c r="A769" s="213" t="s">
        <v>2759</v>
      </c>
      <c r="B769" s="213" t="s">
        <v>1234</v>
      </c>
      <c r="C769" s="221" t="s">
        <v>1233</v>
      </c>
      <c r="D769" s="221" t="s">
        <v>1235</v>
      </c>
      <c r="E769" s="221" t="s">
        <v>5079</v>
      </c>
      <c r="F769" s="213" t="s">
        <v>5080</v>
      </c>
      <c r="G769" s="213" t="s">
        <v>5081</v>
      </c>
      <c r="H769" s="213" t="s">
        <v>5082</v>
      </c>
      <c r="I769" s="213" t="s">
        <v>5083</v>
      </c>
      <c r="J769" s="213" t="s">
        <v>5174</v>
      </c>
      <c r="K769" s="213" t="s">
        <v>9520</v>
      </c>
      <c r="L769" s="213" t="s">
        <v>10818</v>
      </c>
      <c r="M769" s="213" t="s">
        <v>10170</v>
      </c>
      <c r="P769" s="121"/>
    </row>
    <row r="770" spans="1:16">
      <c r="A770" s="213" t="s">
        <v>2760</v>
      </c>
      <c r="B770" s="213" t="s">
        <v>1234</v>
      </c>
      <c r="C770" s="221" t="s">
        <v>1233</v>
      </c>
      <c r="D770" s="221" t="s">
        <v>1235</v>
      </c>
      <c r="E770" s="221" t="s">
        <v>5079</v>
      </c>
      <c r="F770" s="213" t="s">
        <v>5080</v>
      </c>
      <c r="G770" s="213" t="s">
        <v>5081</v>
      </c>
      <c r="H770" s="213" t="s">
        <v>5082</v>
      </c>
      <c r="I770" s="213" t="s">
        <v>5083</v>
      </c>
      <c r="J770" s="213" t="s">
        <v>5174</v>
      </c>
      <c r="K770" s="213" t="s">
        <v>9520</v>
      </c>
      <c r="L770" s="213" t="s">
        <v>10818</v>
      </c>
      <c r="M770" s="213" t="s">
        <v>10170</v>
      </c>
      <c r="P770" s="121"/>
    </row>
    <row r="771" spans="1:16">
      <c r="A771" s="213" t="s">
        <v>5457</v>
      </c>
      <c r="B771" s="213" t="s">
        <v>1092</v>
      </c>
      <c r="C771" s="221" t="s">
        <v>1075</v>
      </c>
      <c r="D771" s="221" t="s">
        <v>1093</v>
      </c>
      <c r="E771" s="221" t="s">
        <v>5073</v>
      </c>
      <c r="F771" s="213" t="s">
        <v>5074</v>
      </c>
      <c r="G771" s="213" t="s">
        <v>5075</v>
      </c>
      <c r="H771" s="213" t="s">
        <v>5076</v>
      </c>
      <c r="I771" s="213" t="s">
        <v>5458</v>
      </c>
      <c r="J771" s="213" t="s">
        <v>5153</v>
      </c>
      <c r="K771" s="222" t="s">
        <v>9519</v>
      </c>
      <c r="L771" s="213" t="s">
        <v>10868</v>
      </c>
      <c r="M771" s="213" t="s">
        <v>10169</v>
      </c>
      <c r="P771" s="121"/>
    </row>
    <row r="772" spans="1:16">
      <c r="A772" s="213" t="s">
        <v>2761</v>
      </c>
      <c r="B772" s="213" t="s">
        <v>1253</v>
      </c>
      <c r="C772" s="221" t="s">
        <v>1252</v>
      </c>
      <c r="D772" s="221" t="s">
        <v>1254</v>
      </c>
      <c r="E772" s="221" t="s">
        <v>5193</v>
      </c>
      <c r="F772" s="213" t="s">
        <v>5194</v>
      </c>
      <c r="G772" s="213" t="s">
        <v>5195</v>
      </c>
      <c r="H772" s="213" t="s">
        <v>5193</v>
      </c>
      <c r="I772" s="213" t="s">
        <v>5196</v>
      </c>
      <c r="J772" s="213" t="s">
        <v>5197</v>
      </c>
      <c r="K772" s="213" t="s">
        <v>9535</v>
      </c>
      <c r="L772" s="213" t="s">
        <v>10833</v>
      </c>
      <c r="M772" s="213" t="s">
        <v>10187</v>
      </c>
      <c r="P772" s="121"/>
    </row>
    <row r="773" spans="1:16">
      <c r="A773" s="213" t="s">
        <v>2653</v>
      </c>
      <c r="B773" s="213" t="s">
        <v>1253</v>
      </c>
      <c r="C773" s="221" t="s">
        <v>1252</v>
      </c>
      <c r="D773" s="221" t="s">
        <v>1254</v>
      </c>
      <c r="E773" s="221" t="s">
        <v>5193</v>
      </c>
      <c r="F773" s="213" t="s">
        <v>5194</v>
      </c>
      <c r="G773" s="213" t="s">
        <v>5195</v>
      </c>
      <c r="H773" s="213" t="s">
        <v>5193</v>
      </c>
      <c r="I773" s="213" t="s">
        <v>5196</v>
      </c>
      <c r="J773" s="213" t="s">
        <v>5197</v>
      </c>
      <c r="K773" s="213" t="s">
        <v>9535</v>
      </c>
      <c r="L773" s="213" t="s">
        <v>10833</v>
      </c>
      <c r="M773" s="213" t="s">
        <v>10187</v>
      </c>
      <c r="P773" s="121"/>
    </row>
    <row r="774" spans="1:16">
      <c r="A774" s="213" t="s">
        <v>1611</v>
      </c>
      <c r="B774" s="213" t="s">
        <v>1610</v>
      </c>
      <c r="C774" s="221" t="s">
        <v>821</v>
      </c>
      <c r="D774" s="221" t="s">
        <v>1455</v>
      </c>
      <c r="E774" s="221" t="s">
        <v>4725</v>
      </c>
      <c r="F774" s="213" t="s">
        <v>4726</v>
      </c>
      <c r="G774" s="213" t="s">
        <v>5106</v>
      </c>
      <c r="H774" s="213" t="s">
        <v>4728</v>
      </c>
      <c r="I774" s="213" t="s">
        <v>5364</v>
      </c>
      <c r="J774" s="213" t="s">
        <v>4730</v>
      </c>
      <c r="K774" s="213" t="s">
        <v>9510</v>
      </c>
      <c r="L774" s="213" t="s">
        <v>10857</v>
      </c>
      <c r="M774" s="213" t="s">
        <v>10112</v>
      </c>
      <c r="P774" s="121"/>
    </row>
    <row r="775" spans="1:16">
      <c r="A775" s="213" t="s">
        <v>1613</v>
      </c>
      <c r="B775" s="213" t="s">
        <v>1610</v>
      </c>
      <c r="C775" s="221" t="s">
        <v>1453</v>
      </c>
      <c r="D775" s="221" t="s">
        <v>1455</v>
      </c>
      <c r="E775" s="221" t="s">
        <v>5459</v>
      </c>
      <c r="F775" s="213" t="s">
        <v>5361</v>
      </c>
      <c r="G775" s="213" t="s">
        <v>5362</v>
      </c>
      <c r="H775" s="213" t="s">
        <v>5460</v>
      </c>
      <c r="I775" s="213" t="s">
        <v>5364</v>
      </c>
      <c r="J775" s="213" t="s">
        <v>5352</v>
      </c>
      <c r="K775" s="222" t="s">
        <v>9559</v>
      </c>
      <c r="L775" s="213" t="s">
        <v>10857</v>
      </c>
      <c r="M775" s="213" t="s">
        <v>10212</v>
      </c>
      <c r="P775" s="121"/>
    </row>
    <row r="776" spans="1:16">
      <c r="A776" s="213" t="s">
        <v>2574</v>
      </c>
      <c r="B776" s="213" t="s">
        <v>822</v>
      </c>
      <c r="C776" s="221" t="s">
        <v>821</v>
      </c>
      <c r="D776" s="221" t="s">
        <v>823</v>
      </c>
      <c r="E776" s="221" t="s">
        <v>4725</v>
      </c>
      <c r="F776" s="213" t="s">
        <v>4726</v>
      </c>
      <c r="G776" s="213" t="s">
        <v>5106</v>
      </c>
      <c r="H776" s="213" t="s">
        <v>4728</v>
      </c>
      <c r="I776" s="213" t="s">
        <v>5107</v>
      </c>
      <c r="J776" s="213" t="s">
        <v>4730</v>
      </c>
      <c r="K776" s="222" t="s">
        <v>9510</v>
      </c>
      <c r="L776" s="213" t="s">
        <v>10761</v>
      </c>
      <c r="M776" s="213" t="s">
        <v>10112</v>
      </c>
      <c r="P776" s="121"/>
    </row>
    <row r="777" spans="1:16">
      <c r="A777" s="213" t="s">
        <v>2576</v>
      </c>
      <c r="B777" s="213" t="s">
        <v>822</v>
      </c>
      <c r="C777" s="221" t="s">
        <v>821</v>
      </c>
      <c r="D777" s="221" t="s">
        <v>823</v>
      </c>
      <c r="E777" s="221" t="s">
        <v>4725</v>
      </c>
      <c r="F777" s="213" t="s">
        <v>4726</v>
      </c>
      <c r="G777" s="213" t="s">
        <v>5106</v>
      </c>
      <c r="H777" s="213" t="s">
        <v>4728</v>
      </c>
      <c r="I777" s="213" t="s">
        <v>5107</v>
      </c>
      <c r="J777" s="213" t="s">
        <v>4730</v>
      </c>
      <c r="K777" s="213" t="s">
        <v>9510</v>
      </c>
      <c r="L777" s="213" t="s">
        <v>10761</v>
      </c>
      <c r="M777" s="213" t="s">
        <v>10112</v>
      </c>
      <c r="P777" s="121"/>
    </row>
    <row r="778" spans="1:16">
      <c r="A778" s="213" t="s">
        <v>2577</v>
      </c>
      <c r="B778" s="213" t="s">
        <v>822</v>
      </c>
      <c r="C778" s="221" t="s">
        <v>821</v>
      </c>
      <c r="D778" s="221" t="s">
        <v>823</v>
      </c>
      <c r="E778" s="221" t="s">
        <v>4725</v>
      </c>
      <c r="F778" s="213" t="s">
        <v>4726</v>
      </c>
      <c r="G778" s="213" t="s">
        <v>5106</v>
      </c>
      <c r="H778" s="213" t="s">
        <v>4728</v>
      </c>
      <c r="I778" s="213" t="s">
        <v>5107</v>
      </c>
      <c r="J778" s="213" t="s">
        <v>4730</v>
      </c>
      <c r="K778" s="213" t="s">
        <v>9510</v>
      </c>
      <c r="L778" s="213" t="s">
        <v>10761</v>
      </c>
      <c r="M778" s="213" t="s">
        <v>10112</v>
      </c>
      <c r="P778" s="121"/>
    </row>
    <row r="779" spans="1:16">
      <c r="A779" s="213" t="s">
        <v>1615</v>
      </c>
      <c r="B779" s="213" t="s">
        <v>1610</v>
      </c>
      <c r="C779" s="221" t="s">
        <v>1453</v>
      </c>
      <c r="D779" s="221" t="s">
        <v>1455</v>
      </c>
      <c r="E779" s="221" t="s">
        <v>5459</v>
      </c>
      <c r="F779" s="213" t="s">
        <v>5361</v>
      </c>
      <c r="G779" s="213" t="s">
        <v>5362</v>
      </c>
      <c r="H779" s="213" t="s">
        <v>5460</v>
      </c>
      <c r="I779" s="213" t="s">
        <v>5364</v>
      </c>
      <c r="J779" s="213" t="s">
        <v>5352</v>
      </c>
      <c r="K779" s="213" t="s">
        <v>9559</v>
      </c>
      <c r="L779" s="213" t="s">
        <v>10857</v>
      </c>
      <c r="M779" s="213" t="s">
        <v>10212</v>
      </c>
      <c r="P779" s="121"/>
    </row>
    <row r="780" spans="1:16">
      <c r="A780" s="213" t="s">
        <v>2578</v>
      </c>
      <c r="B780" s="213" t="s">
        <v>864</v>
      </c>
      <c r="C780" s="221" t="s">
        <v>863</v>
      </c>
      <c r="D780" s="221" t="s">
        <v>1157</v>
      </c>
      <c r="E780" s="221" t="s">
        <v>4702</v>
      </c>
      <c r="F780" s="213" t="s">
        <v>4703</v>
      </c>
      <c r="G780" s="213" t="s">
        <v>5135</v>
      </c>
      <c r="H780" s="213" t="s">
        <v>4705</v>
      </c>
      <c r="I780" s="213" t="s">
        <v>4706</v>
      </c>
      <c r="J780" s="213" t="s">
        <v>4707</v>
      </c>
      <c r="K780" s="213" t="s">
        <v>9506</v>
      </c>
      <c r="L780" s="213" t="s">
        <v>10757</v>
      </c>
      <c r="M780" s="213" t="s">
        <v>10108</v>
      </c>
      <c r="P780" s="121"/>
    </row>
    <row r="781" spans="1:16">
      <c r="A781" s="213" t="s">
        <v>2580</v>
      </c>
      <c r="B781" s="213" t="s">
        <v>864</v>
      </c>
      <c r="C781" s="221" t="s">
        <v>863</v>
      </c>
      <c r="D781" s="221" t="s">
        <v>1157</v>
      </c>
      <c r="E781" s="221" t="s">
        <v>4702</v>
      </c>
      <c r="F781" s="213" t="s">
        <v>4703</v>
      </c>
      <c r="G781" s="213" t="s">
        <v>5135</v>
      </c>
      <c r="H781" s="213" t="s">
        <v>4705</v>
      </c>
      <c r="I781" s="213" t="s">
        <v>4706</v>
      </c>
      <c r="J781" s="213" t="s">
        <v>4707</v>
      </c>
      <c r="K781" s="213" t="s">
        <v>9506</v>
      </c>
      <c r="L781" s="213" t="s">
        <v>10757</v>
      </c>
      <c r="M781" s="213" t="s">
        <v>10108</v>
      </c>
      <c r="P781" s="121"/>
    </row>
    <row r="782" spans="1:16">
      <c r="A782" s="213" t="s">
        <v>2582</v>
      </c>
      <c r="B782" s="213" t="s">
        <v>413</v>
      </c>
      <c r="C782" s="221" t="s">
        <v>412</v>
      </c>
      <c r="D782" s="221" t="s">
        <v>414</v>
      </c>
      <c r="E782" s="221" t="s">
        <v>3945</v>
      </c>
      <c r="F782" s="213" t="s">
        <v>3946</v>
      </c>
      <c r="G782" s="213" t="s">
        <v>5382</v>
      </c>
      <c r="H782" s="213" t="s">
        <v>3948</v>
      </c>
      <c r="I782" s="213" t="s">
        <v>3949</v>
      </c>
      <c r="J782" s="213" t="s">
        <v>3950</v>
      </c>
      <c r="K782" s="213" t="s">
        <v>9394</v>
      </c>
      <c r="L782" s="213" t="s">
        <v>10645</v>
      </c>
      <c r="M782" s="213" t="s">
        <v>10215</v>
      </c>
      <c r="P782" s="121"/>
    </row>
    <row r="783" spans="1:16">
      <c r="A783" s="213" t="s">
        <v>2583</v>
      </c>
      <c r="B783" s="213" t="s">
        <v>413</v>
      </c>
      <c r="C783" s="221" t="s">
        <v>412</v>
      </c>
      <c r="D783" s="221" t="s">
        <v>414</v>
      </c>
      <c r="E783" s="221" t="s">
        <v>3945</v>
      </c>
      <c r="F783" s="213" t="s">
        <v>3946</v>
      </c>
      <c r="G783" s="213" t="s">
        <v>5382</v>
      </c>
      <c r="H783" s="213" t="s">
        <v>3948</v>
      </c>
      <c r="I783" s="213" t="s">
        <v>3949</v>
      </c>
      <c r="J783" s="213" t="s">
        <v>5461</v>
      </c>
      <c r="K783" s="213" t="s">
        <v>9394</v>
      </c>
      <c r="L783" s="213" t="s">
        <v>10645</v>
      </c>
      <c r="M783" s="213" t="s">
        <v>10215</v>
      </c>
      <c r="P783" s="121"/>
    </row>
    <row r="784" spans="1:16">
      <c r="A784" s="213" t="s">
        <v>1618</v>
      </c>
      <c r="B784" s="213" t="s">
        <v>1620</v>
      </c>
      <c r="C784" s="221" t="s">
        <v>1475</v>
      </c>
      <c r="D784" s="221" t="s">
        <v>1621</v>
      </c>
      <c r="E784" s="221" t="s">
        <v>5243</v>
      </c>
      <c r="F784" s="213" t="s">
        <v>5462</v>
      </c>
      <c r="G784" s="213" t="s">
        <v>4340</v>
      </c>
      <c r="H784" s="213" t="s">
        <v>5463</v>
      </c>
      <c r="I784" s="213" t="s">
        <v>5464</v>
      </c>
      <c r="J784" s="213" t="s">
        <v>5465</v>
      </c>
      <c r="K784" s="213" t="s">
        <v>9573</v>
      </c>
      <c r="L784" s="213" t="s">
        <v>10870</v>
      </c>
      <c r="M784" s="213" t="s">
        <v>10228</v>
      </c>
      <c r="P784" s="121"/>
    </row>
    <row r="785" spans="1:16">
      <c r="A785" s="214" t="s">
        <v>1624</v>
      </c>
      <c r="B785" s="213" t="s">
        <v>1092</v>
      </c>
      <c r="C785" s="221" t="s">
        <v>1075</v>
      </c>
      <c r="D785" s="221" t="s">
        <v>1093</v>
      </c>
      <c r="E785" s="221" t="s">
        <v>5073</v>
      </c>
      <c r="F785" s="213" t="s">
        <v>5074</v>
      </c>
      <c r="G785" s="213" t="s">
        <v>5075</v>
      </c>
      <c r="H785" s="213" t="s">
        <v>5076</v>
      </c>
      <c r="I785" s="213" t="s">
        <v>5077</v>
      </c>
      <c r="J785" s="213" t="s">
        <v>5151</v>
      </c>
      <c r="K785" s="213" t="s">
        <v>9519</v>
      </c>
      <c r="L785" s="213" t="s">
        <v>10817</v>
      </c>
      <c r="M785" s="213" t="s">
        <v>10169</v>
      </c>
      <c r="P785" s="121"/>
    </row>
    <row r="786" spans="1:16">
      <c r="A786" s="213" t="s">
        <v>1626</v>
      </c>
      <c r="B786" s="213" t="s">
        <v>1092</v>
      </c>
      <c r="C786" s="221" t="s">
        <v>1075</v>
      </c>
      <c r="D786" s="221" t="s">
        <v>1093</v>
      </c>
      <c r="E786" s="221" t="s">
        <v>5073</v>
      </c>
      <c r="F786" s="213" t="s">
        <v>5074</v>
      </c>
      <c r="G786" s="213" t="s">
        <v>5075</v>
      </c>
      <c r="H786" s="213" t="s">
        <v>5076</v>
      </c>
      <c r="I786" s="213" t="s">
        <v>5077</v>
      </c>
      <c r="J786" s="213" t="s">
        <v>5151</v>
      </c>
      <c r="K786" s="213" t="s">
        <v>9519</v>
      </c>
      <c r="L786" s="213" t="s">
        <v>10817</v>
      </c>
      <c r="M786" s="213" t="s">
        <v>10169</v>
      </c>
      <c r="P786" s="121"/>
    </row>
    <row r="787" spans="1:16">
      <c r="A787" s="213" t="s">
        <v>1628</v>
      </c>
      <c r="B787" s="213" t="s">
        <v>1586</v>
      </c>
      <c r="C787" s="221" t="s">
        <v>1585</v>
      </c>
      <c r="D787" s="221" t="s">
        <v>1587</v>
      </c>
      <c r="E787" s="221" t="s">
        <v>5432</v>
      </c>
      <c r="F787" s="213" t="s">
        <v>5466</v>
      </c>
      <c r="G787" s="213" t="s">
        <v>5434</v>
      </c>
      <c r="H787" s="213" t="s">
        <v>5435</v>
      </c>
      <c r="I787" s="213" t="s">
        <v>5436</v>
      </c>
      <c r="J787" s="213" t="s">
        <v>5437</v>
      </c>
      <c r="K787" s="213" t="s">
        <v>9569</v>
      </c>
      <c r="L787" s="213" t="s">
        <v>10867</v>
      </c>
      <c r="M787" s="213" t="s">
        <v>10225</v>
      </c>
      <c r="P787" s="121"/>
    </row>
    <row r="788" spans="1:16">
      <c r="A788" s="213" t="s">
        <v>2584</v>
      </c>
      <c r="B788" s="213" t="s">
        <v>1704</v>
      </c>
      <c r="C788" s="221" t="s">
        <v>1703</v>
      </c>
      <c r="D788" s="221" t="s">
        <v>1705</v>
      </c>
      <c r="E788" s="221" t="s">
        <v>4714</v>
      </c>
      <c r="F788" s="213" t="s">
        <v>4715</v>
      </c>
      <c r="G788" s="213" t="s">
        <v>5467</v>
      </c>
      <c r="H788" s="213" t="s">
        <v>4717</v>
      </c>
      <c r="I788" s="213" t="s">
        <v>4718</v>
      </c>
      <c r="J788" s="213" t="s">
        <v>4719</v>
      </c>
      <c r="K788" s="213" t="s">
        <v>9508</v>
      </c>
      <c r="L788" s="213" t="s">
        <v>10759</v>
      </c>
      <c r="M788" s="213" t="s">
        <v>10110</v>
      </c>
      <c r="P788" s="121"/>
    </row>
    <row r="789" spans="1:16">
      <c r="A789" s="213" t="s">
        <v>2762</v>
      </c>
      <c r="B789" s="213" t="s">
        <v>1092</v>
      </c>
      <c r="C789" s="221" t="s">
        <v>1075</v>
      </c>
      <c r="D789" s="221" t="s">
        <v>1093</v>
      </c>
      <c r="E789" s="221" t="s">
        <v>5073</v>
      </c>
      <c r="F789" s="213" t="s">
        <v>5074</v>
      </c>
      <c r="G789" s="213" t="s">
        <v>5075</v>
      </c>
      <c r="H789" s="213" t="s">
        <v>5076</v>
      </c>
      <c r="I789" s="213" t="s">
        <v>5077</v>
      </c>
      <c r="J789" s="213" t="s">
        <v>5151</v>
      </c>
      <c r="K789" s="213" t="s">
        <v>9519</v>
      </c>
      <c r="L789" s="213" t="s">
        <v>10817</v>
      </c>
      <c r="M789" s="213" t="s">
        <v>10169</v>
      </c>
      <c r="P789" s="121"/>
    </row>
    <row r="790" spans="1:16">
      <c r="A790" s="213" t="s">
        <v>2763</v>
      </c>
      <c r="B790" s="213" t="s">
        <v>1092</v>
      </c>
      <c r="C790" s="221" t="s">
        <v>1075</v>
      </c>
      <c r="D790" s="221" t="s">
        <v>1093</v>
      </c>
      <c r="E790" s="221" t="s">
        <v>5073</v>
      </c>
      <c r="F790" s="213" t="s">
        <v>5074</v>
      </c>
      <c r="G790" s="213" t="s">
        <v>5075</v>
      </c>
      <c r="H790" s="213" t="s">
        <v>5076</v>
      </c>
      <c r="I790" s="213" t="s">
        <v>5077</v>
      </c>
      <c r="J790" s="213" t="s">
        <v>5151</v>
      </c>
      <c r="K790" s="213" t="s">
        <v>9519</v>
      </c>
      <c r="L790" s="213" t="s">
        <v>10817</v>
      </c>
      <c r="M790" s="213" t="s">
        <v>10169</v>
      </c>
      <c r="P790" s="121"/>
    </row>
    <row r="791" spans="1:16">
      <c r="A791" s="213" t="s">
        <v>2764</v>
      </c>
      <c r="B791" s="213" t="s">
        <v>1586</v>
      </c>
      <c r="C791" s="221" t="s">
        <v>1585</v>
      </c>
      <c r="D791" s="221" t="s">
        <v>1587</v>
      </c>
      <c r="E791" s="221" t="s">
        <v>5432</v>
      </c>
      <c r="F791" s="213" t="s">
        <v>5433</v>
      </c>
      <c r="G791" s="213" t="s">
        <v>5434</v>
      </c>
      <c r="H791" s="213" t="s">
        <v>5435</v>
      </c>
      <c r="I791" s="213" t="s">
        <v>5436</v>
      </c>
      <c r="J791" s="213" t="s">
        <v>5437</v>
      </c>
      <c r="K791" s="213" t="s">
        <v>9569</v>
      </c>
      <c r="L791" s="213" t="s">
        <v>10867</v>
      </c>
      <c r="M791" s="213" t="s">
        <v>10225</v>
      </c>
      <c r="P791" s="121"/>
    </row>
    <row r="792" spans="1:16">
      <c r="A792" s="213" t="s">
        <v>2765</v>
      </c>
      <c r="B792" s="213" t="s">
        <v>1704</v>
      </c>
      <c r="C792" s="221" t="s">
        <v>1703</v>
      </c>
      <c r="D792" s="221" t="s">
        <v>1705</v>
      </c>
      <c r="E792" s="221" t="s">
        <v>4714</v>
      </c>
      <c r="F792" s="213" t="s">
        <v>4715</v>
      </c>
      <c r="G792" s="213" t="s">
        <v>5467</v>
      </c>
      <c r="H792" s="213" t="s">
        <v>4717</v>
      </c>
      <c r="I792" s="213" t="s">
        <v>4718</v>
      </c>
      <c r="J792" s="213" t="s">
        <v>4719</v>
      </c>
      <c r="K792" s="213" t="s">
        <v>9508</v>
      </c>
      <c r="L792" s="213" t="s">
        <v>10759</v>
      </c>
      <c r="M792" s="213" t="s">
        <v>10110</v>
      </c>
      <c r="P792" s="121"/>
    </row>
    <row r="793" spans="1:16">
      <c r="A793" s="213" t="s">
        <v>1630</v>
      </c>
      <c r="B793" s="213" t="s">
        <v>1633</v>
      </c>
      <c r="C793" s="221" t="s">
        <v>1632</v>
      </c>
      <c r="D793" s="221" t="s">
        <v>1634</v>
      </c>
      <c r="E793" s="221" t="s">
        <v>5468</v>
      </c>
      <c r="F793" s="213" t="s">
        <v>5469</v>
      </c>
      <c r="G793" s="213" t="s">
        <v>5470</v>
      </c>
      <c r="H793" s="213" t="s">
        <v>5471</v>
      </c>
      <c r="I793" s="213" t="s">
        <v>5472</v>
      </c>
      <c r="J793" s="213" t="s">
        <v>5473</v>
      </c>
      <c r="K793" s="213" t="s">
        <v>9574</v>
      </c>
      <c r="L793" s="213" t="s">
        <v>10871</v>
      </c>
      <c r="M793" s="213" t="s">
        <v>10229</v>
      </c>
      <c r="P793" s="121"/>
    </row>
    <row r="794" spans="1:16">
      <c r="A794" s="213" t="s">
        <v>1635</v>
      </c>
      <c r="B794" s="213" t="s">
        <v>413</v>
      </c>
      <c r="C794" s="221" t="s">
        <v>412</v>
      </c>
      <c r="D794" s="221" t="s">
        <v>414</v>
      </c>
      <c r="E794" s="221" t="s">
        <v>3945</v>
      </c>
      <c r="F794" s="213" t="s">
        <v>3946</v>
      </c>
      <c r="G794" s="213" t="s">
        <v>5382</v>
      </c>
      <c r="H794" s="213" t="s">
        <v>3948</v>
      </c>
      <c r="I794" s="213" t="s">
        <v>3949</v>
      </c>
      <c r="J794" s="213" t="s">
        <v>3950</v>
      </c>
      <c r="K794" s="213" t="s">
        <v>9394</v>
      </c>
      <c r="L794" s="213" t="s">
        <v>10645</v>
      </c>
      <c r="M794" s="213" t="s">
        <v>10215</v>
      </c>
      <c r="P794" s="121"/>
    </row>
    <row r="795" spans="1:16">
      <c r="A795" s="213" t="s">
        <v>1636</v>
      </c>
      <c r="B795" s="213" t="s">
        <v>413</v>
      </c>
      <c r="C795" s="221" t="s">
        <v>412</v>
      </c>
      <c r="D795" s="221" t="s">
        <v>414</v>
      </c>
      <c r="E795" s="221" t="s">
        <v>3945</v>
      </c>
      <c r="F795" s="213" t="s">
        <v>3946</v>
      </c>
      <c r="G795" s="213" t="s">
        <v>5382</v>
      </c>
      <c r="H795" s="213" t="s">
        <v>3948</v>
      </c>
      <c r="I795" s="213" t="s">
        <v>3949</v>
      </c>
      <c r="J795" s="213" t="s">
        <v>3950</v>
      </c>
      <c r="K795" s="213" t="s">
        <v>9394</v>
      </c>
      <c r="L795" s="213" t="s">
        <v>10645</v>
      </c>
      <c r="M795" s="213" t="s">
        <v>10215</v>
      </c>
      <c r="P795" s="121"/>
    </row>
    <row r="796" spans="1:16">
      <c r="A796" s="213" t="s">
        <v>1638</v>
      </c>
      <c r="B796" s="213" t="s">
        <v>864</v>
      </c>
      <c r="C796" s="221" t="s">
        <v>863</v>
      </c>
      <c r="D796" s="221" t="s">
        <v>1157</v>
      </c>
      <c r="E796" s="221" t="s">
        <v>4702</v>
      </c>
      <c r="F796" s="213" t="s">
        <v>4703</v>
      </c>
      <c r="G796" s="213" t="s">
        <v>5135</v>
      </c>
      <c r="H796" s="213" t="s">
        <v>4705</v>
      </c>
      <c r="I796" s="213" t="s">
        <v>4706</v>
      </c>
      <c r="J796" s="213" t="s">
        <v>4707</v>
      </c>
      <c r="K796" s="213" t="s">
        <v>9506</v>
      </c>
      <c r="L796" s="213" t="s">
        <v>10757</v>
      </c>
      <c r="M796" s="213" t="s">
        <v>10108</v>
      </c>
      <c r="P796" s="121"/>
    </row>
    <row r="797" spans="1:16">
      <c r="A797" s="213" t="s">
        <v>1639</v>
      </c>
      <c r="B797" s="213" t="s">
        <v>1620</v>
      </c>
      <c r="C797" s="221" t="s">
        <v>1475</v>
      </c>
      <c r="D797" s="221" t="s">
        <v>1621</v>
      </c>
      <c r="E797" s="221" t="s">
        <v>5474</v>
      </c>
      <c r="F797" s="213" t="s">
        <v>5462</v>
      </c>
      <c r="G797" s="213" t="s">
        <v>4340</v>
      </c>
      <c r="H797" s="213" t="s">
        <v>5463</v>
      </c>
      <c r="I797" s="213" t="s">
        <v>5475</v>
      </c>
      <c r="J797" s="213" t="s">
        <v>5465</v>
      </c>
      <c r="K797" s="213" t="s">
        <v>9575</v>
      </c>
      <c r="L797" s="213" t="s">
        <v>10870</v>
      </c>
      <c r="M797" s="213" t="s">
        <v>10228</v>
      </c>
      <c r="P797" s="121"/>
    </row>
    <row r="798" spans="1:16">
      <c r="A798" s="213" t="s">
        <v>1640</v>
      </c>
      <c r="B798" s="213" t="s">
        <v>1610</v>
      </c>
      <c r="C798" s="221" t="s">
        <v>1453</v>
      </c>
      <c r="D798" s="221" t="s">
        <v>1455</v>
      </c>
      <c r="E798" s="221" t="s">
        <v>5459</v>
      </c>
      <c r="F798" s="213" t="s">
        <v>5361</v>
      </c>
      <c r="G798" s="213" t="s">
        <v>5362</v>
      </c>
      <c r="H798" s="213" t="s">
        <v>5460</v>
      </c>
      <c r="I798" s="213" t="s">
        <v>5364</v>
      </c>
      <c r="J798" s="213" t="s">
        <v>5352</v>
      </c>
      <c r="K798" s="213" t="s">
        <v>9559</v>
      </c>
      <c r="L798" s="213" t="s">
        <v>10857</v>
      </c>
      <c r="M798" s="213" t="s">
        <v>10212</v>
      </c>
      <c r="P798" s="121"/>
    </row>
    <row r="799" spans="1:16">
      <c r="A799" s="213" t="s">
        <v>2586</v>
      </c>
      <c r="B799" s="213" t="s">
        <v>413</v>
      </c>
      <c r="C799" s="221" t="s">
        <v>412</v>
      </c>
      <c r="D799" s="221" t="s">
        <v>414</v>
      </c>
      <c r="E799" s="221" t="s">
        <v>3945</v>
      </c>
      <c r="F799" s="213" t="s">
        <v>3946</v>
      </c>
      <c r="G799" s="213" t="s">
        <v>5382</v>
      </c>
      <c r="H799" s="213" t="s">
        <v>3948</v>
      </c>
      <c r="I799" s="213" t="s">
        <v>3949</v>
      </c>
      <c r="J799" s="213" t="s">
        <v>3950</v>
      </c>
      <c r="K799" s="213" t="s">
        <v>9394</v>
      </c>
      <c r="L799" s="213" t="s">
        <v>10645</v>
      </c>
      <c r="M799" s="213" t="s">
        <v>10215</v>
      </c>
      <c r="P799" s="121"/>
    </row>
    <row r="800" spans="1:16">
      <c r="A800" s="213" t="s">
        <v>2587</v>
      </c>
      <c r="B800" s="213" t="s">
        <v>413</v>
      </c>
      <c r="C800" s="221" t="s">
        <v>412</v>
      </c>
      <c r="D800" s="221" t="s">
        <v>414</v>
      </c>
      <c r="E800" s="221" t="s">
        <v>3945</v>
      </c>
      <c r="F800" s="213" t="s">
        <v>3946</v>
      </c>
      <c r="G800" s="213" t="s">
        <v>5382</v>
      </c>
      <c r="H800" s="213" t="s">
        <v>3948</v>
      </c>
      <c r="I800" s="213" t="s">
        <v>3949</v>
      </c>
      <c r="J800" s="213" t="s">
        <v>3950</v>
      </c>
      <c r="K800" s="213" t="s">
        <v>9394</v>
      </c>
      <c r="L800" s="213" t="s">
        <v>10645</v>
      </c>
      <c r="M800" s="213" t="s">
        <v>10215</v>
      </c>
      <c r="P800" s="121"/>
    </row>
    <row r="801" spans="1:16">
      <c r="A801" s="213" t="s">
        <v>1650</v>
      </c>
      <c r="B801" s="213" t="s">
        <v>1648</v>
      </c>
      <c r="C801" s="221" t="s">
        <v>1647</v>
      </c>
      <c r="D801" s="221" t="s">
        <v>1649</v>
      </c>
      <c r="E801" s="221" t="s">
        <v>5476</v>
      </c>
      <c r="F801" s="213" t="s">
        <v>5477</v>
      </c>
      <c r="G801" s="213" t="s">
        <v>5478</v>
      </c>
      <c r="H801" s="213" t="s">
        <v>5479</v>
      </c>
      <c r="I801" s="213" t="s">
        <v>5480</v>
      </c>
      <c r="J801" s="213" t="s">
        <v>5481</v>
      </c>
      <c r="K801" s="213" t="s">
        <v>9576</v>
      </c>
      <c r="L801" s="213" t="s">
        <v>10872</v>
      </c>
      <c r="M801" s="213" t="s">
        <v>10230</v>
      </c>
      <c r="P801" s="121"/>
    </row>
    <row r="802" spans="1:16">
      <c r="A802" s="213" t="s">
        <v>1652</v>
      </c>
      <c r="B802" s="213" t="s">
        <v>1654</v>
      </c>
      <c r="C802" s="221" t="s">
        <v>1653</v>
      </c>
      <c r="D802" s="221" t="s">
        <v>1655</v>
      </c>
      <c r="E802" s="221" t="s">
        <v>5482</v>
      </c>
      <c r="F802" s="213" t="s">
        <v>5483</v>
      </c>
      <c r="G802" s="213" t="s">
        <v>5484</v>
      </c>
      <c r="H802" s="213" t="s">
        <v>5485</v>
      </c>
      <c r="I802" s="213" t="s">
        <v>5486</v>
      </c>
      <c r="J802" s="213" t="s">
        <v>5487</v>
      </c>
      <c r="K802" s="213" t="s">
        <v>9577</v>
      </c>
      <c r="L802" s="213" t="s">
        <v>10873</v>
      </c>
      <c r="M802" s="213" t="s">
        <v>10231</v>
      </c>
      <c r="P802" s="121"/>
    </row>
    <row r="803" spans="1:16">
      <c r="A803" s="213" t="s">
        <v>1656</v>
      </c>
      <c r="B803" s="213" t="s">
        <v>1654</v>
      </c>
      <c r="C803" s="221" t="s">
        <v>1653</v>
      </c>
      <c r="D803" s="221" t="s">
        <v>1655</v>
      </c>
      <c r="E803" s="221" t="s">
        <v>5482</v>
      </c>
      <c r="F803" s="213" t="s">
        <v>5483</v>
      </c>
      <c r="G803" s="213" t="s">
        <v>5484</v>
      </c>
      <c r="H803" s="213" t="s">
        <v>5485</v>
      </c>
      <c r="I803" s="213" t="s">
        <v>5486</v>
      </c>
      <c r="J803" s="213" t="s">
        <v>5487</v>
      </c>
      <c r="K803" s="213" t="s">
        <v>9577</v>
      </c>
      <c r="L803" s="213" t="s">
        <v>10873</v>
      </c>
      <c r="M803" s="213" t="s">
        <v>10231</v>
      </c>
      <c r="P803" s="121"/>
    </row>
    <row r="804" spans="1:16">
      <c r="A804" s="213" t="s">
        <v>1667</v>
      </c>
      <c r="B804" s="213" t="s">
        <v>864</v>
      </c>
      <c r="C804" s="221" t="s">
        <v>863</v>
      </c>
      <c r="D804" s="221" t="s">
        <v>1157</v>
      </c>
      <c r="E804" s="221" t="s">
        <v>4702</v>
      </c>
      <c r="F804" s="213" t="s">
        <v>4703</v>
      </c>
      <c r="G804" s="213" t="s">
        <v>5135</v>
      </c>
      <c r="H804" s="213" t="s">
        <v>4705</v>
      </c>
      <c r="I804" s="213" t="s">
        <v>4706</v>
      </c>
      <c r="J804" s="213" t="s">
        <v>4707</v>
      </c>
      <c r="K804" s="213" t="s">
        <v>9506</v>
      </c>
      <c r="L804" s="213" t="s">
        <v>10757</v>
      </c>
      <c r="M804" s="213" t="s">
        <v>10108</v>
      </c>
      <c r="P804" s="121"/>
    </row>
    <row r="805" spans="1:16">
      <c r="A805" s="213" t="s">
        <v>1669</v>
      </c>
      <c r="B805" s="213" t="s">
        <v>864</v>
      </c>
      <c r="C805" s="221" t="s">
        <v>863</v>
      </c>
      <c r="D805" s="221" t="s">
        <v>1157</v>
      </c>
      <c r="E805" s="221" t="s">
        <v>4702</v>
      </c>
      <c r="F805" s="213" t="s">
        <v>4703</v>
      </c>
      <c r="G805" s="213" t="s">
        <v>5135</v>
      </c>
      <c r="H805" s="213" t="s">
        <v>4705</v>
      </c>
      <c r="I805" s="213" t="s">
        <v>4706</v>
      </c>
      <c r="J805" s="213" t="s">
        <v>4707</v>
      </c>
      <c r="K805" s="213" t="s">
        <v>9506</v>
      </c>
      <c r="L805" s="213" t="s">
        <v>10757</v>
      </c>
      <c r="M805" s="213" t="s">
        <v>10108</v>
      </c>
      <c r="P805" s="121"/>
    </row>
    <row r="806" spans="1:16">
      <c r="A806" s="213" t="s">
        <v>1671</v>
      </c>
      <c r="B806" s="213" t="s">
        <v>864</v>
      </c>
      <c r="C806" s="221" t="s">
        <v>863</v>
      </c>
      <c r="D806" s="221" t="s">
        <v>1157</v>
      </c>
      <c r="E806" s="221" t="s">
        <v>4702</v>
      </c>
      <c r="F806" s="213" t="s">
        <v>4703</v>
      </c>
      <c r="G806" s="213" t="s">
        <v>5135</v>
      </c>
      <c r="H806" s="213" t="s">
        <v>4705</v>
      </c>
      <c r="I806" s="213" t="s">
        <v>4706</v>
      </c>
      <c r="J806" s="213" t="s">
        <v>4707</v>
      </c>
      <c r="K806" s="213" t="s">
        <v>9506</v>
      </c>
      <c r="L806" s="213" t="s">
        <v>10757</v>
      </c>
      <c r="M806" s="213" t="s">
        <v>10108</v>
      </c>
      <c r="P806" s="121"/>
    </row>
    <row r="807" spans="1:16">
      <c r="A807" s="213" t="s">
        <v>1678</v>
      </c>
      <c r="B807" s="213" t="s">
        <v>870</v>
      </c>
      <c r="C807" s="221" t="s">
        <v>869</v>
      </c>
      <c r="D807" s="221" t="s">
        <v>1076</v>
      </c>
      <c r="E807" s="221" t="s">
        <v>4708</v>
      </c>
      <c r="F807" s="213" t="s">
        <v>4709</v>
      </c>
      <c r="G807" s="213" t="s">
        <v>5150</v>
      </c>
      <c r="H807" s="213" t="s">
        <v>4711</v>
      </c>
      <c r="I807" s="213" t="s">
        <v>4712</v>
      </c>
      <c r="J807" s="213" t="s">
        <v>4713</v>
      </c>
      <c r="K807" s="213" t="s">
        <v>9507</v>
      </c>
      <c r="L807" s="213" t="s">
        <v>10758</v>
      </c>
      <c r="M807" s="213" t="s">
        <v>10109</v>
      </c>
      <c r="P807" s="121"/>
    </row>
    <row r="808" spans="1:16">
      <c r="A808" s="213" t="s">
        <v>1679</v>
      </c>
      <c r="B808" s="213" t="s">
        <v>870</v>
      </c>
      <c r="C808" s="221" t="s">
        <v>869</v>
      </c>
      <c r="D808" s="221" t="s">
        <v>1076</v>
      </c>
      <c r="E808" s="221" t="s">
        <v>4708</v>
      </c>
      <c r="F808" s="213" t="s">
        <v>4709</v>
      </c>
      <c r="G808" s="213" t="s">
        <v>5150</v>
      </c>
      <c r="H808" s="213" t="s">
        <v>4711</v>
      </c>
      <c r="I808" s="213" t="s">
        <v>4712</v>
      </c>
      <c r="J808" s="213" t="s">
        <v>4713</v>
      </c>
      <c r="K808" s="213" t="s">
        <v>9507</v>
      </c>
      <c r="L808" s="213" t="s">
        <v>10758</v>
      </c>
      <c r="M808" s="213" t="s">
        <v>10109</v>
      </c>
      <c r="P808" s="121"/>
    </row>
    <row r="809" spans="1:16">
      <c r="A809" s="213" t="s">
        <v>1680</v>
      </c>
      <c r="B809" s="213" t="s">
        <v>870</v>
      </c>
      <c r="C809" s="221" t="s">
        <v>869</v>
      </c>
      <c r="D809" s="221" t="s">
        <v>1076</v>
      </c>
      <c r="E809" s="221" t="s">
        <v>4708</v>
      </c>
      <c r="F809" s="213" t="s">
        <v>4709</v>
      </c>
      <c r="G809" s="213" t="s">
        <v>5150</v>
      </c>
      <c r="H809" s="213" t="s">
        <v>4711</v>
      </c>
      <c r="I809" s="213" t="s">
        <v>4712</v>
      </c>
      <c r="J809" s="213" t="s">
        <v>4713</v>
      </c>
      <c r="K809" s="213" t="s">
        <v>9507</v>
      </c>
      <c r="L809" s="213" t="s">
        <v>10758</v>
      </c>
      <c r="M809" s="213" t="s">
        <v>10109</v>
      </c>
      <c r="P809" s="121"/>
    </row>
    <row r="810" spans="1:16">
      <c r="A810" s="214" t="s">
        <v>2588</v>
      </c>
      <c r="B810" s="213" t="s">
        <v>1377</v>
      </c>
      <c r="C810" s="221" t="s">
        <v>1376</v>
      </c>
      <c r="D810" s="221" t="s">
        <v>1378</v>
      </c>
      <c r="E810" s="221" t="s">
        <v>5267</v>
      </c>
      <c r="F810" s="213" t="s">
        <v>5268</v>
      </c>
      <c r="G810" s="213" t="s">
        <v>5269</v>
      </c>
      <c r="H810" s="213" t="s">
        <v>5270</v>
      </c>
      <c r="I810" s="213" t="s">
        <v>5271</v>
      </c>
      <c r="J810" s="213" t="s">
        <v>5272</v>
      </c>
      <c r="K810" s="213" t="s">
        <v>9546</v>
      </c>
      <c r="L810" s="213" t="s">
        <v>10845</v>
      </c>
      <c r="M810" s="213" t="s">
        <v>10198</v>
      </c>
      <c r="P810" s="121"/>
    </row>
    <row r="811" spans="1:16">
      <c r="A811" s="213" t="s">
        <v>2589</v>
      </c>
      <c r="B811" s="213" t="s">
        <v>1377</v>
      </c>
      <c r="C811" s="221" t="s">
        <v>1376</v>
      </c>
      <c r="D811" s="221" t="s">
        <v>1378</v>
      </c>
      <c r="E811" s="221" t="s">
        <v>5267</v>
      </c>
      <c r="F811" s="213" t="s">
        <v>5268</v>
      </c>
      <c r="G811" s="213" t="s">
        <v>5269</v>
      </c>
      <c r="H811" s="213" t="s">
        <v>5270</v>
      </c>
      <c r="I811" s="213" t="s">
        <v>5271</v>
      </c>
      <c r="J811" s="213" t="s">
        <v>5272</v>
      </c>
      <c r="K811" s="213" t="s">
        <v>9546</v>
      </c>
      <c r="L811" s="213" t="s">
        <v>10845</v>
      </c>
      <c r="M811" s="213" t="s">
        <v>10198</v>
      </c>
      <c r="P811" s="121"/>
    </row>
    <row r="812" spans="1:16">
      <c r="A812" s="213" t="s">
        <v>2591</v>
      </c>
      <c r="B812" s="213" t="s">
        <v>1377</v>
      </c>
      <c r="C812" s="221" t="s">
        <v>1376</v>
      </c>
      <c r="D812" s="221" t="s">
        <v>1378</v>
      </c>
      <c r="E812" s="221" t="s">
        <v>5267</v>
      </c>
      <c r="F812" s="213" t="s">
        <v>5268</v>
      </c>
      <c r="G812" s="213" t="s">
        <v>5269</v>
      </c>
      <c r="H812" s="213" t="s">
        <v>5270</v>
      </c>
      <c r="I812" s="213" t="s">
        <v>5271</v>
      </c>
      <c r="J812" s="213" t="s">
        <v>5272</v>
      </c>
      <c r="K812" s="213" t="s">
        <v>9546</v>
      </c>
      <c r="L812" s="213" t="s">
        <v>10845</v>
      </c>
      <c r="M812" s="213" t="s">
        <v>10198</v>
      </c>
      <c r="P812" s="121"/>
    </row>
    <row r="813" spans="1:16">
      <c r="A813" s="213" t="s">
        <v>2592</v>
      </c>
      <c r="B813" s="213" t="s">
        <v>1377</v>
      </c>
      <c r="C813" s="221" t="s">
        <v>1376</v>
      </c>
      <c r="D813" s="221" t="s">
        <v>1378</v>
      </c>
      <c r="E813" s="221" t="s">
        <v>5267</v>
      </c>
      <c r="F813" s="213" t="s">
        <v>5268</v>
      </c>
      <c r="G813" s="213" t="s">
        <v>5269</v>
      </c>
      <c r="H813" s="213" t="s">
        <v>5270</v>
      </c>
      <c r="I813" s="213" t="s">
        <v>5271</v>
      </c>
      <c r="J813" s="213" t="s">
        <v>5272</v>
      </c>
      <c r="K813" s="213" t="s">
        <v>9546</v>
      </c>
      <c r="L813" s="213" t="s">
        <v>10845</v>
      </c>
      <c r="M813" s="213" t="s">
        <v>10198</v>
      </c>
      <c r="P813" s="121"/>
    </row>
    <row r="814" spans="1:16">
      <c r="A814" s="213" t="s">
        <v>2593</v>
      </c>
      <c r="B814" s="213" t="s">
        <v>1377</v>
      </c>
      <c r="C814" s="221" t="s">
        <v>1376</v>
      </c>
      <c r="D814" s="221" t="s">
        <v>1378</v>
      </c>
      <c r="E814" s="221" t="s">
        <v>5267</v>
      </c>
      <c r="F814" s="213" t="s">
        <v>5268</v>
      </c>
      <c r="G814" s="213" t="s">
        <v>5269</v>
      </c>
      <c r="H814" s="213" t="s">
        <v>5270</v>
      </c>
      <c r="I814" s="213" t="s">
        <v>5271</v>
      </c>
      <c r="J814" s="213" t="s">
        <v>5272</v>
      </c>
      <c r="K814" s="213" t="s">
        <v>9546</v>
      </c>
      <c r="L814" s="213" t="s">
        <v>10845</v>
      </c>
      <c r="M814" s="213" t="s">
        <v>10198</v>
      </c>
      <c r="P814" s="121"/>
    </row>
    <row r="815" spans="1:16">
      <c r="A815" s="213" t="s">
        <v>1687</v>
      </c>
      <c r="B815" s="213" t="s">
        <v>1377</v>
      </c>
      <c r="C815" s="221" t="s">
        <v>1376</v>
      </c>
      <c r="D815" s="221" t="s">
        <v>1378</v>
      </c>
      <c r="E815" s="221" t="s">
        <v>5267</v>
      </c>
      <c r="F815" s="213" t="s">
        <v>5268</v>
      </c>
      <c r="G815" s="213" t="s">
        <v>5269</v>
      </c>
      <c r="H815" s="213" t="s">
        <v>5270</v>
      </c>
      <c r="I815" s="213" t="s">
        <v>5271</v>
      </c>
      <c r="J815" s="213" t="s">
        <v>5272</v>
      </c>
      <c r="K815" s="213" t="s">
        <v>9546</v>
      </c>
      <c r="L815" s="213" t="s">
        <v>10845</v>
      </c>
      <c r="M815" s="213" t="s">
        <v>10198</v>
      </c>
      <c r="P815" s="121"/>
    </row>
    <row r="816" spans="1:16">
      <c r="A816" s="213" t="s">
        <v>1688</v>
      </c>
      <c r="B816" s="213" t="s">
        <v>1377</v>
      </c>
      <c r="C816" s="221" t="s">
        <v>1376</v>
      </c>
      <c r="D816" s="221" t="s">
        <v>1378</v>
      </c>
      <c r="E816" s="221" t="s">
        <v>5267</v>
      </c>
      <c r="F816" s="213" t="s">
        <v>5268</v>
      </c>
      <c r="G816" s="213" t="s">
        <v>5269</v>
      </c>
      <c r="H816" s="213" t="s">
        <v>5270</v>
      </c>
      <c r="I816" s="213" t="s">
        <v>5271</v>
      </c>
      <c r="J816" s="213" t="s">
        <v>5272</v>
      </c>
      <c r="K816" s="213" t="s">
        <v>9546</v>
      </c>
      <c r="L816" s="213" t="s">
        <v>10845</v>
      </c>
      <c r="M816" s="213" t="s">
        <v>10198</v>
      </c>
      <c r="P816" s="121"/>
    </row>
    <row r="817" spans="1:16">
      <c r="A817" s="213" t="s">
        <v>1690</v>
      </c>
      <c r="B817" s="213" t="s">
        <v>1222</v>
      </c>
      <c r="C817" s="221" t="s">
        <v>1221</v>
      </c>
      <c r="D817" s="221" t="s">
        <v>1223</v>
      </c>
      <c r="E817" s="221" t="s">
        <v>5162</v>
      </c>
      <c r="F817" s="213" t="s">
        <v>5163</v>
      </c>
      <c r="G817" s="213" t="s">
        <v>5164</v>
      </c>
      <c r="H817" s="213" t="s">
        <v>5165</v>
      </c>
      <c r="I817" s="213" t="s">
        <v>5166</v>
      </c>
      <c r="J817" s="213" t="s">
        <v>5167</v>
      </c>
      <c r="K817" s="222" t="s">
        <v>9531</v>
      </c>
      <c r="L817" s="213" t="s">
        <v>10829</v>
      </c>
      <c r="M817" s="213" t="s">
        <v>10198</v>
      </c>
      <c r="P817" s="121"/>
    </row>
    <row r="818" spans="1:16">
      <c r="A818" s="213" t="s">
        <v>1692</v>
      </c>
      <c r="B818" s="213" t="s">
        <v>1222</v>
      </c>
      <c r="C818" s="221" t="s">
        <v>1221</v>
      </c>
      <c r="D818" s="221" t="s">
        <v>1223</v>
      </c>
      <c r="E818" s="221" t="s">
        <v>5162</v>
      </c>
      <c r="F818" s="213" t="s">
        <v>5163</v>
      </c>
      <c r="G818" s="213" t="s">
        <v>5164</v>
      </c>
      <c r="H818" s="213" t="s">
        <v>5165</v>
      </c>
      <c r="I818" s="213" t="s">
        <v>5166</v>
      </c>
      <c r="J818" s="213" t="s">
        <v>5167</v>
      </c>
      <c r="K818" s="222" t="s">
        <v>9531</v>
      </c>
      <c r="L818" s="213" t="s">
        <v>10829</v>
      </c>
      <c r="M818" s="213" t="s">
        <v>10198</v>
      </c>
      <c r="P818" s="121"/>
    </row>
    <row r="819" spans="1:16">
      <c r="A819" s="213" t="s">
        <v>1694</v>
      </c>
      <c r="B819" s="213" t="s">
        <v>1240</v>
      </c>
      <c r="C819" s="221" t="s">
        <v>1239</v>
      </c>
      <c r="D819" s="221" t="s">
        <v>1241</v>
      </c>
      <c r="E819" s="221" t="s">
        <v>5177</v>
      </c>
      <c r="F819" s="213" t="s">
        <v>5178</v>
      </c>
      <c r="G819" s="213" t="s">
        <v>5179</v>
      </c>
      <c r="H819" s="213" t="s">
        <v>5180</v>
      </c>
      <c r="I819" s="213" t="s">
        <v>5181</v>
      </c>
      <c r="J819" s="213" t="s">
        <v>5182</v>
      </c>
      <c r="K819" s="213" t="s">
        <v>9533</v>
      </c>
      <c r="L819" s="213" t="s">
        <v>10831</v>
      </c>
      <c r="M819" s="213" t="s">
        <v>10184</v>
      </c>
      <c r="P819" s="121"/>
    </row>
    <row r="820" spans="1:16">
      <c r="A820" s="213" t="s">
        <v>1696</v>
      </c>
      <c r="B820" s="213" t="s">
        <v>1240</v>
      </c>
      <c r="C820" s="221" t="s">
        <v>1239</v>
      </c>
      <c r="D820" s="221" t="s">
        <v>1241</v>
      </c>
      <c r="E820" s="221" t="s">
        <v>5177</v>
      </c>
      <c r="F820" s="213" t="s">
        <v>5178</v>
      </c>
      <c r="G820" s="213" t="s">
        <v>5179</v>
      </c>
      <c r="H820" s="213" t="s">
        <v>5180</v>
      </c>
      <c r="I820" s="213" t="s">
        <v>5181</v>
      </c>
      <c r="J820" s="213" t="s">
        <v>5182</v>
      </c>
      <c r="K820" s="213" t="s">
        <v>9533</v>
      </c>
      <c r="L820" s="213" t="s">
        <v>10831</v>
      </c>
      <c r="M820" s="213" t="s">
        <v>10184</v>
      </c>
      <c r="P820" s="121"/>
    </row>
    <row r="821" spans="1:16">
      <c r="A821" s="213" t="s">
        <v>5488</v>
      </c>
      <c r="B821" s="213" t="s">
        <v>1377</v>
      </c>
      <c r="C821" s="221" t="s">
        <v>1376</v>
      </c>
      <c r="D821" s="221" t="s">
        <v>1378</v>
      </c>
      <c r="E821" s="221" t="s">
        <v>5267</v>
      </c>
      <c r="F821" s="213" t="s">
        <v>5268</v>
      </c>
      <c r="G821" s="213" t="s">
        <v>5269</v>
      </c>
      <c r="H821" s="213" t="s">
        <v>5270</v>
      </c>
      <c r="I821" s="213" t="s">
        <v>5271</v>
      </c>
      <c r="J821" s="213" t="s">
        <v>5272</v>
      </c>
      <c r="K821" s="213" t="s">
        <v>9546</v>
      </c>
      <c r="L821" s="213" t="s">
        <v>10845</v>
      </c>
      <c r="M821" s="213" t="s">
        <v>10198</v>
      </c>
      <c r="P821" s="121"/>
    </row>
    <row r="822" spans="1:16">
      <c r="A822" s="218" t="s">
        <v>5490</v>
      </c>
      <c r="B822" s="213" t="s">
        <v>1377</v>
      </c>
      <c r="C822" s="221" t="s">
        <v>1376</v>
      </c>
      <c r="D822" s="221" t="s">
        <v>1378</v>
      </c>
      <c r="E822" s="221" t="s">
        <v>5267</v>
      </c>
      <c r="F822" s="213" t="s">
        <v>5268</v>
      </c>
      <c r="G822" s="213" t="s">
        <v>5269</v>
      </c>
      <c r="H822" s="213" t="s">
        <v>5270</v>
      </c>
      <c r="I822" s="213" t="s">
        <v>5271</v>
      </c>
      <c r="J822" s="213" t="s">
        <v>5272</v>
      </c>
      <c r="K822" s="213" t="s">
        <v>9546</v>
      </c>
      <c r="L822" s="213" t="s">
        <v>10845</v>
      </c>
      <c r="M822" s="213" t="s">
        <v>10198</v>
      </c>
      <c r="P822" s="121"/>
    </row>
    <row r="823" spans="1:16">
      <c r="A823" s="213" t="s">
        <v>1698</v>
      </c>
      <c r="B823" s="213" t="s">
        <v>888</v>
      </c>
      <c r="C823" s="221" t="s">
        <v>887</v>
      </c>
      <c r="D823" s="221" t="s">
        <v>1244</v>
      </c>
      <c r="E823" s="221" t="s">
        <v>4749</v>
      </c>
      <c r="F823" s="213" t="s">
        <v>4750</v>
      </c>
      <c r="G823" s="213" t="s">
        <v>5183</v>
      </c>
      <c r="H823" s="213" t="s">
        <v>4752</v>
      </c>
      <c r="I823" s="213" t="s">
        <v>4753</v>
      </c>
      <c r="J823" s="213" t="s">
        <v>4754</v>
      </c>
      <c r="K823" s="213" t="s">
        <v>9514</v>
      </c>
      <c r="L823" s="213" t="s">
        <v>10765</v>
      </c>
      <c r="M823" s="213" t="s">
        <v>10116</v>
      </c>
      <c r="P823" s="121"/>
    </row>
    <row r="824" spans="1:16">
      <c r="A824" s="213" t="s">
        <v>2594</v>
      </c>
      <c r="B824" s="213" t="s">
        <v>1247</v>
      </c>
      <c r="C824" s="221" t="s">
        <v>1246</v>
      </c>
      <c r="D824" s="221" t="s">
        <v>1248</v>
      </c>
      <c r="E824" s="221" t="s">
        <v>5188</v>
      </c>
      <c r="F824" s="213" t="s">
        <v>5189</v>
      </c>
      <c r="G824" s="213" t="s">
        <v>5190</v>
      </c>
      <c r="H824" s="213" t="s">
        <v>5188</v>
      </c>
      <c r="I824" s="213" t="s">
        <v>5191</v>
      </c>
      <c r="J824" s="213" t="s">
        <v>5192</v>
      </c>
      <c r="K824" s="213" t="s">
        <v>9534</v>
      </c>
      <c r="L824" s="213" t="s">
        <v>10832</v>
      </c>
      <c r="M824" s="213" t="s">
        <v>10186</v>
      </c>
      <c r="P824" s="121"/>
    </row>
    <row r="825" spans="1:16">
      <c r="A825" s="214" t="s">
        <v>5491</v>
      </c>
      <c r="B825" s="213" t="s">
        <v>1384</v>
      </c>
      <c r="C825" s="221" t="s">
        <v>1383</v>
      </c>
      <c r="D825" s="221" t="s">
        <v>1385</v>
      </c>
      <c r="E825" s="221" t="s">
        <v>5294</v>
      </c>
      <c r="F825" s="213" t="s">
        <v>5295</v>
      </c>
      <c r="G825" s="213" t="s">
        <v>5296</v>
      </c>
      <c r="H825" s="213" t="s">
        <v>5297</v>
      </c>
      <c r="I825" s="213" t="s">
        <v>5298</v>
      </c>
      <c r="J825" s="213" t="s">
        <v>5299</v>
      </c>
      <c r="K825" s="213" t="s">
        <v>9550</v>
      </c>
      <c r="L825" s="213" t="s">
        <v>10849</v>
      </c>
      <c r="M825" s="213" t="s">
        <v>10232</v>
      </c>
      <c r="P825" s="121"/>
    </row>
    <row r="826" spans="1:16">
      <c r="A826" s="213" t="s">
        <v>5493</v>
      </c>
      <c r="B826" s="213" t="s">
        <v>1384</v>
      </c>
      <c r="C826" s="221" t="s">
        <v>1383</v>
      </c>
      <c r="D826" s="221" t="s">
        <v>1385</v>
      </c>
      <c r="E826" s="221" t="s">
        <v>5294</v>
      </c>
      <c r="F826" s="213" t="s">
        <v>5295</v>
      </c>
      <c r="G826" s="213" t="s">
        <v>5296</v>
      </c>
      <c r="H826" s="213" t="s">
        <v>5297</v>
      </c>
      <c r="I826" s="213" t="s">
        <v>5298</v>
      </c>
      <c r="J826" s="213" t="s">
        <v>5305</v>
      </c>
      <c r="K826" s="213" t="s">
        <v>9550</v>
      </c>
      <c r="L826" s="213" t="s">
        <v>10849</v>
      </c>
      <c r="M826" s="213" t="s">
        <v>10232</v>
      </c>
      <c r="P826" s="121"/>
    </row>
    <row r="827" spans="1:16">
      <c r="A827" s="213" t="s">
        <v>1700</v>
      </c>
      <c r="B827" s="213" t="s">
        <v>1704</v>
      </c>
      <c r="C827" s="221" t="s">
        <v>1703</v>
      </c>
      <c r="D827" s="221" t="s">
        <v>1705</v>
      </c>
      <c r="E827" s="221" t="s">
        <v>4714</v>
      </c>
      <c r="F827" s="213" t="s">
        <v>4715</v>
      </c>
      <c r="G827" s="213" t="s">
        <v>5467</v>
      </c>
      <c r="H827" s="213" t="s">
        <v>4717</v>
      </c>
      <c r="I827" s="213" t="s">
        <v>4718</v>
      </c>
      <c r="J827" s="213" t="s">
        <v>4719</v>
      </c>
      <c r="K827" s="213" t="s">
        <v>9508</v>
      </c>
      <c r="L827" s="213" t="s">
        <v>10759</v>
      </c>
      <c r="M827" s="213" t="s">
        <v>10110</v>
      </c>
      <c r="P827" s="121"/>
    </row>
    <row r="828" spans="1:16">
      <c r="A828" s="213" t="s">
        <v>1706</v>
      </c>
      <c r="B828" s="213" t="s">
        <v>1377</v>
      </c>
      <c r="C828" s="221" t="s">
        <v>1376</v>
      </c>
      <c r="D828" s="221" t="s">
        <v>1378</v>
      </c>
      <c r="E828" s="221" t="s">
        <v>5267</v>
      </c>
      <c r="F828" s="213" t="s">
        <v>5268</v>
      </c>
      <c r="G828" s="213" t="s">
        <v>5269</v>
      </c>
      <c r="H828" s="213" t="s">
        <v>5270</v>
      </c>
      <c r="I828" s="213" t="s">
        <v>5271</v>
      </c>
      <c r="J828" s="213" t="s">
        <v>5272</v>
      </c>
      <c r="K828" s="213" t="s">
        <v>9546</v>
      </c>
      <c r="L828" s="213" t="s">
        <v>10845</v>
      </c>
      <c r="M828" s="213" t="s">
        <v>10198</v>
      </c>
      <c r="P828" s="121"/>
    </row>
    <row r="829" spans="1:16">
      <c r="A829" s="213" t="s">
        <v>2596</v>
      </c>
      <c r="B829" s="213" t="s">
        <v>2856</v>
      </c>
      <c r="C829" s="221" t="s">
        <v>2966</v>
      </c>
      <c r="D829" s="221" t="s">
        <v>3021</v>
      </c>
      <c r="E829" s="221" t="s">
        <v>5495</v>
      </c>
      <c r="F829" s="213" t="s">
        <v>5496</v>
      </c>
      <c r="G829" s="213" t="s">
        <v>5497</v>
      </c>
      <c r="H829" s="213" t="s">
        <v>5495</v>
      </c>
      <c r="I829" s="213" t="s">
        <v>5498</v>
      </c>
      <c r="J829" s="213" t="s">
        <v>5499</v>
      </c>
      <c r="K829" s="213" t="s">
        <v>9578</v>
      </c>
      <c r="L829" s="213" t="s">
        <v>10874</v>
      </c>
      <c r="M829" s="213" t="s">
        <v>10233</v>
      </c>
      <c r="P829" s="121"/>
    </row>
    <row r="830" spans="1:16">
      <c r="A830" s="213" t="s">
        <v>2598</v>
      </c>
      <c r="B830" s="213" t="s">
        <v>2857</v>
      </c>
      <c r="C830" s="221" t="s">
        <v>2967</v>
      </c>
      <c r="D830" s="221" t="s">
        <v>3022</v>
      </c>
      <c r="E830" s="221" t="s">
        <v>5500</v>
      </c>
      <c r="F830" s="213" t="s">
        <v>5501</v>
      </c>
      <c r="G830" s="213" t="s">
        <v>5502</v>
      </c>
      <c r="H830" s="213" t="s">
        <v>5503</v>
      </c>
      <c r="I830" s="213" t="s">
        <v>5504</v>
      </c>
      <c r="J830" s="213" t="s">
        <v>5505</v>
      </c>
      <c r="K830" s="213" t="s">
        <v>9579</v>
      </c>
      <c r="L830" s="213" t="s">
        <v>10875</v>
      </c>
      <c r="M830" s="213" t="s">
        <v>10234</v>
      </c>
      <c r="P830" s="121"/>
    </row>
    <row r="831" spans="1:16">
      <c r="A831" s="213" t="s">
        <v>2600</v>
      </c>
      <c r="B831" s="213" t="s">
        <v>2885</v>
      </c>
      <c r="C831" s="221" t="s">
        <v>2968</v>
      </c>
      <c r="D831" s="221" t="s">
        <v>3023</v>
      </c>
      <c r="E831" s="221" t="s">
        <v>5506</v>
      </c>
      <c r="F831" s="213" t="s">
        <v>5507</v>
      </c>
      <c r="G831" s="213" t="s">
        <v>5508</v>
      </c>
      <c r="H831" s="213" t="s">
        <v>5506</v>
      </c>
      <c r="I831" s="213" t="s">
        <v>5509</v>
      </c>
      <c r="J831" s="213" t="s">
        <v>5510</v>
      </c>
      <c r="K831" s="213" t="s">
        <v>9580</v>
      </c>
      <c r="L831" s="213" t="s">
        <v>10876</v>
      </c>
      <c r="M831" s="213" t="s">
        <v>10235</v>
      </c>
      <c r="P831" s="121"/>
    </row>
    <row r="832" spans="1:16">
      <c r="A832" s="213" t="s">
        <v>5511</v>
      </c>
      <c r="B832" s="213" t="s">
        <v>1377</v>
      </c>
      <c r="C832" s="221" t="s">
        <v>1376</v>
      </c>
      <c r="D832" s="221" t="s">
        <v>1378</v>
      </c>
      <c r="E832" s="221" t="s">
        <v>5267</v>
      </c>
      <c r="F832" s="213" t="s">
        <v>5268</v>
      </c>
      <c r="G832" s="213" t="s">
        <v>5269</v>
      </c>
      <c r="H832" s="213" t="s">
        <v>5270</v>
      </c>
      <c r="I832" s="213" t="s">
        <v>5271</v>
      </c>
      <c r="J832" s="213" t="s">
        <v>5301</v>
      </c>
      <c r="K832" s="213" t="s">
        <v>9546</v>
      </c>
      <c r="L832" s="213" t="s">
        <v>10845</v>
      </c>
      <c r="M832" s="213" t="s">
        <v>10198</v>
      </c>
      <c r="P832" s="121"/>
    </row>
    <row r="833" spans="1:16">
      <c r="A833" s="213" t="s">
        <v>5512</v>
      </c>
      <c r="B833" s="213" t="s">
        <v>1377</v>
      </c>
      <c r="C833" s="221" t="s">
        <v>1376</v>
      </c>
      <c r="D833" s="221" t="s">
        <v>1378</v>
      </c>
      <c r="E833" s="221" t="s">
        <v>5267</v>
      </c>
      <c r="F833" s="213" t="s">
        <v>5268</v>
      </c>
      <c r="G833" s="213" t="s">
        <v>5269</v>
      </c>
      <c r="H833" s="213" t="s">
        <v>5270</v>
      </c>
      <c r="I833" s="213" t="s">
        <v>5271</v>
      </c>
      <c r="J833" s="213" t="s">
        <v>5301</v>
      </c>
      <c r="K833" s="213" t="s">
        <v>9546</v>
      </c>
      <c r="L833" s="213" t="s">
        <v>10845</v>
      </c>
      <c r="M833" s="213" t="s">
        <v>10198</v>
      </c>
      <c r="P833" s="121"/>
    </row>
    <row r="834" spans="1:16">
      <c r="A834" s="213" t="s">
        <v>5513</v>
      </c>
      <c r="B834" s="213" t="s">
        <v>888</v>
      </c>
      <c r="C834" s="221" t="s">
        <v>887</v>
      </c>
      <c r="D834" s="221" t="s">
        <v>1244</v>
      </c>
      <c r="E834" s="221" t="s">
        <v>4749</v>
      </c>
      <c r="F834" s="213" t="s">
        <v>4750</v>
      </c>
      <c r="G834" s="213" t="s">
        <v>5183</v>
      </c>
      <c r="H834" s="213" t="s">
        <v>4752</v>
      </c>
      <c r="I834" s="213" t="s">
        <v>4753</v>
      </c>
      <c r="J834" s="213" t="s">
        <v>5213</v>
      </c>
      <c r="K834" s="213" t="s">
        <v>9514</v>
      </c>
      <c r="L834" s="213" t="s">
        <v>10765</v>
      </c>
      <c r="M834" s="213" t="s">
        <v>10116</v>
      </c>
      <c r="P834" s="121"/>
    </row>
    <row r="835" spans="1:16">
      <c r="A835" s="213" t="s">
        <v>2766</v>
      </c>
      <c r="B835" s="213" t="s">
        <v>1247</v>
      </c>
      <c r="C835" s="221" t="s">
        <v>1246</v>
      </c>
      <c r="D835" s="221" t="s">
        <v>1248</v>
      </c>
      <c r="E835" s="221" t="s">
        <v>5188</v>
      </c>
      <c r="F835" s="213" t="s">
        <v>5189</v>
      </c>
      <c r="G835" s="213" t="s">
        <v>5190</v>
      </c>
      <c r="H835" s="213" t="s">
        <v>5188</v>
      </c>
      <c r="I835" s="213" t="s">
        <v>5191</v>
      </c>
      <c r="J835" s="213" t="s">
        <v>5192</v>
      </c>
      <c r="K835" s="213" t="s">
        <v>9534</v>
      </c>
      <c r="L835" s="213" t="s">
        <v>10832</v>
      </c>
      <c r="M835" s="213" t="s">
        <v>10186</v>
      </c>
      <c r="P835" s="121"/>
    </row>
    <row r="836" spans="1:16">
      <c r="A836" s="213" t="s">
        <v>5514</v>
      </c>
      <c r="B836" s="213" t="s">
        <v>1384</v>
      </c>
      <c r="C836" s="221" t="s">
        <v>1383</v>
      </c>
      <c r="D836" s="221" t="s">
        <v>1385</v>
      </c>
      <c r="E836" s="221" t="s">
        <v>5294</v>
      </c>
      <c r="F836" s="213" t="s">
        <v>5295</v>
      </c>
      <c r="G836" s="213" t="s">
        <v>5296</v>
      </c>
      <c r="H836" s="213" t="s">
        <v>5297</v>
      </c>
      <c r="I836" s="213" t="s">
        <v>5298</v>
      </c>
      <c r="J836" s="213" t="s">
        <v>5305</v>
      </c>
      <c r="K836" s="213" t="s">
        <v>9550</v>
      </c>
      <c r="L836" s="213" t="s">
        <v>10849</v>
      </c>
      <c r="M836" s="213" t="s">
        <v>10232</v>
      </c>
      <c r="P836" s="121"/>
    </row>
    <row r="837" spans="1:16">
      <c r="A837" s="213" t="s">
        <v>5515</v>
      </c>
      <c r="B837" s="213" t="s">
        <v>1384</v>
      </c>
      <c r="C837" s="221" t="s">
        <v>1383</v>
      </c>
      <c r="D837" s="221" t="s">
        <v>1385</v>
      </c>
      <c r="E837" s="221" t="s">
        <v>5294</v>
      </c>
      <c r="F837" s="213" t="s">
        <v>5295</v>
      </c>
      <c r="G837" s="213" t="s">
        <v>5296</v>
      </c>
      <c r="H837" s="213" t="s">
        <v>5297</v>
      </c>
      <c r="I837" s="213" t="s">
        <v>5298</v>
      </c>
      <c r="J837" s="213" t="s">
        <v>5305</v>
      </c>
      <c r="K837" s="222" t="s">
        <v>9550</v>
      </c>
      <c r="L837" s="213" t="s">
        <v>10849</v>
      </c>
      <c r="M837" s="213" t="s">
        <v>10232</v>
      </c>
      <c r="P837" s="121"/>
    </row>
    <row r="838" spans="1:16">
      <c r="A838" s="213" t="s">
        <v>5516</v>
      </c>
      <c r="B838" s="213" t="s">
        <v>1704</v>
      </c>
      <c r="C838" s="221" t="s">
        <v>1703</v>
      </c>
      <c r="D838" s="221" t="s">
        <v>1705</v>
      </c>
      <c r="E838" s="221" t="s">
        <v>4714</v>
      </c>
      <c r="F838" s="213" t="s">
        <v>4715</v>
      </c>
      <c r="G838" s="213" t="s">
        <v>5467</v>
      </c>
      <c r="H838" s="213" t="s">
        <v>4717</v>
      </c>
      <c r="I838" s="213" t="s">
        <v>4718</v>
      </c>
      <c r="J838" s="213" t="s">
        <v>5517</v>
      </c>
      <c r="K838" s="213" t="s">
        <v>9508</v>
      </c>
      <c r="L838" s="213" t="s">
        <v>10759</v>
      </c>
      <c r="M838" s="213" t="s">
        <v>10110</v>
      </c>
      <c r="P838" s="121"/>
    </row>
    <row r="839" spans="1:16">
      <c r="A839" s="219" t="s">
        <v>2767</v>
      </c>
      <c r="B839" s="213" t="s">
        <v>1377</v>
      </c>
      <c r="C839" s="221" t="s">
        <v>1376</v>
      </c>
      <c r="D839" s="221" t="s">
        <v>1378</v>
      </c>
      <c r="E839" s="221" t="s">
        <v>5267</v>
      </c>
      <c r="F839" s="213" t="s">
        <v>5268</v>
      </c>
      <c r="G839" s="213" t="s">
        <v>5269</v>
      </c>
      <c r="H839" s="213" t="s">
        <v>5270</v>
      </c>
      <c r="I839" s="213" t="s">
        <v>5271</v>
      </c>
      <c r="J839" s="213" t="s">
        <v>5301</v>
      </c>
      <c r="K839" s="213" t="s">
        <v>9546</v>
      </c>
      <c r="L839" s="213" t="s">
        <v>10845</v>
      </c>
      <c r="M839" s="213" t="s">
        <v>10198</v>
      </c>
      <c r="P839" s="121"/>
    </row>
    <row r="840" spans="1:16">
      <c r="A840" s="213" t="s">
        <v>2768</v>
      </c>
      <c r="B840" s="213" t="s">
        <v>2856</v>
      </c>
      <c r="C840" s="221" t="s">
        <v>2966</v>
      </c>
      <c r="D840" s="221" t="s">
        <v>3021</v>
      </c>
      <c r="E840" s="221" t="s">
        <v>5495</v>
      </c>
      <c r="F840" s="213" t="s">
        <v>5496</v>
      </c>
      <c r="G840" s="213" t="s">
        <v>5497</v>
      </c>
      <c r="H840" s="213" t="s">
        <v>5495</v>
      </c>
      <c r="I840" s="213" t="s">
        <v>5498</v>
      </c>
      <c r="J840" s="213" t="s">
        <v>5499</v>
      </c>
      <c r="K840" s="213" t="s">
        <v>9578</v>
      </c>
      <c r="L840" s="213" t="s">
        <v>10874</v>
      </c>
      <c r="M840" s="213" t="s">
        <v>10233</v>
      </c>
      <c r="P840" s="121"/>
    </row>
    <row r="841" spans="1:16">
      <c r="A841" s="213" t="s">
        <v>2769</v>
      </c>
      <c r="B841" s="213" t="s">
        <v>2857</v>
      </c>
      <c r="C841" s="221" t="s">
        <v>2967</v>
      </c>
      <c r="D841" s="221" t="s">
        <v>3022</v>
      </c>
      <c r="E841" s="221" t="s">
        <v>5500</v>
      </c>
      <c r="F841" s="213" t="s">
        <v>5501</v>
      </c>
      <c r="G841" s="213" t="s">
        <v>5502</v>
      </c>
      <c r="H841" s="213" t="s">
        <v>5503</v>
      </c>
      <c r="I841" s="213" t="s">
        <v>5504</v>
      </c>
      <c r="J841" s="213" t="s">
        <v>5505</v>
      </c>
      <c r="K841" s="213" t="s">
        <v>9579</v>
      </c>
      <c r="L841" s="213" t="s">
        <v>10875</v>
      </c>
      <c r="M841" s="213" t="s">
        <v>10234</v>
      </c>
      <c r="P841" s="121"/>
    </row>
    <row r="842" spans="1:16">
      <c r="A842" s="213" t="s">
        <v>2770</v>
      </c>
      <c r="B842" s="213" t="s">
        <v>2885</v>
      </c>
      <c r="C842" s="221" t="s">
        <v>2968</v>
      </c>
      <c r="D842" s="221" t="s">
        <v>3023</v>
      </c>
      <c r="E842" s="221" t="s">
        <v>5506</v>
      </c>
      <c r="F842" s="213" t="s">
        <v>5507</v>
      </c>
      <c r="G842" s="213" t="s">
        <v>5508</v>
      </c>
      <c r="H842" s="213" t="s">
        <v>5506</v>
      </c>
      <c r="I842" s="213" t="s">
        <v>5509</v>
      </c>
      <c r="J842" s="213" t="s">
        <v>5510</v>
      </c>
      <c r="K842" s="213" t="s">
        <v>9580</v>
      </c>
      <c r="L842" s="213" t="s">
        <v>10876</v>
      </c>
      <c r="M842" s="213" t="s">
        <v>10235</v>
      </c>
      <c r="P842" s="121"/>
    </row>
    <row r="843" spans="1:16">
      <c r="A843" s="213" t="s">
        <v>2602</v>
      </c>
      <c r="B843" s="213" t="s">
        <v>1234</v>
      </c>
      <c r="C843" s="221" t="s">
        <v>1233</v>
      </c>
      <c r="D843" s="221" t="s">
        <v>1235</v>
      </c>
      <c r="E843" s="221" t="s">
        <v>5079</v>
      </c>
      <c r="F843" s="213" t="s">
        <v>5080</v>
      </c>
      <c r="G843" s="213" t="s">
        <v>5081</v>
      </c>
      <c r="H843" s="213" t="s">
        <v>5082</v>
      </c>
      <c r="I843" s="213" t="s">
        <v>5083</v>
      </c>
      <c r="J843" s="213" t="s">
        <v>5174</v>
      </c>
      <c r="K843" s="213" t="s">
        <v>9520</v>
      </c>
      <c r="L843" s="213" t="s">
        <v>10818</v>
      </c>
      <c r="M843" s="213" t="s">
        <v>10170</v>
      </c>
      <c r="P843" s="121"/>
    </row>
    <row r="844" spans="1:16">
      <c r="A844" s="213" t="s">
        <v>2603</v>
      </c>
      <c r="B844" s="213" t="s">
        <v>1377</v>
      </c>
      <c r="C844" s="221" t="s">
        <v>1376</v>
      </c>
      <c r="D844" s="221" t="s">
        <v>1378</v>
      </c>
      <c r="E844" s="221" t="s">
        <v>5267</v>
      </c>
      <c r="F844" s="213" t="s">
        <v>5268</v>
      </c>
      <c r="G844" s="213" t="s">
        <v>5269</v>
      </c>
      <c r="H844" s="213" t="s">
        <v>5270</v>
      </c>
      <c r="I844" s="213" t="s">
        <v>5271</v>
      </c>
      <c r="J844" s="213" t="s">
        <v>5272</v>
      </c>
      <c r="K844" s="213" t="s">
        <v>9546</v>
      </c>
      <c r="L844" s="213" t="s">
        <v>10845</v>
      </c>
      <c r="M844" s="213" t="s">
        <v>10198</v>
      </c>
      <c r="P844" s="121"/>
    </row>
    <row r="845" spans="1:16">
      <c r="A845" s="213" t="s">
        <v>1707</v>
      </c>
      <c r="B845" s="213" t="s">
        <v>1377</v>
      </c>
      <c r="C845" s="221" t="s">
        <v>1376</v>
      </c>
      <c r="D845" s="221" t="s">
        <v>1378</v>
      </c>
      <c r="E845" s="221" t="s">
        <v>5267</v>
      </c>
      <c r="F845" s="213" t="s">
        <v>5268</v>
      </c>
      <c r="G845" s="213" t="s">
        <v>5269</v>
      </c>
      <c r="H845" s="213" t="s">
        <v>5270</v>
      </c>
      <c r="I845" s="213" t="s">
        <v>5271</v>
      </c>
      <c r="J845" s="213" t="s">
        <v>5272</v>
      </c>
      <c r="K845" s="213" t="s">
        <v>9546</v>
      </c>
      <c r="L845" s="213" t="s">
        <v>10845</v>
      </c>
      <c r="M845" s="213" t="s">
        <v>10198</v>
      </c>
      <c r="P845" s="121"/>
    </row>
    <row r="846" spans="1:16">
      <c r="A846" s="213" t="s">
        <v>1708</v>
      </c>
      <c r="B846" s="213" t="s">
        <v>1377</v>
      </c>
      <c r="C846" s="221" t="s">
        <v>1376</v>
      </c>
      <c r="D846" s="221" t="s">
        <v>1378</v>
      </c>
      <c r="E846" s="221" t="s">
        <v>5267</v>
      </c>
      <c r="F846" s="213" t="s">
        <v>5268</v>
      </c>
      <c r="G846" s="213" t="s">
        <v>5269</v>
      </c>
      <c r="H846" s="213" t="s">
        <v>5270</v>
      </c>
      <c r="I846" s="213" t="s">
        <v>5271</v>
      </c>
      <c r="J846" s="213" t="s">
        <v>5272</v>
      </c>
      <c r="K846" s="213" t="s">
        <v>9546</v>
      </c>
      <c r="L846" s="213" t="s">
        <v>10845</v>
      </c>
      <c r="M846" s="213" t="s">
        <v>10198</v>
      </c>
      <c r="P846" s="121"/>
    </row>
    <row r="847" spans="1:16">
      <c r="A847" s="213" t="s">
        <v>2605</v>
      </c>
      <c r="B847" s="213" t="s">
        <v>2856</v>
      </c>
      <c r="C847" s="221" t="s">
        <v>2966</v>
      </c>
      <c r="D847" s="221" t="s">
        <v>3021</v>
      </c>
      <c r="E847" s="221" t="s">
        <v>5495</v>
      </c>
      <c r="F847" s="213" t="s">
        <v>5496</v>
      </c>
      <c r="G847" s="213" t="s">
        <v>5497</v>
      </c>
      <c r="H847" s="213" t="s">
        <v>5495</v>
      </c>
      <c r="I847" s="213" t="s">
        <v>5498</v>
      </c>
      <c r="J847" s="213" t="s">
        <v>5499</v>
      </c>
      <c r="K847" s="213" t="s">
        <v>9578</v>
      </c>
      <c r="L847" s="213" t="s">
        <v>10874</v>
      </c>
      <c r="M847" s="213" t="s">
        <v>10233</v>
      </c>
      <c r="P847" s="121"/>
    </row>
    <row r="848" spans="1:16">
      <c r="A848" s="213" t="s">
        <v>2606</v>
      </c>
      <c r="B848" s="213" t="s">
        <v>2857</v>
      </c>
      <c r="C848" s="221" t="s">
        <v>2967</v>
      </c>
      <c r="D848" s="221" t="s">
        <v>3022</v>
      </c>
      <c r="E848" s="221" t="s">
        <v>5500</v>
      </c>
      <c r="F848" s="213" t="s">
        <v>5501</v>
      </c>
      <c r="G848" s="213" t="s">
        <v>5502</v>
      </c>
      <c r="H848" s="213" t="s">
        <v>5503</v>
      </c>
      <c r="I848" s="213" t="s">
        <v>5504</v>
      </c>
      <c r="J848" s="213" t="s">
        <v>5505</v>
      </c>
      <c r="K848" s="213" t="s">
        <v>9579</v>
      </c>
      <c r="L848" s="213" t="s">
        <v>10875</v>
      </c>
      <c r="M848" s="213" t="s">
        <v>10234</v>
      </c>
      <c r="P848" s="121"/>
    </row>
    <row r="849" spans="1:16">
      <c r="A849" s="213" t="s">
        <v>2607</v>
      </c>
      <c r="B849" s="213" t="s">
        <v>2885</v>
      </c>
      <c r="C849" s="221" t="s">
        <v>2968</v>
      </c>
      <c r="D849" s="221" t="s">
        <v>3023</v>
      </c>
      <c r="E849" s="221" t="s">
        <v>5506</v>
      </c>
      <c r="F849" s="213" t="s">
        <v>5507</v>
      </c>
      <c r="G849" s="213" t="s">
        <v>5508</v>
      </c>
      <c r="H849" s="213" t="s">
        <v>5506</v>
      </c>
      <c r="I849" s="213" t="s">
        <v>5509</v>
      </c>
      <c r="J849" s="213" t="s">
        <v>5510</v>
      </c>
      <c r="K849" s="213" t="s">
        <v>9580</v>
      </c>
      <c r="L849" s="213" t="s">
        <v>10876</v>
      </c>
      <c r="M849" s="213" t="s">
        <v>10235</v>
      </c>
      <c r="P849" s="121"/>
    </row>
    <row r="850" spans="1:16">
      <c r="A850" s="213" t="s">
        <v>2771</v>
      </c>
      <c r="B850" s="213" t="s">
        <v>1234</v>
      </c>
      <c r="C850" s="221" t="s">
        <v>1233</v>
      </c>
      <c r="D850" s="221" t="s">
        <v>1235</v>
      </c>
      <c r="E850" s="221" t="s">
        <v>5079</v>
      </c>
      <c r="F850" s="213" t="s">
        <v>5080</v>
      </c>
      <c r="G850" s="213" t="s">
        <v>5081</v>
      </c>
      <c r="H850" s="213" t="s">
        <v>5082</v>
      </c>
      <c r="I850" s="213" t="s">
        <v>5083</v>
      </c>
      <c r="J850" s="213" t="s">
        <v>5174</v>
      </c>
      <c r="K850" s="213" t="s">
        <v>9520</v>
      </c>
      <c r="L850" s="213" t="s">
        <v>10818</v>
      </c>
      <c r="M850" s="213" t="s">
        <v>10170</v>
      </c>
      <c r="P850" s="121"/>
    </row>
    <row r="851" spans="1:16">
      <c r="A851" s="213" t="s">
        <v>2772</v>
      </c>
      <c r="B851" s="213" t="s">
        <v>1377</v>
      </c>
      <c r="C851" s="221" t="s">
        <v>1376</v>
      </c>
      <c r="D851" s="221" t="s">
        <v>1378</v>
      </c>
      <c r="E851" s="221" t="s">
        <v>5267</v>
      </c>
      <c r="F851" s="213" t="s">
        <v>5268</v>
      </c>
      <c r="G851" s="213" t="s">
        <v>5269</v>
      </c>
      <c r="H851" s="213" t="s">
        <v>5270</v>
      </c>
      <c r="I851" s="213" t="s">
        <v>5271</v>
      </c>
      <c r="J851" s="213" t="s">
        <v>5272</v>
      </c>
      <c r="K851" s="213" t="s">
        <v>9546</v>
      </c>
      <c r="L851" s="213" t="s">
        <v>10845</v>
      </c>
      <c r="M851" s="213" t="s">
        <v>10198</v>
      </c>
      <c r="P851" s="121"/>
    </row>
    <row r="852" spans="1:16">
      <c r="A852" s="213" t="s">
        <v>2654</v>
      </c>
      <c r="B852" s="213" t="s">
        <v>1377</v>
      </c>
      <c r="C852" s="221" t="s">
        <v>1376</v>
      </c>
      <c r="D852" s="221" t="s">
        <v>1378</v>
      </c>
      <c r="E852" s="221" t="s">
        <v>5267</v>
      </c>
      <c r="F852" s="213" t="s">
        <v>5268</v>
      </c>
      <c r="G852" s="213" t="s">
        <v>5269</v>
      </c>
      <c r="H852" s="213" t="s">
        <v>5270</v>
      </c>
      <c r="I852" s="213" t="s">
        <v>5271</v>
      </c>
      <c r="J852" s="213" t="s">
        <v>5272</v>
      </c>
      <c r="K852" s="213" t="s">
        <v>9546</v>
      </c>
      <c r="L852" s="213" t="s">
        <v>10845</v>
      </c>
      <c r="M852" s="213" t="s">
        <v>10198</v>
      </c>
      <c r="P852" s="121"/>
    </row>
    <row r="853" spans="1:16">
      <c r="A853" s="213" t="s">
        <v>2773</v>
      </c>
      <c r="B853" s="213" t="s">
        <v>1377</v>
      </c>
      <c r="C853" s="221" t="s">
        <v>1376</v>
      </c>
      <c r="D853" s="221" t="s">
        <v>1378</v>
      </c>
      <c r="E853" s="221" t="s">
        <v>5267</v>
      </c>
      <c r="F853" s="213" t="s">
        <v>5268</v>
      </c>
      <c r="G853" s="213" t="s">
        <v>5269</v>
      </c>
      <c r="H853" s="213" t="s">
        <v>5270</v>
      </c>
      <c r="I853" s="213" t="s">
        <v>5271</v>
      </c>
      <c r="J853" s="213" t="s">
        <v>5272</v>
      </c>
      <c r="K853" s="213" t="s">
        <v>9546</v>
      </c>
      <c r="L853" s="213" t="s">
        <v>10845</v>
      </c>
      <c r="M853" s="213" t="s">
        <v>10198</v>
      </c>
      <c r="P853" s="121"/>
    </row>
    <row r="854" spans="1:16">
      <c r="A854" s="213" t="s">
        <v>2774</v>
      </c>
      <c r="B854" s="213" t="s">
        <v>2856</v>
      </c>
      <c r="C854" s="221" t="s">
        <v>2966</v>
      </c>
      <c r="D854" s="221" t="s">
        <v>3021</v>
      </c>
      <c r="E854" s="221" t="s">
        <v>5495</v>
      </c>
      <c r="F854" s="213" t="s">
        <v>5496</v>
      </c>
      <c r="G854" s="213" t="s">
        <v>5497</v>
      </c>
      <c r="H854" s="213" t="s">
        <v>5495</v>
      </c>
      <c r="I854" s="213" t="s">
        <v>5498</v>
      </c>
      <c r="J854" s="213" t="s">
        <v>5499</v>
      </c>
      <c r="K854" s="213" t="s">
        <v>9578</v>
      </c>
      <c r="L854" s="213" t="s">
        <v>10874</v>
      </c>
      <c r="M854" s="213" t="s">
        <v>10233</v>
      </c>
      <c r="P854" s="121"/>
    </row>
    <row r="855" spans="1:16">
      <c r="A855" s="214" t="s">
        <v>2775</v>
      </c>
      <c r="B855" s="213" t="s">
        <v>2857</v>
      </c>
      <c r="C855" s="221" t="s">
        <v>2967</v>
      </c>
      <c r="D855" s="221" t="s">
        <v>3022</v>
      </c>
      <c r="E855" s="221" t="s">
        <v>5500</v>
      </c>
      <c r="F855" s="213" t="s">
        <v>5501</v>
      </c>
      <c r="G855" s="213" t="s">
        <v>5502</v>
      </c>
      <c r="H855" s="213" t="s">
        <v>5503</v>
      </c>
      <c r="I855" s="213" t="s">
        <v>5504</v>
      </c>
      <c r="J855" s="213" t="s">
        <v>5505</v>
      </c>
      <c r="K855" s="213" t="s">
        <v>9579</v>
      </c>
      <c r="L855" s="213" t="s">
        <v>10875</v>
      </c>
      <c r="M855" s="213" t="s">
        <v>10234</v>
      </c>
      <c r="P855" s="121"/>
    </row>
    <row r="856" spans="1:16">
      <c r="A856" s="213" t="s">
        <v>2776</v>
      </c>
      <c r="B856" s="213" t="s">
        <v>2885</v>
      </c>
      <c r="C856" s="221" t="s">
        <v>2968</v>
      </c>
      <c r="D856" s="221" t="s">
        <v>3023</v>
      </c>
      <c r="E856" s="221" t="s">
        <v>5506</v>
      </c>
      <c r="F856" s="213" t="s">
        <v>5507</v>
      </c>
      <c r="G856" s="213" t="s">
        <v>5508</v>
      </c>
      <c r="H856" s="213" t="s">
        <v>5506</v>
      </c>
      <c r="I856" s="213" t="s">
        <v>5509</v>
      </c>
      <c r="J856" s="213" t="s">
        <v>5510</v>
      </c>
      <c r="K856" s="213" t="s">
        <v>9580</v>
      </c>
      <c r="L856" s="213" t="s">
        <v>10876</v>
      </c>
      <c r="M856" s="213" t="s">
        <v>10235</v>
      </c>
      <c r="P856" s="121"/>
    </row>
    <row r="857" spans="1:16">
      <c r="A857" s="213" t="s">
        <v>1711</v>
      </c>
      <c r="B857" s="213" t="s">
        <v>1247</v>
      </c>
      <c r="C857" s="221" t="s">
        <v>1246</v>
      </c>
      <c r="D857" s="221" t="s">
        <v>1248</v>
      </c>
      <c r="E857" s="221" t="s">
        <v>5188</v>
      </c>
      <c r="F857" s="213" t="s">
        <v>5189</v>
      </c>
      <c r="G857" s="213" t="s">
        <v>5190</v>
      </c>
      <c r="H857" s="213" t="s">
        <v>5188</v>
      </c>
      <c r="I857" s="213" t="s">
        <v>5191</v>
      </c>
      <c r="J857" s="213" t="s">
        <v>5192</v>
      </c>
      <c r="K857" s="213" t="s">
        <v>9534</v>
      </c>
      <c r="L857" s="213" t="s">
        <v>10832</v>
      </c>
      <c r="M857" s="213" t="s">
        <v>10186</v>
      </c>
      <c r="P857" s="121"/>
    </row>
    <row r="858" spans="1:16">
      <c r="A858" s="213" t="s">
        <v>2608</v>
      </c>
      <c r="B858" s="213" t="s">
        <v>1247</v>
      </c>
      <c r="C858" s="221" t="s">
        <v>1246</v>
      </c>
      <c r="D858" s="221" t="s">
        <v>1248</v>
      </c>
      <c r="E858" s="221" t="s">
        <v>5188</v>
      </c>
      <c r="F858" s="213" t="s">
        <v>5189</v>
      </c>
      <c r="G858" s="213" t="s">
        <v>5190</v>
      </c>
      <c r="H858" s="213" t="s">
        <v>5188</v>
      </c>
      <c r="I858" s="213" t="s">
        <v>5191</v>
      </c>
      <c r="J858" s="213" t="s">
        <v>5192</v>
      </c>
      <c r="K858" s="213" t="s">
        <v>9534</v>
      </c>
      <c r="L858" s="213" t="s">
        <v>10832</v>
      </c>
      <c r="M858" s="213" t="s">
        <v>10186</v>
      </c>
      <c r="P858" s="121"/>
    </row>
    <row r="859" spans="1:16">
      <c r="A859" s="213" t="s">
        <v>1712</v>
      </c>
      <c r="B859" s="213" t="s">
        <v>1405</v>
      </c>
      <c r="C859" s="221" t="s">
        <v>1404</v>
      </c>
      <c r="D859" s="221" t="s">
        <v>1406</v>
      </c>
      <c r="E859" s="221" t="s">
        <v>5518</v>
      </c>
      <c r="F859" s="213" t="s">
        <v>5519</v>
      </c>
      <c r="G859" s="213" t="s">
        <v>5520</v>
      </c>
      <c r="H859" s="213" t="s">
        <v>5518</v>
      </c>
      <c r="I859" s="213" t="s">
        <v>5521</v>
      </c>
      <c r="J859" s="213" t="s">
        <v>5522</v>
      </c>
      <c r="K859" s="213" t="s">
        <v>9581</v>
      </c>
      <c r="L859" s="213" t="s">
        <v>10877</v>
      </c>
      <c r="M859" s="213" t="s">
        <v>10236</v>
      </c>
      <c r="P859" s="121"/>
    </row>
    <row r="860" spans="1:16">
      <c r="A860" s="214" t="s">
        <v>1713</v>
      </c>
      <c r="B860" s="213" t="s">
        <v>1392</v>
      </c>
      <c r="C860" s="221" t="s">
        <v>1391</v>
      </c>
      <c r="D860" s="221" t="s">
        <v>1393</v>
      </c>
      <c r="E860" s="221" t="s">
        <v>5308</v>
      </c>
      <c r="F860" s="213" t="s">
        <v>5309</v>
      </c>
      <c r="G860" s="213" t="s">
        <v>5310</v>
      </c>
      <c r="H860" s="213" t="s">
        <v>5311</v>
      </c>
      <c r="I860" s="213" t="s">
        <v>5312</v>
      </c>
      <c r="J860" s="213" t="s">
        <v>5313</v>
      </c>
      <c r="K860" s="213" t="s">
        <v>9551</v>
      </c>
      <c r="L860" s="213" t="s">
        <v>10850</v>
      </c>
      <c r="M860" s="213" t="s">
        <v>10204</v>
      </c>
      <c r="P860" s="121"/>
    </row>
    <row r="861" spans="1:16">
      <c r="A861" s="213" t="s">
        <v>2610</v>
      </c>
      <c r="B861" s="213" t="s">
        <v>1269</v>
      </c>
      <c r="C861" s="221" t="s">
        <v>1268</v>
      </c>
      <c r="D861" s="221" t="s">
        <v>1270</v>
      </c>
      <c r="E861" s="221" t="s">
        <v>5216</v>
      </c>
      <c r="F861" s="213" t="s">
        <v>5217</v>
      </c>
      <c r="G861" s="213" t="s">
        <v>5218</v>
      </c>
      <c r="H861" s="213" t="s">
        <v>5219</v>
      </c>
      <c r="I861" s="213" t="s">
        <v>5220</v>
      </c>
      <c r="J861" s="213" t="s">
        <v>5221</v>
      </c>
      <c r="K861" s="213" t="s">
        <v>9538</v>
      </c>
      <c r="L861" s="213" t="s">
        <v>10835</v>
      </c>
      <c r="M861" s="213" t="s">
        <v>10189</v>
      </c>
      <c r="P861" s="121"/>
    </row>
    <row r="862" spans="1:16">
      <c r="A862" s="213" t="s">
        <v>2612</v>
      </c>
      <c r="B862" s="213" t="s">
        <v>893</v>
      </c>
      <c r="C862" s="221" t="s">
        <v>892</v>
      </c>
      <c r="D862" s="221" t="s">
        <v>3024</v>
      </c>
      <c r="E862" s="221" t="s">
        <v>4720</v>
      </c>
      <c r="F862" s="213" t="s">
        <v>4721</v>
      </c>
      <c r="G862" s="213" t="s">
        <v>5524</v>
      </c>
      <c r="H862" s="213" t="s">
        <v>4720</v>
      </c>
      <c r="I862" s="213" t="s">
        <v>4723</v>
      </c>
      <c r="J862" s="213" t="s">
        <v>4724</v>
      </c>
      <c r="K862" s="213" t="s">
        <v>9509</v>
      </c>
      <c r="L862" s="213" t="s">
        <v>10760</v>
      </c>
      <c r="M862" s="213" t="s">
        <v>10111</v>
      </c>
      <c r="P862" s="121"/>
    </row>
    <row r="863" spans="1:16">
      <c r="A863" s="213" t="s">
        <v>1714</v>
      </c>
      <c r="B863" s="213" t="s">
        <v>1405</v>
      </c>
      <c r="C863" s="221" t="s">
        <v>1404</v>
      </c>
      <c r="D863" s="221" t="s">
        <v>1406</v>
      </c>
      <c r="E863" s="221" t="s">
        <v>5518</v>
      </c>
      <c r="F863" s="213" t="s">
        <v>5519</v>
      </c>
      <c r="G863" s="213" t="s">
        <v>5520</v>
      </c>
      <c r="H863" s="213" t="s">
        <v>5518</v>
      </c>
      <c r="I863" s="213" t="s">
        <v>5521</v>
      </c>
      <c r="J863" s="213" t="s">
        <v>5522</v>
      </c>
      <c r="K863" s="222" t="s">
        <v>9581</v>
      </c>
      <c r="L863" s="213" t="s">
        <v>10877</v>
      </c>
      <c r="M863" s="213" t="s">
        <v>10236</v>
      </c>
      <c r="P863" s="121"/>
    </row>
    <row r="864" spans="1:16">
      <c r="A864" s="214" t="s">
        <v>2777</v>
      </c>
      <c r="B864" s="213" t="s">
        <v>1247</v>
      </c>
      <c r="C864" s="221" t="s">
        <v>1246</v>
      </c>
      <c r="D864" s="221" t="s">
        <v>1248</v>
      </c>
      <c r="E864" s="221" t="s">
        <v>5188</v>
      </c>
      <c r="F864" s="213" t="s">
        <v>5189</v>
      </c>
      <c r="G864" s="213" t="s">
        <v>5190</v>
      </c>
      <c r="H864" s="213" t="s">
        <v>5188</v>
      </c>
      <c r="I864" s="213" t="s">
        <v>5191</v>
      </c>
      <c r="J864" s="213" t="s">
        <v>5192</v>
      </c>
      <c r="K864" s="222" t="s">
        <v>9534</v>
      </c>
      <c r="L864" s="213" t="s">
        <v>10832</v>
      </c>
      <c r="M864" s="213" t="s">
        <v>10186</v>
      </c>
      <c r="P864" s="121"/>
    </row>
    <row r="865" spans="1:16">
      <c r="A865" s="213" t="s">
        <v>2778</v>
      </c>
      <c r="B865" s="213" t="s">
        <v>1247</v>
      </c>
      <c r="C865" s="221" t="s">
        <v>1246</v>
      </c>
      <c r="D865" s="221" t="s">
        <v>1248</v>
      </c>
      <c r="E865" s="221" t="s">
        <v>5188</v>
      </c>
      <c r="F865" s="213" t="s">
        <v>5189</v>
      </c>
      <c r="G865" s="213" t="s">
        <v>5190</v>
      </c>
      <c r="H865" s="213" t="s">
        <v>5188</v>
      </c>
      <c r="I865" s="213" t="s">
        <v>5191</v>
      </c>
      <c r="J865" s="213" t="s">
        <v>5192</v>
      </c>
      <c r="K865" s="213" t="s">
        <v>9534</v>
      </c>
      <c r="L865" s="213" t="s">
        <v>10832</v>
      </c>
      <c r="M865" s="213" t="s">
        <v>10186</v>
      </c>
      <c r="P865" s="121"/>
    </row>
    <row r="866" spans="1:16">
      <c r="A866" s="213" t="s">
        <v>5525</v>
      </c>
      <c r="B866" s="213" t="s">
        <v>1405</v>
      </c>
      <c r="C866" s="221" t="s">
        <v>1404</v>
      </c>
      <c r="D866" s="221" t="s">
        <v>1406</v>
      </c>
      <c r="E866" s="221" t="s">
        <v>5518</v>
      </c>
      <c r="F866" s="213" t="s">
        <v>5519</v>
      </c>
      <c r="G866" s="213" t="s">
        <v>5520</v>
      </c>
      <c r="H866" s="213" t="s">
        <v>5518</v>
      </c>
      <c r="I866" s="213" t="s">
        <v>5521</v>
      </c>
      <c r="J866" s="213" t="s">
        <v>5526</v>
      </c>
      <c r="K866" s="213" t="s">
        <v>9581</v>
      </c>
      <c r="L866" s="213" t="s">
        <v>10877</v>
      </c>
      <c r="M866" s="213" t="s">
        <v>10236</v>
      </c>
      <c r="P866" s="121"/>
    </row>
    <row r="867" spans="1:16">
      <c r="A867" s="213" t="s">
        <v>5527</v>
      </c>
      <c r="B867" s="213" t="s">
        <v>1392</v>
      </c>
      <c r="C867" s="221" t="s">
        <v>1391</v>
      </c>
      <c r="D867" s="221" t="s">
        <v>1393</v>
      </c>
      <c r="E867" s="221" t="s">
        <v>5308</v>
      </c>
      <c r="F867" s="213" t="s">
        <v>5309</v>
      </c>
      <c r="G867" s="213" t="s">
        <v>5310</v>
      </c>
      <c r="H867" s="213" t="s">
        <v>5311</v>
      </c>
      <c r="I867" s="213" t="s">
        <v>5312</v>
      </c>
      <c r="J867" s="213" t="s">
        <v>5528</v>
      </c>
      <c r="K867" s="213" t="s">
        <v>9551</v>
      </c>
      <c r="L867" s="213" t="s">
        <v>10850</v>
      </c>
      <c r="M867" s="213" t="s">
        <v>10204</v>
      </c>
      <c r="P867" s="121"/>
    </row>
    <row r="868" spans="1:16">
      <c r="A868" s="213" t="s">
        <v>2779</v>
      </c>
      <c r="B868" s="213" t="s">
        <v>1269</v>
      </c>
      <c r="C868" s="221" t="s">
        <v>1268</v>
      </c>
      <c r="D868" s="221" t="s">
        <v>1270</v>
      </c>
      <c r="E868" s="221" t="s">
        <v>5216</v>
      </c>
      <c r="F868" s="213" t="s">
        <v>5217</v>
      </c>
      <c r="G868" s="213" t="s">
        <v>5218</v>
      </c>
      <c r="H868" s="213" t="s">
        <v>5219</v>
      </c>
      <c r="I868" s="213" t="s">
        <v>5220</v>
      </c>
      <c r="J868" s="213" t="s">
        <v>5221</v>
      </c>
      <c r="K868" s="213" t="s">
        <v>9538</v>
      </c>
      <c r="L868" s="213" t="s">
        <v>10835</v>
      </c>
      <c r="M868" s="213" t="s">
        <v>10189</v>
      </c>
      <c r="P868" s="121"/>
    </row>
    <row r="869" spans="1:16">
      <c r="A869" s="213" t="s">
        <v>2780</v>
      </c>
      <c r="B869" s="213" t="s">
        <v>893</v>
      </c>
      <c r="C869" s="221" t="s">
        <v>892</v>
      </c>
      <c r="D869" s="221" t="s">
        <v>3024</v>
      </c>
      <c r="E869" s="221" t="s">
        <v>4720</v>
      </c>
      <c r="F869" s="213" t="s">
        <v>4721</v>
      </c>
      <c r="G869" s="213" t="s">
        <v>5524</v>
      </c>
      <c r="H869" s="213" t="s">
        <v>4720</v>
      </c>
      <c r="I869" s="213" t="s">
        <v>4723</v>
      </c>
      <c r="J869" s="213" t="s">
        <v>4724</v>
      </c>
      <c r="K869" s="213" t="s">
        <v>9509</v>
      </c>
      <c r="L869" s="213" t="s">
        <v>10760</v>
      </c>
      <c r="M869" s="213" t="s">
        <v>10111</v>
      </c>
      <c r="P869" s="121"/>
    </row>
    <row r="870" spans="1:16">
      <c r="A870" s="213" t="s">
        <v>5529</v>
      </c>
      <c r="B870" s="213" t="s">
        <v>1405</v>
      </c>
      <c r="C870" s="221" t="s">
        <v>1404</v>
      </c>
      <c r="D870" s="221" t="s">
        <v>1406</v>
      </c>
      <c r="E870" s="221" t="s">
        <v>5518</v>
      </c>
      <c r="F870" s="213" t="s">
        <v>5519</v>
      </c>
      <c r="G870" s="213" t="s">
        <v>5520</v>
      </c>
      <c r="H870" s="213" t="s">
        <v>5518</v>
      </c>
      <c r="I870" s="213" t="s">
        <v>5521</v>
      </c>
      <c r="J870" s="213" t="s">
        <v>5526</v>
      </c>
      <c r="K870" s="213" t="s">
        <v>9581</v>
      </c>
      <c r="L870" s="213" t="s">
        <v>10877</v>
      </c>
      <c r="M870" s="213" t="s">
        <v>10236</v>
      </c>
      <c r="P870" s="121"/>
    </row>
    <row r="871" spans="1:16">
      <c r="A871" s="213" t="s">
        <v>1642</v>
      </c>
      <c r="B871" s="213" t="s">
        <v>864</v>
      </c>
      <c r="C871" s="221" t="s">
        <v>863</v>
      </c>
      <c r="D871" s="221" t="s">
        <v>1157</v>
      </c>
      <c r="E871" s="221" t="s">
        <v>4702</v>
      </c>
      <c r="F871" s="213" t="s">
        <v>4703</v>
      </c>
      <c r="G871" s="213" t="s">
        <v>5135</v>
      </c>
      <c r="H871" s="213" t="s">
        <v>4705</v>
      </c>
      <c r="I871" s="213" t="s">
        <v>4706</v>
      </c>
      <c r="J871" s="213" t="s">
        <v>4707</v>
      </c>
      <c r="K871" s="213" t="s">
        <v>9506</v>
      </c>
      <c r="L871" s="213" t="s">
        <v>10757</v>
      </c>
      <c r="M871" s="213" t="s">
        <v>10108</v>
      </c>
      <c r="P871" s="121"/>
    </row>
    <row r="872" spans="1:16">
      <c r="A872" s="213" t="s">
        <v>1644</v>
      </c>
      <c r="B872" s="213" t="s">
        <v>881</v>
      </c>
      <c r="C872" s="221" t="s">
        <v>880</v>
      </c>
      <c r="D872" s="221" t="s">
        <v>1345</v>
      </c>
      <c r="E872" s="221" t="s">
        <v>4737</v>
      </c>
      <c r="F872" s="213" t="s">
        <v>4738</v>
      </c>
      <c r="G872" s="213" t="s">
        <v>5273</v>
      </c>
      <c r="H872" s="213" t="s">
        <v>4740</v>
      </c>
      <c r="I872" s="213" t="s">
        <v>4741</v>
      </c>
      <c r="J872" s="213" t="s">
        <v>4742</v>
      </c>
      <c r="K872" s="213" t="s">
        <v>9512</v>
      </c>
      <c r="L872" s="213" t="s">
        <v>10763</v>
      </c>
      <c r="M872" s="213" t="s">
        <v>10114</v>
      </c>
      <c r="P872" s="121"/>
    </row>
    <row r="873" spans="1:16">
      <c r="A873" s="213" t="s">
        <v>1646</v>
      </c>
      <c r="B873" s="213" t="s">
        <v>1185</v>
      </c>
      <c r="C873" s="221" t="s">
        <v>1184</v>
      </c>
      <c r="D873" s="221" t="s">
        <v>1186</v>
      </c>
      <c r="E873" s="221" t="s">
        <v>5247</v>
      </c>
      <c r="F873" s="213" t="s">
        <v>5138</v>
      </c>
      <c r="G873" s="213" t="s">
        <v>5135</v>
      </c>
      <c r="H873" s="213" t="s">
        <v>5140</v>
      </c>
      <c r="I873" s="213" t="s">
        <v>5141</v>
      </c>
      <c r="J873" s="213" t="s">
        <v>5142</v>
      </c>
      <c r="K873" s="213" t="s">
        <v>9528</v>
      </c>
      <c r="L873" s="213" t="s">
        <v>10826</v>
      </c>
      <c r="M873" s="213" t="s">
        <v>10178</v>
      </c>
      <c r="P873" s="121"/>
    </row>
    <row r="874" spans="1:16">
      <c r="A874" s="213" t="s">
        <v>1657</v>
      </c>
      <c r="B874" s="213" t="s">
        <v>1586</v>
      </c>
      <c r="C874" s="221" t="s">
        <v>1585</v>
      </c>
      <c r="D874" s="221" t="s">
        <v>1587</v>
      </c>
      <c r="E874" s="221" t="s">
        <v>5432</v>
      </c>
      <c r="F874" s="213" t="s">
        <v>5433</v>
      </c>
      <c r="G874" s="213" t="s">
        <v>5434</v>
      </c>
      <c r="H874" s="213" t="s">
        <v>5435</v>
      </c>
      <c r="I874" s="213" t="s">
        <v>5436</v>
      </c>
      <c r="J874" s="213" t="s">
        <v>5437</v>
      </c>
      <c r="K874" s="213" t="s">
        <v>9569</v>
      </c>
      <c r="L874" s="213" t="s">
        <v>10867</v>
      </c>
      <c r="M874" s="213" t="s">
        <v>10225</v>
      </c>
      <c r="P874" s="121"/>
    </row>
    <row r="875" spans="1:16">
      <c r="A875" s="213" t="s">
        <v>1659</v>
      </c>
      <c r="B875" s="213" t="s">
        <v>881</v>
      </c>
      <c r="C875" s="221" t="s">
        <v>880</v>
      </c>
      <c r="D875" s="221" t="s">
        <v>1345</v>
      </c>
      <c r="E875" s="221" t="s">
        <v>4737</v>
      </c>
      <c r="F875" s="213" t="s">
        <v>4738</v>
      </c>
      <c r="G875" s="213" t="s">
        <v>5273</v>
      </c>
      <c r="H875" s="213" t="s">
        <v>4740</v>
      </c>
      <c r="I875" s="213" t="s">
        <v>4741</v>
      </c>
      <c r="J875" s="213" t="s">
        <v>4742</v>
      </c>
      <c r="K875" s="213" t="s">
        <v>9512</v>
      </c>
      <c r="L875" s="213" t="s">
        <v>10763</v>
      </c>
      <c r="M875" s="213" t="s">
        <v>10114</v>
      </c>
      <c r="P875" s="121"/>
    </row>
    <row r="876" spans="1:16">
      <c r="A876" s="214" t="s">
        <v>1661</v>
      </c>
      <c r="B876" s="213" t="s">
        <v>881</v>
      </c>
      <c r="C876" s="221" t="s">
        <v>880</v>
      </c>
      <c r="D876" s="221" t="s">
        <v>1345</v>
      </c>
      <c r="E876" s="221" t="s">
        <v>4737</v>
      </c>
      <c r="F876" s="213" t="s">
        <v>4738</v>
      </c>
      <c r="G876" s="213" t="s">
        <v>5273</v>
      </c>
      <c r="H876" s="213" t="s">
        <v>4740</v>
      </c>
      <c r="I876" s="213" t="s">
        <v>4741</v>
      </c>
      <c r="J876" s="213" t="s">
        <v>4742</v>
      </c>
      <c r="K876" s="213" t="s">
        <v>9512</v>
      </c>
      <c r="L876" s="213" t="s">
        <v>10763</v>
      </c>
      <c r="M876" s="213" t="s">
        <v>10114</v>
      </c>
      <c r="P876" s="121"/>
    </row>
    <row r="877" spans="1:16">
      <c r="A877" s="213" t="s">
        <v>1665</v>
      </c>
      <c r="B877" s="213" t="s">
        <v>822</v>
      </c>
      <c r="C877" s="221" t="s">
        <v>821</v>
      </c>
      <c r="D877" s="221" t="s">
        <v>823</v>
      </c>
      <c r="E877" s="221" t="s">
        <v>4725</v>
      </c>
      <c r="F877" s="213" t="s">
        <v>4726</v>
      </c>
      <c r="G877" s="213" t="s">
        <v>5106</v>
      </c>
      <c r="H877" s="213" t="s">
        <v>4728</v>
      </c>
      <c r="I877" s="213" t="s">
        <v>5107</v>
      </c>
      <c r="J877" s="213" t="s">
        <v>4730</v>
      </c>
      <c r="K877" s="213" t="s">
        <v>9510</v>
      </c>
      <c r="L877" s="213" t="s">
        <v>10761</v>
      </c>
      <c r="M877" s="213" t="s">
        <v>10112</v>
      </c>
      <c r="P877" s="121"/>
    </row>
    <row r="878" spans="1:16">
      <c r="A878" s="213" t="s">
        <v>1666</v>
      </c>
      <c r="B878" s="213" t="s">
        <v>822</v>
      </c>
      <c r="C878" s="221" t="s">
        <v>821</v>
      </c>
      <c r="D878" s="221" t="s">
        <v>823</v>
      </c>
      <c r="E878" s="221" t="s">
        <v>4725</v>
      </c>
      <c r="F878" s="213" t="s">
        <v>4726</v>
      </c>
      <c r="G878" s="213" t="s">
        <v>5106</v>
      </c>
      <c r="H878" s="213" t="s">
        <v>4728</v>
      </c>
      <c r="I878" s="213" t="s">
        <v>5107</v>
      </c>
      <c r="J878" s="213" t="s">
        <v>4730</v>
      </c>
      <c r="K878" s="213" t="s">
        <v>9510</v>
      </c>
      <c r="L878" s="213" t="s">
        <v>10761</v>
      </c>
      <c r="M878" s="213" t="s">
        <v>10112</v>
      </c>
      <c r="P878" s="121"/>
    </row>
    <row r="879" spans="1:16">
      <c r="A879" s="213" t="s">
        <v>1672</v>
      </c>
      <c r="B879" s="213" t="s">
        <v>881</v>
      </c>
      <c r="C879" s="221" t="s">
        <v>880</v>
      </c>
      <c r="D879" s="221" t="s">
        <v>1345</v>
      </c>
      <c r="E879" s="221" t="s">
        <v>4737</v>
      </c>
      <c r="F879" s="213" t="s">
        <v>4738</v>
      </c>
      <c r="G879" s="213" t="s">
        <v>5273</v>
      </c>
      <c r="H879" s="213" t="s">
        <v>4740</v>
      </c>
      <c r="I879" s="213" t="s">
        <v>4741</v>
      </c>
      <c r="J879" s="213" t="s">
        <v>4742</v>
      </c>
      <c r="K879" s="213" t="s">
        <v>9512</v>
      </c>
      <c r="L879" s="213" t="s">
        <v>10763</v>
      </c>
      <c r="M879" s="213" t="s">
        <v>10114</v>
      </c>
      <c r="P879" s="121"/>
    </row>
    <row r="880" spans="1:16">
      <c r="A880" s="213" t="s">
        <v>1674</v>
      </c>
      <c r="B880" s="213" t="s">
        <v>1222</v>
      </c>
      <c r="C880" s="221" t="s">
        <v>1221</v>
      </c>
      <c r="D880" s="221" t="s">
        <v>1223</v>
      </c>
      <c r="E880" s="221" t="s">
        <v>5162</v>
      </c>
      <c r="F880" s="213" t="s">
        <v>5163</v>
      </c>
      <c r="G880" s="213" t="s">
        <v>5164</v>
      </c>
      <c r="H880" s="213" t="s">
        <v>5165</v>
      </c>
      <c r="I880" s="213" t="s">
        <v>5166</v>
      </c>
      <c r="J880" s="213" t="s">
        <v>5167</v>
      </c>
      <c r="K880" s="213" t="s">
        <v>9531</v>
      </c>
      <c r="L880" s="213" t="s">
        <v>10829</v>
      </c>
      <c r="M880" s="213" t="s">
        <v>10181</v>
      </c>
      <c r="P880" s="121"/>
    </row>
    <row r="881" spans="1:16">
      <c r="A881" s="213" t="s">
        <v>2614</v>
      </c>
      <c r="B881" s="213" t="s">
        <v>1222</v>
      </c>
      <c r="C881" s="221" t="s">
        <v>1221</v>
      </c>
      <c r="D881" s="221" t="s">
        <v>1223</v>
      </c>
      <c r="E881" s="221" t="s">
        <v>5162</v>
      </c>
      <c r="F881" s="213" t="s">
        <v>5163</v>
      </c>
      <c r="G881" s="213" t="s">
        <v>5164</v>
      </c>
      <c r="H881" s="213" t="s">
        <v>5165</v>
      </c>
      <c r="I881" s="213" t="s">
        <v>5166</v>
      </c>
      <c r="J881" s="213" t="s">
        <v>5167</v>
      </c>
      <c r="K881" s="213" t="s">
        <v>9531</v>
      </c>
      <c r="L881" s="213" t="s">
        <v>10829</v>
      </c>
      <c r="M881" s="213" t="s">
        <v>10181</v>
      </c>
      <c r="P881" s="121"/>
    </row>
    <row r="882" spans="1:16">
      <c r="A882" s="213" t="s">
        <v>1681</v>
      </c>
      <c r="B882" s="213" t="s">
        <v>1092</v>
      </c>
      <c r="C882" s="221" t="s">
        <v>1075</v>
      </c>
      <c r="D882" s="221" t="s">
        <v>1093</v>
      </c>
      <c r="E882" s="221" t="s">
        <v>5073</v>
      </c>
      <c r="F882" s="213" t="s">
        <v>5074</v>
      </c>
      <c r="G882" s="213" t="s">
        <v>5075</v>
      </c>
      <c r="H882" s="213" t="s">
        <v>5076</v>
      </c>
      <c r="I882" s="213" t="s">
        <v>5077</v>
      </c>
      <c r="J882" s="213" t="s">
        <v>5151</v>
      </c>
      <c r="K882" s="213" t="s">
        <v>9519</v>
      </c>
      <c r="L882" s="213" t="s">
        <v>10817</v>
      </c>
      <c r="M882" s="213" t="s">
        <v>10169</v>
      </c>
      <c r="P882" s="121"/>
    </row>
    <row r="883" spans="1:16">
      <c r="A883" s="213" t="s">
        <v>1683</v>
      </c>
      <c r="B883" s="213" t="s">
        <v>1685</v>
      </c>
      <c r="C883" s="221" t="s">
        <v>1684</v>
      </c>
      <c r="D883" s="221" t="s">
        <v>1686</v>
      </c>
      <c r="E883" s="221" t="s">
        <v>5530</v>
      </c>
      <c r="F883" s="213" t="s">
        <v>5531</v>
      </c>
      <c r="G883" s="213" t="s">
        <v>5532</v>
      </c>
      <c r="H883" s="213" t="s">
        <v>5533</v>
      </c>
      <c r="I883" s="213" t="s">
        <v>5534</v>
      </c>
      <c r="J883" s="213" t="s">
        <v>5535</v>
      </c>
      <c r="K883" s="213" t="s">
        <v>9582</v>
      </c>
      <c r="L883" s="213" t="s">
        <v>10878</v>
      </c>
      <c r="M883" s="213" t="s">
        <v>10237</v>
      </c>
      <c r="P883" s="121"/>
    </row>
    <row r="884" spans="1:16">
      <c r="A884" s="213" t="s">
        <v>2616</v>
      </c>
      <c r="B884" s="213" t="s">
        <v>1240</v>
      </c>
      <c r="C884" s="221" t="s">
        <v>1239</v>
      </c>
      <c r="D884" s="221" t="s">
        <v>1241</v>
      </c>
      <c r="E884" s="221" t="s">
        <v>5177</v>
      </c>
      <c r="F884" s="213" t="s">
        <v>5178</v>
      </c>
      <c r="G884" s="213" t="s">
        <v>5179</v>
      </c>
      <c r="H884" s="213" t="s">
        <v>5180</v>
      </c>
      <c r="I884" s="213" t="s">
        <v>5181</v>
      </c>
      <c r="J884" s="213" t="s">
        <v>5182</v>
      </c>
      <c r="K884" s="213" t="s">
        <v>9533</v>
      </c>
      <c r="L884" s="213" t="s">
        <v>10831</v>
      </c>
      <c r="M884" s="213" t="s">
        <v>10184</v>
      </c>
      <c r="P884" s="121"/>
    </row>
    <row r="885" spans="1:16">
      <c r="A885" s="213" t="s">
        <v>2618</v>
      </c>
      <c r="B885" s="213" t="s">
        <v>1240</v>
      </c>
      <c r="C885" s="221" t="s">
        <v>1239</v>
      </c>
      <c r="D885" s="221" t="s">
        <v>1241</v>
      </c>
      <c r="E885" s="221" t="s">
        <v>5177</v>
      </c>
      <c r="F885" s="213" t="s">
        <v>5178</v>
      </c>
      <c r="G885" s="213" t="s">
        <v>5179</v>
      </c>
      <c r="H885" s="213" t="s">
        <v>5180</v>
      </c>
      <c r="I885" s="213" t="s">
        <v>5181</v>
      </c>
      <c r="J885" s="213" t="s">
        <v>5182</v>
      </c>
      <c r="K885" s="222" t="s">
        <v>9533</v>
      </c>
      <c r="L885" s="213" t="s">
        <v>10831</v>
      </c>
      <c r="M885" s="213" t="s">
        <v>10184</v>
      </c>
      <c r="P885" s="121"/>
    </row>
    <row r="886" spans="1:16">
      <c r="A886" s="213" t="s">
        <v>1716</v>
      </c>
      <c r="B886" s="213" t="s">
        <v>1240</v>
      </c>
      <c r="C886" s="221" t="s">
        <v>1239</v>
      </c>
      <c r="D886" s="221" t="s">
        <v>1241</v>
      </c>
      <c r="E886" s="221" t="s">
        <v>5177</v>
      </c>
      <c r="F886" s="213" t="s">
        <v>5178</v>
      </c>
      <c r="G886" s="213" t="s">
        <v>5179</v>
      </c>
      <c r="H886" s="213" t="s">
        <v>5180</v>
      </c>
      <c r="I886" s="213" t="s">
        <v>5181</v>
      </c>
      <c r="J886" s="213" t="s">
        <v>5182</v>
      </c>
      <c r="K886" s="213" t="s">
        <v>9533</v>
      </c>
      <c r="L886" s="213" t="s">
        <v>10831</v>
      </c>
      <c r="M886" s="213" t="s">
        <v>10184</v>
      </c>
      <c r="P886" s="121"/>
    </row>
    <row r="887" spans="1:16">
      <c r="A887" s="213" t="s">
        <v>1717</v>
      </c>
      <c r="B887" s="213" t="s">
        <v>1240</v>
      </c>
      <c r="C887" s="221" t="s">
        <v>1239</v>
      </c>
      <c r="D887" s="221" t="s">
        <v>1241</v>
      </c>
      <c r="E887" s="221" t="s">
        <v>5177</v>
      </c>
      <c r="F887" s="213" t="s">
        <v>5178</v>
      </c>
      <c r="G887" s="213" t="s">
        <v>5179</v>
      </c>
      <c r="H887" s="213" t="s">
        <v>5180</v>
      </c>
      <c r="I887" s="213" t="s">
        <v>5181</v>
      </c>
      <c r="J887" s="213" t="s">
        <v>5182</v>
      </c>
      <c r="K887" s="213" t="s">
        <v>9533</v>
      </c>
      <c r="L887" s="213" t="s">
        <v>10831</v>
      </c>
      <c r="M887" s="213" t="s">
        <v>10184</v>
      </c>
      <c r="P887" s="121"/>
    </row>
    <row r="888" spans="1:16">
      <c r="A888" s="213" t="s">
        <v>1719</v>
      </c>
      <c r="B888" s="213" t="s">
        <v>1253</v>
      </c>
      <c r="C888" s="221" t="s">
        <v>1252</v>
      </c>
      <c r="D888" s="221" t="s">
        <v>1254</v>
      </c>
      <c r="E888" s="221" t="s">
        <v>5193</v>
      </c>
      <c r="F888" s="213" t="s">
        <v>5194</v>
      </c>
      <c r="G888" s="213" t="s">
        <v>5195</v>
      </c>
      <c r="H888" s="213" t="s">
        <v>5193</v>
      </c>
      <c r="I888" s="213" t="s">
        <v>5196</v>
      </c>
      <c r="J888" s="213" t="s">
        <v>5197</v>
      </c>
      <c r="K888" s="213" t="s">
        <v>9535</v>
      </c>
      <c r="L888" s="213" t="s">
        <v>10833</v>
      </c>
      <c r="M888" s="213" t="s">
        <v>10187</v>
      </c>
      <c r="P888" s="121"/>
    </row>
    <row r="889" spans="1:16">
      <c r="A889" s="213" t="s">
        <v>1720</v>
      </c>
      <c r="B889" s="213" t="s">
        <v>1704</v>
      </c>
      <c r="C889" s="221" t="s">
        <v>1703</v>
      </c>
      <c r="D889" s="221" t="s">
        <v>1705</v>
      </c>
      <c r="E889" s="221" t="s">
        <v>4714</v>
      </c>
      <c r="F889" s="213" t="s">
        <v>4715</v>
      </c>
      <c r="G889" s="213" t="s">
        <v>5467</v>
      </c>
      <c r="H889" s="213" t="s">
        <v>4717</v>
      </c>
      <c r="I889" s="213" t="s">
        <v>4718</v>
      </c>
      <c r="J889" s="213" t="s">
        <v>4719</v>
      </c>
      <c r="K889" s="213" t="s">
        <v>9508</v>
      </c>
      <c r="L889" s="213" t="s">
        <v>10759</v>
      </c>
      <c r="M889" s="213" t="s">
        <v>10110</v>
      </c>
      <c r="P889" s="121"/>
    </row>
    <row r="890" spans="1:16">
      <c r="A890" s="213" t="s">
        <v>1722</v>
      </c>
      <c r="B890" s="213" t="s">
        <v>1704</v>
      </c>
      <c r="C890" s="221" t="s">
        <v>1703</v>
      </c>
      <c r="D890" s="221" t="s">
        <v>1705</v>
      </c>
      <c r="E890" s="221" t="s">
        <v>4714</v>
      </c>
      <c r="F890" s="213" t="s">
        <v>4715</v>
      </c>
      <c r="G890" s="213" t="s">
        <v>5467</v>
      </c>
      <c r="H890" s="213" t="s">
        <v>4717</v>
      </c>
      <c r="I890" s="213" t="s">
        <v>4718</v>
      </c>
      <c r="J890" s="213" t="s">
        <v>4719</v>
      </c>
      <c r="K890" s="213" t="s">
        <v>9508</v>
      </c>
      <c r="L890" s="213" t="s">
        <v>10759</v>
      </c>
      <c r="M890" s="213" t="s">
        <v>10110</v>
      </c>
      <c r="P890" s="121"/>
    </row>
    <row r="891" spans="1:16">
      <c r="A891" s="213" t="s">
        <v>2619</v>
      </c>
      <c r="B891" s="213" t="s">
        <v>1269</v>
      </c>
      <c r="C891" s="221" t="s">
        <v>1268</v>
      </c>
      <c r="D891" s="221" t="s">
        <v>1270</v>
      </c>
      <c r="E891" s="221" t="s">
        <v>5216</v>
      </c>
      <c r="F891" s="213" t="s">
        <v>5217</v>
      </c>
      <c r="G891" s="213" t="s">
        <v>5218</v>
      </c>
      <c r="H891" s="213" t="s">
        <v>5219</v>
      </c>
      <c r="I891" s="213" t="s">
        <v>5220</v>
      </c>
      <c r="J891" s="213" t="s">
        <v>5221</v>
      </c>
      <c r="K891" s="213" t="s">
        <v>9538</v>
      </c>
      <c r="L891" s="213" t="s">
        <v>10835</v>
      </c>
      <c r="M891" s="213" t="s">
        <v>10189</v>
      </c>
      <c r="P891" s="121"/>
    </row>
    <row r="892" spans="1:16">
      <c r="A892" s="213" t="s">
        <v>1724</v>
      </c>
      <c r="B892" s="213" t="s">
        <v>1269</v>
      </c>
      <c r="C892" s="221" t="s">
        <v>1268</v>
      </c>
      <c r="D892" s="221" t="s">
        <v>1270</v>
      </c>
      <c r="E892" s="221" t="s">
        <v>5216</v>
      </c>
      <c r="F892" s="213" t="s">
        <v>5217</v>
      </c>
      <c r="G892" s="213" t="s">
        <v>5218</v>
      </c>
      <c r="H892" s="213" t="s">
        <v>5219</v>
      </c>
      <c r="I892" s="213" t="s">
        <v>5220</v>
      </c>
      <c r="J892" s="213" t="s">
        <v>5221</v>
      </c>
      <c r="K892" s="213" t="s">
        <v>9538</v>
      </c>
      <c r="L892" s="213" t="s">
        <v>10835</v>
      </c>
      <c r="M892" s="213" t="s">
        <v>10189</v>
      </c>
      <c r="P892" s="121"/>
    </row>
    <row r="893" spans="1:16">
      <c r="A893" s="213" t="s">
        <v>2781</v>
      </c>
      <c r="B893" s="213" t="s">
        <v>1240</v>
      </c>
      <c r="C893" s="221" t="s">
        <v>1239</v>
      </c>
      <c r="D893" s="221" t="s">
        <v>1241</v>
      </c>
      <c r="E893" s="221" t="s">
        <v>5177</v>
      </c>
      <c r="F893" s="213" t="s">
        <v>5178</v>
      </c>
      <c r="G893" s="213" t="s">
        <v>5179</v>
      </c>
      <c r="H893" s="213" t="s">
        <v>5180</v>
      </c>
      <c r="I893" s="213" t="s">
        <v>5181</v>
      </c>
      <c r="J893" s="213" t="s">
        <v>5182</v>
      </c>
      <c r="K893" s="213" t="s">
        <v>9533</v>
      </c>
      <c r="L893" s="213" t="s">
        <v>10831</v>
      </c>
      <c r="M893" s="213" t="s">
        <v>10184</v>
      </c>
      <c r="P893" s="121"/>
    </row>
    <row r="894" spans="1:16">
      <c r="A894" s="213" t="s">
        <v>2782</v>
      </c>
      <c r="B894" s="213" t="s">
        <v>1240</v>
      </c>
      <c r="C894" s="221" t="s">
        <v>1239</v>
      </c>
      <c r="D894" s="221" t="s">
        <v>1241</v>
      </c>
      <c r="E894" s="221" t="s">
        <v>5177</v>
      </c>
      <c r="F894" s="213" t="s">
        <v>5178</v>
      </c>
      <c r="G894" s="213" t="s">
        <v>5179</v>
      </c>
      <c r="H894" s="213" t="s">
        <v>5180</v>
      </c>
      <c r="I894" s="213" t="s">
        <v>5181</v>
      </c>
      <c r="J894" s="213" t="s">
        <v>5182</v>
      </c>
      <c r="K894" s="213" t="s">
        <v>9533</v>
      </c>
      <c r="L894" s="213" t="s">
        <v>10831</v>
      </c>
      <c r="M894" s="213" t="s">
        <v>10184</v>
      </c>
      <c r="P894" s="121"/>
    </row>
    <row r="895" spans="1:16">
      <c r="A895" s="213" t="s">
        <v>2783</v>
      </c>
      <c r="B895" s="213" t="s">
        <v>1240</v>
      </c>
      <c r="C895" s="221" t="s">
        <v>1239</v>
      </c>
      <c r="D895" s="221" t="s">
        <v>1241</v>
      </c>
      <c r="E895" s="221" t="s">
        <v>5177</v>
      </c>
      <c r="F895" s="213" t="s">
        <v>5178</v>
      </c>
      <c r="G895" s="213" t="s">
        <v>5179</v>
      </c>
      <c r="H895" s="213" t="s">
        <v>5180</v>
      </c>
      <c r="I895" s="213" t="s">
        <v>5181</v>
      </c>
      <c r="J895" s="213" t="s">
        <v>5182</v>
      </c>
      <c r="K895" s="213" t="s">
        <v>9533</v>
      </c>
      <c r="L895" s="213" t="s">
        <v>10831</v>
      </c>
      <c r="M895" s="213" t="s">
        <v>10184</v>
      </c>
      <c r="P895" s="121"/>
    </row>
    <row r="896" spans="1:16">
      <c r="A896" s="213" t="s">
        <v>5537</v>
      </c>
      <c r="B896" s="213" t="s">
        <v>1240</v>
      </c>
      <c r="C896" s="221" t="s">
        <v>1239</v>
      </c>
      <c r="D896" s="221" t="s">
        <v>1241</v>
      </c>
      <c r="E896" s="221" t="s">
        <v>5177</v>
      </c>
      <c r="F896" s="213" t="s">
        <v>5178</v>
      </c>
      <c r="G896" s="213" t="s">
        <v>5179</v>
      </c>
      <c r="H896" s="213" t="s">
        <v>5180</v>
      </c>
      <c r="I896" s="213" t="s">
        <v>5181</v>
      </c>
      <c r="J896" s="213" t="s">
        <v>5300</v>
      </c>
      <c r="K896" s="213" t="s">
        <v>9533</v>
      </c>
      <c r="L896" s="213" t="s">
        <v>10831</v>
      </c>
      <c r="M896" s="213" t="s">
        <v>10184</v>
      </c>
      <c r="P896" s="121"/>
    </row>
    <row r="897" spans="1:16">
      <c r="A897" s="213" t="s">
        <v>5538</v>
      </c>
      <c r="B897" s="213" t="s">
        <v>1253</v>
      </c>
      <c r="C897" s="221" t="s">
        <v>1252</v>
      </c>
      <c r="D897" s="221" t="s">
        <v>1254</v>
      </c>
      <c r="E897" s="221" t="s">
        <v>5193</v>
      </c>
      <c r="F897" s="213" t="s">
        <v>5194</v>
      </c>
      <c r="G897" s="213" t="s">
        <v>5195</v>
      </c>
      <c r="H897" s="213" t="s">
        <v>5193</v>
      </c>
      <c r="I897" s="213" t="s">
        <v>5196</v>
      </c>
      <c r="J897" s="213" t="s">
        <v>5303</v>
      </c>
      <c r="K897" s="213" t="s">
        <v>9535</v>
      </c>
      <c r="L897" s="213" t="s">
        <v>10833</v>
      </c>
      <c r="M897" s="213" t="s">
        <v>10187</v>
      </c>
      <c r="P897" s="121"/>
    </row>
    <row r="898" spans="1:16">
      <c r="A898" s="213" t="s">
        <v>5539</v>
      </c>
      <c r="B898" s="213" t="s">
        <v>1704</v>
      </c>
      <c r="C898" s="221" t="s">
        <v>1703</v>
      </c>
      <c r="D898" s="221" t="s">
        <v>1705</v>
      </c>
      <c r="E898" s="221" t="s">
        <v>4714</v>
      </c>
      <c r="F898" s="213" t="s">
        <v>4715</v>
      </c>
      <c r="G898" s="213" t="s">
        <v>5467</v>
      </c>
      <c r="H898" s="213" t="s">
        <v>4717</v>
      </c>
      <c r="I898" s="213" t="s">
        <v>4718</v>
      </c>
      <c r="J898" s="213" t="s">
        <v>5517</v>
      </c>
      <c r="K898" s="213" t="s">
        <v>9508</v>
      </c>
      <c r="L898" s="213" t="s">
        <v>10759</v>
      </c>
      <c r="M898" s="213" t="s">
        <v>10110</v>
      </c>
      <c r="P898" s="121"/>
    </row>
    <row r="899" spans="1:16">
      <c r="A899" s="213" t="s">
        <v>2655</v>
      </c>
      <c r="B899" s="213" t="s">
        <v>1704</v>
      </c>
      <c r="C899" s="221" t="s">
        <v>1703</v>
      </c>
      <c r="D899" s="221" t="s">
        <v>1705</v>
      </c>
      <c r="E899" s="221" t="s">
        <v>4714</v>
      </c>
      <c r="F899" s="213" t="s">
        <v>4715</v>
      </c>
      <c r="G899" s="213" t="s">
        <v>5467</v>
      </c>
      <c r="H899" s="213" t="s">
        <v>4717</v>
      </c>
      <c r="I899" s="213" t="s">
        <v>4718</v>
      </c>
      <c r="J899" s="213" t="s">
        <v>4719</v>
      </c>
      <c r="K899" s="213" t="s">
        <v>9508</v>
      </c>
      <c r="L899" s="213" t="s">
        <v>10759</v>
      </c>
      <c r="M899" s="213" t="s">
        <v>10110</v>
      </c>
      <c r="P899" s="121"/>
    </row>
    <row r="900" spans="1:16">
      <c r="A900" s="213" t="s">
        <v>2784</v>
      </c>
      <c r="B900" s="213" t="s">
        <v>1269</v>
      </c>
      <c r="C900" s="221" t="s">
        <v>1268</v>
      </c>
      <c r="D900" s="221" t="s">
        <v>1270</v>
      </c>
      <c r="E900" s="221" t="s">
        <v>5216</v>
      </c>
      <c r="F900" s="213" t="s">
        <v>5217</v>
      </c>
      <c r="G900" s="213" t="s">
        <v>5218</v>
      </c>
      <c r="H900" s="213" t="s">
        <v>5219</v>
      </c>
      <c r="I900" s="213" t="s">
        <v>5220</v>
      </c>
      <c r="J900" s="213" t="s">
        <v>5221</v>
      </c>
      <c r="K900" s="213" t="s">
        <v>9538</v>
      </c>
      <c r="L900" s="213" t="s">
        <v>10818</v>
      </c>
      <c r="M900" s="213" t="s">
        <v>10189</v>
      </c>
      <c r="P900" s="121"/>
    </row>
    <row r="901" spans="1:16">
      <c r="A901" s="213" t="s">
        <v>2785</v>
      </c>
      <c r="B901" s="213" t="s">
        <v>1269</v>
      </c>
      <c r="C901" s="221" t="s">
        <v>1268</v>
      </c>
      <c r="D901" s="221" t="s">
        <v>1270</v>
      </c>
      <c r="E901" s="221" t="s">
        <v>5216</v>
      </c>
      <c r="F901" s="213" t="s">
        <v>5217</v>
      </c>
      <c r="G901" s="213" t="s">
        <v>5218</v>
      </c>
      <c r="H901" s="213" t="s">
        <v>5219</v>
      </c>
      <c r="I901" s="213" t="s">
        <v>5220</v>
      </c>
      <c r="J901" s="213" t="s">
        <v>5221</v>
      </c>
      <c r="K901" s="213" t="s">
        <v>9538</v>
      </c>
      <c r="L901" s="213" t="s">
        <v>10835</v>
      </c>
      <c r="M901" s="213" t="s">
        <v>10189</v>
      </c>
      <c r="P901" s="121"/>
    </row>
    <row r="902" spans="1:16">
      <c r="A902" s="213" t="s">
        <v>1728</v>
      </c>
      <c r="B902" s="213" t="s">
        <v>1726</v>
      </c>
      <c r="C902" s="221" t="s">
        <v>880</v>
      </c>
      <c r="D902" s="221" t="s">
        <v>1345</v>
      </c>
      <c r="E902" s="221" t="s">
        <v>4737</v>
      </c>
      <c r="F902" s="213" t="s">
        <v>4738</v>
      </c>
      <c r="G902" s="213" t="s">
        <v>5273</v>
      </c>
      <c r="H902" s="213" t="s">
        <v>4740</v>
      </c>
      <c r="I902" s="213" t="s">
        <v>4741</v>
      </c>
      <c r="J902" s="213" t="s">
        <v>4742</v>
      </c>
      <c r="K902" s="213" t="s">
        <v>9512</v>
      </c>
      <c r="L902" s="213" t="s">
        <v>10763</v>
      </c>
      <c r="M902" s="213" t="s">
        <v>10114</v>
      </c>
      <c r="P902" s="121"/>
    </row>
    <row r="903" spans="1:16">
      <c r="A903" s="213" t="s">
        <v>1732</v>
      </c>
      <c r="B903" s="213" t="s">
        <v>1730</v>
      </c>
      <c r="C903" s="221" t="s">
        <v>1729</v>
      </c>
      <c r="D903" s="221" t="s">
        <v>1731</v>
      </c>
      <c r="E903" s="221" t="s">
        <v>5540</v>
      </c>
      <c r="F903" s="213" t="s">
        <v>5541</v>
      </c>
      <c r="G903" s="213" t="s">
        <v>5542</v>
      </c>
      <c r="H903" s="213" t="s">
        <v>5543</v>
      </c>
      <c r="I903" s="213" t="s">
        <v>5544</v>
      </c>
      <c r="J903" s="213" t="s">
        <v>5545</v>
      </c>
      <c r="K903" s="213" t="s">
        <v>9583</v>
      </c>
      <c r="L903" s="213" t="s">
        <v>10879</v>
      </c>
      <c r="M903" s="213" t="s">
        <v>10238</v>
      </c>
      <c r="P903" s="121"/>
    </row>
    <row r="904" spans="1:16">
      <c r="A904" s="213" t="s">
        <v>1733</v>
      </c>
      <c r="B904" s="213" t="s">
        <v>1735</v>
      </c>
      <c r="C904" s="221" t="s">
        <v>1734</v>
      </c>
      <c r="D904" s="221" t="s">
        <v>1736</v>
      </c>
      <c r="E904" s="221" t="s">
        <v>5546</v>
      </c>
      <c r="F904" s="213" t="s">
        <v>5547</v>
      </c>
      <c r="G904" s="213" t="s">
        <v>5548</v>
      </c>
      <c r="H904" s="213" t="s">
        <v>5549</v>
      </c>
      <c r="I904" s="213" t="s">
        <v>5550</v>
      </c>
      <c r="J904" s="213" t="s">
        <v>5551</v>
      </c>
      <c r="K904" s="213" t="s">
        <v>9584</v>
      </c>
      <c r="L904" s="213" t="s">
        <v>10880</v>
      </c>
      <c r="M904" s="213" t="s">
        <v>10232</v>
      </c>
      <c r="P904" s="121"/>
    </row>
    <row r="905" spans="1:16">
      <c r="A905" s="213" t="s">
        <v>1737</v>
      </c>
      <c r="B905" s="213" t="s">
        <v>1739</v>
      </c>
      <c r="C905" s="221" t="s">
        <v>1395</v>
      </c>
      <c r="D905" s="221" t="s">
        <v>1397</v>
      </c>
      <c r="E905" s="221" t="s">
        <v>5198</v>
      </c>
      <c r="F905" s="213" t="s">
        <v>5199</v>
      </c>
      <c r="G905" s="213" t="s">
        <v>5200</v>
      </c>
      <c r="H905" s="213" t="s">
        <v>5201</v>
      </c>
      <c r="I905" s="213" t="s">
        <v>5552</v>
      </c>
      <c r="J905" s="213" t="s">
        <v>5203</v>
      </c>
      <c r="K905" s="213" t="s">
        <v>9536</v>
      </c>
      <c r="L905" s="213" t="s">
        <v>10834</v>
      </c>
      <c r="M905" s="213" t="s">
        <v>10188</v>
      </c>
      <c r="P905" s="121"/>
    </row>
    <row r="906" spans="1:16">
      <c r="A906" s="213" t="s">
        <v>1740</v>
      </c>
      <c r="B906" s="213" t="s">
        <v>1741</v>
      </c>
      <c r="C906" s="221" t="s">
        <v>1741</v>
      </c>
      <c r="D906" s="221" t="s">
        <v>1741</v>
      </c>
      <c r="E906" s="221" t="s">
        <v>5553</v>
      </c>
      <c r="F906" s="213" t="s">
        <v>5554</v>
      </c>
      <c r="G906" s="213" t="s">
        <v>1741</v>
      </c>
      <c r="H906" s="213" t="s">
        <v>5555</v>
      </c>
      <c r="I906" s="213" t="s">
        <v>5556</v>
      </c>
      <c r="J906" s="213" t="s">
        <v>5557</v>
      </c>
      <c r="K906" s="213" t="s">
        <v>9585</v>
      </c>
      <c r="L906" s="213" t="s">
        <v>10881</v>
      </c>
      <c r="M906" s="213" t="s">
        <v>10239</v>
      </c>
      <c r="P906" s="121"/>
    </row>
    <row r="907" spans="1:16">
      <c r="A907" s="213" t="s">
        <v>1742</v>
      </c>
      <c r="B907" s="213" t="s">
        <v>1743</v>
      </c>
      <c r="C907" s="221" t="s">
        <v>1743</v>
      </c>
      <c r="D907" s="221" t="s">
        <v>1743</v>
      </c>
      <c r="E907" s="221" t="s">
        <v>5558</v>
      </c>
      <c r="F907" s="213" t="s">
        <v>5559</v>
      </c>
      <c r="G907" s="213" t="s">
        <v>1743</v>
      </c>
      <c r="H907" s="213" t="s">
        <v>5560</v>
      </c>
      <c r="I907" s="213" t="s">
        <v>5561</v>
      </c>
      <c r="J907" s="213" t="s">
        <v>5562</v>
      </c>
      <c r="K907" s="213" t="s">
        <v>9586</v>
      </c>
      <c r="L907" s="213" t="s">
        <v>10882</v>
      </c>
      <c r="M907" s="213" t="s">
        <v>10240</v>
      </c>
      <c r="P907" s="121"/>
    </row>
    <row r="908" spans="1:16">
      <c r="A908" s="213" t="s">
        <v>1744</v>
      </c>
      <c r="B908" s="213" t="s">
        <v>1745</v>
      </c>
      <c r="C908" s="221" t="s">
        <v>1745</v>
      </c>
      <c r="D908" s="221" t="s">
        <v>1745</v>
      </c>
      <c r="E908" s="221" t="s">
        <v>5563</v>
      </c>
      <c r="F908" s="213" t="s">
        <v>5564</v>
      </c>
      <c r="G908" s="213" t="s">
        <v>1745</v>
      </c>
      <c r="H908" s="213" t="s">
        <v>5565</v>
      </c>
      <c r="I908" s="213" t="s">
        <v>5566</v>
      </c>
      <c r="J908" s="213" t="s">
        <v>5567</v>
      </c>
      <c r="K908" s="213" t="s">
        <v>9587</v>
      </c>
      <c r="L908" s="213" t="s">
        <v>10883</v>
      </c>
      <c r="M908" s="213" t="s">
        <v>10241</v>
      </c>
      <c r="P908" s="121"/>
    </row>
    <row r="909" spans="1:16">
      <c r="A909" s="213" t="s">
        <v>1746</v>
      </c>
      <c r="B909" s="213" t="s">
        <v>1748</v>
      </c>
      <c r="C909" s="221" t="s">
        <v>1748</v>
      </c>
      <c r="D909" s="221" t="s">
        <v>1748</v>
      </c>
      <c r="E909" s="221" t="s">
        <v>5568</v>
      </c>
      <c r="F909" s="213" t="s">
        <v>5569</v>
      </c>
      <c r="G909" s="213" t="s">
        <v>1748</v>
      </c>
      <c r="H909" s="213" t="s">
        <v>5570</v>
      </c>
      <c r="I909" s="213" t="s">
        <v>5571</v>
      </c>
      <c r="J909" s="213" t="s">
        <v>5572</v>
      </c>
      <c r="K909" s="222" t="s">
        <v>9588</v>
      </c>
      <c r="L909" s="213" t="s">
        <v>10884</v>
      </c>
      <c r="M909" s="213" t="s">
        <v>10242</v>
      </c>
      <c r="P909" s="121"/>
    </row>
    <row r="910" spans="1:16">
      <c r="A910" s="213" t="s">
        <v>1749</v>
      </c>
      <c r="B910" s="213" t="s">
        <v>1750</v>
      </c>
      <c r="C910" s="221" t="s">
        <v>1750</v>
      </c>
      <c r="D910" s="221" t="s">
        <v>1750</v>
      </c>
      <c r="E910" s="221" t="s">
        <v>5573</v>
      </c>
      <c r="F910" s="213" t="s">
        <v>5574</v>
      </c>
      <c r="G910" s="213" t="s">
        <v>1750</v>
      </c>
      <c r="H910" s="213" t="s">
        <v>5575</v>
      </c>
      <c r="I910" s="213" t="s">
        <v>5576</v>
      </c>
      <c r="J910" s="213" t="s">
        <v>5577</v>
      </c>
      <c r="K910" s="222" t="s">
        <v>9589</v>
      </c>
      <c r="L910" s="213" t="s">
        <v>10885</v>
      </c>
      <c r="M910" s="213" t="s">
        <v>10243</v>
      </c>
      <c r="P910" s="121"/>
    </row>
    <row r="911" spans="1:16">
      <c r="A911" s="213" t="s">
        <v>1751</v>
      </c>
      <c r="B911" s="213" t="s">
        <v>1753</v>
      </c>
      <c r="C911" s="221" t="s">
        <v>1753</v>
      </c>
      <c r="D911" s="221" t="s">
        <v>1753</v>
      </c>
      <c r="E911" s="221" t="s">
        <v>5578</v>
      </c>
      <c r="F911" s="213" t="s">
        <v>5579</v>
      </c>
      <c r="G911" s="213" t="s">
        <v>1753</v>
      </c>
      <c r="H911" s="213" t="s">
        <v>5580</v>
      </c>
      <c r="I911" s="213" t="s">
        <v>5581</v>
      </c>
      <c r="J911" s="213" t="s">
        <v>5582</v>
      </c>
      <c r="K911" s="213" t="s">
        <v>9590</v>
      </c>
      <c r="L911" s="213" t="s">
        <v>10886</v>
      </c>
      <c r="M911" s="213" t="s">
        <v>10244</v>
      </c>
      <c r="P911" s="121"/>
    </row>
    <row r="912" spans="1:16">
      <c r="A912" s="213" t="s">
        <v>1754</v>
      </c>
      <c r="B912" s="213" t="s">
        <v>1756</v>
      </c>
      <c r="C912" s="221" t="s">
        <v>1756</v>
      </c>
      <c r="D912" s="221" t="s">
        <v>1756</v>
      </c>
      <c r="E912" s="221" t="s">
        <v>5583</v>
      </c>
      <c r="F912" s="213" t="s">
        <v>5584</v>
      </c>
      <c r="G912" s="213" t="s">
        <v>1756</v>
      </c>
      <c r="H912" s="213" t="s">
        <v>5585</v>
      </c>
      <c r="I912" s="213" t="s">
        <v>5586</v>
      </c>
      <c r="J912" s="213" t="s">
        <v>5587</v>
      </c>
      <c r="K912" s="213" t="s">
        <v>9591</v>
      </c>
      <c r="L912" s="213" t="s">
        <v>10887</v>
      </c>
      <c r="M912" s="213" t="s">
        <v>10245</v>
      </c>
      <c r="P912" s="121"/>
    </row>
    <row r="913" spans="1:16">
      <c r="A913" s="213" t="s">
        <v>1757</v>
      </c>
      <c r="B913" s="213" t="s">
        <v>1759</v>
      </c>
      <c r="C913" s="221" t="s">
        <v>1759</v>
      </c>
      <c r="D913" s="221" t="s">
        <v>1759</v>
      </c>
      <c r="E913" s="221" t="s">
        <v>5588</v>
      </c>
      <c r="F913" s="213" t="s">
        <v>5589</v>
      </c>
      <c r="G913" s="213" t="s">
        <v>1759</v>
      </c>
      <c r="H913" s="213" t="s">
        <v>5590</v>
      </c>
      <c r="I913" s="213" t="s">
        <v>5591</v>
      </c>
      <c r="J913" s="213" t="s">
        <v>5592</v>
      </c>
      <c r="K913" s="213" t="s">
        <v>9592</v>
      </c>
      <c r="L913" s="213" t="s">
        <v>10888</v>
      </c>
      <c r="M913" s="213" t="s">
        <v>10246</v>
      </c>
      <c r="P913" s="121"/>
    </row>
    <row r="914" spans="1:16">
      <c r="A914" s="213" t="s">
        <v>2621</v>
      </c>
      <c r="B914" s="213" t="s">
        <v>1750</v>
      </c>
      <c r="C914" s="221" t="s">
        <v>1750</v>
      </c>
      <c r="D914" s="221" t="s">
        <v>1750</v>
      </c>
      <c r="E914" s="221" t="s">
        <v>5573</v>
      </c>
      <c r="F914" s="213" t="s">
        <v>5574</v>
      </c>
      <c r="G914" s="213" t="s">
        <v>1750</v>
      </c>
      <c r="H914" s="213" t="s">
        <v>5575</v>
      </c>
      <c r="I914" s="213" t="s">
        <v>5576</v>
      </c>
      <c r="J914" s="213" t="s">
        <v>5577</v>
      </c>
      <c r="K914" s="213" t="s">
        <v>9589</v>
      </c>
      <c r="L914" s="213" t="s">
        <v>10885</v>
      </c>
      <c r="M914" s="213" t="s">
        <v>10247</v>
      </c>
      <c r="P914" s="121"/>
    </row>
    <row r="915" spans="1:16">
      <c r="A915" s="213" t="s">
        <v>1761</v>
      </c>
      <c r="B915" s="213" t="s">
        <v>1753</v>
      </c>
      <c r="C915" s="221" t="s">
        <v>1753</v>
      </c>
      <c r="D915" s="221" t="s">
        <v>1753</v>
      </c>
      <c r="E915" s="221" t="s">
        <v>5578</v>
      </c>
      <c r="F915" s="213" t="s">
        <v>5579</v>
      </c>
      <c r="G915" s="213" t="s">
        <v>1753</v>
      </c>
      <c r="H915" s="213" t="s">
        <v>5580</v>
      </c>
      <c r="I915" s="213" t="s">
        <v>5581</v>
      </c>
      <c r="J915" s="213" t="s">
        <v>5582</v>
      </c>
      <c r="K915" s="213" t="s">
        <v>9590</v>
      </c>
      <c r="L915" s="213" t="s">
        <v>10886</v>
      </c>
      <c r="M915" s="213" t="s">
        <v>10248</v>
      </c>
      <c r="P915" s="121"/>
    </row>
    <row r="916" spans="1:16">
      <c r="A916" s="213" t="s">
        <v>2622</v>
      </c>
      <c r="B916" s="213" t="s">
        <v>1756</v>
      </c>
      <c r="C916" s="221" t="s">
        <v>1756</v>
      </c>
      <c r="D916" s="221" t="s">
        <v>1756</v>
      </c>
      <c r="E916" s="221" t="s">
        <v>5583</v>
      </c>
      <c r="F916" s="213" t="s">
        <v>5584</v>
      </c>
      <c r="G916" s="213" t="s">
        <v>1756</v>
      </c>
      <c r="H916" s="213" t="s">
        <v>5585</v>
      </c>
      <c r="I916" s="213" t="s">
        <v>5586</v>
      </c>
      <c r="J916" s="213" t="s">
        <v>5587</v>
      </c>
      <c r="K916" s="213" t="s">
        <v>9591</v>
      </c>
      <c r="L916" s="213" t="s">
        <v>10887</v>
      </c>
      <c r="M916" s="213" t="s">
        <v>10245</v>
      </c>
      <c r="P916" s="121"/>
    </row>
    <row r="917" spans="1:16">
      <c r="A917" s="213" t="s">
        <v>1762</v>
      </c>
      <c r="B917" s="213" t="s">
        <v>1759</v>
      </c>
      <c r="C917" s="221" t="s">
        <v>1759</v>
      </c>
      <c r="D917" s="221" t="s">
        <v>1759</v>
      </c>
      <c r="E917" s="221" t="s">
        <v>5588</v>
      </c>
      <c r="F917" s="213" t="s">
        <v>5589</v>
      </c>
      <c r="G917" s="213" t="s">
        <v>1759</v>
      </c>
      <c r="H917" s="213" t="s">
        <v>5593</v>
      </c>
      <c r="I917" s="213" t="s">
        <v>5591</v>
      </c>
      <c r="J917" s="213" t="s">
        <v>5592</v>
      </c>
      <c r="K917" s="213" t="s">
        <v>9592</v>
      </c>
      <c r="L917" s="213" t="s">
        <v>10888</v>
      </c>
      <c r="M917" s="213" t="s">
        <v>10246</v>
      </c>
      <c r="P917" s="121"/>
    </row>
    <row r="918" spans="1:16">
      <c r="A918" s="213" t="s">
        <v>2623</v>
      </c>
      <c r="B918" s="213" t="s">
        <v>2858</v>
      </c>
      <c r="C918" s="221" t="s">
        <v>2858</v>
      </c>
      <c r="D918" s="221" t="s">
        <v>2858</v>
      </c>
      <c r="E918" s="221" t="s">
        <v>5594</v>
      </c>
      <c r="F918" s="213" t="s">
        <v>5595</v>
      </c>
      <c r="G918" s="213" t="s">
        <v>2858</v>
      </c>
      <c r="H918" s="213" t="s">
        <v>5596</v>
      </c>
      <c r="I918" s="213" t="s">
        <v>5597</v>
      </c>
      <c r="J918" s="213" t="s">
        <v>5598</v>
      </c>
      <c r="K918" s="213" t="s">
        <v>9593</v>
      </c>
      <c r="L918" s="213" t="s">
        <v>24</v>
      </c>
      <c r="M918" s="213" t="s">
        <v>10249</v>
      </c>
      <c r="P918" s="121"/>
    </row>
    <row r="919" spans="1:16">
      <c r="A919" s="213" t="s">
        <v>2624</v>
      </c>
      <c r="B919" s="213" t="s">
        <v>2859</v>
      </c>
      <c r="C919" s="221" t="s">
        <v>2859</v>
      </c>
      <c r="D919" s="221" t="s">
        <v>2859</v>
      </c>
      <c r="E919" s="221" t="s">
        <v>5599</v>
      </c>
      <c r="F919" s="213" t="s">
        <v>5600</v>
      </c>
      <c r="G919" s="213" t="s">
        <v>2859</v>
      </c>
      <c r="H919" s="213" t="s">
        <v>5601</v>
      </c>
      <c r="I919" s="213" t="s">
        <v>5602</v>
      </c>
      <c r="J919" s="213" t="s">
        <v>5603</v>
      </c>
      <c r="K919" s="213" t="s">
        <v>9594</v>
      </c>
      <c r="L919" s="213" t="s">
        <v>24</v>
      </c>
      <c r="M919" s="213" t="s">
        <v>10250</v>
      </c>
      <c r="P919" s="121"/>
    </row>
    <row r="920" spans="1:16">
      <c r="A920" s="213" t="s">
        <v>1763</v>
      </c>
      <c r="B920" s="213" t="s">
        <v>1765</v>
      </c>
      <c r="C920" s="221" t="s">
        <v>1765</v>
      </c>
      <c r="D920" s="221" t="s">
        <v>1765</v>
      </c>
      <c r="E920" s="221" t="s">
        <v>5604</v>
      </c>
      <c r="F920" s="213" t="s">
        <v>5605</v>
      </c>
      <c r="G920" s="213" t="s">
        <v>1765</v>
      </c>
      <c r="H920" s="213" t="s">
        <v>5606</v>
      </c>
      <c r="I920" s="213" t="s">
        <v>5607</v>
      </c>
      <c r="J920" s="213" t="s">
        <v>5608</v>
      </c>
      <c r="K920" s="213" t="s">
        <v>9595</v>
      </c>
      <c r="L920" s="213" t="s">
        <v>24</v>
      </c>
      <c r="M920" s="213" t="s">
        <v>10251</v>
      </c>
      <c r="P920" s="121"/>
    </row>
    <row r="921" spans="1:16">
      <c r="A921" s="213" t="s">
        <v>2625</v>
      </c>
      <c r="B921" s="213" t="s">
        <v>2860</v>
      </c>
      <c r="C921" s="221" t="s">
        <v>2860</v>
      </c>
      <c r="D921" s="221" t="s">
        <v>2860</v>
      </c>
      <c r="E921" s="221" t="s">
        <v>5609</v>
      </c>
      <c r="F921" s="213" t="s">
        <v>5610</v>
      </c>
      <c r="G921" s="213" t="s">
        <v>2860</v>
      </c>
      <c r="H921" s="213" t="s">
        <v>5611</v>
      </c>
      <c r="I921" s="213" t="s">
        <v>5612</v>
      </c>
      <c r="J921" s="213" t="s">
        <v>5613</v>
      </c>
      <c r="K921" s="213" t="s">
        <v>9596</v>
      </c>
      <c r="L921" s="213" t="s">
        <v>24</v>
      </c>
      <c r="M921" s="213" t="s">
        <v>10252</v>
      </c>
      <c r="P921" s="121"/>
    </row>
    <row r="922" spans="1:16">
      <c r="A922" s="213" t="s">
        <v>2626</v>
      </c>
      <c r="B922" s="213" t="s">
        <v>2861</v>
      </c>
      <c r="C922" s="221" t="s">
        <v>2861</v>
      </c>
      <c r="D922" s="221" t="s">
        <v>2861</v>
      </c>
      <c r="E922" s="221" t="s">
        <v>5614</v>
      </c>
      <c r="F922" s="213" t="s">
        <v>5615</v>
      </c>
      <c r="G922" s="213" t="s">
        <v>2861</v>
      </c>
      <c r="H922" s="213" t="s">
        <v>5616</v>
      </c>
      <c r="I922" s="213" t="s">
        <v>5617</v>
      </c>
      <c r="J922" s="213" t="s">
        <v>5618</v>
      </c>
      <c r="K922" s="213" t="s">
        <v>9597</v>
      </c>
      <c r="L922" s="213" t="s">
        <v>24</v>
      </c>
      <c r="M922" s="213" t="s">
        <v>10253</v>
      </c>
      <c r="P922" s="121"/>
    </row>
    <row r="923" spans="1:16">
      <c r="A923" s="213" t="s">
        <v>1766</v>
      </c>
      <c r="B923" s="213" t="s">
        <v>1768</v>
      </c>
      <c r="C923" s="221" t="s">
        <v>1768</v>
      </c>
      <c r="D923" s="221" t="s">
        <v>1768</v>
      </c>
      <c r="E923" s="221" t="s">
        <v>5619</v>
      </c>
      <c r="F923" s="213" t="s">
        <v>5620</v>
      </c>
      <c r="G923" s="213" t="s">
        <v>1768</v>
      </c>
      <c r="H923" s="213" t="s">
        <v>5621</v>
      </c>
      <c r="I923" s="213" t="s">
        <v>5622</v>
      </c>
      <c r="J923" s="213" t="s">
        <v>5623</v>
      </c>
      <c r="K923" s="213" t="s">
        <v>9598</v>
      </c>
      <c r="L923" s="213" t="s">
        <v>24</v>
      </c>
      <c r="M923" s="213" t="s">
        <v>10254</v>
      </c>
      <c r="P923" s="121"/>
    </row>
    <row r="924" spans="1:16">
      <c r="A924" s="214" t="s">
        <v>1769</v>
      </c>
      <c r="B924" s="213" t="s">
        <v>1771</v>
      </c>
      <c r="C924" s="221" t="s">
        <v>1771</v>
      </c>
      <c r="D924" s="221" t="s">
        <v>1771</v>
      </c>
      <c r="E924" s="221" t="s">
        <v>5624</v>
      </c>
      <c r="F924" s="213" t="s">
        <v>5625</v>
      </c>
      <c r="G924" s="213" t="s">
        <v>1771</v>
      </c>
      <c r="H924" s="213" t="s">
        <v>5626</v>
      </c>
      <c r="I924" s="213" t="s">
        <v>5627</v>
      </c>
      <c r="J924" s="213" t="s">
        <v>5628</v>
      </c>
      <c r="K924" s="213" t="s">
        <v>9599</v>
      </c>
      <c r="L924" s="213" t="s">
        <v>24</v>
      </c>
      <c r="M924" s="213" t="s">
        <v>10255</v>
      </c>
      <c r="P924" s="121"/>
    </row>
    <row r="925" spans="1:16">
      <c r="A925" s="213" t="s">
        <v>3077</v>
      </c>
      <c r="B925" s="213" t="s">
        <v>3078</v>
      </c>
      <c r="C925" s="221" t="s">
        <v>3078</v>
      </c>
      <c r="D925" s="221" t="s">
        <v>3078</v>
      </c>
      <c r="E925" s="221" t="s">
        <v>5629</v>
      </c>
      <c r="F925" s="213" t="s">
        <v>5630</v>
      </c>
      <c r="G925" s="213" t="s">
        <v>3078</v>
      </c>
      <c r="H925" s="213" t="s">
        <v>5631</v>
      </c>
      <c r="I925" s="213" t="s">
        <v>5632</v>
      </c>
      <c r="J925" s="213"/>
      <c r="K925" s="213" t="s">
        <v>9600</v>
      </c>
      <c r="L925" s="213" t="s">
        <v>24</v>
      </c>
      <c r="M925" s="213" t="s">
        <v>10256</v>
      </c>
      <c r="P925" s="121"/>
    </row>
    <row r="926" spans="1:16">
      <c r="A926" s="213" t="s">
        <v>1773</v>
      </c>
      <c r="B926" s="213" t="s">
        <v>1774</v>
      </c>
      <c r="C926" s="221" t="s">
        <v>1774</v>
      </c>
      <c r="D926" s="221" t="s">
        <v>1774</v>
      </c>
      <c r="E926" s="221" t="s">
        <v>5633</v>
      </c>
      <c r="F926" s="213" t="s">
        <v>5634</v>
      </c>
      <c r="G926" s="213" t="s">
        <v>1774</v>
      </c>
      <c r="H926" s="213" t="s">
        <v>5635</v>
      </c>
      <c r="I926" s="213" t="s">
        <v>5636</v>
      </c>
      <c r="J926" s="213" t="s">
        <v>5637</v>
      </c>
      <c r="K926" s="213" t="s">
        <v>9601</v>
      </c>
      <c r="L926" s="213" t="s">
        <v>24</v>
      </c>
      <c r="M926" s="213" t="s">
        <v>10257</v>
      </c>
      <c r="P926" s="121"/>
    </row>
    <row r="927" spans="1:16">
      <c r="A927" s="213" t="s">
        <v>1775</v>
      </c>
      <c r="B927" s="213" t="s">
        <v>1777</v>
      </c>
      <c r="C927" s="221" t="s">
        <v>1777</v>
      </c>
      <c r="D927" s="221" t="s">
        <v>1777</v>
      </c>
      <c r="E927" s="221" t="s">
        <v>5638</v>
      </c>
      <c r="F927" s="213" t="s">
        <v>5639</v>
      </c>
      <c r="G927" s="213" t="s">
        <v>1777</v>
      </c>
      <c r="H927" s="213" t="s">
        <v>5640</v>
      </c>
      <c r="I927" s="213" t="s">
        <v>5641</v>
      </c>
      <c r="J927" s="213" t="s">
        <v>5642</v>
      </c>
      <c r="K927" s="213" t="s">
        <v>9602</v>
      </c>
      <c r="L927" s="213" t="s">
        <v>24</v>
      </c>
      <c r="M927" s="213" t="s">
        <v>10258</v>
      </c>
      <c r="P927" s="121"/>
    </row>
    <row r="928" spans="1:16">
      <c r="A928" s="213" t="s">
        <v>1778</v>
      </c>
      <c r="B928" s="213" t="s">
        <v>1779</v>
      </c>
      <c r="C928" s="221" t="s">
        <v>1779</v>
      </c>
      <c r="D928" s="221" t="s">
        <v>1779</v>
      </c>
      <c r="E928" s="221" t="s">
        <v>5643</v>
      </c>
      <c r="F928" s="213" t="s">
        <v>5644</v>
      </c>
      <c r="G928" s="213" t="s">
        <v>1779</v>
      </c>
      <c r="H928" s="213" t="s">
        <v>5645</v>
      </c>
      <c r="I928" s="213" t="s">
        <v>5646</v>
      </c>
      <c r="J928" s="213" t="s">
        <v>5647</v>
      </c>
      <c r="K928" s="222" t="s">
        <v>9603</v>
      </c>
      <c r="L928" s="213" t="s">
        <v>24</v>
      </c>
      <c r="M928" s="213" t="s">
        <v>10259</v>
      </c>
      <c r="P928" s="121"/>
    </row>
    <row r="929" spans="1:16">
      <c r="A929" s="213" t="s">
        <v>1780</v>
      </c>
      <c r="B929" s="213" t="s">
        <v>1781</v>
      </c>
      <c r="C929" s="221" t="s">
        <v>1781</v>
      </c>
      <c r="D929" s="221" t="s">
        <v>1781</v>
      </c>
      <c r="E929" s="221" t="s">
        <v>5648</v>
      </c>
      <c r="F929" s="213" t="s">
        <v>5649</v>
      </c>
      <c r="G929" s="213" t="s">
        <v>1781</v>
      </c>
      <c r="H929" s="213" t="s">
        <v>5650</v>
      </c>
      <c r="I929" s="213" t="s">
        <v>5651</v>
      </c>
      <c r="J929" s="213" t="s">
        <v>5652</v>
      </c>
      <c r="K929" s="213" t="s">
        <v>9604</v>
      </c>
      <c r="L929" s="213" t="s">
        <v>24</v>
      </c>
      <c r="M929" s="213" t="s">
        <v>10260</v>
      </c>
      <c r="P929" s="121"/>
    </row>
    <row r="930" spans="1:16">
      <c r="A930" s="213" t="s">
        <v>1782</v>
      </c>
      <c r="B930" s="213" t="s">
        <v>1783</v>
      </c>
      <c r="C930" s="221" t="s">
        <v>1783</v>
      </c>
      <c r="D930" s="221" t="s">
        <v>1783</v>
      </c>
      <c r="E930" s="221" t="s">
        <v>5653</v>
      </c>
      <c r="F930" s="213" t="s">
        <v>5654</v>
      </c>
      <c r="G930" s="213" t="s">
        <v>1783</v>
      </c>
      <c r="H930" s="213" t="s">
        <v>5655</v>
      </c>
      <c r="I930" s="213" t="s">
        <v>5656</v>
      </c>
      <c r="J930" s="213" t="s">
        <v>5657</v>
      </c>
      <c r="K930" s="213" t="s">
        <v>9605</v>
      </c>
      <c r="L930" s="213" t="s">
        <v>24</v>
      </c>
      <c r="M930" s="213" t="s">
        <v>10261</v>
      </c>
      <c r="P930" s="121"/>
    </row>
    <row r="931" spans="1:16">
      <c r="A931" s="213" t="s">
        <v>1784</v>
      </c>
      <c r="B931" s="213" t="s">
        <v>1785</v>
      </c>
      <c r="C931" s="221" t="s">
        <v>1785</v>
      </c>
      <c r="D931" s="221" t="s">
        <v>1785</v>
      </c>
      <c r="E931" s="221" t="s">
        <v>5658</v>
      </c>
      <c r="F931" s="213" t="s">
        <v>5659</v>
      </c>
      <c r="G931" s="213" t="s">
        <v>1785</v>
      </c>
      <c r="H931" s="213" t="s">
        <v>5660</v>
      </c>
      <c r="I931" s="213" t="s">
        <v>5661</v>
      </c>
      <c r="J931" s="213" t="s">
        <v>5662</v>
      </c>
      <c r="K931" s="213" t="s">
        <v>9606</v>
      </c>
      <c r="L931" s="213" t="s">
        <v>24</v>
      </c>
      <c r="M931" s="213" t="s">
        <v>10262</v>
      </c>
      <c r="P931" s="121"/>
    </row>
    <row r="932" spans="1:16">
      <c r="A932" s="213" t="s">
        <v>1786</v>
      </c>
      <c r="B932" s="213" t="s">
        <v>1787</v>
      </c>
      <c r="C932" s="221" t="s">
        <v>1787</v>
      </c>
      <c r="D932" s="221" t="s">
        <v>1787</v>
      </c>
      <c r="E932" s="221" t="s">
        <v>5663</v>
      </c>
      <c r="F932" s="213" t="s">
        <v>5664</v>
      </c>
      <c r="G932" s="213" t="s">
        <v>1787</v>
      </c>
      <c r="H932" s="213" t="s">
        <v>5665</v>
      </c>
      <c r="I932" s="213" t="s">
        <v>5666</v>
      </c>
      <c r="J932" s="213" t="s">
        <v>5667</v>
      </c>
      <c r="K932" s="213" t="s">
        <v>9607</v>
      </c>
      <c r="L932" s="213" t="s">
        <v>24</v>
      </c>
      <c r="M932" s="213" t="s">
        <v>10263</v>
      </c>
      <c r="P932" s="121"/>
    </row>
    <row r="933" spans="1:16">
      <c r="A933" s="213" t="s">
        <v>1788</v>
      </c>
      <c r="B933" s="213" t="s">
        <v>1789</v>
      </c>
      <c r="C933" s="221" t="s">
        <v>1789</v>
      </c>
      <c r="D933" s="221" t="s">
        <v>1789</v>
      </c>
      <c r="E933" s="221" t="s">
        <v>5668</v>
      </c>
      <c r="F933" s="213" t="s">
        <v>5669</v>
      </c>
      <c r="G933" s="213" t="s">
        <v>1789</v>
      </c>
      <c r="H933" s="213" t="s">
        <v>5670</v>
      </c>
      <c r="I933" s="213" t="s">
        <v>5671</v>
      </c>
      <c r="J933" s="213" t="s">
        <v>5672</v>
      </c>
      <c r="K933" s="213" t="s">
        <v>9608</v>
      </c>
      <c r="L933" s="213" t="s">
        <v>24</v>
      </c>
      <c r="M933" s="213" t="s">
        <v>10264</v>
      </c>
      <c r="P933" s="121"/>
    </row>
    <row r="934" spans="1:16">
      <c r="A934" s="213" t="s">
        <v>1790</v>
      </c>
      <c r="B934" s="213" t="s">
        <v>1792</v>
      </c>
      <c r="C934" s="221" t="s">
        <v>1792</v>
      </c>
      <c r="D934" s="221" t="s">
        <v>1792</v>
      </c>
      <c r="E934" s="221" t="s">
        <v>5673</v>
      </c>
      <c r="F934" s="213" t="s">
        <v>5674</v>
      </c>
      <c r="G934" s="213" t="s">
        <v>1792</v>
      </c>
      <c r="H934" s="213" t="s">
        <v>5675</v>
      </c>
      <c r="I934" s="213" t="s">
        <v>5676</v>
      </c>
      <c r="J934" s="213" t="s">
        <v>5677</v>
      </c>
      <c r="K934" s="213" t="s">
        <v>9609</v>
      </c>
      <c r="L934" s="213" t="s">
        <v>24</v>
      </c>
      <c r="M934" s="213" t="s">
        <v>10265</v>
      </c>
      <c r="P934" s="121"/>
    </row>
    <row r="935" spans="1:16">
      <c r="A935" s="213" t="s">
        <v>1793</v>
      </c>
      <c r="B935" s="213" t="s">
        <v>1794</v>
      </c>
      <c r="C935" s="221" t="s">
        <v>1794</v>
      </c>
      <c r="D935" s="221" t="s">
        <v>1794</v>
      </c>
      <c r="E935" s="221" t="s">
        <v>5678</v>
      </c>
      <c r="F935" s="213" t="s">
        <v>5679</v>
      </c>
      <c r="G935" s="213" t="s">
        <v>1794</v>
      </c>
      <c r="H935" s="213" t="s">
        <v>5680</v>
      </c>
      <c r="I935" s="213" t="s">
        <v>5681</v>
      </c>
      <c r="J935" s="213" t="s">
        <v>5682</v>
      </c>
      <c r="K935" s="213" t="s">
        <v>9610</v>
      </c>
      <c r="L935" s="213" t="s">
        <v>24</v>
      </c>
      <c r="M935" s="213" t="s">
        <v>10266</v>
      </c>
      <c r="P935" s="121"/>
    </row>
    <row r="936" spans="1:16">
      <c r="A936" s="213" t="s">
        <v>1797</v>
      </c>
      <c r="B936" s="213" t="s">
        <v>1798</v>
      </c>
      <c r="C936" s="221" t="s">
        <v>1798</v>
      </c>
      <c r="D936" s="221" t="s">
        <v>1798</v>
      </c>
      <c r="E936" s="221" t="s">
        <v>5690</v>
      </c>
      <c r="F936" s="213" t="s">
        <v>5691</v>
      </c>
      <c r="G936" s="213" t="s">
        <v>1798</v>
      </c>
      <c r="H936" s="213" t="s">
        <v>5692</v>
      </c>
      <c r="I936" s="213" t="s">
        <v>5693</v>
      </c>
      <c r="J936" s="213" t="s">
        <v>5694</v>
      </c>
      <c r="K936" s="213" t="s">
        <v>9612</v>
      </c>
      <c r="L936" s="213" t="s">
        <v>24</v>
      </c>
      <c r="M936" s="213" t="s">
        <v>10267</v>
      </c>
      <c r="P936" s="121"/>
    </row>
    <row r="937" spans="1:16">
      <c r="A937" s="213" t="s">
        <v>1799</v>
      </c>
      <c r="B937" s="213" t="s">
        <v>1800</v>
      </c>
      <c r="C937" s="221" t="s">
        <v>1800</v>
      </c>
      <c r="D937" s="221" t="s">
        <v>1800</v>
      </c>
      <c r="E937" s="221" t="s">
        <v>5695</v>
      </c>
      <c r="F937" s="213" t="s">
        <v>5696</v>
      </c>
      <c r="G937" s="213" t="s">
        <v>1800</v>
      </c>
      <c r="H937" s="213" t="s">
        <v>5697</v>
      </c>
      <c r="I937" s="213" t="s">
        <v>5698</v>
      </c>
      <c r="J937" s="213" t="s">
        <v>5699</v>
      </c>
      <c r="K937" s="213" t="s">
        <v>9613</v>
      </c>
      <c r="L937" s="213" t="s">
        <v>24</v>
      </c>
      <c r="M937" s="213" t="s">
        <v>10268</v>
      </c>
      <c r="P937" s="121"/>
    </row>
    <row r="938" spans="1:16">
      <c r="A938" s="213" t="s">
        <v>1801</v>
      </c>
      <c r="B938" s="213" t="s">
        <v>1802</v>
      </c>
      <c r="C938" s="221" t="s">
        <v>1802</v>
      </c>
      <c r="D938" s="221" t="s">
        <v>1802</v>
      </c>
      <c r="E938" s="221" t="s">
        <v>5379</v>
      </c>
      <c r="F938" s="213" t="s">
        <v>5700</v>
      </c>
      <c r="G938" s="213" t="s">
        <v>1802</v>
      </c>
      <c r="H938" s="213" t="s">
        <v>5380</v>
      </c>
      <c r="I938" s="213" t="s">
        <v>5701</v>
      </c>
      <c r="J938" s="213" t="s">
        <v>5702</v>
      </c>
      <c r="K938" s="213" t="s">
        <v>9614</v>
      </c>
      <c r="L938" s="213" t="s">
        <v>24</v>
      </c>
      <c r="M938" s="213" t="s">
        <v>10269</v>
      </c>
      <c r="P938" s="121"/>
    </row>
    <row r="939" spans="1:16">
      <c r="A939" s="213" t="s">
        <v>1803</v>
      </c>
      <c r="B939" s="213" t="s">
        <v>1804</v>
      </c>
      <c r="C939" s="221" t="s">
        <v>1804</v>
      </c>
      <c r="D939" s="221" t="s">
        <v>1804</v>
      </c>
      <c r="E939" s="221" t="s">
        <v>5703</v>
      </c>
      <c r="F939" s="213" t="s">
        <v>5704</v>
      </c>
      <c r="G939" s="213" t="s">
        <v>1804</v>
      </c>
      <c r="H939" s="213" t="s">
        <v>5705</v>
      </c>
      <c r="I939" s="213" t="s">
        <v>5706</v>
      </c>
      <c r="J939" s="213" t="s">
        <v>5707</v>
      </c>
      <c r="K939" s="213" t="s">
        <v>9615</v>
      </c>
      <c r="L939" s="213" t="s">
        <v>24</v>
      </c>
      <c r="M939" s="213" t="s">
        <v>10270</v>
      </c>
      <c r="P939" s="121"/>
    </row>
    <row r="940" spans="1:16">
      <c r="A940" s="213" t="s">
        <v>1805</v>
      </c>
      <c r="B940" s="213" t="s">
        <v>1480</v>
      </c>
      <c r="C940" s="221" t="s">
        <v>1480</v>
      </c>
      <c r="D940" s="221" t="s">
        <v>1480</v>
      </c>
      <c r="E940" s="221" t="s">
        <v>5708</v>
      </c>
      <c r="F940" s="213" t="s">
        <v>5709</v>
      </c>
      <c r="G940" s="213" t="s">
        <v>1480</v>
      </c>
      <c r="H940" s="213" t="s">
        <v>5710</v>
      </c>
      <c r="I940" s="213" t="s">
        <v>5711</v>
      </c>
      <c r="J940" s="213" t="s">
        <v>5712</v>
      </c>
      <c r="K940" s="213" t="s">
        <v>9616</v>
      </c>
      <c r="L940" s="213" t="s">
        <v>24</v>
      </c>
      <c r="M940" s="213" t="s">
        <v>10271</v>
      </c>
      <c r="P940" s="121"/>
    </row>
    <row r="941" spans="1:16">
      <c r="A941" s="213" t="s">
        <v>1806</v>
      </c>
      <c r="B941" s="213" t="s">
        <v>1807</v>
      </c>
      <c r="C941" s="221" t="s">
        <v>1807</v>
      </c>
      <c r="D941" s="221" t="s">
        <v>1807</v>
      </c>
      <c r="E941" s="221" t="s">
        <v>5713</v>
      </c>
      <c r="F941" s="213" t="s">
        <v>5714</v>
      </c>
      <c r="G941" s="213" t="s">
        <v>1807</v>
      </c>
      <c r="H941" s="213" t="s">
        <v>5715</v>
      </c>
      <c r="I941" s="213" t="s">
        <v>5716</v>
      </c>
      <c r="J941" s="213" t="s">
        <v>5717</v>
      </c>
      <c r="K941" s="213" t="s">
        <v>9617</v>
      </c>
      <c r="L941" s="213" t="s">
        <v>24</v>
      </c>
      <c r="M941" s="213" t="s">
        <v>10272</v>
      </c>
      <c r="P941" s="121"/>
    </row>
    <row r="942" spans="1:16">
      <c r="A942" s="213" t="s">
        <v>1808</v>
      </c>
      <c r="B942" s="213" t="s">
        <v>1796</v>
      </c>
      <c r="C942" s="221" t="s">
        <v>1796</v>
      </c>
      <c r="D942" s="221" t="s">
        <v>1796</v>
      </c>
      <c r="E942" s="221" t="s">
        <v>5685</v>
      </c>
      <c r="F942" s="213" t="s">
        <v>5686</v>
      </c>
      <c r="G942" s="213" t="s">
        <v>1796</v>
      </c>
      <c r="H942" s="213" t="s">
        <v>5687</v>
      </c>
      <c r="I942" s="213" t="s">
        <v>5688</v>
      </c>
      <c r="J942" s="213" t="s">
        <v>5689</v>
      </c>
      <c r="K942" s="213" t="s">
        <v>9611</v>
      </c>
      <c r="L942" s="213" t="s">
        <v>24</v>
      </c>
      <c r="M942" s="213" t="s">
        <v>10273</v>
      </c>
      <c r="P942" s="121"/>
    </row>
    <row r="943" spans="1:16">
      <c r="A943" s="213" t="s">
        <v>1811</v>
      </c>
      <c r="B943" s="213" t="s">
        <v>1812</v>
      </c>
      <c r="C943" s="221" t="s">
        <v>1812</v>
      </c>
      <c r="D943" s="221" t="s">
        <v>1812</v>
      </c>
      <c r="E943" s="221" t="s">
        <v>5718</v>
      </c>
      <c r="F943" s="213" t="s">
        <v>5719</v>
      </c>
      <c r="G943" s="213" t="s">
        <v>1812</v>
      </c>
      <c r="H943" s="213" t="s">
        <v>5720</v>
      </c>
      <c r="I943" s="213" t="s">
        <v>5721</v>
      </c>
      <c r="J943" s="213" t="s">
        <v>5722</v>
      </c>
      <c r="K943" s="213" t="s">
        <v>9618</v>
      </c>
      <c r="L943" s="213" t="s">
        <v>24</v>
      </c>
      <c r="M943" s="213" t="s">
        <v>10274</v>
      </c>
      <c r="P943" s="121"/>
    </row>
    <row r="944" spans="1:16">
      <c r="A944" s="213" t="s">
        <v>1813</v>
      </c>
      <c r="B944" s="213" t="s">
        <v>1815</v>
      </c>
      <c r="C944" s="221" t="s">
        <v>1815</v>
      </c>
      <c r="D944" s="221" t="s">
        <v>1815</v>
      </c>
      <c r="E944" s="221" t="s">
        <v>5723</v>
      </c>
      <c r="F944" s="213" t="s">
        <v>5724</v>
      </c>
      <c r="G944" s="213" t="s">
        <v>1815</v>
      </c>
      <c r="H944" s="213" t="s">
        <v>5725</v>
      </c>
      <c r="I944" s="213" t="s">
        <v>5726</v>
      </c>
      <c r="J944" s="213" t="s">
        <v>5727</v>
      </c>
      <c r="K944" s="222" t="s">
        <v>9619</v>
      </c>
      <c r="L944" s="213" t="s">
        <v>24</v>
      </c>
      <c r="M944" s="213" t="s">
        <v>10275</v>
      </c>
      <c r="P944" s="121"/>
    </row>
    <row r="945" spans="1:16">
      <c r="A945" s="213" t="s">
        <v>1816</v>
      </c>
      <c r="B945" s="213" t="s">
        <v>1817</v>
      </c>
      <c r="C945" s="221" t="s">
        <v>1817</v>
      </c>
      <c r="D945" s="221" t="s">
        <v>1817</v>
      </c>
      <c r="E945" s="221" t="s">
        <v>5728</v>
      </c>
      <c r="F945" s="213" t="s">
        <v>5729</v>
      </c>
      <c r="G945" s="213" t="s">
        <v>1817</v>
      </c>
      <c r="H945" s="213" t="s">
        <v>5730</v>
      </c>
      <c r="I945" s="213" t="s">
        <v>5731</v>
      </c>
      <c r="J945" s="213" t="s">
        <v>5732</v>
      </c>
      <c r="K945" s="222" t="s">
        <v>9620</v>
      </c>
      <c r="L945" s="213" t="s">
        <v>24</v>
      </c>
      <c r="M945" s="213" t="s">
        <v>10276</v>
      </c>
      <c r="P945" s="121"/>
    </row>
    <row r="946" spans="1:16">
      <c r="A946" s="213" t="s">
        <v>1818</v>
      </c>
      <c r="B946" s="213" t="s">
        <v>2862</v>
      </c>
      <c r="C946" s="221" t="s">
        <v>2862</v>
      </c>
      <c r="D946" s="221" t="s">
        <v>2862</v>
      </c>
      <c r="E946" s="221" t="s">
        <v>5733</v>
      </c>
      <c r="F946" s="213" t="s">
        <v>5734</v>
      </c>
      <c r="G946" s="213" t="s">
        <v>2862</v>
      </c>
      <c r="H946" s="213" t="s">
        <v>5735</v>
      </c>
      <c r="I946" s="213" t="s">
        <v>5736</v>
      </c>
      <c r="J946" s="213" t="s">
        <v>5737</v>
      </c>
      <c r="K946" s="222" t="s">
        <v>9621</v>
      </c>
      <c r="L946" s="213" t="s">
        <v>24</v>
      </c>
      <c r="M946" s="213" t="s">
        <v>10277</v>
      </c>
      <c r="P946" s="121"/>
    </row>
    <row r="947" spans="1:16">
      <c r="A947" s="213" t="s">
        <v>1819</v>
      </c>
      <c r="B947" s="213" t="s">
        <v>1820</v>
      </c>
      <c r="C947" s="221" t="s">
        <v>1820</v>
      </c>
      <c r="D947" s="221" t="s">
        <v>1820</v>
      </c>
      <c r="E947" s="221" t="s">
        <v>5738</v>
      </c>
      <c r="F947" s="213" t="s">
        <v>5739</v>
      </c>
      <c r="G947" s="213" t="s">
        <v>1820</v>
      </c>
      <c r="H947" s="213" t="s">
        <v>5740</v>
      </c>
      <c r="I947" s="213" t="s">
        <v>5741</v>
      </c>
      <c r="J947" s="213" t="s">
        <v>5742</v>
      </c>
      <c r="K947" s="222" t="s">
        <v>9622</v>
      </c>
      <c r="L947" s="213" t="s">
        <v>24</v>
      </c>
      <c r="M947" s="213" t="s">
        <v>10278</v>
      </c>
      <c r="P947" s="121"/>
    </row>
    <row r="948" spans="1:16">
      <c r="A948" s="213" t="s">
        <v>1821</v>
      </c>
      <c r="B948" s="213" t="s">
        <v>1822</v>
      </c>
      <c r="C948" s="221" t="s">
        <v>1822</v>
      </c>
      <c r="D948" s="221" t="s">
        <v>1822</v>
      </c>
      <c r="E948" s="221" t="s">
        <v>5743</v>
      </c>
      <c r="F948" s="213" t="s">
        <v>5744</v>
      </c>
      <c r="G948" s="213" t="s">
        <v>1822</v>
      </c>
      <c r="H948" s="213" t="s">
        <v>5745</v>
      </c>
      <c r="I948" s="213" t="s">
        <v>5746</v>
      </c>
      <c r="J948" s="213" t="s">
        <v>5747</v>
      </c>
      <c r="K948" s="213" t="s">
        <v>9623</v>
      </c>
      <c r="L948" s="213" t="s">
        <v>24</v>
      </c>
      <c r="M948" s="213" t="s">
        <v>10279</v>
      </c>
      <c r="P948" s="121"/>
    </row>
    <row r="949" spans="1:16">
      <c r="A949" s="213" t="s">
        <v>1823</v>
      </c>
      <c r="B949" s="213" t="s">
        <v>1824</v>
      </c>
      <c r="C949" s="221" t="s">
        <v>1824</v>
      </c>
      <c r="D949" s="221" t="s">
        <v>1824</v>
      </c>
      <c r="E949" s="221" t="s">
        <v>5748</v>
      </c>
      <c r="F949" s="213" t="s">
        <v>5749</v>
      </c>
      <c r="G949" s="213" t="s">
        <v>1824</v>
      </c>
      <c r="H949" s="213" t="s">
        <v>5750</v>
      </c>
      <c r="I949" s="213" t="s">
        <v>5751</v>
      </c>
      <c r="J949" s="213" t="s">
        <v>5752</v>
      </c>
      <c r="K949" s="213" t="s">
        <v>9624</v>
      </c>
      <c r="L949" s="213" t="s">
        <v>24</v>
      </c>
      <c r="M949" s="213" t="s">
        <v>10280</v>
      </c>
      <c r="P949" s="121"/>
    </row>
    <row r="950" spans="1:16">
      <c r="A950" s="213" t="s">
        <v>1825</v>
      </c>
      <c r="B950" s="213" t="s">
        <v>1826</v>
      </c>
      <c r="C950" s="221" t="s">
        <v>1826</v>
      </c>
      <c r="D950" s="221" t="s">
        <v>1826</v>
      </c>
      <c r="E950" s="221" t="s">
        <v>5753</v>
      </c>
      <c r="F950" s="213" t="s">
        <v>5754</v>
      </c>
      <c r="G950" s="213" t="s">
        <v>1826</v>
      </c>
      <c r="H950" s="213" t="s">
        <v>5755</v>
      </c>
      <c r="I950" s="213" t="s">
        <v>5756</v>
      </c>
      <c r="J950" s="213" t="s">
        <v>5757</v>
      </c>
      <c r="K950" s="213" t="s">
        <v>9625</v>
      </c>
      <c r="L950" s="213" t="s">
        <v>24</v>
      </c>
      <c r="M950" s="213" t="s">
        <v>10281</v>
      </c>
      <c r="P950" s="121"/>
    </row>
    <row r="951" spans="1:16">
      <c r="A951" s="213" t="s">
        <v>1827</v>
      </c>
      <c r="B951" s="213" t="s">
        <v>1828</v>
      </c>
      <c r="C951" s="221" t="s">
        <v>1828</v>
      </c>
      <c r="D951" s="221" t="s">
        <v>1828</v>
      </c>
      <c r="E951" s="221" t="s">
        <v>5758</v>
      </c>
      <c r="F951" s="213" t="s">
        <v>5759</v>
      </c>
      <c r="G951" s="213" t="s">
        <v>1828</v>
      </c>
      <c r="H951" s="213" t="s">
        <v>5760</v>
      </c>
      <c r="I951" s="213" t="s">
        <v>5761</v>
      </c>
      <c r="J951" s="213" t="s">
        <v>5762</v>
      </c>
      <c r="K951" s="213" t="s">
        <v>9626</v>
      </c>
      <c r="L951" s="213" t="s">
        <v>24</v>
      </c>
      <c r="M951" s="213" t="s">
        <v>10282</v>
      </c>
      <c r="P951" s="121"/>
    </row>
    <row r="952" spans="1:16">
      <c r="A952" s="213" t="s">
        <v>1831</v>
      </c>
      <c r="B952" s="213" t="s">
        <v>1832</v>
      </c>
      <c r="C952" s="221" t="s">
        <v>1832</v>
      </c>
      <c r="D952" s="221" t="s">
        <v>1832</v>
      </c>
      <c r="E952" s="221" t="s">
        <v>5768</v>
      </c>
      <c r="F952" s="213" t="s">
        <v>5769</v>
      </c>
      <c r="G952" s="213" t="s">
        <v>1832</v>
      </c>
      <c r="H952" s="213" t="s">
        <v>5770</v>
      </c>
      <c r="I952" s="213" t="s">
        <v>5771</v>
      </c>
      <c r="J952" s="213" t="s">
        <v>5772</v>
      </c>
      <c r="K952" s="213" t="s">
        <v>9628</v>
      </c>
      <c r="L952" s="213" t="s">
        <v>24</v>
      </c>
      <c r="M952" s="213" t="s">
        <v>10284</v>
      </c>
      <c r="P952" s="121"/>
    </row>
    <row r="953" spans="1:16">
      <c r="A953" s="213" t="s">
        <v>1833</v>
      </c>
      <c r="B953" s="213" t="s">
        <v>1834</v>
      </c>
      <c r="C953" s="221" t="s">
        <v>1834</v>
      </c>
      <c r="D953" s="221" t="s">
        <v>1834</v>
      </c>
      <c r="E953" s="221" t="s">
        <v>5773</v>
      </c>
      <c r="F953" s="213" t="s">
        <v>5774</v>
      </c>
      <c r="G953" s="213" t="s">
        <v>1834</v>
      </c>
      <c r="H953" s="213" t="s">
        <v>5775</v>
      </c>
      <c r="I953" s="213" t="s">
        <v>5776</v>
      </c>
      <c r="J953" s="213" t="s">
        <v>5777</v>
      </c>
      <c r="K953" s="213" t="s">
        <v>9629</v>
      </c>
      <c r="L953" s="213" t="s">
        <v>24</v>
      </c>
      <c r="M953" s="213" t="s">
        <v>10285</v>
      </c>
      <c r="P953" s="121"/>
    </row>
    <row r="954" spans="1:16">
      <c r="A954" s="214" t="s">
        <v>1835</v>
      </c>
      <c r="B954" s="213" t="s">
        <v>1837</v>
      </c>
      <c r="C954" s="221" t="s">
        <v>1836</v>
      </c>
      <c r="D954" s="221" t="s">
        <v>1837</v>
      </c>
      <c r="E954" s="221" t="s">
        <v>5778</v>
      </c>
      <c r="F954" s="213" t="s">
        <v>5779</v>
      </c>
      <c r="G954" s="213" t="s">
        <v>1836</v>
      </c>
      <c r="H954" s="213" t="s">
        <v>5780</v>
      </c>
      <c r="I954" s="213" t="s">
        <v>5781</v>
      </c>
      <c r="J954" s="213" t="s">
        <v>5782</v>
      </c>
      <c r="K954" s="213" t="s">
        <v>9630</v>
      </c>
      <c r="L954" s="213" t="s">
        <v>24</v>
      </c>
      <c r="M954" s="213" t="s">
        <v>10286</v>
      </c>
      <c r="P954" s="121"/>
    </row>
    <row r="955" spans="1:16">
      <c r="A955" s="213" t="s">
        <v>1838</v>
      </c>
      <c r="B955" s="213" t="s">
        <v>1839</v>
      </c>
      <c r="C955" s="221" t="s">
        <v>1839</v>
      </c>
      <c r="D955" s="221" t="s">
        <v>1839</v>
      </c>
      <c r="E955" s="221" t="s">
        <v>5783</v>
      </c>
      <c r="F955" s="213" t="s">
        <v>5784</v>
      </c>
      <c r="G955" s="213" t="s">
        <v>1839</v>
      </c>
      <c r="H955" s="213" t="s">
        <v>5785</v>
      </c>
      <c r="I955" s="213" t="s">
        <v>5786</v>
      </c>
      <c r="J955" s="213" t="s">
        <v>5787</v>
      </c>
      <c r="K955" s="213" t="s">
        <v>9631</v>
      </c>
      <c r="L955" s="213" t="s">
        <v>24</v>
      </c>
      <c r="M955" s="213" t="s">
        <v>10287</v>
      </c>
      <c r="P955" s="121"/>
    </row>
    <row r="956" spans="1:16">
      <c r="A956" s="213" t="s">
        <v>1856</v>
      </c>
      <c r="B956" s="213" t="s">
        <v>1858</v>
      </c>
      <c r="C956" s="221" t="s">
        <v>1857</v>
      </c>
      <c r="D956" s="221" t="s">
        <v>1858</v>
      </c>
      <c r="E956" s="221" t="s">
        <v>5823</v>
      </c>
      <c r="F956" s="213" t="s">
        <v>5824</v>
      </c>
      <c r="G956" s="213" t="s">
        <v>1857</v>
      </c>
      <c r="H956" s="213" t="s">
        <v>5825</v>
      </c>
      <c r="I956" s="213" t="s">
        <v>5826</v>
      </c>
      <c r="J956" s="213" t="s">
        <v>5827</v>
      </c>
      <c r="K956" s="213" t="s">
        <v>9639</v>
      </c>
      <c r="L956" s="213" t="s">
        <v>24</v>
      </c>
      <c r="M956" s="213" t="s">
        <v>10295</v>
      </c>
      <c r="P956" s="121"/>
    </row>
    <row r="957" spans="1:16">
      <c r="A957" s="213" t="s">
        <v>1862</v>
      </c>
      <c r="B957" s="213" t="s">
        <v>1863</v>
      </c>
      <c r="C957" s="221" t="s">
        <v>1863</v>
      </c>
      <c r="D957" s="221" t="s">
        <v>1863</v>
      </c>
      <c r="E957" s="221" t="s">
        <v>5833</v>
      </c>
      <c r="F957" s="213" t="s">
        <v>5834</v>
      </c>
      <c r="G957" s="213" t="s">
        <v>1863</v>
      </c>
      <c r="H957" s="213" t="s">
        <v>5835</v>
      </c>
      <c r="I957" s="213" t="s">
        <v>5836</v>
      </c>
      <c r="J957" s="213" t="s">
        <v>5837</v>
      </c>
      <c r="K957" s="213" t="s">
        <v>9641</v>
      </c>
      <c r="L957" s="213" t="s">
        <v>24</v>
      </c>
      <c r="M957" s="213" t="s">
        <v>10297</v>
      </c>
      <c r="P957" s="121"/>
    </row>
    <row r="958" spans="1:16">
      <c r="A958" s="213" t="s">
        <v>1864</v>
      </c>
      <c r="B958" s="213" t="s">
        <v>1865</v>
      </c>
      <c r="C958" s="221" t="s">
        <v>1865</v>
      </c>
      <c r="D958" s="221" t="s">
        <v>1865</v>
      </c>
      <c r="E958" s="221" t="s">
        <v>5838</v>
      </c>
      <c r="F958" s="213" t="s">
        <v>5839</v>
      </c>
      <c r="G958" s="213" t="s">
        <v>1865</v>
      </c>
      <c r="H958" s="213" t="s">
        <v>5840</v>
      </c>
      <c r="I958" s="213" t="s">
        <v>5841</v>
      </c>
      <c r="J958" s="213" t="s">
        <v>5842</v>
      </c>
      <c r="K958" s="213" t="s">
        <v>9642</v>
      </c>
      <c r="L958" s="213" t="s">
        <v>24</v>
      </c>
      <c r="M958" s="213" t="s">
        <v>10298</v>
      </c>
      <c r="P958" s="121"/>
    </row>
    <row r="959" spans="1:16">
      <c r="A959" s="213" t="s">
        <v>1866</v>
      </c>
      <c r="B959" s="213" t="s">
        <v>1867</v>
      </c>
      <c r="C959" s="221" t="s">
        <v>1867</v>
      </c>
      <c r="D959" s="221" t="s">
        <v>1867</v>
      </c>
      <c r="E959" s="221" t="s">
        <v>5843</v>
      </c>
      <c r="F959" s="213" t="s">
        <v>5844</v>
      </c>
      <c r="G959" s="213" t="s">
        <v>1867</v>
      </c>
      <c r="H959" s="213" t="s">
        <v>5845</v>
      </c>
      <c r="I959" s="213" t="s">
        <v>5846</v>
      </c>
      <c r="J959" s="213" t="s">
        <v>5847</v>
      </c>
      <c r="K959" s="213" t="s">
        <v>9643</v>
      </c>
      <c r="L959" s="213" t="s">
        <v>24</v>
      </c>
      <c r="M959" s="213" t="s">
        <v>10299</v>
      </c>
      <c r="P959" s="121"/>
    </row>
    <row r="960" spans="1:16">
      <c r="A960" s="214" t="s">
        <v>1870</v>
      </c>
      <c r="B960" s="213" t="s">
        <v>1871</v>
      </c>
      <c r="C960" s="221" t="s">
        <v>1871</v>
      </c>
      <c r="D960" s="221" t="s">
        <v>1871</v>
      </c>
      <c r="E960" s="221" t="s">
        <v>5853</v>
      </c>
      <c r="F960" s="213" t="s">
        <v>5854</v>
      </c>
      <c r="G960" s="213" t="s">
        <v>1871</v>
      </c>
      <c r="H960" s="213" t="s">
        <v>5855</v>
      </c>
      <c r="I960" s="213" t="s">
        <v>5856</v>
      </c>
      <c r="J960" s="213" t="s">
        <v>5857</v>
      </c>
      <c r="K960" s="213" t="s">
        <v>9645</v>
      </c>
      <c r="L960" s="213" t="s">
        <v>24</v>
      </c>
      <c r="M960" s="213" t="s">
        <v>10301</v>
      </c>
      <c r="P960" s="121"/>
    </row>
    <row r="961" spans="1:16">
      <c r="A961" s="214" t="s">
        <v>1872</v>
      </c>
      <c r="B961" s="213" t="s">
        <v>1873</v>
      </c>
      <c r="C961" s="221" t="s">
        <v>1873</v>
      </c>
      <c r="D961" s="221" t="s">
        <v>1873</v>
      </c>
      <c r="E961" s="221" t="s">
        <v>5858</v>
      </c>
      <c r="F961" s="213" t="s">
        <v>5859</v>
      </c>
      <c r="G961" s="213" t="s">
        <v>1873</v>
      </c>
      <c r="H961" s="213" t="s">
        <v>5860</v>
      </c>
      <c r="I961" s="213" t="s">
        <v>5861</v>
      </c>
      <c r="J961" s="213" t="s">
        <v>5862</v>
      </c>
      <c r="K961" s="213" t="s">
        <v>9646</v>
      </c>
      <c r="L961" s="213" t="s">
        <v>24</v>
      </c>
      <c r="M961" s="213" t="s">
        <v>10302</v>
      </c>
      <c r="P961" s="121"/>
    </row>
    <row r="962" spans="1:16">
      <c r="A962" s="213" t="s">
        <v>1874</v>
      </c>
      <c r="B962" s="213" t="s">
        <v>1875</v>
      </c>
      <c r="C962" s="221" t="s">
        <v>1875</v>
      </c>
      <c r="D962" s="221" t="s">
        <v>1875</v>
      </c>
      <c r="E962" s="221" t="s">
        <v>5863</v>
      </c>
      <c r="F962" s="213" t="s">
        <v>5864</v>
      </c>
      <c r="G962" s="213" t="s">
        <v>1875</v>
      </c>
      <c r="H962" s="213" t="s">
        <v>5865</v>
      </c>
      <c r="I962" s="213" t="s">
        <v>5866</v>
      </c>
      <c r="J962" s="213" t="s">
        <v>5867</v>
      </c>
      <c r="K962" s="213" t="s">
        <v>9647</v>
      </c>
      <c r="L962" s="213" t="s">
        <v>24</v>
      </c>
      <c r="M962" s="213" t="s">
        <v>10303</v>
      </c>
      <c r="P962" s="121"/>
    </row>
    <row r="963" spans="1:16">
      <c r="A963" s="213" t="s">
        <v>1876</v>
      </c>
      <c r="B963" s="213" t="s">
        <v>1878</v>
      </c>
      <c r="C963" s="221" t="s">
        <v>1877</v>
      </c>
      <c r="D963" s="221" t="s">
        <v>1878</v>
      </c>
      <c r="E963" s="221" t="s">
        <v>5868</v>
      </c>
      <c r="F963" s="213" t="s">
        <v>5869</v>
      </c>
      <c r="G963" s="213" t="s">
        <v>1877</v>
      </c>
      <c r="H963" s="213" t="s">
        <v>5870</v>
      </c>
      <c r="I963" s="213" t="s">
        <v>5871</v>
      </c>
      <c r="J963" s="213" t="s">
        <v>5872</v>
      </c>
      <c r="K963" s="213" t="s">
        <v>9648</v>
      </c>
      <c r="L963" s="213" t="s">
        <v>24</v>
      </c>
      <c r="M963" s="213" t="s">
        <v>10304</v>
      </c>
      <c r="P963" s="121"/>
    </row>
    <row r="964" spans="1:16">
      <c r="A964" s="213" t="s">
        <v>1879</v>
      </c>
      <c r="B964" s="213" t="s">
        <v>1880</v>
      </c>
      <c r="C964" s="221" t="s">
        <v>1880</v>
      </c>
      <c r="D964" s="221" t="s">
        <v>1880</v>
      </c>
      <c r="E964" s="221" t="s">
        <v>5873</v>
      </c>
      <c r="F964" s="213" t="s">
        <v>5874</v>
      </c>
      <c r="G964" s="213" t="s">
        <v>1880</v>
      </c>
      <c r="H964" s="213" t="s">
        <v>5875</v>
      </c>
      <c r="I964" s="213" t="s">
        <v>5876</v>
      </c>
      <c r="J964" s="213" t="s">
        <v>5877</v>
      </c>
      <c r="K964" s="213" t="s">
        <v>9649</v>
      </c>
      <c r="L964" s="213" t="s">
        <v>24</v>
      </c>
      <c r="M964" s="213" t="s">
        <v>10305</v>
      </c>
      <c r="P964" s="121"/>
    </row>
    <row r="965" spans="1:16">
      <c r="A965" s="218" t="s">
        <v>1881</v>
      </c>
      <c r="B965" s="213" t="s">
        <v>1882</v>
      </c>
      <c r="C965" s="221" t="s">
        <v>1882</v>
      </c>
      <c r="D965" s="221" t="s">
        <v>1882</v>
      </c>
      <c r="E965" s="221" t="s">
        <v>5878</v>
      </c>
      <c r="F965" s="213" t="s">
        <v>5879</v>
      </c>
      <c r="G965" s="213" t="s">
        <v>1882</v>
      </c>
      <c r="H965" s="213" t="s">
        <v>5880</v>
      </c>
      <c r="I965" s="213" t="s">
        <v>5881</v>
      </c>
      <c r="J965" s="213" t="s">
        <v>5882</v>
      </c>
      <c r="K965" s="213" t="s">
        <v>9650</v>
      </c>
      <c r="L965" s="213" t="s">
        <v>24</v>
      </c>
      <c r="M965" s="213" t="s">
        <v>10306</v>
      </c>
      <c r="P965" s="121"/>
    </row>
    <row r="966" spans="1:16">
      <c r="A966" s="218" t="s">
        <v>1883</v>
      </c>
      <c r="B966" s="213" t="s">
        <v>1884</v>
      </c>
      <c r="C966" s="221" t="s">
        <v>1884</v>
      </c>
      <c r="D966" s="221" t="s">
        <v>1884</v>
      </c>
      <c r="E966" s="221" t="s">
        <v>5883</v>
      </c>
      <c r="F966" s="213" t="s">
        <v>5884</v>
      </c>
      <c r="G966" s="213" t="s">
        <v>1884</v>
      </c>
      <c r="H966" s="213" t="s">
        <v>5885</v>
      </c>
      <c r="I966" s="213" t="s">
        <v>5886</v>
      </c>
      <c r="J966" s="213" t="s">
        <v>5887</v>
      </c>
      <c r="K966" s="213" t="s">
        <v>9651</v>
      </c>
      <c r="L966" s="213" t="s">
        <v>24</v>
      </c>
      <c r="M966" s="213" t="s">
        <v>10307</v>
      </c>
      <c r="P966" s="121"/>
    </row>
    <row r="967" spans="1:16">
      <c r="A967" s="213" t="s">
        <v>1885</v>
      </c>
      <c r="B967" s="213" t="s">
        <v>1886</v>
      </c>
      <c r="C967" s="221" t="s">
        <v>1886</v>
      </c>
      <c r="D967" s="221" t="s">
        <v>1886</v>
      </c>
      <c r="E967" s="221" t="s">
        <v>5888</v>
      </c>
      <c r="F967" s="213" t="s">
        <v>5889</v>
      </c>
      <c r="G967" s="213" t="s">
        <v>1886</v>
      </c>
      <c r="H967" s="213" t="s">
        <v>5890</v>
      </c>
      <c r="I967" s="213" t="s">
        <v>5891</v>
      </c>
      <c r="J967" s="213" t="s">
        <v>5892</v>
      </c>
      <c r="K967" s="213" t="s">
        <v>9652</v>
      </c>
      <c r="L967" s="213" t="s">
        <v>24</v>
      </c>
      <c r="M967" s="213" t="s">
        <v>10308</v>
      </c>
      <c r="P967" s="121"/>
    </row>
    <row r="968" spans="1:16">
      <c r="A968" s="213" t="s">
        <v>1887</v>
      </c>
      <c r="B968" s="213" t="s">
        <v>1888</v>
      </c>
      <c r="C968" s="221" t="s">
        <v>1888</v>
      </c>
      <c r="D968" s="221" t="s">
        <v>1888</v>
      </c>
      <c r="E968" s="221" t="s">
        <v>5893</v>
      </c>
      <c r="F968" s="213" t="s">
        <v>5894</v>
      </c>
      <c r="G968" s="213" t="s">
        <v>1888</v>
      </c>
      <c r="H968" s="213" t="s">
        <v>5895</v>
      </c>
      <c r="I968" s="213" t="s">
        <v>5896</v>
      </c>
      <c r="J968" s="213" t="s">
        <v>5897</v>
      </c>
      <c r="K968" s="213" t="s">
        <v>9653</v>
      </c>
      <c r="L968" s="213" t="s">
        <v>24</v>
      </c>
      <c r="M968" s="213" t="s">
        <v>10309</v>
      </c>
      <c r="P968" s="121"/>
    </row>
    <row r="969" spans="1:16">
      <c r="A969" s="213" t="s">
        <v>1889</v>
      </c>
      <c r="B969" s="213" t="s">
        <v>1890</v>
      </c>
      <c r="C969" s="221" t="s">
        <v>1890</v>
      </c>
      <c r="D969" s="221" t="s">
        <v>1890</v>
      </c>
      <c r="E969" s="221" t="s">
        <v>5898</v>
      </c>
      <c r="F969" s="213" t="s">
        <v>5899</v>
      </c>
      <c r="G969" s="213" t="s">
        <v>1890</v>
      </c>
      <c r="H969" s="213" t="s">
        <v>5900</v>
      </c>
      <c r="I969" s="213" t="s">
        <v>5901</v>
      </c>
      <c r="J969" s="213" t="s">
        <v>5902</v>
      </c>
      <c r="K969" s="213" t="s">
        <v>9654</v>
      </c>
      <c r="L969" s="213" t="s">
        <v>24</v>
      </c>
      <c r="M969" s="213" t="s">
        <v>10310</v>
      </c>
      <c r="P969" s="121"/>
    </row>
    <row r="970" spans="1:16">
      <c r="A970" s="213" t="s">
        <v>1891</v>
      </c>
      <c r="B970" s="213" t="s">
        <v>1893</v>
      </c>
      <c r="C970" s="221" t="s">
        <v>1892</v>
      </c>
      <c r="D970" s="221" t="s">
        <v>1893</v>
      </c>
      <c r="E970" s="221" t="s">
        <v>5903</v>
      </c>
      <c r="F970" s="213" t="s">
        <v>5904</v>
      </c>
      <c r="G970" s="213" t="s">
        <v>1892</v>
      </c>
      <c r="H970" s="213" t="s">
        <v>5905</v>
      </c>
      <c r="I970" s="213" t="s">
        <v>5906</v>
      </c>
      <c r="J970" s="213" t="s">
        <v>5907</v>
      </c>
      <c r="K970" s="213" t="s">
        <v>9655</v>
      </c>
      <c r="L970" s="213" t="s">
        <v>24</v>
      </c>
      <c r="M970" s="213" t="s">
        <v>10311</v>
      </c>
      <c r="P970" s="121"/>
    </row>
    <row r="971" spans="1:16">
      <c r="A971" s="213" t="s">
        <v>1894</v>
      </c>
      <c r="B971" s="213" t="s">
        <v>1895</v>
      </c>
      <c r="C971" s="221" t="s">
        <v>1895</v>
      </c>
      <c r="D971" s="221" t="s">
        <v>1895</v>
      </c>
      <c r="E971" s="221" t="s">
        <v>5908</v>
      </c>
      <c r="F971" s="213" t="s">
        <v>5909</v>
      </c>
      <c r="G971" s="213" t="s">
        <v>1895</v>
      </c>
      <c r="H971" s="213" t="s">
        <v>5910</v>
      </c>
      <c r="I971" s="213" t="s">
        <v>5911</v>
      </c>
      <c r="J971" s="213" t="s">
        <v>5912</v>
      </c>
      <c r="K971" s="213" t="s">
        <v>9656</v>
      </c>
      <c r="L971" s="213" t="s">
        <v>24</v>
      </c>
      <c r="M971" s="213" t="s">
        <v>10312</v>
      </c>
      <c r="P971" s="121"/>
    </row>
    <row r="972" spans="1:16">
      <c r="A972" s="213" t="s">
        <v>1896</v>
      </c>
      <c r="B972" s="213" t="s">
        <v>1898</v>
      </c>
      <c r="C972" s="221" t="s">
        <v>1897</v>
      </c>
      <c r="D972" s="221" t="s">
        <v>1898</v>
      </c>
      <c r="E972" s="221" t="s">
        <v>5913</v>
      </c>
      <c r="F972" s="213" t="s">
        <v>5914</v>
      </c>
      <c r="G972" s="213" t="s">
        <v>1897</v>
      </c>
      <c r="H972" s="213" t="s">
        <v>5915</v>
      </c>
      <c r="I972" s="213" t="s">
        <v>5916</v>
      </c>
      <c r="J972" s="213" t="s">
        <v>5917</v>
      </c>
      <c r="K972" s="213" t="s">
        <v>9657</v>
      </c>
      <c r="L972" s="213" t="s">
        <v>24</v>
      </c>
      <c r="M972" s="213" t="s">
        <v>10313</v>
      </c>
      <c r="P972" s="121"/>
    </row>
    <row r="973" spans="1:16">
      <c r="A973" s="213" t="s">
        <v>1899</v>
      </c>
      <c r="B973" s="213" t="s">
        <v>1901</v>
      </c>
      <c r="C973" s="221" t="s">
        <v>1900</v>
      </c>
      <c r="D973" s="221" t="s">
        <v>1901</v>
      </c>
      <c r="E973" s="221" t="s">
        <v>5918</v>
      </c>
      <c r="F973" s="213" t="s">
        <v>5919</v>
      </c>
      <c r="G973" s="213" t="s">
        <v>1900</v>
      </c>
      <c r="H973" s="213" t="s">
        <v>5920</v>
      </c>
      <c r="I973" s="213" t="s">
        <v>5921</v>
      </c>
      <c r="J973" s="213" t="s">
        <v>5922</v>
      </c>
      <c r="K973" s="213" t="s">
        <v>9658</v>
      </c>
      <c r="L973" s="213" t="s">
        <v>24</v>
      </c>
      <c r="M973" s="213" t="s">
        <v>10314</v>
      </c>
      <c r="P973" s="121"/>
    </row>
    <row r="974" spans="1:16">
      <c r="A974" s="213" t="s">
        <v>1902</v>
      </c>
      <c r="B974" s="213" t="s">
        <v>1903</v>
      </c>
      <c r="C974" s="221" t="s">
        <v>1903</v>
      </c>
      <c r="D974" s="221" t="s">
        <v>1903</v>
      </c>
      <c r="E974" s="221" t="s">
        <v>5923</v>
      </c>
      <c r="F974" s="213" t="s">
        <v>5924</v>
      </c>
      <c r="G974" s="213" t="s">
        <v>1903</v>
      </c>
      <c r="H974" s="213" t="s">
        <v>5925</v>
      </c>
      <c r="I974" s="213" t="s">
        <v>5926</v>
      </c>
      <c r="J974" s="213" t="s">
        <v>5927</v>
      </c>
      <c r="K974" s="213" t="s">
        <v>9659</v>
      </c>
      <c r="L974" s="213" t="s">
        <v>24</v>
      </c>
      <c r="M974" s="213" t="s">
        <v>10315</v>
      </c>
      <c r="P974" s="121"/>
    </row>
    <row r="975" spans="1:16">
      <c r="A975" s="213" t="s">
        <v>1904</v>
      </c>
      <c r="B975" s="213" t="s">
        <v>1906</v>
      </c>
      <c r="C975" s="221" t="s">
        <v>1905</v>
      </c>
      <c r="D975" s="221" t="s">
        <v>1906</v>
      </c>
      <c r="E975" s="221" t="s">
        <v>5928</v>
      </c>
      <c r="F975" s="213" t="s">
        <v>5929</v>
      </c>
      <c r="G975" s="213" t="s">
        <v>1905</v>
      </c>
      <c r="H975" s="213" t="s">
        <v>5930</v>
      </c>
      <c r="I975" s="213" t="s">
        <v>5931</v>
      </c>
      <c r="J975" s="213" t="s">
        <v>5932</v>
      </c>
      <c r="K975" s="213" t="s">
        <v>9660</v>
      </c>
      <c r="L975" s="213" t="s">
        <v>24</v>
      </c>
      <c r="M975" s="213" t="s">
        <v>10316</v>
      </c>
      <c r="P975" s="121"/>
    </row>
    <row r="976" spans="1:16">
      <c r="A976" s="213" t="s">
        <v>1907</v>
      </c>
      <c r="B976" s="213" t="s">
        <v>1909</v>
      </c>
      <c r="C976" s="221" t="s">
        <v>1908</v>
      </c>
      <c r="D976" s="221" t="s">
        <v>1909</v>
      </c>
      <c r="E976" s="221" t="s">
        <v>5933</v>
      </c>
      <c r="F976" s="213" t="s">
        <v>5934</v>
      </c>
      <c r="G976" s="213" t="s">
        <v>1908</v>
      </c>
      <c r="H976" s="213" t="s">
        <v>5935</v>
      </c>
      <c r="I976" s="213" t="s">
        <v>5936</v>
      </c>
      <c r="J976" s="213" t="s">
        <v>5937</v>
      </c>
      <c r="K976" s="213" t="s">
        <v>9661</v>
      </c>
      <c r="L976" s="213" t="s">
        <v>24</v>
      </c>
      <c r="M976" s="213" t="s">
        <v>10317</v>
      </c>
      <c r="P976" s="121"/>
    </row>
    <row r="977" spans="1:16">
      <c r="A977" s="219" t="s">
        <v>1910</v>
      </c>
      <c r="B977" s="213" t="s">
        <v>1911</v>
      </c>
      <c r="C977" s="221" t="s">
        <v>1911</v>
      </c>
      <c r="D977" s="221" t="s">
        <v>1911</v>
      </c>
      <c r="E977" s="221" t="s">
        <v>5938</v>
      </c>
      <c r="F977" s="213" t="s">
        <v>5939</v>
      </c>
      <c r="G977" s="213" t="s">
        <v>1911</v>
      </c>
      <c r="H977" s="213" t="s">
        <v>5940</v>
      </c>
      <c r="I977" s="213" t="s">
        <v>5941</v>
      </c>
      <c r="J977" s="213" t="s">
        <v>5942</v>
      </c>
      <c r="K977" s="213" t="s">
        <v>9662</v>
      </c>
      <c r="L977" s="213" t="s">
        <v>24</v>
      </c>
      <c r="M977" s="213" t="s">
        <v>10318</v>
      </c>
      <c r="P977" s="121"/>
    </row>
    <row r="978" spans="1:16">
      <c r="A978" s="219" t="s">
        <v>1915</v>
      </c>
      <c r="B978" s="213" t="s">
        <v>1916</v>
      </c>
      <c r="C978" s="221" t="s">
        <v>1916</v>
      </c>
      <c r="D978" s="221" t="s">
        <v>1916</v>
      </c>
      <c r="E978" s="221" t="s">
        <v>5948</v>
      </c>
      <c r="F978" s="213" t="s">
        <v>5949</v>
      </c>
      <c r="G978" s="213" t="s">
        <v>1916</v>
      </c>
      <c r="H978" s="213" t="s">
        <v>5950</v>
      </c>
      <c r="I978" s="213" t="s">
        <v>5951</v>
      </c>
      <c r="J978" s="213" t="s">
        <v>5952</v>
      </c>
      <c r="K978" s="213" t="s">
        <v>9663</v>
      </c>
      <c r="L978" s="213" t="s">
        <v>24</v>
      </c>
      <c r="M978" s="213" t="s">
        <v>10320</v>
      </c>
      <c r="P978" s="121"/>
    </row>
    <row r="979" spans="1:16">
      <c r="A979" s="213" t="s">
        <v>1920</v>
      </c>
      <c r="B979" s="213" t="s">
        <v>1922</v>
      </c>
      <c r="C979" s="221" t="s">
        <v>1921</v>
      </c>
      <c r="D979" s="221" t="s">
        <v>1922</v>
      </c>
      <c r="E979" s="221" t="s">
        <v>5958</v>
      </c>
      <c r="F979" s="213" t="s">
        <v>5959</v>
      </c>
      <c r="G979" s="213" t="s">
        <v>1921</v>
      </c>
      <c r="H979" s="213" t="s">
        <v>5960</v>
      </c>
      <c r="I979" s="213" t="s">
        <v>5961</v>
      </c>
      <c r="J979" s="213" t="s">
        <v>5962</v>
      </c>
      <c r="K979" s="213" t="s">
        <v>9665</v>
      </c>
      <c r="L979" s="213" t="s">
        <v>24</v>
      </c>
      <c r="M979" s="213" t="s">
        <v>10322</v>
      </c>
      <c r="P979" s="121"/>
    </row>
    <row r="980" spans="1:16">
      <c r="A980" s="213" t="s">
        <v>1923</v>
      </c>
      <c r="B980" s="213" t="s">
        <v>1924</v>
      </c>
      <c r="C980" s="221" t="s">
        <v>1924</v>
      </c>
      <c r="D980" s="221" t="s">
        <v>1924</v>
      </c>
      <c r="E980" s="221" t="s">
        <v>5963</v>
      </c>
      <c r="F980" s="213" t="s">
        <v>5964</v>
      </c>
      <c r="G980" s="213" t="s">
        <v>1924</v>
      </c>
      <c r="H980" s="213" t="s">
        <v>5965</v>
      </c>
      <c r="I980" s="213" t="s">
        <v>5966</v>
      </c>
      <c r="J980" s="213" t="s">
        <v>5967</v>
      </c>
      <c r="K980" s="213" t="s">
        <v>9666</v>
      </c>
      <c r="L980" s="213" t="s">
        <v>24</v>
      </c>
      <c r="M980" s="213" t="s">
        <v>10323</v>
      </c>
      <c r="P980" s="121"/>
    </row>
    <row r="981" spans="1:16">
      <c r="A981" s="213" t="s">
        <v>1925</v>
      </c>
      <c r="B981" s="213" t="s">
        <v>1926</v>
      </c>
      <c r="C981" s="221" t="s">
        <v>1926</v>
      </c>
      <c r="D981" s="221" t="s">
        <v>1926</v>
      </c>
      <c r="E981" s="221" t="s">
        <v>5968</v>
      </c>
      <c r="F981" s="213" t="s">
        <v>5969</v>
      </c>
      <c r="G981" s="213" t="s">
        <v>1926</v>
      </c>
      <c r="H981" s="213" t="s">
        <v>5970</v>
      </c>
      <c r="I981" s="213" t="s">
        <v>5971</v>
      </c>
      <c r="J981" s="213" t="s">
        <v>5972</v>
      </c>
      <c r="K981" s="213" t="s">
        <v>9667</v>
      </c>
      <c r="L981" s="213" t="s">
        <v>24</v>
      </c>
      <c r="M981" s="213" t="s">
        <v>10324</v>
      </c>
      <c r="P981" s="121"/>
    </row>
    <row r="982" spans="1:16">
      <c r="A982" s="213" t="s">
        <v>1927</v>
      </c>
      <c r="B982" s="213" t="s">
        <v>1928</v>
      </c>
      <c r="C982" s="221" t="s">
        <v>1928</v>
      </c>
      <c r="D982" s="221" t="s">
        <v>1928</v>
      </c>
      <c r="E982" s="221" t="s">
        <v>5973</v>
      </c>
      <c r="F982" s="213" t="s">
        <v>5974</v>
      </c>
      <c r="G982" s="213" t="s">
        <v>1928</v>
      </c>
      <c r="H982" s="213" t="s">
        <v>5975</v>
      </c>
      <c r="I982" s="213" t="s">
        <v>5976</v>
      </c>
      <c r="J982" s="213" t="s">
        <v>5977</v>
      </c>
      <c r="K982" s="213" t="s">
        <v>9668</v>
      </c>
      <c r="L982" s="213" t="s">
        <v>24</v>
      </c>
      <c r="M982" s="213" t="s">
        <v>10325</v>
      </c>
      <c r="P982" s="121"/>
    </row>
    <row r="983" spans="1:16">
      <c r="A983" s="213" t="s">
        <v>1929</v>
      </c>
      <c r="B983" s="213" t="s">
        <v>1930</v>
      </c>
      <c r="C983" s="221" t="s">
        <v>1930</v>
      </c>
      <c r="D983" s="221" t="s">
        <v>1930</v>
      </c>
      <c r="E983" s="221" t="s">
        <v>5978</v>
      </c>
      <c r="F983" s="213" t="s">
        <v>5979</v>
      </c>
      <c r="G983" s="213" t="s">
        <v>1930</v>
      </c>
      <c r="H983" s="213" t="s">
        <v>5980</v>
      </c>
      <c r="I983" s="213" t="s">
        <v>5981</v>
      </c>
      <c r="J983" s="213" t="s">
        <v>5982</v>
      </c>
      <c r="K983" s="213" t="s">
        <v>9669</v>
      </c>
      <c r="L983" s="213" t="s">
        <v>24</v>
      </c>
      <c r="M983" s="213" t="s">
        <v>10326</v>
      </c>
      <c r="P983" s="121"/>
    </row>
    <row r="984" spans="1:16">
      <c r="A984" s="213" t="s">
        <v>1933</v>
      </c>
      <c r="B984" s="213" t="s">
        <v>1934</v>
      </c>
      <c r="C984" s="221" t="s">
        <v>1934</v>
      </c>
      <c r="D984" s="221" t="s">
        <v>1934</v>
      </c>
      <c r="E984" s="221" t="s">
        <v>5988</v>
      </c>
      <c r="F984" s="213" t="s">
        <v>5989</v>
      </c>
      <c r="G984" s="213" t="s">
        <v>1934</v>
      </c>
      <c r="H984" s="213" t="s">
        <v>5990</v>
      </c>
      <c r="I984" s="213" t="s">
        <v>5991</v>
      </c>
      <c r="J984" s="213" t="s">
        <v>5992</v>
      </c>
      <c r="K984" s="213" t="s">
        <v>9671</v>
      </c>
      <c r="L984" s="213" t="s">
        <v>24</v>
      </c>
      <c r="M984" s="213" t="s">
        <v>10328</v>
      </c>
      <c r="P984" s="121"/>
    </row>
    <row r="985" spans="1:16">
      <c r="A985" s="213" t="s">
        <v>1935</v>
      </c>
      <c r="B985" s="213" t="s">
        <v>1936</v>
      </c>
      <c r="C985" s="221" t="s">
        <v>1936</v>
      </c>
      <c r="D985" s="221" t="s">
        <v>1936</v>
      </c>
      <c r="E985" s="221" t="s">
        <v>5993</v>
      </c>
      <c r="F985" s="213" t="s">
        <v>5994</v>
      </c>
      <c r="G985" s="213" t="s">
        <v>1936</v>
      </c>
      <c r="H985" s="213" t="s">
        <v>5995</v>
      </c>
      <c r="I985" s="213" t="s">
        <v>5996</v>
      </c>
      <c r="J985" s="213" t="s">
        <v>5997</v>
      </c>
      <c r="K985" s="213" t="s">
        <v>9672</v>
      </c>
      <c r="L985" s="213" t="s">
        <v>24</v>
      </c>
      <c r="M985" s="213" t="s">
        <v>10329</v>
      </c>
      <c r="P985" s="121"/>
    </row>
    <row r="986" spans="1:16">
      <c r="A986" s="213" t="s">
        <v>1937</v>
      </c>
      <c r="B986" s="213" t="s">
        <v>1938</v>
      </c>
      <c r="C986" s="221" t="s">
        <v>1938</v>
      </c>
      <c r="D986" s="221" t="s">
        <v>1938</v>
      </c>
      <c r="E986" s="221" t="s">
        <v>5998</v>
      </c>
      <c r="F986" s="213" t="s">
        <v>5999</v>
      </c>
      <c r="G986" s="213" t="s">
        <v>1938</v>
      </c>
      <c r="H986" s="213" t="s">
        <v>6000</v>
      </c>
      <c r="I986" s="213" t="s">
        <v>6001</v>
      </c>
      <c r="J986" s="213" t="s">
        <v>6002</v>
      </c>
      <c r="K986" s="213" t="s">
        <v>9673</v>
      </c>
      <c r="L986" s="213" t="s">
        <v>10889</v>
      </c>
      <c r="M986" s="213" t="s">
        <v>10330</v>
      </c>
      <c r="P986" s="121"/>
    </row>
    <row r="987" spans="1:16">
      <c r="A987" s="213" t="s">
        <v>1941</v>
      </c>
      <c r="B987" s="213" t="s">
        <v>1942</v>
      </c>
      <c r="C987" s="221" t="s">
        <v>1942</v>
      </c>
      <c r="D987" s="221" t="s">
        <v>1942</v>
      </c>
      <c r="E987" s="221" t="s">
        <v>6008</v>
      </c>
      <c r="F987" s="213" t="s">
        <v>6009</v>
      </c>
      <c r="G987" s="213" t="s">
        <v>1942</v>
      </c>
      <c r="H987" s="213" t="s">
        <v>6010</v>
      </c>
      <c r="I987" s="213" t="s">
        <v>6011</v>
      </c>
      <c r="J987" s="213" t="s">
        <v>6012</v>
      </c>
      <c r="K987" s="213" t="s">
        <v>9675</v>
      </c>
      <c r="L987" s="213" t="s">
        <v>24</v>
      </c>
      <c r="M987" s="213" t="s">
        <v>10332</v>
      </c>
      <c r="P987" s="121"/>
    </row>
    <row r="988" spans="1:16">
      <c r="A988" s="213" t="s">
        <v>1943</v>
      </c>
      <c r="B988" s="213" t="s">
        <v>1944</v>
      </c>
      <c r="C988" s="221" t="s">
        <v>1944</v>
      </c>
      <c r="D988" s="221" t="s">
        <v>1944</v>
      </c>
      <c r="E988" s="221" t="s">
        <v>6013</v>
      </c>
      <c r="F988" s="213" t="s">
        <v>6014</v>
      </c>
      <c r="G988" s="213" t="s">
        <v>1944</v>
      </c>
      <c r="H988" s="213" t="s">
        <v>6015</v>
      </c>
      <c r="I988" s="213" t="s">
        <v>6016</v>
      </c>
      <c r="J988" s="213" t="s">
        <v>6017</v>
      </c>
      <c r="K988" s="213" t="s">
        <v>9676</v>
      </c>
      <c r="L988" s="213" t="s">
        <v>24</v>
      </c>
      <c r="M988" s="213" t="s">
        <v>10333</v>
      </c>
      <c r="P988" s="121"/>
    </row>
    <row r="989" spans="1:16">
      <c r="A989" s="213" t="s">
        <v>1947</v>
      </c>
      <c r="B989" s="213" t="s">
        <v>1948</v>
      </c>
      <c r="C989" s="221" t="s">
        <v>1948</v>
      </c>
      <c r="D989" s="221" t="s">
        <v>1948</v>
      </c>
      <c r="E989" s="221" t="s">
        <v>6023</v>
      </c>
      <c r="F989" s="213" t="s">
        <v>6024</v>
      </c>
      <c r="G989" s="213" t="s">
        <v>1948</v>
      </c>
      <c r="H989" s="213" t="s">
        <v>6025</v>
      </c>
      <c r="I989" s="213" t="s">
        <v>6026</v>
      </c>
      <c r="J989" s="213" t="s">
        <v>6027</v>
      </c>
      <c r="K989" s="213" t="s">
        <v>9678</v>
      </c>
      <c r="L989" s="213" t="s">
        <v>24</v>
      </c>
      <c r="M989" s="213" t="s">
        <v>10335</v>
      </c>
      <c r="P989" s="121"/>
    </row>
    <row r="990" spans="1:16">
      <c r="A990" s="213" t="s">
        <v>1949</v>
      </c>
      <c r="B990" s="213" t="s">
        <v>1951</v>
      </c>
      <c r="C990" s="221" t="s">
        <v>1950</v>
      </c>
      <c r="D990" s="221" t="s">
        <v>1951</v>
      </c>
      <c r="E990" s="221" t="s">
        <v>6028</v>
      </c>
      <c r="F990" s="213" t="s">
        <v>6029</v>
      </c>
      <c r="G990" s="213" t="s">
        <v>1950</v>
      </c>
      <c r="H990" s="213" t="s">
        <v>6030</v>
      </c>
      <c r="I990" s="213" t="s">
        <v>6031</v>
      </c>
      <c r="J990" s="213" t="s">
        <v>6032</v>
      </c>
      <c r="K990" s="213" t="s">
        <v>9679</v>
      </c>
      <c r="L990" s="213" t="s">
        <v>24</v>
      </c>
      <c r="M990" s="213" t="s">
        <v>10336</v>
      </c>
      <c r="P990" s="121"/>
    </row>
    <row r="991" spans="1:16">
      <c r="A991" s="213" t="s">
        <v>1952</v>
      </c>
      <c r="B991" s="213" t="s">
        <v>1888</v>
      </c>
      <c r="C991" s="221" t="s">
        <v>1888</v>
      </c>
      <c r="D991" s="221" t="s">
        <v>1888</v>
      </c>
      <c r="E991" s="221" t="s">
        <v>6033</v>
      </c>
      <c r="F991" s="213" t="s">
        <v>6034</v>
      </c>
      <c r="G991" s="213" t="s">
        <v>1888</v>
      </c>
      <c r="H991" s="213" t="s">
        <v>5895</v>
      </c>
      <c r="I991" s="213" t="s">
        <v>5896</v>
      </c>
      <c r="J991" s="213" t="s">
        <v>6035</v>
      </c>
      <c r="K991" s="213" t="s">
        <v>9680</v>
      </c>
      <c r="L991" s="213" t="s">
        <v>24</v>
      </c>
      <c r="M991" s="213" t="s">
        <v>10337</v>
      </c>
      <c r="P991" s="121"/>
    </row>
    <row r="992" spans="1:16">
      <c r="A992" s="213" t="s">
        <v>1953</v>
      </c>
      <c r="B992" s="213" t="s">
        <v>1954</v>
      </c>
      <c r="C992" s="221" t="s">
        <v>1954</v>
      </c>
      <c r="D992" s="221" t="s">
        <v>1954</v>
      </c>
      <c r="E992" s="221" t="s">
        <v>6036</v>
      </c>
      <c r="F992" s="213" t="s">
        <v>6037</v>
      </c>
      <c r="G992" s="213" t="s">
        <v>1954</v>
      </c>
      <c r="H992" s="213" t="s">
        <v>6038</v>
      </c>
      <c r="I992" s="213" t="s">
        <v>6039</v>
      </c>
      <c r="J992" s="213" t="s">
        <v>6040</v>
      </c>
      <c r="K992" s="213" t="s">
        <v>9681</v>
      </c>
      <c r="L992" s="213" t="s">
        <v>24</v>
      </c>
      <c r="M992" s="213" t="s">
        <v>10338</v>
      </c>
      <c r="P992" s="121"/>
    </row>
    <row r="993" spans="1:16">
      <c r="A993" s="213" t="s">
        <v>1957</v>
      </c>
      <c r="B993" s="213" t="s">
        <v>1958</v>
      </c>
      <c r="C993" s="221" t="s">
        <v>1958</v>
      </c>
      <c r="D993" s="221" t="s">
        <v>1958</v>
      </c>
      <c r="E993" s="221" t="s">
        <v>6046</v>
      </c>
      <c r="F993" s="213" t="s">
        <v>6047</v>
      </c>
      <c r="G993" s="213" t="s">
        <v>1958</v>
      </c>
      <c r="H993" s="213" t="s">
        <v>6048</v>
      </c>
      <c r="I993" s="213" t="s">
        <v>6049</v>
      </c>
      <c r="J993" s="213" t="s">
        <v>6050</v>
      </c>
      <c r="K993" s="213" t="s">
        <v>9683</v>
      </c>
      <c r="L993" s="213" t="s">
        <v>10890</v>
      </c>
      <c r="M993" s="213" t="s">
        <v>10340</v>
      </c>
      <c r="P993" s="121"/>
    </row>
    <row r="994" spans="1:16">
      <c r="A994" s="213" t="s">
        <v>1960</v>
      </c>
      <c r="B994" s="213" t="s">
        <v>1961</v>
      </c>
      <c r="C994" s="221" t="s">
        <v>1961</v>
      </c>
      <c r="D994" s="221" t="s">
        <v>1961</v>
      </c>
      <c r="E994" s="221" t="s">
        <v>6051</v>
      </c>
      <c r="F994" s="213" t="s">
        <v>6052</v>
      </c>
      <c r="G994" s="213" t="s">
        <v>1961</v>
      </c>
      <c r="H994" s="213" t="s">
        <v>6053</v>
      </c>
      <c r="I994" s="213" t="s">
        <v>6054</v>
      </c>
      <c r="J994" s="213" t="s">
        <v>6055</v>
      </c>
      <c r="K994" s="213" t="s">
        <v>9684</v>
      </c>
      <c r="L994" s="213" t="s">
        <v>24</v>
      </c>
      <c r="M994" s="213" t="s">
        <v>10341</v>
      </c>
      <c r="P994" s="121"/>
    </row>
    <row r="995" spans="1:16">
      <c r="A995" s="213" t="s">
        <v>1962</v>
      </c>
      <c r="B995" s="213" t="s">
        <v>1963</v>
      </c>
      <c r="C995" s="221" t="s">
        <v>1963</v>
      </c>
      <c r="D995" s="221" t="s">
        <v>1963</v>
      </c>
      <c r="E995" s="221" t="s">
        <v>6056</v>
      </c>
      <c r="F995" s="213" t="s">
        <v>6057</v>
      </c>
      <c r="G995" s="213" t="s">
        <v>1963</v>
      </c>
      <c r="H995" s="213" t="s">
        <v>6058</v>
      </c>
      <c r="I995" s="213" t="s">
        <v>6059</v>
      </c>
      <c r="J995" s="213" t="s">
        <v>6060</v>
      </c>
      <c r="K995" s="213" t="s">
        <v>9685</v>
      </c>
      <c r="L995" s="213" t="s">
        <v>24</v>
      </c>
      <c r="M995" s="213" t="s">
        <v>10342</v>
      </c>
      <c r="P995" s="121"/>
    </row>
    <row r="996" spans="1:16">
      <c r="A996" s="213" t="s">
        <v>1964</v>
      </c>
      <c r="B996" s="213" t="s">
        <v>1965</v>
      </c>
      <c r="C996" s="221" t="s">
        <v>1965</v>
      </c>
      <c r="D996" s="221" t="s">
        <v>1965</v>
      </c>
      <c r="E996" s="221" t="s">
        <v>6061</v>
      </c>
      <c r="F996" s="213" t="s">
        <v>6062</v>
      </c>
      <c r="G996" s="213" t="s">
        <v>1965</v>
      </c>
      <c r="H996" s="213" t="s">
        <v>6063</v>
      </c>
      <c r="I996" s="213" t="s">
        <v>6064</v>
      </c>
      <c r="J996" s="213" t="s">
        <v>6065</v>
      </c>
      <c r="K996" s="213" t="s">
        <v>9686</v>
      </c>
      <c r="L996" s="213" t="s">
        <v>24</v>
      </c>
      <c r="M996" s="213" t="s">
        <v>10343</v>
      </c>
      <c r="P996" s="121"/>
    </row>
    <row r="997" spans="1:16">
      <c r="A997" s="213" t="s">
        <v>1966</v>
      </c>
      <c r="B997" s="213" t="s">
        <v>1967</v>
      </c>
      <c r="C997" s="221" t="s">
        <v>1967</v>
      </c>
      <c r="D997" s="221" t="s">
        <v>1967</v>
      </c>
      <c r="E997" s="221" t="s">
        <v>6066</v>
      </c>
      <c r="F997" s="213" t="s">
        <v>6067</v>
      </c>
      <c r="G997" s="213" t="s">
        <v>1967</v>
      </c>
      <c r="H997" s="213" t="s">
        <v>6068</v>
      </c>
      <c r="I997" s="213" t="s">
        <v>6069</v>
      </c>
      <c r="J997" s="213" t="s">
        <v>6070</v>
      </c>
      <c r="K997" s="213" t="s">
        <v>9687</v>
      </c>
      <c r="L997" s="213" t="s">
        <v>24</v>
      </c>
      <c r="M997" s="213" t="s">
        <v>10344</v>
      </c>
      <c r="P997" s="121"/>
    </row>
    <row r="998" spans="1:16">
      <c r="A998" s="213" t="s">
        <v>1968</v>
      </c>
      <c r="B998" s="213" t="s">
        <v>1969</v>
      </c>
      <c r="C998" s="221" t="s">
        <v>1969</v>
      </c>
      <c r="D998" s="221" t="s">
        <v>1969</v>
      </c>
      <c r="E998" s="221" t="s">
        <v>6071</v>
      </c>
      <c r="F998" s="213" t="s">
        <v>6072</v>
      </c>
      <c r="G998" s="213" t="s">
        <v>1969</v>
      </c>
      <c r="H998" s="213" t="s">
        <v>6073</v>
      </c>
      <c r="I998" s="213" t="s">
        <v>6074</v>
      </c>
      <c r="J998" s="213" t="s">
        <v>6075</v>
      </c>
      <c r="K998" s="213" t="s">
        <v>9688</v>
      </c>
      <c r="L998" s="213" t="s">
        <v>24</v>
      </c>
      <c r="M998" s="213" t="s">
        <v>10345</v>
      </c>
      <c r="P998" s="121"/>
    </row>
    <row r="999" spans="1:16">
      <c r="A999" s="213" t="s">
        <v>1970</v>
      </c>
      <c r="B999" s="213" t="s">
        <v>1971</v>
      </c>
      <c r="C999" s="221" t="s">
        <v>1971</v>
      </c>
      <c r="D999" s="221" t="s">
        <v>1971</v>
      </c>
      <c r="E999" s="221" t="s">
        <v>6076</v>
      </c>
      <c r="F999" s="213" t="s">
        <v>6077</v>
      </c>
      <c r="G999" s="213" t="s">
        <v>1971</v>
      </c>
      <c r="H999" s="213" t="s">
        <v>6078</v>
      </c>
      <c r="I999" s="213" t="s">
        <v>6079</v>
      </c>
      <c r="J999" s="213" t="s">
        <v>6080</v>
      </c>
      <c r="K999" s="213" t="s">
        <v>9689</v>
      </c>
      <c r="L999" s="213" t="s">
        <v>24</v>
      </c>
      <c r="M999" s="213" t="s">
        <v>10346</v>
      </c>
      <c r="P999" s="121"/>
    </row>
    <row r="1000" spans="1:16">
      <c r="A1000" s="213" t="s">
        <v>1975</v>
      </c>
      <c r="B1000" s="213" t="s">
        <v>1976</v>
      </c>
      <c r="C1000" s="221" t="s">
        <v>1976</v>
      </c>
      <c r="D1000" s="221" t="s">
        <v>1976</v>
      </c>
      <c r="E1000" s="221" t="s">
        <v>6086</v>
      </c>
      <c r="F1000" s="213" t="s">
        <v>6087</v>
      </c>
      <c r="G1000" s="213" t="s">
        <v>1976</v>
      </c>
      <c r="H1000" s="213" t="s">
        <v>6088</v>
      </c>
      <c r="I1000" s="213" t="s">
        <v>6089</v>
      </c>
      <c r="J1000" s="213" t="s">
        <v>6090</v>
      </c>
      <c r="K1000" s="213" t="s">
        <v>9691</v>
      </c>
      <c r="L1000" s="213" t="s">
        <v>24</v>
      </c>
      <c r="M1000" s="213" t="s">
        <v>10348</v>
      </c>
      <c r="P1000" s="121"/>
    </row>
    <row r="1001" spans="1:16">
      <c r="A1001" s="213" t="s">
        <v>1977</v>
      </c>
      <c r="B1001" s="213" t="s">
        <v>1978</v>
      </c>
      <c r="C1001" s="221" t="s">
        <v>1978</v>
      </c>
      <c r="D1001" s="221" t="s">
        <v>1978</v>
      </c>
      <c r="E1001" s="221" t="s">
        <v>6091</v>
      </c>
      <c r="F1001" s="213" t="s">
        <v>6092</v>
      </c>
      <c r="G1001" s="213" t="s">
        <v>1978</v>
      </c>
      <c r="H1001" s="213" t="s">
        <v>6093</v>
      </c>
      <c r="I1001" s="213" t="s">
        <v>6094</v>
      </c>
      <c r="J1001" s="213" t="s">
        <v>6095</v>
      </c>
      <c r="K1001" s="213" t="s">
        <v>9692</v>
      </c>
      <c r="L1001" s="213" t="s">
        <v>24</v>
      </c>
      <c r="M1001" s="213" t="s">
        <v>10349</v>
      </c>
      <c r="P1001" s="121"/>
    </row>
    <row r="1002" spans="1:16">
      <c r="A1002" s="213" t="s">
        <v>1979</v>
      </c>
      <c r="B1002" s="213" t="s">
        <v>1980</v>
      </c>
      <c r="C1002" s="221" t="s">
        <v>1980</v>
      </c>
      <c r="D1002" s="221" t="s">
        <v>1980</v>
      </c>
      <c r="E1002" s="221" t="s">
        <v>6096</v>
      </c>
      <c r="F1002" s="213" t="s">
        <v>6097</v>
      </c>
      <c r="G1002" s="213" t="s">
        <v>1980</v>
      </c>
      <c r="H1002" s="213" t="s">
        <v>6098</v>
      </c>
      <c r="I1002" s="213" t="s">
        <v>6099</v>
      </c>
      <c r="J1002" s="213" t="s">
        <v>6100</v>
      </c>
      <c r="K1002" s="213" t="s">
        <v>9693</v>
      </c>
      <c r="L1002" s="213" t="s">
        <v>24</v>
      </c>
      <c r="M1002" s="213" t="s">
        <v>10350</v>
      </c>
      <c r="P1002" s="121"/>
    </row>
    <row r="1003" spans="1:16">
      <c r="A1003" s="213" t="s">
        <v>1981</v>
      </c>
      <c r="B1003" s="213" t="s">
        <v>1982</v>
      </c>
      <c r="C1003" s="221" t="s">
        <v>1982</v>
      </c>
      <c r="D1003" s="221" t="s">
        <v>1982</v>
      </c>
      <c r="E1003" s="221" t="s">
        <v>6101</v>
      </c>
      <c r="F1003" s="213" t="s">
        <v>6102</v>
      </c>
      <c r="G1003" s="213" t="s">
        <v>1982</v>
      </c>
      <c r="H1003" s="213" t="s">
        <v>6103</v>
      </c>
      <c r="I1003" s="213" t="s">
        <v>6104</v>
      </c>
      <c r="J1003" s="213" t="s">
        <v>6105</v>
      </c>
      <c r="K1003" s="213" t="s">
        <v>9694</v>
      </c>
      <c r="L1003" s="213" t="s">
        <v>24</v>
      </c>
      <c r="M1003" s="213" t="s">
        <v>10351</v>
      </c>
      <c r="P1003" s="121"/>
    </row>
    <row r="1004" spans="1:16">
      <c r="A1004" s="213" t="s">
        <v>1983</v>
      </c>
      <c r="B1004" s="213" t="s">
        <v>1984</v>
      </c>
      <c r="C1004" s="221" t="s">
        <v>1984</v>
      </c>
      <c r="D1004" s="221" t="s">
        <v>1984</v>
      </c>
      <c r="E1004" s="221" t="s">
        <v>6106</v>
      </c>
      <c r="F1004" s="213" t="s">
        <v>6107</v>
      </c>
      <c r="G1004" s="213" t="s">
        <v>1984</v>
      </c>
      <c r="H1004" s="213" t="s">
        <v>6108</v>
      </c>
      <c r="I1004" s="213" t="s">
        <v>6109</v>
      </c>
      <c r="J1004" s="213" t="s">
        <v>6110</v>
      </c>
      <c r="K1004" s="213" t="s">
        <v>9695</v>
      </c>
      <c r="L1004" s="213" t="s">
        <v>24</v>
      </c>
      <c r="M1004" s="213" t="s">
        <v>10352</v>
      </c>
      <c r="P1004" s="121"/>
    </row>
    <row r="1005" spans="1:16">
      <c r="A1005" s="213" t="s">
        <v>1985</v>
      </c>
      <c r="B1005" s="213" t="s">
        <v>1986</v>
      </c>
      <c r="C1005" s="221" t="s">
        <v>1986</v>
      </c>
      <c r="D1005" s="221" t="s">
        <v>1986</v>
      </c>
      <c r="E1005" s="221" t="s">
        <v>6111</v>
      </c>
      <c r="F1005" s="213" t="s">
        <v>6112</v>
      </c>
      <c r="G1005" s="213" t="s">
        <v>1986</v>
      </c>
      <c r="H1005" s="213" t="s">
        <v>6113</v>
      </c>
      <c r="I1005" s="213" t="s">
        <v>6114</v>
      </c>
      <c r="J1005" s="213" t="s">
        <v>6115</v>
      </c>
      <c r="K1005" s="213" t="s">
        <v>9696</v>
      </c>
      <c r="L1005" s="213" t="s">
        <v>24</v>
      </c>
      <c r="M1005" s="213" t="s">
        <v>10352</v>
      </c>
      <c r="P1005" s="121"/>
    </row>
    <row r="1006" spans="1:16">
      <c r="A1006" s="213" t="s">
        <v>1987</v>
      </c>
      <c r="B1006" s="213" t="s">
        <v>1988</v>
      </c>
      <c r="C1006" s="221" t="s">
        <v>1988</v>
      </c>
      <c r="D1006" s="221" t="s">
        <v>1988</v>
      </c>
      <c r="E1006" s="221" t="s">
        <v>6116</v>
      </c>
      <c r="F1006" s="213" t="s">
        <v>6117</v>
      </c>
      <c r="G1006" s="213" t="s">
        <v>1988</v>
      </c>
      <c r="H1006" s="213" t="s">
        <v>6118</v>
      </c>
      <c r="I1006" s="213" t="s">
        <v>6119</v>
      </c>
      <c r="J1006" s="213" t="s">
        <v>6120</v>
      </c>
      <c r="K1006" s="213" t="s">
        <v>9697</v>
      </c>
      <c r="L1006" s="213" t="s">
        <v>24</v>
      </c>
      <c r="M1006" s="213" t="s">
        <v>10353</v>
      </c>
      <c r="P1006" s="121"/>
    </row>
    <row r="1007" spans="1:16">
      <c r="A1007" s="213" t="s">
        <v>1989</v>
      </c>
      <c r="B1007" s="213" t="s">
        <v>1990</v>
      </c>
      <c r="C1007" s="221" t="s">
        <v>1990</v>
      </c>
      <c r="D1007" s="221" t="s">
        <v>1990</v>
      </c>
      <c r="E1007" s="221" t="s">
        <v>6121</v>
      </c>
      <c r="F1007" s="213" t="s">
        <v>6122</v>
      </c>
      <c r="G1007" s="213" t="s">
        <v>1990</v>
      </c>
      <c r="H1007" s="213" t="s">
        <v>6123</v>
      </c>
      <c r="I1007" s="213" t="s">
        <v>6124</v>
      </c>
      <c r="J1007" s="213" t="s">
        <v>6125</v>
      </c>
      <c r="K1007" s="213" t="s">
        <v>9698</v>
      </c>
      <c r="L1007" s="213" t="s">
        <v>24</v>
      </c>
      <c r="M1007" s="213" t="s">
        <v>10354</v>
      </c>
      <c r="P1007" s="121"/>
    </row>
    <row r="1008" spans="1:16">
      <c r="A1008" s="214" t="s">
        <v>1991</v>
      </c>
      <c r="B1008" s="213" t="s">
        <v>1992</v>
      </c>
      <c r="C1008" s="221" t="s">
        <v>1992</v>
      </c>
      <c r="D1008" s="221" t="s">
        <v>1992</v>
      </c>
      <c r="E1008" s="221" t="s">
        <v>6126</v>
      </c>
      <c r="F1008" s="213" t="s">
        <v>6127</v>
      </c>
      <c r="G1008" s="213" t="s">
        <v>1992</v>
      </c>
      <c r="H1008" s="213" t="s">
        <v>6128</v>
      </c>
      <c r="I1008" s="213" t="s">
        <v>6129</v>
      </c>
      <c r="J1008" s="213" t="s">
        <v>6130</v>
      </c>
      <c r="K1008" s="213" t="s">
        <v>9699</v>
      </c>
      <c r="L1008" s="213" t="s">
        <v>24</v>
      </c>
      <c r="M1008" s="213" t="s">
        <v>10355</v>
      </c>
      <c r="P1008" s="121"/>
    </row>
    <row r="1009" spans="1:16">
      <c r="A1009" s="214" t="s">
        <v>1993</v>
      </c>
      <c r="B1009" s="213" t="s">
        <v>1994</v>
      </c>
      <c r="C1009" s="221" t="s">
        <v>1994</v>
      </c>
      <c r="D1009" s="221" t="s">
        <v>1994</v>
      </c>
      <c r="E1009" s="221" t="s">
        <v>6131</v>
      </c>
      <c r="F1009" s="213" t="s">
        <v>6132</v>
      </c>
      <c r="G1009" s="213" t="s">
        <v>1994</v>
      </c>
      <c r="H1009" s="213" t="s">
        <v>6133</v>
      </c>
      <c r="I1009" s="213" t="s">
        <v>6134</v>
      </c>
      <c r="J1009" s="213" t="s">
        <v>6135</v>
      </c>
      <c r="K1009" s="213" t="s">
        <v>9700</v>
      </c>
      <c r="L1009" s="213" t="s">
        <v>24</v>
      </c>
      <c r="M1009" s="213" t="s">
        <v>10356</v>
      </c>
      <c r="P1009" s="121"/>
    </row>
    <row r="1010" spans="1:16">
      <c r="A1010" s="213" t="s">
        <v>1995</v>
      </c>
      <c r="B1010" s="213" t="s">
        <v>1996</v>
      </c>
      <c r="C1010" s="221" t="s">
        <v>1996</v>
      </c>
      <c r="D1010" s="221" t="s">
        <v>1996</v>
      </c>
      <c r="E1010" s="221" t="s">
        <v>6136</v>
      </c>
      <c r="F1010" s="213" t="s">
        <v>6137</v>
      </c>
      <c r="G1010" s="213" t="s">
        <v>1996</v>
      </c>
      <c r="H1010" s="213" t="s">
        <v>6138</v>
      </c>
      <c r="I1010" s="213" t="s">
        <v>6139</v>
      </c>
      <c r="J1010" s="213" t="s">
        <v>6140</v>
      </c>
      <c r="K1010" s="213" t="s">
        <v>9701</v>
      </c>
      <c r="L1010" s="213" t="s">
        <v>24</v>
      </c>
      <c r="M1010" s="213" t="s">
        <v>10357</v>
      </c>
      <c r="P1010" s="121"/>
    </row>
    <row r="1011" spans="1:16">
      <c r="A1011" s="213" t="s">
        <v>1997</v>
      </c>
      <c r="B1011" s="213" t="s">
        <v>1998</v>
      </c>
      <c r="C1011" s="221" t="s">
        <v>1998</v>
      </c>
      <c r="D1011" s="221" t="s">
        <v>1998</v>
      </c>
      <c r="E1011" s="221" t="s">
        <v>6141</v>
      </c>
      <c r="F1011" s="213" t="s">
        <v>6142</v>
      </c>
      <c r="G1011" s="213" t="s">
        <v>1998</v>
      </c>
      <c r="H1011" s="213" t="s">
        <v>6143</v>
      </c>
      <c r="I1011" s="213" t="s">
        <v>6144</v>
      </c>
      <c r="J1011" s="213" t="s">
        <v>6145</v>
      </c>
      <c r="K1011" s="213" t="s">
        <v>9702</v>
      </c>
      <c r="L1011" s="213" t="s">
        <v>24</v>
      </c>
      <c r="M1011" s="213" t="s">
        <v>10358</v>
      </c>
      <c r="P1011" s="121"/>
    </row>
    <row r="1012" spans="1:16">
      <c r="A1012" s="213" t="s">
        <v>1999</v>
      </c>
      <c r="B1012" s="213" t="s">
        <v>2000</v>
      </c>
      <c r="C1012" s="221" t="s">
        <v>2000</v>
      </c>
      <c r="D1012" s="221" t="s">
        <v>2000</v>
      </c>
      <c r="E1012" s="221" t="s">
        <v>6146</v>
      </c>
      <c r="F1012" s="213" t="s">
        <v>6147</v>
      </c>
      <c r="G1012" s="213" t="s">
        <v>2000</v>
      </c>
      <c r="H1012" s="213" t="s">
        <v>6148</v>
      </c>
      <c r="I1012" s="213" t="s">
        <v>6149</v>
      </c>
      <c r="J1012" s="213" t="s">
        <v>6150</v>
      </c>
      <c r="K1012" s="213" t="s">
        <v>9703</v>
      </c>
      <c r="L1012" s="213" t="s">
        <v>24</v>
      </c>
      <c r="M1012" s="213" t="s">
        <v>10359</v>
      </c>
      <c r="P1012" s="121"/>
    </row>
    <row r="1013" spans="1:16">
      <c r="A1013" s="213" t="s">
        <v>2001</v>
      </c>
      <c r="B1013" s="213" t="s">
        <v>2002</v>
      </c>
      <c r="C1013" s="221" t="s">
        <v>2002</v>
      </c>
      <c r="D1013" s="221" t="s">
        <v>2002</v>
      </c>
      <c r="E1013" s="221" t="s">
        <v>6151</v>
      </c>
      <c r="F1013" s="213" t="s">
        <v>6152</v>
      </c>
      <c r="G1013" s="213" t="s">
        <v>2002</v>
      </c>
      <c r="H1013" s="213" t="s">
        <v>6153</v>
      </c>
      <c r="I1013" s="213" t="s">
        <v>6154</v>
      </c>
      <c r="J1013" s="213" t="s">
        <v>6155</v>
      </c>
      <c r="K1013" s="222" t="s">
        <v>9704</v>
      </c>
      <c r="L1013" s="213" t="s">
        <v>24</v>
      </c>
      <c r="M1013" s="213" t="s">
        <v>10360</v>
      </c>
      <c r="P1013" s="121"/>
    </row>
    <row r="1014" spans="1:16">
      <c r="A1014" s="213" t="s">
        <v>2005</v>
      </c>
      <c r="B1014" s="213" t="s">
        <v>2006</v>
      </c>
      <c r="C1014" s="221" t="s">
        <v>2006</v>
      </c>
      <c r="D1014" s="221" t="s">
        <v>2006</v>
      </c>
      <c r="E1014" s="221" t="s">
        <v>6161</v>
      </c>
      <c r="F1014" s="213" t="s">
        <v>6162</v>
      </c>
      <c r="G1014" s="213" t="s">
        <v>2006</v>
      </c>
      <c r="H1014" s="213" t="s">
        <v>6163</v>
      </c>
      <c r="I1014" s="213" t="s">
        <v>6164</v>
      </c>
      <c r="J1014" s="213" t="s">
        <v>6165</v>
      </c>
      <c r="K1014" s="213" t="s">
        <v>9706</v>
      </c>
      <c r="L1014" s="213" t="s">
        <v>24</v>
      </c>
      <c r="M1014" s="213" t="s">
        <v>10362</v>
      </c>
      <c r="P1014" s="121"/>
    </row>
    <row r="1015" spans="1:16">
      <c r="A1015" s="213" t="s">
        <v>2007</v>
      </c>
      <c r="B1015" s="213" t="s">
        <v>2008</v>
      </c>
      <c r="C1015" s="221" t="s">
        <v>2008</v>
      </c>
      <c r="D1015" s="221" t="s">
        <v>2008</v>
      </c>
      <c r="E1015" s="221" t="s">
        <v>6166</v>
      </c>
      <c r="F1015" s="213" t="s">
        <v>6167</v>
      </c>
      <c r="G1015" s="213" t="s">
        <v>2008</v>
      </c>
      <c r="H1015" s="213" t="s">
        <v>6168</v>
      </c>
      <c r="I1015" s="213" t="s">
        <v>6169</v>
      </c>
      <c r="J1015" s="213" t="s">
        <v>6170</v>
      </c>
      <c r="K1015" s="213" t="s">
        <v>9707</v>
      </c>
      <c r="L1015" s="213" t="s">
        <v>24</v>
      </c>
      <c r="M1015" s="213" t="s">
        <v>10363</v>
      </c>
      <c r="P1015" s="121"/>
    </row>
    <row r="1016" spans="1:16">
      <c r="A1016" s="213" t="s">
        <v>2009</v>
      </c>
      <c r="B1016" s="213" t="s">
        <v>2010</v>
      </c>
      <c r="C1016" s="221" t="s">
        <v>2010</v>
      </c>
      <c r="D1016" s="221" t="s">
        <v>2010</v>
      </c>
      <c r="E1016" s="221" t="s">
        <v>6171</v>
      </c>
      <c r="F1016" s="213" t="s">
        <v>6172</v>
      </c>
      <c r="G1016" s="213" t="s">
        <v>2010</v>
      </c>
      <c r="H1016" s="213" t="s">
        <v>6173</v>
      </c>
      <c r="I1016" s="213" t="s">
        <v>6174</v>
      </c>
      <c r="J1016" s="213" t="s">
        <v>6175</v>
      </c>
      <c r="K1016" s="213" t="s">
        <v>9708</v>
      </c>
      <c r="L1016" s="213" t="s">
        <v>24</v>
      </c>
      <c r="M1016" s="213" t="s">
        <v>10364</v>
      </c>
      <c r="P1016" s="121"/>
    </row>
    <row r="1017" spans="1:16">
      <c r="A1017" s="213" t="s">
        <v>2011</v>
      </c>
      <c r="B1017" s="213" t="s">
        <v>2012</v>
      </c>
      <c r="C1017" s="221" t="s">
        <v>2012</v>
      </c>
      <c r="D1017" s="221" t="s">
        <v>2012</v>
      </c>
      <c r="E1017" s="221" t="s">
        <v>6176</v>
      </c>
      <c r="F1017" s="213" t="s">
        <v>6177</v>
      </c>
      <c r="G1017" s="213" t="s">
        <v>2012</v>
      </c>
      <c r="H1017" s="213" t="s">
        <v>6178</v>
      </c>
      <c r="I1017" s="213" t="s">
        <v>6179</v>
      </c>
      <c r="J1017" s="213" t="s">
        <v>6180</v>
      </c>
      <c r="K1017" s="222" t="s">
        <v>9709</v>
      </c>
      <c r="L1017" s="213" t="s">
        <v>24</v>
      </c>
      <c r="M1017" s="213" t="s">
        <v>10365</v>
      </c>
      <c r="P1017" s="121"/>
    </row>
    <row r="1018" spans="1:16">
      <c r="A1018" s="213" t="s">
        <v>2013</v>
      </c>
      <c r="B1018" s="213" t="s">
        <v>2014</v>
      </c>
      <c r="C1018" s="221" t="s">
        <v>2014</v>
      </c>
      <c r="D1018" s="221" t="s">
        <v>2014</v>
      </c>
      <c r="E1018" s="221" t="s">
        <v>6181</v>
      </c>
      <c r="F1018" s="213" t="s">
        <v>6182</v>
      </c>
      <c r="G1018" s="213" t="s">
        <v>2014</v>
      </c>
      <c r="H1018" s="213" t="s">
        <v>6183</v>
      </c>
      <c r="I1018" s="213" t="s">
        <v>6184</v>
      </c>
      <c r="J1018" s="213" t="s">
        <v>6185</v>
      </c>
      <c r="K1018" s="213" t="s">
        <v>9710</v>
      </c>
      <c r="L1018" s="213" t="s">
        <v>24</v>
      </c>
      <c r="M1018" s="213" t="s">
        <v>10366</v>
      </c>
      <c r="P1018" s="121"/>
    </row>
    <row r="1019" spans="1:16">
      <c r="A1019" s="213" t="s">
        <v>2019</v>
      </c>
      <c r="B1019" s="213" t="s">
        <v>2020</v>
      </c>
      <c r="C1019" s="221" t="s">
        <v>2020</v>
      </c>
      <c r="D1019" s="221" t="s">
        <v>2020</v>
      </c>
      <c r="E1019" s="221" t="s">
        <v>6196</v>
      </c>
      <c r="F1019" s="213" t="s">
        <v>6197</v>
      </c>
      <c r="G1019" s="213" t="s">
        <v>2020</v>
      </c>
      <c r="H1019" s="213" t="s">
        <v>6198</v>
      </c>
      <c r="I1019" s="213" t="s">
        <v>6199</v>
      </c>
      <c r="J1019" s="213" t="s">
        <v>6200</v>
      </c>
      <c r="K1019" s="213" t="s">
        <v>9713</v>
      </c>
      <c r="L1019" s="213" t="s">
        <v>24</v>
      </c>
      <c r="M1019" s="213" t="s">
        <v>10369</v>
      </c>
      <c r="P1019" s="121"/>
    </row>
    <row r="1020" spans="1:16">
      <c r="A1020" s="213" t="s">
        <v>2021</v>
      </c>
      <c r="B1020" s="213" t="s">
        <v>1795</v>
      </c>
      <c r="C1020" s="221" t="s">
        <v>1795</v>
      </c>
      <c r="D1020" s="221" t="s">
        <v>1795</v>
      </c>
      <c r="E1020" s="221" t="s">
        <v>6201</v>
      </c>
      <c r="F1020" s="213" t="s">
        <v>6202</v>
      </c>
      <c r="G1020" s="213" t="s">
        <v>1795</v>
      </c>
      <c r="H1020" s="213" t="s">
        <v>6203</v>
      </c>
      <c r="I1020" s="213" t="s">
        <v>6204</v>
      </c>
      <c r="J1020" s="213" t="s">
        <v>6205</v>
      </c>
      <c r="K1020" s="213" t="s">
        <v>9714</v>
      </c>
      <c r="L1020" s="213" t="s">
        <v>24</v>
      </c>
      <c r="M1020" s="213" t="s">
        <v>10370</v>
      </c>
      <c r="P1020" s="121"/>
    </row>
    <row r="1021" spans="1:16">
      <c r="A1021" s="213" t="s">
        <v>2022</v>
      </c>
      <c r="B1021" s="213" t="s">
        <v>2023</v>
      </c>
      <c r="C1021" s="221" t="s">
        <v>2023</v>
      </c>
      <c r="D1021" s="221" t="s">
        <v>2023</v>
      </c>
      <c r="E1021" s="221" t="s">
        <v>6206</v>
      </c>
      <c r="F1021" s="213" t="s">
        <v>6207</v>
      </c>
      <c r="G1021" s="213" t="s">
        <v>2023</v>
      </c>
      <c r="H1021" s="213" t="s">
        <v>6208</v>
      </c>
      <c r="I1021" s="213" t="s">
        <v>6209</v>
      </c>
      <c r="J1021" s="213" t="s">
        <v>6210</v>
      </c>
      <c r="K1021" s="213" t="s">
        <v>9715</v>
      </c>
      <c r="L1021" s="213" t="s">
        <v>24</v>
      </c>
      <c r="M1021" s="213" t="s">
        <v>10371</v>
      </c>
      <c r="P1021" s="121"/>
    </row>
    <row r="1022" spans="1:16">
      <c r="A1022" s="213" t="s">
        <v>2024</v>
      </c>
      <c r="B1022" s="213" t="s">
        <v>1420</v>
      </c>
      <c r="C1022" s="221" t="s">
        <v>1420</v>
      </c>
      <c r="D1022" s="221" t="s">
        <v>1420</v>
      </c>
      <c r="E1022" s="221" t="s">
        <v>6211</v>
      </c>
      <c r="F1022" s="213" t="s">
        <v>5336</v>
      </c>
      <c r="G1022" s="213" t="s">
        <v>1420</v>
      </c>
      <c r="H1022" s="213" t="s">
        <v>5337</v>
      </c>
      <c r="I1022" s="213" t="s">
        <v>5683</v>
      </c>
      <c r="J1022" s="213" t="s">
        <v>5684</v>
      </c>
      <c r="K1022" s="213" t="s">
        <v>9555</v>
      </c>
      <c r="L1022" s="213" t="s">
        <v>24</v>
      </c>
      <c r="M1022" s="213" t="s">
        <v>10372</v>
      </c>
      <c r="P1022" s="121"/>
    </row>
    <row r="1023" spans="1:16">
      <c r="A1023" s="213" t="s">
        <v>2027</v>
      </c>
      <c r="B1023" s="213" t="s">
        <v>2028</v>
      </c>
      <c r="C1023" s="221" t="s">
        <v>2028</v>
      </c>
      <c r="D1023" s="221" t="s">
        <v>2028</v>
      </c>
      <c r="E1023" s="221" t="s">
        <v>5414</v>
      </c>
      <c r="F1023" s="213" t="s">
        <v>6217</v>
      </c>
      <c r="G1023" s="213" t="s">
        <v>2028</v>
      </c>
      <c r="H1023" s="213" t="s">
        <v>5438</v>
      </c>
      <c r="I1023" s="213" t="s">
        <v>6218</v>
      </c>
      <c r="J1023" s="213" t="s">
        <v>6219</v>
      </c>
      <c r="K1023" s="213" t="s">
        <v>9567</v>
      </c>
      <c r="L1023" s="213" t="s">
        <v>24</v>
      </c>
      <c r="M1023" s="213" t="s">
        <v>10374</v>
      </c>
      <c r="P1023" s="121"/>
    </row>
    <row r="1024" spans="1:16">
      <c r="A1024" s="213" t="s">
        <v>2032</v>
      </c>
      <c r="B1024" s="213" t="s">
        <v>2034</v>
      </c>
      <c r="C1024" s="221" t="s">
        <v>2034</v>
      </c>
      <c r="D1024" s="221" t="s">
        <v>2034</v>
      </c>
      <c r="E1024" s="221" t="s">
        <v>6228</v>
      </c>
      <c r="F1024" s="213" t="s">
        <v>6229</v>
      </c>
      <c r="G1024" s="213" t="s">
        <v>2034</v>
      </c>
      <c r="H1024" s="213" t="s">
        <v>6230</v>
      </c>
      <c r="I1024" s="213" t="s">
        <v>6231</v>
      </c>
      <c r="J1024" s="213" t="s">
        <v>6232</v>
      </c>
      <c r="K1024" s="213" t="s">
        <v>9719</v>
      </c>
      <c r="L1024" s="213" t="s">
        <v>24</v>
      </c>
      <c r="M1024" s="213" t="s">
        <v>10377</v>
      </c>
      <c r="P1024" s="121"/>
    </row>
    <row r="1025" spans="1:16">
      <c r="A1025" s="213" t="s">
        <v>2056</v>
      </c>
      <c r="B1025" s="213" t="s">
        <v>1959</v>
      </c>
      <c r="C1025" s="221" t="s">
        <v>1959</v>
      </c>
      <c r="D1025" s="221" t="s">
        <v>1959</v>
      </c>
      <c r="E1025" s="221" t="s">
        <v>6238</v>
      </c>
      <c r="F1025" s="213" t="s">
        <v>6239</v>
      </c>
      <c r="G1025" s="213" t="s">
        <v>1959</v>
      </c>
      <c r="H1025" s="213" t="s">
        <v>6240</v>
      </c>
      <c r="I1025" s="213" t="s">
        <v>6241</v>
      </c>
      <c r="J1025" s="213" t="s">
        <v>6242</v>
      </c>
      <c r="K1025" s="213" t="s">
        <v>9721</v>
      </c>
      <c r="L1025" s="213" t="s">
        <v>24</v>
      </c>
      <c r="M1025" s="213" t="s">
        <v>10379</v>
      </c>
      <c r="P1025" s="121"/>
    </row>
    <row r="1026" spans="1:16">
      <c r="A1026" s="213" t="s">
        <v>2057</v>
      </c>
      <c r="B1026" s="213" t="s">
        <v>2035</v>
      </c>
      <c r="C1026" s="221" t="s">
        <v>2035</v>
      </c>
      <c r="D1026" s="221" t="s">
        <v>2035</v>
      </c>
      <c r="E1026" s="221" t="s">
        <v>5873</v>
      </c>
      <c r="F1026" s="213" t="s">
        <v>6243</v>
      </c>
      <c r="G1026" s="213" t="s">
        <v>2035</v>
      </c>
      <c r="H1026" s="213" t="s">
        <v>6244</v>
      </c>
      <c r="I1026" s="213" t="s">
        <v>6245</v>
      </c>
      <c r="J1026" s="213" t="s">
        <v>5877</v>
      </c>
      <c r="K1026" s="213" t="s">
        <v>9722</v>
      </c>
      <c r="L1026" s="213" t="s">
        <v>24</v>
      </c>
      <c r="M1026" s="213" t="s">
        <v>10380</v>
      </c>
      <c r="P1026" s="121"/>
    </row>
    <row r="1027" spans="1:16">
      <c r="A1027" s="213" t="s">
        <v>2058</v>
      </c>
      <c r="B1027" s="213" t="s">
        <v>2059</v>
      </c>
      <c r="C1027" s="221" t="s">
        <v>2059</v>
      </c>
      <c r="D1027" s="221" t="s">
        <v>2059</v>
      </c>
      <c r="E1027" s="221" t="s">
        <v>6246</v>
      </c>
      <c r="F1027" s="213" t="s">
        <v>6247</v>
      </c>
      <c r="G1027" s="213" t="s">
        <v>2059</v>
      </c>
      <c r="H1027" s="213" t="s">
        <v>6248</v>
      </c>
      <c r="I1027" s="213" t="s">
        <v>6249</v>
      </c>
      <c r="J1027" s="213" t="s">
        <v>6250</v>
      </c>
      <c r="K1027" s="213" t="s">
        <v>9723</v>
      </c>
      <c r="L1027" s="213" t="s">
        <v>24</v>
      </c>
      <c r="M1027" s="213" t="s">
        <v>10381</v>
      </c>
      <c r="P1027" s="121"/>
    </row>
    <row r="1028" spans="1:16">
      <c r="A1028" s="213" t="s">
        <v>2060</v>
      </c>
      <c r="B1028" s="213" t="s">
        <v>2030</v>
      </c>
      <c r="C1028" s="221" t="s">
        <v>2030</v>
      </c>
      <c r="D1028" s="221" t="s">
        <v>2030</v>
      </c>
      <c r="E1028" s="221" t="s">
        <v>6220</v>
      </c>
      <c r="F1028" s="213" t="s">
        <v>6221</v>
      </c>
      <c r="G1028" s="213" t="s">
        <v>2030</v>
      </c>
      <c r="H1028" s="213" t="s">
        <v>6222</v>
      </c>
      <c r="I1028" s="213" t="s">
        <v>6223</v>
      </c>
      <c r="J1028" s="213" t="s">
        <v>6224</v>
      </c>
      <c r="K1028" s="213" t="s">
        <v>9717</v>
      </c>
      <c r="L1028" s="213" t="s">
        <v>24</v>
      </c>
      <c r="M1028" s="213" t="s">
        <v>10375</v>
      </c>
      <c r="P1028" s="121"/>
    </row>
    <row r="1029" spans="1:16">
      <c r="A1029" s="213" t="s">
        <v>2061</v>
      </c>
      <c r="B1029" s="213" t="s">
        <v>2036</v>
      </c>
      <c r="C1029" s="221" t="s">
        <v>2036</v>
      </c>
      <c r="D1029" s="221" t="s">
        <v>2036</v>
      </c>
      <c r="E1029" s="221" t="s">
        <v>6251</v>
      </c>
      <c r="F1029" s="213" t="s">
        <v>6252</v>
      </c>
      <c r="G1029" s="213" t="s">
        <v>2036</v>
      </c>
      <c r="H1029" s="213" t="s">
        <v>6253</v>
      </c>
      <c r="I1029" s="213" t="s">
        <v>6254</v>
      </c>
      <c r="J1029" s="213" t="s">
        <v>6255</v>
      </c>
      <c r="K1029" s="213" t="s">
        <v>9724</v>
      </c>
      <c r="L1029" s="213" t="s">
        <v>24</v>
      </c>
      <c r="M1029" s="213" t="s">
        <v>10382</v>
      </c>
      <c r="P1029" s="121"/>
    </row>
    <row r="1030" spans="1:16">
      <c r="A1030" s="213" t="s">
        <v>2062</v>
      </c>
      <c r="B1030" s="213" t="s">
        <v>2016</v>
      </c>
      <c r="C1030" s="221" t="s">
        <v>2016</v>
      </c>
      <c r="D1030" s="221" t="s">
        <v>2016</v>
      </c>
      <c r="E1030" s="221" t="s">
        <v>6186</v>
      </c>
      <c r="F1030" s="213" t="s">
        <v>6187</v>
      </c>
      <c r="G1030" s="213" t="s">
        <v>2016</v>
      </c>
      <c r="H1030" s="213" t="s">
        <v>6188</v>
      </c>
      <c r="I1030" s="213" t="s">
        <v>6189</v>
      </c>
      <c r="J1030" s="213" t="s">
        <v>6190</v>
      </c>
      <c r="K1030" s="222" t="s">
        <v>9725</v>
      </c>
      <c r="L1030" s="213" t="s">
        <v>24</v>
      </c>
      <c r="M1030" s="213" t="s">
        <v>10383</v>
      </c>
      <c r="P1030" s="121"/>
    </row>
    <row r="1031" spans="1:16">
      <c r="A1031" s="213" t="s">
        <v>2063</v>
      </c>
      <c r="B1031" s="213" t="s">
        <v>2038</v>
      </c>
      <c r="C1031" s="221" t="s">
        <v>2038</v>
      </c>
      <c r="D1031" s="221" t="s">
        <v>2038</v>
      </c>
      <c r="E1031" s="221" t="s">
        <v>6256</v>
      </c>
      <c r="F1031" s="213" t="s">
        <v>6257</v>
      </c>
      <c r="G1031" s="213" t="s">
        <v>2038</v>
      </c>
      <c r="H1031" s="213" t="s">
        <v>6258</v>
      </c>
      <c r="I1031" s="213" t="s">
        <v>6259</v>
      </c>
      <c r="J1031" s="213" t="s">
        <v>6260</v>
      </c>
      <c r="K1031" s="222" t="s">
        <v>9726</v>
      </c>
      <c r="L1031" s="213" t="s">
        <v>24</v>
      </c>
      <c r="M1031" s="213" t="s">
        <v>10384</v>
      </c>
      <c r="P1031" s="121"/>
    </row>
    <row r="1032" spans="1:16">
      <c r="A1032" s="213" t="s">
        <v>2064</v>
      </c>
      <c r="B1032" s="213" t="s">
        <v>2039</v>
      </c>
      <c r="C1032" s="221" t="s">
        <v>2039</v>
      </c>
      <c r="D1032" s="221" t="s">
        <v>2039</v>
      </c>
      <c r="E1032" s="221" t="s">
        <v>6261</v>
      </c>
      <c r="F1032" s="213" t="s">
        <v>6262</v>
      </c>
      <c r="G1032" s="213" t="s">
        <v>2039</v>
      </c>
      <c r="H1032" s="213" t="s">
        <v>6263</v>
      </c>
      <c r="I1032" s="213" t="s">
        <v>6264</v>
      </c>
      <c r="J1032" s="213" t="s">
        <v>6265</v>
      </c>
      <c r="K1032" s="213" t="s">
        <v>9727</v>
      </c>
      <c r="L1032" s="213" t="s">
        <v>24</v>
      </c>
      <c r="M1032" s="213" t="s">
        <v>10385</v>
      </c>
      <c r="P1032" s="121"/>
    </row>
    <row r="1033" spans="1:16">
      <c r="A1033" s="213" t="s">
        <v>2065</v>
      </c>
      <c r="B1033" s="213" t="s">
        <v>2028</v>
      </c>
      <c r="C1033" s="221" t="s">
        <v>2028</v>
      </c>
      <c r="D1033" s="221" t="s">
        <v>2028</v>
      </c>
      <c r="E1033" s="221" t="s">
        <v>5414</v>
      </c>
      <c r="F1033" s="213" t="s">
        <v>6217</v>
      </c>
      <c r="G1033" s="213" t="s">
        <v>2028</v>
      </c>
      <c r="H1033" s="213" t="s">
        <v>5438</v>
      </c>
      <c r="I1033" s="213" t="s">
        <v>6218</v>
      </c>
      <c r="J1033" s="213" t="s">
        <v>6219</v>
      </c>
      <c r="K1033" s="222" t="s">
        <v>9728</v>
      </c>
      <c r="L1033" s="213" t="s">
        <v>24</v>
      </c>
      <c r="M1033" s="213" t="s">
        <v>10386</v>
      </c>
      <c r="P1033" s="121"/>
    </row>
    <row r="1034" spans="1:16">
      <c r="A1034" s="213" t="s">
        <v>2066</v>
      </c>
      <c r="B1034" s="213" t="s">
        <v>2042</v>
      </c>
      <c r="C1034" s="221" t="s">
        <v>2042</v>
      </c>
      <c r="D1034" s="221" t="s">
        <v>2042</v>
      </c>
      <c r="E1034" s="221" t="s">
        <v>6266</v>
      </c>
      <c r="F1034" s="213" t="s">
        <v>6267</v>
      </c>
      <c r="G1034" s="213" t="s">
        <v>2042</v>
      </c>
      <c r="H1034" s="213" t="s">
        <v>6268</v>
      </c>
      <c r="I1034" s="213" t="s">
        <v>6269</v>
      </c>
      <c r="J1034" s="213" t="s">
        <v>6270</v>
      </c>
      <c r="K1034" s="213" t="s">
        <v>9729</v>
      </c>
      <c r="L1034" s="213" t="s">
        <v>24</v>
      </c>
      <c r="M1034" s="213" t="s">
        <v>10387</v>
      </c>
      <c r="P1034" s="121"/>
    </row>
    <row r="1035" spans="1:16">
      <c r="A1035" s="213" t="s">
        <v>2067</v>
      </c>
      <c r="B1035" s="213" t="s">
        <v>2044</v>
      </c>
      <c r="C1035" s="221" t="s">
        <v>2044</v>
      </c>
      <c r="D1035" s="221" t="s">
        <v>2044</v>
      </c>
      <c r="E1035" s="221" t="s">
        <v>6271</v>
      </c>
      <c r="F1035" s="213" t="s">
        <v>6272</v>
      </c>
      <c r="G1035" s="213" t="s">
        <v>2044</v>
      </c>
      <c r="H1035" s="213" t="s">
        <v>6273</v>
      </c>
      <c r="I1035" s="213" t="s">
        <v>6274</v>
      </c>
      <c r="J1035" s="213" t="s">
        <v>6275</v>
      </c>
      <c r="K1035" s="213" t="s">
        <v>9730</v>
      </c>
      <c r="L1035" s="213" t="s">
        <v>24</v>
      </c>
      <c r="M1035" s="213" t="s">
        <v>10388</v>
      </c>
      <c r="P1035" s="121"/>
    </row>
    <row r="1036" spans="1:16">
      <c r="A1036" s="213" t="s">
        <v>2068</v>
      </c>
      <c r="B1036" s="213" t="s">
        <v>2026</v>
      </c>
      <c r="C1036" s="221" t="s">
        <v>2026</v>
      </c>
      <c r="D1036" s="221" t="s">
        <v>2026</v>
      </c>
      <c r="E1036" s="221" t="s">
        <v>6212</v>
      </c>
      <c r="F1036" s="213" t="s">
        <v>6213</v>
      </c>
      <c r="G1036" s="213" t="s">
        <v>2026</v>
      </c>
      <c r="H1036" s="213" t="s">
        <v>6214</v>
      </c>
      <c r="I1036" s="213" t="s">
        <v>6215</v>
      </c>
      <c r="J1036" s="213" t="s">
        <v>6216</v>
      </c>
      <c r="K1036" s="213" t="s">
        <v>9716</v>
      </c>
      <c r="L1036" s="213" t="s">
        <v>24</v>
      </c>
      <c r="M1036" s="213" t="s">
        <v>10389</v>
      </c>
      <c r="P1036" s="121"/>
    </row>
    <row r="1037" spans="1:16">
      <c r="A1037" s="213" t="s">
        <v>2069</v>
      </c>
      <c r="B1037" s="213" t="s">
        <v>2046</v>
      </c>
      <c r="C1037" s="221" t="s">
        <v>2046</v>
      </c>
      <c r="D1037" s="221" t="s">
        <v>2046</v>
      </c>
      <c r="E1037" s="221" t="s">
        <v>6276</v>
      </c>
      <c r="F1037" s="213" t="s">
        <v>6277</v>
      </c>
      <c r="G1037" s="213" t="s">
        <v>2046</v>
      </c>
      <c r="H1037" s="213" t="s">
        <v>6278</v>
      </c>
      <c r="I1037" s="213" t="s">
        <v>6279</v>
      </c>
      <c r="J1037" s="213" t="s">
        <v>6280</v>
      </c>
      <c r="K1037" s="213" t="s">
        <v>9731</v>
      </c>
      <c r="L1037" s="213" t="s">
        <v>24</v>
      </c>
      <c r="M1037" s="213" t="s">
        <v>10390</v>
      </c>
      <c r="P1037" s="121"/>
    </row>
    <row r="1038" spans="1:16">
      <c r="A1038" s="213" t="s">
        <v>2070</v>
      </c>
      <c r="B1038" s="213" t="s">
        <v>2043</v>
      </c>
      <c r="C1038" s="221" t="s">
        <v>2043</v>
      </c>
      <c r="D1038" s="221" t="s">
        <v>2043</v>
      </c>
      <c r="E1038" s="221" t="s">
        <v>6281</v>
      </c>
      <c r="F1038" s="213" t="s">
        <v>6282</v>
      </c>
      <c r="G1038" s="213" t="s">
        <v>2043</v>
      </c>
      <c r="H1038" s="213" t="s">
        <v>6283</v>
      </c>
      <c r="I1038" s="213" t="s">
        <v>6284</v>
      </c>
      <c r="J1038" s="213" t="s">
        <v>6285</v>
      </c>
      <c r="K1038" s="222" t="s">
        <v>9732</v>
      </c>
      <c r="L1038" s="213" t="s">
        <v>24</v>
      </c>
      <c r="M1038" s="213" t="s">
        <v>10391</v>
      </c>
      <c r="P1038" s="121"/>
    </row>
    <row r="1039" spans="1:16">
      <c r="A1039" s="213" t="s">
        <v>2071</v>
      </c>
      <c r="B1039" s="213" t="s">
        <v>2047</v>
      </c>
      <c r="C1039" s="221" t="s">
        <v>2047</v>
      </c>
      <c r="D1039" s="221" t="s">
        <v>2047</v>
      </c>
      <c r="E1039" s="221" t="s">
        <v>6286</v>
      </c>
      <c r="F1039" s="213" t="s">
        <v>6287</v>
      </c>
      <c r="G1039" s="213" t="s">
        <v>2047</v>
      </c>
      <c r="H1039" s="213" t="s">
        <v>6288</v>
      </c>
      <c r="I1039" s="213" t="s">
        <v>6289</v>
      </c>
      <c r="J1039" s="213" t="s">
        <v>6290</v>
      </c>
      <c r="K1039" s="213" t="s">
        <v>9733</v>
      </c>
      <c r="L1039" s="213" t="s">
        <v>24</v>
      </c>
      <c r="M1039" s="213" t="s">
        <v>10392</v>
      </c>
      <c r="P1039" s="121"/>
    </row>
    <row r="1040" spans="1:16">
      <c r="A1040" s="213" t="s">
        <v>2072</v>
      </c>
      <c r="B1040" s="213" t="s">
        <v>2049</v>
      </c>
      <c r="C1040" s="221" t="s">
        <v>2049</v>
      </c>
      <c r="D1040" s="221" t="s">
        <v>2049</v>
      </c>
      <c r="E1040" s="221" t="s">
        <v>6291</v>
      </c>
      <c r="F1040" s="213" t="s">
        <v>6292</v>
      </c>
      <c r="G1040" s="213" t="s">
        <v>2049</v>
      </c>
      <c r="H1040" s="213" t="s">
        <v>6293</v>
      </c>
      <c r="I1040" s="213" t="s">
        <v>6294</v>
      </c>
      <c r="J1040" s="213" t="s">
        <v>6295</v>
      </c>
      <c r="K1040" s="213" t="s">
        <v>9734</v>
      </c>
      <c r="L1040" s="213" t="s">
        <v>24</v>
      </c>
      <c r="M1040" s="213" t="s">
        <v>10393</v>
      </c>
      <c r="P1040" s="121"/>
    </row>
    <row r="1041" spans="1:16">
      <c r="A1041" s="213" t="s">
        <v>2073</v>
      </c>
      <c r="B1041" s="213" t="s">
        <v>2053</v>
      </c>
      <c r="C1041" s="221" t="s">
        <v>2053</v>
      </c>
      <c r="D1041" s="221" t="s">
        <v>2053</v>
      </c>
      <c r="E1041" s="221" t="s">
        <v>6296</v>
      </c>
      <c r="F1041" s="213" t="s">
        <v>6297</v>
      </c>
      <c r="G1041" s="213" t="s">
        <v>2053</v>
      </c>
      <c r="H1041" s="213" t="s">
        <v>6298</v>
      </c>
      <c r="I1041" s="213" t="s">
        <v>6299</v>
      </c>
      <c r="J1041" s="213" t="s">
        <v>6300</v>
      </c>
      <c r="K1041" s="213" t="s">
        <v>9735</v>
      </c>
      <c r="L1041" s="213" t="s">
        <v>24</v>
      </c>
      <c r="M1041" s="213" t="s">
        <v>10394</v>
      </c>
      <c r="P1041" s="121"/>
    </row>
    <row r="1042" spans="1:16">
      <c r="A1042" s="213" t="s">
        <v>2074</v>
      </c>
      <c r="B1042" s="213" t="s">
        <v>2075</v>
      </c>
      <c r="C1042" s="221" t="s">
        <v>2075</v>
      </c>
      <c r="D1042" s="221" t="s">
        <v>2075</v>
      </c>
      <c r="E1042" s="221" t="s">
        <v>6301</v>
      </c>
      <c r="F1042" s="213" t="s">
        <v>6302</v>
      </c>
      <c r="G1042" s="213" t="s">
        <v>2075</v>
      </c>
      <c r="H1042" s="213" t="s">
        <v>6303</v>
      </c>
      <c r="I1042" s="213" t="s">
        <v>6304</v>
      </c>
      <c r="J1042" s="213" t="s">
        <v>6305</v>
      </c>
      <c r="K1042" s="213" t="s">
        <v>9736</v>
      </c>
      <c r="L1042" s="213" t="s">
        <v>24</v>
      </c>
      <c r="M1042" s="213" t="s">
        <v>10395</v>
      </c>
      <c r="P1042" s="121"/>
    </row>
    <row r="1043" spans="1:16">
      <c r="A1043" s="213" t="s">
        <v>2076</v>
      </c>
      <c r="B1043" s="213" t="s">
        <v>2054</v>
      </c>
      <c r="C1043" s="221" t="s">
        <v>2054</v>
      </c>
      <c r="D1043" s="221" t="s">
        <v>2054</v>
      </c>
      <c r="E1043" s="221" t="s">
        <v>6306</v>
      </c>
      <c r="F1043" s="213" t="s">
        <v>6307</v>
      </c>
      <c r="G1043" s="213" t="s">
        <v>2054</v>
      </c>
      <c r="H1043" s="213" t="s">
        <v>6308</v>
      </c>
      <c r="I1043" s="213" t="s">
        <v>6309</v>
      </c>
      <c r="J1043" s="213" t="s">
        <v>6310</v>
      </c>
      <c r="K1043" s="213" t="s">
        <v>9737</v>
      </c>
      <c r="L1043" s="213" t="s">
        <v>24</v>
      </c>
      <c r="M1043" s="213" t="s">
        <v>10396</v>
      </c>
      <c r="P1043" s="121"/>
    </row>
    <row r="1044" spans="1:16">
      <c r="A1044" s="214" t="s">
        <v>2077</v>
      </c>
      <c r="B1044" s="213" t="s">
        <v>2079</v>
      </c>
      <c r="C1044" s="221" t="s">
        <v>2079</v>
      </c>
      <c r="D1044" s="221" t="s">
        <v>2079</v>
      </c>
      <c r="E1044" s="221" t="s">
        <v>6311</v>
      </c>
      <c r="F1044" s="213" t="s">
        <v>6312</v>
      </c>
      <c r="G1044" s="213" t="s">
        <v>2079</v>
      </c>
      <c r="H1044" s="213" t="s">
        <v>6313</v>
      </c>
      <c r="I1044" s="213" t="s">
        <v>6314</v>
      </c>
      <c r="J1044" s="213" t="s">
        <v>6315</v>
      </c>
      <c r="K1044" s="213" t="s">
        <v>9738</v>
      </c>
      <c r="L1044" s="213" t="s">
        <v>24</v>
      </c>
      <c r="M1044" s="213"/>
      <c r="P1044" s="121"/>
    </row>
    <row r="1045" spans="1:16">
      <c r="A1045" s="213" t="s">
        <v>2118</v>
      </c>
      <c r="B1045" s="213" t="s">
        <v>1475</v>
      </c>
      <c r="C1045" s="221" t="s">
        <v>1475</v>
      </c>
      <c r="D1045" s="221" t="s">
        <v>1475</v>
      </c>
      <c r="E1045" s="221" t="s">
        <v>6225</v>
      </c>
      <c r="F1045" s="213" t="s">
        <v>5462</v>
      </c>
      <c r="G1045" s="213" t="s">
        <v>1475</v>
      </c>
      <c r="H1045" s="213" t="s">
        <v>6226</v>
      </c>
      <c r="I1045" s="213" t="s">
        <v>6227</v>
      </c>
      <c r="J1045" s="213" t="s">
        <v>5465</v>
      </c>
      <c r="K1045" s="213" t="s">
        <v>9718</v>
      </c>
      <c r="L1045" s="213" t="s">
        <v>24</v>
      </c>
      <c r="M1045" s="213" t="s">
        <v>10376</v>
      </c>
      <c r="P1045" s="121"/>
    </row>
    <row r="1046" spans="1:16">
      <c r="A1046" s="213" t="s">
        <v>2124</v>
      </c>
      <c r="B1046" s="213" t="s">
        <v>2083</v>
      </c>
      <c r="C1046" s="221" t="s">
        <v>2083</v>
      </c>
      <c r="D1046" s="221" t="s">
        <v>2083</v>
      </c>
      <c r="E1046" s="221" t="s">
        <v>6331</v>
      </c>
      <c r="F1046" s="213" t="s">
        <v>6332</v>
      </c>
      <c r="G1046" s="213" t="s">
        <v>2083</v>
      </c>
      <c r="H1046" s="213" t="s">
        <v>6333</v>
      </c>
      <c r="I1046" s="213" t="s">
        <v>6334</v>
      </c>
      <c r="J1046" s="213" t="s">
        <v>6335</v>
      </c>
      <c r="K1046" s="213" t="s">
        <v>9742</v>
      </c>
      <c r="L1046" s="213" t="s">
        <v>24</v>
      </c>
      <c r="M1046" s="213" t="s">
        <v>10399</v>
      </c>
      <c r="P1046" s="121"/>
    </row>
    <row r="1047" spans="1:16">
      <c r="A1047" s="213" t="s">
        <v>2125</v>
      </c>
      <c r="B1047" s="213" t="s">
        <v>1420</v>
      </c>
      <c r="C1047" s="221" t="s">
        <v>1420</v>
      </c>
      <c r="D1047" s="221" t="s">
        <v>1420</v>
      </c>
      <c r="E1047" s="221" t="s">
        <v>5335</v>
      </c>
      <c r="F1047" s="213" t="s">
        <v>5336</v>
      </c>
      <c r="G1047" s="213" t="s">
        <v>1420</v>
      </c>
      <c r="H1047" s="213" t="s">
        <v>5337</v>
      </c>
      <c r="I1047" s="213" t="s">
        <v>5683</v>
      </c>
      <c r="J1047" s="213" t="s">
        <v>5684</v>
      </c>
      <c r="K1047" s="213" t="s">
        <v>9555</v>
      </c>
      <c r="L1047" s="213" t="s">
        <v>24</v>
      </c>
      <c r="M1047" s="213" t="s">
        <v>10372</v>
      </c>
      <c r="P1047" s="121"/>
    </row>
    <row r="1048" spans="1:16">
      <c r="A1048" s="213" t="s">
        <v>2126</v>
      </c>
      <c r="B1048" s="213" t="s">
        <v>2084</v>
      </c>
      <c r="C1048" s="221" t="s">
        <v>2084</v>
      </c>
      <c r="D1048" s="221" t="s">
        <v>2084</v>
      </c>
      <c r="E1048" s="221" t="s">
        <v>6336</v>
      </c>
      <c r="F1048" s="213" t="s">
        <v>6337</v>
      </c>
      <c r="G1048" s="213" t="s">
        <v>2084</v>
      </c>
      <c r="H1048" s="213" t="s">
        <v>6338</v>
      </c>
      <c r="I1048" s="213" t="s">
        <v>6339</v>
      </c>
      <c r="J1048" s="213" t="s">
        <v>6340</v>
      </c>
      <c r="K1048" s="213" t="s">
        <v>9743</v>
      </c>
      <c r="L1048" s="213" t="s">
        <v>24</v>
      </c>
      <c r="M1048" s="213" t="s">
        <v>10400</v>
      </c>
      <c r="P1048" s="121"/>
    </row>
    <row r="1049" spans="1:16">
      <c r="A1049" s="213" t="s">
        <v>2127</v>
      </c>
      <c r="B1049" s="213" t="s">
        <v>2085</v>
      </c>
      <c r="C1049" s="221" t="s">
        <v>2085</v>
      </c>
      <c r="D1049" s="221" t="s">
        <v>2085</v>
      </c>
      <c r="E1049" s="221" t="s">
        <v>6341</v>
      </c>
      <c r="F1049" s="213" t="s">
        <v>6342</v>
      </c>
      <c r="G1049" s="213" t="s">
        <v>2085</v>
      </c>
      <c r="H1049" s="213" t="s">
        <v>6343</v>
      </c>
      <c r="I1049" s="213" t="s">
        <v>6344</v>
      </c>
      <c r="J1049" s="213" t="s">
        <v>6345</v>
      </c>
      <c r="K1049" s="213" t="s">
        <v>9744</v>
      </c>
      <c r="L1049" s="213" t="s">
        <v>24</v>
      </c>
      <c r="M1049" s="213" t="s">
        <v>10401</v>
      </c>
      <c r="P1049" s="121"/>
    </row>
    <row r="1050" spans="1:16">
      <c r="A1050" s="213" t="s">
        <v>2128</v>
      </c>
      <c r="B1050" s="213" t="s">
        <v>1959</v>
      </c>
      <c r="C1050" s="221" t="s">
        <v>1959</v>
      </c>
      <c r="D1050" s="221" t="s">
        <v>1959</v>
      </c>
      <c r="E1050" s="221" t="s">
        <v>6346</v>
      </c>
      <c r="F1050" s="213" t="s">
        <v>6239</v>
      </c>
      <c r="G1050" s="213" t="s">
        <v>1959</v>
      </c>
      <c r="H1050" s="213" t="s">
        <v>6347</v>
      </c>
      <c r="I1050" s="213" t="s">
        <v>6241</v>
      </c>
      <c r="J1050" s="213" t="s">
        <v>6242</v>
      </c>
      <c r="K1050" s="213" t="s">
        <v>9721</v>
      </c>
      <c r="L1050" s="213" t="s">
        <v>24</v>
      </c>
      <c r="M1050" s="213" t="s">
        <v>10402</v>
      </c>
      <c r="P1050" s="121"/>
    </row>
    <row r="1051" spans="1:16">
      <c r="A1051" s="213" t="s">
        <v>2131</v>
      </c>
      <c r="B1051" s="213" t="s">
        <v>2089</v>
      </c>
      <c r="C1051" s="221" t="s">
        <v>2089</v>
      </c>
      <c r="D1051" s="221" t="s">
        <v>2089</v>
      </c>
      <c r="E1051" s="221" t="s">
        <v>6358</v>
      </c>
      <c r="F1051" s="213" t="s">
        <v>6359</v>
      </c>
      <c r="G1051" s="213" t="s">
        <v>2089</v>
      </c>
      <c r="H1051" s="213" t="s">
        <v>6360</v>
      </c>
      <c r="I1051" s="213" t="s">
        <v>6361</v>
      </c>
      <c r="J1051" s="213" t="s">
        <v>6362</v>
      </c>
      <c r="K1051" s="213" t="s">
        <v>9747</v>
      </c>
      <c r="L1051" s="213" t="s">
        <v>24</v>
      </c>
      <c r="M1051" s="213" t="s">
        <v>10405</v>
      </c>
      <c r="P1051" s="121"/>
    </row>
    <row r="1052" spans="1:16">
      <c r="A1052" s="213" t="s">
        <v>2132</v>
      </c>
      <c r="B1052" s="213" t="s">
        <v>2091</v>
      </c>
      <c r="C1052" s="221" t="s">
        <v>2091</v>
      </c>
      <c r="D1052" s="221" t="s">
        <v>2091</v>
      </c>
      <c r="E1052" s="221" t="s">
        <v>6363</v>
      </c>
      <c r="F1052" s="213" t="s">
        <v>6364</v>
      </c>
      <c r="G1052" s="213" t="s">
        <v>2091</v>
      </c>
      <c r="H1052" s="213" t="s">
        <v>6365</v>
      </c>
      <c r="I1052" s="213" t="s">
        <v>6366</v>
      </c>
      <c r="J1052" s="213" t="s">
        <v>6367</v>
      </c>
      <c r="K1052" s="213" t="s">
        <v>9748</v>
      </c>
      <c r="L1052" s="213" t="s">
        <v>24</v>
      </c>
      <c r="M1052" s="213" t="s">
        <v>10406</v>
      </c>
      <c r="P1052" s="121"/>
    </row>
    <row r="1053" spans="1:16">
      <c r="A1053" s="213" t="s">
        <v>2133</v>
      </c>
      <c r="B1053" s="213" t="s">
        <v>2050</v>
      </c>
      <c r="C1053" s="221" t="s">
        <v>2050</v>
      </c>
      <c r="D1053" s="221" t="s">
        <v>2050</v>
      </c>
      <c r="E1053" s="221" t="s">
        <v>6368</v>
      </c>
      <c r="F1053" s="213" t="s">
        <v>6369</v>
      </c>
      <c r="G1053" s="213" t="s">
        <v>2050</v>
      </c>
      <c r="H1053" s="213" t="s">
        <v>6293</v>
      </c>
      <c r="I1053" s="213" t="s">
        <v>6294</v>
      </c>
      <c r="J1053" s="213" t="s">
        <v>6295</v>
      </c>
      <c r="K1053" s="213" t="s">
        <v>9734</v>
      </c>
      <c r="L1053" s="213" t="s">
        <v>24</v>
      </c>
      <c r="M1053" s="213" t="s">
        <v>10407</v>
      </c>
      <c r="P1053" s="121"/>
    </row>
    <row r="1054" spans="1:16">
      <c r="A1054" s="213" t="s">
        <v>2134</v>
      </c>
      <c r="B1054" s="213" t="s">
        <v>2028</v>
      </c>
      <c r="C1054" s="221" t="s">
        <v>2028</v>
      </c>
      <c r="D1054" s="221" t="s">
        <v>2028</v>
      </c>
      <c r="E1054" s="221" t="s">
        <v>5414</v>
      </c>
      <c r="F1054" s="213" t="s">
        <v>6217</v>
      </c>
      <c r="G1054" s="213" t="s">
        <v>2028</v>
      </c>
      <c r="H1054" s="213" t="s">
        <v>5438</v>
      </c>
      <c r="I1054" s="213" t="s">
        <v>6218</v>
      </c>
      <c r="J1054" s="213" t="s">
        <v>6219</v>
      </c>
      <c r="K1054" s="213" t="s">
        <v>9567</v>
      </c>
      <c r="L1054" s="213" t="s">
        <v>24</v>
      </c>
      <c r="M1054" s="213" t="s">
        <v>10374</v>
      </c>
      <c r="P1054" s="121"/>
    </row>
    <row r="1055" spans="1:16">
      <c r="A1055" s="213" t="s">
        <v>2135</v>
      </c>
      <c r="B1055" s="213" t="s">
        <v>2095</v>
      </c>
      <c r="C1055" s="221" t="s">
        <v>2095</v>
      </c>
      <c r="D1055" s="221" t="s">
        <v>2095</v>
      </c>
      <c r="E1055" s="221" t="s">
        <v>6370</v>
      </c>
      <c r="F1055" s="213" t="s">
        <v>6371</v>
      </c>
      <c r="G1055" s="213" t="s">
        <v>2095</v>
      </c>
      <c r="H1055" s="213" t="s">
        <v>6372</v>
      </c>
      <c r="I1055" s="213" t="s">
        <v>6373</v>
      </c>
      <c r="J1055" s="213" t="s">
        <v>6374</v>
      </c>
      <c r="K1055" s="213" t="s">
        <v>9749</v>
      </c>
      <c r="L1055" s="213" t="s">
        <v>24</v>
      </c>
      <c r="M1055" s="213" t="s">
        <v>10408</v>
      </c>
      <c r="P1055" s="121"/>
    </row>
    <row r="1056" spans="1:16">
      <c r="A1056" s="213" t="s">
        <v>2136</v>
      </c>
      <c r="B1056" s="213" t="s">
        <v>2026</v>
      </c>
      <c r="C1056" s="221" t="s">
        <v>2026</v>
      </c>
      <c r="D1056" s="221" t="s">
        <v>2026</v>
      </c>
      <c r="E1056" s="221" t="s">
        <v>6212</v>
      </c>
      <c r="F1056" s="213" t="s">
        <v>6213</v>
      </c>
      <c r="G1056" s="213" t="s">
        <v>2026</v>
      </c>
      <c r="H1056" s="213" t="s">
        <v>6214</v>
      </c>
      <c r="I1056" s="213" t="s">
        <v>6215</v>
      </c>
      <c r="J1056" s="213" t="s">
        <v>6216</v>
      </c>
      <c r="K1056" s="213" t="s">
        <v>9716</v>
      </c>
      <c r="L1056" s="213" t="s">
        <v>24</v>
      </c>
      <c r="M1056" s="213" t="s">
        <v>10389</v>
      </c>
      <c r="P1056" s="121"/>
    </row>
    <row r="1057" spans="1:16">
      <c r="A1057" s="213" t="s">
        <v>2137</v>
      </c>
      <c r="B1057" s="213" t="s">
        <v>2098</v>
      </c>
      <c r="C1057" s="221" t="s">
        <v>2098</v>
      </c>
      <c r="D1057" s="221" t="s">
        <v>2098</v>
      </c>
      <c r="E1057" s="221" t="s">
        <v>6375</v>
      </c>
      <c r="F1057" s="213" t="s">
        <v>6376</v>
      </c>
      <c r="G1057" s="213" t="s">
        <v>2098</v>
      </c>
      <c r="H1057" s="213" t="s">
        <v>6377</v>
      </c>
      <c r="I1057" s="213" t="s">
        <v>6378</v>
      </c>
      <c r="J1057" s="213" t="s">
        <v>6379</v>
      </c>
      <c r="K1057" s="213" t="s">
        <v>9750</v>
      </c>
      <c r="L1057" s="213" t="s">
        <v>24</v>
      </c>
      <c r="M1057" s="213" t="s">
        <v>10409</v>
      </c>
      <c r="P1057" s="121"/>
    </row>
    <row r="1058" spans="1:16">
      <c r="A1058" s="213" t="s">
        <v>2138</v>
      </c>
      <c r="B1058" s="213" t="s">
        <v>2099</v>
      </c>
      <c r="C1058" s="221" t="s">
        <v>2099</v>
      </c>
      <c r="D1058" s="221" t="s">
        <v>2099</v>
      </c>
      <c r="E1058" s="221" t="s">
        <v>6380</v>
      </c>
      <c r="F1058" s="213" t="s">
        <v>6381</v>
      </c>
      <c r="G1058" s="213" t="s">
        <v>2099</v>
      </c>
      <c r="H1058" s="213" t="s">
        <v>6382</v>
      </c>
      <c r="I1058" s="213" t="s">
        <v>6383</v>
      </c>
      <c r="J1058" s="213" t="s">
        <v>6384</v>
      </c>
      <c r="K1058" s="213" t="s">
        <v>9751</v>
      </c>
      <c r="L1058" s="213" t="s">
        <v>24</v>
      </c>
      <c r="M1058" s="213" t="s">
        <v>10410</v>
      </c>
      <c r="P1058" s="121"/>
    </row>
    <row r="1059" spans="1:16">
      <c r="A1059" s="213" t="s">
        <v>2139</v>
      </c>
      <c r="B1059" s="213" t="s">
        <v>2101</v>
      </c>
      <c r="C1059" s="221" t="s">
        <v>2101</v>
      </c>
      <c r="D1059" s="221" t="s">
        <v>2101</v>
      </c>
      <c r="E1059" s="221" t="s">
        <v>6385</v>
      </c>
      <c r="F1059" s="213" t="s">
        <v>6386</v>
      </c>
      <c r="G1059" s="213" t="s">
        <v>2101</v>
      </c>
      <c r="H1059" s="213" t="s">
        <v>6387</v>
      </c>
      <c r="I1059" s="213" t="s">
        <v>6388</v>
      </c>
      <c r="J1059" s="213" t="s">
        <v>6389</v>
      </c>
      <c r="K1059" s="213" t="s">
        <v>9752</v>
      </c>
      <c r="L1059" s="213" t="s">
        <v>24</v>
      </c>
      <c r="M1059" s="213" t="s">
        <v>10411</v>
      </c>
      <c r="P1059" s="121"/>
    </row>
    <row r="1060" spans="1:16">
      <c r="A1060" s="213" t="s">
        <v>2140</v>
      </c>
      <c r="B1060" s="213" t="s">
        <v>2102</v>
      </c>
      <c r="C1060" s="221" t="s">
        <v>2102</v>
      </c>
      <c r="D1060" s="221" t="s">
        <v>2102</v>
      </c>
      <c r="E1060" s="221" t="s">
        <v>6390</v>
      </c>
      <c r="F1060" s="213" t="s">
        <v>6391</v>
      </c>
      <c r="G1060" s="213" t="s">
        <v>2102</v>
      </c>
      <c r="H1060" s="213" t="s">
        <v>6392</v>
      </c>
      <c r="I1060" s="213" t="s">
        <v>6393</v>
      </c>
      <c r="J1060" s="213" t="s">
        <v>6394</v>
      </c>
      <c r="K1060" s="213" t="s">
        <v>9753</v>
      </c>
      <c r="L1060" s="213" t="s">
        <v>24</v>
      </c>
      <c r="M1060" s="213" t="s">
        <v>10412</v>
      </c>
      <c r="P1060" s="121"/>
    </row>
    <row r="1061" spans="1:16">
      <c r="A1061" s="213" t="s">
        <v>2141</v>
      </c>
      <c r="B1061" s="213" t="s">
        <v>2042</v>
      </c>
      <c r="C1061" s="221" t="s">
        <v>2042</v>
      </c>
      <c r="D1061" s="221" t="s">
        <v>2042</v>
      </c>
      <c r="E1061" s="221" t="s">
        <v>6395</v>
      </c>
      <c r="F1061" s="213" t="s">
        <v>6396</v>
      </c>
      <c r="G1061" s="213" t="s">
        <v>2042</v>
      </c>
      <c r="H1061" s="213" t="s">
        <v>6397</v>
      </c>
      <c r="I1061" s="213" t="s">
        <v>6269</v>
      </c>
      <c r="J1061" s="213" t="s">
        <v>6398</v>
      </c>
      <c r="K1061" s="213" t="s">
        <v>9754</v>
      </c>
      <c r="L1061" s="213" t="s">
        <v>24</v>
      </c>
      <c r="M1061" s="213" t="s">
        <v>10413</v>
      </c>
      <c r="P1061" s="121"/>
    </row>
    <row r="1062" spans="1:16">
      <c r="A1062" s="213" t="s">
        <v>2142</v>
      </c>
      <c r="B1062" s="213" t="s">
        <v>2104</v>
      </c>
      <c r="C1062" s="221" t="s">
        <v>2104</v>
      </c>
      <c r="D1062" s="221" t="s">
        <v>2104</v>
      </c>
      <c r="E1062" s="221" t="s">
        <v>6399</v>
      </c>
      <c r="F1062" s="213" t="s">
        <v>6400</v>
      </c>
      <c r="G1062" s="213" t="s">
        <v>2104</v>
      </c>
      <c r="H1062" s="213" t="s">
        <v>6401</v>
      </c>
      <c r="I1062" s="213" t="s">
        <v>6402</v>
      </c>
      <c r="J1062" s="213" t="s">
        <v>6403</v>
      </c>
      <c r="K1062" s="213" t="s">
        <v>9755</v>
      </c>
      <c r="L1062" s="213" t="s">
        <v>24</v>
      </c>
      <c r="M1062" s="213" t="s">
        <v>10414</v>
      </c>
      <c r="P1062" s="121"/>
    </row>
    <row r="1063" spans="1:16">
      <c r="A1063" s="213" t="s">
        <v>2143</v>
      </c>
      <c r="B1063" s="213" t="s">
        <v>2052</v>
      </c>
      <c r="C1063" s="221" t="s">
        <v>2052</v>
      </c>
      <c r="D1063" s="221" t="s">
        <v>2052</v>
      </c>
      <c r="E1063" s="221" t="s">
        <v>6233</v>
      </c>
      <c r="F1063" s="213" t="s">
        <v>6404</v>
      </c>
      <c r="G1063" s="213" t="s">
        <v>2052</v>
      </c>
      <c r="H1063" s="213" t="s">
        <v>6405</v>
      </c>
      <c r="I1063" s="213" t="s">
        <v>6236</v>
      </c>
      <c r="J1063" s="213" t="s">
        <v>6237</v>
      </c>
      <c r="K1063" s="213" t="s">
        <v>9720</v>
      </c>
      <c r="L1063" s="213" t="s">
        <v>24</v>
      </c>
      <c r="M1063" s="213" t="s">
        <v>10378</v>
      </c>
      <c r="P1063" s="121"/>
    </row>
    <row r="1064" spans="1:16">
      <c r="A1064" s="213" t="s">
        <v>2144</v>
      </c>
      <c r="B1064" s="213" t="s">
        <v>2105</v>
      </c>
      <c r="C1064" s="221" t="s">
        <v>2105</v>
      </c>
      <c r="D1064" s="221" t="s">
        <v>2105</v>
      </c>
      <c r="E1064" s="221" t="s">
        <v>6406</v>
      </c>
      <c r="F1064" s="213" t="s">
        <v>6407</v>
      </c>
      <c r="G1064" s="213" t="s">
        <v>2105</v>
      </c>
      <c r="H1064" s="213" t="s">
        <v>6408</v>
      </c>
      <c r="I1064" s="213" t="s">
        <v>6409</v>
      </c>
      <c r="J1064" s="213" t="s">
        <v>6410</v>
      </c>
      <c r="K1064" s="213" t="s">
        <v>9756</v>
      </c>
      <c r="L1064" s="213" t="s">
        <v>24</v>
      </c>
      <c r="M1064" s="213" t="s">
        <v>10415</v>
      </c>
      <c r="P1064" s="121"/>
    </row>
    <row r="1065" spans="1:16">
      <c r="A1065" s="213" t="s">
        <v>2145</v>
      </c>
      <c r="B1065" s="213" t="s">
        <v>2106</v>
      </c>
      <c r="C1065" s="221" t="s">
        <v>2106</v>
      </c>
      <c r="D1065" s="221" t="s">
        <v>2106</v>
      </c>
      <c r="E1065" s="221" t="s">
        <v>6411</v>
      </c>
      <c r="F1065" s="213" t="s">
        <v>6412</v>
      </c>
      <c r="G1065" s="213" t="s">
        <v>2106</v>
      </c>
      <c r="H1065" s="213" t="s">
        <v>6413</v>
      </c>
      <c r="I1065" s="213" t="s">
        <v>6414</v>
      </c>
      <c r="J1065" s="213" t="s">
        <v>6415</v>
      </c>
      <c r="K1065" s="213" t="s">
        <v>9757</v>
      </c>
      <c r="L1065" s="213" t="s">
        <v>24</v>
      </c>
      <c r="M1065" s="213" t="s">
        <v>10416</v>
      </c>
      <c r="P1065" s="121"/>
    </row>
    <row r="1066" spans="1:16">
      <c r="A1066" s="213" t="s">
        <v>2146</v>
      </c>
      <c r="B1066" s="213" t="s">
        <v>2107</v>
      </c>
      <c r="C1066" s="221" t="s">
        <v>2107</v>
      </c>
      <c r="D1066" s="221" t="s">
        <v>2107</v>
      </c>
      <c r="E1066" s="221" t="s">
        <v>6416</v>
      </c>
      <c r="F1066" s="213" t="s">
        <v>6417</v>
      </c>
      <c r="G1066" s="213" t="s">
        <v>2107</v>
      </c>
      <c r="H1066" s="213" t="s">
        <v>6418</v>
      </c>
      <c r="I1066" s="213" t="s">
        <v>6419</v>
      </c>
      <c r="J1066" s="213" t="s">
        <v>6420</v>
      </c>
      <c r="K1066" s="213" t="s">
        <v>9758</v>
      </c>
      <c r="L1066" s="213" t="s">
        <v>24</v>
      </c>
      <c r="M1066" s="213" t="s">
        <v>10417</v>
      </c>
      <c r="P1066" s="121"/>
    </row>
    <row r="1067" spans="1:16">
      <c r="A1067" s="213" t="s">
        <v>2147</v>
      </c>
      <c r="B1067" s="213" t="s">
        <v>2108</v>
      </c>
      <c r="C1067" s="221" t="s">
        <v>2108</v>
      </c>
      <c r="D1067" s="221" t="s">
        <v>2108</v>
      </c>
      <c r="E1067" s="221" t="s">
        <v>6421</v>
      </c>
      <c r="F1067" s="213" t="s">
        <v>6422</v>
      </c>
      <c r="G1067" s="213" t="s">
        <v>2108</v>
      </c>
      <c r="H1067" s="213" t="s">
        <v>6423</v>
      </c>
      <c r="I1067" s="213" t="s">
        <v>6424</v>
      </c>
      <c r="J1067" s="213" t="s">
        <v>6425</v>
      </c>
      <c r="K1067" s="213" t="s">
        <v>9759</v>
      </c>
      <c r="L1067" s="213" t="s">
        <v>24</v>
      </c>
      <c r="M1067" s="213" t="s">
        <v>10418</v>
      </c>
      <c r="P1067" s="121"/>
    </row>
    <row r="1068" spans="1:16">
      <c r="A1068" s="214" t="s">
        <v>2148</v>
      </c>
      <c r="B1068" s="213" t="s">
        <v>2109</v>
      </c>
      <c r="C1068" s="221" t="s">
        <v>2109</v>
      </c>
      <c r="D1068" s="221" t="s">
        <v>2109</v>
      </c>
      <c r="E1068" s="221" t="s">
        <v>6426</v>
      </c>
      <c r="F1068" s="213" t="s">
        <v>6427</v>
      </c>
      <c r="G1068" s="213" t="s">
        <v>2109</v>
      </c>
      <c r="H1068" s="213" t="s">
        <v>6428</v>
      </c>
      <c r="I1068" s="213" t="s">
        <v>6429</v>
      </c>
      <c r="J1068" s="213" t="s">
        <v>6430</v>
      </c>
      <c r="K1068" s="213" t="s">
        <v>9760</v>
      </c>
      <c r="L1068" s="213" t="s">
        <v>24</v>
      </c>
      <c r="M1068" s="213" t="s">
        <v>10419</v>
      </c>
      <c r="P1068" s="121"/>
    </row>
    <row r="1069" spans="1:16">
      <c r="A1069" s="214" t="s">
        <v>2149</v>
      </c>
      <c r="B1069" s="213" t="s">
        <v>2110</v>
      </c>
      <c r="C1069" s="221" t="s">
        <v>2110</v>
      </c>
      <c r="D1069" s="221" t="s">
        <v>2110</v>
      </c>
      <c r="E1069" s="221" t="s">
        <v>6431</v>
      </c>
      <c r="F1069" s="213" t="s">
        <v>6432</v>
      </c>
      <c r="G1069" s="213" t="s">
        <v>2110</v>
      </c>
      <c r="H1069" s="213" t="s">
        <v>6433</v>
      </c>
      <c r="I1069" s="213" t="s">
        <v>6434</v>
      </c>
      <c r="J1069" s="213" t="s">
        <v>6435</v>
      </c>
      <c r="K1069" s="213" t="s">
        <v>9761</v>
      </c>
      <c r="L1069" s="213" t="s">
        <v>24</v>
      </c>
      <c r="M1069" s="213" t="s">
        <v>10420</v>
      </c>
      <c r="P1069" s="121"/>
    </row>
    <row r="1070" spans="1:16">
      <c r="A1070" s="213" t="s">
        <v>2150</v>
      </c>
      <c r="B1070" s="213" t="s">
        <v>2112</v>
      </c>
      <c r="C1070" s="221" t="s">
        <v>2112</v>
      </c>
      <c r="D1070" s="221" t="s">
        <v>2112</v>
      </c>
      <c r="E1070" s="221" t="s">
        <v>5408</v>
      </c>
      <c r="F1070" s="213" t="s">
        <v>6436</v>
      </c>
      <c r="G1070" s="213" t="s">
        <v>2112</v>
      </c>
      <c r="H1070" s="213" t="s">
        <v>6437</v>
      </c>
      <c r="I1070" s="213" t="s">
        <v>6438</v>
      </c>
      <c r="J1070" s="213" t="s">
        <v>6439</v>
      </c>
      <c r="K1070" s="213" t="s">
        <v>9762</v>
      </c>
      <c r="L1070" s="213" t="s">
        <v>24</v>
      </c>
      <c r="M1070" s="213" t="s">
        <v>10421</v>
      </c>
      <c r="P1070" s="121"/>
    </row>
    <row r="1071" spans="1:16">
      <c r="A1071" s="213" t="s">
        <v>2151</v>
      </c>
      <c r="B1071" s="213" t="s">
        <v>2114</v>
      </c>
      <c r="C1071" s="221" t="s">
        <v>2114</v>
      </c>
      <c r="D1071" s="221" t="s">
        <v>2114</v>
      </c>
      <c r="E1071" s="221" t="s">
        <v>6440</v>
      </c>
      <c r="F1071" s="213" t="s">
        <v>6441</v>
      </c>
      <c r="G1071" s="213" t="s">
        <v>2114</v>
      </c>
      <c r="H1071" s="213" t="s">
        <v>6442</v>
      </c>
      <c r="I1071" s="213" t="s">
        <v>6443</v>
      </c>
      <c r="J1071" s="213" t="s">
        <v>6444</v>
      </c>
      <c r="K1071" s="213" t="s">
        <v>9763</v>
      </c>
      <c r="L1071" s="213" t="s">
        <v>24</v>
      </c>
      <c r="M1071" s="213" t="s">
        <v>10422</v>
      </c>
      <c r="P1071" s="121"/>
    </row>
    <row r="1072" spans="1:16">
      <c r="A1072" s="213" t="s">
        <v>2152</v>
      </c>
      <c r="B1072" s="213" t="s">
        <v>2115</v>
      </c>
      <c r="C1072" s="221" t="s">
        <v>2115</v>
      </c>
      <c r="D1072" s="221" t="s">
        <v>2115</v>
      </c>
      <c r="E1072" s="221" t="s">
        <v>6445</v>
      </c>
      <c r="F1072" s="213" t="s">
        <v>6446</v>
      </c>
      <c r="G1072" s="213" t="s">
        <v>2115</v>
      </c>
      <c r="H1072" s="213" t="s">
        <v>6447</v>
      </c>
      <c r="I1072" s="213" t="s">
        <v>6448</v>
      </c>
      <c r="J1072" s="213" t="s">
        <v>6449</v>
      </c>
      <c r="K1072" s="213" t="s">
        <v>9764</v>
      </c>
      <c r="L1072" s="213" t="s">
        <v>24</v>
      </c>
      <c r="M1072" s="213" t="s">
        <v>10423</v>
      </c>
      <c r="P1072" s="121"/>
    </row>
    <row r="1073" spans="1:16">
      <c r="A1073" s="213" t="s">
        <v>2153</v>
      </c>
      <c r="B1073" s="213" t="s">
        <v>2117</v>
      </c>
      <c r="C1073" s="221" t="s">
        <v>2117</v>
      </c>
      <c r="D1073" s="221" t="s">
        <v>2117</v>
      </c>
      <c r="E1073" s="221" t="s">
        <v>6450</v>
      </c>
      <c r="F1073" s="213" t="s">
        <v>6451</v>
      </c>
      <c r="G1073" s="213" t="s">
        <v>2117</v>
      </c>
      <c r="H1073" s="213" t="s">
        <v>6452</v>
      </c>
      <c r="I1073" s="213" t="s">
        <v>6453</v>
      </c>
      <c r="J1073" s="213" t="s">
        <v>6454</v>
      </c>
      <c r="K1073" s="213" t="s">
        <v>9765</v>
      </c>
      <c r="L1073" s="213" t="s">
        <v>24</v>
      </c>
      <c r="M1073" s="213" t="s">
        <v>10424</v>
      </c>
      <c r="P1073" s="121"/>
    </row>
    <row r="1074" spans="1:16">
      <c r="A1074" s="213" t="s">
        <v>2628</v>
      </c>
      <c r="B1074" s="220" t="s">
        <v>2863</v>
      </c>
      <c r="C1074" s="228" t="s">
        <v>2863</v>
      </c>
      <c r="D1074" s="228" t="s">
        <v>2863</v>
      </c>
      <c r="E1074" s="228" t="s">
        <v>6455</v>
      </c>
      <c r="F1074" s="220" t="s">
        <v>6456</v>
      </c>
      <c r="G1074" s="220" t="s">
        <v>2863</v>
      </c>
      <c r="H1074" s="213" t="s">
        <v>6457</v>
      </c>
      <c r="I1074" s="220" t="s">
        <v>6458</v>
      </c>
      <c r="J1074" s="213" t="s">
        <v>6459</v>
      </c>
      <c r="K1074" s="213" t="s">
        <v>9766</v>
      </c>
      <c r="L1074" s="213" t="s">
        <v>24</v>
      </c>
      <c r="M1074" s="213" t="s">
        <v>10425</v>
      </c>
      <c r="P1074" s="121"/>
    </row>
    <row r="1075" spans="1:16">
      <c r="A1075" s="213" t="s">
        <v>2629</v>
      </c>
      <c r="B1075" s="213" t="s">
        <v>2864</v>
      </c>
      <c r="C1075" s="221" t="s">
        <v>2864</v>
      </c>
      <c r="D1075" s="221" t="s">
        <v>2864</v>
      </c>
      <c r="E1075" s="221" t="s">
        <v>6460</v>
      </c>
      <c r="F1075" s="213" t="s">
        <v>6461</v>
      </c>
      <c r="G1075" s="213" t="s">
        <v>2864</v>
      </c>
      <c r="H1075" s="213" t="s">
        <v>6462</v>
      </c>
      <c r="I1075" s="213" t="s">
        <v>6463</v>
      </c>
      <c r="J1075" s="213" t="s">
        <v>6464</v>
      </c>
      <c r="K1075" s="213" t="s">
        <v>9767</v>
      </c>
      <c r="L1075" s="213" t="s">
        <v>24</v>
      </c>
      <c r="M1075" s="213" t="s">
        <v>10426</v>
      </c>
      <c r="P1075" s="121"/>
    </row>
    <row r="1076" spans="1:16">
      <c r="A1076" s="213" t="s">
        <v>2630</v>
      </c>
      <c r="B1076" s="213" t="s">
        <v>2865</v>
      </c>
      <c r="C1076" s="221" t="s">
        <v>2865</v>
      </c>
      <c r="D1076" s="221" t="s">
        <v>2865</v>
      </c>
      <c r="E1076" s="221" t="s">
        <v>6465</v>
      </c>
      <c r="F1076" s="213" t="s">
        <v>6466</v>
      </c>
      <c r="G1076" s="213" t="s">
        <v>2865</v>
      </c>
      <c r="H1076" s="221" t="s">
        <v>6465</v>
      </c>
      <c r="I1076" s="213" t="s">
        <v>6467</v>
      </c>
      <c r="J1076" s="213" t="s">
        <v>6468</v>
      </c>
      <c r="K1076" s="213" t="s">
        <v>9768</v>
      </c>
      <c r="L1076" s="213"/>
      <c r="M1076" s="213" t="s">
        <v>10427</v>
      </c>
      <c r="P1076" s="121"/>
    </row>
    <row r="1077" spans="1:16">
      <c r="A1077" s="213" t="s">
        <v>2632</v>
      </c>
      <c r="B1077" s="213" t="s">
        <v>2866</v>
      </c>
      <c r="C1077" s="221" t="s">
        <v>2866</v>
      </c>
      <c r="D1077" s="221" t="s">
        <v>2866</v>
      </c>
      <c r="E1077" s="221" t="s">
        <v>6469</v>
      </c>
      <c r="F1077" s="213" t="s">
        <v>6470</v>
      </c>
      <c r="G1077" s="213" t="s">
        <v>2866</v>
      </c>
      <c r="H1077" s="221" t="s">
        <v>6471</v>
      </c>
      <c r="I1077" s="213" t="s">
        <v>6472</v>
      </c>
      <c r="J1077" s="213" t="s">
        <v>6473</v>
      </c>
      <c r="K1077" s="222" t="s">
        <v>9769</v>
      </c>
      <c r="L1077" s="213"/>
      <c r="M1077" s="213" t="s">
        <v>10428</v>
      </c>
      <c r="P1077" s="121"/>
    </row>
    <row r="1078" spans="1:16">
      <c r="A1078" s="213" t="s">
        <v>2634</v>
      </c>
      <c r="B1078" s="213" t="s">
        <v>2867</v>
      </c>
      <c r="C1078" s="221" t="s">
        <v>2867</v>
      </c>
      <c r="D1078" s="221" t="s">
        <v>2867</v>
      </c>
      <c r="E1078" s="221" t="s">
        <v>6474</v>
      </c>
      <c r="F1078" s="213" t="s">
        <v>6475</v>
      </c>
      <c r="G1078" s="213" t="s">
        <v>2867</v>
      </c>
      <c r="H1078" s="221" t="s">
        <v>6476</v>
      </c>
      <c r="I1078" s="213" t="s">
        <v>6477</v>
      </c>
      <c r="J1078" s="213" t="s">
        <v>6478</v>
      </c>
      <c r="K1078" s="213" t="s">
        <v>9770</v>
      </c>
      <c r="L1078" s="213"/>
      <c r="M1078" s="213" t="s">
        <v>10429</v>
      </c>
      <c r="P1078" s="121"/>
    </row>
    <row r="1079" spans="1:16">
      <c r="A1079" s="213" t="s">
        <v>2635</v>
      </c>
      <c r="B1079" s="213" t="s">
        <v>2868</v>
      </c>
      <c r="C1079" s="221" t="s">
        <v>2868</v>
      </c>
      <c r="D1079" s="221" t="s">
        <v>2868</v>
      </c>
      <c r="E1079" s="221" t="s">
        <v>6479</v>
      </c>
      <c r="F1079" s="213" t="s">
        <v>6480</v>
      </c>
      <c r="G1079" s="213" t="s">
        <v>2868</v>
      </c>
      <c r="H1079" s="221" t="s">
        <v>6481</v>
      </c>
      <c r="I1079" s="213" t="s">
        <v>6482</v>
      </c>
      <c r="J1079" s="213" t="s">
        <v>6483</v>
      </c>
      <c r="K1079" s="213" t="s">
        <v>9771</v>
      </c>
      <c r="L1079" s="213"/>
      <c r="M1079" s="213" t="s">
        <v>10430</v>
      </c>
      <c r="P1079" s="121"/>
    </row>
    <row r="1080" spans="1:16">
      <c r="A1080" s="213" t="s">
        <v>2154</v>
      </c>
      <c r="B1080" s="213" t="s">
        <v>2156</v>
      </c>
      <c r="C1080" s="221" t="s">
        <v>2156</v>
      </c>
      <c r="D1080" s="221" t="s">
        <v>2156</v>
      </c>
      <c r="E1080" s="221" t="s">
        <v>6484</v>
      </c>
      <c r="F1080" s="213" t="s">
        <v>6485</v>
      </c>
      <c r="G1080" s="213" t="s">
        <v>2156</v>
      </c>
      <c r="H1080" s="221" t="s">
        <v>6486</v>
      </c>
      <c r="I1080" s="213" t="s">
        <v>6487</v>
      </c>
      <c r="J1080" s="213" t="s">
        <v>6488</v>
      </c>
      <c r="K1080" s="213" t="s">
        <v>9772</v>
      </c>
      <c r="L1080" s="213"/>
      <c r="M1080" s="213"/>
      <c r="P1080" s="121"/>
    </row>
    <row r="1081" spans="1:16">
      <c r="A1081" s="213" t="s">
        <v>2166</v>
      </c>
      <c r="B1081" s="213" t="s">
        <v>2167</v>
      </c>
      <c r="C1081" s="221" t="s">
        <v>2167</v>
      </c>
      <c r="D1081" s="221" t="s">
        <v>2167</v>
      </c>
      <c r="E1081" s="221" t="s">
        <v>6494</v>
      </c>
      <c r="F1081" s="213" t="s">
        <v>6495</v>
      </c>
      <c r="G1081" s="213" t="s">
        <v>2167</v>
      </c>
      <c r="H1081" s="221" t="s">
        <v>6496</v>
      </c>
      <c r="I1081" s="213" t="s">
        <v>6497</v>
      </c>
      <c r="J1081" s="213" t="s">
        <v>6498</v>
      </c>
      <c r="K1081" s="213" t="s">
        <v>9774</v>
      </c>
      <c r="L1081" s="213"/>
      <c r="M1081" s="213" t="s">
        <v>10432</v>
      </c>
      <c r="P1081" s="121"/>
    </row>
    <row r="1082" spans="1:16">
      <c r="A1082" s="213" t="s">
        <v>2168</v>
      </c>
      <c r="B1082" s="213" t="s">
        <v>2170</v>
      </c>
      <c r="C1082" s="221" t="s">
        <v>2170</v>
      </c>
      <c r="D1082" s="221" t="s">
        <v>2170</v>
      </c>
      <c r="E1082" s="221" t="s">
        <v>6499</v>
      </c>
      <c r="F1082" s="213" t="s">
        <v>6500</v>
      </c>
      <c r="G1082" s="213" t="s">
        <v>2170</v>
      </c>
      <c r="H1082" s="221" t="s">
        <v>6501</v>
      </c>
      <c r="I1082" s="213" t="s">
        <v>6502</v>
      </c>
      <c r="J1082" s="213" t="s">
        <v>6503</v>
      </c>
      <c r="K1082" s="213" t="s">
        <v>9775</v>
      </c>
      <c r="L1082" s="213"/>
      <c r="M1082" s="213" t="s">
        <v>10433</v>
      </c>
      <c r="P1082" s="121"/>
    </row>
    <row r="1083" spans="1:16">
      <c r="A1083" s="213" t="s">
        <v>2171</v>
      </c>
      <c r="B1083" s="213" t="s">
        <v>2159</v>
      </c>
      <c r="C1083" s="221" t="s">
        <v>2159</v>
      </c>
      <c r="D1083" s="221" t="s">
        <v>2159</v>
      </c>
      <c r="E1083" s="221" t="s">
        <v>5414</v>
      </c>
      <c r="F1083" s="213" t="s">
        <v>6504</v>
      </c>
      <c r="G1083" s="213" t="s">
        <v>2159</v>
      </c>
      <c r="H1083" s="221" t="s">
        <v>5438</v>
      </c>
      <c r="I1083" s="213" t="s">
        <v>6505</v>
      </c>
      <c r="J1083" s="213" t="s">
        <v>6219</v>
      </c>
      <c r="K1083" s="213" t="s">
        <v>9567</v>
      </c>
      <c r="L1083" s="213"/>
      <c r="M1083" s="213" t="s">
        <v>10374</v>
      </c>
      <c r="P1083" s="121"/>
    </row>
    <row r="1084" spans="1:16">
      <c r="A1084" s="213" t="s">
        <v>2172</v>
      </c>
      <c r="B1084" s="213" t="s">
        <v>2026</v>
      </c>
      <c r="C1084" s="221" t="s">
        <v>2026</v>
      </c>
      <c r="D1084" s="221" t="s">
        <v>2026</v>
      </c>
      <c r="E1084" s="221" t="s">
        <v>6212</v>
      </c>
      <c r="F1084" s="213" t="s">
        <v>6213</v>
      </c>
      <c r="G1084" s="213" t="s">
        <v>2026</v>
      </c>
      <c r="H1084" s="221" t="s">
        <v>6214</v>
      </c>
      <c r="I1084" s="213" t="s">
        <v>6215</v>
      </c>
      <c r="J1084" s="213" t="s">
        <v>6216</v>
      </c>
      <c r="K1084" s="213" t="s">
        <v>9716</v>
      </c>
      <c r="L1084" s="213"/>
      <c r="M1084" s="213" t="s">
        <v>10389</v>
      </c>
      <c r="P1084" s="121"/>
    </row>
    <row r="1085" spans="1:16">
      <c r="A1085" s="213" t="s">
        <v>2173</v>
      </c>
      <c r="B1085" s="213" t="s">
        <v>2089</v>
      </c>
      <c r="C1085" s="221" t="s">
        <v>2089</v>
      </c>
      <c r="D1085" s="221" t="s">
        <v>2089</v>
      </c>
      <c r="E1085" s="221" t="s">
        <v>6358</v>
      </c>
      <c r="F1085" s="213" t="s">
        <v>6359</v>
      </c>
      <c r="G1085" s="213" t="s">
        <v>2089</v>
      </c>
      <c r="H1085" s="221" t="s">
        <v>6506</v>
      </c>
      <c r="I1085" s="213" t="s">
        <v>6361</v>
      </c>
      <c r="J1085" s="213" t="s">
        <v>6362</v>
      </c>
      <c r="K1085" s="213" t="s">
        <v>9747</v>
      </c>
      <c r="L1085" s="213"/>
      <c r="M1085" s="213" t="s">
        <v>10434</v>
      </c>
      <c r="P1085" s="121"/>
    </row>
    <row r="1086" spans="1:16">
      <c r="A1086" s="213" t="s">
        <v>2174</v>
      </c>
      <c r="B1086" s="213" t="s">
        <v>1459</v>
      </c>
      <c r="C1086" s="221" t="s">
        <v>1459</v>
      </c>
      <c r="D1086" s="221" t="s">
        <v>1459</v>
      </c>
      <c r="E1086" s="221" t="s">
        <v>6507</v>
      </c>
      <c r="F1086" s="213" t="s">
        <v>6508</v>
      </c>
      <c r="G1086" s="213" t="s">
        <v>1459</v>
      </c>
      <c r="H1086" s="221" t="s">
        <v>6509</v>
      </c>
      <c r="I1086" s="213" t="s">
        <v>6510</v>
      </c>
      <c r="J1086" s="213" t="s">
        <v>6511</v>
      </c>
      <c r="K1086" s="213" t="s">
        <v>9776</v>
      </c>
      <c r="L1086" s="213"/>
      <c r="M1086" s="213" t="s">
        <v>10435</v>
      </c>
      <c r="P1086" s="121"/>
    </row>
    <row r="1087" spans="1:16">
      <c r="A1087" s="213" t="s">
        <v>2175</v>
      </c>
      <c r="B1087" s="213" t="s">
        <v>2162</v>
      </c>
      <c r="C1087" s="221" t="s">
        <v>2162</v>
      </c>
      <c r="D1087" s="221" t="s">
        <v>2162</v>
      </c>
      <c r="E1087" s="221" t="s">
        <v>6512</v>
      </c>
      <c r="F1087" s="213" t="s">
        <v>6513</v>
      </c>
      <c r="G1087" s="213" t="s">
        <v>2162</v>
      </c>
      <c r="H1087" s="221" t="s">
        <v>6514</v>
      </c>
      <c r="I1087" s="213" t="s">
        <v>6515</v>
      </c>
      <c r="J1087" s="213" t="s">
        <v>6516</v>
      </c>
      <c r="K1087" s="213" t="s">
        <v>9777</v>
      </c>
      <c r="L1087" s="213"/>
      <c r="M1087" s="213" t="s">
        <v>10436</v>
      </c>
      <c r="P1087" s="121"/>
    </row>
    <row r="1088" spans="1:16">
      <c r="A1088" s="213" t="s">
        <v>2176</v>
      </c>
      <c r="B1088" s="213" t="s">
        <v>2163</v>
      </c>
      <c r="C1088" s="221" t="s">
        <v>2163</v>
      </c>
      <c r="D1088" s="221" t="s">
        <v>2163</v>
      </c>
      <c r="E1088" s="221" t="s">
        <v>6517</v>
      </c>
      <c r="F1088" s="213" t="s">
        <v>6518</v>
      </c>
      <c r="G1088" s="213" t="s">
        <v>2163</v>
      </c>
      <c r="H1088" s="221" t="s">
        <v>6519</v>
      </c>
      <c r="I1088" s="213" t="s">
        <v>6520</v>
      </c>
      <c r="J1088" s="213" t="s">
        <v>6521</v>
      </c>
      <c r="K1088" s="213" t="s">
        <v>9778</v>
      </c>
      <c r="L1088" s="213"/>
      <c r="M1088" s="213" t="s">
        <v>10437</v>
      </c>
      <c r="P1088" s="121"/>
    </row>
    <row r="1089" spans="1:16">
      <c r="A1089" s="213" t="s">
        <v>2636</v>
      </c>
      <c r="B1089" s="213" t="s">
        <v>2869</v>
      </c>
      <c r="C1089" s="221" t="s">
        <v>2869</v>
      </c>
      <c r="D1089" s="221" t="s">
        <v>2869</v>
      </c>
      <c r="E1089" s="221" t="s">
        <v>6522</v>
      </c>
      <c r="F1089" s="213" t="s">
        <v>6523</v>
      </c>
      <c r="G1089" s="213" t="s">
        <v>2869</v>
      </c>
      <c r="H1089" s="221" t="s">
        <v>6524</v>
      </c>
      <c r="I1089" s="213" t="s">
        <v>6525</v>
      </c>
      <c r="J1089" s="213" t="s">
        <v>6526</v>
      </c>
      <c r="K1089" s="213" t="s">
        <v>9779</v>
      </c>
      <c r="L1089" s="213"/>
      <c r="M1089" s="213" t="s">
        <v>10438</v>
      </c>
      <c r="P1089" s="121"/>
    </row>
    <row r="1090" spans="1:16">
      <c r="A1090" s="213" t="s">
        <v>2177</v>
      </c>
      <c r="B1090" s="213" t="s">
        <v>2164</v>
      </c>
      <c r="C1090" s="221" t="s">
        <v>2164</v>
      </c>
      <c r="D1090" s="221"/>
      <c r="E1090" s="221" t="s">
        <v>6527</v>
      </c>
      <c r="F1090" s="213" t="s">
        <v>6528</v>
      </c>
      <c r="G1090" s="213" t="s">
        <v>2164</v>
      </c>
      <c r="H1090" s="221" t="s">
        <v>6529</v>
      </c>
      <c r="I1090" s="213" t="s">
        <v>6530</v>
      </c>
      <c r="J1090" s="213" t="s">
        <v>6531</v>
      </c>
      <c r="K1090" s="213" t="s">
        <v>9780</v>
      </c>
      <c r="L1090" s="213"/>
      <c r="M1090" s="213"/>
      <c r="P1090" s="121"/>
    </row>
    <row r="1091" spans="1:16">
      <c r="A1091" s="213" t="s">
        <v>2637</v>
      </c>
      <c r="B1091" s="213" t="s">
        <v>2870</v>
      </c>
      <c r="C1091" s="221" t="s">
        <v>2870</v>
      </c>
      <c r="D1091" s="221" t="s">
        <v>2870</v>
      </c>
      <c r="E1091" s="221" t="s">
        <v>6532</v>
      </c>
      <c r="F1091" s="213" t="s">
        <v>6533</v>
      </c>
      <c r="G1091" s="213" t="s">
        <v>2870</v>
      </c>
      <c r="H1091" s="221" t="s">
        <v>6534</v>
      </c>
      <c r="I1091" s="213" t="s">
        <v>6535</v>
      </c>
      <c r="J1091" s="213" t="s">
        <v>6536</v>
      </c>
      <c r="K1091" s="213" t="s">
        <v>9781</v>
      </c>
      <c r="L1091" s="213"/>
      <c r="M1091" s="213"/>
      <c r="P1091" s="121"/>
    </row>
    <row r="1092" spans="1:16">
      <c r="A1092" s="213" t="s">
        <v>2195</v>
      </c>
      <c r="B1092" s="213" t="s">
        <v>2181</v>
      </c>
      <c r="C1092" s="221" t="s">
        <v>2181</v>
      </c>
      <c r="D1092" s="221" t="s">
        <v>2181</v>
      </c>
      <c r="E1092" s="221" t="s">
        <v>6537</v>
      </c>
      <c r="F1092" s="213" t="s">
        <v>6538</v>
      </c>
      <c r="G1092" s="213" t="s">
        <v>2181</v>
      </c>
      <c r="H1092" s="221" t="s">
        <v>6539</v>
      </c>
      <c r="I1092" s="213" t="s">
        <v>6540</v>
      </c>
      <c r="J1092" s="213" t="s">
        <v>6541</v>
      </c>
      <c r="K1092" s="213" t="s">
        <v>9782</v>
      </c>
      <c r="L1092" s="213"/>
      <c r="M1092" s="213" t="s">
        <v>10439</v>
      </c>
      <c r="P1092" s="121"/>
    </row>
    <row r="1093" spans="1:16">
      <c r="A1093" s="213" t="s">
        <v>2196</v>
      </c>
      <c r="B1093" s="213" t="s">
        <v>2183</v>
      </c>
      <c r="C1093" s="221" t="s">
        <v>2183</v>
      </c>
      <c r="D1093" s="221"/>
      <c r="E1093" s="221" t="s">
        <v>6542</v>
      </c>
      <c r="F1093" s="213" t="s">
        <v>6543</v>
      </c>
      <c r="G1093" s="213" t="s">
        <v>2183</v>
      </c>
      <c r="H1093" s="221" t="s">
        <v>6544</v>
      </c>
      <c r="I1093" s="213" t="s">
        <v>6545</v>
      </c>
      <c r="J1093" s="213" t="s">
        <v>6546</v>
      </c>
      <c r="K1093" s="213" t="s">
        <v>9783</v>
      </c>
      <c r="L1093" s="213"/>
      <c r="M1093" s="213" t="s">
        <v>10440</v>
      </c>
      <c r="P1093" s="121"/>
    </row>
    <row r="1094" spans="1:16">
      <c r="A1094" s="213" t="s">
        <v>2199</v>
      </c>
      <c r="B1094" s="213" t="s">
        <v>2186</v>
      </c>
      <c r="C1094" s="221" t="s">
        <v>2186</v>
      </c>
      <c r="D1094" s="221" t="s">
        <v>2186</v>
      </c>
      <c r="E1094" s="221" t="s">
        <v>6233</v>
      </c>
      <c r="F1094" s="213" t="s">
        <v>6552</v>
      </c>
      <c r="G1094" s="213" t="s">
        <v>2186</v>
      </c>
      <c r="H1094" s="221" t="s">
        <v>6553</v>
      </c>
      <c r="I1094" s="213" t="s">
        <v>6554</v>
      </c>
      <c r="J1094" s="213" t="s">
        <v>6237</v>
      </c>
      <c r="K1094" s="213" t="s">
        <v>9720</v>
      </c>
      <c r="L1094" s="213"/>
      <c r="M1094" s="213" t="s">
        <v>10378</v>
      </c>
      <c r="P1094" s="121"/>
    </row>
    <row r="1095" spans="1:16">
      <c r="A1095" s="213" t="s">
        <v>2201</v>
      </c>
      <c r="B1095" s="213" t="s">
        <v>2188</v>
      </c>
      <c r="C1095" s="221" t="s">
        <v>2188</v>
      </c>
      <c r="D1095" s="221" t="s">
        <v>2188</v>
      </c>
      <c r="E1095" s="221" t="s">
        <v>6555</v>
      </c>
      <c r="F1095" s="213" t="s">
        <v>6556</v>
      </c>
      <c r="G1095" s="213" t="s">
        <v>2188</v>
      </c>
      <c r="H1095" s="221" t="s">
        <v>6557</v>
      </c>
      <c r="I1095" s="213" t="s">
        <v>6558</v>
      </c>
      <c r="J1095" s="213" t="s">
        <v>6559</v>
      </c>
      <c r="K1095" s="213" t="s">
        <v>9785</v>
      </c>
      <c r="L1095" s="213"/>
      <c r="M1095" s="213" t="s">
        <v>10442</v>
      </c>
      <c r="P1095" s="121"/>
    </row>
    <row r="1096" spans="1:16">
      <c r="A1096" s="213" t="s">
        <v>2203</v>
      </c>
      <c r="B1096" s="213" t="s">
        <v>2193</v>
      </c>
      <c r="C1096" s="221" t="s">
        <v>2193</v>
      </c>
      <c r="D1096" s="221" t="s">
        <v>2193</v>
      </c>
      <c r="E1096" s="221" t="s">
        <v>6562</v>
      </c>
      <c r="F1096" s="213" t="s">
        <v>6563</v>
      </c>
      <c r="G1096" s="213" t="s">
        <v>2193</v>
      </c>
      <c r="H1096" s="221" t="s">
        <v>6564</v>
      </c>
      <c r="I1096" s="213" t="s">
        <v>6565</v>
      </c>
      <c r="J1096" s="213" t="s">
        <v>6566</v>
      </c>
      <c r="K1096" s="213" t="s">
        <v>9786</v>
      </c>
      <c r="L1096" s="213"/>
      <c r="M1096" s="213" t="s">
        <v>10444</v>
      </c>
      <c r="P1096" s="121"/>
    </row>
    <row r="1097" spans="1:16">
      <c r="A1097" s="213" t="s">
        <v>2204</v>
      </c>
      <c r="B1097" s="213" t="s">
        <v>2160</v>
      </c>
      <c r="C1097" s="221" t="s">
        <v>2160</v>
      </c>
      <c r="D1097" s="221"/>
      <c r="E1097" s="221" t="s">
        <v>6567</v>
      </c>
      <c r="F1097" s="213" t="s">
        <v>6568</v>
      </c>
      <c r="G1097" s="213" t="s">
        <v>2160</v>
      </c>
      <c r="H1097" s="221" t="s">
        <v>6569</v>
      </c>
      <c r="I1097" s="213" t="s">
        <v>6570</v>
      </c>
      <c r="J1097" s="213" t="s">
        <v>6571</v>
      </c>
      <c r="K1097" s="213" t="s">
        <v>9787</v>
      </c>
      <c r="L1097" s="213"/>
      <c r="M1097" s="213" t="s">
        <v>10445</v>
      </c>
      <c r="P1097" s="121"/>
    </row>
    <row r="1098" spans="1:16">
      <c r="A1098" s="213" t="s">
        <v>6572</v>
      </c>
      <c r="B1098" s="213" t="s">
        <v>2179</v>
      </c>
      <c r="C1098" s="221" t="s">
        <v>2179</v>
      </c>
      <c r="D1098" s="221" t="s">
        <v>2179</v>
      </c>
      <c r="E1098" s="221" t="s">
        <v>6573</v>
      </c>
      <c r="F1098" s="213" t="s">
        <v>6574</v>
      </c>
      <c r="G1098" s="213" t="s">
        <v>2179</v>
      </c>
      <c r="H1098" s="221" t="s">
        <v>6575</v>
      </c>
      <c r="I1098" s="213" t="s">
        <v>6576</v>
      </c>
      <c r="J1098" s="213" t="s">
        <v>6577</v>
      </c>
      <c r="K1098" s="213" t="s">
        <v>9788</v>
      </c>
      <c r="L1098" s="213"/>
      <c r="M1098" s="213" t="s">
        <v>10446</v>
      </c>
      <c r="P1098" s="121"/>
    </row>
    <row r="1099" spans="1:16">
      <c r="A1099" s="213" t="s">
        <v>2206</v>
      </c>
      <c r="B1099" s="213" t="s">
        <v>2180</v>
      </c>
      <c r="C1099" s="221" t="s">
        <v>2180</v>
      </c>
      <c r="D1099" s="221" t="s">
        <v>2180</v>
      </c>
      <c r="E1099" s="221" t="s">
        <v>6578</v>
      </c>
      <c r="F1099" s="213" t="s">
        <v>6579</v>
      </c>
      <c r="G1099" s="213" t="s">
        <v>2180</v>
      </c>
      <c r="H1099" s="221" t="s">
        <v>6578</v>
      </c>
      <c r="I1099" s="213" t="s">
        <v>6580</v>
      </c>
      <c r="J1099" s="213" t="s">
        <v>6581</v>
      </c>
      <c r="K1099" s="213" t="s">
        <v>9789</v>
      </c>
      <c r="L1099" s="213"/>
      <c r="M1099" s="213" t="s">
        <v>10447</v>
      </c>
      <c r="P1099" s="121"/>
    </row>
    <row r="1100" spans="1:16">
      <c r="A1100" s="213" t="s">
        <v>2638</v>
      </c>
      <c r="B1100" s="213" t="s">
        <v>2182</v>
      </c>
      <c r="C1100" s="221" t="s">
        <v>2182</v>
      </c>
      <c r="D1100" s="221"/>
      <c r="E1100" s="221" t="s">
        <v>6582</v>
      </c>
      <c r="F1100" s="213" t="s">
        <v>6583</v>
      </c>
      <c r="G1100" s="213" t="s">
        <v>2182</v>
      </c>
      <c r="H1100" s="221" t="s">
        <v>6584</v>
      </c>
      <c r="I1100" s="213" t="s">
        <v>6585</v>
      </c>
      <c r="J1100" s="213" t="s">
        <v>6586</v>
      </c>
      <c r="K1100" s="213" t="s">
        <v>9790</v>
      </c>
      <c r="L1100" s="213"/>
      <c r="M1100" s="213" t="s">
        <v>10448</v>
      </c>
      <c r="P1100" s="121"/>
    </row>
    <row r="1101" spans="1:16">
      <c r="A1101" s="213" t="s">
        <v>2639</v>
      </c>
      <c r="B1101" s="213" t="s">
        <v>2185</v>
      </c>
      <c r="C1101" s="221" t="s">
        <v>2185</v>
      </c>
      <c r="D1101" s="221" t="s">
        <v>2185</v>
      </c>
      <c r="E1101" s="221" t="s">
        <v>6547</v>
      </c>
      <c r="F1101" s="213" t="s">
        <v>6548</v>
      </c>
      <c r="G1101" s="213" t="s">
        <v>2185</v>
      </c>
      <c r="H1101" s="221" t="s">
        <v>6549</v>
      </c>
      <c r="I1101" s="213" t="s">
        <v>6550</v>
      </c>
      <c r="J1101" s="213" t="s">
        <v>6551</v>
      </c>
      <c r="K1101" s="213" t="s">
        <v>9784</v>
      </c>
      <c r="L1101" s="213"/>
      <c r="M1101" s="213" t="s">
        <v>10441</v>
      </c>
      <c r="P1101" s="121"/>
    </row>
    <row r="1102" spans="1:16">
      <c r="A1102" s="213" t="s">
        <v>2207</v>
      </c>
      <c r="B1102" s="213" t="s">
        <v>2198</v>
      </c>
      <c r="C1102" s="221" t="s">
        <v>2198</v>
      </c>
      <c r="D1102" s="221" t="s">
        <v>2198</v>
      </c>
      <c r="E1102" s="221" t="s">
        <v>6587</v>
      </c>
      <c r="F1102" s="213" t="s">
        <v>6588</v>
      </c>
      <c r="G1102" s="213" t="s">
        <v>2198</v>
      </c>
      <c r="H1102" s="221" t="s">
        <v>6589</v>
      </c>
      <c r="I1102" s="213" t="s">
        <v>6590</v>
      </c>
      <c r="J1102" s="213" t="s">
        <v>6591</v>
      </c>
      <c r="K1102" s="213" t="s">
        <v>9791</v>
      </c>
      <c r="L1102" s="213"/>
      <c r="M1102" s="213" t="s">
        <v>10449</v>
      </c>
      <c r="P1102" s="121"/>
    </row>
    <row r="1103" spans="1:16">
      <c r="A1103" s="213" t="s">
        <v>2640</v>
      </c>
      <c r="B1103" s="213" t="s">
        <v>2200</v>
      </c>
      <c r="C1103" s="221" t="s">
        <v>2200</v>
      </c>
      <c r="D1103" s="221" t="s">
        <v>2200</v>
      </c>
      <c r="E1103" s="221" t="s">
        <v>6592</v>
      </c>
      <c r="F1103" s="213" t="s">
        <v>6593</v>
      </c>
      <c r="G1103" s="213" t="s">
        <v>2200</v>
      </c>
      <c r="H1103" s="221" t="s">
        <v>6594</v>
      </c>
      <c r="I1103" s="213" t="s">
        <v>6595</v>
      </c>
      <c r="J1103" s="213" t="s">
        <v>6596</v>
      </c>
      <c r="K1103" s="213" t="s">
        <v>9792</v>
      </c>
      <c r="L1103" s="213"/>
      <c r="M1103" s="213" t="s">
        <v>10450</v>
      </c>
      <c r="P1103" s="121"/>
    </row>
    <row r="1104" spans="1:16">
      <c r="A1104" s="213" t="s">
        <v>2208</v>
      </c>
      <c r="B1104" s="213" t="s">
        <v>2028</v>
      </c>
      <c r="C1104" s="221" t="s">
        <v>2028</v>
      </c>
      <c r="D1104" s="221" t="s">
        <v>2028</v>
      </c>
      <c r="E1104" s="221" t="s">
        <v>5414</v>
      </c>
      <c r="F1104" s="213" t="s">
        <v>6217</v>
      </c>
      <c r="G1104" s="213" t="s">
        <v>2028</v>
      </c>
      <c r="H1104" s="221" t="s">
        <v>5438</v>
      </c>
      <c r="I1104" s="213" t="s">
        <v>6218</v>
      </c>
      <c r="J1104" s="213" t="s">
        <v>6219</v>
      </c>
      <c r="K1104" s="213" t="s">
        <v>9567</v>
      </c>
      <c r="L1104" s="213"/>
      <c r="M1104" s="213" t="s">
        <v>10374</v>
      </c>
      <c r="P1104" s="121"/>
    </row>
    <row r="1105" spans="1:16">
      <c r="A1105" s="213" t="s">
        <v>2641</v>
      </c>
      <c r="B1105" s="213" t="s">
        <v>2189</v>
      </c>
      <c r="C1105" s="221" t="s">
        <v>2189</v>
      </c>
      <c r="D1105" s="221" t="s">
        <v>2189</v>
      </c>
      <c r="E1105" s="221" t="s">
        <v>6597</v>
      </c>
      <c r="F1105" s="213" t="s">
        <v>6598</v>
      </c>
      <c r="G1105" s="213" t="s">
        <v>2189</v>
      </c>
      <c r="H1105" s="221" t="s">
        <v>6599</v>
      </c>
      <c r="I1105" s="213" t="s">
        <v>6600</v>
      </c>
      <c r="J1105" s="213" t="s">
        <v>6601</v>
      </c>
      <c r="K1105" s="213" t="s">
        <v>9793</v>
      </c>
      <c r="L1105" s="213"/>
      <c r="M1105" s="213" t="s">
        <v>10451</v>
      </c>
      <c r="P1105" s="121"/>
    </row>
    <row r="1106" spans="1:16">
      <c r="A1106" s="213" t="s">
        <v>2209</v>
      </c>
      <c r="B1106" s="213" t="s">
        <v>2191</v>
      </c>
      <c r="C1106" s="221" t="s">
        <v>2191</v>
      </c>
      <c r="D1106" s="221" t="s">
        <v>2191</v>
      </c>
      <c r="E1106" s="221" t="s">
        <v>6602</v>
      </c>
      <c r="F1106" s="213" t="s">
        <v>6603</v>
      </c>
      <c r="G1106" s="213" t="s">
        <v>2191</v>
      </c>
      <c r="H1106" s="221" t="s">
        <v>6604</v>
      </c>
      <c r="I1106" s="213" t="s">
        <v>6605</v>
      </c>
      <c r="J1106" s="213" t="s">
        <v>6606</v>
      </c>
      <c r="K1106" s="222" t="s">
        <v>9775</v>
      </c>
      <c r="L1106" s="213"/>
      <c r="M1106" s="213" t="s">
        <v>10452</v>
      </c>
      <c r="P1106" s="121"/>
    </row>
    <row r="1107" spans="1:16">
      <c r="A1107" s="213" t="s">
        <v>2642</v>
      </c>
      <c r="B1107" s="213" t="s">
        <v>2192</v>
      </c>
      <c r="C1107" s="221" t="s">
        <v>2192</v>
      </c>
      <c r="D1107" s="221" t="s">
        <v>2192</v>
      </c>
      <c r="E1107" s="221" t="s">
        <v>6212</v>
      </c>
      <c r="F1107" s="213" t="s">
        <v>6560</v>
      </c>
      <c r="G1107" s="213" t="s">
        <v>2192</v>
      </c>
      <c r="H1107" s="221" t="s">
        <v>6214</v>
      </c>
      <c r="I1107" s="213" t="s">
        <v>6561</v>
      </c>
      <c r="J1107" s="213" t="s">
        <v>6216</v>
      </c>
      <c r="K1107" s="213" t="s">
        <v>9716</v>
      </c>
      <c r="L1107" s="213"/>
      <c r="M1107" s="213" t="s">
        <v>10443</v>
      </c>
      <c r="P1107" s="121"/>
    </row>
    <row r="1108" spans="1:16">
      <c r="A1108" s="213" t="s">
        <v>2643</v>
      </c>
      <c r="B1108" s="213" t="s">
        <v>2871</v>
      </c>
      <c r="C1108" s="221" t="s">
        <v>2871</v>
      </c>
      <c r="D1108" s="221" t="s">
        <v>2871</v>
      </c>
      <c r="E1108" s="221" t="s">
        <v>6607</v>
      </c>
      <c r="F1108" s="213" t="s">
        <v>6608</v>
      </c>
      <c r="G1108" s="213" t="s">
        <v>2871</v>
      </c>
      <c r="H1108" s="221" t="s">
        <v>6609</v>
      </c>
      <c r="I1108" s="213" t="s">
        <v>6610</v>
      </c>
      <c r="J1108" s="213" t="s">
        <v>6611</v>
      </c>
      <c r="K1108" s="222" t="s">
        <v>9794</v>
      </c>
      <c r="L1108" s="213"/>
      <c r="M1108" s="213" t="s">
        <v>10453</v>
      </c>
      <c r="P1108" s="121"/>
    </row>
    <row r="1109" spans="1:16">
      <c r="A1109" s="213" t="s">
        <v>2644</v>
      </c>
      <c r="B1109" s="213" t="s">
        <v>2872</v>
      </c>
      <c r="C1109" s="221" t="s">
        <v>2872</v>
      </c>
      <c r="D1109" s="221" t="s">
        <v>2872</v>
      </c>
      <c r="E1109" s="221" t="s">
        <v>6612</v>
      </c>
      <c r="F1109" s="213" t="s">
        <v>6613</v>
      </c>
      <c r="G1109" s="213" t="s">
        <v>2872</v>
      </c>
      <c r="H1109" s="221" t="s">
        <v>6614</v>
      </c>
      <c r="I1109" s="213" t="s">
        <v>6615</v>
      </c>
      <c r="J1109" s="213" t="s">
        <v>6616</v>
      </c>
      <c r="K1109" s="213" t="s">
        <v>9795</v>
      </c>
      <c r="L1109" s="213"/>
      <c r="M1109" s="213" t="s">
        <v>10454</v>
      </c>
      <c r="P1109" s="121"/>
    </row>
    <row r="1110" spans="1:16">
      <c r="A1110" s="213" t="s">
        <v>2645</v>
      </c>
      <c r="B1110" s="213" t="s">
        <v>2873</v>
      </c>
      <c r="C1110" s="221" t="s">
        <v>2873</v>
      </c>
      <c r="D1110" s="221" t="s">
        <v>2873</v>
      </c>
      <c r="E1110" s="221" t="s">
        <v>6617</v>
      </c>
      <c r="F1110" s="213" t="s">
        <v>6618</v>
      </c>
      <c r="G1110" s="213" t="s">
        <v>2873</v>
      </c>
      <c r="H1110" s="221" t="s">
        <v>6619</v>
      </c>
      <c r="I1110" s="213" t="s">
        <v>6620</v>
      </c>
      <c r="J1110" s="213" t="s">
        <v>6621</v>
      </c>
      <c r="K1110" s="213" t="s">
        <v>9796</v>
      </c>
      <c r="L1110" s="213"/>
      <c r="M1110" s="213" t="s">
        <v>10455</v>
      </c>
      <c r="P1110" s="121"/>
    </row>
    <row r="1111" spans="1:16">
      <c r="A1111" s="213" t="s">
        <v>2210</v>
      </c>
      <c r="B1111" s="213" t="s">
        <v>2213</v>
      </c>
      <c r="C1111" s="221" t="s">
        <v>2212</v>
      </c>
      <c r="D1111" s="221" t="s">
        <v>2214</v>
      </c>
      <c r="E1111" s="221" t="s">
        <v>6622</v>
      </c>
      <c r="F1111" s="213" t="s">
        <v>6623</v>
      </c>
      <c r="G1111" s="213" t="s">
        <v>2212</v>
      </c>
      <c r="H1111" s="221" t="s">
        <v>6624</v>
      </c>
      <c r="I1111" s="213" t="s">
        <v>6625</v>
      </c>
      <c r="J1111" s="213" t="s">
        <v>6626</v>
      </c>
      <c r="K1111" s="213" t="s">
        <v>9797</v>
      </c>
      <c r="L1111" s="213"/>
      <c r="M1111" s="213" t="s">
        <v>10456</v>
      </c>
      <c r="P1111" s="121"/>
    </row>
    <row r="1112" spans="1:16">
      <c r="A1112" s="213" t="s">
        <v>2215</v>
      </c>
      <c r="B1112" s="213" t="s">
        <v>2217</v>
      </c>
      <c r="C1112" s="221" t="s">
        <v>2216</v>
      </c>
      <c r="D1112" s="221" t="s">
        <v>2218</v>
      </c>
      <c r="E1112" s="221" t="s">
        <v>6627</v>
      </c>
      <c r="F1112" s="213" t="s">
        <v>6628</v>
      </c>
      <c r="G1112" s="213" t="s">
        <v>2216</v>
      </c>
      <c r="H1112" s="221" t="s">
        <v>6629</v>
      </c>
      <c r="I1112" s="213" t="s">
        <v>6630</v>
      </c>
      <c r="J1112" s="213" t="s">
        <v>6631</v>
      </c>
      <c r="K1112" s="213" t="s">
        <v>9798</v>
      </c>
      <c r="L1112" s="213"/>
      <c r="M1112" s="213" t="s">
        <v>10457</v>
      </c>
      <c r="P1112" s="121"/>
    </row>
    <row r="1113" spans="1:16">
      <c r="A1113" s="213" t="s">
        <v>2219</v>
      </c>
      <c r="B1113" s="213" t="s">
        <v>2222</v>
      </c>
      <c r="C1113" s="221" t="s">
        <v>2221</v>
      </c>
      <c r="D1113" s="221" t="s">
        <v>2223</v>
      </c>
      <c r="E1113" s="221" t="s">
        <v>6632</v>
      </c>
      <c r="F1113" s="213" t="s">
        <v>6633</v>
      </c>
      <c r="G1113" s="213" t="s">
        <v>2221</v>
      </c>
      <c r="H1113" s="221" t="s">
        <v>6634</v>
      </c>
      <c r="I1113" s="213" t="s">
        <v>6635</v>
      </c>
      <c r="J1113" s="213" t="s">
        <v>6636</v>
      </c>
      <c r="K1113" s="222" t="s">
        <v>9799</v>
      </c>
      <c r="L1113" s="213"/>
      <c r="M1113" s="213" t="s">
        <v>10458</v>
      </c>
      <c r="P1113" s="121"/>
    </row>
    <row r="1114" spans="1:16">
      <c r="A1114" s="213" t="s">
        <v>2224</v>
      </c>
      <c r="B1114" s="213" t="s">
        <v>2874</v>
      </c>
      <c r="C1114" s="221" t="s">
        <v>2226</v>
      </c>
      <c r="D1114" s="221" t="s">
        <v>2227</v>
      </c>
      <c r="E1114" s="221" t="s">
        <v>6637</v>
      </c>
      <c r="F1114" s="213" t="s">
        <v>6638</v>
      </c>
      <c r="G1114" s="213" t="s">
        <v>2226</v>
      </c>
      <c r="H1114" s="221" t="s">
        <v>6639</v>
      </c>
      <c r="I1114" s="213" t="s">
        <v>6640</v>
      </c>
      <c r="J1114" s="213" t="s">
        <v>6641</v>
      </c>
      <c r="K1114" s="222" t="s">
        <v>9800</v>
      </c>
      <c r="L1114" s="213"/>
      <c r="M1114" s="213" t="s">
        <v>10459</v>
      </c>
      <c r="P1114" s="121"/>
    </row>
    <row r="1115" spans="1:16">
      <c r="A1115" s="213" t="s">
        <v>2228</v>
      </c>
      <c r="B1115" s="213" t="s">
        <v>2231</v>
      </c>
      <c r="C1115" s="221" t="s">
        <v>2230</v>
      </c>
      <c r="D1115" s="221" t="s">
        <v>2232</v>
      </c>
      <c r="E1115" s="221" t="s">
        <v>6642</v>
      </c>
      <c r="F1115" s="213" t="s">
        <v>6643</v>
      </c>
      <c r="G1115" s="213" t="s">
        <v>2230</v>
      </c>
      <c r="H1115" s="221" t="s">
        <v>6644</v>
      </c>
      <c r="I1115" s="213" t="s">
        <v>6645</v>
      </c>
      <c r="J1115" s="213" t="s">
        <v>6646</v>
      </c>
      <c r="K1115" s="222" t="s">
        <v>9801</v>
      </c>
      <c r="L1115" s="213"/>
      <c r="M1115" s="213" t="s">
        <v>10460</v>
      </c>
      <c r="P1115" s="121"/>
    </row>
    <row r="1116" spans="1:16">
      <c r="A1116" s="213" t="s">
        <v>2233</v>
      </c>
      <c r="B1116" s="213" t="s">
        <v>2236</v>
      </c>
      <c r="C1116" s="221" t="s">
        <v>2235</v>
      </c>
      <c r="D1116" s="221" t="s">
        <v>2237</v>
      </c>
      <c r="E1116" s="221" t="s">
        <v>6647</v>
      </c>
      <c r="F1116" s="213" t="s">
        <v>6648</v>
      </c>
      <c r="G1116" s="213" t="s">
        <v>2235</v>
      </c>
      <c r="H1116" s="221" t="s">
        <v>6649</v>
      </c>
      <c r="I1116" s="213" t="s">
        <v>6650</v>
      </c>
      <c r="J1116" s="213" t="s">
        <v>6651</v>
      </c>
      <c r="K1116" s="222" t="s">
        <v>9802</v>
      </c>
      <c r="L1116" s="213"/>
      <c r="M1116" s="213" t="s">
        <v>10461</v>
      </c>
      <c r="P1116" s="121"/>
    </row>
    <row r="1117" spans="1:16">
      <c r="A1117" s="213" t="s">
        <v>2238</v>
      </c>
      <c r="B1117" s="213" t="s">
        <v>2240</v>
      </c>
      <c r="C1117" s="221" t="s">
        <v>2239</v>
      </c>
      <c r="D1117" s="221" t="s">
        <v>2241</v>
      </c>
      <c r="E1117" s="221" t="s">
        <v>6652</v>
      </c>
      <c r="F1117" s="213" t="s">
        <v>6653</v>
      </c>
      <c r="G1117" s="213" t="s">
        <v>2239</v>
      </c>
      <c r="H1117" s="221" t="s">
        <v>6654</v>
      </c>
      <c r="I1117" s="213" t="s">
        <v>6655</v>
      </c>
      <c r="J1117" s="213" t="s">
        <v>6656</v>
      </c>
      <c r="K1117" s="222" t="s">
        <v>9803</v>
      </c>
      <c r="L1117" s="213"/>
      <c r="M1117" s="213" t="s">
        <v>10462</v>
      </c>
      <c r="P1117" s="121"/>
    </row>
    <row r="1118" spans="1:16">
      <c r="A1118" s="213" t="s">
        <v>2242</v>
      </c>
      <c r="B1118" s="213" t="s">
        <v>2244</v>
      </c>
      <c r="C1118" s="221" t="s">
        <v>2243</v>
      </c>
      <c r="D1118" s="221" t="s">
        <v>2245</v>
      </c>
      <c r="E1118" s="221" t="s">
        <v>6657</v>
      </c>
      <c r="F1118" s="213" t="s">
        <v>6658</v>
      </c>
      <c r="G1118" s="213" t="s">
        <v>2243</v>
      </c>
      <c r="H1118" s="221" t="s">
        <v>6659</v>
      </c>
      <c r="I1118" s="213" t="s">
        <v>6660</v>
      </c>
      <c r="J1118" s="213" t="s">
        <v>6661</v>
      </c>
      <c r="K1118" s="222" t="s">
        <v>9804</v>
      </c>
      <c r="L1118" s="213"/>
      <c r="M1118" s="213" t="s">
        <v>10463</v>
      </c>
      <c r="P1118" s="121"/>
    </row>
    <row r="1119" spans="1:16">
      <c r="A1119" s="213" t="s">
        <v>2246</v>
      </c>
      <c r="B1119" s="213" t="s">
        <v>2249</v>
      </c>
      <c r="C1119" s="221" t="s">
        <v>2248</v>
      </c>
      <c r="D1119" s="221" t="s">
        <v>2250</v>
      </c>
      <c r="E1119" s="221" t="s">
        <v>6662</v>
      </c>
      <c r="F1119" s="213" t="s">
        <v>6663</v>
      </c>
      <c r="G1119" s="213" t="s">
        <v>2248</v>
      </c>
      <c r="H1119" s="221" t="s">
        <v>6664</v>
      </c>
      <c r="I1119" s="213" t="s">
        <v>6665</v>
      </c>
      <c r="J1119" s="213" t="s">
        <v>6666</v>
      </c>
      <c r="K1119" s="222" t="s">
        <v>9805</v>
      </c>
      <c r="L1119" s="213"/>
      <c r="M1119" s="213" t="s">
        <v>10464</v>
      </c>
      <c r="P1119" s="121"/>
    </row>
    <row r="1120" spans="1:16">
      <c r="A1120" s="213" t="s">
        <v>2251</v>
      </c>
      <c r="B1120" s="213" t="s">
        <v>2254</v>
      </c>
      <c r="C1120" s="221" t="s">
        <v>2253</v>
      </c>
      <c r="D1120" s="221" t="s">
        <v>2255</v>
      </c>
      <c r="E1120" s="221" t="s">
        <v>6667</v>
      </c>
      <c r="F1120" s="213" t="s">
        <v>6668</v>
      </c>
      <c r="G1120" s="213" t="s">
        <v>2253</v>
      </c>
      <c r="H1120" s="221" t="s">
        <v>6669</v>
      </c>
      <c r="I1120" s="213" t="s">
        <v>6670</v>
      </c>
      <c r="J1120" s="213" t="s">
        <v>6671</v>
      </c>
      <c r="K1120" s="222" t="s">
        <v>9806</v>
      </c>
      <c r="L1120" s="213"/>
      <c r="M1120" s="213" t="s">
        <v>10465</v>
      </c>
      <c r="P1120" s="121"/>
    </row>
    <row r="1121" spans="1:16">
      <c r="A1121" s="213" t="s">
        <v>2260</v>
      </c>
      <c r="B1121" s="213" t="s">
        <v>2258</v>
      </c>
      <c r="C1121" s="221" t="s">
        <v>2257</v>
      </c>
      <c r="D1121" s="221" t="s">
        <v>2259</v>
      </c>
      <c r="E1121" s="221" t="s">
        <v>6672</v>
      </c>
      <c r="F1121" s="213" t="s">
        <v>6673</v>
      </c>
      <c r="G1121" s="213" t="s">
        <v>2257</v>
      </c>
      <c r="H1121" s="221" t="s">
        <v>6674</v>
      </c>
      <c r="I1121" s="213" t="s">
        <v>6675</v>
      </c>
      <c r="J1121" s="213" t="s">
        <v>6676</v>
      </c>
      <c r="K1121" s="222" t="s">
        <v>9807</v>
      </c>
      <c r="L1121" s="213"/>
      <c r="M1121" s="213" t="s">
        <v>10466</v>
      </c>
      <c r="P1121" s="121"/>
    </row>
    <row r="1122" spans="1:16">
      <c r="A1122" s="213" t="s">
        <v>2877</v>
      </c>
      <c r="B1122" s="213" t="s">
        <v>2875</v>
      </c>
      <c r="C1122" s="221" t="s">
        <v>2969</v>
      </c>
      <c r="D1122" s="221" t="s">
        <v>3025</v>
      </c>
      <c r="E1122" s="221" t="s">
        <v>6677</v>
      </c>
      <c r="F1122" s="213" t="s">
        <v>6678</v>
      </c>
      <c r="G1122" s="213" t="s">
        <v>2969</v>
      </c>
      <c r="H1122" s="221" t="s">
        <v>6679</v>
      </c>
      <c r="I1122" s="213" t="s">
        <v>6680</v>
      </c>
      <c r="J1122" s="213" t="s">
        <v>6681</v>
      </c>
      <c r="K1122" s="222" t="s">
        <v>9808</v>
      </c>
      <c r="L1122" s="213"/>
      <c r="M1122" s="213" t="s">
        <v>10467</v>
      </c>
      <c r="P1122" s="121"/>
    </row>
    <row r="1123" spans="1:16">
      <c r="A1123" s="213" t="s">
        <v>2262</v>
      </c>
      <c r="B1123" s="213" t="s">
        <v>2264</v>
      </c>
      <c r="C1123" s="221" t="s">
        <v>2263</v>
      </c>
      <c r="D1123" s="221" t="s">
        <v>2265</v>
      </c>
      <c r="E1123" s="221" t="s">
        <v>6682</v>
      </c>
      <c r="F1123" s="213" t="s">
        <v>6683</v>
      </c>
      <c r="G1123" s="213" t="s">
        <v>2263</v>
      </c>
      <c r="H1123" s="221" t="s">
        <v>6684</v>
      </c>
      <c r="I1123" s="213" t="s">
        <v>6685</v>
      </c>
      <c r="J1123" s="213" t="s">
        <v>6686</v>
      </c>
      <c r="K1123" s="222" t="s">
        <v>9809</v>
      </c>
      <c r="L1123" s="213"/>
      <c r="M1123" s="213" t="s">
        <v>10468</v>
      </c>
      <c r="P1123" s="121"/>
    </row>
    <row r="1124" spans="1:16">
      <c r="A1124" s="213" t="s">
        <v>2270</v>
      </c>
      <c r="B1124" s="213" t="s">
        <v>2274</v>
      </c>
      <c r="C1124" s="221" t="s">
        <v>2273</v>
      </c>
      <c r="D1124" s="221" t="s">
        <v>2275</v>
      </c>
      <c r="E1124" s="221" t="s">
        <v>6692</v>
      </c>
      <c r="F1124" s="213" t="s">
        <v>6693</v>
      </c>
      <c r="G1124" s="213" t="s">
        <v>2273</v>
      </c>
      <c r="H1124" s="221" t="s">
        <v>6694</v>
      </c>
      <c r="I1124" s="213" t="s">
        <v>6695</v>
      </c>
      <c r="J1124" s="213" t="s">
        <v>6696</v>
      </c>
      <c r="K1124" s="222" t="s">
        <v>9811</v>
      </c>
      <c r="L1124" s="213"/>
      <c r="M1124" s="213" t="s">
        <v>10470</v>
      </c>
      <c r="P1124" s="121"/>
    </row>
    <row r="1125" spans="1:16">
      <c r="A1125" s="213" t="s">
        <v>2276</v>
      </c>
      <c r="B1125" s="213" t="s">
        <v>2280</v>
      </c>
      <c r="C1125" s="221" t="s">
        <v>2279</v>
      </c>
      <c r="D1125" s="221" t="s">
        <v>2281</v>
      </c>
      <c r="E1125" s="221" t="s">
        <v>6697</v>
      </c>
      <c r="F1125" s="213" t="s">
        <v>6698</v>
      </c>
      <c r="G1125" s="213" t="s">
        <v>2279</v>
      </c>
      <c r="H1125" s="221" t="s">
        <v>6699</v>
      </c>
      <c r="I1125" s="213" t="s">
        <v>6700</v>
      </c>
      <c r="J1125" s="213" t="s">
        <v>6701</v>
      </c>
      <c r="K1125" s="222" t="s">
        <v>9812</v>
      </c>
      <c r="L1125" s="213"/>
      <c r="M1125" s="213" t="s">
        <v>10471</v>
      </c>
      <c r="P1125" s="121"/>
    </row>
    <row r="1126" spans="1:16">
      <c r="A1126" s="213" t="s">
        <v>2282</v>
      </c>
      <c r="B1126" s="213" t="s">
        <v>2285</v>
      </c>
      <c r="C1126" s="221" t="s">
        <v>2284</v>
      </c>
      <c r="D1126" s="221" t="s">
        <v>2286</v>
      </c>
      <c r="E1126" s="221" t="s">
        <v>6702</v>
      </c>
      <c r="F1126" s="213" t="s">
        <v>6703</v>
      </c>
      <c r="G1126" s="213" t="s">
        <v>2284</v>
      </c>
      <c r="H1126" s="221" t="s">
        <v>6704</v>
      </c>
      <c r="I1126" s="213" t="s">
        <v>6705</v>
      </c>
      <c r="J1126" s="213" t="s">
        <v>6706</v>
      </c>
      <c r="K1126" s="222" t="s">
        <v>9813</v>
      </c>
      <c r="L1126" s="213"/>
      <c r="M1126" s="213" t="s">
        <v>10472</v>
      </c>
      <c r="P1126" s="121"/>
    </row>
    <row r="1127" spans="1:16">
      <c r="A1127" s="213" t="s">
        <v>2287</v>
      </c>
      <c r="B1127" s="213" t="s">
        <v>2291</v>
      </c>
      <c r="C1127" s="221" t="s">
        <v>2290</v>
      </c>
      <c r="D1127" s="221" t="s">
        <v>2292</v>
      </c>
      <c r="E1127" s="221" t="s">
        <v>6707</v>
      </c>
      <c r="F1127" s="213" t="s">
        <v>6708</v>
      </c>
      <c r="G1127" s="213" t="s">
        <v>2290</v>
      </c>
      <c r="H1127" s="221" t="s">
        <v>6709</v>
      </c>
      <c r="I1127" s="213" t="s">
        <v>6710</v>
      </c>
      <c r="J1127" s="213" t="s">
        <v>6711</v>
      </c>
      <c r="K1127" s="222" t="s">
        <v>9814</v>
      </c>
      <c r="L1127" s="213"/>
      <c r="M1127" s="213" t="s">
        <v>10473</v>
      </c>
      <c r="P1127" s="121"/>
    </row>
    <row r="1128" spans="1:16">
      <c r="A1128" s="213" t="s">
        <v>2293</v>
      </c>
      <c r="B1128" s="213" t="s">
        <v>2296</v>
      </c>
      <c r="C1128" s="221" t="s">
        <v>2295</v>
      </c>
      <c r="D1128" s="221" t="s">
        <v>2297</v>
      </c>
      <c r="E1128" s="221" t="s">
        <v>6712</v>
      </c>
      <c r="F1128" s="213" t="s">
        <v>6713</v>
      </c>
      <c r="G1128" s="213" t="s">
        <v>2295</v>
      </c>
      <c r="H1128" s="221" t="s">
        <v>6714</v>
      </c>
      <c r="I1128" s="213" t="s">
        <v>6715</v>
      </c>
      <c r="J1128" s="213" t="s">
        <v>6716</v>
      </c>
      <c r="K1128" s="222" t="s">
        <v>9815</v>
      </c>
      <c r="L1128" s="213"/>
      <c r="M1128" s="213" t="s">
        <v>10474</v>
      </c>
      <c r="P1128" s="121"/>
    </row>
    <row r="1129" spans="1:16">
      <c r="A1129" s="213" t="s">
        <v>2298</v>
      </c>
      <c r="B1129" s="213" t="s">
        <v>2300</v>
      </c>
      <c r="C1129" s="221" t="s">
        <v>2299</v>
      </c>
      <c r="D1129" s="221" t="s">
        <v>2301</v>
      </c>
      <c r="E1129" s="221" t="s">
        <v>6717</v>
      </c>
      <c r="F1129" s="213" t="s">
        <v>6718</v>
      </c>
      <c r="G1129" s="213" t="s">
        <v>2299</v>
      </c>
      <c r="H1129" s="221" t="s">
        <v>6719</v>
      </c>
      <c r="I1129" s="213" t="s">
        <v>6720</v>
      </c>
      <c r="J1129" s="213" t="s">
        <v>6721</v>
      </c>
      <c r="K1129" s="213" t="s">
        <v>9816</v>
      </c>
      <c r="L1129" s="213"/>
      <c r="M1129" s="213" t="s">
        <v>10475</v>
      </c>
      <c r="P1129" s="121"/>
    </row>
    <row r="1130" spans="1:16">
      <c r="A1130" s="213" t="s">
        <v>2302</v>
      </c>
      <c r="B1130" s="213" t="s">
        <v>2304</v>
      </c>
      <c r="C1130" s="221" t="s">
        <v>2303</v>
      </c>
      <c r="D1130" s="221" t="s">
        <v>2305</v>
      </c>
      <c r="E1130" s="221" t="s">
        <v>6717</v>
      </c>
      <c r="F1130" s="213" t="s">
        <v>6722</v>
      </c>
      <c r="G1130" s="213" t="s">
        <v>2303</v>
      </c>
      <c r="H1130" s="221" t="s">
        <v>6723</v>
      </c>
      <c r="I1130" s="213" t="s">
        <v>6724</v>
      </c>
      <c r="J1130" s="213" t="s">
        <v>6725</v>
      </c>
      <c r="K1130" s="222" t="s">
        <v>9817</v>
      </c>
      <c r="L1130" s="213"/>
      <c r="M1130" s="213" t="s">
        <v>10476</v>
      </c>
      <c r="P1130" s="121"/>
    </row>
    <row r="1131" spans="1:16">
      <c r="A1131" s="213" t="s">
        <v>2306</v>
      </c>
      <c r="B1131" s="213" t="s">
        <v>2308</v>
      </c>
      <c r="C1131" s="221" t="s">
        <v>2307</v>
      </c>
      <c r="D1131" s="221" t="s">
        <v>2309</v>
      </c>
      <c r="E1131" s="221" t="s">
        <v>6726</v>
      </c>
      <c r="F1131" s="213" t="s">
        <v>6727</v>
      </c>
      <c r="G1131" s="213" t="s">
        <v>2307</v>
      </c>
      <c r="H1131" s="221" t="s">
        <v>6728</v>
      </c>
      <c r="I1131" s="213" t="s">
        <v>6729</v>
      </c>
      <c r="J1131" s="213" t="s">
        <v>6730</v>
      </c>
      <c r="K1131" s="213" t="s">
        <v>9818</v>
      </c>
      <c r="L1131" s="213"/>
      <c r="M1131" s="213"/>
      <c r="P1131" s="121"/>
    </row>
    <row r="1132" spans="1:16">
      <c r="A1132" s="213" t="s">
        <v>1825</v>
      </c>
      <c r="B1132" s="213" t="s">
        <v>1826</v>
      </c>
      <c r="C1132" s="221" t="s">
        <v>1826</v>
      </c>
      <c r="D1132" s="221" t="s">
        <v>1826</v>
      </c>
      <c r="E1132" s="221" t="s">
        <v>5753</v>
      </c>
      <c r="F1132" s="213" t="s">
        <v>5754</v>
      </c>
      <c r="G1132" s="213" t="s">
        <v>1826</v>
      </c>
      <c r="H1132" s="221" t="s">
        <v>5755</v>
      </c>
      <c r="I1132" s="213" t="s">
        <v>5756</v>
      </c>
      <c r="J1132" s="213" t="s">
        <v>5757</v>
      </c>
      <c r="K1132" s="213" t="s">
        <v>9625</v>
      </c>
      <c r="L1132" s="213" t="str">
        <f t="shared" ref="L1132:L1171" si="0">C1132</f>
        <v>crackling chry. mine tail up to brocade crown +glitter star- salvo 10sh together</v>
      </c>
      <c r="M1132" s="213" t="s">
        <v>10281</v>
      </c>
      <c r="P1132" s="121"/>
    </row>
    <row r="1133" spans="1:16">
      <c r="A1133" s="213" t="s">
        <v>1827</v>
      </c>
      <c r="B1133" s="213" t="s">
        <v>1828</v>
      </c>
      <c r="C1133" s="221" t="s">
        <v>1828</v>
      </c>
      <c r="D1133" s="221" t="s">
        <v>1828</v>
      </c>
      <c r="E1133" s="221" t="s">
        <v>5758</v>
      </c>
      <c r="F1133" s="213" t="s">
        <v>5759</v>
      </c>
      <c r="G1133" s="213" t="s">
        <v>1828</v>
      </c>
      <c r="H1133" s="221" t="s">
        <v>5760</v>
      </c>
      <c r="I1133" s="213" t="s">
        <v>5761</v>
      </c>
      <c r="J1133" s="213" t="s">
        <v>5762</v>
      </c>
      <c r="K1133" s="213" t="s">
        <v>9626</v>
      </c>
      <c r="L1133" s="213" t="str">
        <f t="shared" si="0"/>
        <v>blue+red glitter mine up to chrysanthemum- salvo 10sh together</v>
      </c>
      <c r="M1133" s="213" t="s">
        <v>10282</v>
      </c>
      <c r="P1133" s="121"/>
    </row>
    <row r="1134" spans="1:16">
      <c r="A1134" s="213" t="s">
        <v>1829</v>
      </c>
      <c r="B1134" s="213" t="s">
        <v>1830</v>
      </c>
      <c r="C1134" s="221" t="s">
        <v>1830</v>
      </c>
      <c r="D1134" s="221" t="s">
        <v>1830</v>
      </c>
      <c r="E1134" s="221" t="s">
        <v>5763</v>
      </c>
      <c r="F1134" s="213" t="s">
        <v>5764</v>
      </c>
      <c r="G1134" s="213" t="s">
        <v>1830</v>
      </c>
      <c r="H1134" s="221" t="s">
        <v>5765</v>
      </c>
      <c r="I1134" s="213" t="s">
        <v>5766</v>
      </c>
      <c r="J1134" s="213" t="s">
        <v>5767</v>
      </c>
      <c r="K1134" s="213" t="s">
        <v>9627</v>
      </c>
      <c r="L1134" s="213" t="str">
        <f t="shared" si="0"/>
        <v>brocade crown king, green, purple- salvo 10sh together</v>
      </c>
      <c r="M1134" s="213" t="s">
        <v>10283</v>
      </c>
      <c r="P1134" s="121"/>
    </row>
    <row r="1135" spans="1:16">
      <c r="A1135" s="213" t="s">
        <v>1831</v>
      </c>
      <c r="B1135" s="213" t="s">
        <v>1832</v>
      </c>
      <c r="C1135" s="221" t="s">
        <v>1832</v>
      </c>
      <c r="D1135" s="221" t="s">
        <v>1832</v>
      </c>
      <c r="E1135" s="221" t="s">
        <v>5768</v>
      </c>
      <c r="F1135" s="213" t="s">
        <v>5769</v>
      </c>
      <c r="G1135" s="213" t="s">
        <v>1832</v>
      </c>
      <c r="H1135" s="221" t="s">
        <v>5770</v>
      </c>
      <c r="I1135" s="213" t="s">
        <v>5771</v>
      </c>
      <c r="J1135" s="213" t="s">
        <v>5772</v>
      </c>
      <c r="K1135" s="213" t="s">
        <v>9628</v>
      </c>
      <c r="L1135" s="213" t="str">
        <f t="shared" si="0"/>
        <v>blue tail up to eject horse tail- salvo 10sh together</v>
      </c>
      <c r="M1135" s="213" t="s">
        <v>10284</v>
      </c>
      <c r="P1135" s="121"/>
    </row>
    <row r="1136" spans="1:16">
      <c r="A1136" s="213" t="s">
        <v>1833</v>
      </c>
      <c r="B1136" s="213" t="s">
        <v>1834</v>
      </c>
      <c r="C1136" s="221" t="s">
        <v>1834</v>
      </c>
      <c r="D1136" s="221" t="s">
        <v>1834</v>
      </c>
      <c r="E1136" s="221" t="s">
        <v>5773</v>
      </c>
      <c r="F1136" s="213" t="s">
        <v>5774</v>
      </c>
      <c r="G1136" s="213" t="s">
        <v>1834</v>
      </c>
      <c r="H1136" s="221" t="s">
        <v>5775</v>
      </c>
      <c r="I1136" s="213" t="s">
        <v>5776</v>
      </c>
      <c r="J1136" s="213" t="s">
        <v>5777</v>
      </c>
      <c r="K1136" s="213" t="s">
        <v>9629</v>
      </c>
      <c r="L1136" s="213" t="str">
        <f t="shared" si="0"/>
        <v>silver glitter bouquet up to eject silver glitter- salvo 10sh together</v>
      </c>
      <c r="M1136" s="213" t="s">
        <v>10285</v>
      </c>
      <c r="P1136" s="121"/>
    </row>
    <row r="1137" spans="1:16">
      <c r="A1137" s="213" t="s">
        <v>1835</v>
      </c>
      <c r="B1137" s="213" t="s">
        <v>1837</v>
      </c>
      <c r="C1137" s="221" t="s">
        <v>1836</v>
      </c>
      <c r="D1137" s="221" t="s">
        <v>1837</v>
      </c>
      <c r="E1137" s="221" t="s">
        <v>5778</v>
      </c>
      <c r="F1137" s="213" t="s">
        <v>5779</v>
      </c>
      <c r="G1137" s="213" t="s">
        <v>1836</v>
      </c>
      <c r="H1137" s="221" t="s">
        <v>5780</v>
      </c>
      <c r="I1137" s="213" t="s">
        <v>5781</v>
      </c>
      <c r="J1137" s="213" t="s">
        <v>5782</v>
      </c>
      <c r="K1137" s="213" t="s">
        <v>9630</v>
      </c>
      <c r="L1137" s="213" t="str">
        <f t="shared" si="0"/>
        <v>crackling willow + peach red - salvo 10sh together</v>
      </c>
      <c r="M1137" s="213" t="s">
        <v>10286</v>
      </c>
      <c r="P1137" s="121"/>
    </row>
    <row r="1138" spans="1:16">
      <c r="A1138" s="213" t="s">
        <v>1838</v>
      </c>
      <c r="B1138" s="213" t="s">
        <v>1839</v>
      </c>
      <c r="C1138" s="221" t="s">
        <v>1839</v>
      </c>
      <c r="D1138" s="221" t="s">
        <v>1839</v>
      </c>
      <c r="E1138" s="221" t="s">
        <v>5783</v>
      </c>
      <c r="F1138" s="213" t="s">
        <v>5784</v>
      </c>
      <c r="G1138" s="213" t="s">
        <v>1839</v>
      </c>
      <c r="H1138" s="221" t="s">
        <v>5785</v>
      </c>
      <c r="I1138" s="213" t="s">
        <v>5786</v>
      </c>
      <c r="J1138" s="213" t="s">
        <v>5787</v>
      </c>
      <c r="K1138" s="213" t="s">
        <v>9631</v>
      </c>
      <c r="L1138" s="213" t="str">
        <f t="shared" si="0"/>
        <v>red tip crackling willow - salvo 10sh together</v>
      </c>
      <c r="M1138" s="213" t="s">
        <v>10287</v>
      </c>
      <c r="P1138" s="121"/>
    </row>
    <row r="1139" spans="1:16">
      <c r="A1139" s="213" t="s">
        <v>1840</v>
      </c>
      <c r="B1139" s="213" t="s">
        <v>1842</v>
      </c>
      <c r="C1139" s="221" t="s">
        <v>1841</v>
      </c>
      <c r="D1139" s="221" t="s">
        <v>1842</v>
      </c>
      <c r="E1139" s="221" t="s">
        <v>5788</v>
      </c>
      <c r="F1139" s="213" t="s">
        <v>5789</v>
      </c>
      <c r="G1139" s="213" t="s">
        <v>1841</v>
      </c>
      <c r="H1139" s="221" t="s">
        <v>5790</v>
      </c>
      <c r="I1139" s="213" t="s">
        <v>5791</v>
      </c>
      <c r="J1139" s="213" t="s">
        <v>5792</v>
      </c>
      <c r="K1139" s="213" t="s">
        <v>9632</v>
      </c>
      <c r="L1139" s="213" t="str">
        <f t="shared" si="0"/>
        <v>titanium gold coconut + green strobe - salvo 10sh together</v>
      </c>
      <c r="M1139" s="213" t="s">
        <v>10288</v>
      </c>
      <c r="P1139" s="121"/>
    </row>
    <row r="1140" spans="1:16">
      <c r="A1140" s="213" t="s">
        <v>1843</v>
      </c>
      <c r="B1140" s="213" t="s">
        <v>1845</v>
      </c>
      <c r="C1140" s="221" t="s">
        <v>1844</v>
      </c>
      <c r="D1140" s="221" t="s">
        <v>1845</v>
      </c>
      <c r="E1140" s="221" t="s">
        <v>5793</v>
      </c>
      <c r="F1140" s="213" t="s">
        <v>5794</v>
      </c>
      <c r="G1140" s="213" t="s">
        <v>1844</v>
      </c>
      <c r="H1140" s="221" t="s">
        <v>5795</v>
      </c>
      <c r="I1140" s="213" t="s">
        <v>5796</v>
      </c>
      <c r="J1140" s="213" t="s">
        <v>5797</v>
      </c>
      <c r="K1140" s="213" t="s">
        <v>9633</v>
      </c>
      <c r="L1140" s="213" t="str">
        <f t="shared" si="0"/>
        <v>red crackling coconut + white strobe - salvo 10sh together</v>
      </c>
      <c r="M1140" s="213" t="s">
        <v>10289</v>
      </c>
      <c r="P1140" s="121"/>
    </row>
    <row r="1141" spans="1:16">
      <c r="A1141" s="213" t="s">
        <v>1846</v>
      </c>
      <c r="B1141" s="213" t="s">
        <v>1847</v>
      </c>
      <c r="C1141" s="221" t="s">
        <v>1847</v>
      </c>
      <c r="D1141" s="221" t="s">
        <v>1847</v>
      </c>
      <c r="E1141" s="221" t="s">
        <v>5798</v>
      </c>
      <c r="F1141" s="213" t="s">
        <v>5799</v>
      </c>
      <c r="G1141" s="213" t="s">
        <v>1847</v>
      </c>
      <c r="H1141" s="221" t="s">
        <v>5800</v>
      </c>
      <c r="I1141" s="213" t="s">
        <v>5801</v>
      </c>
      <c r="J1141" s="213" t="s">
        <v>5802</v>
      </c>
      <c r="K1141" s="213" t="s">
        <v>9634</v>
      </c>
      <c r="L1141" s="213" t="str">
        <f t="shared" si="0"/>
        <v>purple lemon dahlia+silver chrys- salvo 10sh together</v>
      </c>
      <c r="M1141" s="213" t="s">
        <v>10290</v>
      </c>
      <c r="P1141" s="121"/>
    </row>
    <row r="1142" spans="1:16">
      <c r="A1142" s="213" t="s">
        <v>1848</v>
      </c>
      <c r="B1142" s="213" t="s">
        <v>1849</v>
      </c>
      <c r="C1142" s="221" t="s">
        <v>1849</v>
      </c>
      <c r="D1142" s="221" t="s">
        <v>1849</v>
      </c>
      <c r="E1142" s="221" t="s">
        <v>5803</v>
      </c>
      <c r="F1142" s="213" t="s">
        <v>5804</v>
      </c>
      <c r="G1142" s="213" t="s">
        <v>1849</v>
      </c>
      <c r="H1142" s="221" t="s">
        <v>5805</v>
      </c>
      <c r="I1142" s="213" t="s">
        <v>5806</v>
      </c>
      <c r="J1142" s="213" t="s">
        <v>5807</v>
      </c>
      <c r="K1142" s="213" t="s">
        <v>9635</v>
      </c>
      <c r="L1142" s="213" t="str">
        <f t="shared" si="0"/>
        <v>green glittering willow+golden strobe- salvo 10sh together</v>
      </c>
      <c r="M1142" s="213" t="s">
        <v>10291</v>
      </c>
      <c r="P1142" s="121"/>
    </row>
    <row r="1143" spans="1:16">
      <c r="A1143" s="213" t="s">
        <v>1850</v>
      </c>
      <c r="B1143" s="213" t="s">
        <v>1851</v>
      </c>
      <c r="C1143" s="221" t="s">
        <v>1851</v>
      </c>
      <c r="D1143" s="221" t="s">
        <v>1851</v>
      </c>
      <c r="E1143" s="221" t="s">
        <v>5808</v>
      </c>
      <c r="F1143" s="213" t="s">
        <v>5809</v>
      </c>
      <c r="G1143" s="213" t="s">
        <v>1851</v>
      </c>
      <c r="H1143" s="221" t="s">
        <v>5810</v>
      </c>
      <c r="I1143" s="213" t="s">
        <v>5811</v>
      </c>
      <c r="J1143" s="213" t="s">
        <v>5812</v>
      </c>
      <c r="K1143" s="213" t="s">
        <v>9636</v>
      </c>
      <c r="L1143" s="213" t="str">
        <f t="shared" si="0"/>
        <v>white strobe mine to red strobe- salvo 10sh together</v>
      </c>
      <c r="M1143" s="213" t="s">
        <v>10292</v>
      </c>
      <c r="P1143" s="121"/>
    </row>
    <row r="1144" spans="1:16">
      <c r="A1144" s="213" t="s">
        <v>1852</v>
      </c>
      <c r="B1144" s="213" t="s">
        <v>1853</v>
      </c>
      <c r="C1144" s="221" t="s">
        <v>1853</v>
      </c>
      <c r="D1144" s="221" t="s">
        <v>1853</v>
      </c>
      <c r="E1144" s="221" t="s">
        <v>5813</v>
      </c>
      <c r="F1144" s="213" t="s">
        <v>5814</v>
      </c>
      <c r="G1144" s="213" t="s">
        <v>1853</v>
      </c>
      <c r="H1144" s="221" t="s">
        <v>5815</v>
      </c>
      <c r="I1144" s="213" t="s">
        <v>5816</v>
      </c>
      <c r="J1144" s="213" t="s">
        <v>5817</v>
      </c>
      <c r="K1144" s="222" t="s">
        <v>9637</v>
      </c>
      <c r="L1144" s="213" t="str">
        <f t="shared" si="0"/>
        <v>brocade+white strobe- salvo 10sh together</v>
      </c>
      <c r="M1144" s="213" t="s">
        <v>10293</v>
      </c>
      <c r="P1144" s="121"/>
    </row>
    <row r="1145" spans="1:16">
      <c r="A1145" s="213" t="s">
        <v>1854</v>
      </c>
      <c r="B1145" s="213" t="s">
        <v>1855</v>
      </c>
      <c r="C1145" s="221" t="s">
        <v>1855</v>
      </c>
      <c r="D1145" s="221" t="s">
        <v>1855</v>
      </c>
      <c r="E1145" s="221" t="s">
        <v>5818</v>
      </c>
      <c r="F1145" s="213" t="s">
        <v>5819</v>
      </c>
      <c r="G1145" s="213" t="s">
        <v>1855</v>
      </c>
      <c r="H1145" s="221" t="s">
        <v>5820</v>
      </c>
      <c r="I1145" s="213" t="s">
        <v>5821</v>
      </c>
      <c r="J1145" s="213" t="s">
        <v>5822</v>
      </c>
      <c r="K1145" s="222" t="s">
        <v>9638</v>
      </c>
      <c r="L1145" s="213" t="str">
        <f t="shared" si="0"/>
        <v>king brocade pistil + purple - salvo 10sh together</v>
      </c>
      <c r="M1145" s="213" t="s">
        <v>10294</v>
      </c>
      <c r="P1145" s="121"/>
    </row>
    <row r="1146" spans="1:16">
      <c r="A1146" s="213" t="s">
        <v>1856</v>
      </c>
      <c r="B1146" s="213" t="s">
        <v>1858</v>
      </c>
      <c r="C1146" s="221" t="s">
        <v>1857</v>
      </c>
      <c r="D1146" s="221" t="s">
        <v>1858</v>
      </c>
      <c r="E1146" s="221" t="s">
        <v>5823</v>
      </c>
      <c r="F1146" s="213" t="s">
        <v>5824</v>
      </c>
      <c r="G1146" s="213" t="s">
        <v>1857</v>
      </c>
      <c r="H1146" s="221" t="s">
        <v>5825</v>
      </c>
      <c r="I1146" s="213" t="s">
        <v>5826</v>
      </c>
      <c r="J1146" s="213" t="s">
        <v>5827</v>
      </c>
      <c r="K1146" s="222" t="s">
        <v>9639</v>
      </c>
      <c r="L1146" s="213" t="str">
        <f t="shared" si="0"/>
        <v>red green blue + time rain - salvo 10sh together</v>
      </c>
      <c r="M1146" s="213" t="s">
        <v>10295</v>
      </c>
      <c r="P1146" s="121"/>
    </row>
    <row r="1147" spans="1:16">
      <c r="A1147" s="213" t="s">
        <v>1859</v>
      </c>
      <c r="B1147" s="213" t="s">
        <v>1861</v>
      </c>
      <c r="C1147" s="221" t="s">
        <v>1860</v>
      </c>
      <c r="D1147" s="221" t="s">
        <v>1861</v>
      </c>
      <c r="E1147" s="221" t="s">
        <v>5828</v>
      </c>
      <c r="F1147" s="213" t="s">
        <v>5829</v>
      </c>
      <c r="G1147" s="213" t="s">
        <v>1860</v>
      </c>
      <c r="H1147" s="221" t="s">
        <v>5830</v>
      </c>
      <c r="I1147" s="213" t="s">
        <v>5831</v>
      </c>
      <c r="J1147" s="213" t="s">
        <v>5832</v>
      </c>
      <c r="K1147" s="222" t="s">
        <v>9640</v>
      </c>
      <c r="L1147" s="213" t="str">
        <f t="shared" si="0"/>
        <v>red coconut + green+silver chrys - salvo 10sh together</v>
      </c>
      <c r="M1147" s="213" t="s">
        <v>10296</v>
      </c>
      <c r="P1147" s="121"/>
    </row>
    <row r="1148" spans="1:16">
      <c r="A1148" s="213" t="s">
        <v>1862</v>
      </c>
      <c r="B1148" s="213" t="s">
        <v>1863</v>
      </c>
      <c r="C1148" s="221" t="s">
        <v>1863</v>
      </c>
      <c r="D1148" s="221" t="s">
        <v>1863</v>
      </c>
      <c r="E1148" s="221" t="s">
        <v>5833</v>
      </c>
      <c r="F1148" s="213" t="s">
        <v>5834</v>
      </c>
      <c r="G1148" s="213" t="s">
        <v>1863</v>
      </c>
      <c r="H1148" s="221" t="s">
        <v>5835</v>
      </c>
      <c r="I1148" s="213" t="s">
        <v>5836</v>
      </c>
      <c r="J1148" s="213" t="s">
        <v>5837</v>
      </c>
      <c r="K1148" s="222" t="s">
        <v>9641</v>
      </c>
      <c r="L1148" s="213" t="str">
        <f t="shared" si="0"/>
        <v>king brocade + orange pearl- salvo 10sh together</v>
      </c>
      <c r="M1148" s="213" t="s">
        <v>10297</v>
      </c>
      <c r="P1148" s="121"/>
    </row>
    <row r="1149" spans="1:16">
      <c r="A1149" s="213" t="s">
        <v>1864</v>
      </c>
      <c r="B1149" s="213" t="s">
        <v>1865</v>
      </c>
      <c r="C1149" s="221" t="s">
        <v>1865</v>
      </c>
      <c r="D1149" s="221" t="s">
        <v>1865</v>
      </c>
      <c r="E1149" s="221" t="s">
        <v>5838</v>
      </c>
      <c r="F1149" s="213" t="s">
        <v>5839</v>
      </c>
      <c r="G1149" s="213" t="s">
        <v>1865</v>
      </c>
      <c r="H1149" s="221" t="s">
        <v>5840</v>
      </c>
      <c r="I1149" s="213" t="s">
        <v>5841</v>
      </c>
      <c r="J1149" s="213" t="s">
        <v>5842</v>
      </c>
      <c r="K1149" s="213" t="s">
        <v>9642</v>
      </c>
      <c r="L1149" s="213" t="str">
        <f t="shared" si="0"/>
        <v>red comet tail, red tail to red wave white strobing - salvo 10sh together</v>
      </c>
      <c r="M1149" s="213" t="s">
        <v>10298</v>
      </c>
      <c r="P1149" s="121"/>
    </row>
    <row r="1150" spans="1:16">
      <c r="A1150" s="213" t="s">
        <v>1866</v>
      </c>
      <c r="B1150" s="213" t="s">
        <v>1867</v>
      </c>
      <c r="C1150" s="221" t="s">
        <v>1867</v>
      </c>
      <c r="D1150" s="221" t="s">
        <v>1867</v>
      </c>
      <c r="E1150" s="221" t="s">
        <v>5843</v>
      </c>
      <c r="F1150" s="213" t="s">
        <v>5844</v>
      </c>
      <c r="G1150" s="213" t="s">
        <v>1867</v>
      </c>
      <c r="H1150" s="221" t="s">
        <v>5845</v>
      </c>
      <c r="I1150" s="213" t="s">
        <v>5846</v>
      </c>
      <c r="J1150" s="213" t="s">
        <v>5847</v>
      </c>
      <c r="K1150" s="222" t="s">
        <v>9643</v>
      </c>
      <c r="L1150" s="213" t="str">
        <f t="shared" si="0"/>
        <v>brocade king w/crackling- salvo 10sh together</v>
      </c>
      <c r="M1150" s="213" t="s">
        <v>10299</v>
      </c>
      <c r="P1150" s="121"/>
    </row>
    <row r="1151" spans="1:16">
      <c r="A1151" s="213" t="s">
        <v>1868</v>
      </c>
      <c r="B1151" s="213" t="s">
        <v>1869</v>
      </c>
      <c r="C1151" s="221" t="s">
        <v>1869</v>
      </c>
      <c r="D1151" s="221" t="s">
        <v>1869</v>
      </c>
      <c r="E1151" s="221" t="s">
        <v>5848</v>
      </c>
      <c r="F1151" s="213" t="s">
        <v>5849</v>
      </c>
      <c r="G1151" s="213" t="s">
        <v>1869</v>
      </c>
      <c r="H1151" s="221" t="s">
        <v>5850</v>
      </c>
      <c r="I1151" s="213" t="s">
        <v>5851</v>
      </c>
      <c r="J1151" s="213" t="s">
        <v>5852</v>
      </c>
      <c r="K1151" s="222" t="s">
        <v>9644</v>
      </c>
      <c r="L1151" s="213" t="str">
        <f t="shared" si="0"/>
        <v>sunflower w/red blue, red strobing tail - salvo 10sh together</v>
      </c>
      <c r="M1151" s="213" t="s">
        <v>10300</v>
      </c>
      <c r="P1151" s="121"/>
    </row>
    <row r="1152" spans="1:16">
      <c r="A1152" s="213" t="s">
        <v>1870</v>
      </c>
      <c r="B1152" s="213" t="s">
        <v>1871</v>
      </c>
      <c r="C1152" s="221" t="s">
        <v>1871</v>
      </c>
      <c r="D1152" s="221" t="s">
        <v>1871</v>
      </c>
      <c r="E1152" s="221" t="s">
        <v>5853</v>
      </c>
      <c r="F1152" s="213" t="s">
        <v>5854</v>
      </c>
      <c r="G1152" s="213" t="s">
        <v>1871</v>
      </c>
      <c r="H1152" s="221" t="s">
        <v>5855</v>
      </c>
      <c r="I1152" s="213" t="s">
        <v>5856</v>
      </c>
      <c r="J1152" s="213" t="s">
        <v>5857</v>
      </c>
      <c r="K1152" s="222" t="s">
        <v>9645</v>
      </c>
      <c r="L1152" s="213" t="str">
        <f t="shared" si="0"/>
        <v>purple crossette + and purple tail to brocade crown with purple dahlia - salvo 10sh together</v>
      </c>
      <c r="M1152" s="213" t="s">
        <v>10301</v>
      </c>
      <c r="P1152" s="121"/>
    </row>
    <row r="1153" spans="1:16">
      <c r="A1153" s="213" t="s">
        <v>1872</v>
      </c>
      <c r="B1153" s="213" t="s">
        <v>1873</v>
      </c>
      <c r="C1153" s="221" t="s">
        <v>1873</v>
      </c>
      <c r="D1153" s="221" t="s">
        <v>1873</v>
      </c>
      <c r="E1153" s="221" t="s">
        <v>5858</v>
      </c>
      <c r="F1153" s="213" t="s">
        <v>5859</v>
      </c>
      <c r="G1153" s="213" t="s">
        <v>1873</v>
      </c>
      <c r="H1153" s="221" t="s">
        <v>5860</v>
      </c>
      <c r="I1153" s="213" t="s">
        <v>5861</v>
      </c>
      <c r="J1153" s="213" t="s">
        <v>5862</v>
      </c>
      <c r="K1153" s="222" t="s">
        <v>9646</v>
      </c>
      <c r="L1153" s="213" t="str">
        <f t="shared" si="0"/>
        <v>purple tail to purple crossette(C type-open on midlle)</v>
      </c>
      <c r="M1153" s="213" t="s">
        <v>10302</v>
      </c>
      <c r="P1153" s="121"/>
    </row>
    <row r="1154" spans="1:16">
      <c r="A1154" s="213" t="s">
        <v>1874</v>
      </c>
      <c r="B1154" s="213" t="s">
        <v>1875</v>
      </c>
      <c r="C1154" s="221" t="s">
        <v>1875</v>
      </c>
      <c r="D1154" s="221" t="s">
        <v>1875</v>
      </c>
      <c r="E1154" s="221" t="s">
        <v>5863</v>
      </c>
      <c r="F1154" s="213" t="s">
        <v>5864</v>
      </c>
      <c r="G1154" s="213" t="s">
        <v>1875</v>
      </c>
      <c r="H1154" s="221" t="s">
        <v>5865</v>
      </c>
      <c r="I1154" s="213" t="s">
        <v>5866</v>
      </c>
      <c r="J1154" s="213" t="s">
        <v>5867</v>
      </c>
      <c r="K1154" s="213" t="s">
        <v>9647</v>
      </c>
      <c r="L1154" s="213" t="str">
        <f t="shared" si="0"/>
        <v>blue tail up to flower crown</v>
      </c>
      <c r="M1154" s="213" t="s">
        <v>10303</v>
      </c>
      <c r="P1154" s="121"/>
    </row>
    <row r="1155" spans="1:16">
      <c r="A1155" s="213" t="s">
        <v>1876</v>
      </c>
      <c r="B1155" s="213" t="s">
        <v>1878</v>
      </c>
      <c r="C1155" s="221" t="s">
        <v>1877</v>
      </c>
      <c r="D1155" s="221" t="s">
        <v>1878</v>
      </c>
      <c r="E1155" s="221" t="s">
        <v>5868</v>
      </c>
      <c r="F1155" s="213" t="s">
        <v>5869</v>
      </c>
      <c r="G1155" s="213" t="s">
        <v>1877</v>
      </c>
      <c r="H1155" s="221" t="s">
        <v>5870</v>
      </c>
      <c r="I1155" s="213" t="s">
        <v>5871</v>
      </c>
      <c r="J1155" s="213" t="s">
        <v>5872</v>
      </c>
      <c r="K1155" s="213" t="s">
        <v>9648</v>
      </c>
      <c r="L1155" s="213" t="str">
        <f t="shared" si="0"/>
        <v>cracking chry + blue mine tail up to gold comet</v>
      </c>
      <c r="M1155" s="213" t="s">
        <v>10304</v>
      </c>
      <c r="P1155" s="121"/>
    </row>
    <row r="1156" spans="1:16">
      <c r="A1156" s="213" t="s">
        <v>1879</v>
      </c>
      <c r="B1156" s="213" t="s">
        <v>1880</v>
      </c>
      <c r="C1156" s="221" t="s">
        <v>1880</v>
      </c>
      <c r="D1156" s="221" t="s">
        <v>1880</v>
      </c>
      <c r="E1156" s="221" t="s">
        <v>5873</v>
      </c>
      <c r="F1156" s="213" t="s">
        <v>5874</v>
      </c>
      <c r="G1156" s="213" t="s">
        <v>1880</v>
      </c>
      <c r="H1156" s="221" t="s">
        <v>5875</v>
      </c>
      <c r="I1156" s="213" t="s">
        <v>5876</v>
      </c>
      <c r="J1156" s="213" t="s">
        <v>5877</v>
      </c>
      <c r="K1156" s="222" t="s">
        <v>9649</v>
      </c>
      <c r="L1156" s="213" t="str">
        <f t="shared" si="0"/>
        <v>silver tail up to red wave with cracker</v>
      </c>
      <c r="M1156" s="213" t="s">
        <v>10305</v>
      </c>
      <c r="P1156" s="121"/>
    </row>
    <row r="1157" spans="1:16">
      <c r="A1157" s="213" t="s">
        <v>1881</v>
      </c>
      <c r="B1157" s="213" t="s">
        <v>1882</v>
      </c>
      <c r="C1157" s="221" t="s">
        <v>1882</v>
      </c>
      <c r="D1157" s="221" t="s">
        <v>1882</v>
      </c>
      <c r="E1157" s="221" t="s">
        <v>5878</v>
      </c>
      <c r="F1157" s="213" t="s">
        <v>5879</v>
      </c>
      <c r="G1157" s="213" t="s">
        <v>1882</v>
      </c>
      <c r="H1157" s="221" t="s">
        <v>5880</v>
      </c>
      <c r="I1157" s="213" t="s">
        <v>5881</v>
      </c>
      <c r="J1157" s="213" t="s">
        <v>5882</v>
      </c>
      <c r="K1157" s="213" t="s">
        <v>9650</v>
      </c>
      <c r="L1157" s="213" t="str">
        <f t="shared" si="0"/>
        <v>crackling chry. mine tail up to brocade crown +glitter star</v>
      </c>
      <c r="M1157" s="213" t="s">
        <v>10306</v>
      </c>
      <c r="P1157" s="121"/>
    </row>
    <row r="1158" spans="1:16">
      <c r="A1158" s="213" t="s">
        <v>1883</v>
      </c>
      <c r="B1158" s="213" t="s">
        <v>1884</v>
      </c>
      <c r="C1158" s="221" t="s">
        <v>1884</v>
      </c>
      <c r="D1158" s="221" t="s">
        <v>1884</v>
      </c>
      <c r="E1158" s="221" t="s">
        <v>5883</v>
      </c>
      <c r="F1158" s="213" t="s">
        <v>5884</v>
      </c>
      <c r="G1158" s="213" t="s">
        <v>1884</v>
      </c>
      <c r="H1158" s="221" t="s">
        <v>5885</v>
      </c>
      <c r="I1158" s="213" t="s">
        <v>5886</v>
      </c>
      <c r="J1158" s="213" t="s">
        <v>5887</v>
      </c>
      <c r="K1158" s="213" t="s">
        <v>9651</v>
      </c>
      <c r="L1158" s="213" t="str">
        <f t="shared" si="0"/>
        <v>blue+red glitter mine up to chrysanthemum</v>
      </c>
      <c r="M1158" s="213" t="s">
        <v>10307</v>
      </c>
      <c r="P1158" s="121"/>
    </row>
    <row r="1159" spans="1:16">
      <c r="A1159" s="213" t="s">
        <v>1885</v>
      </c>
      <c r="B1159" s="213" t="s">
        <v>1886</v>
      </c>
      <c r="C1159" s="221" t="s">
        <v>1886</v>
      </c>
      <c r="D1159" s="221" t="s">
        <v>1886</v>
      </c>
      <c r="E1159" s="221" t="s">
        <v>5888</v>
      </c>
      <c r="F1159" s="213" t="s">
        <v>5889</v>
      </c>
      <c r="G1159" s="213" t="s">
        <v>1886</v>
      </c>
      <c r="H1159" s="221" t="s">
        <v>5890</v>
      </c>
      <c r="I1159" s="213" t="s">
        <v>5891</v>
      </c>
      <c r="J1159" s="213" t="s">
        <v>5892</v>
      </c>
      <c r="K1159" s="213" t="s">
        <v>9652</v>
      </c>
      <c r="L1159" s="213" t="str">
        <f t="shared" si="0"/>
        <v>brocade crown king, green, purple</v>
      </c>
      <c r="M1159" s="213" t="s">
        <v>10308</v>
      </c>
      <c r="P1159" s="121"/>
    </row>
    <row r="1160" spans="1:16">
      <c r="A1160" s="213" t="s">
        <v>1887</v>
      </c>
      <c r="B1160" s="213" t="s">
        <v>1888</v>
      </c>
      <c r="C1160" s="221" t="s">
        <v>1888</v>
      </c>
      <c r="D1160" s="221" t="s">
        <v>1888</v>
      </c>
      <c r="E1160" s="221" t="s">
        <v>5893</v>
      </c>
      <c r="F1160" s="213" t="s">
        <v>5894</v>
      </c>
      <c r="G1160" s="213" t="s">
        <v>1888</v>
      </c>
      <c r="H1160" s="221" t="s">
        <v>5895</v>
      </c>
      <c r="I1160" s="213" t="s">
        <v>5896</v>
      </c>
      <c r="J1160" s="213" t="s">
        <v>5897</v>
      </c>
      <c r="K1160" s="213" t="s">
        <v>9653</v>
      </c>
      <c r="L1160" s="213" t="str">
        <f t="shared" si="0"/>
        <v>blue tail up to eject horse tail</v>
      </c>
      <c r="M1160" s="213" t="s">
        <v>10309</v>
      </c>
      <c r="P1160" s="121"/>
    </row>
    <row r="1161" spans="1:16">
      <c r="A1161" s="213" t="s">
        <v>1889</v>
      </c>
      <c r="B1161" s="213" t="s">
        <v>1890</v>
      </c>
      <c r="C1161" s="221" t="s">
        <v>1890</v>
      </c>
      <c r="D1161" s="221" t="s">
        <v>1890</v>
      </c>
      <c r="E1161" s="221" t="s">
        <v>5898</v>
      </c>
      <c r="F1161" s="213" t="s">
        <v>5899</v>
      </c>
      <c r="G1161" s="213" t="s">
        <v>1890</v>
      </c>
      <c r="H1161" s="221" t="s">
        <v>5900</v>
      </c>
      <c r="I1161" s="213" t="s">
        <v>5901</v>
      </c>
      <c r="J1161" s="213" t="s">
        <v>5902</v>
      </c>
      <c r="K1161" s="213" t="s">
        <v>9654</v>
      </c>
      <c r="L1161" s="213" t="str">
        <f t="shared" si="0"/>
        <v>silver glitter bouquet up to eject silver glitter</v>
      </c>
      <c r="M1161" s="213" t="s">
        <v>10310</v>
      </c>
      <c r="P1161" s="121"/>
    </row>
    <row r="1162" spans="1:16">
      <c r="A1162" s="213" t="s">
        <v>1891</v>
      </c>
      <c r="B1162" s="213" t="s">
        <v>1893</v>
      </c>
      <c r="C1162" s="221" t="s">
        <v>1892</v>
      </c>
      <c r="D1162" s="221" t="s">
        <v>1893</v>
      </c>
      <c r="E1162" s="221" t="s">
        <v>5903</v>
      </c>
      <c r="F1162" s="213" t="s">
        <v>5904</v>
      </c>
      <c r="G1162" s="213" t="s">
        <v>1892</v>
      </c>
      <c r="H1162" s="221" t="s">
        <v>5905</v>
      </c>
      <c r="I1162" s="213" t="s">
        <v>5906</v>
      </c>
      <c r="J1162" s="213" t="s">
        <v>5907</v>
      </c>
      <c r="K1162" s="222" t="s">
        <v>9655</v>
      </c>
      <c r="L1162" s="213" t="str">
        <f t="shared" si="0"/>
        <v xml:space="preserve">crackling willow + peach red </v>
      </c>
      <c r="M1162" s="213" t="s">
        <v>10311</v>
      </c>
      <c r="P1162" s="121"/>
    </row>
    <row r="1163" spans="1:16">
      <c r="A1163" s="213" t="s">
        <v>1894</v>
      </c>
      <c r="B1163" s="213" t="s">
        <v>1895</v>
      </c>
      <c r="C1163" s="221" t="s">
        <v>1895</v>
      </c>
      <c r="D1163" s="221" t="s">
        <v>1895</v>
      </c>
      <c r="E1163" s="221" t="s">
        <v>5908</v>
      </c>
      <c r="F1163" s="213" t="s">
        <v>5909</v>
      </c>
      <c r="G1163" s="213" t="s">
        <v>1895</v>
      </c>
      <c r="H1163" s="221" t="s">
        <v>5910</v>
      </c>
      <c r="I1163" s="213" t="s">
        <v>5911</v>
      </c>
      <c r="J1163" s="213" t="s">
        <v>5912</v>
      </c>
      <c r="K1163" s="213" t="s">
        <v>9656</v>
      </c>
      <c r="L1163" s="213" t="str">
        <f t="shared" si="0"/>
        <v xml:space="preserve">red tip crackling willow </v>
      </c>
      <c r="M1163" s="213" t="s">
        <v>10312</v>
      </c>
      <c r="P1163" s="121"/>
    </row>
    <row r="1164" spans="1:16">
      <c r="A1164" s="213" t="s">
        <v>1896</v>
      </c>
      <c r="B1164" s="213" t="s">
        <v>1898</v>
      </c>
      <c r="C1164" s="221" t="s">
        <v>1897</v>
      </c>
      <c r="D1164" s="221" t="s">
        <v>1898</v>
      </c>
      <c r="E1164" s="221" t="s">
        <v>5913</v>
      </c>
      <c r="F1164" s="213" t="s">
        <v>5914</v>
      </c>
      <c r="G1164" s="213" t="s">
        <v>1897</v>
      </c>
      <c r="H1164" s="221" t="s">
        <v>5915</v>
      </c>
      <c r="I1164" s="213" t="s">
        <v>5916</v>
      </c>
      <c r="J1164" s="213" t="s">
        <v>5917</v>
      </c>
      <c r="K1164" s="213" t="s">
        <v>9657</v>
      </c>
      <c r="L1164" s="213" t="str">
        <f t="shared" si="0"/>
        <v xml:space="preserve">titanium gold coconut + green strobe </v>
      </c>
      <c r="M1164" s="213" t="s">
        <v>10313</v>
      </c>
      <c r="P1164" s="121"/>
    </row>
    <row r="1165" spans="1:16">
      <c r="A1165" s="213" t="s">
        <v>1899</v>
      </c>
      <c r="B1165" s="213" t="s">
        <v>1901</v>
      </c>
      <c r="C1165" s="221" t="s">
        <v>1900</v>
      </c>
      <c r="D1165" s="221" t="s">
        <v>1901</v>
      </c>
      <c r="E1165" s="221" t="s">
        <v>5918</v>
      </c>
      <c r="F1165" s="213" t="s">
        <v>5919</v>
      </c>
      <c r="G1165" s="213" t="s">
        <v>1900</v>
      </c>
      <c r="H1165" s="221" t="s">
        <v>5920</v>
      </c>
      <c r="I1165" s="213" t="s">
        <v>5921</v>
      </c>
      <c r="J1165" s="213" t="s">
        <v>5922</v>
      </c>
      <c r="K1165" s="213" t="s">
        <v>9658</v>
      </c>
      <c r="L1165" s="213" t="str">
        <f t="shared" si="0"/>
        <v xml:space="preserve">red crackling coconut + white strobe </v>
      </c>
      <c r="M1165" s="213" t="s">
        <v>10314</v>
      </c>
      <c r="P1165" s="121"/>
    </row>
    <row r="1166" spans="1:16">
      <c r="A1166" s="213" t="s">
        <v>1902</v>
      </c>
      <c r="B1166" s="213" t="s">
        <v>1903</v>
      </c>
      <c r="C1166" s="221" t="s">
        <v>1903</v>
      </c>
      <c r="D1166" s="221" t="s">
        <v>1903</v>
      </c>
      <c r="E1166" s="221" t="s">
        <v>5923</v>
      </c>
      <c r="F1166" s="213" t="s">
        <v>5924</v>
      </c>
      <c r="G1166" s="213" t="s">
        <v>1903</v>
      </c>
      <c r="H1166" s="221" t="s">
        <v>5925</v>
      </c>
      <c r="I1166" s="213" t="s">
        <v>5926</v>
      </c>
      <c r="J1166" s="213" t="s">
        <v>5927</v>
      </c>
      <c r="K1166" s="213" t="s">
        <v>9659</v>
      </c>
      <c r="L1166" s="213" t="str">
        <f t="shared" si="0"/>
        <v>brocade crackling flower+blue pearl</v>
      </c>
      <c r="M1166" s="213" t="s">
        <v>10315</v>
      </c>
      <c r="P1166" s="121"/>
    </row>
    <row r="1167" spans="1:16">
      <c r="A1167" s="213" t="s">
        <v>1904</v>
      </c>
      <c r="B1167" s="213" t="s">
        <v>1906</v>
      </c>
      <c r="C1167" s="221" t="s">
        <v>1905</v>
      </c>
      <c r="D1167" s="221" t="s">
        <v>1906</v>
      </c>
      <c r="E1167" s="221" t="s">
        <v>5928</v>
      </c>
      <c r="F1167" s="213" t="s">
        <v>5929</v>
      </c>
      <c r="G1167" s="213" t="s">
        <v>1905</v>
      </c>
      <c r="H1167" s="221" t="s">
        <v>5930</v>
      </c>
      <c r="I1167" s="213" t="s">
        <v>5931</v>
      </c>
      <c r="J1167" s="213" t="s">
        <v>5932</v>
      </c>
      <c r="K1167" s="213" t="s">
        <v>9660</v>
      </c>
      <c r="L1167" s="213" t="str">
        <f t="shared" si="0"/>
        <v>purple lemon dahlia + silver chrysanthemum</v>
      </c>
      <c r="M1167" s="213" t="s">
        <v>10316</v>
      </c>
      <c r="P1167" s="121"/>
    </row>
    <row r="1168" spans="1:16">
      <c r="A1168" s="213" t="s">
        <v>1907</v>
      </c>
      <c r="B1168" s="213" t="s">
        <v>1909</v>
      </c>
      <c r="C1168" s="221" t="s">
        <v>1908</v>
      </c>
      <c r="D1168" s="221" t="s">
        <v>1909</v>
      </c>
      <c r="E1168" s="221" t="s">
        <v>5933</v>
      </c>
      <c r="F1168" s="213" t="s">
        <v>5934</v>
      </c>
      <c r="G1168" s="213" t="s">
        <v>1908</v>
      </c>
      <c r="H1168" s="221" t="s">
        <v>5935</v>
      </c>
      <c r="I1168" s="213" t="s">
        <v>5936</v>
      </c>
      <c r="J1168" s="213" t="s">
        <v>5937</v>
      </c>
      <c r="K1168" s="222" t="s">
        <v>9661</v>
      </c>
      <c r="L1168" s="213" t="str">
        <f t="shared" si="0"/>
        <v>green glittering willow + green strobe</v>
      </c>
      <c r="M1168" s="213" t="s">
        <v>10317</v>
      </c>
      <c r="P1168" s="121"/>
    </row>
    <row r="1169" spans="1:16">
      <c r="A1169" s="213" t="s">
        <v>1910</v>
      </c>
      <c r="B1169" s="213" t="s">
        <v>1911</v>
      </c>
      <c r="C1169" s="221" t="s">
        <v>1911</v>
      </c>
      <c r="D1169" s="221" t="s">
        <v>1911</v>
      </c>
      <c r="E1169" s="221" t="s">
        <v>5938</v>
      </c>
      <c r="F1169" s="213" t="s">
        <v>5939</v>
      </c>
      <c r="G1169" s="213" t="s">
        <v>1911</v>
      </c>
      <c r="H1169" s="221" t="s">
        <v>5940</v>
      </c>
      <c r="I1169" s="213" t="s">
        <v>5941</v>
      </c>
      <c r="J1169" s="213" t="s">
        <v>5942</v>
      </c>
      <c r="K1169" s="222" t="s">
        <v>9662</v>
      </c>
      <c r="L1169" s="213" t="str">
        <f t="shared" si="0"/>
        <v>white strobe mine to red strobe</v>
      </c>
      <c r="M1169" s="213" t="s">
        <v>10318</v>
      </c>
      <c r="P1169" s="121"/>
    </row>
    <row r="1170" spans="1:16">
      <c r="A1170" s="213" t="s">
        <v>1912</v>
      </c>
      <c r="B1170" s="213" t="s">
        <v>1914</v>
      </c>
      <c r="C1170" s="221" t="s">
        <v>1913</v>
      </c>
      <c r="D1170" s="221" t="s">
        <v>1914</v>
      </c>
      <c r="E1170" s="221" t="s">
        <v>5943</v>
      </c>
      <c r="F1170" s="213" t="s">
        <v>5944</v>
      </c>
      <c r="G1170" s="213" t="s">
        <v>1913</v>
      </c>
      <c r="H1170" s="221" t="s">
        <v>5945</v>
      </c>
      <c r="I1170" s="213" t="s">
        <v>5946</v>
      </c>
      <c r="J1170" s="213" t="s">
        <v>5947</v>
      </c>
      <c r="K1170" s="222" t="s">
        <v>9560</v>
      </c>
      <c r="L1170" s="213" t="str">
        <f t="shared" si="0"/>
        <v xml:space="preserve">king brocade pistil + purple </v>
      </c>
      <c r="M1170" s="213" t="s">
        <v>10319</v>
      </c>
      <c r="P1170" s="121"/>
    </row>
    <row r="1171" spans="1:16">
      <c r="A1171" s="213" t="s">
        <v>1915</v>
      </c>
      <c r="B1171" s="213" t="s">
        <v>1916</v>
      </c>
      <c r="C1171" s="221" t="s">
        <v>1916</v>
      </c>
      <c r="D1171" s="221" t="s">
        <v>1916</v>
      </c>
      <c r="E1171" s="221" t="s">
        <v>5948</v>
      </c>
      <c r="F1171" s="213" t="s">
        <v>5949</v>
      </c>
      <c r="G1171" s="213" t="s">
        <v>1916</v>
      </c>
      <c r="H1171" s="221" t="s">
        <v>5950</v>
      </c>
      <c r="I1171" s="213" t="s">
        <v>5951</v>
      </c>
      <c r="J1171" s="213" t="s">
        <v>5952</v>
      </c>
      <c r="K1171" s="222" t="s">
        <v>9663</v>
      </c>
      <c r="L1171" s="213" t="str">
        <f t="shared" si="0"/>
        <v xml:space="preserve">pink+time rain </v>
      </c>
      <c r="M1171" s="213" t="s">
        <v>10320</v>
      </c>
      <c r="P1171" s="121"/>
    </row>
    <row r="1172" spans="1:16">
      <c r="A1172" s="213" t="s">
        <v>1917</v>
      </c>
      <c r="B1172" s="213" t="s">
        <v>1919</v>
      </c>
      <c r="C1172" s="221" t="s">
        <v>1918</v>
      </c>
      <c r="D1172" s="221" t="s">
        <v>1919</v>
      </c>
      <c r="E1172" s="221" t="s">
        <v>5953</v>
      </c>
      <c r="F1172" s="213" t="s">
        <v>5954</v>
      </c>
      <c r="G1172" s="213" t="s">
        <v>1918</v>
      </c>
      <c r="H1172" s="221" t="s">
        <v>5955</v>
      </c>
      <c r="I1172" s="213" t="s">
        <v>5956</v>
      </c>
      <c r="J1172" s="213" t="s">
        <v>5957</v>
      </c>
      <c r="K1172" s="213" t="s">
        <v>9664</v>
      </c>
      <c r="L1172" s="213" t="str">
        <f t="shared" ref="L1172:L1180" si="1">C1172</f>
        <v xml:space="preserve">red green blue + time rain </v>
      </c>
      <c r="M1172" s="213" t="s">
        <v>10321</v>
      </c>
      <c r="P1172" s="121"/>
    </row>
    <row r="1173" spans="1:16">
      <c r="A1173" s="213" t="s">
        <v>1920</v>
      </c>
      <c r="B1173" s="213" t="s">
        <v>1922</v>
      </c>
      <c r="C1173" s="221" t="s">
        <v>1921</v>
      </c>
      <c r="D1173" s="221" t="s">
        <v>1922</v>
      </c>
      <c r="E1173" s="221" t="s">
        <v>5958</v>
      </c>
      <c r="F1173" s="213" t="s">
        <v>5959</v>
      </c>
      <c r="G1173" s="213" t="s">
        <v>1921</v>
      </c>
      <c r="H1173" s="221" t="s">
        <v>5960</v>
      </c>
      <c r="I1173" s="213" t="s">
        <v>5961</v>
      </c>
      <c r="J1173" s="213" t="s">
        <v>5962</v>
      </c>
      <c r="K1173" s="222" t="s">
        <v>9665</v>
      </c>
      <c r="L1173" s="213" t="str">
        <f t="shared" si="1"/>
        <v>red coconut + green + silver chrysanthemum</v>
      </c>
      <c r="M1173" s="213" t="s">
        <v>10322</v>
      </c>
      <c r="P1173" s="121"/>
    </row>
    <row r="1174" spans="1:16">
      <c r="A1174" s="213" t="s">
        <v>1923</v>
      </c>
      <c r="B1174" s="213" t="s">
        <v>1924</v>
      </c>
      <c r="C1174" s="221" t="s">
        <v>1924</v>
      </c>
      <c r="D1174" s="221" t="s">
        <v>1924</v>
      </c>
      <c r="E1174" s="221" t="s">
        <v>5963</v>
      </c>
      <c r="F1174" s="213" t="s">
        <v>5964</v>
      </c>
      <c r="G1174" s="213" t="s">
        <v>1924</v>
      </c>
      <c r="H1174" s="221" t="s">
        <v>5965</v>
      </c>
      <c r="I1174" s="213" t="s">
        <v>5966</v>
      </c>
      <c r="J1174" s="213" t="s">
        <v>5967</v>
      </c>
      <c r="K1174" s="222" t="s">
        <v>9666</v>
      </c>
      <c r="L1174" s="213" t="str">
        <f t="shared" si="1"/>
        <v>king brocade + orange pearl</v>
      </c>
      <c r="M1174" s="213" t="s">
        <v>10323</v>
      </c>
      <c r="P1174" s="121"/>
    </row>
    <row r="1175" spans="1:16">
      <c r="A1175" s="213" t="s">
        <v>1925</v>
      </c>
      <c r="B1175" s="213" t="s">
        <v>1926</v>
      </c>
      <c r="C1175" s="221" t="s">
        <v>1926</v>
      </c>
      <c r="D1175" s="221" t="s">
        <v>1926</v>
      </c>
      <c r="E1175" s="221" t="s">
        <v>5968</v>
      </c>
      <c r="F1175" s="213" t="s">
        <v>5969</v>
      </c>
      <c r="G1175" s="213" t="s">
        <v>1926</v>
      </c>
      <c r="H1175" s="221" t="s">
        <v>5970</v>
      </c>
      <c r="I1175" s="213" t="s">
        <v>5971</v>
      </c>
      <c r="J1175" s="213" t="s">
        <v>5972</v>
      </c>
      <c r="K1175" s="222" t="s">
        <v>9667</v>
      </c>
      <c r="L1175" s="213" t="str">
        <f t="shared" si="1"/>
        <v xml:space="preserve">sunflower w/red blue, red strobing tail </v>
      </c>
      <c r="M1175" s="213" t="s">
        <v>10324</v>
      </c>
      <c r="P1175" s="121"/>
    </row>
    <row r="1176" spans="1:16">
      <c r="A1176" s="213" t="s">
        <v>1927</v>
      </c>
      <c r="B1176" s="213" t="s">
        <v>1928</v>
      </c>
      <c r="C1176" s="221" t="s">
        <v>1928</v>
      </c>
      <c r="D1176" s="221" t="s">
        <v>1928</v>
      </c>
      <c r="E1176" s="221" t="s">
        <v>5973</v>
      </c>
      <c r="F1176" s="213" t="s">
        <v>5974</v>
      </c>
      <c r="G1176" s="213" t="s">
        <v>1928</v>
      </c>
      <c r="H1176" s="221" t="s">
        <v>5975</v>
      </c>
      <c r="I1176" s="213" t="s">
        <v>5976</v>
      </c>
      <c r="J1176" s="213" t="s">
        <v>5977</v>
      </c>
      <c r="K1176" s="222" t="s">
        <v>9668</v>
      </c>
      <c r="L1176" s="213" t="str">
        <f t="shared" si="1"/>
        <v>blue mine tail up to red comet star</v>
      </c>
      <c r="M1176" s="213" t="s">
        <v>10325</v>
      </c>
      <c r="P1176" s="121"/>
    </row>
    <row r="1177" spans="1:16">
      <c r="A1177" s="213" t="s">
        <v>1929</v>
      </c>
      <c r="B1177" s="213" t="s">
        <v>1930</v>
      </c>
      <c r="C1177" s="221" t="s">
        <v>1930</v>
      </c>
      <c r="D1177" s="221" t="s">
        <v>1930</v>
      </c>
      <c r="E1177" s="221" t="s">
        <v>5978</v>
      </c>
      <c r="F1177" s="213" t="s">
        <v>5979</v>
      </c>
      <c r="G1177" s="213" t="s">
        <v>1930</v>
      </c>
      <c r="H1177" s="221" t="s">
        <v>5980</v>
      </c>
      <c r="I1177" s="213" t="s">
        <v>5981</v>
      </c>
      <c r="J1177" s="213" t="s">
        <v>5982</v>
      </c>
      <c r="K1177" s="222" t="s">
        <v>9669</v>
      </c>
      <c r="L1177" s="213" t="str">
        <f t="shared" si="1"/>
        <v>red comet rain</v>
      </c>
      <c r="M1177" s="213" t="s">
        <v>10326</v>
      </c>
      <c r="P1177" s="121"/>
    </row>
    <row r="1178" spans="1:16">
      <c r="A1178" s="213" t="s">
        <v>1931</v>
      </c>
      <c r="B1178" s="213" t="s">
        <v>1932</v>
      </c>
      <c r="C1178" s="221" t="s">
        <v>1932</v>
      </c>
      <c r="D1178" s="221" t="s">
        <v>1932</v>
      </c>
      <c r="E1178" s="221" t="s">
        <v>5983</v>
      </c>
      <c r="F1178" s="213" t="s">
        <v>5984</v>
      </c>
      <c r="G1178" s="213" t="s">
        <v>1932</v>
      </c>
      <c r="H1178" s="221" t="s">
        <v>5985</v>
      </c>
      <c r="I1178" s="213" t="s">
        <v>5986</v>
      </c>
      <c r="J1178" s="213" t="s">
        <v>5987</v>
      </c>
      <c r="K1178" s="213" t="s">
        <v>9670</v>
      </c>
      <c r="L1178" s="213" t="str">
        <f t="shared" si="1"/>
        <v>red,green,yellow,white,purple mine</v>
      </c>
      <c r="M1178" s="213" t="s">
        <v>10327</v>
      </c>
      <c r="P1178" s="121"/>
    </row>
    <row r="1179" spans="1:16">
      <c r="A1179" s="213" t="s">
        <v>1933</v>
      </c>
      <c r="B1179" s="213" t="s">
        <v>1934</v>
      </c>
      <c r="C1179" s="221" t="s">
        <v>1934</v>
      </c>
      <c r="D1179" s="221" t="s">
        <v>1934</v>
      </c>
      <c r="E1179" s="221" t="s">
        <v>5988</v>
      </c>
      <c r="F1179" s="213" t="s">
        <v>5989</v>
      </c>
      <c r="G1179" s="213" t="s">
        <v>1934</v>
      </c>
      <c r="H1179" s="221" t="s">
        <v>5990</v>
      </c>
      <c r="I1179" s="213" t="s">
        <v>5991</v>
      </c>
      <c r="J1179" s="213" t="s">
        <v>5992</v>
      </c>
      <c r="K1179" s="222" t="s">
        <v>9671</v>
      </c>
      <c r="L1179" s="213" t="str">
        <f t="shared" si="1"/>
        <v>gold glitter willow with blue bouquet</v>
      </c>
      <c r="M1179" s="213" t="s">
        <v>10328</v>
      </c>
      <c r="P1179" s="121"/>
    </row>
    <row r="1180" spans="1:16">
      <c r="A1180" s="213" t="s">
        <v>1935</v>
      </c>
      <c r="B1180" s="213" t="s">
        <v>1936</v>
      </c>
      <c r="C1180" s="221" t="s">
        <v>1936</v>
      </c>
      <c r="D1180" s="221" t="s">
        <v>1936</v>
      </c>
      <c r="E1180" s="221" t="s">
        <v>5993</v>
      </c>
      <c r="F1180" s="213" t="s">
        <v>5994</v>
      </c>
      <c r="G1180" s="213" t="s">
        <v>1936</v>
      </c>
      <c r="H1180" s="221" t="s">
        <v>5995</v>
      </c>
      <c r="I1180" s="213" t="s">
        <v>5996</v>
      </c>
      <c r="J1180" s="213" t="s">
        <v>5997</v>
      </c>
      <c r="K1180" s="222" t="s">
        <v>9672</v>
      </c>
      <c r="L1180" s="213" t="str">
        <f t="shared" si="1"/>
        <v>brocade crown bouquet tup to brocade crown king</v>
      </c>
      <c r="M1180" s="213" t="s">
        <v>10329</v>
      </c>
      <c r="P1180" s="121"/>
    </row>
    <row r="1181" spans="1:16">
      <c r="A1181" s="213" t="s">
        <v>1937</v>
      </c>
      <c r="B1181" s="213" t="s">
        <v>1938</v>
      </c>
      <c r="C1181" s="221" t="s">
        <v>1938</v>
      </c>
      <c r="D1181" s="221" t="s">
        <v>1938</v>
      </c>
      <c r="E1181" s="221" t="s">
        <v>5998</v>
      </c>
      <c r="F1181" s="213" t="s">
        <v>5999</v>
      </c>
      <c r="G1181" s="213" t="s">
        <v>1938</v>
      </c>
      <c r="H1181" s="221" t="s">
        <v>6000</v>
      </c>
      <c r="I1181" s="213" t="s">
        <v>6001</v>
      </c>
      <c r="J1181" s="213" t="s">
        <v>6002</v>
      </c>
      <c r="K1181" s="222" t="s">
        <v>9673</v>
      </c>
      <c r="L1181" s="213" t="s">
        <v>10889</v>
      </c>
      <c r="M1181" s="213" t="s">
        <v>10330</v>
      </c>
      <c r="P1181" s="121"/>
    </row>
    <row r="1182" spans="1:16">
      <c r="A1182" s="213" t="s">
        <v>1939</v>
      </c>
      <c r="B1182" s="213" t="s">
        <v>1940</v>
      </c>
      <c r="C1182" s="221" t="s">
        <v>1940</v>
      </c>
      <c r="D1182" s="221" t="s">
        <v>1940</v>
      </c>
      <c r="E1182" s="221" t="s">
        <v>6003</v>
      </c>
      <c r="F1182" s="213" t="s">
        <v>6004</v>
      </c>
      <c r="G1182" s="213" t="s">
        <v>1940</v>
      </c>
      <c r="H1182" s="221" t="s">
        <v>6005</v>
      </c>
      <c r="I1182" s="213" t="s">
        <v>6006</v>
      </c>
      <c r="J1182" s="213" t="s">
        <v>6007</v>
      </c>
      <c r="K1182" s="213" t="s">
        <v>9674</v>
      </c>
      <c r="L1182" s="213" t="str">
        <f t="shared" ref="L1182:L1190" si="2">C1182</f>
        <v>1-20sh crackling willow tail+red strobe mine, 21-50sh crackling willow+red strobe</v>
      </c>
      <c r="M1182" s="213" t="s">
        <v>10331</v>
      </c>
      <c r="P1182" s="121"/>
    </row>
    <row r="1183" spans="1:16">
      <c r="A1183" s="213" t="s">
        <v>1941</v>
      </c>
      <c r="B1183" s="213" t="s">
        <v>1942</v>
      </c>
      <c r="C1183" s="221" t="s">
        <v>1942</v>
      </c>
      <c r="D1183" s="221" t="s">
        <v>1942</v>
      </c>
      <c r="E1183" s="221" t="s">
        <v>6008</v>
      </c>
      <c r="F1183" s="213" t="s">
        <v>6009</v>
      </c>
      <c r="G1183" s="213" t="s">
        <v>1942</v>
      </c>
      <c r="H1183" s="221" t="s">
        <v>6010</v>
      </c>
      <c r="I1183" s="213" t="s">
        <v>6011</v>
      </c>
      <c r="J1183" s="213" t="s">
        <v>6012</v>
      </c>
      <c r="K1183" s="222" t="s">
        <v>9675</v>
      </c>
      <c r="L1183" s="213" t="str">
        <f t="shared" si="2"/>
        <v xml:space="preserve">blue pistil silver fish </v>
      </c>
      <c r="M1183" s="213" t="s">
        <v>10332</v>
      </c>
      <c r="P1183" s="121"/>
    </row>
    <row r="1184" spans="1:16">
      <c r="A1184" s="213" t="s">
        <v>1943</v>
      </c>
      <c r="B1184" s="213" t="s">
        <v>1944</v>
      </c>
      <c r="C1184" s="221" t="s">
        <v>1944</v>
      </c>
      <c r="D1184" s="221" t="s">
        <v>1944</v>
      </c>
      <c r="E1184" s="221" t="s">
        <v>6013</v>
      </c>
      <c r="F1184" s="213" t="s">
        <v>6014</v>
      </c>
      <c r="G1184" s="213" t="s">
        <v>1944</v>
      </c>
      <c r="H1184" s="221" t="s">
        <v>6015</v>
      </c>
      <c r="I1184" s="213" t="s">
        <v>6016</v>
      </c>
      <c r="J1184" s="213" t="s">
        <v>6017</v>
      </c>
      <c r="K1184" s="213" t="s">
        <v>9676</v>
      </c>
      <c r="L1184" s="213" t="str">
        <f t="shared" si="2"/>
        <v>green time rain</v>
      </c>
      <c r="M1184" s="213" t="s">
        <v>10333</v>
      </c>
      <c r="P1184" s="121"/>
    </row>
    <row r="1185" spans="1:16">
      <c r="A1185" s="213" t="s">
        <v>1945</v>
      </c>
      <c r="B1185" s="213" t="s">
        <v>1946</v>
      </c>
      <c r="C1185" s="221" t="s">
        <v>1946</v>
      </c>
      <c r="D1185" s="221" t="s">
        <v>1946</v>
      </c>
      <c r="E1185" s="221" t="s">
        <v>6018</v>
      </c>
      <c r="F1185" s="213" t="s">
        <v>6019</v>
      </c>
      <c r="G1185" s="213" t="s">
        <v>1946</v>
      </c>
      <c r="H1185" s="221" t="s">
        <v>6020</v>
      </c>
      <c r="I1185" s="213" t="s">
        <v>6021</v>
      </c>
      <c r="J1185" s="213" t="s">
        <v>6022</v>
      </c>
      <c r="K1185" s="213" t="s">
        <v>9677</v>
      </c>
      <c r="L1185" s="213" t="str">
        <f t="shared" si="2"/>
        <v>red coconut+crackling one side/ green coconut+crackling one side</v>
      </c>
      <c r="M1185" s="213" t="s">
        <v>10334</v>
      </c>
      <c r="P1185" s="121"/>
    </row>
    <row r="1186" spans="1:16">
      <c r="A1186" s="213" t="s">
        <v>1947</v>
      </c>
      <c r="B1186" s="213" t="s">
        <v>1948</v>
      </c>
      <c r="C1186" s="221" t="s">
        <v>1948</v>
      </c>
      <c r="D1186" s="221" t="s">
        <v>1948</v>
      </c>
      <c r="E1186" s="221" t="s">
        <v>6023</v>
      </c>
      <c r="F1186" s="213" t="s">
        <v>6024</v>
      </c>
      <c r="G1186" s="213" t="s">
        <v>1948</v>
      </c>
      <c r="H1186" s="221" t="s">
        <v>6025</v>
      </c>
      <c r="I1186" s="213" t="s">
        <v>6026</v>
      </c>
      <c r="J1186" s="213" t="s">
        <v>6027</v>
      </c>
      <c r="K1186" s="213" t="s">
        <v>9678</v>
      </c>
      <c r="L1186" s="213" t="str">
        <f t="shared" si="2"/>
        <v xml:space="preserve">red wave tail </v>
      </c>
      <c r="M1186" s="213" t="s">
        <v>10335</v>
      </c>
      <c r="P1186" s="121"/>
    </row>
    <row r="1187" spans="1:16">
      <c r="A1187" s="213" t="s">
        <v>1949</v>
      </c>
      <c r="B1187" s="213" t="s">
        <v>1951</v>
      </c>
      <c r="C1187" s="221" t="s">
        <v>1950</v>
      </c>
      <c r="D1187" s="221" t="s">
        <v>1951</v>
      </c>
      <c r="E1187" s="221" t="s">
        <v>6028</v>
      </c>
      <c r="F1187" s="213" t="s">
        <v>6029</v>
      </c>
      <c r="G1187" s="213" t="s">
        <v>1950</v>
      </c>
      <c r="H1187" s="221" t="s">
        <v>6030</v>
      </c>
      <c r="I1187" s="213" t="s">
        <v>6031</v>
      </c>
      <c r="J1187" s="213" t="s">
        <v>6032</v>
      </c>
      <c r="K1187" s="213" t="s">
        <v>9679</v>
      </c>
      <c r="L1187" s="213" t="str">
        <f t="shared" si="2"/>
        <v>lemon tail+lemon coconut+silver chrysanthemum</v>
      </c>
      <c r="M1187" s="213" t="s">
        <v>10336</v>
      </c>
      <c r="P1187" s="121"/>
    </row>
    <row r="1188" spans="1:16">
      <c r="A1188" s="213" t="s">
        <v>1952</v>
      </c>
      <c r="B1188" s="213" t="s">
        <v>1888</v>
      </c>
      <c r="C1188" s="221" t="s">
        <v>1888</v>
      </c>
      <c r="D1188" s="221" t="s">
        <v>1888</v>
      </c>
      <c r="E1188" s="221" t="s">
        <v>6033</v>
      </c>
      <c r="F1188" s="213" t="s">
        <v>6034</v>
      </c>
      <c r="G1188" s="213" t="s">
        <v>1888</v>
      </c>
      <c r="H1188" s="221" t="s">
        <v>5895</v>
      </c>
      <c r="I1188" s="213" t="s">
        <v>5896</v>
      </c>
      <c r="J1188" s="213" t="s">
        <v>6035</v>
      </c>
      <c r="K1188" s="213" t="s">
        <v>9680</v>
      </c>
      <c r="L1188" s="213" t="str">
        <f t="shared" si="2"/>
        <v>blue tail up to eject horse tail</v>
      </c>
      <c r="M1188" s="213" t="s">
        <v>10337</v>
      </c>
      <c r="P1188" s="121"/>
    </row>
    <row r="1189" spans="1:16">
      <c r="A1189" s="213" t="s">
        <v>1953</v>
      </c>
      <c r="B1189" s="213" t="s">
        <v>1954</v>
      </c>
      <c r="C1189" s="221" t="s">
        <v>1954</v>
      </c>
      <c r="D1189" s="221" t="s">
        <v>1954</v>
      </c>
      <c r="E1189" s="221" t="s">
        <v>6036</v>
      </c>
      <c r="F1189" s="213" t="s">
        <v>6037</v>
      </c>
      <c r="G1189" s="213" t="s">
        <v>1954</v>
      </c>
      <c r="H1189" s="221" t="s">
        <v>6038</v>
      </c>
      <c r="I1189" s="213" t="s">
        <v>6039</v>
      </c>
      <c r="J1189" s="213" t="s">
        <v>6040</v>
      </c>
      <c r="K1189" s="222" t="s">
        <v>9681</v>
      </c>
      <c r="L1189" s="213" t="str">
        <f t="shared" si="2"/>
        <v>two sides:silver tail up to flower crown with green glitter,middle:red tail up to red plam tree with cracker</v>
      </c>
      <c r="M1189" s="213" t="s">
        <v>10338</v>
      </c>
      <c r="P1189" s="121"/>
    </row>
    <row r="1190" spans="1:16">
      <c r="A1190" s="213" t="s">
        <v>1955</v>
      </c>
      <c r="B1190" s="213" t="s">
        <v>1956</v>
      </c>
      <c r="C1190" s="221" t="s">
        <v>1956</v>
      </c>
      <c r="D1190" s="221" t="s">
        <v>1956</v>
      </c>
      <c r="E1190" s="221" t="s">
        <v>6041</v>
      </c>
      <c r="F1190" s="213" t="s">
        <v>6042</v>
      </c>
      <c r="G1190" s="213" t="s">
        <v>1956</v>
      </c>
      <c r="H1190" s="221" t="s">
        <v>6043</v>
      </c>
      <c r="I1190" s="213" t="s">
        <v>6044</v>
      </c>
      <c r="J1190" s="213" t="s">
        <v>6045</v>
      </c>
      <c r="K1190" s="222" t="s">
        <v>9682</v>
      </c>
      <c r="L1190" s="213" t="str">
        <f t="shared" si="2"/>
        <v xml:space="preserve">blue tail to blue stars white strobing, red stars white strobing </v>
      </c>
      <c r="M1190" s="213" t="s">
        <v>10339</v>
      </c>
      <c r="P1190" s="121"/>
    </row>
    <row r="1191" spans="1:16">
      <c r="A1191" s="213" t="s">
        <v>1957</v>
      </c>
      <c r="B1191" s="213" t="s">
        <v>1958</v>
      </c>
      <c r="C1191" s="221" t="s">
        <v>1958</v>
      </c>
      <c r="D1191" s="221" t="s">
        <v>1958</v>
      </c>
      <c r="E1191" s="221" t="s">
        <v>6046</v>
      </c>
      <c r="F1191" s="213" t="s">
        <v>6047</v>
      </c>
      <c r="G1191" s="213" t="s">
        <v>1958</v>
      </c>
      <c r="H1191" s="221" t="s">
        <v>6048</v>
      </c>
      <c r="I1191" s="213" t="s">
        <v>6049</v>
      </c>
      <c r="J1191" s="213" t="s">
        <v>6050</v>
      </c>
      <c r="K1191" s="222" t="s">
        <v>9683</v>
      </c>
      <c r="L1191" s="213" t="s">
        <v>10890</v>
      </c>
      <c r="M1191" s="213" t="s">
        <v>10340</v>
      </c>
      <c r="P1191" s="121"/>
    </row>
    <row r="1192" spans="1:16">
      <c r="A1192" s="213" t="s">
        <v>1960</v>
      </c>
      <c r="B1192" s="213" t="s">
        <v>1961</v>
      </c>
      <c r="C1192" s="221" t="s">
        <v>1961</v>
      </c>
      <c r="D1192" s="221" t="s">
        <v>1961</v>
      </c>
      <c r="E1192" s="221" t="s">
        <v>6051</v>
      </c>
      <c r="F1192" s="213" t="s">
        <v>6052</v>
      </c>
      <c r="G1192" s="213" t="s">
        <v>1961</v>
      </c>
      <c r="H1192" s="221" t="s">
        <v>6053</v>
      </c>
      <c r="I1192" s="213" t="s">
        <v>6054</v>
      </c>
      <c r="J1192" s="213" t="s">
        <v>6055</v>
      </c>
      <c r="K1192" s="213" t="s">
        <v>9684</v>
      </c>
      <c r="L1192" s="213" t="str">
        <f t="shared" ref="L1192:L1255" si="3">C1192</f>
        <v>golden tail to golden crossette-8sh salvo together</v>
      </c>
      <c r="M1192" s="213" t="s">
        <v>10341</v>
      </c>
      <c r="P1192" s="121"/>
    </row>
    <row r="1193" spans="1:16">
      <c r="A1193" s="213" t="s">
        <v>1962</v>
      </c>
      <c r="B1193" s="213" t="s">
        <v>1963</v>
      </c>
      <c r="C1193" s="221" t="s">
        <v>1963</v>
      </c>
      <c r="D1193" s="221" t="s">
        <v>1963</v>
      </c>
      <c r="E1193" s="221" t="s">
        <v>6056</v>
      </c>
      <c r="F1193" s="213" t="s">
        <v>6057</v>
      </c>
      <c r="G1193" s="213" t="s">
        <v>1963</v>
      </c>
      <c r="H1193" s="221" t="s">
        <v>6058</v>
      </c>
      <c r="I1193" s="213" t="s">
        <v>6059</v>
      </c>
      <c r="J1193" s="213" t="s">
        <v>6060</v>
      </c>
      <c r="K1193" s="213" t="s">
        <v>9685</v>
      </c>
      <c r="L1193" s="213" t="str">
        <f t="shared" si="3"/>
        <v>brocade crown mine-13sh salvo together</v>
      </c>
      <c r="M1193" s="213" t="s">
        <v>10342</v>
      </c>
      <c r="P1193" s="121"/>
    </row>
    <row r="1194" spans="1:16">
      <c r="A1194" s="213" t="s">
        <v>1964</v>
      </c>
      <c r="B1194" s="213" t="s">
        <v>1965</v>
      </c>
      <c r="C1194" s="221" t="s">
        <v>1965</v>
      </c>
      <c r="D1194" s="221" t="s">
        <v>1965</v>
      </c>
      <c r="E1194" s="221" t="s">
        <v>6061</v>
      </c>
      <c r="F1194" s="213" t="s">
        <v>6062</v>
      </c>
      <c r="G1194" s="213" t="s">
        <v>1965</v>
      </c>
      <c r="H1194" s="221" t="s">
        <v>6063</v>
      </c>
      <c r="I1194" s="213" t="s">
        <v>6064</v>
      </c>
      <c r="J1194" s="213" t="s">
        <v>6065</v>
      </c>
      <c r="K1194" s="213" t="s">
        <v>9686</v>
      </c>
      <c r="L1194" s="213" t="str">
        <f t="shared" si="3"/>
        <v>golden tail to horse tail-13sh salvo together</v>
      </c>
      <c r="M1194" s="213" t="s">
        <v>10343</v>
      </c>
      <c r="P1194" s="121"/>
    </row>
    <row r="1195" spans="1:16">
      <c r="A1195" s="213" t="s">
        <v>1966</v>
      </c>
      <c r="B1195" s="213" t="s">
        <v>1967</v>
      </c>
      <c r="C1195" s="221" t="s">
        <v>1967</v>
      </c>
      <c r="D1195" s="221" t="s">
        <v>1967</v>
      </c>
      <c r="E1195" s="221" t="s">
        <v>6066</v>
      </c>
      <c r="F1195" s="213" t="s">
        <v>6067</v>
      </c>
      <c r="G1195" s="213" t="s">
        <v>1967</v>
      </c>
      <c r="H1195" s="221" t="s">
        <v>6068</v>
      </c>
      <c r="I1195" s="213" t="s">
        <v>6069</v>
      </c>
      <c r="J1195" s="213" t="s">
        <v>6070</v>
      </c>
      <c r="K1195" s="213" t="s">
        <v>9687</v>
      </c>
      <c r="L1195" s="213" t="str">
        <f t="shared" si="3"/>
        <v>silver tail to silver crackling willow-13sh salvo together</v>
      </c>
      <c r="M1195" s="213" t="s">
        <v>10344</v>
      </c>
      <c r="P1195" s="121"/>
    </row>
    <row r="1196" spans="1:16">
      <c r="A1196" s="213" t="s">
        <v>1968</v>
      </c>
      <c r="B1196" s="213" t="s">
        <v>1969</v>
      </c>
      <c r="C1196" s="221" t="s">
        <v>1969</v>
      </c>
      <c r="D1196" s="221" t="s">
        <v>1969</v>
      </c>
      <c r="E1196" s="221" t="s">
        <v>6071</v>
      </c>
      <c r="F1196" s="213" t="s">
        <v>6072</v>
      </c>
      <c r="G1196" s="213" t="s">
        <v>1969</v>
      </c>
      <c r="H1196" s="221" t="s">
        <v>6073</v>
      </c>
      <c r="I1196" s="213" t="s">
        <v>6074</v>
      </c>
      <c r="J1196" s="213" t="s">
        <v>6075</v>
      </c>
      <c r="K1196" s="222" t="s">
        <v>9688</v>
      </c>
      <c r="L1196" s="213" t="str">
        <f t="shared" si="3"/>
        <v>red tail with wave and flashing center-13sh salvo together</v>
      </c>
      <c r="M1196" s="213" t="s">
        <v>10345</v>
      </c>
      <c r="P1196" s="121"/>
    </row>
    <row r="1197" spans="1:16">
      <c r="A1197" s="213" t="s">
        <v>1970</v>
      </c>
      <c r="B1197" s="213" t="s">
        <v>1971</v>
      </c>
      <c r="C1197" s="221" t="s">
        <v>1971</v>
      </c>
      <c r="D1197" s="221" t="s">
        <v>1971</v>
      </c>
      <c r="E1197" s="221" t="s">
        <v>6076</v>
      </c>
      <c r="F1197" s="213" t="s">
        <v>6077</v>
      </c>
      <c r="G1197" s="213" t="s">
        <v>1971</v>
      </c>
      <c r="H1197" s="221" t="s">
        <v>6078</v>
      </c>
      <c r="I1197" s="213" t="s">
        <v>6079</v>
      </c>
      <c r="J1197" s="213" t="s">
        <v>6080</v>
      </c>
      <c r="K1197" s="222" t="s">
        <v>9689</v>
      </c>
      <c r="L1197" s="213" t="str">
        <f t="shared" si="3"/>
        <v>golden tail with golden crossette (C mortar)</v>
      </c>
      <c r="M1197" s="213" t="s">
        <v>10346</v>
      </c>
      <c r="P1197" s="121"/>
    </row>
    <row r="1198" spans="1:16">
      <c r="A1198" s="213" t="s">
        <v>1972</v>
      </c>
      <c r="B1198" s="213" t="s">
        <v>1974</v>
      </c>
      <c r="C1198" s="221" t="s">
        <v>1974</v>
      </c>
      <c r="D1198" s="221" t="s">
        <v>1974</v>
      </c>
      <c r="E1198" s="221" t="s">
        <v>6081</v>
      </c>
      <c r="F1198" s="213" t="s">
        <v>6082</v>
      </c>
      <c r="G1198" s="213" t="s">
        <v>1974</v>
      </c>
      <c r="H1198" s="221" t="s">
        <v>6083</v>
      </c>
      <c r="I1198" s="213" t="s">
        <v>6084</v>
      </c>
      <c r="J1198" s="213" t="s">
        <v>6085</v>
      </c>
      <c r="K1198" s="213" t="s">
        <v>9690</v>
      </c>
      <c r="L1198" s="213" t="str">
        <f t="shared" si="3"/>
        <v>brocade crown tail up to brocade crown-19sh salvo together</v>
      </c>
      <c r="M1198" s="213" t="s">
        <v>10347</v>
      </c>
      <c r="P1198" s="121"/>
    </row>
    <row r="1199" spans="1:16">
      <c r="A1199" s="213" t="s">
        <v>1975</v>
      </c>
      <c r="B1199" s="213" t="s">
        <v>1976</v>
      </c>
      <c r="C1199" s="221" t="s">
        <v>1976</v>
      </c>
      <c r="D1199" s="221" t="s">
        <v>1976</v>
      </c>
      <c r="E1199" s="221" t="s">
        <v>6086</v>
      </c>
      <c r="F1199" s="213" t="s">
        <v>6087</v>
      </c>
      <c r="G1199" s="213" t="s">
        <v>1976</v>
      </c>
      <c r="H1199" s="221" t="s">
        <v>6088</v>
      </c>
      <c r="I1199" s="213" t="s">
        <v>6089</v>
      </c>
      <c r="J1199" s="213" t="s">
        <v>6090</v>
      </c>
      <c r="K1199" s="213" t="s">
        <v>9691</v>
      </c>
      <c r="L1199" s="213" t="str">
        <f t="shared" si="3"/>
        <v>silver tail up to silver crackling willow-19sh salvo together</v>
      </c>
      <c r="M1199" s="213" t="s">
        <v>10348</v>
      </c>
      <c r="P1199" s="121"/>
    </row>
    <row r="1200" spans="1:16">
      <c r="A1200" s="213" t="s">
        <v>1977</v>
      </c>
      <c r="B1200" s="213" t="s">
        <v>1978</v>
      </c>
      <c r="C1200" s="221" t="s">
        <v>1978</v>
      </c>
      <c r="D1200" s="221" t="s">
        <v>1978</v>
      </c>
      <c r="E1200" s="221" t="s">
        <v>6091</v>
      </c>
      <c r="F1200" s="213" t="s">
        <v>6092</v>
      </c>
      <c r="G1200" s="213" t="s">
        <v>1978</v>
      </c>
      <c r="H1200" s="221" t="s">
        <v>6093</v>
      </c>
      <c r="I1200" s="213" t="s">
        <v>6094</v>
      </c>
      <c r="J1200" s="213" t="s">
        <v>6095</v>
      </c>
      <c r="K1200" s="213" t="s">
        <v>9692</v>
      </c>
      <c r="L1200" s="213" t="str">
        <f t="shared" si="3"/>
        <v>golden/brocade crown mine-19sh salvo together</v>
      </c>
      <c r="M1200" s="213" t="s">
        <v>10349</v>
      </c>
      <c r="P1200" s="121"/>
    </row>
    <row r="1201" spans="1:16">
      <c r="A1201" s="213" t="s">
        <v>1979</v>
      </c>
      <c r="B1201" s="213" t="s">
        <v>1980</v>
      </c>
      <c r="C1201" s="221" t="s">
        <v>1980</v>
      </c>
      <c r="D1201" s="221" t="s">
        <v>1980</v>
      </c>
      <c r="E1201" s="221" t="s">
        <v>6096</v>
      </c>
      <c r="F1201" s="213" t="s">
        <v>6097</v>
      </c>
      <c r="G1201" s="213" t="s">
        <v>1980</v>
      </c>
      <c r="H1201" s="221" t="s">
        <v>6098</v>
      </c>
      <c r="I1201" s="213" t="s">
        <v>6099</v>
      </c>
      <c r="J1201" s="213" t="s">
        <v>6100</v>
      </c>
      <c r="K1201" s="213" t="s">
        <v>9693</v>
      </c>
      <c r="L1201" s="213" t="str">
        <f t="shared" si="3"/>
        <v>red glittering mine to red comet-19sh salvo together</v>
      </c>
      <c r="M1201" s="213" t="s">
        <v>10350</v>
      </c>
      <c r="P1201" s="121"/>
    </row>
    <row r="1202" spans="1:16">
      <c r="A1202" s="213" t="s">
        <v>1981</v>
      </c>
      <c r="B1202" s="213" t="s">
        <v>1982</v>
      </c>
      <c r="C1202" s="221" t="s">
        <v>1982</v>
      </c>
      <c r="D1202" s="221" t="s">
        <v>1982</v>
      </c>
      <c r="E1202" s="221" t="s">
        <v>6101</v>
      </c>
      <c r="F1202" s="213" t="s">
        <v>6102</v>
      </c>
      <c r="G1202" s="213" t="s">
        <v>1982</v>
      </c>
      <c r="H1202" s="221" t="s">
        <v>6103</v>
      </c>
      <c r="I1202" s="213" t="s">
        <v>6104</v>
      </c>
      <c r="J1202" s="213" t="s">
        <v>6105</v>
      </c>
      <c r="K1202" s="213" t="s">
        <v>9694</v>
      </c>
      <c r="L1202" s="213" t="str">
        <f t="shared" si="3"/>
        <v>silver glittering mine w.green glittering comet-19sh salvo together</v>
      </c>
      <c r="M1202" s="213" t="s">
        <v>10351</v>
      </c>
      <c r="P1202" s="121"/>
    </row>
    <row r="1203" spans="1:16">
      <c r="A1203" s="213" t="s">
        <v>1983</v>
      </c>
      <c r="B1203" s="213" t="s">
        <v>1984</v>
      </c>
      <c r="C1203" s="221" t="s">
        <v>1984</v>
      </c>
      <c r="D1203" s="221" t="s">
        <v>1984</v>
      </c>
      <c r="E1203" s="221" t="s">
        <v>6106</v>
      </c>
      <c r="F1203" s="213" t="s">
        <v>6107</v>
      </c>
      <c r="G1203" s="213" t="s">
        <v>1984</v>
      </c>
      <c r="H1203" s="221" t="s">
        <v>6108</v>
      </c>
      <c r="I1203" s="213" t="s">
        <v>6109</v>
      </c>
      <c r="J1203" s="213" t="s">
        <v>6110</v>
      </c>
      <c r="K1203" s="213" t="s">
        <v>9695</v>
      </c>
      <c r="L1203" s="213" t="str">
        <f t="shared" si="3"/>
        <v>silver glittering mine to red crossette-19sh salvo together</v>
      </c>
      <c r="M1203" s="213" t="s">
        <v>10352</v>
      </c>
      <c r="P1203" s="121"/>
    </row>
    <row r="1204" spans="1:16">
      <c r="A1204" s="213" t="s">
        <v>1985</v>
      </c>
      <c r="B1204" s="213" t="s">
        <v>1986</v>
      </c>
      <c r="C1204" s="221" t="s">
        <v>1986</v>
      </c>
      <c r="D1204" s="221" t="s">
        <v>1986</v>
      </c>
      <c r="E1204" s="221" t="s">
        <v>6111</v>
      </c>
      <c r="F1204" s="213" t="s">
        <v>6112</v>
      </c>
      <c r="G1204" s="213" t="s">
        <v>1986</v>
      </c>
      <c r="H1204" s="221" t="s">
        <v>6113</v>
      </c>
      <c r="I1204" s="213" t="s">
        <v>6114</v>
      </c>
      <c r="J1204" s="213" t="s">
        <v>6115</v>
      </c>
      <c r="K1204" s="213" t="s">
        <v>9696</v>
      </c>
      <c r="L1204" s="213" t="str">
        <f t="shared" si="3"/>
        <v>silver glittering mine to green crossette-19sh salvo together</v>
      </c>
      <c r="M1204" s="213" t="s">
        <v>10352</v>
      </c>
      <c r="P1204" s="121"/>
    </row>
    <row r="1205" spans="1:16">
      <c r="A1205" s="213" t="s">
        <v>1987</v>
      </c>
      <c r="B1205" s="213" t="s">
        <v>1988</v>
      </c>
      <c r="C1205" s="221" t="s">
        <v>1988</v>
      </c>
      <c r="D1205" s="221" t="s">
        <v>1988</v>
      </c>
      <c r="E1205" s="221" t="s">
        <v>6116</v>
      </c>
      <c r="F1205" s="213" t="s">
        <v>6117</v>
      </c>
      <c r="G1205" s="213" t="s">
        <v>1988</v>
      </c>
      <c r="H1205" s="221" t="s">
        <v>6118</v>
      </c>
      <c r="I1205" s="213" t="s">
        <v>6119</v>
      </c>
      <c r="J1205" s="213" t="s">
        <v>6120</v>
      </c>
      <c r="K1205" s="222" t="s">
        <v>9697</v>
      </c>
      <c r="L1205" s="213" t="str">
        <f t="shared" si="3"/>
        <v>lemon,pink,sea blue w.silver glittering mine-19sh salvo together</v>
      </c>
      <c r="M1205" s="213" t="s">
        <v>10353</v>
      </c>
      <c r="P1205" s="121"/>
    </row>
    <row r="1206" spans="1:16">
      <c r="A1206" s="213" t="s">
        <v>1989</v>
      </c>
      <c r="B1206" s="213" t="s">
        <v>1990</v>
      </c>
      <c r="C1206" s="221" t="s">
        <v>1990</v>
      </c>
      <c r="D1206" s="221" t="s">
        <v>1990</v>
      </c>
      <c r="E1206" s="221" t="s">
        <v>6121</v>
      </c>
      <c r="F1206" s="213" t="s">
        <v>6122</v>
      </c>
      <c r="G1206" s="213" t="s">
        <v>1990</v>
      </c>
      <c r="H1206" s="221" t="s">
        <v>6123</v>
      </c>
      <c r="I1206" s="213" t="s">
        <v>6124</v>
      </c>
      <c r="J1206" s="213" t="s">
        <v>6125</v>
      </c>
      <c r="K1206" s="213" t="s">
        <v>9698</v>
      </c>
      <c r="L1206" s="213" t="str">
        <f t="shared" si="3"/>
        <v>silver comet w.red tip-19sh salvo together</v>
      </c>
      <c r="M1206" s="213" t="s">
        <v>10354</v>
      </c>
      <c r="P1206" s="121"/>
    </row>
    <row r="1207" spans="1:16">
      <c r="A1207" s="213" t="s">
        <v>1991</v>
      </c>
      <c r="B1207" s="213" t="s">
        <v>1992</v>
      </c>
      <c r="C1207" s="221" t="s">
        <v>1992</v>
      </c>
      <c r="D1207" s="221" t="s">
        <v>1992</v>
      </c>
      <c r="E1207" s="221" t="s">
        <v>6126</v>
      </c>
      <c r="F1207" s="213" t="s">
        <v>6127</v>
      </c>
      <c r="G1207" s="213" t="s">
        <v>1992</v>
      </c>
      <c r="H1207" s="221" t="s">
        <v>6128</v>
      </c>
      <c r="I1207" s="213" t="s">
        <v>6129</v>
      </c>
      <c r="J1207" s="213" t="s">
        <v>6130</v>
      </c>
      <c r="K1207" s="213" t="s">
        <v>9699</v>
      </c>
      <c r="L1207" s="213" t="str">
        <f t="shared" si="3"/>
        <v>blue mine w.green comet-19sh salvo together</v>
      </c>
      <c r="M1207" s="213" t="s">
        <v>10355</v>
      </c>
      <c r="P1207" s="121"/>
    </row>
    <row r="1208" spans="1:16">
      <c r="A1208" s="213" t="s">
        <v>1993</v>
      </c>
      <c r="B1208" s="213" t="s">
        <v>1994</v>
      </c>
      <c r="C1208" s="221" t="s">
        <v>1994</v>
      </c>
      <c r="D1208" s="221" t="s">
        <v>1994</v>
      </c>
      <c r="E1208" s="221" t="s">
        <v>6131</v>
      </c>
      <c r="F1208" s="213" t="s">
        <v>6132</v>
      </c>
      <c r="G1208" s="213" t="s">
        <v>1994</v>
      </c>
      <c r="H1208" s="221" t="s">
        <v>6133</v>
      </c>
      <c r="I1208" s="213" t="s">
        <v>6134</v>
      </c>
      <c r="J1208" s="213" t="s">
        <v>6135</v>
      </c>
      <c r="K1208" s="222" t="s">
        <v>9700</v>
      </c>
      <c r="L1208" s="213" t="str">
        <f t="shared" si="3"/>
        <v>red glittering mine to golden glittering comet w.red glittering tip-19sh salvo together</v>
      </c>
      <c r="M1208" s="213" t="s">
        <v>10356</v>
      </c>
      <c r="P1208" s="121"/>
    </row>
    <row r="1209" spans="1:16">
      <c r="A1209" s="213" t="s">
        <v>1995</v>
      </c>
      <c r="B1209" s="213" t="s">
        <v>1996</v>
      </c>
      <c r="C1209" s="221" t="s">
        <v>1996</v>
      </c>
      <c r="D1209" s="221" t="s">
        <v>1996</v>
      </c>
      <c r="E1209" s="221" t="s">
        <v>6136</v>
      </c>
      <c r="F1209" s="213" t="s">
        <v>6137</v>
      </c>
      <c r="G1209" s="213" t="s">
        <v>1996</v>
      </c>
      <c r="H1209" s="221" t="s">
        <v>6138</v>
      </c>
      <c r="I1209" s="213" t="s">
        <v>6139</v>
      </c>
      <c r="J1209" s="213" t="s">
        <v>6140</v>
      </c>
      <c r="K1209" s="222" t="s">
        <v>9701</v>
      </c>
      <c r="L1209" s="213" t="str">
        <f t="shared" si="3"/>
        <v>silver glittering mine w.purple comet-19sh salvo together</v>
      </c>
      <c r="M1209" s="213" t="s">
        <v>10357</v>
      </c>
      <c r="P1209" s="121"/>
    </row>
    <row r="1210" spans="1:16">
      <c r="A1210" s="213" t="s">
        <v>1997</v>
      </c>
      <c r="B1210" s="213" t="s">
        <v>1998</v>
      </c>
      <c r="C1210" s="221" t="s">
        <v>1998</v>
      </c>
      <c r="D1210" s="221" t="s">
        <v>1998</v>
      </c>
      <c r="E1210" s="221" t="s">
        <v>6141</v>
      </c>
      <c r="F1210" s="213" t="s">
        <v>6142</v>
      </c>
      <c r="G1210" s="213" t="s">
        <v>1998</v>
      </c>
      <c r="H1210" s="221" t="s">
        <v>6143</v>
      </c>
      <c r="I1210" s="213" t="s">
        <v>6144</v>
      </c>
      <c r="J1210" s="213" t="s">
        <v>6145</v>
      </c>
      <c r="K1210" s="222" t="s">
        <v>9702</v>
      </c>
      <c r="L1210" s="213" t="str">
        <f t="shared" si="3"/>
        <v>red glittering tail to silver glittering waterfall-19sh salvo together</v>
      </c>
      <c r="M1210" s="213" t="s">
        <v>10358</v>
      </c>
      <c r="P1210" s="121"/>
    </row>
    <row r="1211" spans="1:16">
      <c r="A1211" s="213" t="s">
        <v>1999</v>
      </c>
      <c r="B1211" s="213" t="s">
        <v>2000</v>
      </c>
      <c r="C1211" s="221" t="s">
        <v>2000</v>
      </c>
      <c r="D1211" s="221" t="s">
        <v>2000</v>
      </c>
      <c r="E1211" s="221" t="s">
        <v>6146</v>
      </c>
      <c r="F1211" s="213" t="s">
        <v>6147</v>
      </c>
      <c r="G1211" s="213" t="s">
        <v>2000</v>
      </c>
      <c r="H1211" s="221" t="s">
        <v>6148</v>
      </c>
      <c r="I1211" s="213" t="s">
        <v>6149</v>
      </c>
      <c r="J1211" s="213" t="s">
        <v>6150</v>
      </c>
      <c r="K1211" s="213" t="s">
        <v>9703</v>
      </c>
      <c r="L1211" s="213" t="str">
        <f t="shared" si="3"/>
        <v>whistling tail w.red mine -19sh salvo together</v>
      </c>
      <c r="M1211" s="213" t="s">
        <v>10359</v>
      </c>
      <c r="P1211" s="121"/>
    </row>
    <row r="1212" spans="1:16">
      <c r="A1212" s="213" t="s">
        <v>2001</v>
      </c>
      <c r="B1212" s="213" t="s">
        <v>2002</v>
      </c>
      <c r="C1212" s="221" t="s">
        <v>2002</v>
      </c>
      <c r="D1212" s="221" t="s">
        <v>2002</v>
      </c>
      <c r="E1212" s="221" t="s">
        <v>6151</v>
      </c>
      <c r="F1212" s="213" t="s">
        <v>6152</v>
      </c>
      <c r="G1212" s="213" t="s">
        <v>2002</v>
      </c>
      <c r="H1212" s="221" t="s">
        <v>6153</v>
      </c>
      <c r="I1212" s="213" t="s">
        <v>6154</v>
      </c>
      <c r="J1212" s="213" t="s">
        <v>6155</v>
      </c>
      <c r="K1212" s="213" t="s">
        <v>9704</v>
      </c>
      <c r="L1212" s="213" t="str">
        <f t="shared" si="3"/>
        <v>silver tiger tail and red crossette-19sh salvo together</v>
      </c>
      <c r="M1212" s="213" t="s">
        <v>10360</v>
      </c>
      <c r="P1212" s="121"/>
    </row>
    <row r="1213" spans="1:16">
      <c r="A1213" s="213" t="s">
        <v>2003</v>
      </c>
      <c r="B1213" s="213" t="s">
        <v>2004</v>
      </c>
      <c r="C1213" s="221" t="s">
        <v>2004</v>
      </c>
      <c r="D1213" s="221" t="s">
        <v>2004</v>
      </c>
      <c r="E1213" s="221" t="s">
        <v>6156</v>
      </c>
      <c r="F1213" s="213" t="s">
        <v>6157</v>
      </c>
      <c r="G1213" s="213" t="s">
        <v>2004</v>
      </c>
      <c r="H1213" s="221" t="s">
        <v>6158</v>
      </c>
      <c r="I1213" s="213" t="s">
        <v>6159</v>
      </c>
      <c r="J1213" s="213" t="s">
        <v>6160</v>
      </c>
      <c r="K1213" s="213" t="s">
        <v>9705</v>
      </c>
      <c r="L1213" s="213" t="str">
        <f t="shared" si="3"/>
        <v>red strobing tail to red strobing willow-5sh salvo together</v>
      </c>
      <c r="M1213" s="213" t="s">
        <v>10361</v>
      </c>
      <c r="P1213" s="121"/>
    </row>
    <row r="1214" spans="1:16">
      <c r="A1214" s="213" t="s">
        <v>2005</v>
      </c>
      <c r="B1214" s="213" t="s">
        <v>2006</v>
      </c>
      <c r="C1214" s="221" t="s">
        <v>2006</v>
      </c>
      <c r="D1214" s="221" t="s">
        <v>2006</v>
      </c>
      <c r="E1214" s="221" t="s">
        <v>6161</v>
      </c>
      <c r="F1214" s="213" t="s">
        <v>6162</v>
      </c>
      <c r="G1214" s="213" t="s">
        <v>2006</v>
      </c>
      <c r="H1214" s="221" t="s">
        <v>6163</v>
      </c>
      <c r="I1214" s="213" t="s">
        <v>6164</v>
      </c>
      <c r="J1214" s="213" t="s">
        <v>6165</v>
      </c>
      <c r="K1214" s="213" t="s">
        <v>9706</v>
      </c>
      <c r="L1214" s="213" t="str">
        <f t="shared" si="3"/>
        <v>crackling tail-5sh salvo together</v>
      </c>
      <c r="M1214" s="213" t="s">
        <v>10362</v>
      </c>
      <c r="P1214" s="121"/>
    </row>
    <row r="1215" spans="1:16">
      <c r="A1215" s="213" t="s">
        <v>2007</v>
      </c>
      <c r="B1215" s="213" t="s">
        <v>2008</v>
      </c>
      <c r="C1215" s="221" t="s">
        <v>2008</v>
      </c>
      <c r="D1215" s="221" t="s">
        <v>2008</v>
      </c>
      <c r="E1215" s="221" t="s">
        <v>6166</v>
      </c>
      <c r="F1215" s="213" t="s">
        <v>6167</v>
      </c>
      <c r="G1215" s="213" t="s">
        <v>2008</v>
      </c>
      <c r="H1215" s="221" t="s">
        <v>6168</v>
      </c>
      <c r="I1215" s="213" t="s">
        <v>6169</v>
      </c>
      <c r="J1215" s="213" t="s">
        <v>6170</v>
      </c>
      <c r="K1215" s="222" t="s">
        <v>9707</v>
      </c>
      <c r="L1215" s="213" t="str">
        <f t="shared" si="3"/>
        <v>green crossette mine-5sh salvo together</v>
      </c>
      <c r="M1215" s="213" t="s">
        <v>10363</v>
      </c>
      <c r="P1215" s="121"/>
    </row>
    <row r="1216" spans="1:16">
      <c r="A1216" s="213" t="s">
        <v>2009</v>
      </c>
      <c r="B1216" s="213" t="s">
        <v>2010</v>
      </c>
      <c r="C1216" s="221" t="s">
        <v>2010</v>
      </c>
      <c r="D1216" s="221" t="s">
        <v>2010</v>
      </c>
      <c r="E1216" s="221" t="s">
        <v>6171</v>
      </c>
      <c r="F1216" s="213" t="s">
        <v>6172</v>
      </c>
      <c r="G1216" s="213" t="s">
        <v>2010</v>
      </c>
      <c r="H1216" s="221" t="s">
        <v>6173</v>
      </c>
      <c r="I1216" s="213" t="s">
        <v>6174</v>
      </c>
      <c r="J1216" s="213" t="s">
        <v>6175</v>
      </c>
      <c r="K1216" s="213" t="s">
        <v>9708</v>
      </c>
      <c r="L1216" s="213" t="str">
        <f t="shared" si="3"/>
        <v>brocade tail-5sh salvo together</v>
      </c>
      <c r="M1216" s="213" t="s">
        <v>10364</v>
      </c>
      <c r="P1216" s="121"/>
    </row>
    <row r="1217" spans="1:16">
      <c r="A1217" s="213" t="s">
        <v>2011</v>
      </c>
      <c r="B1217" s="213" t="s">
        <v>2012</v>
      </c>
      <c r="C1217" s="221" t="s">
        <v>2012</v>
      </c>
      <c r="D1217" s="221" t="s">
        <v>2012</v>
      </c>
      <c r="E1217" s="221" t="s">
        <v>6176</v>
      </c>
      <c r="F1217" s="213" t="s">
        <v>6177</v>
      </c>
      <c r="G1217" s="213" t="s">
        <v>2012</v>
      </c>
      <c r="H1217" s="221" t="s">
        <v>6178</v>
      </c>
      <c r="I1217" s="213" t="s">
        <v>6179</v>
      </c>
      <c r="J1217" s="213" t="s">
        <v>6180</v>
      </c>
      <c r="K1217" s="213" t="s">
        <v>9709</v>
      </c>
      <c r="L1217" s="213" t="str">
        <f t="shared" si="3"/>
        <v>purple red lemon green white crossette mine-5sh salvo together</v>
      </c>
      <c r="M1217" s="213" t="s">
        <v>10365</v>
      </c>
      <c r="P1217" s="121"/>
    </row>
    <row r="1218" spans="1:16">
      <c r="A1218" s="213" t="s">
        <v>2013</v>
      </c>
      <c r="B1218" s="213" t="s">
        <v>2014</v>
      </c>
      <c r="C1218" s="221" t="s">
        <v>2014</v>
      </c>
      <c r="D1218" s="221" t="s">
        <v>2014</v>
      </c>
      <c r="E1218" s="221" t="s">
        <v>6181</v>
      </c>
      <c r="F1218" s="213" t="s">
        <v>6182</v>
      </c>
      <c r="G1218" s="213" t="s">
        <v>2014</v>
      </c>
      <c r="H1218" s="221" t="s">
        <v>6183</v>
      </c>
      <c r="I1218" s="213" t="s">
        <v>6184</v>
      </c>
      <c r="J1218" s="213" t="s">
        <v>6185</v>
      </c>
      <c r="K1218" s="222" t="s">
        <v>9710</v>
      </c>
      <c r="L1218" s="213" t="str">
        <f t="shared" si="3"/>
        <v>crackling crossette mine-5sh salvo together</v>
      </c>
      <c r="M1218" s="213" t="s">
        <v>10366</v>
      </c>
      <c r="P1218" s="121"/>
    </row>
    <row r="1219" spans="1:16">
      <c r="A1219" s="213" t="s">
        <v>2015</v>
      </c>
      <c r="B1219" s="213" t="s">
        <v>2016</v>
      </c>
      <c r="C1219" s="221" t="s">
        <v>2016</v>
      </c>
      <c r="D1219" s="221" t="s">
        <v>2016</v>
      </c>
      <c r="E1219" s="221" t="s">
        <v>6186</v>
      </c>
      <c r="F1219" s="213" t="s">
        <v>6187</v>
      </c>
      <c r="G1219" s="213" t="s">
        <v>2016</v>
      </c>
      <c r="H1219" s="221" t="s">
        <v>6188</v>
      </c>
      <c r="I1219" s="213" t="s">
        <v>6189</v>
      </c>
      <c r="J1219" s="213" t="s">
        <v>6190</v>
      </c>
      <c r="K1219" s="222" t="s">
        <v>9711</v>
      </c>
      <c r="L1219" s="213" t="str">
        <f t="shared" si="3"/>
        <v>delay cracker willow</v>
      </c>
      <c r="M1219" s="213" t="s">
        <v>10367</v>
      </c>
      <c r="P1219" s="121"/>
    </row>
    <row r="1220" spans="1:16">
      <c r="A1220" s="213" t="s">
        <v>2017</v>
      </c>
      <c r="B1220" s="213" t="s">
        <v>2018</v>
      </c>
      <c r="C1220" s="221" t="s">
        <v>2018</v>
      </c>
      <c r="D1220" s="221" t="s">
        <v>2018</v>
      </c>
      <c r="E1220" s="221" t="s">
        <v>6191</v>
      </c>
      <c r="F1220" s="213" t="s">
        <v>6192</v>
      </c>
      <c r="G1220" s="213" t="s">
        <v>2018</v>
      </c>
      <c r="H1220" s="221" t="s">
        <v>6193</v>
      </c>
      <c r="I1220" s="213" t="s">
        <v>6194</v>
      </c>
      <c r="J1220" s="213" t="s">
        <v>6195</v>
      </c>
      <c r="K1220" s="222" t="s">
        <v>9712</v>
      </c>
      <c r="L1220" s="213" t="str">
        <f t="shared" si="3"/>
        <v>red chrysanthemum</v>
      </c>
      <c r="M1220" s="213" t="s">
        <v>10368</v>
      </c>
      <c r="P1220" s="121"/>
    </row>
    <row r="1221" spans="1:16">
      <c r="A1221" s="213" t="s">
        <v>2019</v>
      </c>
      <c r="B1221" s="213" t="s">
        <v>2020</v>
      </c>
      <c r="C1221" s="221" t="s">
        <v>2020</v>
      </c>
      <c r="D1221" s="221" t="s">
        <v>2020</v>
      </c>
      <c r="E1221" s="221" t="s">
        <v>6196</v>
      </c>
      <c r="F1221" s="213" t="s">
        <v>6197</v>
      </c>
      <c r="G1221" s="213" t="s">
        <v>2020</v>
      </c>
      <c r="H1221" s="221" t="s">
        <v>6198</v>
      </c>
      <c r="I1221" s="213" t="s">
        <v>6199</v>
      </c>
      <c r="J1221" s="213" t="s">
        <v>6200</v>
      </c>
      <c r="K1221" s="222" t="s">
        <v>9713</v>
      </c>
      <c r="L1221" s="213" t="str">
        <f t="shared" si="3"/>
        <v>silver strobe willow</v>
      </c>
      <c r="M1221" s="213" t="s">
        <v>10369</v>
      </c>
      <c r="P1221" s="121"/>
    </row>
    <row r="1222" spans="1:16">
      <c r="A1222" s="213" t="s">
        <v>2021</v>
      </c>
      <c r="B1222" s="213" t="s">
        <v>1795</v>
      </c>
      <c r="C1222" s="221" t="s">
        <v>1795</v>
      </c>
      <c r="D1222" s="221" t="s">
        <v>1795</v>
      </c>
      <c r="E1222" s="221" t="s">
        <v>6201</v>
      </c>
      <c r="F1222" s="213" t="s">
        <v>6202</v>
      </c>
      <c r="G1222" s="213" t="s">
        <v>1795</v>
      </c>
      <c r="H1222" s="221" t="s">
        <v>6203</v>
      </c>
      <c r="I1222" s="213" t="s">
        <v>6204</v>
      </c>
      <c r="J1222" s="213" t="s">
        <v>6205</v>
      </c>
      <c r="K1222" s="222" t="s">
        <v>9714</v>
      </c>
      <c r="L1222" s="213" t="str">
        <f t="shared" si="3"/>
        <v>silver wave to red</v>
      </c>
      <c r="M1222" s="213" t="s">
        <v>10370</v>
      </c>
      <c r="P1222" s="121"/>
    </row>
    <row r="1223" spans="1:16">
      <c r="A1223" s="213" t="s">
        <v>2022</v>
      </c>
      <c r="B1223" s="213" t="s">
        <v>2023</v>
      </c>
      <c r="C1223" s="221" t="s">
        <v>2023</v>
      </c>
      <c r="D1223" s="221" t="s">
        <v>2023</v>
      </c>
      <c r="E1223" s="221" t="s">
        <v>6206</v>
      </c>
      <c r="F1223" s="213" t="s">
        <v>6207</v>
      </c>
      <c r="G1223" s="213" t="s">
        <v>2023</v>
      </c>
      <c r="H1223" s="221" t="s">
        <v>6208</v>
      </c>
      <c r="I1223" s="213" t="s">
        <v>6209</v>
      </c>
      <c r="J1223" s="213" t="s">
        <v>6210</v>
      </c>
      <c r="K1223" s="222" t="s">
        <v>9715</v>
      </c>
      <c r="L1223" s="213" t="str">
        <f t="shared" si="3"/>
        <v>green tail to green wave w.crackling</v>
      </c>
      <c r="M1223" s="213" t="s">
        <v>10371</v>
      </c>
      <c r="P1223" s="121"/>
    </row>
    <row r="1224" spans="1:16">
      <c r="A1224" s="213" t="s">
        <v>2024</v>
      </c>
      <c r="B1224" s="213" t="s">
        <v>1420</v>
      </c>
      <c r="C1224" s="221" t="s">
        <v>1420</v>
      </c>
      <c r="D1224" s="221" t="s">
        <v>1420</v>
      </c>
      <c r="E1224" s="221" t="s">
        <v>6211</v>
      </c>
      <c r="F1224" s="213" t="s">
        <v>5336</v>
      </c>
      <c r="G1224" s="213" t="s">
        <v>1420</v>
      </c>
      <c r="H1224" s="221" t="s">
        <v>5337</v>
      </c>
      <c r="I1224" s="213" t="s">
        <v>5683</v>
      </c>
      <c r="J1224" s="213" t="s">
        <v>5684</v>
      </c>
      <c r="K1224" s="213" t="s">
        <v>9555</v>
      </c>
      <c r="L1224" s="213" t="str">
        <f t="shared" si="3"/>
        <v>colorful dahlia</v>
      </c>
      <c r="M1224" s="213" t="s">
        <v>10372</v>
      </c>
      <c r="P1224" s="121"/>
    </row>
    <row r="1225" spans="1:16">
      <c r="A1225" s="213" t="s">
        <v>2025</v>
      </c>
      <c r="B1225" s="213" t="s">
        <v>2026</v>
      </c>
      <c r="C1225" s="221" t="s">
        <v>2026</v>
      </c>
      <c r="D1225" s="221" t="s">
        <v>2026</v>
      </c>
      <c r="E1225" s="221" t="s">
        <v>6212</v>
      </c>
      <c r="F1225" s="213" t="s">
        <v>6213</v>
      </c>
      <c r="G1225" s="213" t="s">
        <v>2026</v>
      </c>
      <c r="H1225" s="221" t="s">
        <v>6214</v>
      </c>
      <c r="I1225" s="213" t="s">
        <v>6215</v>
      </c>
      <c r="J1225" s="213" t="s">
        <v>6216</v>
      </c>
      <c r="K1225" s="213" t="s">
        <v>9716</v>
      </c>
      <c r="L1225" s="213" t="str">
        <f t="shared" si="3"/>
        <v>silver tail to silver palm tree</v>
      </c>
      <c r="M1225" s="213" t="s">
        <v>10373</v>
      </c>
      <c r="P1225" s="121"/>
    </row>
    <row r="1226" spans="1:16">
      <c r="A1226" s="213" t="s">
        <v>2027</v>
      </c>
      <c r="B1226" s="213" t="s">
        <v>2028</v>
      </c>
      <c r="C1226" s="221" t="s">
        <v>2028</v>
      </c>
      <c r="D1226" s="221" t="s">
        <v>2028</v>
      </c>
      <c r="E1226" s="221" t="s">
        <v>5414</v>
      </c>
      <c r="F1226" s="213" t="s">
        <v>6217</v>
      </c>
      <c r="G1226" s="213" t="s">
        <v>2028</v>
      </c>
      <c r="H1226" s="221" t="s">
        <v>5438</v>
      </c>
      <c r="I1226" s="213" t="s">
        <v>6218</v>
      </c>
      <c r="J1226" s="213" t="s">
        <v>6219</v>
      </c>
      <c r="K1226" s="213" t="s">
        <v>9567</v>
      </c>
      <c r="L1226" s="213" t="str">
        <f t="shared" si="3"/>
        <v>golden Ti-willow</v>
      </c>
      <c r="M1226" s="213" t="s">
        <v>10374</v>
      </c>
      <c r="P1226" s="121"/>
    </row>
    <row r="1227" spans="1:16">
      <c r="A1227" s="213" t="s">
        <v>2029</v>
      </c>
      <c r="B1227" s="213" t="s">
        <v>2030</v>
      </c>
      <c r="C1227" s="221" t="s">
        <v>2030</v>
      </c>
      <c r="D1227" s="221" t="s">
        <v>2030</v>
      </c>
      <c r="E1227" s="221" t="s">
        <v>6220</v>
      </c>
      <c r="F1227" s="213" t="s">
        <v>6221</v>
      </c>
      <c r="G1227" s="213" t="s">
        <v>2030</v>
      </c>
      <c r="H1227" s="221" t="s">
        <v>6222</v>
      </c>
      <c r="I1227" s="213" t="s">
        <v>6223</v>
      </c>
      <c r="J1227" s="213" t="s">
        <v>6224</v>
      </c>
      <c r="K1227" s="213" t="s">
        <v>9717</v>
      </c>
      <c r="L1227" s="213" t="str">
        <f t="shared" si="3"/>
        <v>silver tail to silver strobe</v>
      </c>
      <c r="M1227" s="213" t="s">
        <v>10375</v>
      </c>
      <c r="P1227" s="121"/>
    </row>
    <row r="1228" spans="1:16">
      <c r="A1228" s="213" t="s">
        <v>2031</v>
      </c>
      <c r="B1228" s="213" t="s">
        <v>1475</v>
      </c>
      <c r="C1228" s="221" t="s">
        <v>1475</v>
      </c>
      <c r="D1228" s="221" t="s">
        <v>1475</v>
      </c>
      <c r="E1228" s="221" t="s">
        <v>6225</v>
      </c>
      <c r="F1228" s="213" t="s">
        <v>5462</v>
      </c>
      <c r="G1228" s="213" t="s">
        <v>1475</v>
      </c>
      <c r="H1228" s="221" t="s">
        <v>6226</v>
      </c>
      <c r="I1228" s="213" t="s">
        <v>6227</v>
      </c>
      <c r="J1228" s="213" t="s">
        <v>5465</v>
      </c>
      <c r="K1228" s="213" t="s">
        <v>9718</v>
      </c>
      <c r="L1228" s="213" t="str">
        <f t="shared" si="3"/>
        <v>silver tail to titanium salute</v>
      </c>
      <c r="M1228" s="213" t="s">
        <v>10376</v>
      </c>
      <c r="P1228" s="121"/>
    </row>
    <row r="1229" spans="1:16">
      <c r="A1229" s="213" t="s">
        <v>2032</v>
      </c>
      <c r="B1229" s="213" t="s">
        <v>2034</v>
      </c>
      <c r="C1229" s="221" t="s">
        <v>2034</v>
      </c>
      <c r="D1229" s="221" t="s">
        <v>2034</v>
      </c>
      <c r="E1229" s="221" t="s">
        <v>6228</v>
      </c>
      <c r="F1229" s="213" t="s">
        <v>6229</v>
      </c>
      <c r="G1229" s="213" t="s">
        <v>2034</v>
      </c>
      <c r="H1229" s="221" t="s">
        <v>6230</v>
      </c>
      <c r="I1229" s="213" t="s">
        <v>6231</v>
      </c>
      <c r="J1229" s="213" t="s">
        <v>6232</v>
      </c>
      <c r="K1229" s="213" t="s">
        <v>9719</v>
      </c>
      <c r="L1229" s="213" t="str">
        <f t="shared" si="3"/>
        <v>Mixed carton contains 1pack of S2A,B,D,E,F,G,H,CH,J,L,N,O</v>
      </c>
      <c r="M1229" s="213" t="s">
        <v>10377</v>
      </c>
      <c r="P1229" s="121"/>
    </row>
    <row r="1230" spans="1:16">
      <c r="A1230" s="213" t="s">
        <v>2045</v>
      </c>
      <c r="B1230" s="213" t="s">
        <v>1420</v>
      </c>
      <c r="C1230" s="221" t="s">
        <v>1420</v>
      </c>
      <c r="D1230" s="221" t="s">
        <v>1420</v>
      </c>
      <c r="E1230" s="221" t="s">
        <v>6211</v>
      </c>
      <c r="F1230" s="213" t="s">
        <v>5336</v>
      </c>
      <c r="G1230" s="213" t="s">
        <v>1420</v>
      </c>
      <c r="H1230" s="221" t="s">
        <v>5337</v>
      </c>
      <c r="I1230" s="213" t="s">
        <v>5683</v>
      </c>
      <c r="J1230" s="213" t="s">
        <v>5684</v>
      </c>
      <c r="K1230" s="213" t="s">
        <v>9555</v>
      </c>
      <c r="L1230" s="213" t="str">
        <f t="shared" si="3"/>
        <v>colorful dahlia</v>
      </c>
      <c r="M1230" s="213" t="s">
        <v>10208</v>
      </c>
      <c r="P1230" s="121"/>
    </row>
    <row r="1231" spans="1:16">
      <c r="A1231" s="213" t="s">
        <v>2051</v>
      </c>
      <c r="B1231" s="213" t="s">
        <v>2052</v>
      </c>
      <c r="C1231" s="221" t="s">
        <v>2052</v>
      </c>
      <c r="D1231" s="221" t="s">
        <v>2052</v>
      </c>
      <c r="E1231" s="221" t="s">
        <v>6233</v>
      </c>
      <c r="F1231" s="213" t="s">
        <v>6234</v>
      </c>
      <c r="G1231" s="213" t="s">
        <v>2052</v>
      </c>
      <c r="H1231" s="221" t="s">
        <v>6235</v>
      </c>
      <c r="I1231" s="213" t="s">
        <v>6236</v>
      </c>
      <c r="J1231" s="213" t="s">
        <v>6237</v>
      </c>
      <c r="K1231" s="213" t="s">
        <v>9720</v>
      </c>
      <c r="L1231" s="213" t="str">
        <f t="shared" si="3"/>
        <v>colorful chrysanthemum</v>
      </c>
      <c r="M1231" s="213" t="s">
        <v>10378</v>
      </c>
      <c r="P1231" s="121"/>
    </row>
    <row r="1232" spans="1:16">
      <c r="A1232" s="213" t="s">
        <v>2055</v>
      </c>
      <c r="B1232" s="213" t="s">
        <v>1475</v>
      </c>
      <c r="C1232" s="221" t="s">
        <v>1475</v>
      </c>
      <c r="D1232" s="221" t="s">
        <v>1475</v>
      </c>
      <c r="E1232" s="221" t="s">
        <v>6225</v>
      </c>
      <c r="F1232" s="213" t="s">
        <v>5462</v>
      </c>
      <c r="G1232" s="213" t="s">
        <v>1475</v>
      </c>
      <c r="H1232" s="221" t="s">
        <v>6226</v>
      </c>
      <c r="I1232" s="213" t="s">
        <v>6227</v>
      </c>
      <c r="J1232" s="213" t="s">
        <v>5465</v>
      </c>
      <c r="K1232" s="213" t="s">
        <v>9718</v>
      </c>
      <c r="L1232" s="213" t="str">
        <f t="shared" si="3"/>
        <v>silver tail to titanium salute</v>
      </c>
      <c r="M1232" s="213" t="s">
        <v>10376</v>
      </c>
      <c r="P1232" s="121"/>
    </row>
    <row r="1233" spans="1:16">
      <c r="A1233" s="213" t="s">
        <v>2056</v>
      </c>
      <c r="B1233" s="213" t="s">
        <v>1959</v>
      </c>
      <c r="C1233" s="221" t="s">
        <v>1959</v>
      </c>
      <c r="D1233" s="221" t="s">
        <v>1959</v>
      </c>
      <c r="E1233" s="221" t="s">
        <v>6238</v>
      </c>
      <c r="F1233" s="213" t="s">
        <v>6239</v>
      </c>
      <c r="G1233" s="213" t="s">
        <v>1959</v>
      </c>
      <c r="H1233" s="221" t="s">
        <v>6240</v>
      </c>
      <c r="I1233" s="213" t="s">
        <v>6241</v>
      </c>
      <c r="J1233" s="213" t="s">
        <v>6242</v>
      </c>
      <c r="K1233" s="213" t="s">
        <v>9721</v>
      </c>
      <c r="L1233" s="213" t="str">
        <f t="shared" si="3"/>
        <v>silver flashing fountain</v>
      </c>
      <c r="M1233" s="213" t="s">
        <v>10379</v>
      </c>
      <c r="P1233" s="121"/>
    </row>
    <row r="1234" spans="1:16">
      <c r="A1234" s="213" t="s">
        <v>2057</v>
      </c>
      <c r="B1234" s="213" t="s">
        <v>2035</v>
      </c>
      <c r="C1234" s="221" t="s">
        <v>2035</v>
      </c>
      <c r="D1234" s="221" t="s">
        <v>2035</v>
      </c>
      <c r="E1234" s="221" t="s">
        <v>5873</v>
      </c>
      <c r="F1234" s="213" t="s">
        <v>6243</v>
      </c>
      <c r="G1234" s="213" t="s">
        <v>2035</v>
      </c>
      <c r="H1234" s="221" t="s">
        <v>6244</v>
      </c>
      <c r="I1234" s="213" t="s">
        <v>6245</v>
      </c>
      <c r="J1234" s="213" t="s">
        <v>5877</v>
      </c>
      <c r="K1234" s="213" t="s">
        <v>9722</v>
      </c>
      <c r="L1234" s="213" t="str">
        <f t="shared" si="3"/>
        <v>silver tail to red wave w.crackling</v>
      </c>
      <c r="M1234" s="213" t="s">
        <v>10380</v>
      </c>
      <c r="P1234" s="121"/>
    </row>
    <row r="1235" spans="1:16">
      <c r="A1235" s="213" t="s">
        <v>2058</v>
      </c>
      <c r="B1235" s="213" t="s">
        <v>2059</v>
      </c>
      <c r="C1235" s="221" t="s">
        <v>2059</v>
      </c>
      <c r="D1235" s="221" t="s">
        <v>2059</v>
      </c>
      <c r="E1235" s="221" t="s">
        <v>6246</v>
      </c>
      <c r="F1235" s="213" t="s">
        <v>6247</v>
      </c>
      <c r="G1235" s="213" t="s">
        <v>2059</v>
      </c>
      <c r="H1235" s="221" t="s">
        <v>6248</v>
      </c>
      <c r="I1235" s="213" t="s">
        <v>6249</v>
      </c>
      <c r="J1235" s="213" t="s">
        <v>6250</v>
      </c>
      <c r="K1235" s="222" t="s">
        <v>9723</v>
      </c>
      <c r="L1235" s="213" t="str">
        <f t="shared" si="3"/>
        <v>crown chrysanthemum to blue</v>
      </c>
      <c r="M1235" s="213" t="s">
        <v>10381</v>
      </c>
      <c r="P1235" s="121"/>
    </row>
    <row r="1236" spans="1:16">
      <c r="A1236" s="213" t="s">
        <v>2060</v>
      </c>
      <c r="B1236" s="213" t="s">
        <v>2030</v>
      </c>
      <c r="C1236" s="221" t="s">
        <v>2030</v>
      </c>
      <c r="D1236" s="221" t="s">
        <v>2030</v>
      </c>
      <c r="E1236" s="221" t="s">
        <v>6220</v>
      </c>
      <c r="F1236" s="213" t="s">
        <v>6221</v>
      </c>
      <c r="G1236" s="213" t="s">
        <v>2030</v>
      </c>
      <c r="H1236" s="221" t="s">
        <v>6222</v>
      </c>
      <c r="I1236" s="213" t="s">
        <v>6223</v>
      </c>
      <c r="J1236" s="213" t="s">
        <v>6224</v>
      </c>
      <c r="K1236" s="222" t="s">
        <v>9717</v>
      </c>
      <c r="L1236" s="213" t="str">
        <f t="shared" si="3"/>
        <v>silver tail to silver strobe</v>
      </c>
      <c r="M1236" s="213" t="s">
        <v>10375</v>
      </c>
      <c r="P1236" s="121"/>
    </row>
    <row r="1237" spans="1:16">
      <c r="A1237" s="213" t="s">
        <v>2061</v>
      </c>
      <c r="B1237" s="213" t="s">
        <v>2036</v>
      </c>
      <c r="C1237" s="221" t="s">
        <v>2036</v>
      </c>
      <c r="D1237" s="221" t="s">
        <v>2036</v>
      </c>
      <c r="E1237" s="221" t="s">
        <v>6251</v>
      </c>
      <c r="F1237" s="213" t="s">
        <v>6252</v>
      </c>
      <c r="G1237" s="213" t="s">
        <v>2036</v>
      </c>
      <c r="H1237" s="221" t="s">
        <v>6253</v>
      </c>
      <c r="I1237" s="213" t="s">
        <v>6254</v>
      </c>
      <c r="J1237" s="213" t="s">
        <v>6255</v>
      </c>
      <c r="K1237" s="222" t="s">
        <v>9724</v>
      </c>
      <c r="L1237" s="213" t="str">
        <f t="shared" si="3"/>
        <v>red peony w.silver palm core</v>
      </c>
      <c r="M1237" s="213" t="s">
        <v>10382</v>
      </c>
      <c r="P1237" s="121"/>
    </row>
    <row r="1238" spans="1:16">
      <c r="A1238" s="213" t="s">
        <v>2062</v>
      </c>
      <c r="B1238" s="213" t="s">
        <v>2016</v>
      </c>
      <c r="C1238" s="221" t="s">
        <v>2016</v>
      </c>
      <c r="D1238" s="221" t="s">
        <v>2016</v>
      </c>
      <c r="E1238" s="221" t="s">
        <v>6186</v>
      </c>
      <c r="F1238" s="213" t="s">
        <v>6187</v>
      </c>
      <c r="G1238" s="213" t="s">
        <v>2016</v>
      </c>
      <c r="H1238" s="221" t="s">
        <v>6188</v>
      </c>
      <c r="I1238" s="213" t="s">
        <v>6189</v>
      </c>
      <c r="J1238" s="213" t="s">
        <v>6190</v>
      </c>
      <c r="K1238" s="213" t="s">
        <v>9725</v>
      </c>
      <c r="L1238" s="213" t="str">
        <f t="shared" si="3"/>
        <v>delay cracker willow</v>
      </c>
      <c r="M1238" s="213" t="s">
        <v>10383</v>
      </c>
      <c r="P1238" s="121"/>
    </row>
    <row r="1239" spans="1:16">
      <c r="A1239" s="213" t="s">
        <v>2063</v>
      </c>
      <c r="B1239" s="213" t="s">
        <v>2038</v>
      </c>
      <c r="C1239" s="221" t="s">
        <v>2038</v>
      </c>
      <c r="D1239" s="221" t="s">
        <v>2038</v>
      </c>
      <c r="E1239" s="221" t="s">
        <v>6256</v>
      </c>
      <c r="F1239" s="213" t="s">
        <v>6257</v>
      </c>
      <c r="G1239" s="213" t="s">
        <v>2038</v>
      </c>
      <c r="H1239" s="221" t="s">
        <v>6258</v>
      </c>
      <c r="I1239" s="213" t="s">
        <v>6259</v>
      </c>
      <c r="J1239" s="213" t="s">
        <v>6260</v>
      </c>
      <c r="K1239" s="213" t="s">
        <v>9726</v>
      </c>
      <c r="L1239" s="213" t="str">
        <f t="shared" si="3"/>
        <v>water color peony w.brocade crown pistil</v>
      </c>
      <c r="M1239" s="213" t="s">
        <v>10384</v>
      </c>
      <c r="P1239" s="121"/>
    </row>
    <row r="1240" spans="1:16">
      <c r="A1240" s="213" t="s">
        <v>2064</v>
      </c>
      <c r="B1240" s="213" t="s">
        <v>2039</v>
      </c>
      <c r="C1240" s="221" t="s">
        <v>2039</v>
      </c>
      <c r="D1240" s="221" t="s">
        <v>2039</v>
      </c>
      <c r="E1240" s="221" t="s">
        <v>6261</v>
      </c>
      <c r="F1240" s="213" t="s">
        <v>6262</v>
      </c>
      <c r="G1240" s="213" t="s">
        <v>2039</v>
      </c>
      <c r="H1240" s="221" t="s">
        <v>6263</v>
      </c>
      <c r="I1240" s="213" t="s">
        <v>6264</v>
      </c>
      <c r="J1240" s="213" t="s">
        <v>6265</v>
      </c>
      <c r="K1240" s="213" t="s">
        <v>9727</v>
      </c>
      <c r="L1240" s="213" t="str">
        <f t="shared" si="3"/>
        <v>chrysanthemum to purple</v>
      </c>
      <c r="M1240" s="213" t="s">
        <v>10385</v>
      </c>
      <c r="P1240" s="121"/>
    </row>
    <row r="1241" spans="1:16">
      <c r="A1241" s="213" t="s">
        <v>2065</v>
      </c>
      <c r="B1241" s="213" t="s">
        <v>2028</v>
      </c>
      <c r="C1241" s="221" t="s">
        <v>2028</v>
      </c>
      <c r="D1241" s="221" t="s">
        <v>2028</v>
      </c>
      <c r="E1241" s="221" t="s">
        <v>5414</v>
      </c>
      <c r="F1241" s="213" t="s">
        <v>6217</v>
      </c>
      <c r="G1241" s="213" t="s">
        <v>2028</v>
      </c>
      <c r="H1241" s="221" t="s">
        <v>5438</v>
      </c>
      <c r="I1241" s="213" t="s">
        <v>6218</v>
      </c>
      <c r="J1241" s="213" t="s">
        <v>6219</v>
      </c>
      <c r="K1241" s="213" t="s">
        <v>9728</v>
      </c>
      <c r="L1241" s="213" t="str">
        <f t="shared" si="3"/>
        <v>golden Ti-willow</v>
      </c>
      <c r="M1241" s="213" t="s">
        <v>10386</v>
      </c>
      <c r="P1241" s="121"/>
    </row>
    <row r="1242" spans="1:16">
      <c r="A1242" s="213" t="s">
        <v>2066</v>
      </c>
      <c r="B1242" s="213" t="s">
        <v>2042</v>
      </c>
      <c r="C1242" s="221" t="s">
        <v>2042</v>
      </c>
      <c r="D1242" s="221" t="s">
        <v>2042</v>
      </c>
      <c r="E1242" s="221" t="s">
        <v>6266</v>
      </c>
      <c r="F1242" s="213" t="s">
        <v>6267</v>
      </c>
      <c r="G1242" s="213" t="s">
        <v>2042</v>
      </c>
      <c r="H1242" s="221" t="s">
        <v>6268</v>
      </c>
      <c r="I1242" s="213" t="s">
        <v>6269</v>
      </c>
      <c r="J1242" s="213" t="s">
        <v>6270</v>
      </c>
      <c r="K1242" s="213" t="s">
        <v>9729</v>
      </c>
      <c r="L1242" s="213" t="str">
        <f t="shared" si="3"/>
        <v>brocade crown crossette</v>
      </c>
      <c r="M1242" s="213" t="s">
        <v>10387</v>
      </c>
      <c r="P1242" s="121"/>
    </row>
    <row r="1243" spans="1:16">
      <c r="A1243" s="213" t="s">
        <v>2067</v>
      </c>
      <c r="B1243" s="213" t="s">
        <v>2044</v>
      </c>
      <c r="C1243" s="221" t="s">
        <v>2044</v>
      </c>
      <c r="D1243" s="221" t="s">
        <v>2044</v>
      </c>
      <c r="E1243" s="221" t="s">
        <v>6271</v>
      </c>
      <c r="F1243" s="213" t="s">
        <v>6272</v>
      </c>
      <c r="G1243" s="213" t="s">
        <v>2044</v>
      </c>
      <c r="H1243" s="221" t="s">
        <v>6273</v>
      </c>
      <c r="I1243" s="213" t="s">
        <v>6274</v>
      </c>
      <c r="J1243" s="213" t="s">
        <v>6275</v>
      </c>
      <c r="K1243" s="213" t="s">
        <v>9730</v>
      </c>
      <c r="L1243" s="213" t="str">
        <f t="shared" si="3"/>
        <v>pink dahlia w.pink pistil</v>
      </c>
      <c r="M1243" s="213" t="s">
        <v>10388</v>
      </c>
      <c r="P1243" s="121"/>
    </row>
    <row r="1244" spans="1:16">
      <c r="A1244" s="213" t="s">
        <v>2068</v>
      </c>
      <c r="B1244" s="213" t="s">
        <v>2026</v>
      </c>
      <c r="C1244" s="221" t="s">
        <v>2026</v>
      </c>
      <c r="D1244" s="221" t="s">
        <v>2026</v>
      </c>
      <c r="E1244" s="221" t="s">
        <v>6212</v>
      </c>
      <c r="F1244" s="213" t="s">
        <v>6213</v>
      </c>
      <c r="G1244" s="213" t="s">
        <v>2026</v>
      </c>
      <c r="H1244" s="221" t="s">
        <v>6214</v>
      </c>
      <c r="I1244" s="213" t="s">
        <v>6215</v>
      </c>
      <c r="J1244" s="213" t="s">
        <v>6216</v>
      </c>
      <c r="K1244" s="213" t="s">
        <v>9716</v>
      </c>
      <c r="L1244" s="213" t="str">
        <f t="shared" si="3"/>
        <v>silver tail to silver palm tree</v>
      </c>
      <c r="M1244" s="213" t="s">
        <v>10389</v>
      </c>
      <c r="P1244" s="121"/>
    </row>
    <row r="1245" spans="1:16">
      <c r="A1245" s="213" t="s">
        <v>2069</v>
      </c>
      <c r="B1245" s="213" t="s">
        <v>2046</v>
      </c>
      <c r="C1245" s="221" t="s">
        <v>2046</v>
      </c>
      <c r="D1245" s="221" t="s">
        <v>2046</v>
      </c>
      <c r="E1245" s="221" t="s">
        <v>6276</v>
      </c>
      <c r="F1245" s="213" t="s">
        <v>6277</v>
      </c>
      <c r="G1245" s="213" t="s">
        <v>2046</v>
      </c>
      <c r="H1245" s="221" t="s">
        <v>6278</v>
      </c>
      <c r="I1245" s="213" t="s">
        <v>6279</v>
      </c>
      <c r="J1245" s="213" t="s">
        <v>6280</v>
      </c>
      <c r="K1245" s="213" t="s">
        <v>9731</v>
      </c>
      <c r="L1245" s="213" t="str">
        <f t="shared" si="3"/>
        <v>brocade crown w.white glitter</v>
      </c>
      <c r="M1245" s="213" t="s">
        <v>10390</v>
      </c>
      <c r="P1245" s="121"/>
    </row>
    <row r="1246" spans="1:16">
      <c r="A1246" s="213" t="s">
        <v>2070</v>
      </c>
      <c r="B1246" s="213" t="s">
        <v>2043</v>
      </c>
      <c r="C1246" s="221" t="s">
        <v>2043</v>
      </c>
      <c r="D1246" s="221" t="s">
        <v>2043</v>
      </c>
      <c r="E1246" s="221" t="s">
        <v>6281</v>
      </c>
      <c r="F1246" s="213" t="s">
        <v>6282</v>
      </c>
      <c r="G1246" s="213" t="s">
        <v>2043</v>
      </c>
      <c r="H1246" s="221" t="s">
        <v>6283</v>
      </c>
      <c r="I1246" s="213" t="s">
        <v>6284</v>
      </c>
      <c r="J1246" s="213" t="s">
        <v>6285</v>
      </c>
      <c r="K1246" s="213" t="s">
        <v>9732</v>
      </c>
      <c r="L1246" s="213" t="str">
        <f t="shared" si="3"/>
        <v>purple wave with green glitter</v>
      </c>
      <c r="M1246" s="213" t="s">
        <v>10391</v>
      </c>
      <c r="P1246" s="121"/>
    </row>
    <row r="1247" spans="1:16">
      <c r="A1247" s="213" t="s">
        <v>2071</v>
      </c>
      <c r="B1247" s="213" t="s">
        <v>2047</v>
      </c>
      <c r="C1247" s="221" t="s">
        <v>2047</v>
      </c>
      <c r="D1247" s="221" t="s">
        <v>2047</v>
      </c>
      <c r="E1247" s="221" t="s">
        <v>6286</v>
      </c>
      <c r="F1247" s="213" t="s">
        <v>6287</v>
      </c>
      <c r="G1247" s="213" t="s">
        <v>2047</v>
      </c>
      <c r="H1247" s="221" t="s">
        <v>6288</v>
      </c>
      <c r="I1247" s="213" t="s">
        <v>6289</v>
      </c>
      <c r="J1247" s="213" t="s">
        <v>6290</v>
      </c>
      <c r="K1247" s="213" t="s">
        <v>9733</v>
      </c>
      <c r="L1247" s="213" t="str">
        <f t="shared" si="3"/>
        <v>purple ring with chrysanthemum pistil</v>
      </c>
      <c r="M1247" s="213" t="s">
        <v>10392</v>
      </c>
      <c r="P1247" s="121"/>
    </row>
    <row r="1248" spans="1:16">
      <c r="A1248" s="213" t="s">
        <v>2072</v>
      </c>
      <c r="B1248" s="213" t="s">
        <v>2049</v>
      </c>
      <c r="C1248" s="221" t="s">
        <v>2049</v>
      </c>
      <c r="D1248" s="221" t="s">
        <v>2049</v>
      </c>
      <c r="E1248" s="221" t="s">
        <v>6291</v>
      </c>
      <c r="F1248" s="213" t="s">
        <v>6292</v>
      </c>
      <c r="G1248" s="213" t="s">
        <v>2049</v>
      </c>
      <c r="H1248" s="221" t="s">
        <v>6293</v>
      </c>
      <c r="I1248" s="213" t="s">
        <v>6294</v>
      </c>
      <c r="J1248" s="213" t="s">
        <v>6295</v>
      </c>
      <c r="K1248" s="213" t="s">
        <v>9734</v>
      </c>
      <c r="L1248" s="213" t="str">
        <f t="shared" si="3"/>
        <v>blood red + silver strobe</v>
      </c>
      <c r="M1248" s="213" t="s">
        <v>10393</v>
      </c>
      <c r="P1248" s="121"/>
    </row>
    <row r="1249" spans="1:16">
      <c r="A1249" s="213" t="s">
        <v>2073</v>
      </c>
      <c r="B1249" s="213" t="s">
        <v>2053</v>
      </c>
      <c r="C1249" s="221" t="s">
        <v>2053</v>
      </c>
      <c r="D1249" s="221" t="s">
        <v>2053</v>
      </c>
      <c r="E1249" s="221" t="s">
        <v>6296</v>
      </c>
      <c r="F1249" s="213" t="s">
        <v>6297</v>
      </c>
      <c r="G1249" s="213" t="s">
        <v>2053</v>
      </c>
      <c r="H1249" s="221" t="s">
        <v>6298</v>
      </c>
      <c r="I1249" s="213" t="s">
        <v>6299</v>
      </c>
      <c r="J1249" s="213" t="s">
        <v>6300</v>
      </c>
      <c r="K1249" s="213" t="s">
        <v>9735</v>
      </c>
      <c r="L1249" s="213" t="str">
        <f t="shared" si="3"/>
        <v>red coco w.silver strobing pistil</v>
      </c>
      <c r="M1249" s="213" t="s">
        <v>10394</v>
      </c>
      <c r="P1249" s="121"/>
    </row>
    <row r="1250" spans="1:16">
      <c r="A1250" s="213" t="s">
        <v>2074</v>
      </c>
      <c r="B1250" s="213" t="s">
        <v>2075</v>
      </c>
      <c r="C1250" s="221" t="s">
        <v>2075</v>
      </c>
      <c r="D1250" s="221" t="s">
        <v>2075</v>
      </c>
      <c r="E1250" s="221" t="s">
        <v>6301</v>
      </c>
      <c r="F1250" s="213" t="s">
        <v>6302</v>
      </c>
      <c r="G1250" s="213" t="s">
        <v>2075</v>
      </c>
      <c r="H1250" s="221" t="s">
        <v>6303</v>
      </c>
      <c r="I1250" s="213" t="s">
        <v>6304</v>
      </c>
      <c r="J1250" s="213" t="s">
        <v>6305</v>
      </c>
      <c r="K1250" s="213" t="s">
        <v>9736</v>
      </c>
      <c r="L1250" s="213" t="str">
        <f t="shared" si="3"/>
        <v>lemon crossette+purple crossette</v>
      </c>
      <c r="M1250" s="213" t="s">
        <v>10395</v>
      </c>
      <c r="P1250" s="121"/>
    </row>
    <row r="1251" spans="1:16">
      <c r="A1251" s="213" t="s">
        <v>2076</v>
      </c>
      <c r="B1251" s="213" t="s">
        <v>2054</v>
      </c>
      <c r="C1251" s="221" t="s">
        <v>2054</v>
      </c>
      <c r="D1251" s="221" t="s">
        <v>2054</v>
      </c>
      <c r="E1251" s="221" t="s">
        <v>6306</v>
      </c>
      <c r="F1251" s="213" t="s">
        <v>6307</v>
      </c>
      <c r="G1251" s="213" t="s">
        <v>2054</v>
      </c>
      <c r="H1251" s="221" t="s">
        <v>6308</v>
      </c>
      <c r="I1251" s="213" t="s">
        <v>6309</v>
      </c>
      <c r="J1251" s="213" t="s">
        <v>6310</v>
      </c>
      <c r="K1251" s="213" t="s">
        <v>9737</v>
      </c>
      <c r="L1251" s="213" t="str">
        <f t="shared" si="3"/>
        <v>red wave crossette</v>
      </c>
      <c r="M1251" s="213" t="s">
        <v>10396</v>
      </c>
      <c r="P1251" s="121"/>
    </row>
    <row r="1252" spans="1:16">
      <c r="A1252" s="213" t="s">
        <v>2077</v>
      </c>
      <c r="B1252" s="213" t="s">
        <v>2079</v>
      </c>
      <c r="C1252" s="221" t="s">
        <v>2079</v>
      </c>
      <c r="D1252" s="221" t="s">
        <v>2079</v>
      </c>
      <c r="E1252" s="221" t="s">
        <v>6311</v>
      </c>
      <c r="F1252" s="213" t="s">
        <v>6312</v>
      </c>
      <c r="G1252" s="213" t="s">
        <v>2079</v>
      </c>
      <c r="H1252" s="221" t="s">
        <v>6313</v>
      </c>
      <c r="I1252" s="213" t="s">
        <v>6314</v>
      </c>
      <c r="J1252" s="213" t="s">
        <v>6315</v>
      </c>
      <c r="K1252" s="213" t="s">
        <v>9738</v>
      </c>
      <c r="L1252" s="213" t="str">
        <f t="shared" si="3"/>
        <v>Mixed carton contains-premiun quality(each box including: silver tail to red wave w.crackling, flower crown chrysant.to blue, silver tail to silver strobe, delay cracker willow, golden ti willow, silver tail to silver palm tree)</v>
      </c>
      <c r="M1252" s="213" t="str">
        <f>C1252</f>
        <v>Mixed carton contains-premiun quality(each box including: silver tail to red wave w.crackling, flower crown chrysant.to blue, silver tail to silver strobe, delay cracker willow, golden ti willow, silver tail to silver palm tree)</v>
      </c>
      <c r="P1252" s="121"/>
    </row>
    <row r="1253" spans="1:16">
      <c r="A1253" s="213" t="s">
        <v>2118</v>
      </c>
      <c r="B1253" s="213" t="s">
        <v>1475</v>
      </c>
      <c r="C1253" s="221" t="s">
        <v>1475</v>
      </c>
      <c r="D1253" s="221" t="s">
        <v>1475</v>
      </c>
      <c r="E1253" s="221" t="s">
        <v>6225</v>
      </c>
      <c r="F1253" s="213" t="s">
        <v>5462</v>
      </c>
      <c r="G1253" s="213" t="s">
        <v>1475</v>
      </c>
      <c r="H1253" s="221" t="s">
        <v>6226</v>
      </c>
      <c r="I1253" s="213" t="s">
        <v>6227</v>
      </c>
      <c r="J1253" s="213" t="s">
        <v>5465</v>
      </c>
      <c r="K1253" s="213" t="s">
        <v>9718</v>
      </c>
      <c r="L1253" s="213" t="str">
        <f t="shared" si="3"/>
        <v>silver tail to titanium salute</v>
      </c>
      <c r="M1253" s="213" t="s">
        <v>10376</v>
      </c>
      <c r="P1253" s="121"/>
    </row>
    <row r="1254" spans="1:16">
      <c r="A1254" s="213" t="s">
        <v>2120</v>
      </c>
      <c r="B1254" s="213" t="s">
        <v>2121</v>
      </c>
      <c r="C1254" s="221" t="s">
        <v>2121</v>
      </c>
      <c r="D1254" s="221" t="s">
        <v>2121</v>
      </c>
      <c r="E1254" s="221" t="s">
        <v>6316</v>
      </c>
      <c r="F1254" s="213" t="s">
        <v>6317</v>
      </c>
      <c r="G1254" s="213" t="s">
        <v>2121</v>
      </c>
      <c r="H1254" s="221" t="s">
        <v>6318</v>
      </c>
      <c r="I1254" s="213" t="s">
        <v>6319</v>
      </c>
      <c r="J1254" s="213" t="s">
        <v>6320</v>
      </c>
      <c r="K1254" s="213" t="s">
        <v>9739</v>
      </c>
      <c r="L1254" s="213" t="str">
        <f t="shared" si="3"/>
        <v>Mixed carton contains:  S4W golden wave to red,  S4N/A golden ti willow, S4R green peony with corrola pistil with brocade trunk,  S4C glitter.palm tree</v>
      </c>
      <c r="M1254" s="213" t="str">
        <f>C1254</f>
        <v>Mixed carton contains:  S4W golden wave to red,  S4N/A golden ti willow, S4R green peony with corrola pistil with brocade trunk,  S4C glitter.palm tree</v>
      </c>
      <c r="P1254" s="121"/>
    </row>
    <row r="1255" spans="1:16">
      <c r="A1255" s="213" t="s">
        <v>2122</v>
      </c>
      <c r="B1255" s="213" t="s">
        <v>2080</v>
      </c>
      <c r="C1255" s="221" t="s">
        <v>2080</v>
      </c>
      <c r="D1255" s="221" t="s">
        <v>2080</v>
      </c>
      <c r="E1255" s="221" t="s">
        <v>6321</v>
      </c>
      <c r="F1255" s="213" t="s">
        <v>6322</v>
      </c>
      <c r="G1255" s="213" t="s">
        <v>2080</v>
      </c>
      <c r="H1255" s="221" t="s">
        <v>6323</v>
      </c>
      <c r="I1255" s="213" t="s">
        <v>6324</v>
      </c>
      <c r="J1255" s="213" t="s">
        <v>6325</v>
      </c>
      <c r="K1255" s="213" t="s">
        <v>9740</v>
      </c>
      <c r="L1255" s="213" t="str">
        <f t="shared" si="3"/>
        <v>red/lemon dahlia</v>
      </c>
      <c r="M1255" s="213" t="s">
        <v>10397</v>
      </c>
      <c r="P1255" s="121"/>
    </row>
    <row r="1256" spans="1:16">
      <c r="A1256" s="213" t="s">
        <v>2123</v>
      </c>
      <c r="B1256" s="213" t="s">
        <v>2081</v>
      </c>
      <c r="C1256" s="221" t="s">
        <v>2081</v>
      </c>
      <c r="D1256" s="221" t="s">
        <v>2081</v>
      </c>
      <c r="E1256" s="221" t="s">
        <v>6326</v>
      </c>
      <c r="F1256" s="213" t="s">
        <v>6327</v>
      </c>
      <c r="G1256" s="213" t="s">
        <v>2081</v>
      </c>
      <c r="H1256" s="221" t="s">
        <v>6328</v>
      </c>
      <c r="I1256" s="213" t="s">
        <v>6329</v>
      </c>
      <c r="J1256" s="213" t="s">
        <v>6330</v>
      </c>
      <c r="K1256" s="213" t="s">
        <v>9741</v>
      </c>
      <c r="L1256" s="213" t="str">
        <f t="shared" ref="L1256:L1319" si="4">C1256</f>
        <v>red wave w.crackling</v>
      </c>
      <c r="M1256" s="213" t="s">
        <v>10398</v>
      </c>
      <c r="P1256" s="121"/>
    </row>
    <row r="1257" spans="1:16">
      <c r="A1257" s="213" t="s">
        <v>2124</v>
      </c>
      <c r="B1257" s="213" t="s">
        <v>2083</v>
      </c>
      <c r="C1257" s="221" t="s">
        <v>2083</v>
      </c>
      <c r="D1257" s="221" t="s">
        <v>2083</v>
      </c>
      <c r="E1257" s="221" t="s">
        <v>6331</v>
      </c>
      <c r="F1257" s="213" t="s">
        <v>6332</v>
      </c>
      <c r="G1257" s="213" t="s">
        <v>2083</v>
      </c>
      <c r="H1257" s="221" t="s">
        <v>6333</v>
      </c>
      <c r="I1257" s="213" t="s">
        <v>6334</v>
      </c>
      <c r="J1257" s="213" t="s">
        <v>6335</v>
      </c>
      <c r="K1257" s="213" t="s">
        <v>9742</v>
      </c>
      <c r="L1257" s="213" t="str">
        <f t="shared" si="4"/>
        <v>glitter.palm tree</v>
      </c>
      <c r="M1257" s="213" t="s">
        <v>10399</v>
      </c>
      <c r="P1257" s="121"/>
    </row>
    <row r="1258" spans="1:16">
      <c r="A1258" s="213" t="s">
        <v>2125</v>
      </c>
      <c r="B1258" s="213" t="s">
        <v>1420</v>
      </c>
      <c r="C1258" s="221" t="s">
        <v>1420</v>
      </c>
      <c r="D1258" s="221" t="s">
        <v>1420</v>
      </c>
      <c r="E1258" s="221" t="s">
        <v>5335</v>
      </c>
      <c r="F1258" s="213" t="s">
        <v>5336</v>
      </c>
      <c r="G1258" s="213" t="s">
        <v>1420</v>
      </c>
      <c r="H1258" s="221" t="s">
        <v>5337</v>
      </c>
      <c r="I1258" s="213" t="s">
        <v>5683</v>
      </c>
      <c r="J1258" s="213" t="s">
        <v>5684</v>
      </c>
      <c r="K1258" s="213" t="s">
        <v>9555</v>
      </c>
      <c r="L1258" s="213" t="str">
        <f t="shared" si="4"/>
        <v>colorful dahlia</v>
      </c>
      <c r="M1258" s="213" t="s">
        <v>10372</v>
      </c>
      <c r="P1258" s="121"/>
    </row>
    <row r="1259" spans="1:16">
      <c r="A1259" s="213" t="s">
        <v>2126</v>
      </c>
      <c r="B1259" s="213" t="s">
        <v>2084</v>
      </c>
      <c r="C1259" s="221" t="s">
        <v>2084</v>
      </c>
      <c r="D1259" s="221" t="s">
        <v>2084</v>
      </c>
      <c r="E1259" s="221" t="s">
        <v>6336</v>
      </c>
      <c r="F1259" s="213" t="s">
        <v>6337</v>
      </c>
      <c r="G1259" s="213" t="s">
        <v>2084</v>
      </c>
      <c r="H1259" s="221" t="s">
        <v>6338</v>
      </c>
      <c r="I1259" s="213" t="s">
        <v>6339</v>
      </c>
      <c r="J1259" s="213" t="s">
        <v>6340</v>
      </c>
      <c r="K1259" s="222" t="s">
        <v>9743</v>
      </c>
      <c r="L1259" s="213" t="str">
        <f t="shared" si="4"/>
        <v>gold titanium willow w.assorted color glitter</v>
      </c>
      <c r="M1259" s="213" t="s">
        <v>10400</v>
      </c>
      <c r="P1259" s="121"/>
    </row>
    <row r="1260" spans="1:16">
      <c r="A1260" s="213" t="s">
        <v>2127</v>
      </c>
      <c r="B1260" s="213" t="s">
        <v>2085</v>
      </c>
      <c r="C1260" s="221" t="s">
        <v>2085</v>
      </c>
      <c r="D1260" s="221" t="s">
        <v>2085</v>
      </c>
      <c r="E1260" s="221" t="s">
        <v>6341</v>
      </c>
      <c r="F1260" s="213" t="s">
        <v>6342</v>
      </c>
      <c r="G1260" s="213" t="s">
        <v>2085</v>
      </c>
      <c r="H1260" s="221" t="s">
        <v>6343</v>
      </c>
      <c r="I1260" s="213" t="s">
        <v>6344</v>
      </c>
      <c r="J1260" s="213" t="s">
        <v>6345</v>
      </c>
      <c r="K1260" s="213" t="s">
        <v>9744</v>
      </c>
      <c r="L1260" s="213" t="str">
        <f t="shared" si="4"/>
        <v>titanium chrysanthemum crackling to titanium crackling palm</v>
      </c>
      <c r="M1260" s="213" t="s">
        <v>10401</v>
      </c>
      <c r="P1260" s="121"/>
    </row>
    <row r="1261" spans="1:16">
      <c r="A1261" s="213" t="s">
        <v>2128</v>
      </c>
      <c r="B1261" s="213" t="s">
        <v>1959</v>
      </c>
      <c r="C1261" s="221" t="s">
        <v>1959</v>
      </c>
      <c r="D1261" s="221" t="s">
        <v>1959</v>
      </c>
      <c r="E1261" s="221" t="s">
        <v>6346</v>
      </c>
      <c r="F1261" s="213" t="s">
        <v>6239</v>
      </c>
      <c r="G1261" s="213" t="s">
        <v>1959</v>
      </c>
      <c r="H1261" s="221" t="s">
        <v>6347</v>
      </c>
      <c r="I1261" s="213" t="s">
        <v>6241</v>
      </c>
      <c r="J1261" s="213" t="s">
        <v>6242</v>
      </c>
      <c r="K1261" s="213" t="s">
        <v>9721</v>
      </c>
      <c r="L1261" s="213" t="str">
        <f t="shared" si="4"/>
        <v>silver flashing fountain</v>
      </c>
      <c r="M1261" s="213" t="s">
        <v>10402</v>
      </c>
      <c r="P1261" s="121"/>
    </row>
    <row r="1262" spans="1:16">
      <c r="A1262" s="213" t="s">
        <v>2129</v>
      </c>
      <c r="B1262" s="213" t="s">
        <v>2086</v>
      </c>
      <c r="C1262" s="221" t="s">
        <v>2086</v>
      </c>
      <c r="D1262" s="221" t="s">
        <v>2086</v>
      </c>
      <c r="E1262" s="221" t="s">
        <v>6348</v>
      </c>
      <c r="F1262" s="213" t="s">
        <v>6349</v>
      </c>
      <c r="G1262" s="213" t="s">
        <v>2086</v>
      </c>
      <c r="H1262" s="221" t="s">
        <v>6350</v>
      </c>
      <c r="I1262" s="213" t="s">
        <v>6351</v>
      </c>
      <c r="J1262" s="213" t="s">
        <v>6352</v>
      </c>
      <c r="K1262" s="213" t="s">
        <v>9745</v>
      </c>
      <c r="L1262" s="213" t="str">
        <f t="shared" si="4"/>
        <v>flower crown with red glitter pistil</v>
      </c>
      <c r="M1262" s="213" t="s">
        <v>10403</v>
      </c>
      <c r="P1262" s="121"/>
    </row>
    <row r="1263" spans="1:16">
      <c r="A1263" s="213" t="s">
        <v>2130</v>
      </c>
      <c r="B1263" s="213" t="s">
        <v>2087</v>
      </c>
      <c r="C1263" s="221" t="s">
        <v>2087</v>
      </c>
      <c r="D1263" s="221" t="s">
        <v>2087</v>
      </c>
      <c r="E1263" s="221" t="s">
        <v>6353</v>
      </c>
      <c r="F1263" s="213" t="s">
        <v>6354</v>
      </c>
      <c r="G1263" s="213" t="s">
        <v>2087</v>
      </c>
      <c r="H1263" s="221" t="s">
        <v>6355</v>
      </c>
      <c r="I1263" s="213" t="s">
        <v>6356</v>
      </c>
      <c r="J1263" s="213" t="s">
        <v>6357</v>
      </c>
      <c r="K1263" s="213" t="s">
        <v>9746</v>
      </c>
      <c r="L1263" s="213" t="str">
        <f t="shared" si="4"/>
        <v>half red/green crossette</v>
      </c>
      <c r="M1263" s="213" t="s">
        <v>10404</v>
      </c>
      <c r="P1263" s="121"/>
    </row>
    <row r="1264" spans="1:16">
      <c r="A1264" s="213" t="s">
        <v>2131</v>
      </c>
      <c r="B1264" s="213" t="s">
        <v>2089</v>
      </c>
      <c r="C1264" s="221" t="s">
        <v>2089</v>
      </c>
      <c r="D1264" s="221" t="s">
        <v>2089</v>
      </c>
      <c r="E1264" s="221" t="s">
        <v>6358</v>
      </c>
      <c r="F1264" s="213" t="s">
        <v>6359</v>
      </c>
      <c r="G1264" s="213" t="s">
        <v>2089</v>
      </c>
      <c r="H1264" s="221" t="s">
        <v>6360</v>
      </c>
      <c r="I1264" s="213" t="s">
        <v>6361</v>
      </c>
      <c r="J1264" s="213" t="s">
        <v>6362</v>
      </c>
      <c r="K1264" s="213" t="s">
        <v>9747</v>
      </c>
      <c r="L1264" s="213" t="str">
        <f t="shared" si="4"/>
        <v>crackling nishiki kamuro</v>
      </c>
      <c r="M1264" s="213" t="s">
        <v>10405</v>
      </c>
      <c r="P1264" s="121"/>
    </row>
    <row r="1265" spans="1:16">
      <c r="A1265" s="213" t="s">
        <v>2132</v>
      </c>
      <c r="B1265" s="213" t="s">
        <v>2091</v>
      </c>
      <c r="C1265" s="221" t="s">
        <v>2091</v>
      </c>
      <c r="D1265" s="221" t="s">
        <v>2091</v>
      </c>
      <c r="E1265" s="221" t="s">
        <v>6363</v>
      </c>
      <c r="F1265" s="213" t="s">
        <v>6364</v>
      </c>
      <c r="G1265" s="213" t="s">
        <v>2091</v>
      </c>
      <c r="H1265" s="221" t="s">
        <v>6365</v>
      </c>
      <c r="I1265" s="213" t="s">
        <v>6366</v>
      </c>
      <c r="J1265" s="213" t="s">
        <v>6367</v>
      </c>
      <c r="K1265" s="213" t="s">
        <v>9748</v>
      </c>
      <c r="L1265" s="213" t="str">
        <f t="shared" si="4"/>
        <v>silver crown w.red pistil</v>
      </c>
      <c r="M1265" s="213" t="s">
        <v>10406</v>
      </c>
      <c r="P1265" s="121"/>
    </row>
    <row r="1266" spans="1:16">
      <c r="A1266" s="213" t="s">
        <v>2133</v>
      </c>
      <c r="B1266" s="213" t="s">
        <v>2050</v>
      </c>
      <c r="C1266" s="221" t="s">
        <v>2050</v>
      </c>
      <c r="D1266" s="221" t="s">
        <v>2050</v>
      </c>
      <c r="E1266" s="221" t="s">
        <v>6368</v>
      </c>
      <c r="F1266" s="213" t="s">
        <v>6369</v>
      </c>
      <c r="G1266" s="213" t="s">
        <v>2050</v>
      </c>
      <c r="H1266" s="221" t="s">
        <v>6293</v>
      </c>
      <c r="I1266" s="213" t="s">
        <v>6294</v>
      </c>
      <c r="J1266" s="213" t="s">
        <v>6295</v>
      </c>
      <c r="K1266" s="213" t="s">
        <v>9734</v>
      </c>
      <c r="L1266" s="213" t="str">
        <f t="shared" si="4"/>
        <v>blood red+silver strobe</v>
      </c>
      <c r="M1266" s="213" t="s">
        <v>10407</v>
      </c>
      <c r="P1266" s="121"/>
    </row>
    <row r="1267" spans="1:16" ht="15" customHeight="1">
      <c r="A1267" s="213" t="s">
        <v>2134</v>
      </c>
      <c r="B1267" s="225" t="s">
        <v>2028</v>
      </c>
      <c r="C1267" s="225" t="s">
        <v>2028</v>
      </c>
      <c r="D1267" s="225" t="s">
        <v>2028</v>
      </c>
      <c r="E1267" s="225" t="s">
        <v>5414</v>
      </c>
      <c r="F1267" s="225" t="s">
        <v>6217</v>
      </c>
      <c r="G1267" s="225" t="s">
        <v>2028</v>
      </c>
      <c r="H1267" s="225" t="s">
        <v>5438</v>
      </c>
      <c r="I1267" s="225" t="s">
        <v>6218</v>
      </c>
      <c r="J1267" s="225" t="s">
        <v>6219</v>
      </c>
      <c r="K1267" s="225" t="s">
        <v>9567</v>
      </c>
      <c r="L1267" s="213" t="str">
        <f t="shared" si="4"/>
        <v>golden Ti-willow</v>
      </c>
      <c r="M1267" s="225" t="s">
        <v>10374</v>
      </c>
    </row>
    <row r="1268" spans="1:16" ht="15" customHeight="1">
      <c r="A1268" s="213" t="s">
        <v>2135</v>
      </c>
      <c r="B1268" s="225" t="s">
        <v>2095</v>
      </c>
      <c r="C1268" s="225" t="s">
        <v>2095</v>
      </c>
      <c r="D1268" s="225" t="s">
        <v>2095</v>
      </c>
      <c r="E1268" s="225" t="s">
        <v>6370</v>
      </c>
      <c r="F1268" s="225" t="s">
        <v>6371</v>
      </c>
      <c r="G1268" s="225" t="s">
        <v>2095</v>
      </c>
      <c r="H1268" s="225" t="s">
        <v>6372</v>
      </c>
      <c r="I1268" s="225" t="s">
        <v>6373</v>
      </c>
      <c r="J1268" s="225" t="s">
        <v>6374</v>
      </c>
      <c r="K1268" s="225" t="s">
        <v>9749</v>
      </c>
      <c r="L1268" s="213" t="str">
        <f t="shared" si="4"/>
        <v>silver strobe</v>
      </c>
      <c r="M1268" s="225" t="s">
        <v>10408</v>
      </c>
    </row>
    <row r="1269" spans="1:16" ht="15" customHeight="1">
      <c r="A1269" s="213" t="s">
        <v>2136</v>
      </c>
      <c r="B1269" s="225" t="s">
        <v>2026</v>
      </c>
      <c r="C1269" s="225" t="s">
        <v>2026</v>
      </c>
      <c r="D1269" s="225" t="s">
        <v>2026</v>
      </c>
      <c r="E1269" s="225" t="s">
        <v>6212</v>
      </c>
      <c r="F1269" s="225" t="s">
        <v>6213</v>
      </c>
      <c r="G1269" s="225" t="s">
        <v>2026</v>
      </c>
      <c r="H1269" s="225" t="s">
        <v>6214</v>
      </c>
      <c r="I1269" s="225" t="s">
        <v>6215</v>
      </c>
      <c r="J1269" s="225" t="s">
        <v>6216</v>
      </c>
      <c r="K1269" s="225" t="s">
        <v>9716</v>
      </c>
      <c r="L1269" s="213" t="str">
        <f t="shared" si="4"/>
        <v>silver tail to silver palm tree</v>
      </c>
      <c r="M1269" s="225" t="s">
        <v>10389</v>
      </c>
    </row>
    <row r="1270" spans="1:16" ht="15" customHeight="1">
      <c r="A1270" s="213" t="s">
        <v>2137</v>
      </c>
      <c r="B1270" s="225" t="s">
        <v>2098</v>
      </c>
      <c r="C1270" s="225" t="s">
        <v>2098</v>
      </c>
      <c r="D1270" s="225" t="s">
        <v>2098</v>
      </c>
      <c r="E1270" s="225" t="s">
        <v>6375</v>
      </c>
      <c r="F1270" s="225" t="s">
        <v>6376</v>
      </c>
      <c r="G1270" s="225" t="s">
        <v>2098</v>
      </c>
      <c r="H1270" s="225" t="s">
        <v>6377</v>
      </c>
      <c r="I1270" s="225" t="s">
        <v>6378</v>
      </c>
      <c r="J1270" s="225" t="s">
        <v>6379</v>
      </c>
      <c r="K1270" s="225" t="s">
        <v>9750</v>
      </c>
      <c r="L1270" s="213" t="str">
        <f t="shared" si="4"/>
        <v>special strobe red</v>
      </c>
      <c r="M1270" s="225" t="s">
        <v>10409</v>
      </c>
    </row>
    <row r="1271" spans="1:16" ht="15" customHeight="1">
      <c r="A1271" s="213" t="s">
        <v>2138</v>
      </c>
      <c r="B1271" s="225" t="s">
        <v>2099</v>
      </c>
      <c r="C1271" s="225" t="s">
        <v>2099</v>
      </c>
      <c r="D1271" s="225" t="s">
        <v>2099</v>
      </c>
      <c r="E1271" s="225" t="s">
        <v>6380</v>
      </c>
      <c r="F1271" s="225" t="s">
        <v>6381</v>
      </c>
      <c r="G1271" s="225" t="s">
        <v>2099</v>
      </c>
      <c r="H1271" s="225" t="s">
        <v>6382</v>
      </c>
      <c r="I1271" s="225" t="s">
        <v>6383</v>
      </c>
      <c r="J1271" s="225" t="s">
        <v>6384</v>
      </c>
      <c r="K1271" s="225" t="s">
        <v>9751</v>
      </c>
      <c r="L1271" s="213" t="str">
        <f t="shared" si="4"/>
        <v>green peony with corrola pistil with brocade trunk</v>
      </c>
      <c r="M1271" s="225" t="s">
        <v>10410</v>
      </c>
    </row>
    <row r="1272" spans="1:16" ht="15" customHeight="1">
      <c r="A1272" s="213" t="s">
        <v>2139</v>
      </c>
      <c r="B1272" s="225" t="s">
        <v>2101</v>
      </c>
      <c r="C1272" s="225" t="s">
        <v>2101</v>
      </c>
      <c r="D1272" s="225" t="s">
        <v>2101</v>
      </c>
      <c r="E1272" s="225" t="s">
        <v>6385</v>
      </c>
      <c r="F1272" s="225" t="s">
        <v>6386</v>
      </c>
      <c r="G1272" s="225" t="s">
        <v>2101</v>
      </c>
      <c r="H1272" s="225" t="s">
        <v>6387</v>
      </c>
      <c r="I1272" s="225" t="s">
        <v>6388</v>
      </c>
      <c r="J1272" s="225" t="s">
        <v>6389</v>
      </c>
      <c r="K1272" s="225" t="s">
        <v>9752</v>
      </c>
      <c r="L1272" s="213" t="str">
        <f t="shared" si="4"/>
        <v>silver wave to blue w.crackling</v>
      </c>
      <c r="M1272" s="225" t="s">
        <v>10411</v>
      </c>
    </row>
    <row r="1273" spans="1:16" ht="15" customHeight="1">
      <c r="A1273" s="213" t="s">
        <v>2140</v>
      </c>
      <c r="B1273" s="225" t="s">
        <v>2102</v>
      </c>
      <c r="C1273" s="225" t="s">
        <v>2102</v>
      </c>
      <c r="D1273" s="225" t="s">
        <v>2102</v>
      </c>
      <c r="E1273" s="225" t="s">
        <v>6390</v>
      </c>
      <c r="F1273" s="225" t="s">
        <v>6391</v>
      </c>
      <c r="G1273" s="225" t="s">
        <v>2102</v>
      </c>
      <c r="H1273" s="225" t="s">
        <v>6392</v>
      </c>
      <c r="I1273" s="225" t="s">
        <v>6393</v>
      </c>
      <c r="J1273" s="225" t="s">
        <v>6394</v>
      </c>
      <c r="K1273" s="225" t="s">
        <v>9753</v>
      </c>
      <c r="L1273" s="213" t="str">
        <f t="shared" si="4"/>
        <v>purple crossette</v>
      </c>
      <c r="M1273" s="225" t="s">
        <v>10412</v>
      </c>
    </row>
    <row r="1274" spans="1:16" ht="15" customHeight="1">
      <c r="A1274" s="213" t="s">
        <v>2141</v>
      </c>
      <c r="B1274" s="225" t="s">
        <v>2042</v>
      </c>
      <c r="C1274" s="225" t="s">
        <v>2042</v>
      </c>
      <c r="D1274" s="225" t="s">
        <v>2042</v>
      </c>
      <c r="E1274" s="225" t="s">
        <v>6395</v>
      </c>
      <c r="F1274" s="225" t="s">
        <v>6396</v>
      </c>
      <c r="G1274" s="225" t="s">
        <v>2042</v>
      </c>
      <c r="H1274" s="225" t="s">
        <v>6397</v>
      </c>
      <c r="I1274" s="225" t="s">
        <v>6269</v>
      </c>
      <c r="J1274" s="225" t="s">
        <v>6398</v>
      </c>
      <c r="K1274" s="225" t="s">
        <v>9754</v>
      </c>
      <c r="L1274" s="213" t="str">
        <f t="shared" si="4"/>
        <v>brocade crown crossette</v>
      </c>
      <c r="M1274" s="225" t="s">
        <v>10413</v>
      </c>
    </row>
    <row r="1275" spans="1:16" ht="15" customHeight="1">
      <c r="A1275" s="213" t="s">
        <v>2142</v>
      </c>
      <c r="B1275" s="225" t="s">
        <v>2104</v>
      </c>
      <c r="C1275" s="225" t="s">
        <v>2104</v>
      </c>
      <c r="D1275" s="225" t="s">
        <v>2104</v>
      </c>
      <c r="E1275" s="225" t="s">
        <v>6399</v>
      </c>
      <c r="F1275" s="225" t="s">
        <v>6400</v>
      </c>
      <c r="G1275" s="225" t="s">
        <v>2104</v>
      </c>
      <c r="H1275" s="225" t="s">
        <v>6401</v>
      </c>
      <c r="I1275" s="225" t="s">
        <v>6402</v>
      </c>
      <c r="J1275" s="225" t="s">
        <v>6403</v>
      </c>
      <c r="K1275" s="225" t="s">
        <v>9755</v>
      </c>
      <c r="L1275" s="213" t="str">
        <f t="shared" si="4"/>
        <v>golden wave to red</v>
      </c>
      <c r="M1275" s="225" t="s">
        <v>10414</v>
      </c>
    </row>
    <row r="1276" spans="1:16" ht="15" customHeight="1">
      <c r="A1276" s="213" t="s">
        <v>2143</v>
      </c>
      <c r="B1276" s="225" t="s">
        <v>2052</v>
      </c>
      <c r="C1276" s="225" t="s">
        <v>2052</v>
      </c>
      <c r="D1276" s="225" t="s">
        <v>2052</v>
      </c>
      <c r="E1276" s="225" t="s">
        <v>6233</v>
      </c>
      <c r="F1276" s="225" t="s">
        <v>6404</v>
      </c>
      <c r="G1276" s="225" t="s">
        <v>2052</v>
      </c>
      <c r="H1276" s="225" t="s">
        <v>6405</v>
      </c>
      <c r="I1276" s="225" t="s">
        <v>6236</v>
      </c>
      <c r="J1276" s="225" t="s">
        <v>6237</v>
      </c>
      <c r="K1276" s="225" t="s">
        <v>9720</v>
      </c>
      <c r="L1276" s="213" t="str">
        <f t="shared" si="4"/>
        <v>colorful chrysanthemum</v>
      </c>
      <c r="M1276" s="225" t="s">
        <v>10378</v>
      </c>
    </row>
    <row r="1277" spans="1:16" ht="15" customHeight="1">
      <c r="A1277" s="213" t="s">
        <v>2144</v>
      </c>
      <c r="B1277" s="225" t="s">
        <v>2105</v>
      </c>
      <c r="C1277" s="225" t="s">
        <v>2105</v>
      </c>
      <c r="D1277" s="225" t="s">
        <v>2105</v>
      </c>
      <c r="E1277" s="225" t="s">
        <v>6406</v>
      </c>
      <c r="F1277" s="225" t="s">
        <v>6407</v>
      </c>
      <c r="G1277" s="225" t="s">
        <v>2105</v>
      </c>
      <c r="H1277" s="225" t="s">
        <v>6408</v>
      </c>
      <c r="I1277" s="225" t="s">
        <v>6409</v>
      </c>
      <c r="J1277" s="225" t="s">
        <v>6410</v>
      </c>
      <c r="K1277" s="225" t="s">
        <v>9756</v>
      </c>
      <c r="L1277" s="213" t="str">
        <f t="shared" si="4"/>
        <v>silver willow w.red pistil</v>
      </c>
      <c r="M1277" s="225" t="s">
        <v>10415</v>
      </c>
    </row>
    <row r="1278" spans="1:16" ht="15" customHeight="1">
      <c r="A1278" s="213" t="s">
        <v>2145</v>
      </c>
      <c r="B1278" s="225" t="s">
        <v>2106</v>
      </c>
      <c r="C1278" s="225" t="s">
        <v>2106</v>
      </c>
      <c r="D1278" s="225" t="s">
        <v>2106</v>
      </c>
      <c r="E1278" s="225" t="s">
        <v>6411</v>
      </c>
      <c r="F1278" s="225" t="s">
        <v>6412</v>
      </c>
      <c r="G1278" s="225" t="s">
        <v>2106</v>
      </c>
      <c r="H1278" s="225" t="s">
        <v>6413</v>
      </c>
      <c r="I1278" s="225" t="s">
        <v>6414</v>
      </c>
      <c r="J1278" s="225" t="s">
        <v>6415</v>
      </c>
      <c r="K1278" s="225" t="s">
        <v>9757</v>
      </c>
      <c r="L1278" s="213" t="str">
        <f t="shared" si="4"/>
        <v>silver tail to red peony w.silver palm pistil</v>
      </c>
      <c r="M1278" s="225" t="s">
        <v>10416</v>
      </c>
    </row>
    <row r="1279" spans="1:16" ht="15" customHeight="1">
      <c r="A1279" s="213" t="s">
        <v>2146</v>
      </c>
      <c r="B1279" s="225" t="s">
        <v>2107</v>
      </c>
      <c r="C1279" s="225" t="s">
        <v>2107</v>
      </c>
      <c r="D1279" s="225" t="s">
        <v>2107</v>
      </c>
      <c r="E1279" s="225" t="s">
        <v>6416</v>
      </c>
      <c r="F1279" s="225" t="s">
        <v>6417</v>
      </c>
      <c r="G1279" s="225" t="s">
        <v>2107</v>
      </c>
      <c r="H1279" s="225" t="s">
        <v>6418</v>
      </c>
      <c r="I1279" s="225" t="s">
        <v>6419</v>
      </c>
      <c r="J1279" s="225" t="s">
        <v>6420</v>
      </c>
      <c r="K1279" s="225" t="s">
        <v>9758</v>
      </c>
      <c r="L1279" s="213" t="str">
        <f t="shared" si="4"/>
        <v xml:space="preserve">red gamboge to red to blue chrys.to red spider ring </v>
      </c>
      <c r="M1279" s="225" t="s">
        <v>10417</v>
      </c>
    </row>
    <row r="1280" spans="1:16" ht="15" customHeight="1">
      <c r="A1280" s="213" t="s">
        <v>2147</v>
      </c>
      <c r="B1280" s="225" t="s">
        <v>2108</v>
      </c>
      <c r="C1280" s="225" t="s">
        <v>2108</v>
      </c>
      <c r="D1280" s="225" t="s">
        <v>2108</v>
      </c>
      <c r="E1280" s="225" t="s">
        <v>6421</v>
      </c>
      <c r="F1280" s="225" t="s">
        <v>6422</v>
      </c>
      <c r="G1280" s="225" t="s">
        <v>2108</v>
      </c>
      <c r="H1280" s="225" t="s">
        <v>6423</v>
      </c>
      <c r="I1280" s="225" t="s">
        <v>6424</v>
      </c>
      <c r="J1280" s="225" t="s">
        <v>6425</v>
      </c>
      <c r="K1280" s="225" t="s">
        <v>9759</v>
      </c>
      <c r="L1280" s="213" t="str">
        <f t="shared" si="4"/>
        <v>red peony to brocade</v>
      </c>
      <c r="M1280" s="225" t="s">
        <v>10418</v>
      </c>
    </row>
    <row r="1281" spans="1:13" ht="15" customHeight="1">
      <c r="A1281" s="213" t="s">
        <v>2148</v>
      </c>
      <c r="B1281" s="225" t="s">
        <v>2109</v>
      </c>
      <c r="C1281" s="225" t="s">
        <v>2109</v>
      </c>
      <c r="D1281" s="225" t="s">
        <v>2109</v>
      </c>
      <c r="E1281" s="225" t="s">
        <v>6426</v>
      </c>
      <c r="F1281" s="225" t="s">
        <v>6427</v>
      </c>
      <c r="G1281" s="225" t="s">
        <v>2109</v>
      </c>
      <c r="H1281" s="225" t="s">
        <v>6428</v>
      </c>
      <c r="I1281" s="225" t="s">
        <v>6429</v>
      </c>
      <c r="J1281" s="225" t="s">
        <v>6430</v>
      </c>
      <c r="K1281" s="225" t="s">
        <v>9760</v>
      </c>
      <c r="L1281" s="213" t="str">
        <f t="shared" si="4"/>
        <v>palm pistil with water peony</v>
      </c>
      <c r="M1281" s="225" t="s">
        <v>10419</v>
      </c>
    </row>
    <row r="1282" spans="1:13" ht="15" customHeight="1">
      <c r="A1282" s="213" t="s">
        <v>2149</v>
      </c>
      <c r="B1282" s="225" t="s">
        <v>2110</v>
      </c>
      <c r="C1282" s="225" t="s">
        <v>2110</v>
      </c>
      <c r="D1282" s="225" t="s">
        <v>2110</v>
      </c>
      <c r="E1282" s="225" t="s">
        <v>6431</v>
      </c>
      <c r="F1282" s="225" t="s">
        <v>6432</v>
      </c>
      <c r="G1282" s="225" t="s">
        <v>2110</v>
      </c>
      <c r="H1282" s="225" t="s">
        <v>6433</v>
      </c>
      <c r="I1282" s="225" t="s">
        <v>6434</v>
      </c>
      <c r="J1282" s="225" t="s">
        <v>6435</v>
      </c>
      <c r="K1282" s="225" t="s">
        <v>9761</v>
      </c>
      <c r="L1282" s="213" t="str">
        <f t="shared" si="4"/>
        <v>blue ring with chrysanthemum pistil</v>
      </c>
      <c r="M1282" s="225" t="s">
        <v>10420</v>
      </c>
    </row>
    <row r="1283" spans="1:13" ht="15" customHeight="1">
      <c r="A1283" s="213" t="s">
        <v>2150</v>
      </c>
      <c r="B1283" s="225" t="s">
        <v>2112</v>
      </c>
      <c r="C1283" s="225" t="s">
        <v>2112</v>
      </c>
      <c r="D1283" s="225" t="s">
        <v>2112</v>
      </c>
      <c r="E1283" s="225" t="s">
        <v>5408</v>
      </c>
      <c r="F1283" s="225" t="s">
        <v>6436</v>
      </c>
      <c r="G1283" s="225" t="s">
        <v>2112</v>
      </c>
      <c r="H1283" s="225" t="s">
        <v>6437</v>
      </c>
      <c r="I1283" s="225" t="s">
        <v>6438</v>
      </c>
      <c r="J1283" s="225" t="s">
        <v>6439</v>
      </c>
      <c r="K1283" s="225" t="s">
        <v>9762</v>
      </c>
      <c r="L1283" s="213" t="str">
        <f t="shared" si="4"/>
        <v>red strobe willow</v>
      </c>
      <c r="M1283" s="225" t="s">
        <v>10421</v>
      </c>
    </row>
    <row r="1284" spans="1:13" ht="15" customHeight="1">
      <c r="A1284" s="213" t="s">
        <v>2151</v>
      </c>
      <c r="B1284" s="225" t="s">
        <v>2114</v>
      </c>
      <c r="C1284" s="225" t="s">
        <v>2114</v>
      </c>
      <c r="D1284" s="225" t="s">
        <v>2114</v>
      </c>
      <c r="E1284" s="225" t="s">
        <v>6440</v>
      </c>
      <c r="F1284" s="225" t="s">
        <v>6441</v>
      </c>
      <c r="G1284" s="225" t="s">
        <v>2114</v>
      </c>
      <c r="H1284" s="225" t="s">
        <v>6442</v>
      </c>
      <c r="I1284" s="225" t="s">
        <v>6443</v>
      </c>
      <c r="J1284" s="225" t="s">
        <v>6444</v>
      </c>
      <c r="K1284" s="225" t="s">
        <v>9763</v>
      </c>
      <c r="L1284" s="213" t="str">
        <f t="shared" si="4"/>
        <v>red three swords man</v>
      </c>
      <c r="M1284" s="225" t="s">
        <v>10422</v>
      </c>
    </row>
    <row r="1285" spans="1:13" ht="15" customHeight="1">
      <c r="A1285" s="213" t="s">
        <v>2152</v>
      </c>
      <c r="B1285" s="225" t="s">
        <v>2115</v>
      </c>
      <c r="C1285" s="225" t="s">
        <v>2115</v>
      </c>
      <c r="D1285" s="225" t="s">
        <v>2115</v>
      </c>
      <c r="E1285" s="225" t="s">
        <v>6445</v>
      </c>
      <c r="F1285" s="225" t="s">
        <v>6446</v>
      </c>
      <c r="G1285" s="225" t="s">
        <v>2115</v>
      </c>
      <c r="H1285" s="225" t="s">
        <v>6447</v>
      </c>
      <c r="I1285" s="225" t="s">
        <v>6448</v>
      </c>
      <c r="J1285" s="225" t="s">
        <v>6449</v>
      </c>
      <c r="K1285" s="225" t="s">
        <v>9764</v>
      </c>
      <c r="L1285" s="213" t="str">
        <f t="shared" si="4"/>
        <v>orange wave to green</v>
      </c>
      <c r="M1285" s="225" t="s">
        <v>10423</v>
      </c>
    </row>
    <row r="1286" spans="1:13" ht="15" customHeight="1">
      <c r="A1286" s="213" t="s">
        <v>2153</v>
      </c>
      <c r="B1286" s="225" t="s">
        <v>2117</v>
      </c>
      <c r="C1286" s="225" t="s">
        <v>2117</v>
      </c>
      <c r="D1286" s="225" t="s">
        <v>2117</v>
      </c>
      <c r="E1286" s="225" t="s">
        <v>6450</v>
      </c>
      <c r="F1286" s="225" t="s">
        <v>6451</v>
      </c>
      <c r="G1286" s="225" t="s">
        <v>2117</v>
      </c>
      <c r="H1286" s="225" t="s">
        <v>6452</v>
      </c>
      <c r="I1286" s="225" t="s">
        <v>6453</v>
      </c>
      <c r="J1286" s="225" t="s">
        <v>6454</v>
      </c>
      <c r="K1286" s="225" t="s">
        <v>9765</v>
      </c>
      <c r="L1286" s="213" t="str">
        <f t="shared" si="4"/>
        <v>brocade crown to color</v>
      </c>
      <c r="M1286" s="225" t="s">
        <v>10424</v>
      </c>
    </row>
    <row r="1287" spans="1:13" ht="15" customHeight="1">
      <c r="A1287" s="213" t="s">
        <v>2628</v>
      </c>
      <c r="B1287" s="225" t="s">
        <v>2863</v>
      </c>
      <c r="C1287" s="225" t="s">
        <v>2863</v>
      </c>
      <c r="D1287" s="225" t="s">
        <v>2863</v>
      </c>
      <c r="E1287" s="225" t="s">
        <v>6455</v>
      </c>
      <c r="F1287" s="225" t="s">
        <v>6456</v>
      </c>
      <c r="G1287" s="225" t="s">
        <v>2863</v>
      </c>
      <c r="H1287" s="225" t="s">
        <v>6457</v>
      </c>
      <c r="I1287" s="225" t="s">
        <v>6458</v>
      </c>
      <c r="J1287" s="225" t="s">
        <v>6459</v>
      </c>
      <c r="K1287" s="225" t="s">
        <v>9766</v>
      </c>
      <c r="L1287" s="213" t="str">
        <f t="shared" si="4"/>
        <v>crackling wave to red</v>
      </c>
      <c r="M1287" s="225" t="s">
        <v>10425</v>
      </c>
    </row>
    <row r="1288" spans="1:13" ht="15" customHeight="1">
      <c r="A1288" s="213" t="s">
        <v>2629</v>
      </c>
      <c r="B1288" s="225" t="s">
        <v>2864</v>
      </c>
      <c r="C1288" s="225" t="s">
        <v>2864</v>
      </c>
      <c r="D1288" s="225" t="s">
        <v>2864</v>
      </c>
      <c r="E1288" s="225" t="s">
        <v>6460</v>
      </c>
      <c r="F1288" s="225" t="s">
        <v>6461</v>
      </c>
      <c r="G1288" s="225" t="s">
        <v>2864</v>
      </c>
      <c r="H1288" s="225" t="s">
        <v>6462</v>
      </c>
      <c r="I1288" s="225" t="s">
        <v>6463</v>
      </c>
      <c r="J1288" s="225" t="s">
        <v>6464</v>
      </c>
      <c r="K1288" s="225" t="s">
        <v>9767</v>
      </c>
      <c r="L1288" s="213" t="str">
        <f t="shared" si="4"/>
        <v>silver coco w/crackling rain pistil</v>
      </c>
      <c r="M1288" s="225" t="s">
        <v>10426</v>
      </c>
    </row>
    <row r="1289" spans="1:13" ht="15" customHeight="1">
      <c r="A1289" s="213" t="s">
        <v>2630</v>
      </c>
      <c r="B1289" s="225" t="s">
        <v>2865</v>
      </c>
      <c r="C1289" s="225" t="s">
        <v>2865</v>
      </c>
      <c r="D1289" s="225" t="s">
        <v>2865</v>
      </c>
      <c r="E1289" s="225" t="s">
        <v>6465</v>
      </c>
      <c r="F1289" s="225" t="s">
        <v>6466</v>
      </c>
      <c r="G1289" s="225" t="s">
        <v>2865</v>
      </c>
      <c r="H1289" s="225" t="s">
        <v>6465</v>
      </c>
      <c r="I1289" s="225" t="s">
        <v>6467</v>
      </c>
      <c r="J1289" s="225" t="s">
        <v>6468</v>
      </c>
      <c r="K1289" s="225" t="s">
        <v>9768</v>
      </c>
      <c r="L1289" s="213" t="str">
        <f t="shared" si="4"/>
        <v>crackling waterfall</v>
      </c>
      <c r="M1289" s="225" t="s">
        <v>10427</v>
      </c>
    </row>
    <row r="1290" spans="1:13" ht="15" customHeight="1">
      <c r="A1290" s="213" t="s">
        <v>2632</v>
      </c>
      <c r="B1290" s="225" t="s">
        <v>2866</v>
      </c>
      <c r="C1290" s="225" t="s">
        <v>2866</v>
      </c>
      <c r="D1290" s="225" t="s">
        <v>2866</v>
      </c>
      <c r="E1290" s="225" t="s">
        <v>6469</v>
      </c>
      <c r="F1290" s="225" t="s">
        <v>6470</v>
      </c>
      <c r="G1290" s="225" t="s">
        <v>2866</v>
      </c>
      <c r="H1290" s="225" t="s">
        <v>6471</v>
      </c>
      <c r="I1290" s="225" t="s">
        <v>6472</v>
      </c>
      <c r="J1290" s="225" t="s">
        <v>6473</v>
      </c>
      <c r="K1290" s="225" t="s">
        <v>9769</v>
      </c>
      <c r="L1290" s="213" t="str">
        <f t="shared" si="4"/>
        <v>crackling willow crossette</v>
      </c>
      <c r="M1290" s="225" t="s">
        <v>10428</v>
      </c>
    </row>
    <row r="1291" spans="1:13" ht="15" customHeight="1">
      <c r="A1291" s="213" t="s">
        <v>2634</v>
      </c>
      <c r="B1291" s="225" t="s">
        <v>2867</v>
      </c>
      <c r="C1291" s="225" t="s">
        <v>2867</v>
      </c>
      <c r="D1291" s="225" t="s">
        <v>2867</v>
      </c>
      <c r="E1291" s="225" t="s">
        <v>6474</v>
      </c>
      <c r="F1291" s="225" t="s">
        <v>6475</v>
      </c>
      <c r="G1291" s="225" t="s">
        <v>2867</v>
      </c>
      <c r="H1291" s="225" t="s">
        <v>6476</v>
      </c>
      <c r="I1291" s="225" t="s">
        <v>6477</v>
      </c>
      <c r="J1291" s="225" t="s">
        <v>6478</v>
      </c>
      <c r="K1291" s="225" t="s">
        <v>9770</v>
      </c>
      <c r="L1291" s="213" t="str">
        <f t="shared" si="4"/>
        <v>silver dragon ring+red crossette(cylinder)</v>
      </c>
      <c r="M1291" s="225" t="s">
        <v>10429</v>
      </c>
    </row>
    <row r="1292" spans="1:13" ht="15" customHeight="1">
      <c r="A1292" s="213" t="s">
        <v>2635</v>
      </c>
      <c r="B1292" s="225" t="s">
        <v>2868</v>
      </c>
      <c r="C1292" s="225" t="s">
        <v>2868</v>
      </c>
      <c r="D1292" s="225" t="s">
        <v>2868</v>
      </c>
      <c r="E1292" s="225" t="s">
        <v>6479</v>
      </c>
      <c r="F1292" s="225" t="s">
        <v>6480</v>
      </c>
      <c r="G1292" s="225" t="s">
        <v>2868</v>
      </c>
      <c r="H1292" s="225" t="s">
        <v>6481</v>
      </c>
      <c r="I1292" s="225" t="s">
        <v>6482</v>
      </c>
      <c r="J1292" s="225" t="s">
        <v>6483</v>
      </c>
      <c r="K1292" s="225" t="s">
        <v>9771</v>
      </c>
      <c r="L1292" s="213" t="str">
        <f t="shared" si="4"/>
        <v>silver crackling coco w/red strobe up silver crackling tiger tail</v>
      </c>
      <c r="M1292" s="225" t="s">
        <v>10430</v>
      </c>
    </row>
    <row r="1293" spans="1:13" ht="15" customHeight="1">
      <c r="A1293" s="213" t="s">
        <v>2154</v>
      </c>
      <c r="B1293" s="225" t="s">
        <v>2156</v>
      </c>
      <c r="C1293" s="225" t="s">
        <v>2156</v>
      </c>
      <c r="D1293" s="225" t="s">
        <v>2156</v>
      </c>
      <c r="E1293" s="225" t="s">
        <v>6484</v>
      </c>
      <c r="F1293" s="225" t="s">
        <v>6485</v>
      </c>
      <c r="G1293" s="225" t="s">
        <v>2156</v>
      </c>
      <c r="H1293" s="225" t="s">
        <v>6486</v>
      </c>
      <c r="I1293" s="225" t="s">
        <v>6487</v>
      </c>
      <c r="J1293" s="225" t="s">
        <v>6488</v>
      </c>
      <c r="K1293" s="225" t="s">
        <v>9772</v>
      </c>
      <c r="L1293" s="213" t="str">
        <f t="shared" si="4"/>
        <v>Mixed carton contains-premium quality-each box including: S4L blood red+silver strobe, S4CH flower crown with red glitter pistil, S4Z/8 brocade crown to color, S4Z/7 orange wave to green</v>
      </c>
      <c r="M1293" s="213" t="str">
        <f>C1293</f>
        <v>Mixed carton contains-premium quality-each box including: S4L blood red+silver strobe, S4CH flower crown with red glitter pistil, S4Z/8 brocade crown to color, S4Z/7 orange wave to green</v>
      </c>
    </row>
    <row r="1294" spans="1:13" ht="15" customHeight="1">
      <c r="A1294" s="213" t="s">
        <v>2165</v>
      </c>
      <c r="B1294" s="225" t="s">
        <v>2157</v>
      </c>
      <c r="C1294" s="225" t="s">
        <v>2157</v>
      </c>
      <c r="D1294" s="225" t="s">
        <v>2157</v>
      </c>
      <c r="E1294" s="225" t="s">
        <v>6489</v>
      </c>
      <c r="F1294" s="225" t="s">
        <v>6490</v>
      </c>
      <c r="G1294" s="225" t="s">
        <v>2157</v>
      </c>
      <c r="H1294" s="225" t="s">
        <v>6491</v>
      </c>
      <c r="I1294" s="225" t="s">
        <v>6492</v>
      </c>
      <c r="J1294" s="225" t="s">
        <v>6493</v>
      </c>
      <c r="K1294" s="225" t="s">
        <v>9773</v>
      </c>
      <c r="L1294" s="213" t="str">
        <f t="shared" si="4"/>
        <v xml:space="preserve">crackling crossette </v>
      </c>
      <c r="M1294" s="225" t="s">
        <v>10431</v>
      </c>
    </row>
    <row r="1295" spans="1:13" ht="15" customHeight="1">
      <c r="A1295" s="213" t="s">
        <v>2166</v>
      </c>
      <c r="B1295" s="225" t="s">
        <v>2167</v>
      </c>
      <c r="C1295" s="225" t="s">
        <v>2167</v>
      </c>
      <c r="D1295" s="225" t="s">
        <v>2167</v>
      </c>
      <c r="E1295" s="225" t="s">
        <v>6494</v>
      </c>
      <c r="F1295" s="225" t="s">
        <v>6495</v>
      </c>
      <c r="G1295" s="225" t="s">
        <v>2167</v>
      </c>
      <c r="H1295" s="225" t="s">
        <v>6496</v>
      </c>
      <c r="I1295" s="225" t="s">
        <v>6497</v>
      </c>
      <c r="J1295" s="225" t="s">
        <v>6498</v>
      </c>
      <c r="K1295" s="225" t="s">
        <v>9774</v>
      </c>
      <c r="L1295" s="213" t="str">
        <f t="shared" si="4"/>
        <v xml:space="preserve">silver spider w.strobe pistil </v>
      </c>
      <c r="M1295" s="225" t="s">
        <v>10432</v>
      </c>
    </row>
    <row r="1296" spans="1:13" ht="15" customHeight="1">
      <c r="A1296" s="213" t="s">
        <v>2168</v>
      </c>
      <c r="B1296" s="225" t="s">
        <v>2170</v>
      </c>
      <c r="C1296" s="225" t="s">
        <v>2170</v>
      </c>
      <c r="D1296" s="225" t="s">
        <v>2170</v>
      </c>
      <c r="E1296" s="225" t="s">
        <v>6499</v>
      </c>
      <c r="F1296" s="225" t="s">
        <v>6500</v>
      </c>
      <c r="G1296" s="225" t="s">
        <v>2170</v>
      </c>
      <c r="H1296" s="225" t="s">
        <v>6501</v>
      </c>
      <c r="I1296" s="225" t="s">
        <v>6502</v>
      </c>
      <c r="J1296" s="225" t="s">
        <v>6503</v>
      </c>
      <c r="K1296" s="225" t="s">
        <v>9775</v>
      </c>
      <c r="L1296" s="213" t="str">
        <f t="shared" si="4"/>
        <v xml:space="preserve">silver glittering red coco crossette </v>
      </c>
      <c r="M1296" s="225" t="s">
        <v>10433</v>
      </c>
    </row>
    <row r="1297" spans="1:13" ht="15" customHeight="1">
      <c r="A1297" s="213" t="s">
        <v>2171</v>
      </c>
      <c r="B1297" s="225" t="s">
        <v>2159</v>
      </c>
      <c r="C1297" s="225" t="s">
        <v>2159</v>
      </c>
      <c r="D1297" s="225" t="s">
        <v>2159</v>
      </c>
      <c r="E1297" s="225" t="s">
        <v>5414</v>
      </c>
      <c r="F1297" s="225" t="s">
        <v>6504</v>
      </c>
      <c r="G1297" s="225" t="s">
        <v>2159</v>
      </c>
      <c r="H1297" s="225" t="s">
        <v>5438</v>
      </c>
      <c r="I1297" s="225" t="s">
        <v>6505</v>
      </c>
      <c r="J1297" s="225" t="s">
        <v>6219</v>
      </c>
      <c r="K1297" s="225" t="s">
        <v>9567</v>
      </c>
      <c r="L1297" s="213" t="str">
        <f t="shared" si="4"/>
        <v xml:space="preserve">golden Ti-willow </v>
      </c>
      <c r="M1297" s="225" t="s">
        <v>10374</v>
      </c>
    </row>
    <row r="1298" spans="1:13" ht="15" customHeight="1">
      <c r="A1298" s="213" t="s">
        <v>2172</v>
      </c>
      <c r="B1298" s="225" t="s">
        <v>2026</v>
      </c>
      <c r="C1298" s="225" t="s">
        <v>2026</v>
      </c>
      <c r="D1298" s="225" t="s">
        <v>2026</v>
      </c>
      <c r="E1298" s="225" t="s">
        <v>6212</v>
      </c>
      <c r="F1298" s="225" t="s">
        <v>6213</v>
      </c>
      <c r="G1298" s="225" t="s">
        <v>2026</v>
      </c>
      <c r="H1298" s="225" t="s">
        <v>6214</v>
      </c>
      <c r="I1298" s="225" t="s">
        <v>6215</v>
      </c>
      <c r="J1298" s="225" t="s">
        <v>6216</v>
      </c>
      <c r="K1298" s="225" t="s">
        <v>9716</v>
      </c>
      <c r="L1298" s="213" t="str">
        <f t="shared" si="4"/>
        <v>silver tail to silver palm tree</v>
      </c>
      <c r="M1298" s="225" t="s">
        <v>10389</v>
      </c>
    </row>
    <row r="1299" spans="1:13" ht="15" customHeight="1">
      <c r="A1299" s="213" t="s">
        <v>2173</v>
      </c>
      <c r="B1299" s="225" t="s">
        <v>2089</v>
      </c>
      <c r="C1299" s="225" t="s">
        <v>2089</v>
      </c>
      <c r="D1299" s="225" t="s">
        <v>2089</v>
      </c>
      <c r="E1299" s="225" t="s">
        <v>6358</v>
      </c>
      <c r="F1299" s="225" t="s">
        <v>6359</v>
      </c>
      <c r="G1299" s="225" t="s">
        <v>2089</v>
      </c>
      <c r="H1299" s="225" t="s">
        <v>6506</v>
      </c>
      <c r="I1299" s="225" t="s">
        <v>6361</v>
      </c>
      <c r="J1299" s="225" t="s">
        <v>6362</v>
      </c>
      <c r="K1299" s="225" t="s">
        <v>9747</v>
      </c>
      <c r="L1299" s="213" t="str">
        <f t="shared" si="4"/>
        <v>crackling nishiki kamuro</v>
      </c>
      <c r="M1299" s="225" t="s">
        <v>10434</v>
      </c>
    </row>
    <row r="1300" spans="1:13" ht="15" customHeight="1">
      <c r="A1300" s="213" t="s">
        <v>2174</v>
      </c>
      <c r="B1300" s="225" t="s">
        <v>1459</v>
      </c>
      <c r="C1300" s="225" t="s">
        <v>1459</v>
      </c>
      <c r="D1300" s="225" t="s">
        <v>1459</v>
      </c>
      <c r="E1300" s="225" t="s">
        <v>6507</v>
      </c>
      <c r="F1300" s="225" t="s">
        <v>6508</v>
      </c>
      <c r="G1300" s="225" t="s">
        <v>1459</v>
      </c>
      <c r="H1300" s="225" t="s">
        <v>6509</v>
      </c>
      <c r="I1300" s="225" t="s">
        <v>6510</v>
      </c>
      <c r="J1300" s="225" t="s">
        <v>6511</v>
      </c>
      <c r="K1300" s="225" t="s">
        <v>9776</v>
      </c>
      <c r="L1300" s="213" t="str">
        <f t="shared" si="4"/>
        <v>brocade crown</v>
      </c>
      <c r="M1300" s="225" t="s">
        <v>10435</v>
      </c>
    </row>
    <row r="1301" spans="1:13" ht="15" customHeight="1">
      <c r="A1301" s="213" t="s">
        <v>2175</v>
      </c>
      <c r="B1301" s="225" t="s">
        <v>2162</v>
      </c>
      <c r="C1301" s="225" t="s">
        <v>2162</v>
      </c>
      <c r="D1301" s="225" t="s">
        <v>2162</v>
      </c>
      <c r="E1301" s="225" t="s">
        <v>6512</v>
      </c>
      <c r="F1301" s="225" t="s">
        <v>6513</v>
      </c>
      <c r="G1301" s="225" t="s">
        <v>2162</v>
      </c>
      <c r="H1301" s="225" t="s">
        <v>6514</v>
      </c>
      <c r="I1301" s="225" t="s">
        <v>6515</v>
      </c>
      <c r="J1301" s="225" t="s">
        <v>6516</v>
      </c>
      <c r="K1301" s="225" t="s">
        <v>9777</v>
      </c>
      <c r="L1301" s="213" t="str">
        <f t="shared" si="4"/>
        <v>blue pistil silver ring to brocade crown with ring chrysanthemum pistil</v>
      </c>
      <c r="M1301" s="225" t="s">
        <v>10436</v>
      </c>
    </row>
    <row r="1302" spans="1:13" ht="15" customHeight="1">
      <c r="A1302" s="213" t="s">
        <v>2176</v>
      </c>
      <c r="B1302" s="225" t="s">
        <v>2163</v>
      </c>
      <c r="C1302" s="225" t="s">
        <v>2163</v>
      </c>
      <c r="D1302" s="225" t="s">
        <v>2163</v>
      </c>
      <c r="E1302" s="225" t="s">
        <v>6517</v>
      </c>
      <c r="F1302" s="225" t="s">
        <v>6518</v>
      </c>
      <c r="G1302" s="225" t="s">
        <v>2163</v>
      </c>
      <c r="H1302" s="225" t="s">
        <v>6519</v>
      </c>
      <c r="I1302" s="225" t="s">
        <v>6520</v>
      </c>
      <c r="J1302" s="225" t="s">
        <v>6521</v>
      </c>
      <c r="K1302" s="225" t="s">
        <v>9778</v>
      </c>
      <c r="L1302" s="213" t="str">
        <f t="shared" si="4"/>
        <v>brocade delay cracker to blue with green glitter pistil</v>
      </c>
      <c r="M1302" s="225" t="s">
        <v>10437</v>
      </c>
    </row>
    <row r="1303" spans="1:13" ht="15" customHeight="1">
      <c r="A1303" s="213" t="s">
        <v>2636</v>
      </c>
      <c r="B1303" s="225" t="s">
        <v>2869</v>
      </c>
      <c r="C1303" s="225" t="s">
        <v>2869</v>
      </c>
      <c r="D1303" s="225" t="s">
        <v>2869</v>
      </c>
      <c r="E1303" s="225" t="s">
        <v>6522</v>
      </c>
      <c r="F1303" s="225" t="s">
        <v>6523</v>
      </c>
      <c r="G1303" s="225" t="s">
        <v>2869</v>
      </c>
      <c r="H1303" s="225" t="s">
        <v>6524</v>
      </c>
      <c r="I1303" s="225" t="s">
        <v>6525</v>
      </c>
      <c r="J1303" s="225" t="s">
        <v>6526</v>
      </c>
      <c r="K1303" s="225" t="s">
        <v>9779</v>
      </c>
      <c r="L1303" s="213" t="str">
        <f t="shared" si="4"/>
        <v>crackling coco w/color strobe pistil</v>
      </c>
      <c r="M1303" s="225" t="s">
        <v>10438</v>
      </c>
    </row>
    <row r="1304" spans="1:13" ht="15" customHeight="1">
      <c r="A1304" s="213" t="s">
        <v>2177</v>
      </c>
      <c r="B1304" s="225" t="s">
        <v>2164</v>
      </c>
      <c r="C1304" s="225" t="s">
        <v>2164</v>
      </c>
      <c r="D1304" s="22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25" t="s">
        <v>6527</v>
      </c>
      <c r="F1304" s="225" t="s">
        <v>6528</v>
      </c>
      <c r="G1304" s="225" t="s">
        <v>2164</v>
      </c>
      <c r="H1304" s="225" t="s">
        <v>6529</v>
      </c>
      <c r="I1304" s="225" t="s">
        <v>6530</v>
      </c>
      <c r="J1304" s="225" t="s">
        <v>6531</v>
      </c>
      <c r="K1304" s="225" t="s">
        <v>9780</v>
      </c>
      <c r="L1304" s="213"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213"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213" t="s">
        <v>2637</v>
      </c>
      <c r="B1305" s="225" t="s">
        <v>2870</v>
      </c>
      <c r="C1305" s="225" t="s">
        <v>2870</v>
      </c>
      <c r="D1305" s="225" t="s">
        <v>2870</v>
      </c>
      <c r="E1305" s="225" t="s">
        <v>6532</v>
      </c>
      <c r="F1305" s="225" t="s">
        <v>6533</v>
      </c>
      <c r="G1305" s="225" t="s">
        <v>2870</v>
      </c>
      <c r="H1305" s="225" t="s">
        <v>6534</v>
      </c>
      <c r="I1305" s="225" t="s">
        <v>6535</v>
      </c>
      <c r="J1305" s="225" t="s">
        <v>6536</v>
      </c>
      <c r="K1305" s="225" t="s">
        <v>9781</v>
      </c>
      <c r="L1305" s="213" t="str">
        <f t="shared" si="4"/>
        <v>Mixed carton contains: S6CH gold wave w.purple peony double rings to special orange strobing pistil(2pc), S6H color chrysanthemum(2pc), S6S silver tail to silver palm(2pc), S6O colorfull dahlia(1pc), S6K red glitter w.brocade crown(2pc)</v>
      </c>
      <c r="M1305" s="213"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213" t="s">
        <v>2195</v>
      </c>
      <c r="B1306" s="225" t="s">
        <v>2181</v>
      </c>
      <c r="C1306" s="225" t="s">
        <v>2181</v>
      </c>
      <c r="D1306" s="225" t="s">
        <v>2181</v>
      </c>
      <c r="E1306" s="225" t="s">
        <v>6537</v>
      </c>
      <c r="F1306" s="225" t="s">
        <v>6538</v>
      </c>
      <c r="G1306" s="225" t="s">
        <v>2181</v>
      </c>
      <c r="H1306" s="225" t="s">
        <v>6539</v>
      </c>
      <c r="I1306" s="225" t="s">
        <v>6540</v>
      </c>
      <c r="J1306" s="225" t="s">
        <v>6541</v>
      </c>
      <c r="K1306" s="225" t="s">
        <v>9782</v>
      </c>
      <c r="L1306" s="213" t="str">
        <f t="shared" si="4"/>
        <v>chrysanthemum to red wandering star</v>
      </c>
      <c r="M1306" s="225" t="s">
        <v>10439</v>
      </c>
    </row>
    <row r="1307" spans="1:13" ht="15" customHeight="1">
      <c r="A1307" s="213" t="s">
        <v>2196</v>
      </c>
      <c r="B1307" s="225" t="s">
        <v>2183</v>
      </c>
      <c r="C1307" s="225" t="s">
        <v>2183</v>
      </c>
      <c r="D1307" s="225" t="str">
        <f>C1307</f>
        <v>time rain willow fountain</v>
      </c>
      <c r="E1307" s="225" t="s">
        <v>6542</v>
      </c>
      <c r="F1307" s="225" t="s">
        <v>6543</v>
      </c>
      <c r="G1307" s="225" t="s">
        <v>2183</v>
      </c>
      <c r="H1307" s="225" t="s">
        <v>6544</v>
      </c>
      <c r="I1307" s="225" t="s">
        <v>6545</v>
      </c>
      <c r="J1307" s="225" t="s">
        <v>6546</v>
      </c>
      <c r="K1307" s="225" t="s">
        <v>9783</v>
      </c>
      <c r="L1307" s="213" t="str">
        <f t="shared" si="4"/>
        <v>time rain willow fountain</v>
      </c>
      <c r="M1307" s="225" t="s">
        <v>10440</v>
      </c>
    </row>
    <row r="1308" spans="1:13" ht="15" customHeight="1">
      <c r="A1308" s="213" t="s">
        <v>2197</v>
      </c>
      <c r="B1308" s="225" t="s">
        <v>2185</v>
      </c>
      <c r="C1308" s="225" t="s">
        <v>2185</v>
      </c>
      <c r="D1308" s="225" t="s">
        <v>2185</v>
      </c>
      <c r="E1308" s="225" t="s">
        <v>6547</v>
      </c>
      <c r="F1308" s="225" t="s">
        <v>6548</v>
      </c>
      <c r="G1308" s="225" t="s">
        <v>2185</v>
      </c>
      <c r="H1308" s="225" t="s">
        <v>6549</v>
      </c>
      <c r="I1308" s="225" t="s">
        <v>6550</v>
      </c>
      <c r="J1308" s="225" t="s">
        <v>6551</v>
      </c>
      <c r="K1308" s="225" t="s">
        <v>9784</v>
      </c>
      <c r="L1308" s="213" t="str">
        <f t="shared" si="4"/>
        <v>ghost silver to red</v>
      </c>
      <c r="M1308" s="225" t="s">
        <v>10441</v>
      </c>
    </row>
    <row r="1309" spans="1:13" ht="15" customHeight="1">
      <c r="A1309" s="213" t="s">
        <v>2199</v>
      </c>
      <c r="B1309" s="225" t="s">
        <v>2186</v>
      </c>
      <c r="C1309" s="225" t="s">
        <v>2186</v>
      </c>
      <c r="D1309" s="225" t="s">
        <v>2186</v>
      </c>
      <c r="E1309" s="225" t="s">
        <v>6233</v>
      </c>
      <c r="F1309" s="225" t="s">
        <v>6552</v>
      </c>
      <c r="G1309" s="225" t="s">
        <v>2186</v>
      </c>
      <c r="H1309" s="225" t="s">
        <v>6553</v>
      </c>
      <c r="I1309" s="225" t="s">
        <v>6554</v>
      </c>
      <c r="J1309" s="225" t="s">
        <v>6237</v>
      </c>
      <c r="K1309" s="225" t="s">
        <v>9720</v>
      </c>
      <c r="L1309" s="213" t="str">
        <f t="shared" si="4"/>
        <v>color chrysanthemum</v>
      </c>
      <c r="M1309" s="225" t="s">
        <v>10378</v>
      </c>
    </row>
    <row r="1310" spans="1:13" ht="15" customHeight="1">
      <c r="A1310" s="213" t="s">
        <v>2201</v>
      </c>
      <c r="B1310" s="225" t="s">
        <v>2188</v>
      </c>
      <c r="C1310" s="225" t="s">
        <v>2188</v>
      </c>
      <c r="D1310" s="225" t="s">
        <v>2188</v>
      </c>
      <c r="E1310" s="225" t="s">
        <v>6555</v>
      </c>
      <c r="F1310" s="225" t="s">
        <v>6556</v>
      </c>
      <c r="G1310" s="225" t="s">
        <v>2188</v>
      </c>
      <c r="H1310" s="225" t="s">
        <v>6557</v>
      </c>
      <c r="I1310" s="225" t="s">
        <v>6558</v>
      </c>
      <c r="J1310" s="225" t="s">
        <v>6559</v>
      </c>
      <c r="K1310" s="225" t="s">
        <v>9785</v>
      </c>
      <c r="L1310" s="213" t="str">
        <f t="shared" si="4"/>
        <v>red glitter w.brocade crown</v>
      </c>
      <c r="M1310" s="225" t="s">
        <v>10442</v>
      </c>
    </row>
    <row r="1311" spans="1:13" ht="15" customHeight="1">
      <c r="A1311" s="213" t="s">
        <v>2202</v>
      </c>
      <c r="B1311" s="225" t="s">
        <v>2192</v>
      </c>
      <c r="C1311" s="225" t="s">
        <v>2192</v>
      </c>
      <c r="D1311" s="225" t="s">
        <v>2192</v>
      </c>
      <c r="E1311" s="225" t="s">
        <v>6212</v>
      </c>
      <c r="F1311" s="225" t="s">
        <v>6560</v>
      </c>
      <c r="G1311" s="225" t="s">
        <v>2192</v>
      </c>
      <c r="H1311" s="225" t="s">
        <v>6214</v>
      </c>
      <c r="I1311" s="225" t="s">
        <v>6561</v>
      </c>
      <c r="J1311" s="225" t="s">
        <v>6216</v>
      </c>
      <c r="K1311" s="225" t="s">
        <v>9716</v>
      </c>
      <c r="L1311" s="213" t="str">
        <f t="shared" si="4"/>
        <v xml:space="preserve">silver tail to silver palm </v>
      </c>
      <c r="M1311" s="225" t="s">
        <v>10443</v>
      </c>
    </row>
    <row r="1312" spans="1:13" ht="15" customHeight="1">
      <c r="A1312" s="213" t="s">
        <v>2203</v>
      </c>
      <c r="B1312" s="225" t="s">
        <v>2193</v>
      </c>
      <c r="C1312" s="225" t="s">
        <v>2193</v>
      </c>
      <c r="D1312" s="225" t="s">
        <v>2193</v>
      </c>
      <c r="E1312" s="225" t="s">
        <v>6562</v>
      </c>
      <c r="F1312" s="225" t="s">
        <v>6563</v>
      </c>
      <c r="G1312" s="225" t="s">
        <v>2193</v>
      </c>
      <c r="H1312" s="225" t="s">
        <v>6564</v>
      </c>
      <c r="I1312" s="225" t="s">
        <v>6565</v>
      </c>
      <c r="J1312" s="225" t="s">
        <v>6566</v>
      </c>
      <c r="K1312" s="225" t="s">
        <v>9786</v>
      </c>
      <c r="L1312" s="213" t="str">
        <f t="shared" si="4"/>
        <v>nishiki kamuro flash pistil</v>
      </c>
      <c r="M1312" s="225" t="s">
        <v>10444</v>
      </c>
    </row>
    <row r="1313" spans="1:13" ht="15" customHeight="1">
      <c r="A1313" s="213" t="s">
        <v>2204</v>
      </c>
      <c r="B1313" s="225" t="s">
        <v>2160</v>
      </c>
      <c r="C1313" s="225" t="s">
        <v>2160</v>
      </c>
      <c r="D1313" s="225" t="str">
        <f>C1313</f>
        <v>silver glittering</v>
      </c>
      <c r="E1313" s="225" t="s">
        <v>6567</v>
      </c>
      <c r="F1313" s="225" t="s">
        <v>6568</v>
      </c>
      <c r="G1313" s="225" t="s">
        <v>2160</v>
      </c>
      <c r="H1313" s="225" t="s">
        <v>6569</v>
      </c>
      <c r="I1313" s="225" t="s">
        <v>6570</v>
      </c>
      <c r="J1313" s="225" t="s">
        <v>6571</v>
      </c>
      <c r="K1313" s="225" t="s">
        <v>9787</v>
      </c>
      <c r="L1313" s="213" t="str">
        <f t="shared" si="4"/>
        <v>silver glittering</v>
      </c>
      <c r="M1313" s="225" t="s">
        <v>10445</v>
      </c>
    </row>
    <row r="1314" spans="1:13" ht="15" customHeight="1">
      <c r="A1314" s="213" t="s">
        <v>6572</v>
      </c>
      <c r="B1314" s="225" t="s">
        <v>2179</v>
      </c>
      <c r="C1314" s="225" t="s">
        <v>2179</v>
      </c>
      <c r="D1314" s="225" t="s">
        <v>2179</v>
      </c>
      <c r="E1314" s="225" t="s">
        <v>6573</v>
      </c>
      <c r="F1314" s="225" t="s">
        <v>6574</v>
      </c>
      <c r="G1314" s="225" t="s">
        <v>2179</v>
      </c>
      <c r="H1314" s="225" t="s">
        <v>6575</v>
      </c>
      <c r="I1314" s="225" t="s">
        <v>6576</v>
      </c>
      <c r="J1314" s="225" t="s">
        <v>6577</v>
      </c>
      <c r="K1314" s="225" t="s">
        <v>9788</v>
      </c>
      <c r="L1314" s="213" t="str">
        <f t="shared" si="4"/>
        <v>green ring w.chry crackling crossette</v>
      </c>
      <c r="M1314" s="225" t="s">
        <v>10446</v>
      </c>
    </row>
    <row r="1315" spans="1:13" ht="15" customHeight="1">
      <c r="A1315" s="213" t="s">
        <v>2206</v>
      </c>
      <c r="B1315" s="225" t="s">
        <v>2180</v>
      </c>
      <c r="C1315" s="225" t="s">
        <v>2180</v>
      </c>
      <c r="D1315" s="225" t="s">
        <v>2180</v>
      </c>
      <c r="E1315" s="225" t="s">
        <v>6578</v>
      </c>
      <c r="F1315" s="225" t="s">
        <v>6579</v>
      </c>
      <c r="G1315" s="225" t="s">
        <v>2180</v>
      </c>
      <c r="H1315" s="225" t="s">
        <v>6578</v>
      </c>
      <c r="I1315" s="225" t="s">
        <v>6580</v>
      </c>
      <c r="J1315" s="225" t="s">
        <v>6581</v>
      </c>
      <c r="K1315" s="225" t="s">
        <v>9789</v>
      </c>
      <c r="L1315" s="213" t="str">
        <f t="shared" si="4"/>
        <v>red green yellow falling leaves</v>
      </c>
      <c r="M1315" s="225" t="s">
        <v>10447</v>
      </c>
    </row>
    <row r="1316" spans="1:13" ht="15" customHeight="1">
      <c r="A1316" s="213" t="s">
        <v>2638</v>
      </c>
      <c r="B1316" s="225" t="s">
        <v>2182</v>
      </c>
      <c r="C1316" s="225" t="s">
        <v>2182</v>
      </c>
      <c r="D1316" s="225" t="str">
        <f>C1316</f>
        <v>super horse tail</v>
      </c>
      <c r="E1316" s="225" t="s">
        <v>6582</v>
      </c>
      <c r="F1316" s="225" t="s">
        <v>6583</v>
      </c>
      <c r="G1316" s="225" t="s">
        <v>2182</v>
      </c>
      <c r="H1316" s="225" t="s">
        <v>6584</v>
      </c>
      <c r="I1316" s="225" t="s">
        <v>6585</v>
      </c>
      <c r="J1316" s="225" t="s">
        <v>6586</v>
      </c>
      <c r="K1316" s="225" t="s">
        <v>9790</v>
      </c>
      <c r="L1316" s="213" t="str">
        <f t="shared" si="4"/>
        <v>super horse tail</v>
      </c>
      <c r="M1316" s="225" t="s">
        <v>10448</v>
      </c>
    </row>
    <row r="1317" spans="1:13" ht="15" customHeight="1">
      <c r="A1317" s="213" t="s">
        <v>2639</v>
      </c>
      <c r="B1317" s="225" t="s">
        <v>2185</v>
      </c>
      <c r="C1317" s="225" t="s">
        <v>2185</v>
      </c>
      <c r="D1317" s="225" t="s">
        <v>2185</v>
      </c>
      <c r="E1317" s="225" t="s">
        <v>6547</v>
      </c>
      <c r="F1317" s="225" t="s">
        <v>6548</v>
      </c>
      <c r="G1317" s="225" t="s">
        <v>2185</v>
      </c>
      <c r="H1317" s="225" t="s">
        <v>6549</v>
      </c>
      <c r="I1317" s="225" t="s">
        <v>6550</v>
      </c>
      <c r="J1317" s="225" t="s">
        <v>6551</v>
      </c>
      <c r="K1317" s="225" t="s">
        <v>9784</v>
      </c>
      <c r="L1317" s="213" t="str">
        <f t="shared" si="4"/>
        <v>ghost silver to red</v>
      </c>
      <c r="M1317" s="225" t="s">
        <v>10441</v>
      </c>
    </row>
    <row r="1318" spans="1:13" ht="15" customHeight="1">
      <c r="A1318" s="213" t="s">
        <v>2207</v>
      </c>
      <c r="B1318" s="225" t="s">
        <v>2198</v>
      </c>
      <c r="C1318" s="225" t="s">
        <v>2198</v>
      </c>
      <c r="D1318" s="225" t="s">
        <v>2198</v>
      </c>
      <c r="E1318" s="225" t="s">
        <v>6587</v>
      </c>
      <c r="F1318" s="225" t="s">
        <v>6588</v>
      </c>
      <c r="G1318" s="225" t="s">
        <v>2198</v>
      </c>
      <c r="H1318" s="225" t="s">
        <v>6589</v>
      </c>
      <c r="I1318" s="225" t="s">
        <v>6590</v>
      </c>
      <c r="J1318" s="225" t="s">
        <v>6591</v>
      </c>
      <c r="K1318" s="225" t="s">
        <v>9791</v>
      </c>
      <c r="L1318" s="213" t="str">
        <f t="shared" si="4"/>
        <v>gold titanium willow with crackling pistil</v>
      </c>
      <c r="M1318" s="225" t="s">
        <v>10449</v>
      </c>
    </row>
    <row r="1319" spans="1:13" ht="15" customHeight="1">
      <c r="A1319" s="213" t="s">
        <v>2640</v>
      </c>
      <c r="B1319" s="225" t="s">
        <v>2200</v>
      </c>
      <c r="C1319" s="225" t="s">
        <v>2200</v>
      </c>
      <c r="D1319" s="225" t="s">
        <v>2200</v>
      </c>
      <c r="E1319" s="225" t="s">
        <v>6592</v>
      </c>
      <c r="F1319" s="225" t="s">
        <v>6593</v>
      </c>
      <c r="G1319" s="225" t="s">
        <v>2200</v>
      </c>
      <c r="H1319" s="225" t="s">
        <v>6594</v>
      </c>
      <c r="I1319" s="225" t="s">
        <v>6595</v>
      </c>
      <c r="J1319" s="225" t="s">
        <v>6596</v>
      </c>
      <c r="K1319" s="225" t="s">
        <v>9792</v>
      </c>
      <c r="L1319" s="213" t="str">
        <f t="shared" si="4"/>
        <v xml:space="preserve">golden wave w.purple peony double rings to special orange strobing pistil </v>
      </c>
      <c r="M1319" s="225" t="s">
        <v>10450</v>
      </c>
    </row>
    <row r="1320" spans="1:13" ht="15" customHeight="1">
      <c r="A1320" s="213" t="s">
        <v>2208</v>
      </c>
      <c r="B1320" s="225" t="s">
        <v>2028</v>
      </c>
      <c r="C1320" s="225" t="s">
        <v>2028</v>
      </c>
      <c r="D1320" s="225" t="s">
        <v>2028</v>
      </c>
      <c r="E1320" s="225" t="s">
        <v>5414</v>
      </c>
      <c r="F1320" s="225" t="s">
        <v>6217</v>
      </c>
      <c r="G1320" s="225" t="s">
        <v>2028</v>
      </c>
      <c r="H1320" s="225" t="s">
        <v>5438</v>
      </c>
      <c r="I1320" s="225" t="s">
        <v>6218</v>
      </c>
      <c r="J1320" s="225" t="s">
        <v>6219</v>
      </c>
      <c r="K1320" s="225" t="s">
        <v>9567</v>
      </c>
      <c r="L1320" s="213" t="str">
        <f t="shared" ref="L1320:L1348" si="5">C1320</f>
        <v>golden Ti-willow</v>
      </c>
      <c r="M1320" s="225" t="s">
        <v>10374</v>
      </c>
    </row>
    <row r="1321" spans="1:13" ht="15" customHeight="1">
      <c r="A1321" s="213" t="s">
        <v>2641</v>
      </c>
      <c r="B1321" s="225" t="s">
        <v>2189</v>
      </c>
      <c r="C1321" s="225" t="s">
        <v>2189</v>
      </c>
      <c r="D1321" s="225" t="s">
        <v>2189</v>
      </c>
      <c r="E1321" s="225" t="s">
        <v>6597</v>
      </c>
      <c r="F1321" s="225" t="s">
        <v>6598</v>
      </c>
      <c r="G1321" s="225" t="s">
        <v>2189</v>
      </c>
      <c r="H1321" s="225" t="s">
        <v>6599</v>
      </c>
      <c r="I1321" s="225" t="s">
        <v>6600</v>
      </c>
      <c r="J1321" s="225" t="s">
        <v>6601</v>
      </c>
      <c r="K1321" s="225" t="s">
        <v>9793</v>
      </c>
      <c r="L1321" s="213" t="str">
        <f t="shared" si="5"/>
        <v>silver tail to thousand red waves</v>
      </c>
      <c r="M1321" s="225" t="s">
        <v>10451</v>
      </c>
    </row>
    <row r="1322" spans="1:13" ht="15" customHeight="1">
      <c r="A1322" s="213" t="s">
        <v>2209</v>
      </c>
      <c r="B1322" s="225" t="s">
        <v>2191</v>
      </c>
      <c r="C1322" s="225" t="s">
        <v>2191</v>
      </c>
      <c r="D1322" s="225" t="s">
        <v>2191</v>
      </c>
      <c r="E1322" s="225" t="s">
        <v>6602</v>
      </c>
      <c r="F1322" s="225" t="s">
        <v>6603</v>
      </c>
      <c r="G1322" s="225" t="s">
        <v>2191</v>
      </c>
      <c r="H1322" s="225" t="s">
        <v>6604</v>
      </c>
      <c r="I1322" s="225" t="s">
        <v>6605</v>
      </c>
      <c r="J1322" s="225" t="s">
        <v>6606</v>
      </c>
      <c r="K1322" s="225" t="s">
        <v>9775</v>
      </c>
      <c r="L1322" s="213" t="str">
        <f t="shared" si="5"/>
        <v>silver glittering red coco crossettte</v>
      </c>
      <c r="M1322" s="225" t="s">
        <v>10452</v>
      </c>
    </row>
    <row r="1323" spans="1:13" ht="15" customHeight="1">
      <c r="A1323" s="213" t="s">
        <v>2642</v>
      </c>
      <c r="B1323" s="225" t="s">
        <v>2192</v>
      </c>
      <c r="C1323" s="225" t="s">
        <v>2192</v>
      </c>
      <c r="D1323" s="225" t="s">
        <v>2192</v>
      </c>
      <c r="E1323" s="225" t="s">
        <v>6212</v>
      </c>
      <c r="F1323" s="225" t="s">
        <v>6560</v>
      </c>
      <c r="G1323" s="225" t="s">
        <v>2192</v>
      </c>
      <c r="H1323" s="225" t="s">
        <v>6214</v>
      </c>
      <c r="I1323" s="225" t="s">
        <v>6561</v>
      </c>
      <c r="J1323" s="225" t="s">
        <v>6216</v>
      </c>
      <c r="K1323" s="225" t="s">
        <v>9716</v>
      </c>
      <c r="L1323" s="213" t="str">
        <f t="shared" si="5"/>
        <v xml:space="preserve">silver tail to silver palm </v>
      </c>
      <c r="M1323" s="225" t="s">
        <v>10443</v>
      </c>
    </row>
    <row r="1324" spans="1:13" ht="15" customHeight="1">
      <c r="A1324" s="213" t="s">
        <v>2643</v>
      </c>
      <c r="B1324" s="225" t="s">
        <v>2871</v>
      </c>
      <c r="C1324" s="225" t="s">
        <v>2871</v>
      </c>
      <c r="D1324" s="225" t="s">
        <v>2871</v>
      </c>
      <c r="E1324" s="225" t="s">
        <v>6607</v>
      </c>
      <c r="F1324" s="225" t="s">
        <v>6608</v>
      </c>
      <c r="G1324" s="225" t="s">
        <v>2871</v>
      </c>
      <c r="H1324" s="225" t="s">
        <v>6609</v>
      </c>
      <c r="I1324" s="225" t="s">
        <v>6610</v>
      </c>
      <c r="J1324" s="225" t="s">
        <v>6611</v>
      </c>
      <c r="K1324" s="225" t="s">
        <v>9794</v>
      </c>
      <c r="L1324" s="213" t="str">
        <f t="shared" si="5"/>
        <v>color dahlia w/strobe pistil</v>
      </c>
      <c r="M1324" s="225" t="s">
        <v>10453</v>
      </c>
    </row>
    <row r="1325" spans="1:13" ht="15" customHeight="1">
      <c r="A1325" s="213" t="s">
        <v>2644</v>
      </c>
      <c r="B1325" s="225" t="s">
        <v>2872</v>
      </c>
      <c r="C1325" s="225" t="s">
        <v>2872</v>
      </c>
      <c r="D1325" s="225" t="s">
        <v>2872</v>
      </c>
      <c r="E1325" s="225" t="s">
        <v>6612</v>
      </c>
      <c r="F1325" s="225" t="s">
        <v>6613</v>
      </c>
      <c r="G1325" s="225" t="s">
        <v>2872</v>
      </c>
      <c r="H1325" s="225" t="s">
        <v>6614</v>
      </c>
      <c r="I1325" s="225" t="s">
        <v>6615</v>
      </c>
      <c r="J1325" s="225" t="s">
        <v>6616</v>
      </c>
      <c r="K1325" s="225" t="s">
        <v>9795</v>
      </c>
      <c r="L1325" s="213" t="str">
        <f t="shared" si="5"/>
        <v>brocade coco w/strobe pistil</v>
      </c>
      <c r="M1325" s="225" t="s">
        <v>10454</v>
      </c>
    </row>
    <row r="1326" spans="1:13" ht="15" customHeight="1">
      <c r="A1326" s="213" t="s">
        <v>2645</v>
      </c>
      <c r="B1326" s="225" t="s">
        <v>2873</v>
      </c>
      <c r="C1326" s="225" t="s">
        <v>2873</v>
      </c>
      <c r="D1326" s="225" t="s">
        <v>2873</v>
      </c>
      <c r="E1326" s="225" t="s">
        <v>6617</v>
      </c>
      <c r="F1326" s="225" t="s">
        <v>6618</v>
      </c>
      <c r="G1326" s="225" t="s">
        <v>2873</v>
      </c>
      <c r="H1326" s="225" t="s">
        <v>6619</v>
      </c>
      <c r="I1326" s="225" t="s">
        <v>6620</v>
      </c>
      <c r="J1326" s="225" t="s">
        <v>6621</v>
      </c>
      <c r="K1326" s="225" t="s">
        <v>9796</v>
      </c>
      <c r="L1326" s="213" t="str">
        <f t="shared" si="5"/>
        <v>brocade crown to blue to red strobe w/red strobe pistil</v>
      </c>
      <c r="M1326" s="225" t="s">
        <v>10455</v>
      </c>
    </row>
    <row r="1327" spans="1:13" ht="15" customHeight="1">
      <c r="A1327" s="213" t="s">
        <v>2210</v>
      </c>
      <c r="B1327" s="225" t="s">
        <v>2213</v>
      </c>
      <c r="C1327" s="225" t="s">
        <v>2212</v>
      </c>
      <c r="D1327" s="225" t="s">
        <v>2214</v>
      </c>
      <c r="E1327" s="225" t="s">
        <v>6622</v>
      </c>
      <c r="F1327" s="225" t="s">
        <v>6623</v>
      </c>
      <c r="G1327" s="225" t="s">
        <v>2212</v>
      </c>
      <c r="H1327" s="225" t="s">
        <v>6624</v>
      </c>
      <c r="I1327" s="225" t="s">
        <v>6625</v>
      </c>
      <c r="J1327" s="225" t="s">
        <v>6626</v>
      </c>
      <c r="K1327" s="225" t="s">
        <v>9797</v>
      </c>
      <c r="L1327" s="213" t="str">
        <f t="shared" si="5"/>
        <v>indestructible, thin mortar, height 38cm, thickness 2,2mm</v>
      </c>
      <c r="M1327" s="225" t="s">
        <v>10456</v>
      </c>
    </row>
    <row r="1328" spans="1:13" ht="15" customHeight="1">
      <c r="A1328" s="213" t="s">
        <v>2215</v>
      </c>
      <c r="B1328" s="225" t="s">
        <v>2217</v>
      </c>
      <c r="C1328" s="225" t="s">
        <v>2216</v>
      </c>
      <c r="D1328" s="225" t="s">
        <v>2218</v>
      </c>
      <c r="E1328" s="225" t="s">
        <v>6627</v>
      </c>
      <c r="F1328" s="225" t="s">
        <v>6628</v>
      </c>
      <c r="G1328" s="225" t="s">
        <v>2216</v>
      </c>
      <c r="H1328" s="225" t="s">
        <v>6629</v>
      </c>
      <c r="I1328" s="225" t="s">
        <v>6630</v>
      </c>
      <c r="J1328" s="225" t="s">
        <v>6631</v>
      </c>
      <c r="K1328" s="225" t="s">
        <v>9798</v>
      </c>
      <c r="L1328" s="213" t="str">
        <f t="shared" si="5"/>
        <v>indestructible, thin mortar, height 40cm, thickness 2,5mm</v>
      </c>
      <c r="M1328" s="225" t="s">
        <v>10457</v>
      </c>
    </row>
    <row r="1329" spans="1:13" ht="15" customHeight="1">
      <c r="A1329" s="213" t="s">
        <v>2219</v>
      </c>
      <c r="B1329" s="225" t="s">
        <v>2222</v>
      </c>
      <c r="C1329" s="225" t="s">
        <v>2221</v>
      </c>
      <c r="D1329" s="225" t="s">
        <v>2223</v>
      </c>
      <c r="E1329" s="225" t="s">
        <v>6632</v>
      </c>
      <c r="F1329" s="225" t="s">
        <v>6633</v>
      </c>
      <c r="G1329" s="225" t="s">
        <v>2221</v>
      </c>
      <c r="H1329" s="225" t="s">
        <v>6634</v>
      </c>
      <c r="I1329" s="225" t="s">
        <v>6635</v>
      </c>
      <c r="J1329" s="225" t="s">
        <v>6636</v>
      </c>
      <c r="K1329" s="225" t="s">
        <v>9799</v>
      </c>
      <c r="L1329" s="213" t="str">
        <f t="shared" si="5"/>
        <v>indestructible, thin mortar, height 50cm, thickness 3mm</v>
      </c>
      <c r="M1329" s="225" t="s">
        <v>10458</v>
      </c>
    </row>
    <row r="1330" spans="1:13" ht="15" customHeight="1">
      <c r="A1330" s="213" t="s">
        <v>2224</v>
      </c>
      <c r="B1330" s="225" t="s">
        <v>2874</v>
      </c>
      <c r="C1330" s="225" t="s">
        <v>2226</v>
      </c>
      <c r="D1330" s="225" t="s">
        <v>2227</v>
      </c>
      <c r="E1330" s="225" t="s">
        <v>6637</v>
      </c>
      <c r="F1330" s="225" t="s">
        <v>6638</v>
      </c>
      <c r="G1330" s="225" t="s">
        <v>2226</v>
      </c>
      <c r="H1330" s="225" t="s">
        <v>6639</v>
      </c>
      <c r="I1330" s="225" t="s">
        <v>6640</v>
      </c>
      <c r="J1330" s="225" t="s">
        <v>6641</v>
      </c>
      <c r="K1330" s="225" t="s">
        <v>9800</v>
      </c>
      <c r="L1330" s="213" t="str">
        <f t="shared" si="5"/>
        <v>indestructible, thin mortar, height 60cm, thickness 3,5mm</v>
      </c>
      <c r="M1330" s="225" t="s">
        <v>10459</v>
      </c>
    </row>
    <row r="1331" spans="1:13" ht="15" customHeight="1">
      <c r="A1331" s="213" t="s">
        <v>2228</v>
      </c>
      <c r="B1331" s="225" t="s">
        <v>2231</v>
      </c>
      <c r="C1331" s="225" t="s">
        <v>2230</v>
      </c>
      <c r="D1331" s="225" t="s">
        <v>2232</v>
      </c>
      <c r="E1331" s="225" t="s">
        <v>6642</v>
      </c>
      <c r="F1331" s="225" t="s">
        <v>6643</v>
      </c>
      <c r="G1331" s="225" t="s">
        <v>2230</v>
      </c>
      <c r="H1331" s="225" t="s">
        <v>6644</v>
      </c>
      <c r="I1331" s="225" t="s">
        <v>6645</v>
      </c>
      <c r="J1331" s="225" t="s">
        <v>6646</v>
      </c>
      <c r="K1331" s="225" t="s">
        <v>9801</v>
      </c>
      <c r="L1331" s="213" t="str">
        <f t="shared" si="5"/>
        <v>indestructible, thin mortar, height 80cm, thickness 4mm</v>
      </c>
      <c r="M1331" s="225" t="s">
        <v>10460</v>
      </c>
    </row>
    <row r="1332" spans="1:13" ht="15" customHeight="1">
      <c r="A1332" s="213" t="s">
        <v>2233</v>
      </c>
      <c r="B1332" s="225" t="s">
        <v>2236</v>
      </c>
      <c r="C1332" s="225" t="s">
        <v>2235</v>
      </c>
      <c r="D1332" s="225" t="s">
        <v>2237</v>
      </c>
      <c r="E1332" s="225" t="s">
        <v>6647</v>
      </c>
      <c r="F1332" s="225" t="s">
        <v>6648</v>
      </c>
      <c r="G1332" s="225" t="s">
        <v>2235</v>
      </c>
      <c r="H1332" s="225" t="s">
        <v>6649</v>
      </c>
      <c r="I1332" s="225" t="s">
        <v>6650</v>
      </c>
      <c r="J1332" s="225" t="s">
        <v>6651</v>
      </c>
      <c r="K1332" s="225" t="s">
        <v>9802</v>
      </c>
      <c r="L1332" s="213" t="str">
        <f t="shared" si="5"/>
        <v>indestructible, thin mortar, height 90cm, thickness 4mm</v>
      </c>
      <c r="M1332" s="225" t="s">
        <v>10461</v>
      </c>
    </row>
    <row r="1333" spans="1:13" ht="15" customHeight="1">
      <c r="A1333" s="213" t="s">
        <v>2238</v>
      </c>
      <c r="B1333" s="225" t="s">
        <v>2240</v>
      </c>
      <c r="C1333" s="225" t="s">
        <v>2239</v>
      </c>
      <c r="D1333" s="225" t="s">
        <v>2241</v>
      </c>
      <c r="E1333" s="225" t="s">
        <v>6652</v>
      </c>
      <c r="F1333" s="225" t="s">
        <v>6653</v>
      </c>
      <c r="G1333" s="225" t="s">
        <v>2239</v>
      </c>
      <c r="H1333" s="225" t="s">
        <v>6654</v>
      </c>
      <c r="I1333" s="225" t="s">
        <v>6655</v>
      </c>
      <c r="J1333" s="225" t="s">
        <v>6656</v>
      </c>
      <c r="K1333" s="225" t="s">
        <v>9803</v>
      </c>
      <c r="L1333" s="213" t="str">
        <f t="shared" si="5"/>
        <v xml:space="preserve">silver fire 5m-electric iniciation </v>
      </c>
      <c r="M1333" s="225" t="s">
        <v>10462</v>
      </c>
    </row>
    <row r="1334" spans="1:13" ht="15" customHeight="1">
      <c r="A1334" s="213" t="s">
        <v>2242</v>
      </c>
      <c r="B1334" s="225" t="s">
        <v>2244</v>
      </c>
      <c r="C1334" s="225" t="s">
        <v>2243</v>
      </c>
      <c r="D1334" s="225" t="s">
        <v>2245</v>
      </c>
      <c r="E1334" s="225" t="s">
        <v>6657</v>
      </c>
      <c r="F1334" s="225" t="s">
        <v>6658</v>
      </c>
      <c r="G1334" s="225" t="s">
        <v>2243</v>
      </c>
      <c r="H1334" s="225" t="s">
        <v>6659</v>
      </c>
      <c r="I1334" s="225" t="s">
        <v>6660</v>
      </c>
      <c r="J1334" s="225" t="s">
        <v>6661</v>
      </c>
      <c r="K1334" s="225" t="s">
        <v>9804</v>
      </c>
      <c r="L1334" s="213" t="str">
        <f t="shared" si="5"/>
        <v>silver fire 8m-electric iniciation</v>
      </c>
      <c r="M1334" s="225" t="s">
        <v>10463</v>
      </c>
    </row>
    <row r="1335" spans="1:13" ht="15" customHeight="1">
      <c r="A1335" s="213" t="s">
        <v>2246</v>
      </c>
      <c r="B1335" s="225" t="s">
        <v>2249</v>
      </c>
      <c r="C1335" s="225" t="s">
        <v>2248</v>
      </c>
      <c r="D1335" s="225" t="s">
        <v>2250</v>
      </c>
      <c r="E1335" s="225" t="s">
        <v>6662</v>
      </c>
      <c r="F1335" s="225" t="s">
        <v>6663</v>
      </c>
      <c r="G1335" s="225" t="s">
        <v>2248</v>
      </c>
      <c r="H1335" s="225" t="s">
        <v>6664</v>
      </c>
      <c r="I1335" s="225" t="s">
        <v>6665</v>
      </c>
      <c r="J1335" s="225" t="s">
        <v>6666</v>
      </c>
      <c r="K1335" s="225" t="s">
        <v>9805</v>
      </c>
      <c r="L1335" s="213" t="str">
        <f t="shared" si="5"/>
        <v>silver fountain-without smoke, effect high 2m,electric iniciation</v>
      </c>
      <c r="M1335" s="225" t="s">
        <v>10464</v>
      </c>
    </row>
    <row r="1336" spans="1:13" ht="15" customHeight="1">
      <c r="A1336" s="213" t="s">
        <v>2251</v>
      </c>
      <c r="B1336" s="225" t="s">
        <v>2254</v>
      </c>
      <c r="C1336" s="225" t="s">
        <v>2253</v>
      </c>
      <c r="D1336" s="225" t="s">
        <v>2255</v>
      </c>
      <c r="E1336" s="225" t="s">
        <v>6667</v>
      </c>
      <c r="F1336" s="225" t="s">
        <v>6668</v>
      </c>
      <c r="G1336" s="225" t="s">
        <v>2253</v>
      </c>
      <c r="H1336" s="225" t="s">
        <v>6669</v>
      </c>
      <c r="I1336" s="225" t="s">
        <v>6670</v>
      </c>
      <c r="J1336" s="225" t="s">
        <v>6671</v>
      </c>
      <c r="K1336" s="225" t="s">
        <v>9806</v>
      </c>
      <c r="L1336" s="213" t="str">
        <f t="shared" si="5"/>
        <v>silver fountain-without smoke, effect high 3m,electric iniciation</v>
      </c>
      <c r="M1336" s="225" t="s">
        <v>10465</v>
      </c>
    </row>
    <row r="1337" spans="1:13" ht="15" customHeight="1">
      <c r="A1337" s="213" t="s">
        <v>2260</v>
      </c>
      <c r="B1337" s="225" t="s">
        <v>2258</v>
      </c>
      <c r="C1337" s="225" t="s">
        <v>2257</v>
      </c>
      <c r="D1337" s="225" t="s">
        <v>2259</v>
      </c>
      <c r="E1337" s="225" t="s">
        <v>6672</v>
      </c>
      <c r="F1337" s="225" t="s">
        <v>6673</v>
      </c>
      <c r="G1337" s="225" t="s">
        <v>2257</v>
      </c>
      <c r="H1337" s="225" t="s">
        <v>6674</v>
      </c>
      <c r="I1337" s="225" t="s">
        <v>6675</v>
      </c>
      <c r="J1337" s="225" t="s">
        <v>6676</v>
      </c>
      <c r="K1337" s="225" t="s">
        <v>9807</v>
      </c>
      <c r="L1337" s="213" t="str">
        <f t="shared" si="5"/>
        <v>silver fountain-without smoke, effect high 5m,electric iniciation</v>
      </c>
      <c r="M1337" s="225" t="s">
        <v>10466</v>
      </c>
    </row>
    <row r="1338" spans="1:13" ht="15" customHeight="1">
      <c r="A1338" s="213" t="s">
        <v>2877</v>
      </c>
      <c r="B1338" s="225" t="s">
        <v>2875</v>
      </c>
      <c r="C1338" s="225" t="s">
        <v>2969</v>
      </c>
      <c r="D1338" s="225" t="s">
        <v>3025</v>
      </c>
      <c r="E1338" s="225" t="s">
        <v>6677</v>
      </c>
      <c r="F1338" s="225" t="s">
        <v>6678</v>
      </c>
      <c r="G1338" s="225" t="s">
        <v>2969</v>
      </c>
      <c r="H1338" s="225" t="s">
        <v>6679</v>
      </c>
      <c r="I1338" s="225" t="s">
        <v>6680</v>
      </c>
      <c r="J1338" s="225" t="s">
        <v>6681</v>
      </c>
      <c r="K1338" s="225" t="s">
        <v>9808</v>
      </c>
      <c r="L1338" s="213" t="str">
        <f t="shared" si="5"/>
        <v>silver fountain-without smoke, effect high 6m,electric iniciation</v>
      </c>
      <c r="M1338" s="225" t="s">
        <v>10467</v>
      </c>
    </row>
    <row r="1339" spans="1:13" ht="15" customHeight="1">
      <c r="A1339" s="213" t="s">
        <v>2262</v>
      </c>
      <c r="B1339" s="225" t="s">
        <v>2264</v>
      </c>
      <c r="C1339" s="225" t="s">
        <v>2263</v>
      </c>
      <c r="D1339" s="225" t="s">
        <v>2265</v>
      </c>
      <c r="E1339" s="225" t="s">
        <v>6682</v>
      </c>
      <c r="F1339" s="225" t="s">
        <v>6683</v>
      </c>
      <c r="G1339" s="225" t="s">
        <v>2263</v>
      </c>
      <c r="H1339" s="225" t="s">
        <v>6684</v>
      </c>
      <c r="I1339" s="225" t="s">
        <v>6685</v>
      </c>
      <c r="J1339" s="225" t="s">
        <v>6686</v>
      </c>
      <c r="K1339" s="225" t="s">
        <v>9809</v>
      </c>
      <c r="L1339" s="213" t="str">
        <f t="shared" si="5"/>
        <v>double heart with 8 pcs silver fountain</v>
      </c>
      <c r="M1339" s="225" t="s">
        <v>10468</v>
      </c>
    </row>
    <row r="1340" spans="1:13" ht="15" customHeight="1">
      <c r="A1340" s="213" t="s">
        <v>2266</v>
      </c>
      <c r="B1340" s="225" t="s">
        <v>2268</v>
      </c>
      <c r="C1340" s="225" t="s">
        <v>2267</v>
      </c>
      <c r="D1340" s="225" t="s">
        <v>2269</v>
      </c>
      <c r="E1340" s="225" t="s">
        <v>6687</v>
      </c>
      <c r="F1340" s="225" t="s">
        <v>6688</v>
      </c>
      <c r="G1340" s="225" t="s">
        <v>2267</v>
      </c>
      <c r="H1340" s="225" t="s">
        <v>6689</v>
      </c>
      <c r="I1340" s="225" t="s">
        <v>6690</v>
      </c>
      <c r="J1340" s="225" t="s">
        <v>6691</v>
      </c>
      <c r="K1340" s="225" t="s">
        <v>9810</v>
      </c>
      <c r="L1340" s="213" t="str">
        <f t="shared" si="5"/>
        <v>Outdoor waterfall 20m lenght,silver color(9m effect height)</v>
      </c>
      <c r="M1340" s="225" t="s">
        <v>10469</v>
      </c>
    </row>
    <row r="1341" spans="1:13" ht="15" customHeight="1">
      <c r="A1341" s="213" t="s">
        <v>2270</v>
      </c>
      <c r="B1341" s="225" t="s">
        <v>2274</v>
      </c>
      <c r="C1341" s="225" t="s">
        <v>2273</v>
      </c>
      <c r="D1341" s="225" t="s">
        <v>2275</v>
      </c>
      <c r="E1341" s="225" t="s">
        <v>6692</v>
      </c>
      <c r="F1341" s="225" t="s">
        <v>6693</v>
      </c>
      <c r="G1341" s="225" t="s">
        <v>2273</v>
      </c>
      <c r="H1341" s="225" t="s">
        <v>6694</v>
      </c>
      <c r="I1341" s="225" t="s">
        <v>6695</v>
      </c>
      <c r="J1341" s="225" t="s">
        <v>6696</v>
      </c>
      <c r="K1341" s="225" t="s">
        <v>9811</v>
      </c>
      <c r="L1341" s="213" t="str">
        <f t="shared" si="5"/>
        <v>electric ignitor, lenght 30cm</v>
      </c>
      <c r="M1341" s="225" t="s">
        <v>10470</v>
      </c>
    </row>
    <row r="1342" spans="1:13" ht="15" customHeight="1">
      <c r="A1342" s="213" t="s">
        <v>2276</v>
      </c>
      <c r="B1342" s="225" t="s">
        <v>2280</v>
      </c>
      <c r="C1342" s="225" t="s">
        <v>2279</v>
      </c>
      <c r="D1342" s="225" t="s">
        <v>2281</v>
      </c>
      <c r="E1342" s="225" t="s">
        <v>6697</v>
      </c>
      <c r="F1342" s="225" t="s">
        <v>6698</v>
      </c>
      <c r="G1342" s="225" t="s">
        <v>2279</v>
      </c>
      <c r="H1342" s="225" t="s">
        <v>6699</v>
      </c>
      <c r="I1342" s="225" t="s">
        <v>6700</v>
      </c>
      <c r="J1342" s="225" t="s">
        <v>6701</v>
      </c>
      <c r="K1342" s="225" t="s">
        <v>9812</v>
      </c>
      <c r="L1342" s="213" t="str">
        <f t="shared" si="5"/>
        <v>electric ignitor, lenght 100cm</v>
      </c>
      <c r="M1342" s="225" t="s">
        <v>10471</v>
      </c>
    </row>
    <row r="1343" spans="1:13" ht="15" customHeight="1">
      <c r="A1343" s="213" t="s">
        <v>2282</v>
      </c>
      <c r="B1343" s="225" t="s">
        <v>2285</v>
      </c>
      <c r="C1343" s="225" t="s">
        <v>2284</v>
      </c>
      <c r="D1343" s="225" t="s">
        <v>2286</v>
      </c>
      <c r="E1343" s="225" t="s">
        <v>6702</v>
      </c>
      <c r="F1343" s="225" t="s">
        <v>6703</v>
      </c>
      <c r="G1343" s="225" t="s">
        <v>2284</v>
      </c>
      <c r="H1343" s="225" t="s">
        <v>6704</v>
      </c>
      <c r="I1343" s="225" t="s">
        <v>6705</v>
      </c>
      <c r="J1343" s="225" t="s">
        <v>6706</v>
      </c>
      <c r="K1343" s="225" t="s">
        <v>9813</v>
      </c>
      <c r="L1343" s="213" t="str">
        <f t="shared" si="5"/>
        <v>electric ignitor, lenght 200cm</v>
      </c>
      <c r="M1343" s="225" t="s">
        <v>10472</v>
      </c>
    </row>
    <row r="1344" spans="1:13" ht="15" customHeight="1">
      <c r="A1344" s="213" t="s">
        <v>2287</v>
      </c>
      <c r="B1344" s="225" t="s">
        <v>2291</v>
      </c>
      <c r="C1344" s="225" t="s">
        <v>2290</v>
      </c>
      <c r="D1344" s="225" t="s">
        <v>2292</v>
      </c>
      <c r="E1344" s="225" t="s">
        <v>6707</v>
      </c>
      <c r="F1344" s="225" t="s">
        <v>6708</v>
      </c>
      <c r="G1344" s="225" t="s">
        <v>2290</v>
      </c>
      <c r="H1344" s="225" t="s">
        <v>6709</v>
      </c>
      <c r="I1344" s="225" t="s">
        <v>6710</v>
      </c>
      <c r="J1344" s="225" t="s">
        <v>6711</v>
      </c>
      <c r="K1344" s="225" t="s">
        <v>9814</v>
      </c>
      <c r="L1344" s="213" t="str">
        <f t="shared" si="5"/>
        <v>electric ignitor, lenght 300cm</v>
      </c>
      <c r="M1344" s="225" t="s">
        <v>10473</v>
      </c>
    </row>
    <row r="1345" spans="1:13" ht="15" customHeight="1">
      <c r="A1345" s="213" t="s">
        <v>2293</v>
      </c>
      <c r="B1345" s="225" t="s">
        <v>2296</v>
      </c>
      <c r="C1345" s="225" t="s">
        <v>2295</v>
      </c>
      <c r="D1345" s="225" t="s">
        <v>2297</v>
      </c>
      <c r="E1345" s="225" t="s">
        <v>6712</v>
      </c>
      <c r="F1345" s="225" t="s">
        <v>6713</v>
      </c>
      <c r="G1345" s="225" t="s">
        <v>2295</v>
      </c>
      <c r="H1345" s="225" t="s">
        <v>6714</v>
      </c>
      <c r="I1345" s="225" t="s">
        <v>6715</v>
      </c>
      <c r="J1345" s="225" t="s">
        <v>6716</v>
      </c>
      <c r="K1345" s="225" t="s">
        <v>9815</v>
      </c>
      <c r="L1345" s="213" t="str">
        <f t="shared" si="5"/>
        <v>electric ignitor, lenght 500cm</v>
      </c>
      <c r="M1345" s="225" t="s">
        <v>10474</v>
      </c>
    </row>
    <row r="1346" spans="1:13" ht="15" customHeight="1">
      <c r="A1346" s="213" t="s">
        <v>2298</v>
      </c>
      <c r="B1346" s="225" t="s">
        <v>2300</v>
      </c>
      <c r="C1346" s="225" t="s">
        <v>2299</v>
      </c>
      <c r="D1346" s="225" t="s">
        <v>2301</v>
      </c>
      <c r="E1346" s="225" t="s">
        <v>6717</v>
      </c>
      <c r="F1346" s="225" t="s">
        <v>6718</v>
      </c>
      <c r="G1346" s="225" t="s">
        <v>2299</v>
      </c>
      <c r="H1346" s="225" t="s">
        <v>6719</v>
      </c>
      <c r="I1346" s="225" t="s">
        <v>6720</v>
      </c>
      <c r="J1346" s="225" t="s">
        <v>6721</v>
      </c>
      <c r="K1346" s="225" t="s">
        <v>9816</v>
      </c>
      <c r="L1346" s="213" t="str">
        <f t="shared" si="5"/>
        <v>black plastic connector-pin, made as a link between products</v>
      </c>
      <c r="M1346" s="225" t="s">
        <v>10475</v>
      </c>
    </row>
    <row r="1347" spans="1:13" ht="15" customHeight="1">
      <c r="A1347" s="213" t="s">
        <v>2302</v>
      </c>
      <c r="B1347" s="225" t="s">
        <v>2304</v>
      </c>
      <c r="C1347" s="225" t="s">
        <v>2303</v>
      </c>
      <c r="D1347" s="225" t="s">
        <v>2305</v>
      </c>
      <c r="E1347" s="225" t="s">
        <v>6717</v>
      </c>
      <c r="F1347" s="225" t="s">
        <v>6722</v>
      </c>
      <c r="G1347" s="225" t="s">
        <v>2303</v>
      </c>
      <c r="H1347" s="225" t="s">
        <v>6723</v>
      </c>
      <c r="I1347" s="225" t="s">
        <v>6724</v>
      </c>
      <c r="J1347" s="225" t="s">
        <v>6725</v>
      </c>
      <c r="K1347" s="225" t="s">
        <v>9817</v>
      </c>
      <c r="L1347" s="213" t="str">
        <f t="shared" si="5"/>
        <v>black plastic connector-socket, made as a link between products</v>
      </c>
      <c r="M1347" s="225" t="s">
        <v>10476</v>
      </c>
    </row>
    <row r="1348" spans="1:13" ht="15" customHeight="1">
      <c r="A1348" s="213" t="s">
        <v>2306</v>
      </c>
      <c r="B1348" s="225" t="s">
        <v>2308</v>
      </c>
      <c r="C1348" s="225" t="s">
        <v>2307</v>
      </c>
      <c r="D1348" s="225" t="s">
        <v>2309</v>
      </c>
      <c r="E1348" s="225" t="s">
        <v>6726</v>
      </c>
      <c r="F1348" s="225" t="s">
        <v>6727</v>
      </c>
      <c r="G1348" s="225" t="s">
        <v>2307</v>
      </c>
      <c r="H1348" s="225" t="s">
        <v>6728</v>
      </c>
      <c r="I1348" s="225" t="s">
        <v>6729</v>
      </c>
      <c r="J1348" s="225" t="s">
        <v>6730</v>
      </c>
      <c r="K1348" s="225" t="s">
        <v>9818</v>
      </c>
      <c r="L1348" s="213" t="str">
        <f t="shared" si="5"/>
        <v>Cu twin cable 0,6mm inner diameter, 1,1mm outer diameter, for electric fireworks firing</v>
      </c>
      <c r="M1348" s="213" t="str">
        <f>C1348</f>
        <v>Cu twin cable 0,6mm inner diameter, 1,1mm outer diameter, for electric fireworks firing</v>
      </c>
    </row>
    <row r="1349" spans="1:13" ht="15" customHeight="1">
      <c r="A1349" s="213" t="s">
        <v>12724</v>
      </c>
      <c r="B1349" s="225" t="s">
        <v>12742</v>
      </c>
      <c r="C1349" s="225" t="s">
        <v>12743</v>
      </c>
      <c r="D1349" s="225" t="s">
        <v>12744</v>
      </c>
      <c r="E1349" s="225" t="s">
        <v>12743</v>
      </c>
      <c r="F1349" s="225" t="s">
        <v>12743</v>
      </c>
      <c r="G1349" s="225" t="s">
        <v>12745</v>
      </c>
      <c r="H1349" s="225" t="s">
        <v>12743</v>
      </c>
      <c r="I1349" s="225" t="s">
        <v>12743</v>
      </c>
      <c r="J1349" s="225" t="s">
        <v>12743</v>
      </c>
      <c r="K1349" s="225" t="s">
        <v>12743</v>
      </c>
      <c r="L1349" s="213" t="s">
        <v>12743</v>
      </c>
      <c r="M1349" s="213" t="s">
        <v>12743</v>
      </c>
    </row>
    <row r="1350" spans="1:13" ht="15" customHeight="1">
      <c r="A1350" s="213" t="s">
        <v>12728</v>
      </c>
      <c r="B1350" s="225" t="s">
        <v>822</v>
      </c>
      <c r="C1350" s="225" t="s">
        <v>821</v>
      </c>
      <c r="D1350" s="225" t="s">
        <v>823</v>
      </c>
      <c r="E1350" s="225" t="s">
        <v>4725</v>
      </c>
      <c r="F1350" s="225" t="s">
        <v>4726</v>
      </c>
      <c r="G1350" s="225" t="s">
        <v>5106</v>
      </c>
      <c r="H1350" s="225" t="s">
        <v>4728</v>
      </c>
      <c r="I1350" s="225" t="s">
        <v>5107</v>
      </c>
      <c r="J1350" s="225" t="s">
        <v>5352</v>
      </c>
      <c r="K1350" s="225" t="s">
        <v>9510</v>
      </c>
      <c r="L1350" s="213" t="s">
        <v>10839</v>
      </c>
      <c r="M1350" s="213" t="s">
        <v>10112</v>
      </c>
    </row>
    <row r="1351" spans="1:13" ht="15" customHeight="1">
      <c r="A1351" s="650" t="s">
        <v>12396</v>
      </c>
      <c r="B1351" s="651" t="s">
        <v>13679</v>
      </c>
      <c r="C1351" s="651" t="s">
        <v>13681</v>
      </c>
      <c r="D1351" t="s">
        <v>13680</v>
      </c>
      <c r="E1351" t="s">
        <v>13682</v>
      </c>
      <c r="F1351" t="s">
        <v>13683</v>
      </c>
      <c r="G1351" t="s">
        <v>13684</v>
      </c>
      <c r="H1351" t="s">
        <v>13682</v>
      </c>
      <c r="I1351" t="s">
        <v>13685</v>
      </c>
      <c r="J1351" t="s">
        <v>13686</v>
      </c>
      <c r="K1351" t="s">
        <v>13687</v>
      </c>
      <c r="L1351" t="s">
        <v>13688</v>
      </c>
      <c r="M1351" t="s">
        <v>13689</v>
      </c>
    </row>
    <row r="1352" spans="1:13" ht="15" customHeight="1">
      <c r="A1352" t="s">
        <v>2310</v>
      </c>
      <c r="B1352" s="67" t="s">
        <v>13625</v>
      </c>
      <c r="C1352" t="s">
        <v>13629</v>
      </c>
      <c r="D1352" t="s">
        <v>13631</v>
      </c>
      <c r="E1352" t="s">
        <v>13633</v>
      </c>
      <c r="F1352" t="s">
        <v>13635</v>
      </c>
      <c r="G1352" t="s">
        <v>13637</v>
      </c>
      <c r="H1352" t="s">
        <v>13627</v>
      </c>
      <c r="I1352" t="s">
        <v>13639</v>
      </c>
      <c r="J1352" t="s">
        <v>13641</v>
      </c>
      <c r="K1352" t="s">
        <v>13643</v>
      </c>
      <c r="L1352" t="s">
        <v>13645</v>
      </c>
      <c r="M1352" t="s">
        <v>13647</v>
      </c>
    </row>
    <row r="1353" spans="1:13" ht="15" customHeight="1">
      <c r="A1353" t="s">
        <v>2647</v>
      </c>
      <c r="B1353" s="67" t="s">
        <v>13625</v>
      </c>
      <c r="C1353" t="s">
        <v>13629</v>
      </c>
      <c r="D1353" t="s">
        <v>13631</v>
      </c>
      <c r="E1353" t="s">
        <v>13633</v>
      </c>
      <c r="F1353" t="s">
        <v>13635</v>
      </c>
      <c r="G1353" t="s">
        <v>13637</v>
      </c>
      <c r="H1353" t="s">
        <v>13627</v>
      </c>
      <c r="I1353" t="s">
        <v>13639</v>
      </c>
      <c r="J1353" t="s">
        <v>13641</v>
      </c>
      <c r="K1353" t="s">
        <v>13643</v>
      </c>
      <c r="L1353" t="s">
        <v>13645</v>
      </c>
      <c r="M1353" t="s">
        <v>13647</v>
      </c>
    </row>
    <row r="1354" spans="1:13" ht="15" customHeight="1">
      <c r="A1354" t="s">
        <v>13478</v>
      </c>
      <c r="B1354" s="67" t="s">
        <v>13625</v>
      </c>
      <c r="C1354" t="s">
        <v>13629</v>
      </c>
      <c r="D1354" t="s">
        <v>13631</v>
      </c>
      <c r="E1354" t="s">
        <v>13633</v>
      </c>
      <c r="F1354" t="s">
        <v>13635</v>
      </c>
      <c r="G1354" t="s">
        <v>13637</v>
      </c>
      <c r="H1354" t="s">
        <v>13627</v>
      </c>
      <c r="I1354" t="s">
        <v>13639</v>
      </c>
      <c r="J1354" t="s">
        <v>13641</v>
      </c>
      <c r="K1354" t="s">
        <v>13643</v>
      </c>
      <c r="L1354" t="s">
        <v>13645</v>
      </c>
      <c r="M1354" t="s">
        <v>13647</v>
      </c>
    </row>
    <row r="1355" spans="1:13" ht="15" customHeight="1">
      <c r="A1355" t="s">
        <v>13479</v>
      </c>
      <c r="B1355" s="67" t="s">
        <v>13625</v>
      </c>
      <c r="C1355" t="s">
        <v>13629</v>
      </c>
      <c r="D1355" t="s">
        <v>13631</v>
      </c>
      <c r="E1355" t="s">
        <v>13633</v>
      </c>
      <c r="F1355" t="s">
        <v>13635</v>
      </c>
      <c r="G1355" t="s">
        <v>13637</v>
      </c>
      <c r="H1355" t="s">
        <v>13627</v>
      </c>
      <c r="I1355" t="s">
        <v>13639</v>
      </c>
      <c r="J1355" t="s">
        <v>13641</v>
      </c>
      <c r="K1355" t="s">
        <v>13643</v>
      </c>
      <c r="L1355" t="s">
        <v>13645</v>
      </c>
      <c r="M1355" t="s">
        <v>13647</v>
      </c>
    </row>
    <row r="1356" spans="1:13" ht="15" customHeight="1">
      <c r="A1356" t="s">
        <v>2648</v>
      </c>
      <c r="B1356" s="67" t="s">
        <v>13625</v>
      </c>
      <c r="C1356" t="s">
        <v>13629</v>
      </c>
      <c r="D1356" t="s">
        <v>13631</v>
      </c>
      <c r="E1356" t="s">
        <v>13633</v>
      </c>
      <c r="F1356" t="s">
        <v>13635</v>
      </c>
      <c r="G1356" t="s">
        <v>13637</v>
      </c>
      <c r="H1356" t="s">
        <v>13627</v>
      </c>
      <c r="I1356" t="s">
        <v>13639</v>
      </c>
      <c r="J1356" t="s">
        <v>13641</v>
      </c>
      <c r="K1356" t="s">
        <v>13643</v>
      </c>
      <c r="L1356" t="s">
        <v>13645</v>
      </c>
      <c r="M1356" t="s">
        <v>13647</v>
      </c>
    </row>
    <row r="1357" spans="1:13" ht="15" customHeight="1">
      <c r="A1357" t="s">
        <v>13480</v>
      </c>
      <c r="B1357" s="67" t="s">
        <v>13625</v>
      </c>
      <c r="C1357" t="s">
        <v>13629</v>
      </c>
      <c r="D1357" t="s">
        <v>13631</v>
      </c>
      <c r="E1357" t="s">
        <v>13633</v>
      </c>
      <c r="F1357" t="s">
        <v>13635</v>
      </c>
      <c r="G1357" t="s">
        <v>13637</v>
      </c>
      <c r="H1357" t="s">
        <v>13627</v>
      </c>
      <c r="I1357" t="s">
        <v>13639</v>
      </c>
      <c r="J1357" t="s">
        <v>13641</v>
      </c>
      <c r="K1357" t="s">
        <v>13643</v>
      </c>
      <c r="L1357" t="s">
        <v>13645</v>
      </c>
      <c r="M1357" t="s">
        <v>13647</v>
      </c>
    </row>
    <row r="1358" spans="1:13" ht="15" customHeight="1">
      <c r="A1358" t="s">
        <v>13481</v>
      </c>
      <c r="B1358" s="67" t="s">
        <v>13625</v>
      </c>
      <c r="C1358" t="s">
        <v>13629</v>
      </c>
      <c r="D1358" t="s">
        <v>13631</v>
      </c>
      <c r="E1358" t="s">
        <v>13633</v>
      </c>
      <c r="F1358" t="s">
        <v>13635</v>
      </c>
      <c r="G1358" t="s">
        <v>13637</v>
      </c>
      <c r="H1358" t="s">
        <v>13627</v>
      </c>
      <c r="I1358" t="s">
        <v>13639</v>
      </c>
      <c r="J1358" t="s">
        <v>13641</v>
      </c>
      <c r="K1358" t="s">
        <v>13643</v>
      </c>
      <c r="L1358" t="s">
        <v>13645</v>
      </c>
      <c r="M1358" t="s">
        <v>13647</v>
      </c>
    </row>
    <row r="1359" spans="1:13" ht="15" customHeight="1">
      <c r="A1359" t="s">
        <v>13482</v>
      </c>
      <c r="B1359" s="67" t="s">
        <v>13625</v>
      </c>
      <c r="C1359" t="s">
        <v>13629</v>
      </c>
      <c r="D1359" t="s">
        <v>13631</v>
      </c>
      <c r="E1359" t="s">
        <v>13633</v>
      </c>
      <c r="F1359" t="s">
        <v>13635</v>
      </c>
      <c r="G1359" t="s">
        <v>13637</v>
      </c>
      <c r="H1359" t="s">
        <v>13627</v>
      </c>
      <c r="I1359" t="s">
        <v>13639</v>
      </c>
      <c r="J1359" t="s">
        <v>13641</v>
      </c>
      <c r="K1359" t="s">
        <v>13643</v>
      </c>
      <c r="L1359" t="s">
        <v>13645</v>
      </c>
      <c r="M1359" t="s">
        <v>13647</v>
      </c>
    </row>
    <row r="1360" spans="1:13" ht="15" customHeight="1">
      <c r="A1360" t="s">
        <v>13483</v>
      </c>
      <c r="B1360" s="67" t="s">
        <v>13625</v>
      </c>
      <c r="C1360" t="s">
        <v>13629</v>
      </c>
      <c r="D1360" t="s">
        <v>13631</v>
      </c>
      <c r="E1360" t="s">
        <v>13633</v>
      </c>
      <c r="F1360" t="s">
        <v>13635</v>
      </c>
      <c r="G1360" t="s">
        <v>13637</v>
      </c>
      <c r="H1360" t="s">
        <v>13627</v>
      </c>
      <c r="I1360" t="s">
        <v>13639</v>
      </c>
      <c r="J1360" t="s">
        <v>13641</v>
      </c>
      <c r="K1360" t="s">
        <v>13643</v>
      </c>
      <c r="L1360" t="s">
        <v>13645</v>
      </c>
      <c r="M1360" t="s">
        <v>13647</v>
      </c>
    </row>
    <row r="1361" spans="1:13" ht="15" customHeight="1">
      <c r="A1361" t="s">
        <v>3075</v>
      </c>
      <c r="B1361" s="67" t="s">
        <v>13625</v>
      </c>
      <c r="C1361" t="s">
        <v>13629</v>
      </c>
      <c r="D1361" t="s">
        <v>13631</v>
      </c>
      <c r="E1361" t="s">
        <v>13633</v>
      </c>
      <c r="F1361" t="s">
        <v>13635</v>
      </c>
      <c r="G1361" t="s">
        <v>13637</v>
      </c>
      <c r="H1361" t="s">
        <v>13627</v>
      </c>
      <c r="I1361" t="s">
        <v>13639</v>
      </c>
      <c r="J1361" t="s">
        <v>13641</v>
      </c>
      <c r="K1361" t="s">
        <v>13643</v>
      </c>
      <c r="L1361" t="s">
        <v>13645</v>
      </c>
      <c r="M1361" t="s">
        <v>13647</v>
      </c>
    </row>
    <row r="1362" spans="1:13" ht="15" customHeight="1">
      <c r="A1362" t="s">
        <v>2313</v>
      </c>
      <c r="B1362" s="67" t="s">
        <v>13625</v>
      </c>
      <c r="C1362" t="s">
        <v>13629</v>
      </c>
      <c r="D1362" t="s">
        <v>13631</v>
      </c>
      <c r="E1362" t="s">
        <v>13633</v>
      </c>
      <c r="F1362" t="s">
        <v>13635</v>
      </c>
      <c r="G1362" t="s">
        <v>13637</v>
      </c>
      <c r="H1362" t="s">
        <v>13627</v>
      </c>
      <c r="I1362" t="s">
        <v>13639</v>
      </c>
      <c r="J1362" t="s">
        <v>13641</v>
      </c>
      <c r="K1362" t="s">
        <v>13643</v>
      </c>
      <c r="L1362" t="s">
        <v>13645</v>
      </c>
      <c r="M1362" t="s">
        <v>13647</v>
      </c>
    </row>
    <row r="1363" spans="1:13" ht="15" customHeight="1">
      <c r="A1363" t="s">
        <v>2314</v>
      </c>
      <c r="B1363" s="67" t="s">
        <v>13625</v>
      </c>
      <c r="C1363" t="s">
        <v>13629</v>
      </c>
      <c r="D1363" t="s">
        <v>13631</v>
      </c>
      <c r="E1363" t="s">
        <v>13633</v>
      </c>
      <c r="F1363" t="s">
        <v>13635</v>
      </c>
      <c r="G1363" t="s">
        <v>13637</v>
      </c>
      <c r="H1363" t="s">
        <v>13627</v>
      </c>
      <c r="I1363" t="s">
        <v>13639</v>
      </c>
      <c r="J1363" t="s">
        <v>13641</v>
      </c>
      <c r="K1363" t="s">
        <v>13643</v>
      </c>
      <c r="L1363" t="s">
        <v>13645</v>
      </c>
      <c r="M1363" t="s">
        <v>13647</v>
      </c>
    </row>
    <row r="1364" spans="1:13" ht="15" customHeight="1">
      <c r="A1364" t="s">
        <v>13484</v>
      </c>
      <c r="B1364" s="67" t="s">
        <v>13625</v>
      </c>
      <c r="C1364" t="s">
        <v>13629</v>
      </c>
      <c r="D1364" t="s">
        <v>13631</v>
      </c>
      <c r="E1364" t="s">
        <v>13633</v>
      </c>
      <c r="F1364" t="s">
        <v>13635</v>
      </c>
      <c r="G1364" t="s">
        <v>13637</v>
      </c>
      <c r="H1364" t="s">
        <v>13627</v>
      </c>
      <c r="I1364" t="s">
        <v>13639</v>
      </c>
      <c r="J1364" t="s">
        <v>13641</v>
      </c>
      <c r="K1364" t="s">
        <v>13643</v>
      </c>
      <c r="L1364" t="s">
        <v>13645</v>
      </c>
      <c r="M1364" t="s">
        <v>13647</v>
      </c>
    </row>
    <row r="1365" spans="1:13" ht="15" customHeight="1">
      <c r="A1365" t="s">
        <v>2315</v>
      </c>
      <c r="B1365" s="67" t="s">
        <v>13625</v>
      </c>
      <c r="C1365" t="s">
        <v>13629</v>
      </c>
      <c r="D1365" t="s">
        <v>13631</v>
      </c>
      <c r="E1365" t="s">
        <v>13633</v>
      </c>
      <c r="F1365" t="s">
        <v>13635</v>
      </c>
      <c r="G1365" t="s">
        <v>13637</v>
      </c>
      <c r="H1365" t="s">
        <v>13627</v>
      </c>
      <c r="I1365" t="s">
        <v>13639</v>
      </c>
      <c r="J1365" t="s">
        <v>13641</v>
      </c>
      <c r="K1365" t="s">
        <v>13643</v>
      </c>
      <c r="L1365" t="s">
        <v>13645</v>
      </c>
      <c r="M1365" t="s">
        <v>13647</v>
      </c>
    </row>
    <row r="1366" spans="1:13" ht="15" customHeight="1">
      <c r="A1366" t="s">
        <v>2316</v>
      </c>
      <c r="B1366" s="67" t="s">
        <v>13625</v>
      </c>
      <c r="C1366" t="s">
        <v>13629</v>
      </c>
      <c r="D1366" t="s">
        <v>13631</v>
      </c>
      <c r="E1366" t="s">
        <v>13633</v>
      </c>
      <c r="F1366" t="s">
        <v>13635</v>
      </c>
      <c r="G1366" t="s">
        <v>13637</v>
      </c>
      <c r="H1366" t="s">
        <v>13627</v>
      </c>
      <c r="I1366" t="s">
        <v>13639</v>
      </c>
      <c r="J1366" t="s">
        <v>13641</v>
      </c>
      <c r="K1366" t="s">
        <v>13643</v>
      </c>
      <c r="L1366" t="s">
        <v>13645</v>
      </c>
      <c r="M1366" t="s">
        <v>13647</v>
      </c>
    </row>
    <row r="1367" spans="1:13" ht="15" customHeight="1">
      <c r="A1367" t="s">
        <v>2318</v>
      </c>
      <c r="B1367" s="67" t="s">
        <v>13625</v>
      </c>
      <c r="C1367" t="s">
        <v>13629</v>
      </c>
      <c r="D1367" t="s">
        <v>13631</v>
      </c>
      <c r="E1367" t="s">
        <v>13633</v>
      </c>
      <c r="F1367" t="s">
        <v>13635</v>
      </c>
      <c r="G1367" t="s">
        <v>13637</v>
      </c>
      <c r="H1367" t="s">
        <v>13627</v>
      </c>
      <c r="I1367" t="s">
        <v>13639</v>
      </c>
      <c r="J1367" t="s">
        <v>13641</v>
      </c>
      <c r="K1367" t="s">
        <v>13643</v>
      </c>
      <c r="L1367" t="s">
        <v>13645</v>
      </c>
      <c r="M1367" t="s">
        <v>13647</v>
      </c>
    </row>
    <row r="1368" spans="1:13" ht="15" customHeight="1">
      <c r="A1368" t="s">
        <v>13485</v>
      </c>
      <c r="B1368" s="67" t="s">
        <v>13625</v>
      </c>
      <c r="C1368" t="s">
        <v>13629</v>
      </c>
      <c r="D1368" t="s">
        <v>13631</v>
      </c>
      <c r="E1368" t="s">
        <v>13633</v>
      </c>
      <c r="F1368" t="s">
        <v>13635</v>
      </c>
      <c r="G1368" t="s">
        <v>13637</v>
      </c>
      <c r="H1368" t="s">
        <v>13627</v>
      </c>
      <c r="I1368" t="s">
        <v>13639</v>
      </c>
      <c r="J1368" t="s">
        <v>13641</v>
      </c>
      <c r="K1368" t="s">
        <v>13643</v>
      </c>
      <c r="L1368" t="s">
        <v>13645</v>
      </c>
      <c r="M1368" t="s">
        <v>13647</v>
      </c>
    </row>
    <row r="1369" spans="1:13" ht="15" customHeight="1">
      <c r="A1369" t="s">
        <v>2320</v>
      </c>
      <c r="B1369" s="67" t="s">
        <v>13625</v>
      </c>
      <c r="C1369" t="s">
        <v>13629</v>
      </c>
      <c r="D1369" t="s">
        <v>13631</v>
      </c>
      <c r="E1369" t="s">
        <v>13633</v>
      </c>
      <c r="F1369" t="s">
        <v>13635</v>
      </c>
      <c r="G1369" t="s">
        <v>13637</v>
      </c>
      <c r="H1369" t="s">
        <v>13627</v>
      </c>
      <c r="I1369" t="s">
        <v>13639</v>
      </c>
      <c r="J1369" t="s">
        <v>13641</v>
      </c>
      <c r="K1369" t="s">
        <v>13643</v>
      </c>
      <c r="L1369" t="s">
        <v>13645</v>
      </c>
      <c r="M1369" t="s">
        <v>13647</v>
      </c>
    </row>
    <row r="1370" spans="1:13" ht="15" customHeight="1">
      <c r="A1370" t="s">
        <v>2322</v>
      </c>
      <c r="B1370" s="67" t="s">
        <v>13625</v>
      </c>
      <c r="C1370" t="s">
        <v>13629</v>
      </c>
      <c r="D1370" t="s">
        <v>13631</v>
      </c>
      <c r="E1370" t="s">
        <v>13633</v>
      </c>
      <c r="F1370" t="s">
        <v>13635</v>
      </c>
      <c r="G1370" t="s">
        <v>13637</v>
      </c>
      <c r="H1370" t="s">
        <v>13627</v>
      </c>
      <c r="I1370" t="s">
        <v>13639</v>
      </c>
      <c r="J1370" t="s">
        <v>13641</v>
      </c>
      <c r="K1370" t="s">
        <v>13643</v>
      </c>
      <c r="L1370" t="s">
        <v>13645</v>
      </c>
      <c r="M1370" t="s">
        <v>13647</v>
      </c>
    </row>
    <row r="1371" spans="1:13" ht="15" customHeight="1">
      <c r="A1371" t="s">
        <v>2324</v>
      </c>
      <c r="B1371" s="67" t="s">
        <v>13625</v>
      </c>
      <c r="C1371" t="s">
        <v>13629</v>
      </c>
      <c r="D1371" t="s">
        <v>13631</v>
      </c>
      <c r="E1371" t="s">
        <v>13633</v>
      </c>
      <c r="F1371" t="s">
        <v>13635</v>
      </c>
      <c r="G1371" t="s">
        <v>13637</v>
      </c>
      <c r="H1371" t="s">
        <v>13627</v>
      </c>
      <c r="I1371" t="s">
        <v>13639</v>
      </c>
      <c r="J1371" t="s">
        <v>13641</v>
      </c>
      <c r="K1371" t="s">
        <v>13643</v>
      </c>
      <c r="L1371" t="s">
        <v>13645</v>
      </c>
      <c r="M1371" t="s">
        <v>13647</v>
      </c>
    </row>
    <row r="1372" spans="1:13" ht="15" customHeight="1">
      <c r="A1372" t="s">
        <v>13486</v>
      </c>
      <c r="B1372" s="67" t="s">
        <v>13625</v>
      </c>
      <c r="C1372" t="s">
        <v>13629</v>
      </c>
      <c r="D1372" t="s">
        <v>13631</v>
      </c>
      <c r="E1372" t="s">
        <v>13633</v>
      </c>
      <c r="F1372" t="s">
        <v>13635</v>
      </c>
      <c r="G1372" t="s">
        <v>13637</v>
      </c>
      <c r="H1372" t="s">
        <v>13627</v>
      </c>
      <c r="I1372" t="s">
        <v>13639</v>
      </c>
      <c r="J1372" t="s">
        <v>13641</v>
      </c>
      <c r="K1372" t="s">
        <v>13643</v>
      </c>
      <c r="L1372" t="s">
        <v>13645</v>
      </c>
      <c r="M1372" t="s">
        <v>13647</v>
      </c>
    </row>
    <row r="1373" spans="1:13" ht="15" customHeight="1">
      <c r="A1373" t="s">
        <v>2326</v>
      </c>
      <c r="B1373" s="67" t="s">
        <v>13625</v>
      </c>
      <c r="C1373" t="s">
        <v>13629</v>
      </c>
      <c r="D1373" t="s">
        <v>13631</v>
      </c>
      <c r="E1373" t="s">
        <v>13633</v>
      </c>
      <c r="F1373" t="s">
        <v>13635</v>
      </c>
      <c r="G1373" t="s">
        <v>13637</v>
      </c>
      <c r="H1373" t="s">
        <v>13627</v>
      </c>
      <c r="I1373" t="s">
        <v>13639</v>
      </c>
      <c r="J1373" t="s">
        <v>13641</v>
      </c>
      <c r="K1373" t="s">
        <v>13643</v>
      </c>
      <c r="L1373" t="s">
        <v>13645</v>
      </c>
      <c r="M1373" t="s">
        <v>13647</v>
      </c>
    </row>
    <row r="1374" spans="1:13" ht="15" customHeight="1">
      <c r="A1374" t="s">
        <v>13487</v>
      </c>
      <c r="B1374" s="67" t="s">
        <v>13625</v>
      </c>
      <c r="C1374" t="s">
        <v>13629</v>
      </c>
      <c r="D1374" t="s">
        <v>13631</v>
      </c>
      <c r="E1374" t="s">
        <v>13633</v>
      </c>
      <c r="F1374" t="s">
        <v>13635</v>
      </c>
      <c r="G1374" t="s">
        <v>13637</v>
      </c>
      <c r="H1374" t="s">
        <v>13627</v>
      </c>
      <c r="I1374" t="s">
        <v>13639</v>
      </c>
      <c r="J1374" t="s">
        <v>13641</v>
      </c>
      <c r="K1374" t="s">
        <v>13643</v>
      </c>
      <c r="L1374" t="s">
        <v>13645</v>
      </c>
      <c r="M1374" t="s">
        <v>13647</v>
      </c>
    </row>
    <row r="1375" spans="1:13" ht="15" customHeight="1">
      <c r="A1375" t="s">
        <v>2328</v>
      </c>
      <c r="B1375" s="67" t="s">
        <v>13625</v>
      </c>
      <c r="C1375" t="s">
        <v>13629</v>
      </c>
      <c r="D1375" t="s">
        <v>13631</v>
      </c>
      <c r="E1375" t="s">
        <v>13633</v>
      </c>
      <c r="F1375" t="s">
        <v>13635</v>
      </c>
      <c r="G1375" t="s">
        <v>13637</v>
      </c>
      <c r="H1375" t="s">
        <v>13627</v>
      </c>
      <c r="I1375" t="s">
        <v>13639</v>
      </c>
      <c r="J1375" t="s">
        <v>13641</v>
      </c>
      <c r="K1375" t="s">
        <v>13643</v>
      </c>
      <c r="L1375" t="s">
        <v>13645</v>
      </c>
      <c r="M1375" t="s">
        <v>13647</v>
      </c>
    </row>
    <row r="1376" spans="1:13" ht="15" customHeight="1">
      <c r="A1376" t="s">
        <v>2330</v>
      </c>
      <c r="B1376" s="67" t="s">
        <v>13625</v>
      </c>
      <c r="C1376" t="s">
        <v>13629</v>
      </c>
      <c r="D1376" t="s">
        <v>13631</v>
      </c>
      <c r="E1376" t="s">
        <v>13633</v>
      </c>
      <c r="F1376" t="s">
        <v>13635</v>
      </c>
      <c r="G1376" t="s">
        <v>13637</v>
      </c>
      <c r="H1376" t="s">
        <v>13627</v>
      </c>
      <c r="I1376" t="s">
        <v>13639</v>
      </c>
      <c r="J1376" t="s">
        <v>13641</v>
      </c>
      <c r="K1376" t="s">
        <v>13643</v>
      </c>
      <c r="L1376" t="s">
        <v>13645</v>
      </c>
      <c r="M1376" t="s">
        <v>13647</v>
      </c>
    </row>
    <row r="1377" spans="1:13" ht="15" customHeight="1">
      <c r="A1377" t="s">
        <v>2332</v>
      </c>
      <c r="B1377" s="67" t="s">
        <v>13625</v>
      </c>
      <c r="C1377" t="s">
        <v>13629</v>
      </c>
      <c r="D1377" t="s">
        <v>13631</v>
      </c>
      <c r="E1377" t="s">
        <v>13633</v>
      </c>
      <c r="F1377" t="s">
        <v>13635</v>
      </c>
      <c r="G1377" t="s">
        <v>13637</v>
      </c>
      <c r="H1377" t="s">
        <v>13627</v>
      </c>
      <c r="I1377" t="s">
        <v>13639</v>
      </c>
      <c r="J1377" t="s">
        <v>13641</v>
      </c>
      <c r="K1377" t="s">
        <v>13643</v>
      </c>
      <c r="L1377" t="s">
        <v>13645</v>
      </c>
      <c r="M1377" t="s">
        <v>13647</v>
      </c>
    </row>
    <row r="1378" spans="1:13" ht="15" customHeight="1">
      <c r="A1378" t="s">
        <v>2334</v>
      </c>
      <c r="B1378" s="67" t="s">
        <v>13625</v>
      </c>
      <c r="C1378" t="s">
        <v>13629</v>
      </c>
      <c r="D1378" t="s">
        <v>13631</v>
      </c>
      <c r="E1378" t="s">
        <v>13633</v>
      </c>
      <c r="F1378" t="s">
        <v>13635</v>
      </c>
      <c r="G1378" t="s">
        <v>13637</v>
      </c>
      <c r="H1378" t="s">
        <v>13627</v>
      </c>
      <c r="I1378" t="s">
        <v>13639</v>
      </c>
      <c r="J1378" t="s">
        <v>13641</v>
      </c>
      <c r="K1378" t="s">
        <v>13643</v>
      </c>
      <c r="L1378" t="s">
        <v>13645</v>
      </c>
      <c r="M1378" t="s">
        <v>13647</v>
      </c>
    </row>
    <row r="1379" spans="1:13" ht="15" customHeight="1">
      <c r="A1379" t="s">
        <v>2336</v>
      </c>
      <c r="B1379" s="67" t="s">
        <v>13625</v>
      </c>
      <c r="C1379" t="s">
        <v>13629</v>
      </c>
      <c r="D1379" t="s">
        <v>13631</v>
      </c>
      <c r="E1379" t="s">
        <v>13633</v>
      </c>
      <c r="F1379" t="s">
        <v>13635</v>
      </c>
      <c r="G1379" t="s">
        <v>13637</v>
      </c>
      <c r="H1379" t="s">
        <v>13627</v>
      </c>
      <c r="I1379" t="s">
        <v>13639</v>
      </c>
      <c r="J1379" t="s">
        <v>13641</v>
      </c>
      <c r="K1379" t="s">
        <v>13643</v>
      </c>
      <c r="L1379" t="s">
        <v>13645</v>
      </c>
      <c r="M1379" t="s">
        <v>13647</v>
      </c>
    </row>
    <row r="1380" spans="1:13" ht="15" customHeight="1">
      <c r="A1380" t="s">
        <v>13488</v>
      </c>
      <c r="B1380" s="67" t="s">
        <v>13625</v>
      </c>
      <c r="C1380" t="s">
        <v>13629</v>
      </c>
      <c r="D1380" t="s">
        <v>13631</v>
      </c>
      <c r="E1380" t="s">
        <v>13633</v>
      </c>
      <c r="F1380" t="s">
        <v>13635</v>
      </c>
      <c r="G1380" t="s">
        <v>13637</v>
      </c>
      <c r="H1380" t="s">
        <v>13627</v>
      </c>
      <c r="I1380" t="s">
        <v>13639</v>
      </c>
      <c r="J1380" t="s">
        <v>13641</v>
      </c>
      <c r="K1380" t="s">
        <v>13643</v>
      </c>
      <c r="L1380" t="s">
        <v>13645</v>
      </c>
      <c r="M1380" t="s">
        <v>13647</v>
      </c>
    </row>
    <row r="1381" spans="1:13" ht="15" customHeight="1">
      <c r="A1381" t="s">
        <v>13489</v>
      </c>
      <c r="B1381" s="67" t="s">
        <v>13625</v>
      </c>
      <c r="C1381" t="s">
        <v>13629</v>
      </c>
      <c r="D1381" t="s">
        <v>13631</v>
      </c>
      <c r="E1381" t="s">
        <v>13633</v>
      </c>
      <c r="F1381" t="s">
        <v>13635</v>
      </c>
      <c r="G1381" t="s">
        <v>13637</v>
      </c>
      <c r="H1381" t="s">
        <v>13627</v>
      </c>
      <c r="I1381" t="s">
        <v>13639</v>
      </c>
      <c r="J1381" t="s">
        <v>13641</v>
      </c>
      <c r="K1381" t="s">
        <v>13643</v>
      </c>
      <c r="L1381" t="s">
        <v>13645</v>
      </c>
      <c r="M1381" t="s">
        <v>13647</v>
      </c>
    </row>
    <row r="1382" spans="1:13" ht="15" customHeight="1">
      <c r="A1382" t="s">
        <v>2338</v>
      </c>
      <c r="B1382" s="67" t="s">
        <v>13625</v>
      </c>
      <c r="C1382" t="s">
        <v>13629</v>
      </c>
      <c r="D1382" t="s">
        <v>13631</v>
      </c>
      <c r="E1382" t="s">
        <v>13633</v>
      </c>
      <c r="F1382" t="s">
        <v>13635</v>
      </c>
      <c r="G1382" t="s">
        <v>13637</v>
      </c>
      <c r="H1382" t="s">
        <v>13627</v>
      </c>
      <c r="I1382" t="s">
        <v>13639</v>
      </c>
      <c r="J1382" t="s">
        <v>13641</v>
      </c>
      <c r="K1382" t="s">
        <v>13643</v>
      </c>
      <c r="L1382" t="s">
        <v>13645</v>
      </c>
      <c r="M1382" t="s">
        <v>13647</v>
      </c>
    </row>
    <row r="1383" spans="1:13" ht="15" customHeight="1">
      <c r="A1383" t="s">
        <v>2340</v>
      </c>
      <c r="B1383" s="67" t="s">
        <v>13625</v>
      </c>
      <c r="C1383" t="s">
        <v>13629</v>
      </c>
      <c r="D1383" t="s">
        <v>13631</v>
      </c>
      <c r="E1383" t="s">
        <v>13633</v>
      </c>
      <c r="F1383" t="s">
        <v>13635</v>
      </c>
      <c r="G1383" t="s">
        <v>13637</v>
      </c>
      <c r="H1383" t="s">
        <v>13627</v>
      </c>
      <c r="I1383" t="s">
        <v>13639</v>
      </c>
      <c r="J1383" t="s">
        <v>13641</v>
      </c>
      <c r="K1383" t="s">
        <v>13643</v>
      </c>
      <c r="L1383" t="s">
        <v>13645</v>
      </c>
      <c r="M1383" t="s">
        <v>13647</v>
      </c>
    </row>
    <row r="1384" spans="1:13" ht="15" customHeight="1">
      <c r="A1384" t="s">
        <v>2342</v>
      </c>
      <c r="B1384" s="67" t="s">
        <v>13625</v>
      </c>
      <c r="C1384" t="s">
        <v>13629</v>
      </c>
      <c r="D1384" t="s">
        <v>13631</v>
      </c>
      <c r="E1384" t="s">
        <v>13633</v>
      </c>
      <c r="F1384" t="s">
        <v>13635</v>
      </c>
      <c r="G1384" t="s">
        <v>13637</v>
      </c>
      <c r="H1384" t="s">
        <v>13627</v>
      </c>
      <c r="I1384" t="s">
        <v>13639</v>
      </c>
      <c r="J1384" t="s">
        <v>13641</v>
      </c>
      <c r="K1384" t="s">
        <v>13643</v>
      </c>
      <c r="L1384" t="s">
        <v>13645</v>
      </c>
      <c r="M1384" t="s">
        <v>13647</v>
      </c>
    </row>
    <row r="1385" spans="1:13" ht="15" customHeight="1">
      <c r="A1385" t="s">
        <v>2343</v>
      </c>
      <c r="B1385" s="67" t="s">
        <v>13625</v>
      </c>
      <c r="C1385" t="s">
        <v>13629</v>
      </c>
      <c r="D1385" t="s">
        <v>13631</v>
      </c>
      <c r="E1385" t="s">
        <v>13633</v>
      </c>
      <c r="F1385" t="s">
        <v>13635</v>
      </c>
      <c r="G1385" t="s">
        <v>13637</v>
      </c>
      <c r="H1385" t="s">
        <v>13627</v>
      </c>
      <c r="I1385" t="s">
        <v>13639</v>
      </c>
      <c r="J1385" t="s">
        <v>13641</v>
      </c>
      <c r="K1385" t="s">
        <v>13643</v>
      </c>
      <c r="L1385" t="s">
        <v>13645</v>
      </c>
      <c r="M1385" t="s">
        <v>13647</v>
      </c>
    </row>
    <row r="1386" spans="1:13" ht="15" customHeight="1">
      <c r="A1386" t="s">
        <v>2344</v>
      </c>
      <c r="B1386" s="67" t="s">
        <v>13625</v>
      </c>
      <c r="C1386" t="s">
        <v>13629</v>
      </c>
      <c r="D1386" t="s">
        <v>13631</v>
      </c>
      <c r="E1386" t="s">
        <v>13633</v>
      </c>
      <c r="F1386" t="s">
        <v>13635</v>
      </c>
      <c r="G1386" t="s">
        <v>13637</v>
      </c>
      <c r="H1386" t="s">
        <v>13627</v>
      </c>
      <c r="I1386" t="s">
        <v>13639</v>
      </c>
      <c r="J1386" t="s">
        <v>13641</v>
      </c>
      <c r="K1386" t="s">
        <v>13643</v>
      </c>
      <c r="L1386" t="s">
        <v>13645</v>
      </c>
      <c r="M1386" t="s">
        <v>13647</v>
      </c>
    </row>
    <row r="1387" spans="1:13" ht="15" customHeight="1">
      <c r="A1387" t="s">
        <v>2346</v>
      </c>
      <c r="B1387" s="67" t="s">
        <v>13625</v>
      </c>
      <c r="C1387" t="s">
        <v>13629</v>
      </c>
      <c r="D1387" t="s">
        <v>13631</v>
      </c>
      <c r="E1387" t="s">
        <v>13633</v>
      </c>
      <c r="F1387" t="s">
        <v>13635</v>
      </c>
      <c r="G1387" t="s">
        <v>13637</v>
      </c>
      <c r="H1387" t="s">
        <v>13627</v>
      </c>
      <c r="I1387" t="s">
        <v>13639</v>
      </c>
      <c r="J1387" t="s">
        <v>13641</v>
      </c>
      <c r="K1387" t="s">
        <v>13643</v>
      </c>
      <c r="L1387" t="s">
        <v>13645</v>
      </c>
      <c r="M1387" t="s">
        <v>13647</v>
      </c>
    </row>
    <row r="1388" spans="1:13" ht="15" customHeight="1">
      <c r="A1388" t="s">
        <v>2348</v>
      </c>
      <c r="B1388" s="67" t="s">
        <v>13625</v>
      </c>
      <c r="C1388" t="s">
        <v>13629</v>
      </c>
      <c r="D1388" t="s">
        <v>13631</v>
      </c>
      <c r="E1388" t="s">
        <v>13633</v>
      </c>
      <c r="F1388" t="s">
        <v>13635</v>
      </c>
      <c r="G1388" t="s">
        <v>13637</v>
      </c>
      <c r="H1388" t="s">
        <v>13627</v>
      </c>
      <c r="I1388" t="s">
        <v>13639</v>
      </c>
      <c r="J1388" t="s">
        <v>13641</v>
      </c>
      <c r="K1388" t="s">
        <v>13643</v>
      </c>
      <c r="L1388" t="s">
        <v>13645</v>
      </c>
      <c r="M1388" t="s">
        <v>13647</v>
      </c>
    </row>
    <row r="1389" spans="1:13" ht="15" customHeight="1">
      <c r="A1389" t="s">
        <v>13490</v>
      </c>
      <c r="B1389" s="67" t="s">
        <v>13625</v>
      </c>
      <c r="C1389" t="s">
        <v>13629</v>
      </c>
      <c r="D1389" t="s">
        <v>13631</v>
      </c>
      <c r="E1389" t="s">
        <v>13633</v>
      </c>
      <c r="F1389" t="s">
        <v>13635</v>
      </c>
      <c r="G1389" t="s">
        <v>13637</v>
      </c>
      <c r="H1389" t="s">
        <v>13627</v>
      </c>
      <c r="I1389" t="s">
        <v>13639</v>
      </c>
      <c r="J1389" t="s">
        <v>13641</v>
      </c>
      <c r="K1389" t="s">
        <v>13643</v>
      </c>
      <c r="L1389" t="s">
        <v>13645</v>
      </c>
      <c r="M1389" t="s">
        <v>13647</v>
      </c>
    </row>
    <row r="1390" spans="1:13" ht="15" customHeight="1">
      <c r="A1390" t="s">
        <v>2350</v>
      </c>
      <c r="B1390" s="67" t="s">
        <v>13625</v>
      </c>
      <c r="C1390" t="s">
        <v>13629</v>
      </c>
      <c r="D1390" t="s">
        <v>13631</v>
      </c>
      <c r="E1390" t="s">
        <v>13633</v>
      </c>
      <c r="F1390" t="s">
        <v>13635</v>
      </c>
      <c r="G1390" t="s">
        <v>13637</v>
      </c>
      <c r="H1390" t="s">
        <v>13627</v>
      </c>
      <c r="I1390" t="s">
        <v>13639</v>
      </c>
      <c r="J1390" t="s">
        <v>13641</v>
      </c>
      <c r="K1390" t="s">
        <v>13643</v>
      </c>
      <c r="L1390" t="s">
        <v>13645</v>
      </c>
      <c r="M1390" t="s">
        <v>13647</v>
      </c>
    </row>
    <row r="1391" spans="1:13" ht="15" customHeight="1">
      <c r="A1391" t="s">
        <v>2351</v>
      </c>
      <c r="B1391" s="67" t="s">
        <v>13625</v>
      </c>
      <c r="C1391" t="s">
        <v>13629</v>
      </c>
      <c r="D1391" t="s">
        <v>13631</v>
      </c>
      <c r="E1391" t="s">
        <v>13633</v>
      </c>
      <c r="F1391" t="s">
        <v>13635</v>
      </c>
      <c r="G1391" t="s">
        <v>13637</v>
      </c>
      <c r="H1391" t="s">
        <v>13627</v>
      </c>
      <c r="I1391" t="s">
        <v>13639</v>
      </c>
      <c r="J1391" t="s">
        <v>13641</v>
      </c>
      <c r="K1391" t="s">
        <v>13643</v>
      </c>
      <c r="L1391" t="s">
        <v>13645</v>
      </c>
      <c r="M1391" t="s">
        <v>13647</v>
      </c>
    </row>
    <row r="1392" spans="1:13" ht="15" customHeight="1">
      <c r="A1392" t="s">
        <v>2352</v>
      </c>
      <c r="B1392" s="67" t="s">
        <v>13625</v>
      </c>
      <c r="C1392" t="s">
        <v>13629</v>
      </c>
      <c r="D1392" t="s">
        <v>13631</v>
      </c>
      <c r="E1392" t="s">
        <v>13633</v>
      </c>
      <c r="F1392" t="s">
        <v>13635</v>
      </c>
      <c r="G1392" t="s">
        <v>13637</v>
      </c>
      <c r="H1392" t="s">
        <v>13627</v>
      </c>
      <c r="I1392" t="s">
        <v>13639</v>
      </c>
      <c r="J1392" t="s">
        <v>13641</v>
      </c>
      <c r="K1392" t="s">
        <v>13643</v>
      </c>
      <c r="L1392" t="s">
        <v>13645</v>
      </c>
      <c r="M1392" t="s">
        <v>13647</v>
      </c>
    </row>
    <row r="1393" spans="1:13" ht="15" customHeight="1">
      <c r="A1393" t="s">
        <v>2353</v>
      </c>
      <c r="B1393" s="67" t="s">
        <v>13625</v>
      </c>
      <c r="C1393" t="s">
        <v>13629</v>
      </c>
      <c r="D1393" t="s">
        <v>13631</v>
      </c>
      <c r="E1393" t="s">
        <v>13633</v>
      </c>
      <c r="F1393" t="s">
        <v>13635</v>
      </c>
      <c r="G1393" t="s">
        <v>13637</v>
      </c>
      <c r="H1393" t="s">
        <v>13627</v>
      </c>
      <c r="I1393" t="s">
        <v>13639</v>
      </c>
      <c r="J1393" t="s">
        <v>13641</v>
      </c>
      <c r="K1393" t="s">
        <v>13643</v>
      </c>
      <c r="L1393" t="s">
        <v>13645</v>
      </c>
      <c r="M1393" t="s">
        <v>13647</v>
      </c>
    </row>
    <row r="1394" spans="1:13" ht="15" customHeight="1">
      <c r="A1394" t="s">
        <v>2354</v>
      </c>
      <c r="B1394" s="67" t="s">
        <v>13625</v>
      </c>
      <c r="C1394" t="s">
        <v>13629</v>
      </c>
      <c r="D1394" t="s">
        <v>13631</v>
      </c>
      <c r="E1394" t="s">
        <v>13633</v>
      </c>
      <c r="F1394" t="s">
        <v>13635</v>
      </c>
      <c r="G1394" t="s">
        <v>13637</v>
      </c>
      <c r="H1394" t="s">
        <v>13627</v>
      </c>
      <c r="I1394" t="s">
        <v>13639</v>
      </c>
      <c r="J1394" t="s">
        <v>13641</v>
      </c>
      <c r="K1394" t="s">
        <v>13643</v>
      </c>
      <c r="L1394" t="s">
        <v>13645</v>
      </c>
      <c r="M1394" t="s">
        <v>13647</v>
      </c>
    </row>
    <row r="1395" spans="1:13" ht="15" customHeight="1">
      <c r="A1395" t="s">
        <v>2355</v>
      </c>
      <c r="B1395" s="67" t="s">
        <v>13625</v>
      </c>
      <c r="C1395" t="s">
        <v>13629</v>
      </c>
      <c r="D1395" t="s">
        <v>13631</v>
      </c>
      <c r="E1395" t="s">
        <v>13633</v>
      </c>
      <c r="F1395" t="s">
        <v>13635</v>
      </c>
      <c r="G1395" t="s">
        <v>13637</v>
      </c>
      <c r="H1395" t="s">
        <v>13627</v>
      </c>
      <c r="I1395" t="s">
        <v>13639</v>
      </c>
      <c r="J1395" t="s">
        <v>13641</v>
      </c>
      <c r="K1395" t="s">
        <v>13643</v>
      </c>
      <c r="L1395" t="s">
        <v>13645</v>
      </c>
      <c r="M1395" t="s">
        <v>13647</v>
      </c>
    </row>
    <row r="1396" spans="1:13" ht="15" customHeight="1">
      <c r="A1396" t="s">
        <v>2356</v>
      </c>
      <c r="B1396" s="67" t="s">
        <v>13625</v>
      </c>
      <c r="C1396" t="s">
        <v>13629</v>
      </c>
      <c r="D1396" t="s">
        <v>13631</v>
      </c>
      <c r="E1396" t="s">
        <v>13633</v>
      </c>
      <c r="F1396" t="s">
        <v>13635</v>
      </c>
      <c r="G1396" t="s">
        <v>13637</v>
      </c>
      <c r="H1396" t="s">
        <v>13627</v>
      </c>
      <c r="I1396" t="s">
        <v>13639</v>
      </c>
      <c r="J1396" t="s">
        <v>13641</v>
      </c>
      <c r="K1396" t="s">
        <v>13643</v>
      </c>
      <c r="L1396" t="s">
        <v>13645</v>
      </c>
      <c r="M1396" t="s">
        <v>13647</v>
      </c>
    </row>
    <row r="1397" spans="1:13" ht="15" customHeight="1">
      <c r="A1397" t="s">
        <v>2357</v>
      </c>
      <c r="B1397" s="67" t="s">
        <v>13625</v>
      </c>
      <c r="C1397" t="s">
        <v>13629</v>
      </c>
      <c r="D1397" t="s">
        <v>13631</v>
      </c>
      <c r="E1397" t="s">
        <v>13633</v>
      </c>
      <c r="F1397" t="s">
        <v>13635</v>
      </c>
      <c r="G1397" t="s">
        <v>13637</v>
      </c>
      <c r="H1397" t="s">
        <v>13627</v>
      </c>
      <c r="I1397" t="s">
        <v>13639</v>
      </c>
      <c r="J1397" t="s">
        <v>13641</v>
      </c>
      <c r="K1397" t="s">
        <v>13643</v>
      </c>
      <c r="L1397" t="s">
        <v>13645</v>
      </c>
      <c r="M1397" t="s">
        <v>13647</v>
      </c>
    </row>
    <row r="1398" spans="1:13" ht="15" customHeight="1">
      <c r="A1398" t="s">
        <v>13491</v>
      </c>
      <c r="B1398" s="67" t="s">
        <v>13625</v>
      </c>
      <c r="C1398" t="s">
        <v>13629</v>
      </c>
      <c r="D1398" t="s">
        <v>13631</v>
      </c>
      <c r="E1398" t="s">
        <v>13633</v>
      </c>
      <c r="F1398" t="s">
        <v>13635</v>
      </c>
      <c r="G1398" t="s">
        <v>13637</v>
      </c>
      <c r="H1398" t="s">
        <v>13627</v>
      </c>
      <c r="I1398" t="s">
        <v>13639</v>
      </c>
      <c r="J1398" t="s">
        <v>13641</v>
      </c>
      <c r="K1398" t="s">
        <v>13643</v>
      </c>
      <c r="L1398" t="s">
        <v>13645</v>
      </c>
      <c r="M1398" t="s">
        <v>13647</v>
      </c>
    </row>
    <row r="1399" spans="1:13" ht="15" customHeight="1">
      <c r="A1399" t="s">
        <v>12045</v>
      </c>
      <c r="B1399" s="67" t="s">
        <v>13626</v>
      </c>
      <c r="C1399" t="s">
        <v>13630</v>
      </c>
      <c r="D1399" t="s">
        <v>13632</v>
      </c>
      <c r="E1399" t="s">
        <v>13634</v>
      </c>
      <c r="F1399" t="s">
        <v>13636</v>
      </c>
      <c r="G1399" t="s">
        <v>13638</v>
      </c>
      <c r="H1399" t="s">
        <v>13628</v>
      </c>
      <c r="I1399" t="s">
        <v>13640</v>
      </c>
      <c r="J1399" t="s">
        <v>13642</v>
      </c>
      <c r="K1399" t="s">
        <v>13644</v>
      </c>
      <c r="L1399" t="s">
        <v>13646</v>
      </c>
      <c r="M1399" t="s">
        <v>13648</v>
      </c>
    </row>
    <row r="1400" spans="1:13" ht="15" customHeight="1">
      <c r="A1400" t="s">
        <v>12057</v>
      </c>
      <c r="B1400" s="67" t="s">
        <v>13626</v>
      </c>
      <c r="C1400" t="s">
        <v>13630</v>
      </c>
      <c r="D1400" t="s">
        <v>13632</v>
      </c>
      <c r="E1400" t="s">
        <v>13634</v>
      </c>
      <c r="F1400" t="s">
        <v>13636</v>
      </c>
      <c r="G1400" t="s">
        <v>13638</v>
      </c>
      <c r="H1400" t="s">
        <v>13628</v>
      </c>
      <c r="I1400" t="s">
        <v>13640</v>
      </c>
      <c r="J1400" t="s">
        <v>13642</v>
      </c>
      <c r="K1400" t="s">
        <v>13644</v>
      </c>
      <c r="L1400" t="s">
        <v>13646</v>
      </c>
      <c r="M1400" t="s">
        <v>13648</v>
      </c>
    </row>
    <row r="1401" spans="1:13" ht="15" customHeight="1">
      <c r="A1401" t="s">
        <v>12073</v>
      </c>
      <c r="B1401" s="67" t="s">
        <v>13626</v>
      </c>
      <c r="C1401" t="s">
        <v>13630</v>
      </c>
      <c r="D1401" t="s">
        <v>13632</v>
      </c>
      <c r="E1401" t="s">
        <v>13634</v>
      </c>
      <c r="F1401" t="s">
        <v>13636</v>
      </c>
      <c r="G1401" t="s">
        <v>13638</v>
      </c>
      <c r="H1401" t="s">
        <v>13628</v>
      </c>
      <c r="I1401" t="s">
        <v>13640</v>
      </c>
      <c r="J1401" t="s">
        <v>13642</v>
      </c>
      <c r="K1401" t="s">
        <v>13644</v>
      </c>
      <c r="L1401" t="s">
        <v>13646</v>
      </c>
      <c r="M1401" t="s">
        <v>13648</v>
      </c>
    </row>
    <row r="1402" spans="1:13" ht="15" customHeight="1">
      <c r="A1402" t="s">
        <v>12349</v>
      </c>
      <c r="B1402" s="67" t="s">
        <v>13626</v>
      </c>
      <c r="C1402" t="s">
        <v>13630</v>
      </c>
      <c r="D1402" t="s">
        <v>13632</v>
      </c>
      <c r="E1402" t="s">
        <v>13634</v>
      </c>
      <c r="F1402" t="s">
        <v>13636</v>
      </c>
      <c r="G1402" t="s">
        <v>13638</v>
      </c>
      <c r="H1402" t="s">
        <v>13628</v>
      </c>
      <c r="I1402" t="s">
        <v>13640</v>
      </c>
      <c r="J1402" t="s">
        <v>13642</v>
      </c>
      <c r="K1402" t="s">
        <v>13644</v>
      </c>
      <c r="L1402" t="s">
        <v>13646</v>
      </c>
      <c r="M1402" t="s">
        <v>13648</v>
      </c>
    </row>
    <row r="1403" spans="1:13" ht="15" customHeight="1">
      <c r="A1403" t="s">
        <v>12046</v>
      </c>
      <c r="B1403" s="67" t="s">
        <v>13626</v>
      </c>
      <c r="C1403" t="s">
        <v>13630</v>
      </c>
      <c r="D1403" t="s">
        <v>13632</v>
      </c>
      <c r="E1403" t="s">
        <v>13634</v>
      </c>
      <c r="F1403" t="s">
        <v>13636</v>
      </c>
      <c r="G1403" t="s">
        <v>13638</v>
      </c>
      <c r="H1403" t="s">
        <v>13628</v>
      </c>
      <c r="I1403" t="s">
        <v>13640</v>
      </c>
      <c r="J1403" t="s">
        <v>13642</v>
      </c>
      <c r="K1403" t="s">
        <v>13644</v>
      </c>
      <c r="L1403" t="s">
        <v>13646</v>
      </c>
      <c r="M1403" t="s">
        <v>13648</v>
      </c>
    </row>
    <row r="1404" spans="1:13" ht="15" customHeight="1">
      <c r="A1404" t="s">
        <v>12344</v>
      </c>
      <c r="B1404" s="67" t="s">
        <v>13626</v>
      </c>
      <c r="C1404" t="s">
        <v>13630</v>
      </c>
      <c r="D1404" t="s">
        <v>13632</v>
      </c>
      <c r="E1404" t="s">
        <v>13634</v>
      </c>
      <c r="F1404" t="s">
        <v>13636</v>
      </c>
      <c r="G1404" t="s">
        <v>13638</v>
      </c>
      <c r="H1404" t="s">
        <v>13628</v>
      </c>
      <c r="I1404" t="s">
        <v>13640</v>
      </c>
      <c r="J1404" t="s">
        <v>13642</v>
      </c>
      <c r="K1404" t="s">
        <v>13644</v>
      </c>
      <c r="L1404" t="s">
        <v>13646</v>
      </c>
      <c r="M1404" t="s">
        <v>13648</v>
      </c>
    </row>
    <row r="1405" spans="1:13" ht="15" customHeight="1">
      <c r="A1405" t="s">
        <v>12074</v>
      </c>
      <c r="B1405" s="67" t="s">
        <v>13626</v>
      </c>
      <c r="C1405" t="s">
        <v>13630</v>
      </c>
      <c r="D1405" t="s">
        <v>13632</v>
      </c>
      <c r="E1405" t="s">
        <v>13634</v>
      </c>
      <c r="F1405" t="s">
        <v>13636</v>
      </c>
      <c r="G1405" t="s">
        <v>13638</v>
      </c>
      <c r="H1405" t="s">
        <v>13628</v>
      </c>
      <c r="I1405" t="s">
        <v>13640</v>
      </c>
      <c r="J1405" t="s">
        <v>13642</v>
      </c>
      <c r="K1405" t="s">
        <v>13644</v>
      </c>
      <c r="L1405" t="s">
        <v>13646</v>
      </c>
      <c r="M1405" t="s">
        <v>13648</v>
      </c>
    </row>
    <row r="1406" spans="1:13" ht="15" customHeight="1">
      <c r="A1406" t="s">
        <v>12077</v>
      </c>
      <c r="B1406" s="67" t="s">
        <v>13626</v>
      </c>
      <c r="C1406" t="s">
        <v>13630</v>
      </c>
      <c r="D1406" t="s">
        <v>13632</v>
      </c>
      <c r="E1406" t="s">
        <v>13634</v>
      </c>
      <c r="F1406" t="s">
        <v>13636</v>
      </c>
      <c r="G1406" t="s">
        <v>13638</v>
      </c>
      <c r="H1406" t="s">
        <v>13628</v>
      </c>
      <c r="I1406" t="s">
        <v>13640</v>
      </c>
      <c r="J1406" t="s">
        <v>13642</v>
      </c>
      <c r="K1406" t="s">
        <v>13644</v>
      </c>
      <c r="L1406" t="s">
        <v>13646</v>
      </c>
      <c r="M1406" t="s">
        <v>13648</v>
      </c>
    </row>
    <row r="1407" spans="1:13" ht="15" customHeight="1">
      <c r="A1407" t="s">
        <v>12055</v>
      </c>
      <c r="B1407" s="67" t="s">
        <v>13626</v>
      </c>
      <c r="C1407" t="s">
        <v>13630</v>
      </c>
      <c r="D1407" t="s">
        <v>13632</v>
      </c>
      <c r="E1407" t="s">
        <v>13634</v>
      </c>
      <c r="F1407" t="s">
        <v>13636</v>
      </c>
      <c r="G1407" t="s">
        <v>13638</v>
      </c>
      <c r="H1407" t="s">
        <v>13628</v>
      </c>
      <c r="I1407" t="s">
        <v>13640</v>
      </c>
      <c r="J1407" t="s">
        <v>13642</v>
      </c>
      <c r="K1407" t="s">
        <v>13644</v>
      </c>
      <c r="L1407" t="s">
        <v>13646</v>
      </c>
      <c r="M1407" t="s">
        <v>13648</v>
      </c>
    </row>
    <row r="1408" spans="1:13" ht="15" customHeight="1">
      <c r="A1408" t="s">
        <v>12076</v>
      </c>
      <c r="B1408" s="67" t="s">
        <v>13626</v>
      </c>
      <c r="C1408" t="s">
        <v>13630</v>
      </c>
      <c r="D1408" t="s">
        <v>13632</v>
      </c>
      <c r="E1408" t="s">
        <v>13634</v>
      </c>
      <c r="F1408" t="s">
        <v>13636</v>
      </c>
      <c r="G1408" t="s">
        <v>13638</v>
      </c>
      <c r="H1408" t="s">
        <v>13628</v>
      </c>
      <c r="I1408" t="s">
        <v>13640</v>
      </c>
      <c r="J1408" t="s">
        <v>13642</v>
      </c>
      <c r="K1408" t="s">
        <v>13644</v>
      </c>
      <c r="L1408" t="s">
        <v>13646</v>
      </c>
      <c r="M1408" t="s">
        <v>13648</v>
      </c>
    </row>
    <row r="1409" spans="1:13" ht="15" customHeight="1">
      <c r="A1409" t="s">
        <v>12081</v>
      </c>
      <c r="B1409" s="67" t="s">
        <v>13626</v>
      </c>
      <c r="C1409" t="s">
        <v>13630</v>
      </c>
      <c r="D1409" t="s">
        <v>13632</v>
      </c>
      <c r="E1409" t="s">
        <v>13634</v>
      </c>
      <c r="F1409" t="s">
        <v>13636</v>
      </c>
      <c r="G1409" t="s">
        <v>13638</v>
      </c>
      <c r="H1409" t="s">
        <v>13628</v>
      </c>
      <c r="I1409" t="s">
        <v>13640</v>
      </c>
      <c r="J1409" t="s">
        <v>13642</v>
      </c>
      <c r="K1409" t="s">
        <v>13644</v>
      </c>
      <c r="L1409" t="s">
        <v>13646</v>
      </c>
      <c r="M1409" t="s">
        <v>13648</v>
      </c>
    </row>
    <row r="1410" spans="1:13" ht="15" customHeight="1">
      <c r="A1410" t="s">
        <v>12088</v>
      </c>
      <c r="B1410" s="67" t="s">
        <v>13626</v>
      </c>
      <c r="C1410" t="s">
        <v>13630</v>
      </c>
      <c r="D1410" t="s">
        <v>13632</v>
      </c>
      <c r="E1410" t="s">
        <v>13634</v>
      </c>
      <c r="F1410" t="s">
        <v>13636</v>
      </c>
      <c r="G1410" t="s">
        <v>13638</v>
      </c>
      <c r="H1410" t="s">
        <v>13628</v>
      </c>
      <c r="I1410" t="s">
        <v>13640</v>
      </c>
      <c r="J1410" t="s">
        <v>13642</v>
      </c>
      <c r="K1410" t="s">
        <v>13644</v>
      </c>
      <c r="L1410" t="s">
        <v>13646</v>
      </c>
      <c r="M1410" t="s">
        <v>13648</v>
      </c>
    </row>
    <row r="1411" spans="1:13" ht="15" customHeight="1">
      <c r="A1411" t="s">
        <v>12350</v>
      </c>
      <c r="B1411" s="67" t="s">
        <v>13626</v>
      </c>
      <c r="C1411" t="s">
        <v>13630</v>
      </c>
      <c r="D1411" t="s">
        <v>13632</v>
      </c>
      <c r="E1411" t="s">
        <v>13634</v>
      </c>
      <c r="F1411" t="s">
        <v>13636</v>
      </c>
      <c r="G1411" t="s">
        <v>13638</v>
      </c>
      <c r="H1411" t="s">
        <v>13628</v>
      </c>
      <c r="I1411" t="s">
        <v>13640</v>
      </c>
      <c r="J1411" t="s">
        <v>13642</v>
      </c>
      <c r="K1411" t="s">
        <v>13644</v>
      </c>
      <c r="L1411" t="s">
        <v>13646</v>
      </c>
      <c r="M1411" t="s">
        <v>13648</v>
      </c>
    </row>
    <row r="1412" spans="1:13" ht="15" customHeight="1">
      <c r="A1412" t="s">
        <v>12094</v>
      </c>
      <c r="B1412" s="67" t="s">
        <v>13626</v>
      </c>
      <c r="C1412" t="s">
        <v>13630</v>
      </c>
      <c r="D1412" t="s">
        <v>13632</v>
      </c>
      <c r="E1412" t="s">
        <v>13634</v>
      </c>
      <c r="F1412" t="s">
        <v>13636</v>
      </c>
      <c r="G1412" t="s">
        <v>13638</v>
      </c>
      <c r="H1412" t="s">
        <v>13628</v>
      </c>
      <c r="I1412" t="s">
        <v>13640</v>
      </c>
      <c r="J1412" t="s">
        <v>13642</v>
      </c>
      <c r="K1412" t="s">
        <v>13644</v>
      </c>
      <c r="L1412" t="s">
        <v>13646</v>
      </c>
      <c r="M1412" t="s">
        <v>13648</v>
      </c>
    </row>
    <row r="1413" spans="1:13" ht="15" customHeight="1">
      <c r="A1413" t="s">
        <v>12095</v>
      </c>
      <c r="B1413" s="67" t="s">
        <v>13626</v>
      </c>
      <c r="C1413" t="s">
        <v>13630</v>
      </c>
      <c r="D1413" t="s">
        <v>13632</v>
      </c>
      <c r="E1413" t="s">
        <v>13634</v>
      </c>
      <c r="F1413" t="s">
        <v>13636</v>
      </c>
      <c r="G1413" t="s">
        <v>13638</v>
      </c>
      <c r="H1413" t="s">
        <v>13628</v>
      </c>
      <c r="I1413" t="s">
        <v>13640</v>
      </c>
      <c r="J1413" t="s">
        <v>13642</v>
      </c>
      <c r="K1413" t="s">
        <v>13644</v>
      </c>
      <c r="L1413" t="s">
        <v>13646</v>
      </c>
      <c r="M1413" t="s">
        <v>13648</v>
      </c>
    </row>
    <row r="1414" spans="1:13" ht="15" customHeight="1">
      <c r="A1414" t="s">
        <v>12031</v>
      </c>
      <c r="B1414" s="67" t="s">
        <v>13626</v>
      </c>
      <c r="C1414" t="s">
        <v>13630</v>
      </c>
      <c r="D1414" t="s">
        <v>13632</v>
      </c>
      <c r="E1414" t="s">
        <v>13634</v>
      </c>
      <c r="F1414" t="s">
        <v>13636</v>
      </c>
      <c r="G1414" t="s">
        <v>13638</v>
      </c>
      <c r="H1414" t="s">
        <v>13628</v>
      </c>
      <c r="I1414" t="s">
        <v>13640</v>
      </c>
      <c r="J1414" t="s">
        <v>13642</v>
      </c>
      <c r="K1414" t="s">
        <v>13644</v>
      </c>
      <c r="L1414" t="s">
        <v>13646</v>
      </c>
      <c r="M1414" t="s">
        <v>13648</v>
      </c>
    </row>
    <row r="1415" spans="1:13" ht="15" customHeight="1">
      <c r="A1415" t="s">
        <v>12050</v>
      </c>
      <c r="B1415" s="67" t="s">
        <v>13626</v>
      </c>
      <c r="C1415" t="s">
        <v>13630</v>
      </c>
      <c r="D1415" t="s">
        <v>13632</v>
      </c>
      <c r="E1415" t="s">
        <v>13634</v>
      </c>
      <c r="F1415" t="s">
        <v>13636</v>
      </c>
      <c r="G1415" t="s">
        <v>13638</v>
      </c>
      <c r="H1415" t="s">
        <v>13628</v>
      </c>
      <c r="I1415" t="s">
        <v>13640</v>
      </c>
      <c r="J1415" t="s">
        <v>13642</v>
      </c>
      <c r="K1415" t="s">
        <v>13644</v>
      </c>
      <c r="L1415" t="s">
        <v>13646</v>
      </c>
      <c r="M1415" t="s">
        <v>13648</v>
      </c>
    </row>
    <row r="1416" spans="1:13" ht="15" customHeight="1">
      <c r="A1416" t="s">
        <v>12049</v>
      </c>
      <c r="B1416" s="67" t="s">
        <v>13626</v>
      </c>
      <c r="C1416" t="s">
        <v>13630</v>
      </c>
      <c r="D1416" t="s">
        <v>13632</v>
      </c>
      <c r="E1416" t="s">
        <v>13634</v>
      </c>
      <c r="F1416" t="s">
        <v>13636</v>
      </c>
      <c r="G1416" t="s">
        <v>13638</v>
      </c>
      <c r="H1416" t="s">
        <v>13628</v>
      </c>
      <c r="I1416" t="s">
        <v>13640</v>
      </c>
      <c r="J1416" t="s">
        <v>13642</v>
      </c>
      <c r="K1416" t="s">
        <v>13644</v>
      </c>
      <c r="L1416" t="s">
        <v>13646</v>
      </c>
      <c r="M1416" t="s">
        <v>13648</v>
      </c>
    </row>
    <row r="1417" spans="1:13" ht="15" customHeight="1">
      <c r="A1417" t="s">
        <v>12059</v>
      </c>
      <c r="B1417" s="67" t="s">
        <v>13626</v>
      </c>
      <c r="C1417" t="s">
        <v>13630</v>
      </c>
      <c r="D1417" t="s">
        <v>13632</v>
      </c>
      <c r="E1417" t="s">
        <v>13634</v>
      </c>
      <c r="F1417" t="s">
        <v>13636</v>
      </c>
      <c r="G1417" t="s">
        <v>13638</v>
      </c>
      <c r="H1417" t="s">
        <v>13628</v>
      </c>
      <c r="I1417" t="s">
        <v>13640</v>
      </c>
      <c r="J1417" t="s">
        <v>13642</v>
      </c>
      <c r="K1417" t="s">
        <v>13644</v>
      </c>
      <c r="L1417" t="s">
        <v>13646</v>
      </c>
      <c r="M1417" t="s">
        <v>13648</v>
      </c>
    </row>
    <row r="1418" spans="1:13" ht="15" customHeight="1">
      <c r="A1418" t="s">
        <v>12058</v>
      </c>
      <c r="B1418" s="67" t="s">
        <v>13626</v>
      </c>
      <c r="C1418" t="s">
        <v>13630</v>
      </c>
      <c r="D1418" t="s">
        <v>13632</v>
      </c>
      <c r="E1418" t="s">
        <v>13634</v>
      </c>
      <c r="F1418" t="s">
        <v>13636</v>
      </c>
      <c r="G1418" t="s">
        <v>13638</v>
      </c>
      <c r="H1418" t="s">
        <v>13628</v>
      </c>
      <c r="I1418" t="s">
        <v>13640</v>
      </c>
      <c r="J1418" t="s">
        <v>13642</v>
      </c>
      <c r="K1418" t="s">
        <v>13644</v>
      </c>
      <c r="L1418" t="s">
        <v>13646</v>
      </c>
      <c r="M1418" t="s">
        <v>13648</v>
      </c>
    </row>
    <row r="1419" spans="1:13" ht="15" customHeight="1">
      <c r="A1419" t="s">
        <v>12079</v>
      </c>
      <c r="B1419" s="67" t="s">
        <v>13626</v>
      </c>
      <c r="C1419" t="s">
        <v>13630</v>
      </c>
      <c r="D1419" t="s">
        <v>13632</v>
      </c>
      <c r="E1419" t="s">
        <v>13634</v>
      </c>
      <c r="F1419" t="s">
        <v>13636</v>
      </c>
      <c r="G1419" t="s">
        <v>13638</v>
      </c>
      <c r="H1419" t="s">
        <v>13628</v>
      </c>
      <c r="I1419" t="s">
        <v>13640</v>
      </c>
      <c r="J1419" t="s">
        <v>13642</v>
      </c>
      <c r="K1419" t="s">
        <v>13644</v>
      </c>
      <c r="L1419" t="s">
        <v>13646</v>
      </c>
      <c r="M1419" t="s">
        <v>13648</v>
      </c>
    </row>
    <row r="1420" spans="1:13" ht="15" customHeight="1">
      <c r="A1420" t="s">
        <v>12080</v>
      </c>
      <c r="B1420" s="67" t="s">
        <v>13626</v>
      </c>
      <c r="C1420" t="s">
        <v>13630</v>
      </c>
      <c r="D1420" t="s">
        <v>13632</v>
      </c>
      <c r="E1420" t="s">
        <v>13634</v>
      </c>
      <c r="F1420" t="s">
        <v>13636</v>
      </c>
      <c r="G1420" t="s">
        <v>13638</v>
      </c>
      <c r="H1420" t="s">
        <v>13628</v>
      </c>
      <c r="I1420" t="s">
        <v>13640</v>
      </c>
      <c r="J1420" t="s">
        <v>13642</v>
      </c>
      <c r="K1420" t="s">
        <v>13644</v>
      </c>
      <c r="L1420" t="s">
        <v>13646</v>
      </c>
      <c r="M1420" t="s">
        <v>13648</v>
      </c>
    </row>
    <row r="1421" spans="1:13" ht="15" customHeight="1">
      <c r="A1421" t="s">
        <v>12078</v>
      </c>
      <c r="B1421" s="67" t="s">
        <v>13626</v>
      </c>
      <c r="C1421" t="s">
        <v>13630</v>
      </c>
      <c r="D1421" t="s">
        <v>13632</v>
      </c>
      <c r="E1421" t="s">
        <v>13634</v>
      </c>
      <c r="F1421" t="s">
        <v>13636</v>
      </c>
      <c r="G1421" t="s">
        <v>13638</v>
      </c>
      <c r="H1421" t="s">
        <v>13628</v>
      </c>
      <c r="I1421" t="s">
        <v>13640</v>
      </c>
      <c r="J1421" t="s">
        <v>13642</v>
      </c>
      <c r="K1421" t="s">
        <v>13644</v>
      </c>
      <c r="L1421" t="s">
        <v>13646</v>
      </c>
      <c r="M1421" t="s">
        <v>13648</v>
      </c>
    </row>
    <row r="1422" spans="1:13" ht="15" customHeight="1">
      <c r="A1422" t="s">
        <v>12082</v>
      </c>
      <c r="B1422" s="67" t="s">
        <v>13626</v>
      </c>
      <c r="C1422" t="s">
        <v>13630</v>
      </c>
      <c r="D1422" t="s">
        <v>13632</v>
      </c>
      <c r="E1422" t="s">
        <v>13634</v>
      </c>
      <c r="F1422" t="s">
        <v>13636</v>
      </c>
      <c r="G1422" t="s">
        <v>13638</v>
      </c>
      <c r="H1422" t="s">
        <v>13628</v>
      </c>
      <c r="I1422" t="s">
        <v>13640</v>
      </c>
      <c r="J1422" t="s">
        <v>13642</v>
      </c>
      <c r="K1422" t="s">
        <v>13644</v>
      </c>
      <c r="L1422" t="s">
        <v>13646</v>
      </c>
      <c r="M1422" t="s">
        <v>13648</v>
      </c>
    </row>
    <row r="1423" spans="1:13" ht="15" customHeight="1">
      <c r="A1423" t="s">
        <v>12083</v>
      </c>
      <c r="B1423" s="67" t="s">
        <v>13626</v>
      </c>
      <c r="C1423" t="s">
        <v>13630</v>
      </c>
      <c r="D1423" t="s">
        <v>13632</v>
      </c>
      <c r="E1423" t="s">
        <v>13634</v>
      </c>
      <c r="F1423" t="s">
        <v>13636</v>
      </c>
      <c r="G1423" t="s">
        <v>13638</v>
      </c>
      <c r="H1423" t="s">
        <v>13628</v>
      </c>
      <c r="I1423" t="s">
        <v>13640</v>
      </c>
      <c r="J1423" t="s">
        <v>13642</v>
      </c>
      <c r="K1423" t="s">
        <v>13644</v>
      </c>
      <c r="L1423" t="s">
        <v>13646</v>
      </c>
      <c r="M1423" t="s">
        <v>13648</v>
      </c>
    </row>
    <row r="1424" spans="1:13" ht="15" customHeight="1">
      <c r="A1424" t="s">
        <v>12084</v>
      </c>
      <c r="B1424" s="67" t="s">
        <v>13626</v>
      </c>
      <c r="C1424" t="s">
        <v>13630</v>
      </c>
      <c r="D1424" t="s">
        <v>13632</v>
      </c>
      <c r="E1424" t="s">
        <v>13634</v>
      </c>
      <c r="F1424" t="s">
        <v>13636</v>
      </c>
      <c r="G1424" t="s">
        <v>13638</v>
      </c>
      <c r="H1424" t="s">
        <v>13628</v>
      </c>
      <c r="I1424" t="s">
        <v>13640</v>
      </c>
      <c r="J1424" t="s">
        <v>13642</v>
      </c>
      <c r="K1424" t="s">
        <v>13644</v>
      </c>
      <c r="L1424" t="s">
        <v>13646</v>
      </c>
      <c r="M1424" t="s">
        <v>13648</v>
      </c>
    </row>
    <row r="1425" spans="1:13" ht="15" customHeight="1">
      <c r="A1425" t="s">
        <v>12085</v>
      </c>
      <c r="B1425" s="67" t="s">
        <v>13626</v>
      </c>
      <c r="C1425" t="s">
        <v>13630</v>
      </c>
      <c r="D1425" t="s">
        <v>13632</v>
      </c>
      <c r="E1425" t="s">
        <v>13634</v>
      </c>
      <c r="F1425" t="s">
        <v>13636</v>
      </c>
      <c r="G1425" t="s">
        <v>13638</v>
      </c>
      <c r="H1425" t="s">
        <v>13628</v>
      </c>
      <c r="I1425" t="s">
        <v>13640</v>
      </c>
      <c r="J1425" t="s">
        <v>13642</v>
      </c>
      <c r="K1425" t="s">
        <v>13644</v>
      </c>
      <c r="L1425" t="s">
        <v>13646</v>
      </c>
      <c r="M1425" t="s">
        <v>13648</v>
      </c>
    </row>
    <row r="1426" spans="1:13" ht="15" customHeight="1">
      <c r="A1426" t="s">
        <v>12037</v>
      </c>
      <c r="B1426" s="67" t="s">
        <v>13626</v>
      </c>
      <c r="C1426" t="s">
        <v>13630</v>
      </c>
      <c r="D1426" t="s">
        <v>13632</v>
      </c>
      <c r="E1426" t="s">
        <v>13634</v>
      </c>
      <c r="F1426" t="s">
        <v>13636</v>
      </c>
      <c r="G1426" t="s">
        <v>13638</v>
      </c>
      <c r="H1426" t="s">
        <v>13628</v>
      </c>
      <c r="I1426" t="s">
        <v>13640</v>
      </c>
      <c r="J1426" t="s">
        <v>13642</v>
      </c>
      <c r="K1426" t="s">
        <v>13644</v>
      </c>
      <c r="L1426" t="s">
        <v>13646</v>
      </c>
      <c r="M1426" t="s">
        <v>13648</v>
      </c>
    </row>
    <row r="1427" spans="1:13" ht="15" customHeight="1">
      <c r="A1427" t="s">
        <v>12038</v>
      </c>
      <c r="B1427" s="67" t="s">
        <v>13626</v>
      </c>
      <c r="C1427" t="s">
        <v>13630</v>
      </c>
      <c r="D1427" t="s">
        <v>13632</v>
      </c>
      <c r="E1427" t="s">
        <v>13634</v>
      </c>
      <c r="F1427" t="s">
        <v>13636</v>
      </c>
      <c r="G1427" t="s">
        <v>13638</v>
      </c>
      <c r="H1427" t="s">
        <v>13628</v>
      </c>
      <c r="I1427" t="s">
        <v>13640</v>
      </c>
      <c r="J1427" t="s">
        <v>13642</v>
      </c>
      <c r="K1427" t="s">
        <v>13644</v>
      </c>
      <c r="L1427" t="s">
        <v>13646</v>
      </c>
      <c r="M1427" t="s">
        <v>13648</v>
      </c>
    </row>
    <row r="1428" spans="1:13" ht="15" customHeight="1">
      <c r="A1428" t="s">
        <v>12032</v>
      </c>
      <c r="B1428" s="67" t="s">
        <v>13626</v>
      </c>
      <c r="C1428" t="s">
        <v>13630</v>
      </c>
      <c r="D1428" t="s">
        <v>13632</v>
      </c>
      <c r="E1428" t="s">
        <v>13634</v>
      </c>
      <c r="F1428" t="s">
        <v>13636</v>
      </c>
      <c r="G1428" t="s">
        <v>13638</v>
      </c>
      <c r="H1428" t="s">
        <v>13628</v>
      </c>
      <c r="I1428" t="s">
        <v>13640</v>
      </c>
      <c r="J1428" t="s">
        <v>13642</v>
      </c>
      <c r="K1428" t="s">
        <v>13644</v>
      </c>
      <c r="L1428" t="s">
        <v>13646</v>
      </c>
      <c r="M1428" t="s">
        <v>13648</v>
      </c>
    </row>
    <row r="1429" spans="1:13" ht="15" customHeight="1">
      <c r="A1429" t="s">
        <v>12042</v>
      </c>
      <c r="B1429" s="67" t="s">
        <v>13626</v>
      </c>
      <c r="C1429" t="s">
        <v>13630</v>
      </c>
      <c r="D1429" t="s">
        <v>13632</v>
      </c>
      <c r="E1429" t="s">
        <v>13634</v>
      </c>
      <c r="F1429" t="s">
        <v>13636</v>
      </c>
      <c r="G1429" t="s">
        <v>13638</v>
      </c>
      <c r="H1429" t="s">
        <v>13628</v>
      </c>
      <c r="I1429" t="s">
        <v>13640</v>
      </c>
      <c r="J1429" t="s">
        <v>13642</v>
      </c>
      <c r="K1429" t="s">
        <v>13644</v>
      </c>
      <c r="L1429" t="s">
        <v>13646</v>
      </c>
      <c r="M1429" t="s">
        <v>13648</v>
      </c>
    </row>
    <row r="1430" spans="1:13" ht="15" customHeight="1">
      <c r="A1430" t="s">
        <v>12035</v>
      </c>
      <c r="B1430" s="67" t="s">
        <v>13626</v>
      </c>
      <c r="C1430" t="s">
        <v>13630</v>
      </c>
      <c r="D1430" t="s">
        <v>13632</v>
      </c>
      <c r="E1430" t="s">
        <v>13634</v>
      </c>
      <c r="F1430" t="s">
        <v>13636</v>
      </c>
      <c r="G1430" t="s">
        <v>13638</v>
      </c>
      <c r="H1430" t="s">
        <v>13628</v>
      </c>
      <c r="I1430" t="s">
        <v>13640</v>
      </c>
      <c r="J1430" t="s">
        <v>13642</v>
      </c>
      <c r="K1430" t="s">
        <v>13644</v>
      </c>
      <c r="L1430" t="s">
        <v>13646</v>
      </c>
      <c r="M1430" t="s">
        <v>13648</v>
      </c>
    </row>
    <row r="1431" spans="1:13" ht="15" customHeight="1">
      <c r="A1431" t="s">
        <v>12036</v>
      </c>
      <c r="B1431" s="67" t="s">
        <v>13626</v>
      </c>
      <c r="C1431" t="s">
        <v>13630</v>
      </c>
      <c r="D1431" t="s">
        <v>13632</v>
      </c>
      <c r="E1431" t="s">
        <v>13634</v>
      </c>
      <c r="F1431" t="s">
        <v>13636</v>
      </c>
      <c r="G1431" t="s">
        <v>13638</v>
      </c>
      <c r="H1431" t="s">
        <v>13628</v>
      </c>
      <c r="I1431" t="s">
        <v>13640</v>
      </c>
      <c r="J1431" t="s">
        <v>13642</v>
      </c>
      <c r="K1431" t="s">
        <v>13644</v>
      </c>
      <c r="L1431" t="s">
        <v>13646</v>
      </c>
      <c r="M1431" t="s">
        <v>13648</v>
      </c>
    </row>
    <row r="1432" spans="1:13" ht="15" customHeight="1">
      <c r="A1432" t="s">
        <v>12040</v>
      </c>
      <c r="B1432" s="67" t="s">
        <v>13626</v>
      </c>
      <c r="C1432" t="s">
        <v>13630</v>
      </c>
      <c r="D1432" t="s">
        <v>13632</v>
      </c>
      <c r="E1432" t="s">
        <v>13634</v>
      </c>
      <c r="F1432" t="s">
        <v>13636</v>
      </c>
      <c r="G1432" t="s">
        <v>13638</v>
      </c>
      <c r="H1432" t="s">
        <v>13628</v>
      </c>
      <c r="I1432" t="s">
        <v>13640</v>
      </c>
      <c r="J1432" t="s">
        <v>13642</v>
      </c>
      <c r="K1432" t="s">
        <v>13644</v>
      </c>
      <c r="L1432" t="s">
        <v>13646</v>
      </c>
      <c r="M1432" t="s">
        <v>13648</v>
      </c>
    </row>
    <row r="1433" spans="1:13" ht="15" customHeight="1">
      <c r="A1433" t="s">
        <v>12034</v>
      </c>
      <c r="B1433" s="67" t="s">
        <v>13626</v>
      </c>
      <c r="C1433" t="s">
        <v>13630</v>
      </c>
      <c r="D1433" t="s">
        <v>13632</v>
      </c>
      <c r="E1433" t="s">
        <v>13634</v>
      </c>
      <c r="F1433" t="s">
        <v>13636</v>
      </c>
      <c r="G1433" t="s">
        <v>13638</v>
      </c>
      <c r="H1433" t="s">
        <v>13628</v>
      </c>
      <c r="I1433" t="s">
        <v>13640</v>
      </c>
      <c r="J1433" t="s">
        <v>13642</v>
      </c>
      <c r="K1433" t="s">
        <v>13644</v>
      </c>
      <c r="L1433" t="s">
        <v>13646</v>
      </c>
      <c r="M1433" t="s">
        <v>13648</v>
      </c>
    </row>
    <row r="1434" spans="1:13" ht="15" customHeight="1">
      <c r="A1434" t="s">
        <v>12033</v>
      </c>
      <c r="B1434" s="67" t="s">
        <v>13626</v>
      </c>
      <c r="C1434" t="s">
        <v>13630</v>
      </c>
      <c r="D1434" t="s">
        <v>13632</v>
      </c>
      <c r="E1434" t="s">
        <v>13634</v>
      </c>
      <c r="F1434" t="s">
        <v>13636</v>
      </c>
      <c r="G1434" t="s">
        <v>13638</v>
      </c>
      <c r="H1434" t="s">
        <v>13628</v>
      </c>
      <c r="I1434" t="s">
        <v>13640</v>
      </c>
      <c r="J1434" t="s">
        <v>13642</v>
      </c>
      <c r="K1434" t="s">
        <v>13644</v>
      </c>
      <c r="L1434" t="s">
        <v>13646</v>
      </c>
      <c r="M1434" t="s">
        <v>13648</v>
      </c>
    </row>
    <row r="1435" spans="1:13" ht="15" customHeight="1">
      <c r="A1435" t="s">
        <v>12039</v>
      </c>
      <c r="B1435" s="67" t="s">
        <v>13626</v>
      </c>
      <c r="C1435" t="s">
        <v>13630</v>
      </c>
      <c r="D1435" t="s">
        <v>13632</v>
      </c>
      <c r="E1435" t="s">
        <v>13634</v>
      </c>
      <c r="F1435" t="s">
        <v>13636</v>
      </c>
      <c r="G1435" t="s">
        <v>13638</v>
      </c>
      <c r="H1435" t="s">
        <v>13628</v>
      </c>
      <c r="I1435" t="s">
        <v>13640</v>
      </c>
      <c r="J1435" t="s">
        <v>13642</v>
      </c>
      <c r="K1435" t="s">
        <v>13644</v>
      </c>
      <c r="L1435" t="s">
        <v>13646</v>
      </c>
      <c r="M1435" t="s">
        <v>13648</v>
      </c>
    </row>
    <row r="1436" spans="1:13" ht="15" customHeight="1">
      <c r="A1436" t="s">
        <v>12044</v>
      </c>
      <c r="B1436" s="67" t="s">
        <v>13626</v>
      </c>
      <c r="C1436" t="s">
        <v>13630</v>
      </c>
      <c r="D1436" t="s">
        <v>13632</v>
      </c>
      <c r="E1436" t="s">
        <v>13634</v>
      </c>
      <c r="F1436" t="s">
        <v>13636</v>
      </c>
      <c r="G1436" t="s">
        <v>13638</v>
      </c>
      <c r="H1436" t="s">
        <v>13628</v>
      </c>
      <c r="I1436" t="s">
        <v>13640</v>
      </c>
      <c r="J1436" t="s">
        <v>13642</v>
      </c>
      <c r="K1436" t="s">
        <v>13644</v>
      </c>
      <c r="L1436" t="s">
        <v>13646</v>
      </c>
      <c r="M1436" t="s">
        <v>13648</v>
      </c>
    </row>
    <row r="1437" spans="1:13" ht="15" customHeight="1">
      <c r="A1437" t="s">
        <v>12043</v>
      </c>
      <c r="B1437" s="67" t="s">
        <v>13626</v>
      </c>
      <c r="C1437" t="s">
        <v>13630</v>
      </c>
      <c r="D1437" t="s">
        <v>13632</v>
      </c>
      <c r="E1437" t="s">
        <v>13634</v>
      </c>
      <c r="F1437" t="s">
        <v>13636</v>
      </c>
      <c r="G1437" t="s">
        <v>13638</v>
      </c>
      <c r="H1437" t="s">
        <v>13628</v>
      </c>
      <c r="I1437" t="s">
        <v>13640</v>
      </c>
      <c r="J1437" t="s">
        <v>13642</v>
      </c>
      <c r="K1437" t="s">
        <v>13644</v>
      </c>
      <c r="L1437" t="s">
        <v>13646</v>
      </c>
      <c r="M1437" t="s">
        <v>13648</v>
      </c>
    </row>
    <row r="1438" spans="1:13" ht="15" customHeight="1">
      <c r="A1438" t="s">
        <v>12052</v>
      </c>
      <c r="B1438" s="67" t="s">
        <v>13626</v>
      </c>
      <c r="C1438" t="s">
        <v>13630</v>
      </c>
      <c r="D1438" t="s">
        <v>13632</v>
      </c>
      <c r="E1438" t="s">
        <v>13634</v>
      </c>
      <c r="F1438" t="s">
        <v>13636</v>
      </c>
      <c r="G1438" t="s">
        <v>13638</v>
      </c>
      <c r="H1438" t="s">
        <v>13628</v>
      </c>
      <c r="I1438" t="s">
        <v>13640</v>
      </c>
      <c r="J1438" t="s">
        <v>13642</v>
      </c>
      <c r="K1438" t="s">
        <v>13644</v>
      </c>
      <c r="L1438" t="s">
        <v>13646</v>
      </c>
      <c r="M1438" t="s">
        <v>13648</v>
      </c>
    </row>
    <row r="1439" spans="1:13" ht="15" customHeight="1">
      <c r="A1439" t="s">
        <v>12051</v>
      </c>
      <c r="B1439" s="67" t="s">
        <v>13626</v>
      </c>
      <c r="C1439" t="s">
        <v>13630</v>
      </c>
      <c r="D1439" t="s">
        <v>13632</v>
      </c>
      <c r="E1439" t="s">
        <v>13634</v>
      </c>
      <c r="F1439" t="s">
        <v>13636</v>
      </c>
      <c r="G1439" t="s">
        <v>13638</v>
      </c>
      <c r="H1439" t="s">
        <v>13628</v>
      </c>
      <c r="I1439" t="s">
        <v>13640</v>
      </c>
      <c r="J1439" t="s">
        <v>13642</v>
      </c>
      <c r="K1439" t="s">
        <v>13644</v>
      </c>
      <c r="L1439" t="s">
        <v>13646</v>
      </c>
      <c r="M1439" t="s">
        <v>13648</v>
      </c>
    </row>
    <row r="1440" spans="1:13" ht="15" customHeight="1">
      <c r="A1440" t="s">
        <v>12060</v>
      </c>
      <c r="B1440" s="67" t="s">
        <v>13626</v>
      </c>
      <c r="C1440" t="s">
        <v>13630</v>
      </c>
      <c r="D1440" t="s">
        <v>13632</v>
      </c>
      <c r="E1440" t="s">
        <v>13634</v>
      </c>
      <c r="F1440" t="s">
        <v>13636</v>
      </c>
      <c r="G1440" t="s">
        <v>13638</v>
      </c>
      <c r="H1440" t="s">
        <v>13628</v>
      </c>
      <c r="I1440" t="s">
        <v>13640</v>
      </c>
      <c r="J1440" t="s">
        <v>13642</v>
      </c>
      <c r="K1440" t="s">
        <v>13644</v>
      </c>
      <c r="L1440" t="s">
        <v>13646</v>
      </c>
      <c r="M1440" t="s">
        <v>13648</v>
      </c>
    </row>
    <row r="1441" spans="1:13" ht="15" customHeight="1">
      <c r="A1441" t="s">
        <v>12345</v>
      </c>
      <c r="B1441" s="67" t="s">
        <v>13626</v>
      </c>
      <c r="C1441" t="s">
        <v>13630</v>
      </c>
      <c r="D1441" t="s">
        <v>13632</v>
      </c>
      <c r="E1441" t="s">
        <v>13634</v>
      </c>
      <c r="F1441" t="s">
        <v>13636</v>
      </c>
      <c r="G1441" t="s">
        <v>13638</v>
      </c>
      <c r="H1441" t="s">
        <v>13628</v>
      </c>
      <c r="I1441" t="s">
        <v>13640</v>
      </c>
      <c r="J1441" t="s">
        <v>13642</v>
      </c>
      <c r="K1441" t="s">
        <v>13644</v>
      </c>
      <c r="L1441" t="s">
        <v>13646</v>
      </c>
      <c r="M1441" t="s">
        <v>13648</v>
      </c>
    </row>
    <row r="1442" spans="1:13" ht="15" customHeight="1">
      <c r="A1442" t="s">
        <v>12075</v>
      </c>
      <c r="B1442" s="67" t="s">
        <v>13626</v>
      </c>
      <c r="C1442" t="s">
        <v>13630</v>
      </c>
      <c r="D1442" t="s">
        <v>13632</v>
      </c>
      <c r="E1442" t="s">
        <v>13634</v>
      </c>
      <c r="F1442" t="s">
        <v>13636</v>
      </c>
      <c r="G1442" t="s">
        <v>13638</v>
      </c>
      <c r="H1442" t="s">
        <v>13628</v>
      </c>
      <c r="I1442" t="s">
        <v>13640</v>
      </c>
      <c r="J1442" t="s">
        <v>13642</v>
      </c>
      <c r="K1442" t="s">
        <v>13644</v>
      </c>
      <c r="L1442" t="s">
        <v>13646</v>
      </c>
      <c r="M1442" t="s">
        <v>13648</v>
      </c>
    </row>
    <row r="1443" spans="1:13" ht="15" customHeight="1">
      <c r="A1443" t="s">
        <v>12348</v>
      </c>
      <c r="B1443" s="67" t="s">
        <v>13626</v>
      </c>
      <c r="C1443" t="s">
        <v>13630</v>
      </c>
      <c r="D1443" t="s">
        <v>13632</v>
      </c>
      <c r="E1443" t="s">
        <v>13634</v>
      </c>
      <c r="F1443" t="s">
        <v>13636</v>
      </c>
      <c r="G1443" t="s">
        <v>13638</v>
      </c>
      <c r="H1443" t="s">
        <v>13628</v>
      </c>
      <c r="I1443" t="s">
        <v>13640</v>
      </c>
      <c r="J1443" t="s">
        <v>13642</v>
      </c>
      <c r="K1443" t="s">
        <v>13644</v>
      </c>
      <c r="L1443" t="s">
        <v>13646</v>
      </c>
      <c r="M1443" t="s">
        <v>13648</v>
      </c>
    </row>
    <row r="1444" spans="1:13" ht="15" customHeight="1">
      <c r="A1444" t="s">
        <v>12087</v>
      </c>
      <c r="B1444" s="67" t="s">
        <v>13626</v>
      </c>
      <c r="C1444" t="s">
        <v>13630</v>
      </c>
      <c r="D1444" t="s">
        <v>13632</v>
      </c>
      <c r="E1444" t="s">
        <v>13634</v>
      </c>
      <c r="F1444" t="s">
        <v>13636</v>
      </c>
      <c r="G1444" t="s">
        <v>13638</v>
      </c>
      <c r="H1444" t="s">
        <v>13628</v>
      </c>
      <c r="I1444" t="s">
        <v>13640</v>
      </c>
      <c r="J1444" t="s">
        <v>13642</v>
      </c>
      <c r="K1444" t="s">
        <v>13644</v>
      </c>
      <c r="L1444" t="s">
        <v>13646</v>
      </c>
      <c r="M1444" t="s">
        <v>13648</v>
      </c>
    </row>
    <row r="1445" spans="1:13" ht="15" customHeight="1">
      <c r="A1445" t="s">
        <v>12086</v>
      </c>
      <c r="B1445" s="67" t="s">
        <v>13626</v>
      </c>
      <c r="C1445" t="s">
        <v>13630</v>
      </c>
      <c r="D1445" t="s">
        <v>13632</v>
      </c>
      <c r="E1445" t="s">
        <v>13634</v>
      </c>
      <c r="F1445" t="s">
        <v>13636</v>
      </c>
      <c r="G1445" t="s">
        <v>13638</v>
      </c>
      <c r="H1445" t="s">
        <v>13628</v>
      </c>
      <c r="I1445" t="s">
        <v>13640</v>
      </c>
      <c r="J1445" t="s">
        <v>13642</v>
      </c>
      <c r="K1445" t="s">
        <v>13644</v>
      </c>
      <c r="L1445" t="s">
        <v>13646</v>
      </c>
      <c r="M1445" t="s">
        <v>13648</v>
      </c>
    </row>
    <row r="1446" spans="1:13" ht="15" customHeight="1">
      <c r="A1446" t="s">
        <v>12089</v>
      </c>
      <c r="B1446" s="67" t="s">
        <v>13626</v>
      </c>
      <c r="C1446" t="s">
        <v>13630</v>
      </c>
      <c r="D1446" t="s">
        <v>13632</v>
      </c>
      <c r="E1446" t="s">
        <v>13634</v>
      </c>
      <c r="F1446" t="s">
        <v>13636</v>
      </c>
      <c r="G1446" t="s">
        <v>13638</v>
      </c>
      <c r="H1446" t="s">
        <v>13628</v>
      </c>
      <c r="I1446" t="s">
        <v>13640</v>
      </c>
      <c r="J1446" t="s">
        <v>13642</v>
      </c>
      <c r="K1446" t="s">
        <v>13644</v>
      </c>
      <c r="L1446" t="s">
        <v>13646</v>
      </c>
      <c r="M1446" t="s">
        <v>13648</v>
      </c>
    </row>
    <row r="1447" spans="1:13" ht="15" customHeight="1">
      <c r="A1447" t="s">
        <v>12041</v>
      </c>
      <c r="B1447" s="67" t="s">
        <v>13626</v>
      </c>
      <c r="C1447" t="s">
        <v>13630</v>
      </c>
      <c r="D1447" t="s">
        <v>13632</v>
      </c>
      <c r="E1447" t="s">
        <v>13634</v>
      </c>
      <c r="F1447" t="s">
        <v>13636</v>
      </c>
      <c r="G1447" t="s">
        <v>13638</v>
      </c>
      <c r="H1447" t="s">
        <v>13628</v>
      </c>
      <c r="I1447" t="s">
        <v>13640</v>
      </c>
      <c r="J1447" t="s">
        <v>13642</v>
      </c>
      <c r="K1447" t="s">
        <v>13644</v>
      </c>
      <c r="L1447" t="s">
        <v>13646</v>
      </c>
      <c r="M1447" t="s">
        <v>13648</v>
      </c>
    </row>
    <row r="1448" spans="1:13" ht="15" customHeight="1">
      <c r="A1448" t="s">
        <v>12048</v>
      </c>
      <c r="B1448" s="67" t="s">
        <v>13626</v>
      </c>
      <c r="C1448" t="s">
        <v>13630</v>
      </c>
      <c r="D1448" t="s">
        <v>13632</v>
      </c>
      <c r="E1448" t="s">
        <v>13634</v>
      </c>
      <c r="F1448" t="s">
        <v>13636</v>
      </c>
      <c r="G1448" t="s">
        <v>13638</v>
      </c>
      <c r="H1448" t="s">
        <v>13628</v>
      </c>
      <c r="I1448" t="s">
        <v>13640</v>
      </c>
      <c r="J1448" t="s">
        <v>13642</v>
      </c>
      <c r="K1448" t="s">
        <v>13644</v>
      </c>
      <c r="L1448" t="s">
        <v>13646</v>
      </c>
      <c r="M1448" t="s">
        <v>13648</v>
      </c>
    </row>
    <row r="1449" spans="1:13" ht="15" customHeight="1">
      <c r="A1449" t="s">
        <v>12063</v>
      </c>
      <c r="B1449" s="67" t="s">
        <v>13626</v>
      </c>
      <c r="C1449" t="s">
        <v>13630</v>
      </c>
      <c r="D1449" t="s">
        <v>13632</v>
      </c>
      <c r="E1449" t="s">
        <v>13634</v>
      </c>
      <c r="F1449" t="s">
        <v>13636</v>
      </c>
      <c r="G1449" t="s">
        <v>13638</v>
      </c>
      <c r="H1449" t="s">
        <v>13628</v>
      </c>
      <c r="I1449" t="s">
        <v>13640</v>
      </c>
      <c r="J1449" t="s">
        <v>13642</v>
      </c>
      <c r="K1449" t="s">
        <v>13644</v>
      </c>
      <c r="L1449" t="s">
        <v>13646</v>
      </c>
      <c r="M1449" t="s">
        <v>13648</v>
      </c>
    </row>
    <row r="1450" spans="1:13" ht="15" customHeight="1">
      <c r="A1450" t="s">
        <v>12066</v>
      </c>
      <c r="B1450" s="67" t="s">
        <v>13626</v>
      </c>
      <c r="C1450" t="s">
        <v>13630</v>
      </c>
      <c r="D1450" t="s">
        <v>13632</v>
      </c>
      <c r="E1450" t="s">
        <v>13634</v>
      </c>
      <c r="F1450" t="s">
        <v>13636</v>
      </c>
      <c r="G1450" t="s">
        <v>13638</v>
      </c>
      <c r="H1450" t="s">
        <v>13628</v>
      </c>
      <c r="I1450" t="s">
        <v>13640</v>
      </c>
      <c r="J1450" t="s">
        <v>13642</v>
      </c>
      <c r="K1450" t="s">
        <v>13644</v>
      </c>
      <c r="L1450" t="s">
        <v>13646</v>
      </c>
      <c r="M1450" t="s">
        <v>13648</v>
      </c>
    </row>
    <row r="1451" spans="1:13" ht="15" customHeight="1">
      <c r="A1451" t="s">
        <v>12072</v>
      </c>
      <c r="B1451" s="67" t="s">
        <v>13626</v>
      </c>
      <c r="C1451" t="s">
        <v>13630</v>
      </c>
      <c r="D1451" t="s">
        <v>13632</v>
      </c>
      <c r="E1451" t="s">
        <v>13634</v>
      </c>
      <c r="F1451" t="s">
        <v>13636</v>
      </c>
      <c r="G1451" t="s">
        <v>13638</v>
      </c>
      <c r="H1451" t="s">
        <v>13628</v>
      </c>
      <c r="I1451" t="s">
        <v>13640</v>
      </c>
      <c r="J1451" t="s">
        <v>13642</v>
      </c>
      <c r="K1451" t="s">
        <v>13644</v>
      </c>
      <c r="L1451" t="s">
        <v>13646</v>
      </c>
      <c r="M1451" t="s">
        <v>13648</v>
      </c>
    </row>
    <row r="1452" spans="1:13" ht="15" customHeight="1">
      <c r="A1452" t="s">
        <v>12047</v>
      </c>
      <c r="B1452" s="67" t="s">
        <v>13626</v>
      </c>
      <c r="C1452" t="s">
        <v>13630</v>
      </c>
      <c r="D1452" t="s">
        <v>13632</v>
      </c>
      <c r="E1452" t="s">
        <v>13634</v>
      </c>
      <c r="F1452" t="s">
        <v>13636</v>
      </c>
      <c r="G1452" t="s">
        <v>13638</v>
      </c>
      <c r="H1452" t="s">
        <v>13628</v>
      </c>
      <c r="I1452" t="s">
        <v>13640</v>
      </c>
      <c r="J1452" t="s">
        <v>13642</v>
      </c>
      <c r="K1452" t="s">
        <v>13644</v>
      </c>
      <c r="L1452" t="s">
        <v>13646</v>
      </c>
      <c r="M1452" t="s">
        <v>13648</v>
      </c>
    </row>
    <row r="1453" spans="1:13" ht="15" customHeight="1">
      <c r="A1453" t="s">
        <v>12343</v>
      </c>
      <c r="B1453" s="67" t="s">
        <v>13626</v>
      </c>
      <c r="C1453" t="s">
        <v>13630</v>
      </c>
      <c r="D1453" t="s">
        <v>13632</v>
      </c>
      <c r="E1453" t="s">
        <v>13634</v>
      </c>
      <c r="F1453" t="s">
        <v>13636</v>
      </c>
      <c r="G1453" t="s">
        <v>13638</v>
      </c>
      <c r="H1453" t="s">
        <v>13628</v>
      </c>
      <c r="I1453" t="s">
        <v>13640</v>
      </c>
      <c r="J1453" t="s">
        <v>13642</v>
      </c>
      <c r="K1453" t="s">
        <v>13644</v>
      </c>
      <c r="L1453" t="s">
        <v>13646</v>
      </c>
      <c r="M1453" t="s">
        <v>13648</v>
      </c>
    </row>
    <row r="1454" spans="1:13" ht="15" customHeight="1">
      <c r="A1454" t="s">
        <v>12053</v>
      </c>
      <c r="B1454" s="67" t="s">
        <v>13626</v>
      </c>
      <c r="C1454" t="s">
        <v>13630</v>
      </c>
      <c r="D1454" t="s">
        <v>13632</v>
      </c>
      <c r="E1454" t="s">
        <v>13634</v>
      </c>
      <c r="F1454" t="s">
        <v>13636</v>
      </c>
      <c r="G1454" t="s">
        <v>13638</v>
      </c>
      <c r="H1454" t="s">
        <v>13628</v>
      </c>
      <c r="I1454" t="s">
        <v>13640</v>
      </c>
      <c r="J1454" t="s">
        <v>13642</v>
      </c>
      <c r="K1454" t="s">
        <v>13644</v>
      </c>
      <c r="L1454" t="s">
        <v>13646</v>
      </c>
      <c r="M1454" t="s">
        <v>13648</v>
      </c>
    </row>
    <row r="1455" spans="1:13" ht="15" customHeight="1">
      <c r="A1455" t="s">
        <v>12061</v>
      </c>
      <c r="B1455" s="67" t="s">
        <v>13626</v>
      </c>
      <c r="C1455" t="s">
        <v>13630</v>
      </c>
      <c r="D1455" t="s">
        <v>13632</v>
      </c>
      <c r="E1455" t="s">
        <v>13634</v>
      </c>
      <c r="F1455" t="s">
        <v>13636</v>
      </c>
      <c r="G1455" t="s">
        <v>13638</v>
      </c>
      <c r="H1455" t="s">
        <v>13628</v>
      </c>
      <c r="I1455" t="s">
        <v>13640</v>
      </c>
      <c r="J1455" t="s">
        <v>13642</v>
      </c>
      <c r="K1455" t="s">
        <v>13644</v>
      </c>
      <c r="L1455" t="s">
        <v>13646</v>
      </c>
      <c r="M1455" t="s">
        <v>13648</v>
      </c>
    </row>
    <row r="1456" spans="1:13" ht="15" customHeight="1">
      <c r="A1456" t="s">
        <v>12062</v>
      </c>
      <c r="B1456" s="67" t="s">
        <v>13626</v>
      </c>
      <c r="C1456" t="s">
        <v>13630</v>
      </c>
      <c r="D1456" t="s">
        <v>13632</v>
      </c>
      <c r="E1456" t="s">
        <v>13634</v>
      </c>
      <c r="F1456" t="s">
        <v>13636</v>
      </c>
      <c r="G1456" t="s">
        <v>13638</v>
      </c>
      <c r="H1456" t="s">
        <v>13628</v>
      </c>
      <c r="I1456" t="s">
        <v>13640</v>
      </c>
      <c r="J1456" t="s">
        <v>13642</v>
      </c>
      <c r="K1456" t="s">
        <v>13644</v>
      </c>
      <c r="L1456" t="s">
        <v>13646</v>
      </c>
      <c r="M1456" t="s">
        <v>13648</v>
      </c>
    </row>
    <row r="1457" spans="1:13" ht="15" customHeight="1">
      <c r="A1457" t="s">
        <v>12346</v>
      </c>
      <c r="B1457" s="67" t="s">
        <v>13626</v>
      </c>
      <c r="C1457" t="s">
        <v>13630</v>
      </c>
      <c r="D1457" t="s">
        <v>13632</v>
      </c>
      <c r="E1457" t="s">
        <v>13634</v>
      </c>
      <c r="F1457" t="s">
        <v>13636</v>
      </c>
      <c r="G1457" t="s">
        <v>13638</v>
      </c>
      <c r="H1457" t="s">
        <v>13628</v>
      </c>
      <c r="I1457" t="s">
        <v>13640</v>
      </c>
      <c r="J1457" t="s">
        <v>13642</v>
      </c>
      <c r="K1457" t="s">
        <v>13644</v>
      </c>
      <c r="L1457" t="s">
        <v>13646</v>
      </c>
      <c r="M1457" t="s">
        <v>13648</v>
      </c>
    </row>
    <row r="1458" spans="1:13" ht="15" customHeight="1">
      <c r="A1458" t="s">
        <v>12065</v>
      </c>
      <c r="B1458" s="67" t="s">
        <v>13626</v>
      </c>
      <c r="C1458" t="s">
        <v>13630</v>
      </c>
      <c r="D1458" t="s">
        <v>13632</v>
      </c>
      <c r="E1458" t="s">
        <v>13634</v>
      </c>
      <c r="F1458" t="s">
        <v>13636</v>
      </c>
      <c r="G1458" t="s">
        <v>13638</v>
      </c>
      <c r="H1458" t="s">
        <v>13628</v>
      </c>
      <c r="I1458" t="s">
        <v>13640</v>
      </c>
      <c r="J1458" t="s">
        <v>13642</v>
      </c>
      <c r="K1458" t="s">
        <v>13644</v>
      </c>
      <c r="L1458" t="s">
        <v>13646</v>
      </c>
      <c r="M1458" t="s">
        <v>13648</v>
      </c>
    </row>
    <row r="1459" spans="1:13" ht="15" customHeight="1">
      <c r="A1459" t="s">
        <v>12071</v>
      </c>
      <c r="B1459" s="67" t="s">
        <v>13626</v>
      </c>
      <c r="C1459" t="s">
        <v>13630</v>
      </c>
      <c r="D1459" t="s">
        <v>13632</v>
      </c>
      <c r="E1459" t="s">
        <v>13634</v>
      </c>
      <c r="F1459" t="s">
        <v>13636</v>
      </c>
      <c r="G1459" t="s">
        <v>13638</v>
      </c>
      <c r="H1459" t="s">
        <v>13628</v>
      </c>
      <c r="I1459" t="s">
        <v>13640</v>
      </c>
      <c r="J1459" t="s">
        <v>13642</v>
      </c>
      <c r="K1459" t="s">
        <v>13644</v>
      </c>
      <c r="L1459" t="s">
        <v>13646</v>
      </c>
      <c r="M1459" t="s">
        <v>13648</v>
      </c>
    </row>
    <row r="1460" spans="1:13" ht="15" customHeight="1">
      <c r="A1460" t="s">
        <v>12064</v>
      </c>
      <c r="B1460" s="67" t="s">
        <v>13626</v>
      </c>
      <c r="C1460" t="s">
        <v>13630</v>
      </c>
      <c r="D1460" t="s">
        <v>13632</v>
      </c>
      <c r="E1460" t="s">
        <v>13634</v>
      </c>
      <c r="F1460" t="s">
        <v>13636</v>
      </c>
      <c r="G1460" t="s">
        <v>13638</v>
      </c>
      <c r="H1460" t="s">
        <v>13628</v>
      </c>
      <c r="I1460" t="s">
        <v>13640</v>
      </c>
      <c r="J1460" t="s">
        <v>13642</v>
      </c>
      <c r="K1460" t="s">
        <v>13644</v>
      </c>
      <c r="L1460" t="s">
        <v>13646</v>
      </c>
      <c r="M1460" t="s">
        <v>13648</v>
      </c>
    </row>
    <row r="1461" spans="1:13" ht="15" customHeight="1">
      <c r="A1461" t="s">
        <v>12067</v>
      </c>
      <c r="B1461" s="67" t="s">
        <v>13626</v>
      </c>
      <c r="C1461" t="s">
        <v>13630</v>
      </c>
      <c r="D1461" t="s">
        <v>13632</v>
      </c>
      <c r="E1461" t="s">
        <v>13634</v>
      </c>
      <c r="F1461" t="s">
        <v>13636</v>
      </c>
      <c r="G1461" t="s">
        <v>13638</v>
      </c>
      <c r="H1461" t="s">
        <v>13628</v>
      </c>
      <c r="I1461" t="s">
        <v>13640</v>
      </c>
      <c r="J1461" t="s">
        <v>13642</v>
      </c>
      <c r="K1461" t="s">
        <v>13644</v>
      </c>
      <c r="L1461" t="s">
        <v>13646</v>
      </c>
      <c r="M1461" t="s">
        <v>13648</v>
      </c>
    </row>
    <row r="1462" spans="1:13" ht="15" customHeight="1">
      <c r="A1462" t="s">
        <v>13492</v>
      </c>
      <c r="B1462" s="67" t="s">
        <v>13626</v>
      </c>
      <c r="C1462" t="s">
        <v>13630</v>
      </c>
      <c r="D1462" t="s">
        <v>13632</v>
      </c>
      <c r="E1462" t="s">
        <v>13634</v>
      </c>
      <c r="F1462" t="s">
        <v>13636</v>
      </c>
      <c r="G1462" t="s">
        <v>13638</v>
      </c>
      <c r="H1462" t="s">
        <v>13628</v>
      </c>
      <c r="I1462" t="s">
        <v>13640</v>
      </c>
      <c r="J1462" t="s">
        <v>13642</v>
      </c>
      <c r="K1462" t="s">
        <v>13644</v>
      </c>
      <c r="L1462" t="s">
        <v>13646</v>
      </c>
      <c r="M1462" t="s">
        <v>13648</v>
      </c>
    </row>
    <row r="1463" spans="1:13" ht="15" customHeight="1">
      <c r="A1463" t="s">
        <v>12347</v>
      </c>
      <c r="B1463" s="67" t="s">
        <v>13626</v>
      </c>
      <c r="C1463" t="s">
        <v>13630</v>
      </c>
      <c r="D1463" t="s">
        <v>13632</v>
      </c>
      <c r="E1463" t="s">
        <v>13634</v>
      </c>
      <c r="F1463" t="s">
        <v>13636</v>
      </c>
      <c r="G1463" t="s">
        <v>13638</v>
      </c>
      <c r="H1463" t="s">
        <v>13628</v>
      </c>
      <c r="I1463" t="s">
        <v>13640</v>
      </c>
      <c r="J1463" t="s">
        <v>13642</v>
      </c>
      <c r="K1463" t="s">
        <v>13644</v>
      </c>
      <c r="L1463" t="s">
        <v>13646</v>
      </c>
      <c r="M1463" t="s">
        <v>13648</v>
      </c>
    </row>
    <row r="1464" spans="1:13" ht="15" customHeight="1">
      <c r="A1464" t="s">
        <v>13494</v>
      </c>
      <c r="B1464" s="67" t="s">
        <v>13626</v>
      </c>
      <c r="C1464" t="s">
        <v>13630</v>
      </c>
      <c r="D1464" t="s">
        <v>13632</v>
      </c>
      <c r="E1464" t="s">
        <v>13634</v>
      </c>
      <c r="F1464" t="s">
        <v>13636</v>
      </c>
      <c r="G1464" t="s">
        <v>13638</v>
      </c>
      <c r="H1464" t="s">
        <v>13628</v>
      </c>
      <c r="I1464" t="s">
        <v>13640</v>
      </c>
      <c r="J1464" t="s">
        <v>13642</v>
      </c>
      <c r="K1464" t="s">
        <v>13644</v>
      </c>
      <c r="L1464" t="s">
        <v>13646</v>
      </c>
      <c r="M1464" t="s">
        <v>13648</v>
      </c>
    </row>
    <row r="1465" spans="1:13" ht="15" customHeight="1">
      <c r="A1465" t="s">
        <v>12091</v>
      </c>
      <c r="B1465" s="67" t="s">
        <v>13626</v>
      </c>
      <c r="C1465" t="s">
        <v>13630</v>
      </c>
      <c r="D1465" t="s">
        <v>13632</v>
      </c>
      <c r="E1465" t="s">
        <v>13634</v>
      </c>
      <c r="F1465" t="s">
        <v>13636</v>
      </c>
      <c r="G1465" t="s">
        <v>13638</v>
      </c>
      <c r="H1465" t="s">
        <v>13628</v>
      </c>
      <c r="I1465" t="s">
        <v>13640</v>
      </c>
      <c r="J1465" t="s">
        <v>13642</v>
      </c>
      <c r="K1465" t="s">
        <v>13644</v>
      </c>
      <c r="L1465" t="s">
        <v>13646</v>
      </c>
      <c r="M1465" t="s">
        <v>13648</v>
      </c>
    </row>
    <row r="1466" spans="1:13" ht="15" customHeight="1">
      <c r="A1466" t="s">
        <v>12092</v>
      </c>
      <c r="B1466" s="67" t="s">
        <v>13626</v>
      </c>
      <c r="C1466" t="s">
        <v>13630</v>
      </c>
      <c r="D1466" t="s">
        <v>13632</v>
      </c>
      <c r="E1466" t="s">
        <v>13634</v>
      </c>
      <c r="F1466" t="s">
        <v>13636</v>
      </c>
      <c r="G1466" t="s">
        <v>13638</v>
      </c>
      <c r="H1466" t="s">
        <v>13628</v>
      </c>
      <c r="I1466" t="s">
        <v>13640</v>
      </c>
      <c r="J1466" t="s">
        <v>13642</v>
      </c>
      <c r="K1466" t="s">
        <v>13644</v>
      </c>
      <c r="L1466" t="s">
        <v>13646</v>
      </c>
      <c r="M1466" t="s">
        <v>13648</v>
      </c>
    </row>
    <row r="1467" spans="1:13" ht="15" customHeight="1">
      <c r="A1467" t="s">
        <v>12090</v>
      </c>
      <c r="B1467" s="67" t="s">
        <v>13626</v>
      </c>
      <c r="C1467" t="s">
        <v>13630</v>
      </c>
      <c r="D1467" t="s">
        <v>13632</v>
      </c>
      <c r="E1467" t="s">
        <v>13634</v>
      </c>
      <c r="F1467" t="s">
        <v>13636</v>
      </c>
      <c r="G1467" t="s">
        <v>13638</v>
      </c>
      <c r="H1467" t="s">
        <v>13628</v>
      </c>
      <c r="I1467" t="s">
        <v>13640</v>
      </c>
      <c r="J1467" t="s">
        <v>13642</v>
      </c>
      <c r="K1467" t="s">
        <v>13644</v>
      </c>
      <c r="L1467" t="s">
        <v>13646</v>
      </c>
      <c r="M1467" t="s">
        <v>13648</v>
      </c>
    </row>
    <row r="1468" spans="1:13" ht="15" customHeight="1">
      <c r="A1468" t="s">
        <v>12093</v>
      </c>
      <c r="B1468" s="67" t="s">
        <v>13626</v>
      </c>
      <c r="C1468" t="s">
        <v>13630</v>
      </c>
      <c r="D1468" t="s">
        <v>13632</v>
      </c>
      <c r="E1468" t="s">
        <v>13634</v>
      </c>
      <c r="F1468" t="s">
        <v>13636</v>
      </c>
      <c r="G1468" t="s">
        <v>13638</v>
      </c>
      <c r="H1468" t="s">
        <v>13628</v>
      </c>
      <c r="I1468" t="s">
        <v>13640</v>
      </c>
      <c r="J1468" t="s">
        <v>13642</v>
      </c>
      <c r="K1468" t="s">
        <v>13644</v>
      </c>
      <c r="L1468" t="s">
        <v>13646</v>
      </c>
      <c r="M1468" t="s">
        <v>13648</v>
      </c>
    </row>
    <row r="1469" spans="1:13" ht="15" customHeight="1">
      <c r="A1469" t="s">
        <v>12054</v>
      </c>
      <c r="B1469" s="67" t="s">
        <v>13626</v>
      </c>
      <c r="C1469" t="s">
        <v>13630</v>
      </c>
      <c r="D1469" t="s">
        <v>13632</v>
      </c>
      <c r="E1469" t="s">
        <v>13634</v>
      </c>
      <c r="F1469" t="s">
        <v>13636</v>
      </c>
      <c r="G1469" t="s">
        <v>13638</v>
      </c>
      <c r="H1469" t="s">
        <v>13628</v>
      </c>
      <c r="I1469" t="s">
        <v>13640</v>
      </c>
      <c r="J1469" t="s">
        <v>13642</v>
      </c>
      <c r="K1469" t="s">
        <v>13644</v>
      </c>
      <c r="L1469" t="s">
        <v>13646</v>
      </c>
      <c r="M1469" t="s">
        <v>13648</v>
      </c>
    </row>
    <row r="1470" spans="1:13" ht="15" customHeight="1">
      <c r="A1470" t="s">
        <v>12056</v>
      </c>
      <c r="B1470" s="67" t="s">
        <v>13626</v>
      </c>
      <c r="C1470" t="s">
        <v>13630</v>
      </c>
      <c r="D1470" t="s">
        <v>13632</v>
      </c>
      <c r="E1470" t="s">
        <v>13634</v>
      </c>
      <c r="F1470" t="s">
        <v>13636</v>
      </c>
      <c r="G1470" t="s">
        <v>13638</v>
      </c>
      <c r="H1470" t="s">
        <v>13628</v>
      </c>
      <c r="I1470" t="s">
        <v>13640</v>
      </c>
      <c r="J1470" t="s">
        <v>13642</v>
      </c>
      <c r="K1470" t="s">
        <v>13644</v>
      </c>
      <c r="L1470" t="s">
        <v>13646</v>
      </c>
      <c r="M1470" t="s">
        <v>13648</v>
      </c>
    </row>
    <row r="1471" spans="1:13" ht="15" customHeight="1">
      <c r="A1471" t="s">
        <v>12070</v>
      </c>
      <c r="B1471" s="67" t="s">
        <v>13626</v>
      </c>
      <c r="C1471" t="s">
        <v>13630</v>
      </c>
      <c r="D1471" t="s">
        <v>13632</v>
      </c>
      <c r="E1471" t="s">
        <v>13634</v>
      </c>
      <c r="F1471" t="s">
        <v>13636</v>
      </c>
      <c r="G1471" t="s">
        <v>13638</v>
      </c>
      <c r="H1471" t="s">
        <v>13628</v>
      </c>
      <c r="I1471" t="s">
        <v>13640</v>
      </c>
      <c r="J1471" t="s">
        <v>13642</v>
      </c>
      <c r="K1471" t="s">
        <v>13644</v>
      </c>
      <c r="L1471" t="s">
        <v>13646</v>
      </c>
      <c r="M1471" t="s">
        <v>13648</v>
      </c>
    </row>
    <row r="1472" spans="1:13" ht="15" customHeight="1">
      <c r="A1472" t="s">
        <v>12068</v>
      </c>
      <c r="B1472" s="67" t="s">
        <v>13626</v>
      </c>
      <c r="C1472" t="s">
        <v>13630</v>
      </c>
      <c r="D1472" t="s">
        <v>13632</v>
      </c>
      <c r="E1472" t="s">
        <v>13634</v>
      </c>
      <c r="F1472" t="s">
        <v>13636</v>
      </c>
      <c r="G1472" t="s">
        <v>13638</v>
      </c>
      <c r="H1472" t="s">
        <v>13628</v>
      </c>
      <c r="I1472" t="s">
        <v>13640</v>
      </c>
      <c r="J1472" t="s">
        <v>13642</v>
      </c>
      <c r="K1472" t="s">
        <v>13644</v>
      </c>
      <c r="L1472" t="s">
        <v>13646</v>
      </c>
      <c r="M1472" t="s">
        <v>13648</v>
      </c>
    </row>
    <row r="1473" spans="1:13" ht="15" customHeight="1">
      <c r="A1473" t="s">
        <v>12069</v>
      </c>
      <c r="B1473" s="67" t="s">
        <v>13626</v>
      </c>
      <c r="C1473" t="s">
        <v>13630</v>
      </c>
      <c r="D1473" t="s">
        <v>13632</v>
      </c>
      <c r="E1473" t="s">
        <v>13634</v>
      </c>
      <c r="F1473" t="s">
        <v>13636</v>
      </c>
      <c r="G1473" t="s">
        <v>13638</v>
      </c>
      <c r="H1473" t="s">
        <v>13628</v>
      </c>
      <c r="I1473" t="s">
        <v>13640</v>
      </c>
      <c r="J1473" t="s">
        <v>13642</v>
      </c>
      <c r="K1473" t="s">
        <v>13644</v>
      </c>
      <c r="L1473" t="s">
        <v>13646</v>
      </c>
      <c r="M1473" t="s">
        <v>13648</v>
      </c>
    </row>
    <row r="1474" spans="1:13" ht="15" customHeight="1">
      <c r="A1474" t="s">
        <v>14043</v>
      </c>
      <c r="B1474" t="s">
        <v>13626</v>
      </c>
      <c r="C1474" t="s">
        <v>13630</v>
      </c>
      <c r="D1474" t="s">
        <v>13632</v>
      </c>
      <c r="E1474" t="s">
        <v>13634</v>
      </c>
      <c r="F1474" t="s">
        <v>13636</v>
      </c>
      <c r="G1474" t="s">
        <v>13638</v>
      </c>
      <c r="H1474" t="s">
        <v>13628</v>
      </c>
      <c r="I1474" t="s">
        <v>13640</v>
      </c>
      <c r="J1474" t="s">
        <v>13642</v>
      </c>
      <c r="K1474" t="s">
        <v>13644</v>
      </c>
      <c r="L1474" t="s">
        <v>13646</v>
      </c>
      <c r="M1474" t="s">
        <v>13648</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4" activePane="bottomRight" state="frozen"/>
      <selection pane="topRight" activeCell="B1" sqref="B1"/>
      <selection pane="bottomLeft" activeCell="A4" sqref="A4"/>
      <selection pane="bottomRight" activeCell="M21" sqref="M21"/>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8" width="4" customWidth="1"/>
    <col min="9" max="9" width="10.85546875" customWidth="1"/>
    <col min="10" max="10" width="5.285156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14"/>
      <c r="B1" s="61"/>
      <c r="C1" s="62"/>
      <c r="D1" s="62">
        <v>1</v>
      </c>
      <c r="E1" s="62">
        <v>2</v>
      </c>
      <c r="F1" s="62">
        <v>3</v>
      </c>
      <c r="G1" s="62">
        <v>4</v>
      </c>
      <c r="H1" s="62">
        <v>5</v>
      </c>
      <c r="I1" s="62">
        <v>6</v>
      </c>
      <c r="J1" s="62">
        <v>7</v>
      </c>
      <c r="K1" s="62">
        <v>8</v>
      </c>
      <c r="L1" s="62">
        <v>9</v>
      </c>
      <c r="M1" s="62">
        <v>10</v>
      </c>
      <c r="N1" s="62">
        <v>11</v>
      </c>
      <c r="O1" s="62">
        <v>12</v>
      </c>
      <c r="P1" s="62">
        <v>13</v>
      </c>
      <c r="Q1" s="62">
        <v>14</v>
      </c>
      <c r="R1" s="62">
        <v>15</v>
      </c>
      <c r="S1" s="62">
        <v>16</v>
      </c>
      <c r="T1" s="62">
        <v>17</v>
      </c>
      <c r="U1" s="62">
        <v>18</v>
      </c>
      <c r="V1" s="62">
        <v>19</v>
      </c>
      <c r="W1" s="62">
        <v>20</v>
      </c>
      <c r="X1" s="62">
        <v>21</v>
      </c>
      <c r="Y1" s="62">
        <v>22</v>
      </c>
      <c r="Z1" s="62">
        <v>23</v>
      </c>
      <c r="AA1" s="62">
        <v>24</v>
      </c>
      <c r="AB1" s="62">
        <v>25</v>
      </c>
      <c r="AC1" s="62">
        <v>26</v>
      </c>
      <c r="AD1" s="62">
        <v>27</v>
      </c>
      <c r="AE1" s="62">
        <v>28</v>
      </c>
      <c r="AF1" s="62">
        <v>29</v>
      </c>
      <c r="AG1" s="62">
        <v>30</v>
      </c>
      <c r="AH1" s="62">
        <v>31</v>
      </c>
      <c r="AI1" s="62">
        <v>32</v>
      </c>
      <c r="AJ1" s="62">
        <v>33</v>
      </c>
      <c r="AK1" s="62">
        <v>34</v>
      </c>
      <c r="AL1" s="62">
        <v>35</v>
      </c>
      <c r="AM1" s="62"/>
      <c r="AN1" s="62"/>
      <c r="AO1" s="62"/>
      <c r="AP1" s="62"/>
      <c r="AQ1" s="62"/>
      <c r="AR1" s="62"/>
      <c r="AS1" s="62"/>
      <c r="AT1" s="62"/>
      <c r="AU1" s="62"/>
      <c r="AV1" s="62"/>
      <c r="AW1" s="62"/>
    </row>
    <row r="2" spans="1:49" ht="16.5" thickTop="1" thickBot="1">
      <c r="A2" s="6"/>
      <c r="B2" s="63" t="s">
        <v>2389</v>
      </c>
      <c r="C2" s="14" t="s">
        <v>8579</v>
      </c>
      <c r="D2" s="14" t="s">
        <v>8580</v>
      </c>
      <c r="E2" s="14" t="s">
        <v>8581</v>
      </c>
      <c r="F2" s="938" t="s">
        <v>8582</v>
      </c>
      <c r="G2" s="939"/>
      <c r="H2" s="940"/>
      <c r="I2" s="14" t="s">
        <v>8583</v>
      </c>
      <c r="J2" s="14" t="s">
        <v>8584</v>
      </c>
      <c r="K2" s="86"/>
      <c r="L2" s="6"/>
      <c r="M2" s="14" t="s">
        <v>8585</v>
      </c>
      <c r="N2" s="14" t="s">
        <v>8586</v>
      </c>
      <c r="O2" s="14" t="s">
        <v>8587</v>
      </c>
      <c r="P2" s="14" t="s">
        <v>8588</v>
      </c>
      <c r="Q2" s="14" t="s">
        <v>8589</v>
      </c>
      <c r="R2" s="941" t="s">
        <v>8590</v>
      </c>
      <c r="S2" s="942"/>
      <c r="T2" s="942"/>
      <c r="U2" s="942"/>
      <c r="V2" s="942"/>
      <c r="W2" s="942"/>
      <c r="X2" s="942"/>
      <c r="Y2" s="942"/>
      <c r="Z2" s="942"/>
      <c r="AA2" s="942"/>
      <c r="AB2" s="943"/>
      <c r="AD2" s="950" t="s">
        <v>8591</v>
      </c>
      <c r="AE2" s="951"/>
      <c r="AF2" s="950" t="s">
        <v>8592</v>
      </c>
      <c r="AG2" s="951"/>
      <c r="AH2" s="6"/>
      <c r="AI2" s="6"/>
      <c r="AJ2" s="6"/>
      <c r="AK2" s="6"/>
      <c r="AL2" s="6"/>
      <c r="AM2" s="6"/>
      <c r="AN2" s="6"/>
      <c r="AO2" s="6"/>
      <c r="AP2" s="6"/>
      <c r="AQ2" s="6"/>
      <c r="AR2" s="6"/>
      <c r="AS2" s="6"/>
      <c r="AT2" s="6"/>
      <c r="AU2" s="6"/>
      <c r="AV2" s="6"/>
      <c r="AW2" s="6"/>
    </row>
    <row r="3" spans="1:49" ht="15.75" thickTop="1">
      <c r="A3" s="6"/>
      <c r="B3" s="15" t="s">
        <v>2390</v>
      </c>
      <c r="C3" s="14" t="s">
        <v>8593</v>
      </c>
      <c r="D3" s="14" t="s">
        <v>8594</v>
      </c>
      <c r="E3" s="14" t="s">
        <v>8595</v>
      </c>
      <c r="F3" s="14" t="s">
        <v>8596</v>
      </c>
      <c r="G3" s="14" t="s">
        <v>8597</v>
      </c>
      <c r="H3" s="14" t="s">
        <v>8598</v>
      </c>
      <c r="I3" s="14" t="s">
        <v>8599</v>
      </c>
      <c r="J3" s="14" t="s">
        <v>14028</v>
      </c>
      <c r="K3" s="6"/>
      <c r="L3" s="6"/>
      <c r="M3" s="14" t="s">
        <v>8600</v>
      </c>
      <c r="N3" s="14" t="s">
        <v>8601</v>
      </c>
      <c r="O3" s="14" t="s">
        <v>8602</v>
      </c>
      <c r="P3" s="14" t="s">
        <v>8603</v>
      </c>
      <c r="Q3" s="65" t="s">
        <v>8604</v>
      </c>
      <c r="R3" s="66" t="s">
        <v>8605</v>
      </c>
      <c r="S3" s="64" t="s">
        <v>8606</v>
      </c>
      <c r="T3" s="64" t="s">
        <v>8607</v>
      </c>
      <c r="U3" s="64" t="s">
        <v>8608</v>
      </c>
      <c r="V3" s="64" t="s">
        <v>8609</v>
      </c>
      <c r="W3" s="64" t="s">
        <v>8610</v>
      </c>
      <c r="X3" s="944" t="s">
        <v>8611</v>
      </c>
      <c r="Y3" s="944"/>
      <c r="Z3" s="944"/>
      <c r="AA3" s="64" t="s">
        <v>8612</v>
      </c>
      <c r="AB3" s="64" t="s">
        <v>8612</v>
      </c>
      <c r="AC3" s="64" t="s">
        <v>3</v>
      </c>
      <c r="AD3" s="64" t="s">
        <v>8613</v>
      </c>
      <c r="AE3" s="64" t="s">
        <v>8654</v>
      </c>
      <c r="AF3" s="64" t="s">
        <v>8613</v>
      </c>
      <c r="AG3" s="14" t="s">
        <v>8654</v>
      </c>
      <c r="AH3" s="6"/>
      <c r="AI3" s="6"/>
      <c r="AJ3" s="6"/>
      <c r="AK3" s="6"/>
      <c r="AL3" s="6"/>
      <c r="AM3" s="6"/>
      <c r="AN3" s="6"/>
      <c r="AO3" s="6"/>
      <c r="AP3" s="6"/>
      <c r="AQ3" s="6"/>
      <c r="AR3" s="6"/>
      <c r="AS3" s="6"/>
      <c r="AT3" s="6"/>
      <c r="AU3" s="6"/>
      <c r="AV3" s="6"/>
      <c r="AW3" s="6"/>
    </row>
    <row r="4" spans="1:49" ht="15.75" thickBot="1">
      <c r="A4" s="6"/>
      <c r="B4" s="16" t="s">
        <v>2466</v>
      </c>
      <c r="C4" s="2">
        <f>IFERROR(VLOOKUP(B4,'General price list'!C:BA,MATCH("PAL",'General price list'!$C$20:$BA$20,0),FALSE),"")</f>
        <v>32</v>
      </c>
      <c r="D4" s="2">
        <f>IFERROR(VLOOKUP(B4,'General price list'!C:BA,MATCH("OBJ",'General price list'!$C$20:$BA$20,0),FALSE),"")</f>
        <v>0</v>
      </c>
      <c r="E4" s="2">
        <f>IFERROR(D4/C4,0)</f>
        <v>0</v>
      </c>
      <c r="F4" s="2">
        <f>IFERROR(FLOOR(IF(E4-1&lt;0,0,E4),1),0)</f>
        <v>0</v>
      </c>
      <c r="G4" s="2">
        <f>IFERROR(IF(H4&gt;E4,F4-E4,E4-F4),0)</f>
        <v>0</v>
      </c>
      <c r="H4" s="2">
        <f>IFERROR(IF(E4=0,0,F4),0)</f>
        <v>0</v>
      </c>
      <c r="I4" s="2">
        <f t="shared" ref="I4:I67" si="0">IFERROR(IF(D4=0,0,IF(F4=0,(D4*nextVK)+(prvniVK-nextVK),(G4*C4*nextVK)+(F4*PALzKoje))),0)</f>
        <v>0</v>
      </c>
      <c r="J4">
        <f>IFERROR(VLOOKUP(B4,'General price list'!C:BA,MATCH("CBM",'General price list'!$C$20:$BA$20,0),FALSE)*(G4*C4),0)</f>
        <v>0</v>
      </c>
      <c r="K4" s="6"/>
      <c r="L4" s="67" t="s">
        <v>8614</v>
      </c>
      <c r="M4" s="68">
        <f>SUM(I4:I1159)</f>
        <v>0</v>
      </c>
      <c r="N4" s="68">
        <f>SUM(J4:J1159)</f>
        <v>0</v>
      </c>
      <c r="O4" s="68">
        <f>CEILING(N4/AC5,1)</f>
        <v>0</v>
      </c>
      <c r="P4" s="68">
        <f>SUM(H4:H1159)</f>
        <v>0</v>
      </c>
      <c r="Q4" s="68">
        <f>O4+P4</f>
        <v>0</v>
      </c>
      <c r="R4" s="64" t="s">
        <v>8615</v>
      </c>
      <c r="S4" s="64"/>
      <c r="T4" s="64" t="s">
        <v>8616</v>
      </c>
      <c r="U4" s="64" t="s">
        <v>8617</v>
      </c>
      <c r="V4" s="64" t="s">
        <v>8618</v>
      </c>
      <c r="W4" s="64" t="s">
        <v>8619</v>
      </c>
      <c r="X4" s="64" t="s">
        <v>8620</v>
      </c>
      <c r="Y4" s="64" t="s">
        <v>8621</v>
      </c>
      <c r="Z4" s="64" t="s">
        <v>3124</v>
      </c>
      <c r="AA4" s="64" t="s">
        <v>8622</v>
      </c>
      <c r="AB4" s="64" t="s">
        <v>8623</v>
      </c>
      <c r="AC4" s="64" t="s">
        <v>8624</v>
      </c>
      <c r="AD4" s="100" t="s">
        <v>8625</v>
      </c>
      <c r="AE4" s="100" t="s">
        <v>8655</v>
      </c>
      <c r="AF4" s="100" t="s">
        <v>8625</v>
      </c>
      <c r="AG4" s="101" t="s">
        <v>8655</v>
      </c>
      <c r="AH4" s="6"/>
      <c r="AI4" s="6"/>
      <c r="AJ4" s="6"/>
      <c r="AK4" s="6"/>
      <c r="AL4" s="6"/>
      <c r="AM4" s="6"/>
      <c r="AN4" s="6"/>
      <c r="AO4" s="6"/>
      <c r="AP4" s="6"/>
      <c r="AQ4" s="6"/>
      <c r="AR4" s="6"/>
      <c r="AS4" s="6"/>
      <c r="AT4" s="6"/>
      <c r="AU4" s="6"/>
      <c r="AV4" s="6"/>
      <c r="AW4" s="6"/>
    </row>
    <row r="5" spans="1:49" ht="15.75" thickBot="1">
      <c r="A5" s="6"/>
      <c r="B5" s="16" t="s">
        <v>2657</v>
      </c>
      <c r="C5" s="2">
        <f>IFERROR(VLOOKUP(B5,'General price list'!C:BA,MATCH("PAL",'General price list'!$C$20:$BA$20,0),FALSE),"")</f>
        <v>32</v>
      </c>
      <c r="D5" s="2">
        <f>IFERROR(VLOOKUP(B5,'General price list'!C:BA,MATCH("OBJ",'General price list'!$C$20:$BA$20,0),FALSE),"")</f>
        <v>0</v>
      </c>
      <c r="E5" s="2">
        <f t="shared" ref="E5:E68" si="1">IFERROR(D5/C5,0)</f>
        <v>0</v>
      </c>
      <c r="F5" s="2">
        <f t="shared" ref="F5:F68" si="2">IFERROR(FLOOR(IF(E5-1&lt;0,0,E5),1),0)</f>
        <v>0</v>
      </c>
      <c r="G5" s="2">
        <f t="shared" ref="G5:G68" si="3">IFERROR(IF(H5&gt;E5,F5-E5,E5-F5),0)</f>
        <v>0</v>
      </c>
      <c r="H5" s="2">
        <f t="shared" ref="H5:H68" si="4">IFERROR(IF(E5=0,0,F5),0)</f>
        <v>0</v>
      </c>
      <c r="I5" s="2">
        <f t="shared" si="0"/>
        <v>0</v>
      </c>
      <c r="J5">
        <f>IFERROR(VLOOKUP(B5,'General price list'!C:BA,MATCH("CBM",'General price list'!$C$20:$BA$20,0),FALSE)*(G5*C5),0)</f>
        <v>0</v>
      </c>
      <c r="K5" s="6"/>
      <c r="L5" s="67" t="s">
        <v>8626</v>
      </c>
      <c r="M5" s="2">
        <f>odhPAL*tvorbaPAL</f>
        <v>0</v>
      </c>
      <c r="N5" s="87"/>
      <c r="O5" s="6"/>
      <c r="P5" s="6"/>
      <c r="Q5" s="6"/>
      <c r="R5" s="69">
        <v>300</v>
      </c>
      <c r="S5" s="69">
        <v>60</v>
      </c>
      <c r="T5" s="69">
        <v>20</v>
      </c>
      <c r="U5" s="69">
        <v>180</v>
      </c>
      <c r="V5" s="69">
        <v>600</v>
      </c>
      <c r="W5" s="69">
        <v>10</v>
      </c>
      <c r="X5" s="69">
        <v>300</v>
      </c>
      <c r="Y5" s="69">
        <v>120</v>
      </c>
      <c r="Z5" s="69">
        <v>20</v>
      </c>
      <c r="AA5" s="69">
        <v>1800</v>
      </c>
      <c r="AB5" s="69">
        <v>900</v>
      </c>
      <c r="AC5" s="69">
        <v>1.3</v>
      </c>
      <c r="AD5" s="70">
        <v>5</v>
      </c>
      <c r="AE5" s="70"/>
      <c r="AF5" s="70">
        <v>2</v>
      </c>
      <c r="AG5" s="70"/>
      <c r="AH5" s="6"/>
      <c r="AI5" s="6"/>
      <c r="AJ5" s="6"/>
      <c r="AK5" s="6"/>
      <c r="AL5" s="6"/>
      <c r="AM5" s="6"/>
      <c r="AN5" s="6" t="s">
        <v>8653</v>
      </c>
      <c r="AO5" s="6"/>
      <c r="AP5" s="6"/>
      <c r="AQ5" s="6"/>
      <c r="AR5" s="6"/>
      <c r="AS5" s="6"/>
      <c r="AT5" s="6"/>
      <c r="AU5" s="6"/>
      <c r="AV5" s="6"/>
      <c r="AW5" s="6"/>
    </row>
    <row r="6" spans="1:49" ht="15.75" thickBot="1">
      <c r="A6" s="6"/>
      <c r="B6" s="16" t="s">
        <v>2468</v>
      </c>
      <c r="C6" s="2">
        <f>IFERROR(VLOOKUP(B6,'General price list'!C:BA,MATCH("PAL",'General price list'!$C$20:$BA$20,0),FALSE),"")</f>
        <v>32</v>
      </c>
      <c r="D6" s="2">
        <f>IFERROR(VLOOKUP(B6,'General price list'!C:BA,MATCH("OBJ",'General price list'!$C$20:$BA$20,0),FALSE),"")</f>
        <v>0</v>
      </c>
      <c r="E6" s="2">
        <f t="shared" si="1"/>
        <v>0</v>
      </c>
      <c r="F6" s="2">
        <f t="shared" si="2"/>
        <v>0</v>
      </c>
      <c r="G6" s="2">
        <f t="shared" si="3"/>
        <v>0</v>
      </c>
      <c r="H6" s="2">
        <f t="shared" si="4"/>
        <v>0</v>
      </c>
      <c r="I6" s="2">
        <f t="shared" si="0"/>
        <v>0</v>
      </c>
      <c r="J6">
        <f>IFERROR(VLOOKUP(B6,'General price list'!C:BA,MATCH("CBM",'General price list'!$C$20:$BA$20,0),FALSE)*(G6*C6),0)</f>
        <v>0</v>
      </c>
      <c r="K6" s="6"/>
      <c r="L6" s="67" t="s">
        <v>8627</v>
      </c>
      <c r="M6" s="2">
        <f>SUM(D:D)*vystKONTROLA</f>
        <v>10</v>
      </c>
      <c r="N6" s="6"/>
      <c r="O6" s="6"/>
      <c r="P6" s="6"/>
      <c r="Q6" s="6"/>
      <c r="R6" s="6"/>
      <c r="S6" s="6"/>
      <c r="T6" s="6"/>
      <c r="U6" s="6"/>
      <c r="V6" s="6"/>
      <c r="W6" s="6"/>
      <c r="X6" s="6"/>
      <c r="Y6" s="6"/>
      <c r="Z6" s="6" t="s">
        <v>8652</v>
      </c>
      <c r="AA6" s="6"/>
      <c r="AB6" s="6"/>
      <c r="AD6" s="105"/>
      <c r="AE6" s="110"/>
      <c r="AF6" s="111"/>
      <c r="AG6" s="112"/>
      <c r="AI6" s="6"/>
      <c r="AJ6" s="6"/>
      <c r="AK6" s="6"/>
      <c r="AL6" s="6"/>
      <c r="AM6" s="6"/>
      <c r="AN6" s="6"/>
      <c r="AO6" s="6"/>
      <c r="AP6" s="6"/>
      <c r="AQ6" s="6"/>
      <c r="AR6" s="6"/>
      <c r="AS6" s="6"/>
      <c r="AT6" s="6"/>
      <c r="AU6" s="6"/>
      <c r="AV6" s="6"/>
      <c r="AW6" s="6"/>
    </row>
    <row r="7" spans="1:49" ht="15.75" thickBot="1">
      <c r="A7" s="6"/>
      <c r="B7" s="16" t="s">
        <v>2658</v>
      </c>
      <c r="C7" s="2">
        <f>IFERROR(VLOOKUP(B7,'General price list'!C:BA,MATCH("PAL",'General price list'!$C$20:$BA$20,0),FALSE),"")</f>
        <v>32</v>
      </c>
      <c r="D7" s="2">
        <f>IFERROR(VLOOKUP(B7,'General price list'!C:BA,MATCH("OBJ",'General price list'!$C$20:$BA$20,0),FALSE),"")</f>
        <v>0</v>
      </c>
      <c r="E7" s="2">
        <f t="shared" si="1"/>
        <v>0</v>
      </c>
      <c r="F7" s="2">
        <f t="shared" si="2"/>
        <v>0</v>
      </c>
      <c r="G7" s="2">
        <f t="shared" si="3"/>
        <v>0</v>
      </c>
      <c r="H7" s="2">
        <f t="shared" si="4"/>
        <v>0</v>
      </c>
      <c r="I7" s="2">
        <f t="shared" si="0"/>
        <v>0</v>
      </c>
      <c r="J7">
        <f>IFERROR(VLOOKUP(B7,'General price list'!C:BA,MATCH("CBM",'General price list'!$C$20:$BA$20,0),FALSE)*(G7*C7),0)</f>
        <v>0</v>
      </c>
      <c r="K7" s="6"/>
      <c r="L7" s="67" t="s">
        <v>8628</v>
      </c>
      <c r="M7" s="2">
        <f>prvniPAL+(Q4-1)*nextPAL</f>
        <v>180</v>
      </c>
      <c r="N7" s="6"/>
      <c r="O7" s="6"/>
      <c r="P7" s="6"/>
      <c r="Q7" s="6"/>
      <c r="R7" s="6"/>
      <c r="S7" s="88"/>
      <c r="T7" s="6" t="s">
        <v>8633</v>
      </c>
      <c r="U7" s="6"/>
      <c r="V7" s="6"/>
      <c r="W7" s="6"/>
      <c r="X7" s="6"/>
      <c r="Y7" s="6"/>
      <c r="Z7" s="6"/>
      <c r="AA7" s="6"/>
      <c r="AB7" s="6"/>
      <c r="AC7" s="6"/>
      <c r="AD7" s="106"/>
      <c r="AE7" s="108"/>
      <c r="AF7" s="109"/>
      <c r="AG7" s="107"/>
      <c r="AH7" s="6"/>
      <c r="AI7" s="6"/>
      <c r="AJ7" s="6"/>
      <c r="AK7" s="6"/>
      <c r="AL7" s="6"/>
      <c r="AM7" s="6"/>
      <c r="AN7" s="6"/>
      <c r="AO7" s="6"/>
      <c r="AP7" s="6"/>
      <c r="AQ7" s="6"/>
      <c r="AR7" s="6"/>
      <c r="AS7" s="6"/>
      <c r="AT7" s="6"/>
      <c r="AU7" s="6"/>
      <c r="AV7" s="6"/>
      <c r="AW7" s="6"/>
    </row>
    <row r="8" spans="1:49">
      <c r="A8" s="6"/>
      <c r="B8" s="17" t="s">
        <v>20</v>
      </c>
      <c r="C8" s="2" t="str">
        <f>IFERROR(VLOOKUP(B8,'General price list'!C:BA,MATCH("PAL",'General price list'!$C$20:$BA$20,0),FALSE),"")</f>
        <v>32</v>
      </c>
      <c r="D8" s="2">
        <f>IFERROR(VLOOKUP(B8,'General price list'!C:BA,MATCH("OBJ",'General price list'!$C$20:$BA$20,0),FALSE),"")</f>
        <v>0</v>
      </c>
      <c r="E8" s="2">
        <f t="shared" si="1"/>
        <v>0</v>
      </c>
      <c r="F8" s="2">
        <f t="shared" si="2"/>
        <v>0</v>
      </c>
      <c r="G8" s="2">
        <f t="shared" si="3"/>
        <v>0</v>
      </c>
      <c r="H8" s="2">
        <f t="shared" si="4"/>
        <v>0</v>
      </c>
      <c r="I8" s="2">
        <f t="shared" si="0"/>
        <v>0</v>
      </c>
      <c r="J8">
        <f>IFERROR(VLOOKUP(B8,'General price list'!C:BA,MATCH("CBM",'General price list'!$C$20:$BA$20,0),FALSE)*(G8*C8),0)</f>
        <v>0</v>
      </c>
      <c r="K8" s="6"/>
      <c r="L8" s="67" t="s">
        <v>8629</v>
      </c>
      <c r="M8" s="2">
        <f>SUM(D:D)*VK</f>
        <v>20</v>
      </c>
      <c r="N8" s="6"/>
      <c r="O8" s="6"/>
      <c r="P8" s="6"/>
      <c r="Q8" s="6"/>
      <c r="R8" s="6"/>
      <c r="S8" s="6"/>
      <c r="T8" s="6"/>
      <c r="U8" s="6"/>
      <c r="V8" s="6"/>
      <c r="W8" s="6"/>
      <c r="X8" s="6"/>
      <c r="Y8" s="6"/>
      <c r="Z8" s="6"/>
      <c r="AA8" s="6"/>
      <c r="AB8" s="6"/>
      <c r="AC8" s="6"/>
      <c r="AD8" s="106"/>
      <c r="AE8" s="108"/>
      <c r="AF8" s="109"/>
      <c r="AG8" s="107"/>
      <c r="AH8" s="6"/>
      <c r="AI8" s="6"/>
      <c r="AJ8" s="6"/>
      <c r="AK8" s="6"/>
      <c r="AL8" s="6"/>
      <c r="AM8" s="6"/>
      <c r="AN8" s="6"/>
      <c r="AO8" s="6"/>
      <c r="AP8" s="6"/>
      <c r="AQ8" s="6"/>
      <c r="AR8" s="6"/>
      <c r="AS8" s="6"/>
      <c r="AT8" s="6"/>
      <c r="AU8" s="6"/>
      <c r="AV8" s="6"/>
      <c r="AW8" s="6"/>
    </row>
    <row r="9" spans="1:49">
      <c r="A9" s="6"/>
      <c r="B9" s="17" t="s">
        <v>29</v>
      </c>
      <c r="C9" s="2" t="str">
        <f>IFERROR(VLOOKUP(B9,'General price list'!C:BA,MATCH("PAL",'General price list'!$C$20:$BA$20,0),FALSE),"")</f>
        <v>32</v>
      </c>
      <c r="D9" s="2">
        <f>IFERROR(VLOOKUP(B9,'General price list'!C:BA,MATCH("OBJ",'General price list'!$C$20:$BA$20,0),FALSE),"")</f>
        <v>0</v>
      </c>
      <c r="E9" s="2">
        <f t="shared" si="1"/>
        <v>0</v>
      </c>
      <c r="F9" s="2">
        <f t="shared" si="2"/>
        <v>0</v>
      </c>
      <c r="G9" s="2">
        <f t="shared" si="3"/>
        <v>0</v>
      </c>
      <c r="H9" s="2">
        <f t="shared" si="4"/>
        <v>0</v>
      </c>
      <c r="I9" s="2">
        <f t="shared" si="0"/>
        <v>0</v>
      </c>
      <c r="J9">
        <f>IFERROR(VLOOKUP(B9,'General price list'!C:BA,MATCH("CBM",'General price list'!$C$20:$BA$20,0),FALSE)*(G9*C9),0)</f>
        <v>0</v>
      </c>
      <c r="K9" s="6"/>
      <c r="O9" s="6"/>
      <c r="P9" s="6"/>
      <c r="Q9" s="6"/>
      <c r="R9" s="6"/>
      <c r="S9" s="102"/>
      <c r="T9" s="6" t="s">
        <v>8656</v>
      </c>
      <c r="U9" s="6"/>
      <c r="V9" s="6"/>
      <c r="W9" s="6"/>
      <c r="X9" s="6"/>
      <c r="Y9" s="6"/>
      <c r="Z9" s="6"/>
      <c r="AA9" s="6"/>
      <c r="AB9" s="6"/>
      <c r="AC9" s="6"/>
      <c r="AD9" s="106"/>
      <c r="AE9" s="108"/>
      <c r="AF9" s="109"/>
      <c r="AG9" s="107"/>
      <c r="AH9" s="6"/>
      <c r="AI9" s="6"/>
      <c r="AJ9" s="6"/>
      <c r="AK9" s="6"/>
      <c r="AL9" s="6"/>
      <c r="AM9" s="6"/>
      <c r="AN9" s="6"/>
      <c r="AO9" s="6"/>
      <c r="AP9" s="6"/>
      <c r="AQ9" s="6"/>
      <c r="AR9" s="6"/>
      <c r="AS9" s="6"/>
      <c r="AT9" s="6"/>
      <c r="AU9" s="6"/>
      <c r="AV9" s="6"/>
      <c r="AW9" s="6"/>
    </row>
    <row r="10" spans="1:49">
      <c r="A10" s="6"/>
      <c r="B10" s="16" t="s">
        <v>2470</v>
      </c>
      <c r="C10" s="2">
        <f>IFERROR(VLOOKUP(B10,'General price list'!C:BA,MATCH("PAL",'General price list'!$C$20:$BA$20,0),FALSE),"")</f>
        <v>48</v>
      </c>
      <c r="D10" s="2">
        <f>IFERROR(VLOOKUP(B10,'General price list'!C:BA,MATCH("OBJ",'General price list'!$C$20:$BA$20,0),FALSE),"")</f>
        <v>0</v>
      </c>
      <c r="E10" s="2">
        <f t="shared" si="1"/>
        <v>0</v>
      </c>
      <c r="F10" s="2">
        <f t="shared" si="2"/>
        <v>0</v>
      </c>
      <c r="G10" s="2">
        <f t="shared" si="3"/>
        <v>0</v>
      </c>
      <c r="H10" s="2">
        <f t="shared" si="4"/>
        <v>0</v>
      </c>
      <c r="I10" s="2">
        <f t="shared" si="0"/>
        <v>0</v>
      </c>
      <c r="J10">
        <f>IFERROR(VLOOKUP(B10,'General price list'!C:BA,MATCH("CBM",'General price list'!$C$20:$BA$20,0),FALSE)*(G10*C10),0)</f>
        <v>0</v>
      </c>
      <c r="K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c r="A11" s="6"/>
      <c r="B11" s="17" t="s">
        <v>30</v>
      </c>
      <c r="C11" s="2" t="str">
        <f>IFERROR(VLOOKUP(B11,'General price list'!C:BA,MATCH("PAL",'General price list'!$C$20:$BA$20,0),FALSE),"")</f>
        <v>30</v>
      </c>
      <c r="D11" s="2">
        <f>IFERROR(VLOOKUP(B11,'General price list'!C:BA,MATCH("OBJ",'General price list'!$C$20:$BA$20,0),FALSE),"")</f>
        <v>0</v>
      </c>
      <c r="E11" s="2">
        <f t="shared" si="1"/>
        <v>0</v>
      </c>
      <c r="F11" s="2">
        <f t="shared" si="2"/>
        <v>0</v>
      </c>
      <c r="G11" s="2">
        <f t="shared" si="3"/>
        <v>0</v>
      </c>
      <c r="H11" s="2">
        <f t="shared" si="4"/>
        <v>0</v>
      </c>
      <c r="I11" s="2">
        <f t="shared" si="0"/>
        <v>0</v>
      </c>
      <c r="J11">
        <f>IFERROR(VLOOKUP(B11,'General price list'!C:BA,MATCH("CBM",'General price list'!$C$20:$BA$20,0),FALSE)*(G11*C11),0)</f>
        <v>0</v>
      </c>
      <c r="K11" s="6"/>
      <c r="O11" s="6"/>
      <c r="P11" s="6"/>
      <c r="Q11" s="6"/>
      <c r="R11" s="6"/>
      <c r="S11" s="71"/>
      <c r="T11" s="72"/>
      <c r="U11" s="71" t="s">
        <v>8630</v>
      </c>
      <c r="V11" s="72" t="s">
        <v>8631</v>
      </c>
      <c r="W11" s="71" t="s">
        <v>8632</v>
      </c>
      <c r="X11" s="72" t="s">
        <v>8631</v>
      </c>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c r="A12" s="6"/>
      <c r="B12" s="17" t="s">
        <v>3189</v>
      </c>
      <c r="C12" s="2">
        <f>IFERROR(VLOOKUP(B12,'General price list'!C:BA,MATCH("PAL",'General price list'!$C$20:$BA$20,0),FALSE),"")</f>
        <v>20</v>
      </c>
      <c r="D12" s="2">
        <f>IFERROR(VLOOKUP(B12,'General price list'!C:BA,MATCH("OBJ",'General price list'!$C$20:$BA$20,0),FALSE),"")</f>
        <v>0</v>
      </c>
      <c r="E12" s="2">
        <f t="shared" si="1"/>
        <v>0</v>
      </c>
      <c r="F12" s="2">
        <f t="shared" si="2"/>
        <v>0</v>
      </c>
      <c r="G12" s="2">
        <f t="shared" si="3"/>
        <v>0</v>
      </c>
      <c r="H12" s="2">
        <f t="shared" si="4"/>
        <v>0</v>
      </c>
      <c r="I12" s="2">
        <f t="shared" si="0"/>
        <v>0</v>
      </c>
      <c r="J12">
        <f>IFERROR(VLOOKUP(B12,'General price list'!C:BA,MATCH("CBM",'General price list'!$C$20:$BA$20,0),FALSE)*(G12*C12),0)</f>
        <v>0</v>
      </c>
      <c r="K12" s="6"/>
      <c r="O12" s="6"/>
      <c r="P12" s="6"/>
      <c r="Q12" s="6"/>
      <c r="R12" s="6"/>
      <c r="S12" s="73" t="s">
        <v>8634</v>
      </c>
      <c r="T12" s="74" t="s">
        <v>13589</v>
      </c>
      <c r="U12" s="75">
        <f>M4+M6+R5</f>
        <v>310</v>
      </c>
      <c r="V12" s="76">
        <f>ROUND(U12/60,0)</f>
        <v>5</v>
      </c>
      <c r="W12" s="75">
        <f>M8</f>
        <v>20</v>
      </c>
      <c r="X12" s="76">
        <f>ROUND(W12/60,0)</f>
        <v>0</v>
      </c>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c r="A13" s="6"/>
      <c r="B13" s="17" t="s">
        <v>36</v>
      </c>
      <c r="C13" s="2">
        <f>IFERROR(VLOOKUP(B13,'General price list'!C:BA,MATCH("PAL",'General price list'!$C$20:$BA$20,0),FALSE),"")</f>
        <v>66</v>
      </c>
      <c r="D13" s="2">
        <f>IFERROR(VLOOKUP(B13,'General price list'!C:BA,MATCH("OBJ",'General price list'!$C$20:$BA$20,0),FALSE),"")</f>
        <v>0</v>
      </c>
      <c r="E13" s="2">
        <f t="shared" si="1"/>
        <v>0</v>
      </c>
      <c r="F13" s="2">
        <f t="shared" si="2"/>
        <v>0</v>
      </c>
      <c r="G13" s="2">
        <f t="shared" si="3"/>
        <v>0</v>
      </c>
      <c r="H13" s="2">
        <f t="shared" si="4"/>
        <v>0</v>
      </c>
      <c r="I13" s="2">
        <f t="shared" si="0"/>
        <v>0</v>
      </c>
      <c r="J13">
        <f>IFERROR(VLOOKUP(B13,'General price list'!C:BA,MATCH("CBM",'General price list'!$C$20:$BA$20,0),FALSE)*(G13*C13),0)</f>
        <v>0</v>
      </c>
      <c r="K13" s="6"/>
      <c r="O13" s="6"/>
      <c r="P13" s="6"/>
      <c r="Q13" s="6"/>
      <c r="R13" s="6"/>
      <c r="S13" s="73"/>
      <c r="T13" s="74" t="s">
        <v>2892</v>
      </c>
      <c r="U13" s="75">
        <f>M4+M5+R5</f>
        <v>300</v>
      </c>
      <c r="V13" s="76">
        <f>ROUND(U13/60,0)</f>
        <v>5</v>
      </c>
      <c r="W13" s="75">
        <f>M7</f>
        <v>180</v>
      </c>
      <c r="X13" s="76">
        <f>ROUND(W13/60,0)</f>
        <v>3</v>
      </c>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75" thickBot="1">
      <c r="A14" s="6"/>
      <c r="B14" s="17" t="s">
        <v>41</v>
      </c>
      <c r="C14" s="2">
        <f>IFERROR(VLOOKUP(B14,'General price list'!C:BA,MATCH("PAL",'General price list'!$C$20:$BA$20,0),FALSE),"")</f>
        <v>66</v>
      </c>
      <c r="D14" s="2">
        <f>IFERROR(VLOOKUP(B14,'General price list'!C:BA,MATCH("OBJ",'General price list'!$C$20:$BA$20,0),FALSE),"")</f>
        <v>0</v>
      </c>
      <c r="E14" s="2">
        <f t="shared" si="1"/>
        <v>0</v>
      </c>
      <c r="F14" s="2">
        <f t="shared" si="2"/>
        <v>0</v>
      </c>
      <c r="G14" s="2">
        <f t="shared" si="3"/>
        <v>0</v>
      </c>
      <c r="H14" s="2">
        <f t="shared" si="4"/>
        <v>0</v>
      </c>
      <c r="I14" s="2">
        <f t="shared" si="0"/>
        <v>0</v>
      </c>
      <c r="J14">
        <f>IFERROR(VLOOKUP(B14,'General price list'!C:BA,MATCH("CBM",'General price list'!$C$20:$BA$20,0),FALSE)*(G14*C14),0)</f>
        <v>0</v>
      </c>
      <c r="K14" s="6"/>
      <c r="O14" s="6"/>
      <c r="P14" s="6"/>
      <c r="Q14" s="6"/>
      <c r="R14" s="6"/>
      <c r="S14" s="73"/>
      <c r="T14" s="77">
        <v>1</v>
      </c>
      <c r="U14" s="73">
        <v>2</v>
      </c>
      <c r="V14" s="77">
        <v>3</v>
      </c>
      <c r="W14" s="73">
        <v>4</v>
      </c>
      <c r="X14" s="77">
        <v>5</v>
      </c>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6.5" thickTop="1" thickBot="1">
      <c r="A15" s="6"/>
      <c r="B15" s="11" t="s">
        <v>43</v>
      </c>
      <c r="C15" s="2">
        <f>IFERROR(VLOOKUP(B15,'General price list'!C:BA,MATCH("PAL",'General price list'!$C$20:$BA$20,0),FALSE),"")</f>
        <v>54</v>
      </c>
      <c r="D15" s="2">
        <f>IFERROR(VLOOKUP(B15,'General price list'!C:BA,MATCH("OBJ",'General price list'!$C$20:$BA$20,0),FALSE),"")</f>
        <v>0</v>
      </c>
      <c r="E15" s="2">
        <f t="shared" si="1"/>
        <v>0</v>
      </c>
      <c r="F15" s="2">
        <f t="shared" si="2"/>
        <v>0</v>
      </c>
      <c r="G15" s="2">
        <f t="shared" si="3"/>
        <v>0</v>
      </c>
      <c r="H15" s="2">
        <f t="shared" si="4"/>
        <v>0</v>
      </c>
      <c r="I15" s="2">
        <f t="shared" si="0"/>
        <v>0</v>
      </c>
      <c r="J15">
        <f>IFERROR(VLOOKUP(B15,'General price list'!C:BA,MATCH("CBM",'General price list'!$C$20:$BA$20,0),FALSE)*(G15*C15),0)</f>
        <v>0</v>
      </c>
      <c r="K15" s="6"/>
      <c r="O15" s="6"/>
      <c r="P15" s="6"/>
      <c r="Q15" s="6"/>
      <c r="R15" s="6"/>
      <c r="S15" s="945" t="s">
        <v>8635</v>
      </c>
      <c r="T15" s="946"/>
      <c r="U15" s="947" t="s">
        <v>8636</v>
      </c>
      <c r="V15" s="948"/>
      <c r="W15" s="946" t="s">
        <v>8637</v>
      </c>
      <c r="X15" s="949"/>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6.5" thickTop="1" thickBot="1">
      <c r="A16" s="6"/>
      <c r="B16" s="11" t="s">
        <v>11995</v>
      </c>
      <c r="C16" s="2">
        <f>IFERROR(VLOOKUP(B16,'General price list'!C:BA,MATCH("PAL",'General price list'!$C$20:$BA$20,0),FALSE),"")</f>
        <v>50</v>
      </c>
      <c r="D16" s="2">
        <f>IFERROR(VLOOKUP(B16,'General price list'!C:BA,MATCH("OBJ",'General price list'!$C$20:$BA$20,0),FALSE),"")</f>
        <v>0</v>
      </c>
      <c r="E16" s="2">
        <f t="shared" si="1"/>
        <v>0</v>
      </c>
      <c r="F16" s="2">
        <f t="shared" si="2"/>
        <v>0</v>
      </c>
      <c r="G16" s="2">
        <f t="shared" si="3"/>
        <v>0</v>
      </c>
      <c r="H16" s="2">
        <f t="shared" si="4"/>
        <v>0</v>
      </c>
      <c r="I16" s="2">
        <f t="shared" si="0"/>
        <v>0</v>
      </c>
      <c r="J16">
        <f>IFERROR(VLOOKUP(B16,'General price list'!C:BA,MATCH("CBM",'General price list'!$C$20:$BA$20,0),FALSE)*(G16*C16),0)</f>
        <v>0</v>
      </c>
      <c r="K16" s="6"/>
      <c r="O16" s="6"/>
      <c r="P16" s="6"/>
      <c r="Q16" s="6"/>
      <c r="R16" s="6"/>
      <c r="S16" s="954" t="s">
        <v>8641</v>
      </c>
      <c r="T16" s="955"/>
      <c r="U16" s="955"/>
      <c r="V16" s="955"/>
      <c r="W16" s="955"/>
      <c r="X16" s="95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6.5" thickTop="1" thickBot="1">
      <c r="A17" s="6"/>
      <c r="B17" s="90" t="s">
        <v>12352</v>
      </c>
      <c r="C17" s="2">
        <f>IFERROR(VLOOKUP(B17,'General price list'!C:BA,MATCH("PAL",'General price list'!$C$20:$BA$20,0),FALSE),"")</f>
        <v>90</v>
      </c>
      <c r="D17" s="2">
        <f>IFERROR(VLOOKUP(B17,'General price list'!C:BA,MATCH("OBJ",'General price list'!$C$20:$BA$20,0),FALSE),"")</f>
        <v>0</v>
      </c>
      <c r="E17" s="2">
        <f t="shared" si="1"/>
        <v>0</v>
      </c>
      <c r="F17" s="2">
        <f t="shared" si="2"/>
        <v>0</v>
      </c>
      <c r="G17" s="2">
        <f t="shared" si="3"/>
        <v>0</v>
      </c>
      <c r="H17" s="2">
        <f t="shared" si="4"/>
        <v>0</v>
      </c>
      <c r="I17" s="2">
        <f t="shared" si="0"/>
        <v>0</v>
      </c>
      <c r="J17">
        <f>IFERROR(VLOOKUP(B17,'General price list'!C:BA,MATCH("CBM",'General price list'!$C$20:$BA$20,0),FALSE)*(G17*C17),0)</f>
        <v>0</v>
      </c>
      <c r="K17" s="6"/>
      <c r="O17" s="6"/>
      <c r="P17" s="6"/>
      <c r="Q17" s="6"/>
      <c r="R17" s="6"/>
      <c r="S17" s="945" t="s">
        <v>8651</v>
      </c>
      <c r="T17" s="946"/>
      <c r="U17" s="85" t="s">
        <v>8650</v>
      </c>
      <c r="V17" s="83" t="s">
        <v>2417</v>
      </c>
      <c r="W17" s="82" t="s">
        <v>8650</v>
      </c>
      <c r="X17" s="84" t="s">
        <v>2417</v>
      </c>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6.5" thickTop="1" thickBot="1">
      <c r="A18" s="6"/>
      <c r="B18" s="90" t="s">
        <v>12353</v>
      </c>
      <c r="C18" s="2">
        <f>IFERROR(VLOOKUP(B18,'General price list'!C:BA,MATCH("PAL",'General price list'!$C$20:$BA$20,0),FALSE),"")</f>
        <v>90</v>
      </c>
      <c r="D18" s="2">
        <f>IFERROR(VLOOKUP(B18,'General price list'!C:BA,MATCH("OBJ",'General price list'!$C$20:$BA$20,0),FALSE),"")</f>
        <v>0</v>
      </c>
      <c r="E18" s="2">
        <f t="shared" si="1"/>
        <v>0</v>
      </c>
      <c r="F18" s="2">
        <f t="shared" si="2"/>
        <v>0</v>
      </c>
      <c r="G18" s="2">
        <f t="shared" si="3"/>
        <v>0</v>
      </c>
      <c r="H18" s="2">
        <f t="shared" si="4"/>
        <v>0</v>
      </c>
      <c r="I18" s="2">
        <f t="shared" si="0"/>
        <v>0</v>
      </c>
      <c r="J18">
        <f>IFERROR(VLOOKUP(B18,'General price list'!C:BA,MATCH("CBM",'General price list'!$C$20:$BA$20,0),FALSE)*(G18*C18),0)</f>
        <v>0</v>
      </c>
      <c r="K18" s="6"/>
      <c r="L18" s="6"/>
      <c r="M18" s="6"/>
      <c r="N18" s="6"/>
      <c r="O18" s="6"/>
      <c r="P18" s="6"/>
      <c r="Q18" s="6"/>
      <c r="R18" s="6"/>
      <c r="S18" s="957" t="str">
        <f>W21</f>
        <v>NA PALETÁCH!!!</v>
      </c>
      <c r="T18" s="958"/>
      <c r="U18" s="115">
        <f>AD5</f>
        <v>5</v>
      </c>
      <c r="V18" s="116" t="str">
        <f>ROUND(IF('General price list'!AC6=1,VLOOKUP(U18,AH25:AM39,3,FALSE),VLOOKUP(U19,AH25:AM39,4,FALSE)),0)&amp;" min"</f>
        <v>1 min</v>
      </c>
      <c r="W18" s="116">
        <f>AF5</f>
        <v>2</v>
      </c>
      <c r="X18" s="117" t="str">
        <f>ROUND(IF('General price list'!AC6=1,VLOOKUP(W18,AH25:AM39,5,FALSE),VLOOKUP(W19,AH25:AM39,6,FALSE)),0)&amp;" min"</f>
        <v>2 min</v>
      </c>
      <c r="Y18" s="6"/>
      <c r="Z18" s="6"/>
      <c r="AA18" s="6"/>
      <c r="AB18" s="6"/>
      <c r="AC18" s="6">
        <v>14</v>
      </c>
      <c r="AD18" s="6"/>
      <c r="AE18" s="6"/>
      <c r="AF18" s="6"/>
      <c r="AG18" s="6"/>
      <c r="AH18" s="6"/>
      <c r="AI18" s="6"/>
      <c r="AJ18" s="6"/>
      <c r="AK18" s="6"/>
      <c r="AL18" s="6"/>
      <c r="AM18" s="6"/>
      <c r="AN18" s="6"/>
      <c r="AO18" s="6"/>
      <c r="AP18" s="6"/>
      <c r="AQ18" s="6"/>
      <c r="AR18" s="6"/>
      <c r="AS18" s="6"/>
      <c r="AT18" s="6"/>
      <c r="AU18" s="6"/>
      <c r="AV18" s="6"/>
      <c r="AW18" s="6"/>
    </row>
    <row r="19" spans="1:49" ht="16.5" thickTop="1" thickBot="1">
      <c r="A19" s="6"/>
      <c r="B19" s="91" t="s">
        <v>81</v>
      </c>
      <c r="C19" s="2">
        <f>IFERROR(VLOOKUP(B19,'General price list'!C:BA,MATCH("PAL",'General price list'!$C$20:$BA$20,0),FALSE),"")</f>
        <v>42</v>
      </c>
      <c r="D19" s="2">
        <f>IFERROR(VLOOKUP(B19,'General price list'!C:BA,MATCH("OBJ",'General price list'!$C$20:$BA$20,0),FALSE),"")</f>
        <v>0</v>
      </c>
      <c r="E19" s="2">
        <f t="shared" si="1"/>
        <v>0</v>
      </c>
      <c r="F19" s="2">
        <f t="shared" si="2"/>
        <v>0</v>
      </c>
      <c r="G19" s="2">
        <f t="shared" si="3"/>
        <v>0</v>
      </c>
      <c r="H19" s="2">
        <f t="shared" si="4"/>
        <v>0</v>
      </c>
      <c r="I19" s="2">
        <f t="shared" si="0"/>
        <v>0</v>
      </c>
      <c r="J19">
        <f>IFERROR(VLOOKUP(B19,'General price list'!C:BA,MATCH("CBM",'General price list'!$C$20:$BA$20,0),FALSE)*(G19*C19),0)</f>
        <v>0</v>
      </c>
      <c r="K19" s="6"/>
      <c r="L19" s="6"/>
      <c r="M19" s="6"/>
      <c r="N19" s="6"/>
      <c r="O19" s="6"/>
      <c r="P19" s="6"/>
      <c r="Q19" s="6"/>
      <c r="R19" s="6"/>
      <c r="S19" s="959" t="s">
        <v>2892</v>
      </c>
      <c r="T19" s="960"/>
      <c r="U19" s="118">
        <f>AD5</f>
        <v>5</v>
      </c>
      <c r="V19" s="119" t="str">
        <f>ROUND(VLOOKUP(U19,AH25:AM39,4,FALSE),0)&amp;" min"</f>
        <v>1 min</v>
      </c>
      <c r="W19" s="119">
        <f>AF5</f>
        <v>2</v>
      </c>
      <c r="X19" s="120" t="str">
        <f>ROUND(VLOOKUP(W19,AH25:AM39,6,FALSE),0)&amp;" min"</f>
        <v>2 min</v>
      </c>
      <c r="Y19" s="6"/>
      <c r="Z19" s="6"/>
      <c r="AA19" s="113"/>
      <c r="AB19" s="113"/>
      <c r="AC19" s="113"/>
      <c r="AD19" s="6"/>
      <c r="AE19" s="6"/>
      <c r="AF19" s="6"/>
      <c r="AG19" s="6"/>
      <c r="AH19" s="6"/>
      <c r="AI19" s="6"/>
      <c r="AJ19" s="6"/>
      <c r="AK19" s="6"/>
      <c r="AL19" s="6"/>
      <c r="AM19" s="6"/>
      <c r="AN19" s="6"/>
      <c r="AO19" s="6"/>
      <c r="AP19" s="6"/>
      <c r="AQ19" s="6"/>
      <c r="AR19" s="6"/>
      <c r="AS19" s="6"/>
      <c r="AT19" s="6"/>
      <c r="AU19" s="6"/>
      <c r="AV19" s="6"/>
      <c r="AW19" s="6"/>
    </row>
    <row r="20" spans="1:49" ht="15.75" thickTop="1">
      <c r="A20" s="6"/>
      <c r="B20" s="92" t="s">
        <v>87</v>
      </c>
      <c r="C20" s="2">
        <f>IFERROR(VLOOKUP(B20,'General price list'!C:BA,MATCH("PAL",'General price list'!$C$20:$BA$20,0),FALSE),"")</f>
        <v>49</v>
      </c>
      <c r="D20" s="2">
        <f>IFERROR(VLOOKUP(B20,'General price list'!C:BA,MATCH("OBJ",'General price list'!$C$20:$BA$20,0),FALSE),"")</f>
        <v>0</v>
      </c>
      <c r="E20" s="2">
        <f t="shared" si="1"/>
        <v>0</v>
      </c>
      <c r="F20" s="2">
        <f t="shared" si="2"/>
        <v>0</v>
      </c>
      <c r="G20" s="2">
        <f t="shared" si="3"/>
        <v>0</v>
      </c>
      <c r="H20" s="2">
        <f t="shared" si="4"/>
        <v>0</v>
      </c>
      <c r="I20" s="2">
        <f t="shared" si="0"/>
        <v>0</v>
      </c>
      <c r="J20">
        <f>IFERROR(VLOOKUP(B20,'General price list'!C:BA,MATCH("CBM",'General price list'!$C$20:$BA$20,0),FALSE)*(G20*C20),0)</f>
        <v>0</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c r="A21" s="6"/>
      <c r="B21" s="93" t="s">
        <v>93</v>
      </c>
      <c r="C21" s="2">
        <f>IFERROR(VLOOKUP(B21,'General price list'!C:BA,MATCH("PAL",'General price list'!$C$20:$BA$20,0),FALSE),"")</f>
        <v>49</v>
      </c>
      <c r="D21" s="2">
        <f>IFERROR(VLOOKUP(B21,'General price list'!C:BA,MATCH("OBJ",'General price list'!$C$20:$BA$20,0),FALSE),"")</f>
        <v>0</v>
      </c>
      <c r="E21" s="2">
        <f t="shared" si="1"/>
        <v>0</v>
      </c>
      <c r="F21" s="2">
        <f t="shared" si="2"/>
        <v>0</v>
      </c>
      <c r="G21" s="2">
        <f t="shared" si="3"/>
        <v>0</v>
      </c>
      <c r="H21" s="2">
        <f t="shared" si="4"/>
        <v>0</v>
      </c>
      <c r="I21" s="2">
        <f t="shared" si="0"/>
        <v>0</v>
      </c>
      <c r="J21">
        <f>IFERROR(VLOOKUP(B21,'General price list'!C:BA,MATCH("CBM",'General price list'!$C$20:$BA$20,0),FALSE)*(G21*C21),0)</f>
        <v>0</v>
      </c>
      <c r="K21" s="6"/>
      <c r="L21" s="6"/>
      <c r="M21" s="6"/>
      <c r="N21" s="6"/>
      <c r="O21" s="963" t="s">
        <v>8666</v>
      </c>
      <c r="P21" s="963"/>
      <c r="Q21" s="963"/>
      <c r="R21" s="963"/>
      <c r="S21" s="963"/>
      <c r="T21" s="963"/>
      <c r="U21" s="963"/>
      <c r="V21" s="963"/>
      <c r="W21" s="964" t="str">
        <f>IF('General price list'!AC6=2,"NA PALETÁCH!!!","NA VOLNO!!")</f>
        <v>NA PALETÁCH!!!</v>
      </c>
      <c r="X21" s="964"/>
      <c r="Y21" s="964"/>
      <c r="Z21" s="964"/>
      <c r="AA21" s="6"/>
      <c r="AB21" s="6"/>
      <c r="AC21" s="6"/>
      <c r="AD21" s="6"/>
      <c r="AE21" s="6"/>
      <c r="AF21" s="6"/>
      <c r="AG21" s="6"/>
      <c r="AH21" s="94" t="s">
        <v>8642</v>
      </c>
      <c r="AI21" s="9">
        <v>1</v>
      </c>
      <c r="AJ21" s="6"/>
      <c r="AK21" s="6"/>
      <c r="AL21" s="6"/>
      <c r="AM21" s="6"/>
      <c r="AN21" s="6"/>
      <c r="AO21" s="6"/>
      <c r="AP21" s="6"/>
      <c r="AQ21" s="6"/>
      <c r="AR21" s="6"/>
      <c r="AS21" s="6"/>
      <c r="AT21" s="6"/>
      <c r="AU21" s="6"/>
      <c r="AV21" s="6"/>
      <c r="AW21" s="6"/>
    </row>
    <row r="22" spans="1:49" ht="15" customHeight="1">
      <c r="A22" s="6"/>
      <c r="B22" s="93" t="s">
        <v>4579</v>
      </c>
      <c r="C22" s="2">
        <f>IFERROR(VLOOKUP(B22,'General price list'!C:BA,MATCH("PAL",'General price list'!$C$20:$BA$20,0),FALSE),"")</f>
        <v>36</v>
      </c>
      <c r="D22" s="2">
        <f>IFERROR(VLOOKUP(B22,'General price list'!C:BA,MATCH("OBJ",'General price list'!$C$20:$BA$20,0),FALSE),"")</f>
        <v>0</v>
      </c>
      <c r="E22" s="2">
        <f t="shared" si="1"/>
        <v>0</v>
      </c>
      <c r="F22" s="2">
        <f t="shared" si="2"/>
        <v>0</v>
      </c>
      <c r="G22" s="2">
        <f t="shared" si="3"/>
        <v>0</v>
      </c>
      <c r="H22" s="2">
        <f t="shared" si="4"/>
        <v>0</v>
      </c>
      <c r="I22" s="2">
        <f t="shared" si="0"/>
        <v>0</v>
      </c>
      <c r="J22">
        <f>IFERROR(VLOOKUP(B22,'General price list'!C:BA,MATCH("CBM",'General price list'!$C$20:$BA$20,0),FALSE)*(G22*C22),0)</f>
        <v>0</v>
      </c>
      <c r="K22" s="6"/>
      <c r="L22" s="6"/>
      <c r="M22" s="6"/>
      <c r="N22" s="6"/>
      <c r="O22" s="963"/>
      <c r="P22" s="963"/>
      <c r="Q22" s="963"/>
      <c r="R22" s="963"/>
      <c r="S22" s="963"/>
      <c r="T22" s="963"/>
      <c r="U22" s="963"/>
      <c r="V22" s="963"/>
      <c r="W22" s="964"/>
      <c r="X22" s="964"/>
      <c r="Y22" s="964"/>
      <c r="Z22" s="964"/>
      <c r="AA22" s="6"/>
      <c r="AB22" s="6"/>
      <c r="AC22" s="6"/>
      <c r="AD22" s="6"/>
      <c r="AE22" s="6"/>
      <c r="AF22" s="6"/>
      <c r="AG22" s="6"/>
      <c r="AH22" s="9">
        <v>1</v>
      </c>
      <c r="AI22" s="9">
        <v>2</v>
      </c>
      <c r="AJ22" s="9">
        <v>3</v>
      </c>
      <c r="AK22" s="9">
        <v>4</v>
      </c>
      <c r="AL22" s="9">
        <v>5</v>
      </c>
      <c r="AM22" s="9">
        <v>6</v>
      </c>
      <c r="AN22" s="6"/>
      <c r="AO22" s="6"/>
      <c r="AP22" s="6"/>
      <c r="AQ22" s="6"/>
      <c r="AR22" s="6"/>
      <c r="AS22" s="6"/>
      <c r="AT22" s="6"/>
      <c r="AU22" s="6"/>
      <c r="AV22" s="6"/>
      <c r="AW22" s="6"/>
    </row>
    <row r="23" spans="1:49" ht="15" customHeight="1">
      <c r="A23" s="6"/>
      <c r="B23" s="90" t="s">
        <v>99</v>
      </c>
      <c r="C23" s="2">
        <f>IFERROR(VLOOKUP(B23,'General price list'!C:BA,MATCH("PAL",'General price list'!$C$20:$BA$20,0),FALSE),"")</f>
        <v>42</v>
      </c>
      <c r="D23" s="2">
        <f>IFERROR(VLOOKUP(B23,'General price list'!C:BA,MATCH("OBJ",'General price list'!$C$20:$BA$20,0),FALSE),"")</f>
        <v>0</v>
      </c>
      <c r="E23" s="2">
        <f t="shared" si="1"/>
        <v>0</v>
      </c>
      <c r="F23" s="2">
        <f t="shared" si="2"/>
        <v>0</v>
      </c>
      <c r="G23" s="2">
        <f t="shared" si="3"/>
        <v>0</v>
      </c>
      <c r="H23" s="2">
        <f t="shared" si="4"/>
        <v>0</v>
      </c>
      <c r="I23" s="2">
        <f t="shared" si="0"/>
        <v>0</v>
      </c>
      <c r="J23">
        <f>IFERROR(VLOOKUP(B23,'General price list'!C:BA,MATCH("CBM",'General price list'!$C$20:$BA$20,0),FALSE)*(G23*C23),0)</f>
        <v>0</v>
      </c>
      <c r="K23" s="6"/>
      <c r="L23" s="6"/>
      <c r="M23" s="6"/>
      <c r="N23" s="6"/>
      <c r="O23" s="6"/>
      <c r="P23" s="6"/>
      <c r="Q23" s="6"/>
      <c r="R23" s="6"/>
      <c r="S23" s="6"/>
      <c r="T23" s="6"/>
      <c r="U23" s="6"/>
      <c r="V23" s="6"/>
      <c r="W23" s="6"/>
      <c r="X23" s="6"/>
      <c r="Y23" s="6"/>
      <c r="Z23" s="6"/>
      <c r="AA23" s="6"/>
      <c r="AB23" s="6"/>
      <c r="AC23" s="6"/>
      <c r="AD23" s="6"/>
      <c r="AE23" s="6"/>
      <c r="AF23" s="6"/>
      <c r="AG23" s="6"/>
      <c r="AH23" s="95" t="s">
        <v>8639</v>
      </c>
      <c r="AI23" s="95" t="s">
        <v>8643</v>
      </c>
      <c r="AJ23" s="961" t="s">
        <v>8644</v>
      </c>
      <c r="AK23" s="962"/>
      <c r="AL23" s="961" t="s">
        <v>8645</v>
      </c>
      <c r="AM23" s="962"/>
      <c r="AN23" s="6"/>
      <c r="AO23" s="6"/>
      <c r="AP23" s="6"/>
      <c r="AQ23" s="6"/>
      <c r="AR23" s="6"/>
      <c r="AS23" s="6"/>
      <c r="AT23" s="6"/>
      <c r="AU23" s="6"/>
      <c r="AV23" s="6"/>
      <c r="AW23" s="6"/>
    </row>
    <row r="24" spans="1:49" ht="15.75" thickBot="1">
      <c r="A24" s="6"/>
      <c r="B24" s="91" t="s">
        <v>104</v>
      </c>
      <c r="C24" s="2">
        <f>IFERROR(VLOOKUP(B24,'General price list'!C:BA,MATCH("PAL",'General price list'!$C$20:$BA$20,0),FALSE),"")</f>
        <v>42</v>
      </c>
      <c r="D24" s="2">
        <f>IFERROR(VLOOKUP(B24,'General price list'!C:BA,MATCH("OBJ",'General price list'!$C$20:$BA$20,0),FALSE),"")</f>
        <v>0</v>
      </c>
      <c r="E24" s="2">
        <f t="shared" si="1"/>
        <v>0</v>
      </c>
      <c r="F24" s="2">
        <f t="shared" si="2"/>
        <v>0</v>
      </c>
      <c r="G24" s="2">
        <f t="shared" si="3"/>
        <v>0</v>
      </c>
      <c r="H24" s="2">
        <f t="shared" si="4"/>
        <v>0</v>
      </c>
      <c r="I24" s="2">
        <f t="shared" si="0"/>
        <v>0</v>
      </c>
      <c r="J24">
        <f>IFERROR(VLOOKUP(B24,'General price list'!C:BA,MATCH("CBM",'General price list'!$C$20:$BA$20,0),FALSE)*(G24*C24),0)</f>
        <v>0</v>
      </c>
      <c r="K24" s="6"/>
      <c r="L24" s="6"/>
      <c r="M24" s="6"/>
      <c r="N24" s="6"/>
      <c r="O24" s="6"/>
      <c r="P24" s="6"/>
      <c r="Q24" s="6"/>
      <c r="R24" s="6"/>
      <c r="S24" s="6"/>
      <c r="T24" s="978" t="str">
        <f>"Uvést skutečný počet palet! Odhad je "&amp;Q4&amp;" palet."</f>
        <v>Uvést skutečný počet palet! Odhad je 0 palet.</v>
      </c>
      <c r="U24" s="978"/>
      <c r="V24" s="978"/>
      <c r="W24" s="978"/>
      <c r="X24" s="978"/>
      <c r="Y24" s="6"/>
      <c r="Z24" s="6"/>
      <c r="AA24" s="6"/>
      <c r="AB24" s="6"/>
      <c r="AC24" s="6"/>
      <c r="AD24" s="6"/>
      <c r="AE24" s="6"/>
      <c r="AF24" s="6"/>
      <c r="AG24" s="6"/>
      <c r="AH24" s="96" t="s">
        <v>8646</v>
      </c>
      <c r="AI24" s="96" t="s">
        <v>8647</v>
      </c>
      <c r="AJ24" s="96" t="s">
        <v>3140</v>
      </c>
      <c r="AK24" s="96" t="s">
        <v>8648</v>
      </c>
      <c r="AL24" s="96" t="s">
        <v>3140</v>
      </c>
      <c r="AM24" s="96" t="s">
        <v>8649</v>
      </c>
      <c r="AN24" s="6"/>
      <c r="AO24" s="6"/>
      <c r="AP24" s="6"/>
      <c r="AQ24" s="6"/>
      <c r="AR24" s="6"/>
      <c r="AS24" s="6"/>
      <c r="AT24" s="6"/>
      <c r="AU24" s="6"/>
      <c r="AV24" s="6"/>
      <c r="AW24" s="6"/>
    </row>
    <row r="25" spans="1:49">
      <c r="A25" s="6"/>
      <c r="B25" s="91" t="s">
        <v>3229</v>
      </c>
      <c r="C25" s="2">
        <f>IFERROR(VLOOKUP(B25,'General price list'!C:BA,MATCH("PAL",'General price list'!$C$20:$BA$20,0),FALSE),"")</f>
        <v>56</v>
      </c>
      <c r="D25" s="2">
        <f>IFERROR(VLOOKUP(B25,'General price list'!C:BA,MATCH("OBJ",'General price list'!$C$20:$BA$20,0),FALSE),"")</f>
        <v>0</v>
      </c>
      <c r="E25" s="2">
        <f t="shared" si="1"/>
        <v>0</v>
      </c>
      <c r="F25" s="2">
        <f t="shared" si="2"/>
        <v>0</v>
      </c>
      <c r="G25" s="2">
        <f t="shared" si="3"/>
        <v>0</v>
      </c>
      <c r="H25" s="2">
        <f t="shared" si="4"/>
        <v>0</v>
      </c>
      <c r="I25" s="2">
        <f t="shared" si="0"/>
        <v>0</v>
      </c>
      <c r="J25">
        <f>IFERROR(VLOOKUP(B25,'General price list'!C:BA,MATCH("CBM",'General price list'!$C$20:$BA$20,0),FALSE)*(G25*C25),0)</f>
        <v>0</v>
      </c>
      <c r="K25" s="6"/>
      <c r="L25" s="6"/>
      <c r="M25" s="6"/>
      <c r="N25" s="6"/>
      <c r="O25" s="6"/>
      <c r="P25" s="6"/>
      <c r="Q25" s="6"/>
      <c r="R25" s="6"/>
      <c r="S25" s="6"/>
      <c r="T25" s="969"/>
      <c r="U25" s="970"/>
      <c r="V25" s="970"/>
      <c r="W25" s="970"/>
      <c r="X25" s="971"/>
      <c r="Y25" s="6"/>
      <c r="Z25" s="6"/>
      <c r="AA25" s="6"/>
      <c r="AB25" s="6"/>
      <c r="AC25" s="6"/>
      <c r="AD25" s="6"/>
      <c r="AE25" s="6"/>
      <c r="AF25" s="6"/>
      <c r="AG25" s="6"/>
      <c r="AH25" s="97">
        <v>1</v>
      </c>
      <c r="AI25" s="97">
        <v>1</v>
      </c>
      <c r="AJ25" s="97">
        <f>V12</f>
        <v>5</v>
      </c>
      <c r="AK25" s="97">
        <f>V13</f>
        <v>5</v>
      </c>
      <c r="AL25" s="97">
        <f t="shared" ref="AL25:AL39" si="5">((($W$12-300)/AI25)+300)/60</f>
        <v>0.33333333333333331</v>
      </c>
      <c r="AM25" s="97">
        <f t="shared" ref="AM25:AM39" si="6">($W$13/AI25)/60</f>
        <v>3</v>
      </c>
      <c r="AN25" s="6"/>
      <c r="AO25" s="6"/>
      <c r="AP25" s="6"/>
      <c r="AQ25" s="6"/>
      <c r="AR25" s="6"/>
      <c r="AS25" s="6"/>
      <c r="AT25" s="6"/>
      <c r="AU25" s="6"/>
      <c r="AV25" s="6"/>
      <c r="AW25" s="6"/>
    </row>
    <row r="26" spans="1:49">
      <c r="A26" s="6"/>
      <c r="B26" s="91" t="s">
        <v>105</v>
      </c>
      <c r="C26" s="2" t="str">
        <f>IFERROR(VLOOKUP(B26,'General price list'!C:BA,MATCH("PAL",'General price list'!$C$20:$BA$20,0),FALSE),"")</f>
        <v>144</v>
      </c>
      <c r="D26" s="2">
        <f>IFERROR(VLOOKUP(B26,'General price list'!C:BA,MATCH("OBJ",'General price list'!$C$20:$BA$20,0),FALSE),"")</f>
        <v>0</v>
      </c>
      <c r="E26" s="2">
        <f t="shared" si="1"/>
        <v>0</v>
      </c>
      <c r="F26" s="2">
        <f t="shared" si="2"/>
        <v>0</v>
      </c>
      <c r="G26" s="2">
        <f t="shared" si="3"/>
        <v>0</v>
      </c>
      <c r="H26" s="2">
        <f t="shared" si="4"/>
        <v>0</v>
      </c>
      <c r="I26" s="2">
        <f t="shared" si="0"/>
        <v>0</v>
      </c>
      <c r="J26">
        <f>IFERROR(VLOOKUP(B26,'General price list'!C:BA,MATCH("CBM",'General price list'!$C$20:$BA$20,0),FALSE)*(G26*C26),0)</f>
        <v>0</v>
      </c>
      <c r="K26" s="6"/>
      <c r="L26" s="6"/>
      <c r="M26" s="6"/>
      <c r="N26" s="6"/>
      <c r="O26" s="6"/>
      <c r="P26" s="6"/>
      <c r="Q26" s="6"/>
      <c r="R26" s="6"/>
      <c r="S26" s="6"/>
      <c r="T26" s="972"/>
      <c r="U26" s="973"/>
      <c r="V26" s="973"/>
      <c r="W26" s="973"/>
      <c r="X26" s="974"/>
      <c r="Y26" s="6"/>
      <c r="Z26" s="6"/>
      <c r="AA26" s="6"/>
      <c r="AB26" s="6"/>
      <c r="AC26" s="6"/>
      <c r="AD26" s="6"/>
      <c r="AE26" s="6"/>
      <c r="AF26" s="6"/>
      <c r="AG26" s="6"/>
      <c r="AH26" s="98">
        <v>2</v>
      </c>
      <c r="AI26" s="98">
        <f t="shared" ref="AI26:AI39" si="7">AH26*$AI$21</f>
        <v>2</v>
      </c>
      <c r="AJ26" s="98">
        <f t="shared" ref="AJ26:AJ39" si="8">AJ$25/AI26</f>
        <v>2.5</v>
      </c>
      <c r="AK26" s="98">
        <f t="shared" ref="AK26:AK39" si="9">AK$25/AI26</f>
        <v>2.5</v>
      </c>
      <c r="AL26" s="98">
        <f t="shared" si="5"/>
        <v>2.6666666666666665</v>
      </c>
      <c r="AM26" s="98">
        <f t="shared" si="6"/>
        <v>1.5</v>
      </c>
      <c r="AN26" s="6"/>
      <c r="AO26" s="6"/>
      <c r="AP26" s="6"/>
      <c r="AQ26" s="6"/>
      <c r="AR26" s="6"/>
      <c r="AS26" s="6"/>
      <c r="AT26" s="6"/>
      <c r="AU26" s="6"/>
      <c r="AV26" s="6"/>
      <c r="AW26" s="6"/>
    </row>
    <row r="27" spans="1:49" ht="15.75" thickBot="1">
      <c r="A27" s="6"/>
      <c r="B27" s="90" t="s">
        <v>11916</v>
      </c>
      <c r="C27" s="2">
        <f>IFERROR(VLOOKUP(B27,'General price list'!C:BA,MATCH("PAL",'General price list'!$C$20:$BA$20,0),FALSE),"")</f>
        <v>42</v>
      </c>
      <c r="D27" s="2">
        <f>IFERROR(VLOOKUP(B27,'General price list'!C:BA,MATCH("OBJ",'General price list'!$C$20:$BA$20,0),FALSE),"")</f>
        <v>0</v>
      </c>
      <c r="E27" s="2">
        <f t="shared" si="1"/>
        <v>0</v>
      </c>
      <c r="F27" s="2">
        <f t="shared" si="2"/>
        <v>0</v>
      </c>
      <c r="G27" s="2">
        <f t="shared" si="3"/>
        <v>0</v>
      </c>
      <c r="H27" s="2">
        <f t="shared" si="4"/>
        <v>0</v>
      </c>
      <c r="I27" s="2">
        <f t="shared" si="0"/>
        <v>0</v>
      </c>
      <c r="J27">
        <f>IFERROR(VLOOKUP(B27,'General price list'!C:BA,MATCH("CBM",'General price list'!$C$20:$BA$20,0),FALSE)*(G27*C27),0)</f>
        <v>0</v>
      </c>
      <c r="K27" s="6"/>
      <c r="L27" s="6"/>
      <c r="M27" s="6"/>
      <c r="N27" s="6"/>
      <c r="O27" s="6"/>
      <c r="P27" s="6"/>
      <c r="Q27" s="6"/>
      <c r="R27" s="6"/>
      <c r="S27" s="6"/>
      <c r="T27" s="975"/>
      <c r="U27" s="976"/>
      <c r="V27" s="976"/>
      <c r="W27" s="976"/>
      <c r="X27" s="977"/>
      <c r="Y27" s="6"/>
      <c r="Z27" s="6"/>
      <c r="AA27" s="6"/>
      <c r="AB27" s="6"/>
      <c r="AC27" s="6"/>
      <c r="AD27" s="6"/>
      <c r="AE27" s="6"/>
      <c r="AF27" s="6"/>
      <c r="AG27" s="6"/>
      <c r="AH27" s="97">
        <v>3</v>
      </c>
      <c r="AI27" s="97">
        <f t="shared" si="7"/>
        <v>3</v>
      </c>
      <c r="AJ27" s="97">
        <f t="shared" si="8"/>
        <v>1.6666666666666667</v>
      </c>
      <c r="AK27" s="97">
        <f t="shared" si="9"/>
        <v>1.6666666666666667</v>
      </c>
      <c r="AL27" s="97">
        <f t="shared" si="5"/>
        <v>3.4444444444444446</v>
      </c>
      <c r="AM27" s="97">
        <f t="shared" si="6"/>
        <v>1</v>
      </c>
      <c r="AN27" s="6"/>
      <c r="AO27" s="6"/>
      <c r="AP27" s="6"/>
      <c r="AQ27" s="6"/>
      <c r="AR27" s="6"/>
      <c r="AS27" s="6"/>
      <c r="AT27" s="6"/>
      <c r="AU27" s="6"/>
      <c r="AV27" s="6"/>
      <c r="AW27" s="6"/>
    </row>
    <row r="28" spans="1:49">
      <c r="A28" s="6"/>
      <c r="B28" s="90" t="s">
        <v>116</v>
      </c>
      <c r="C28" s="2" t="str">
        <f>IFERROR(VLOOKUP(B28,'General price list'!C:BA,MATCH("PAL",'General price list'!$C$20:$BA$20,0),FALSE),"")</f>
        <v>40</v>
      </c>
      <c r="D28" s="2">
        <f>IFERROR(VLOOKUP(B28,'General price list'!C:BA,MATCH("OBJ",'General price list'!$C$20:$BA$20,0),FALSE),"")</f>
        <v>0</v>
      </c>
      <c r="E28" s="2">
        <f t="shared" si="1"/>
        <v>0</v>
      </c>
      <c r="F28" s="2">
        <f t="shared" si="2"/>
        <v>0</v>
      </c>
      <c r="G28" s="2">
        <f t="shared" si="3"/>
        <v>0</v>
      </c>
      <c r="H28" s="2">
        <f t="shared" si="4"/>
        <v>0</v>
      </c>
      <c r="I28" s="2">
        <f t="shared" si="0"/>
        <v>0</v>
      </c>
      <c r="J28">
        <f>IFERROR(VLOOKUP(B28,'General price list'!C:BA,MATCH("CBM",'General price list'!$C$20:$BA$20,0),FALSE)*(G28*C28),0)</f>
        <v>0</v>
      </c>
      <c r="K28" s="6"/>
      <c r="L28" s="6"/>
      <c r="M28" s="6"/>
      <c r="N28" s="6"/>
      <c r="O28" s="6"/>
      <c r="P28" s="6"/>
      <c r="Q28" s="6"/>
      <c r="R28" s="6"/>
      <c r="S28" s="6"/>
      <c r="T28" s="6"/>
      <c r="U28" s="6"/>
      <c r="V28" s="6"/>
      <c r="W28" s="6"/>
      <c r="X28" s="6"/>
      <c r="Y28" s="6"/>
      <c r="Z28" s="6"/>
      <c r="AA28" s="6"/>
      <c r="AB28" s="6"/>
      <c r="AC28" s="6"/>
      <c r="AD28" s="6"/>
      <c r="AE28" s="6"/>
      <c r="AF28" s="6"/>
      <c r="AG28" s="6"/>
      <c r="AH28" s="98">
        <v>4</v>
      </c>
      <c r="AI28" s="98">
        <f t="shared" si="7"/>
        <v>4</v>
      </c>
      <c r="AJ28" s="98">
        <f t="shared" si="8"/>
        <v>1.25</v>
      </c>
      <c r="AK28" s="98">
        <f t="shared" si="9"/>
        <v>1.25</v>
      </c>
      <c r="AL28" s="98">
        <f t="shared" si="5"/>
        <v>3.8333333333333335</v>
      </c>
      <c r="AM28" s="98">
        <f t="shared" si="6"/>
        <v>0.75</v>
      </c>
      <c r="AN28" s="6"/>
      <c r="AO28" s="6"/>
      <c r="AP28" s="6"/>
      <c r="AQ28" s="6"/>
      <c r="AR28" s="6"/>
      <c r="AS28" s="6"/>
      <c r="AT28" s="6"/>
      <c r="AU28" s="6"/>
      <c r="AV28" s="6"/>
      <c r="AW28" s="6"/>
    </row>
    <row r="29" spans="1:49">
      <c r="A29" s="6"/>
      <c r="B29" s="90" t="s">
        <v>11999</v>
      </c>
      <c r="C29" s="2">
        <f>IFERROR(VLOOKUP(B29,'General price list'!C:BA,MATCH("PAL",'General price list'!$C$20:$BA$20,0),FALSE),"")</f>
        <v>48</v>
      </c>
      <c r="D29" s="2">
        <f>IFERROR(VLOOKUP(B29,'General price list'!C:BA,MATCH("OBJ",'General price list'!$C$20:$BA$20,0),FALSE),"")</f>
        <v>0</v>
      </c>
      <c r="E29" s="2">
        <f t="shared" si="1"/>
        <v>0</v>
      </c>
      <c r="F29" s="2">
        <f t="shared" si="2"/>
        <v>0</v>
      </c>
      <c r="G29" s="2">
        <f t="shared" si="3"/>
        <v>0</v>
      </c>
      <c r="H29" s="2">
        <f t="shared" si="4"/>
        <v>0</v>
      </c>
      <c r="I29" s="2">
        <f t="shared" si="0"/>
        <v>0</v>
      </c>
      <c r="J29">
        <f>IFERROR(VLOOKUP(B29,'General price list'!C:BA,MATCH("CBM",'General price list'!$C$20:$BA$20,0),FALSE)*(G29*C29),0)</f>
        <v>0</v>
      </c>
      <c r="K29" s="6"/>
      <c r="L29" s="6"/>
      <c r="M29" s="6"/>
      <c r="N29" s="6"/>
      <c r="R29" s="6"/>
      <c r="S29" s="6"/>
      <c r="T29" s="6"/>
      <c r="U29" s="6"/>
      <c r="V29" s="6"/>
      <c r="W29" s="6"/>
      <c r="X29" s="6"/>
      <c r="Y29" s="6"/>
      <c r="Z29" s="6"/>
      <c r="AA29" s="6"/>
      <c r="AB29" s="6"/>
      <c r="AC29" s="6"/>
      <c r="AD29" s="6"/>
      <c r="AE29" s="6"/>
      <c r="AF29" s="6"/>
      <c r="AG29" s="6"/>
      <c r="AH29" s="97">
        <v>5</v>
      </c>
      <c r="AI29" s="97">
        <f t="shared" si="7"/>
        <v>5</v>
      </c>
      <c r="AJ29" s="97">
        <f t="shared" si="8"/>
        <v>1</v>
      </c>
      <c r="AK29" s="97">
        <f t="shared" si="9"/>
        <v>1</v>
      </c>
      <c r="AL29" s="97">
        <f t="shared" si="5"/>
        <v>4.0666666666666664</v>
      </c>
      <c r="AM29" s="97">
        <f t="shared" si="6"/>
        <v>0.6</v>
      </c>
      <c r="AN29" s="6"/>
      <c r="AO29" s="6"/>
      <c r="AP29" s="6"/>
      <c r="AQ29" s="6"/>
      <c r="AR29" s="6"/>
      <c r="AS29" s="6"/>
      <c r="AT29" s="6"/>
      <c r="AU29" s="6"/>
      <c r="AV29" s="6"/>
      <c r="AW29" s="6"/>
    </row>
    <row r="30" spans="1:49">
      <c r="A30" s="6"/>
      <c r="B30" s="90" t="s">
        <v>118</v>
      </c>
      <c r="C30" s="2">
        <f>IFERROR(VLOOKUP(B30,'General price list'!C:BA,MATCH("PAL",'General price list'!$C$20:$BA$20,0),FALSE),"")</f>
        <v>45</v>
      </c>
      <c r="D30" s="2">
        <f>IFERROR(VLOOKUP(B30,'General price list'!C:BA,MATCH("OBJ",'General price list'!$C$20:$BA$20,0),FALSE),"")</f>
        <v>0</v>
      </c>
      <c r="E30" s="2">
        <f t="shared" si="1"/>
        <v>0</v>
      </c>
      <c r="F30" s="2">
        <f t="shared" si="2"/>
        <v>0</v>
      </c>
      <c r="G30" s="2">
        <f t="shared" si="3"/>
        <v>0</v>
      </c>
      <c r="H30" s="2">
        <f t="shared" si="4"/>
        <v>0</v>
      </c>
      <c r="I30" s="2">
        <f t="shared" si="0"/>
        <v>0</v>
      </c>
      <c r="J30">
        <f>IFERROR(VLOOKUP(B30,'General price list'!C:BA,MATCH("CBM",'General price list'!$C$20:$BA$20,0),FALSE)*(G30*C30),0)</f>
        <v>0</v>
      </c>
      <c r="K30" s="6"/>
      <c r="L30" s="6"/>
      <c r="M30" s="6"/>
      <c r="N30" s="6"/>
      <c r="R30" s="6"/>
      <c r="S30" s="6"/>
      <c r="T30" s="6"/>
      <c r="U30" s="6"/>
      <c r="V30" s="6"/>
      <c r="W30" s="6"/>
      <c r="X30" s="6"/>
      <c r="Y30" s="6"/>
      <c r="Z30" s="6"/>
      <c r="AA30" s="6"/>
      <c r="AB30" s="6"/>
      <c r="AC30" s="6"/>
      <c r="AD30" s="6"/>
      <c r="AE30" s="6"/>
      <c r="AF30" s="6"/>
      <c r="AG30" s="6"/>
      <c r="AH30" s="98">
        <v>6</v>
      </c>
      <c r="AI30" s="98">
        <f t="shared" si="7"/>
        <v>6</v>
      </c>
      <c r="AJ30" s="98">
        <f t="shared" si="8"/>
        <v>0.83333333333333337</v>
      </c>
      <c r="AK30" s="98">
        <f t="shared" si="9"/>
        <v>0.83333333333333337</v>
      </c>
      <c r="AL30" s="98">
        <f t="shared" si="5"/>
        <v>4.2222222222222223</v>
      </c>
      <c r="AM30" s="98">
        <f t="shared" si="6"/>
        <v>0.5</v>
      </c>
      <c r="AN30" s="6"/>
      <c r="AO30" s="6"/>
      <c r="AP30" s="6"/>
      <c r="AQ30" s="6"/>
      <c r="AR30" s="6"/>
      <c r="AS30" s="6"/>
      <c r="AT30" s="6"/>
      <c r="AU30" s="6"/>
      <c r="AV30" s="6"/>
      <c r="AW30" s="6"/>
    </row>
    <row r="31" spans="1:49">
      <c r="A31" s="6"/>
      <c r="B31" s="90" t="s">
        <v>124</v>
      </c>
      <c r="C31" s="2">
        <f>IFERROR(VLOOKUP(B31,'General price list'!C:BA,MATCH("PAL",'General price list'!$C$20:$BA$20,0),FALSE),"")</f>
        <v>45</v>
      </c>
      <c r="D31" s="2">
        <f>IFERROR(VLOOKUP(B31,'General price list'!C:BA,MATCH("OBJ",'General price list'!$C$20:$BA$20,0),FALSE),"")</f>
        <v>0</v>
      </c>
      <c r="E31" s="2">
        <f t="shared" si="1"/>
        <v>0</v>
      </c>
      <c r="F31" s="2">
        <f t="shared" si="2"/>
        <v>0</v>
      </c>
      <c r="G31" s="2">
        <f t="shared" si="3"/>
        <v>0</v>
      </c>
      <c r="H31" s="2">
        <f t="shared" si="4"/>
        <v>0</v>
      </c>
      <c r="I31" s="2">
        <f t="shared" si="0"/>
        <v>0</v>
      </c>
      <c r="J31">
        <f>IFERROR(VLOOKUP(B31,'General price list'!C:BA,MATCH("CBM",'General price list'!$C$20:$BA$20,0),FALSE)*(G31*C31),0)</f>
        <v>0</v>
      </c>
      <c r="K31" s="6"/>
      <c r="L31" s="6"/>
      <c r="M31" s="6"/>
      <c r="N31" s="6"/>
      <c r="O31" s="6"/>
      <c r="P31" s="6"/>
      <c r="Q31" s="6"/>
      <c r="R31" s="6"/>
      <c r="S31" s="6"/>
      <c r="T31" s="6"/>
      <c r="U31" s="6"/>
      <c r="V31" s="6"/>
      <c r="W31" s="6"/>
      <c r="X31" s="6"/>
      <c r="Y31" s="6"/>
      <c r="Z31" s="6"/>
      <c r="AA31" s="6"/>
      <c r="AB31" s="6"/>
      <c r="AC31" s="6"/>
      <c r="AD31" s="6"/>
      <c r="AE31" s="6"/>
      <c r="AF31" s="6"/>
      <c r="AG31" s="6"/>
      <c r="AH31" s="97">
        <v>7</v>
      </c>
      <c r="AI31" s="97">
        <f t="shared" si="7"/>
        <v>7</v>
      </c>
      <c r="AJ31" s="97">
        <f t="shared" si="8"/>
        <v>0.7142857142857143</v>
      </c>
      <c r="AK31" s="97">
        <f t="shared" si="9"/>
        <v>0.7142857142857143</v>
      </c>
      <c r="AL31" s="97">
        <f t="shared" si="5"/>
        <v>4.333333333333333</v>
      </c>
      <c r="AM31" s="97">
        <f t="shared" si="6"/>
        <v>0.4285714285714286</v>
      </c>
      <c r="AN31" s="6"/>
      <c r="AO31" s="6"/>
      <c r="AP31" s="6"/>
      <c r="AQ31" s="6"/>
      <c r="AR31" s="6"/>
      <c r="AS31" s="6"/>
      <c r="AT31" s="6"/>
      <c r="AU31" s="6"/>
      <c r="AV31" s="6"/>
      <c r="AW31" s="6"/>
    </row>
    <row r="32" spans="1:49">
      <c r="A32" s="6"/>
      <c r="B32" s="90" t="s">
        <v>2480</v>
      </c>
      <c r="C32" s="2">
        <f>IFERROR(VLOOKUP(B32,'General price list'!C:BA,MATCH("PAL",'General price list'!$C$20:$BA$20,0),FALSE),"")</f>
        <v>75</v>
      </c>
      <c r="D32" s="2">
        <f>IFERROR(VLOOKUP(B32,'General price list'!C:BA,MATCH("OBJ",'General price list'!$C$20:$BA$20,0),FALSE),"")</f>
        <v>0</v>
      </c>
      <c r="E32" s="2">
        <f t="shared" si="1"/>
        <v>0</v>
      </c>
      <c r="F32" s="2">
        <f t="shared" si="2"/>
        <v>0</v>
      </c>
      <c r="G32" s="2">
        <f t="shared" si="3"/>
        <v>0</v>
      </c>
      <c r="H32" s="2">
        <f t="shared" si="4"/>
        <v>0</v>
      </c>
      <c r="I32" s="2">
        <f t="shared" si="0"/>
        <v>0</v>
      </c>
      <c r="J32">
        <f>IFERROR(VLOOKUP(B32,'General price list'!C:BA,MATCH("CBM",'General price list'!$C$20:$BA$20,0),FALSE)*(G32*C32),0)</f>
        <v>0</v>
      </c>
      <c r="K32" s="6"/>
      <c r="L32" s="6"/>
      <c r="M32" s="6"/>
      <c r="N32" s="6"/>
      <c r="O32" s="6"/>
      <c r="P32" s="6"/>
      <c r="Q32" s="6"/>
      <c r="R32" s="6"/>
      <c r="S32" s="6"/>
      <c r="T32" s="6"/>
      <c r="U32" s="6"/>
      <c r="V32" s="6"/>
      <c r="W32" s="6"/>
      <c r="X32" s="6"/>
      <c r="Y32" s="6"/>
      <c r="Z32" s="6"/>
      <c r="AA32" s="6"/>
      <c r="AB32" s="6"/>
      <c r="AC32" s="6"/>
      <c r="AD32" s="6"/>
      <c r="AE32" s="6"/>
      <c r="AF32" s="6"/>
      <c r="AG32" s="6"/>
      <c r="AH32" s="98">
        <v>8</v>
      </c>
      <c r="AI32" s="98">
        <f t="shared" si="7"/>
        <v>8</v>
      </c>
      <c r="AJ32" s="98">
        <f t="shared" si="8"/>
        <v>0.625</v>
      </c>
      <c r="AK32" s="98">
        <f t="shared" si="9"/>
        <v>0.625</v>
      </c>
      <c r="AL32" s="98">
        <f t="shared" si="5"/>
        <v>4.416666666666667</v>
      </c>
      <c r="AM32" s="98">
        <f t="shared" si="6"/>
        <v>0.375</v>
      </c>
      <c r="AN32" s="6"/>
      <c r="AO32" s="6"/>
      <c r="AP32" s="6"/>
      <c r="AQ32" s="6"/>
      <c r="AR32" s="6"/>
      <c r="AS32" s="6"/>
      <c r="AT32" s="6"/>
      <c r="AU32" s="6"/>
      <c r="AV32" s="6"/>
      <c r="AW32" s="6"/>
    </row>
    <row r="33" spans="1:49">
      <c r="A33" s="6"/>
      <c r="B33" s="90" t="s">
        <v>12354</v>
      </c>
      <c r="C33" s="2">
        <f>IFERROR(VLOOKUP(B33,'General price list'!C:BA,MATCH("PAL",'General price list'!$C$20:$BA$20,0),FALSE),"")</f>
        <v>78</v>
      </c>
      <c r="D33" s="2">
        <f>IFERROR(VLOOKUP(B33,'General price list'!C:BA,MATCH("OBJ",'General price list'!$C$20:$BA$20,0),FALSE),"")</f>
        <v>0</v>
      </c>
      <c r="E33" s="2">
        <f t="shared" si="1"/>
        <v>0</v>
      </c>
      <c r="F33" s="2">
        <f t="shared" si="2"/>
        <v>0</v>
      </c>
      <c r="G33" s="2">
        <f t="shared" si="3"/>
        <v>0</v>
      </c>
      <c r="H33" s="2">
        <f t="shared" si="4"/>
        <v>0</v>
      </c>
      <c r="I33" s="2">
        <f t="shared" si="0"/>
        <v>0</v>
      </c>
      <c r="J33">
        <f>IFERROR(VLOOKUP(B33,'General price list'!C:BA,MATCH("CBM",'General price list'!$C$20:$BA$20,0),FALSE)*(G33*C33),0)</f>
        <v>0</v>
      </c>
      <c r="K33" s="6"/>
      <c r="L33" s="6"/>
      <c r="M33" s="6"/>
      <c r="N33" s="6"/>
      <c r="O33" s="6"/>
      <c r="P33" s="6"/>
      <c r="Q33" s="6"/>
      <c r="R33" s="6"/>
      <c r="S33" s="6"/>
      <c r="T33" s="6"/>
      <c r="U33" s="6"/>
      <c r="V33" s="6"/>
      <c r="W33" s="6"/>
      <c r="X33" s="6"/>
      <c r="Y33" s="6"/>
      <c r="Z33" s="6"/>
      <c r="AA33" s="6"/>
      <c r="AB33" s="6"/>
      <c r="AC33" s="6"/>
      <c r="AD33" s="6"/>
      <c r="AE33" s="6"/>
      <c r="AF33" s="6"/>
      <c r="AG33" s="6"/>
      <c r="AH33" s="97">
        <v>9</v>
      </c>
      <c r="AI33" s="97">
        <f t="shared" si="7"/>
        <v>9</v>
      </c>
      <c r="AJ33" s="97">
        <f t="shared" si="8"/>
        <v>0.55555555555555558</v>
      </c>
      <c r="AK33" s="97">
        <f t="shared" si="9"/>
        <v>0.55555555555555558</v>
      </c>
      <c r="AL33" s="97">
        <f t="shared" si="5"/>
        <v>4.4814814814814818</v>
      </c>
      <c r="AM33" s="97">
        <f t="shared" si="6"/>
        <v>0.33333333333333331</v>
      </c>
      <c r="AN33" s="6"/>
      <c r="AO33" s="6"/>
      <c r="AP33" s="6"/>
      <c r="AQ33" s="6"/>
      <c r="AR33" s="6"/>
      <c r="AS33" s="6"/>
      <c r="AT33" s="6"/>
      <c r="AU33" s="6"/>
      <c r="AV33" s="6"/>
      <c r="AW33" s="6"/>
    </row>
    <row r="34" spans="1:49">
      <c r="A34" s="6"/>
      <c r="B34" s="90" t="s">
        <v>129</v>
      </c>
      <c r="C34" s="2">
        <f>IFERROR(VLOOKUP(B34,'General price list'!C:BA,MATCH("PAL",'General price list'!$C$20:$BA$20,0),FALSE),"")</f>
        <v>63</v>
      </c>
      <c r="D34" s="2">
        <f>IFERROR(VLOOKUP(B34,'General price list'!C:BA,MATCH("OBJ",'General price list'!$C$20:$BA$20,0),FALSE),"")</f>
        <v>0</v>
      </c>
      <c r="E34" s="2">
        <f t="shared" si="1"/>
        <v>0</v>
      </c>
      <c r="F34" s="2">
        <f t="shared" si="2"/>
        <v>0</v>
      </c>
      <c r="G34" s="2">
        <f t="shared" si="3"/>
        <v>0</v>
      </c>
      <c r="H34" s="2">
        <f t="shared" si="4"/>
        <v>0</v>
      </c>
      <c r="I34" s="2">
        <f t="shared" si="0"/>
        <v>0</v>
      </c>
      <c r="J34">
        <f>IFERROR(VLOOKUP(B34,'General price list'!C:BA,MATCH("CBM",'General price list'!$C$20:$BA$20,0),FALSE)*(G34*C34),0)</f>
        <v>0</v>
      </c>
      <c r="K34" s="6"/>
      <c r="L34" s="6"/>
      <c r="M34" s="6"/>
      <c r="N34" s="6"/>
      <c r="O34" s="6"/>
      <c r="P34" s="6"/>
      <c r="Q34" s="6"/>
      <c r="R34" s="6"/>
      <c r="S34" s="6"/>
      <c r="T34" s="6"/>
      <c r="U34" s="6"/>
      <c r="V34" s="6"/>
      <c r="W34" s="6"/>
      <c r="X34" s="6"/>
      <c r="Y34" s="6"/>
      <c r="Z34" s="6"/>
      <c r="AA34" s="6"/>
      <c r="AB34" s="6"/>
      <c r="AC34" s="6"/>
      <c r="AD34" s="6"/>
      <c r="AE34" s="6"/>
      <c r="AF34" s="6"/>
      <c r="AG34" s="6"/>
      <c r="AH34" s="98">
        <v>10</v>
      </c>
      <c r="AI34" s="98">
        <f t="shared" si="7"/>
        <v>10</v>
      </c>
      <c r="AJ34" s="98">
        <f t="shared" si="8"/>
        <v>0.5</v>
      </c>
      <c r="AK34" s="98">
        <f t="shared" si="9"/>
        <v>0.5</v>
      </c>
      <c r="AL34" s="98">
        <f t="shared" si="5"/>
        <v>4.5333333333333332</v>
      </c>
      <c r="AM34" s="98">
        <f t="shared" si="6"/>
        <v>0.3</v>
      </c>
      <c r="AN34" s="6"/>
      <c r="AO34" s="6"/>
      <c r="AP34" s="6"/>
      <c r="AQ34" s="6"/>
      <c r="AR34" s="6"/>
      <c r="AS34" s="6"/>
      <c r="AT34" s="6"/>
      <c r="AU34" s="6"/>
      <c r="AV34" s="6"/>
      <c r="AW34" s="6"/>
    </row>
    <row r="35" spans="1:49">
      <c r="A35" s="6"/>
      <c r="B35" s="90" t="s">
        <v>132</v>
      </c>
      <c r="C35" s="2">
        <f>IFERROR(VLOOKUP(B35,'General price list'!C:BA,MATCH("PAL",'General price list'!$C$20:$BA$20,0),FALSE),"")</f>
        <v>63</v>
      </c>
      <c r="D35" s="2">
        <f>IFERROR(VLOOKUP(B35,'General price list'!C:BA,MATCH("OBJ",'General price list'!$C$20:$BA$20,0),FALSE),"")</f>
        <v>0</v>
      </c>
      <c r="E35" s="2">
        <f t="shared" si="1"/>
        <v>0</v>
      </c>
      <c r="F35" s="2">
        <f t="shared" si="2"/>
        <v>0</v>
      </c>
      <c r="G35" s="2">
        <f t="shared" si="3"/>
        <v>0</v>
      </c>
      <c r="H35" s="2">
        <f t="shared" si="4"/>
        <v>0</v>
      </c>
      <c r="I35" s="2">
        <f t="shared" si="0"/>
        <v>0</v>
      </c>
      <c r="J35">
        <f>IFERROR(VLOOKUP(B35,'General price list'!C:BA,MATCH("CBM",'General price list'!$C$20:$BA$20,0),FALSE)*(G35*C35),0)</f>
        <v>0</v>
      </c>
      <c r="K35" s="6"/>
      <c r="L35" s="6"/>
      <c r="M35" s="6"/>
      <c r="N35" s="6"/>
      <c r="O35" s="6"/>
      <c r="P35" s="6"/>
      <c r="Q35" s="6"/>
      <c r="R35" s="6"/>
      <c r="S35" s="6"/>
      <c r="T35" s="6"/>
      <c r="U35" s="6"/>
      <c r="V35" s="6"/>
      <c r="W35" s="6"/>
      <c r="X35" s="6"/>
      <c r="Y35" s="6"/>
      <c r="Z35" s="6"/>
      <c r="AA35" s="6"/>
      <c r="AB35" s="6"/>
      <c r="AC35" s="6"/>
      <c r="AD35" s="6"/>
      <c r="AE35" s="6"/>
      <c r="AF35" s="6"/>
      <c r="AG35" s="6"/>
      <c r="AH35" s="97">
        <v>11</v>
      </c>
      <c r="AI35" s="97">
        <f t="shared" si="7"/>
        <v>11</v>
      </c>
      <c r="AJ35" s="97">
        <f t="shared" si="8"/>
        <v>0.45454545454545453</v>
      </c>
      <c r="AK35" s="97">
        <f t="shared" si="9"/>
        <v>0.45454545454545453</v>
      </c>
      <c r="AL35" s="97">
        <f t="shared" si="5"/>
        <v>4.5757575757575761</v>
      </c>
      <c r="AM35" s="97">
        <f t="shared" si="6"/>
        <v>0.27272727272727271</v>
      </c>
      <c r="AN35" s="6"/>
      <c r="AO35" s="6"/>
      <c r="AP35" s="6"/>
      <c r="AQ35" s="6"/>
      <c r="AR35" s="6"/>
      <c r="AS35" s="6"/>
      <c r="AT35" s="6"/>
      <c r="AU35" s="6"/>
      <c r="AV35" s="6"/>
      <c r="AW35" s="6"/>
    </row>
    <row r="36" spans="1:49" ht="15.75" thickBot="1">
      <c r="A36" s="6"/>
      <c r="B36" s="93" t="s">
        <v>133</v>
      </c>
      <c r="C36" s="2">
        <f>IFERROR(VLOOKUP(B36,'General price list'!C:BA,MATCH("PAL",'General price list'!$C$20:$BA$20,0),FALSE),"")</f>
        <v>36</v>
      </c>
      <c r="D36" s="2">
        <f>IFERROR(VLOOKUP(B36,'General price list'!C:BA,MATCH("OBJ",'General price list'!$C$20:$BA$20,0),FALSE),"")</f>
        <v>0</v>
      </c>
      <c r="E36" s="2">
        <f t="shared" si="1"/>
        <v>0</v>
      </c>
      <c r="F36" s="2">
        <f t="shared" si="2"/>
        <v>0</v>
      </c>
      <c r="G36" s="2">
        <f t="shared" si="3"/>
        <v>0</v>
      </c>
      <c r="H36" s="2">
        <f t="shared" si="4"/>
        <v>0</v>
      </c>
      <c r="I36" s="2">
        <f t="shared" si="0"/>
        <v>0</v>
      </c>
      <c r="J36">
        <f>IFERROR(VLOOKUP(B36,'General price list'!C:BA,MATCH("CBM",'General price list'!$C$20:$BA$20,0),FALSE)*(G36*C36),0)</f>
        <v>0</v>
      </c>
      <c r="K36" s="6"/>
      <c r="L36" s="6"/>
      <c r="M36" s="6"/>
      <c r="N36" s="6"/>
      <c r="O36" s="6"/>
      <c r="P36" s="6"/>
      <c r="Q36" s="6"/>
      <c r="R36" s="6"/>
      <c r="S36" s="6"/>
      <c r="T36" s="6"/>
      <c r="U36" s="6"/>
      <c r="V36" s="6"/>
      <c r="W36" s="6"/>
      <c r="X36" s="6"/>
      <c r="Y36" s="6"/>
      <c r="Z36" s="6"/>
      <c r="AA36" s="6"/>
      <c r="AB36" s="6"/>
      <c r="AC36" s="6"/>
      <c r="AD36" s="6"/>
      <c r="AE36" s="6"/>
      <c r="AF36" s="6"/>
      <c r="AG36" s="6"/>
      <c r="AH36" s="98">
        <v>12</v>
      </c>
      <c r="AI36" s="98">
        <f t="shared" si="7"/>
        <v>12</v>
      </c>
      <c r="AJ36" s="98">
        <f t="shared" si="8"/>
        <v>0.41666666666666669</v>
      </c>
      <c r="AK36" s="98">
        <f t="shared" si="9"/>
        <v>0.41666666666666669</v>
      </c>
      <c r="AL36" s="98">
        <f t="shared" si="5"/>
        <v>4.6111111111111116</v>
      </c>
      <c r="AM36" s="98">
        <f t="shared" si="6"/>
        <v>0.25</v>
      </c>
      <c r="AN36" s="6"/>
      <c r="AO36" s="6"/>
      <c r="AP36" s="6"/>
      <c r="AQ36" s="6"/>
      <c r="AR36" s="6"/>
      <c r="AS36" s="6"/>
      <c r="AT36" s="6"/>
      <c r="AU36" s="6"/>
      <c r="AV36" s="6"/>
      <c r="AW36" s="6"/>
    </row>
    <row r="37" spans="1:49" ht="16.5" thickTop="1" thickBot="1">
      <c r="A37" s="6"/>
      <c r="B37" s="93" t="s">
        <v>135</v>
      </c>
      <c r="C37" s="2">
        <f>IFERROR(VLOOKUP(B37,'General price list'!C:BA,MATCH("PAL",'General price list'!$C$20:$BA$20,0),FALSE),"")</f>
        <v>36</v>
      </c>
      <c r="D37" s="2">
        <f>IFERROR(VLOOKUP(B37,'General price list'!C:BA,MATCH("OBJ",'General price list'!$C$20:$BA$20,0),FALSE),"")</f>
        <v>0</v>
      </c>
      <c r="E37" s="2">
        <f t="shared" si="1"/>
        <v>0</v>
      </c>
      <c r="F37" s="2">
        <f t="shared" si="2"/>
        <v>0</v>
      </c>
      <c r="G37" s="2">
        <f t="shared" si="3"/>
        <v>0</v>
      </c>
      <c r="H37" s="2">
        <f t="shared" si="4"/>
        <v>0</v>
      </c>
      <c r="I37" s="2">
        <f t="shared" si="0"/>
        <v>0</v>
      </c>
      <c r="J37">
        <f>IFERROR(VLOOKUP(B37,'General price list'!C:BA,MATCH("CBM",'General price list'!$C$20:$BA$20,0),FALSE)*(G37*C37),0)</f>
        <v>0</v>
      </c>
      <c r="K37" s="6"/>
      <c r="L37" s="6"/>
      <c r="M37" s="6"/>
      <c r="N37" s="6"/>
      <c r="O37" s="6"/>
      <c r="P37" s="6"/>
      <c r="Q37" s="6"/>
      <c r="R37" s="6"/>
      <c r="S37" s="6"/>
      <c r="T37" s="6"/>
      <c r="U37" s="6"/>
      <c r="V37" s="6"/>
      <c r="W37" s="6"/>
      <c r="X37" s="6"/>
      <c r="Y37" s="6"/>
      <c r="Z37" s="6"/>
      <c r="AA37" s="6"/>
      <c r="AB37" s="6"/>
      <c r="AC37" s="6"/>
      <c r="AD37" s="6"/>
      <c r="AE37" s="6"/>
      <c r="AF37" s="6"/>
      <c r="AG37" s="6"/>
      <c r="AH37" s="97">
        <v>13</v>
      </c>
      <c r="AI37" s="97">
        <f t="shared" si="7"/>
        <v>13</v>
      </c>
      <c r="AJ37" s="97">
        <f t="shared" si="8"/>
        <v>0.38461538461538464</v>
      </c>
      <c r="AK37" s="97">
        <f t="shared" si="9"/>
        <v>0.38461538461538464</v>
      </c>
      <c r="AL37" s="97">
        <f t="shared" si="5"/>
        <v>4.6410256410256405</v>
      </c>
      <c r="AM37" s="97">
        <f t="shared" si="6"/>
        <v>0.23076923076923078</v>
      </c>
      <c r="AN37" s="6"/>
      <c r="AO37" s="6"/>
      <c r="AP37" s="952" t="s">
        <v>8638</v>
      </c>
      <c r="AQ37" s="953"/>
      <c r="AR37" s="99" t="s">
        <v>8639</v>
      </c>
      <c r="AS37" s="99" t="s">
        <v>2417</v>
      </c>
      <c r="AT37" s="99" t="s">
        <v>8639</v>
      </c>
      <c r="AU37" s="89" t="s">
        <v>2417</v>
      </c>
      <c r="AV37" s="6"/>
      <c r="AW37" s="6"/>
    </row>
    <row r="38" spans="1:49" ht="15.75" thickTop="1">
      <c r="A38" s="6"/>
      <c r="B38" s="93" t="s">
        <v>3275</v>
      </c>
      <c r="C38" s="2">
        <f>IFERROR(VLOOKUP(B38,'General price list'!C:BA,MATCH("PAL",'General price list'!$C$20:$BA$20,0),FALSE),"")</f>
        <v>80</v>
      </c>
      <c r="D38" s="2">
        <f>IFERROR(VLOOKUP(B38,'General price list'!C:BA,MATCH("OBJ",'General price list'!$C$20:$BA$20,0),FALSE),"")</f>
        <v>0</v>
      </c>
      <c r="E38" s="2">
        <f t="shared" si="1"/>
        <v>0</v>
      </c>
      <c r="F38" s="2">
        <f t="shared" si="2"/>
        <v>0</v>
      </c>
      <c r="G38" s="2">
        <f t="shared" si="3"/>
        <v>0</v>
      </c>
      <c r="H38" s="2">
        <f t="shared" si="4"/>
        <v>0</v>
      </c>
      <c r="I38" s="2">
        <f t="shared" si="0"/>
        <v>0</v>
      </c>
      <c r="J38">
        <f>IFERROR(VLOOKUP(B38,'General price list'!C:BA,MATCH("CBM",'General price list'!$C$20:$BA$20,0),FALSE)*(G38*C38),0)</f>
        <v>0</v>
      </c>
      <c r="K38" s="6"/>
      <c r="L38" s="6"/>
      <c r="M38" s="6"/>
      <c r="N38" s="6"/>
      <c r="O38" s="6"/>
      <c r="P38" s="6"/>
      <c r="Q38" s="6"/>
      <c r="R38" s="6"/>
      <c r="S38" s="6"/>
      <c r="T38" s="6"/>
      <c r="U38" s="6"/>
      <c r="V38" s="6"/>
      <c r="W38" s="6"/>
      <c r="X38" s="6"/>
      <c r="Y38" s="6"/>
      <c r="Z38" s="6"/>
      <c r="AA38" s="6"/>
      <c r="AB38" s="6"/>
      <c r="AC38" s="6"/>
      <c r="AD38" s="6"/>
      <c r="AE38" s="6"/>
      <c r="AF38" s="6"/>
      <c r="AG38" s="6"/>
      <c r="AH38" s="98">
        <v>14</v>
      </c>
      <c r="AI38" s="98">
        <f t="shared" si="7"/>
        <v>14</v>
      </c>
      <c r="AJ38" s="98">
        <f t="shared" si="8"/>
        <v>0.35714285714285715</v>
      </c>
      <c r="AK38" s="98">
        <f t="shared" si="9"/>
        <v>0.35714285714285715</v>
      </c>
      <c r="AL38" s="98">
        <f t="shared" si="5"/>
        <v>4.666666666666667</v>
      </c>
      <c r="AM38" s="98">
        <f t="shared" si="6"/>
        <v>0.2142857142857143</v>
      </c>
      <c r="AN38" s="6"/>
      <c r="AO38" s="6"/>
      <c r="AP38" s="965" t="s">
        <v>8640</v>
      </c>
      <c r="AQ38" s="966"/>
      <c r="AR38" s="78">
        <f>ROUND(U12/$AA$5,0)</f>
        <v>0</v>
      </c>
      <c r="AS38" s="103" t="e">
        <f>ROUND(VLOOKUP(AR38,AH25:AM39,3,FALSE),0)&amp;" min"</f>
        <v>#N/A</v>
      </c>
      <c r="AT38" s="78">
        <f>ROUND(W12/$AB$5,0)</f>
        <v>0</v>
      </c>
      <c r="AU38" s="79" t="str">
        <f>IFERROR(ROUND(VLOOKUP(AT38,AH25:AM39,5,FALSE),0)&amp;" min","???")</f>
        <v>???</v>
      </c>
      <c r="AV38" s="6"/>
      <c r="AW38" s="6"/>
    </row>
    <row r="39" spans="1:49" ht="15.75" thickBot="1">
      <c r="A39" s="6"/>
      <c r="B39" s="90" t="s">
        <v>11310</v>
      </c>
      <c r="C39" s="2">
        <f>IFERROR(VLOOKUP(B39,'General price list'!C:BA,MATCH("PAL",'General price list'!$C$20:$BA$20,0),FALSE),"")</f>
        <v>80</v>
      </c>
      <c r="D39" s="2">
        <f>IFERROR(VLOOKUP(B39,'General price list'!C:BA,MATCH("OBJ",'General price list'!$C$20:$BA$20,0),FALSE),"")</f>
        <v>0</v>
      </c>
      <c r="E39" s="2">
        <f t="shared" si="1"/>
        <v>0</v>
      </c>
      <c r="F39" s="2">
        <f t="shared" si="2"/>
        <v>0</v>
      </c>
      <c r="G39" s="2">
        <f t="shared" si="3"/>
        <v>0</v>
      </c>
      <c r="H39" s="2">
        <f t="shared" si="4"/>
        <v>0</v>
      </c>
      <c r="I39" s="2">
        <f t="shared" si="0"/>
        <v>0</v>
      </c>
      <c r="J39">
        <f>IFERROR(VLOOKUP(B39,'General price list'!C:BA,MATCH("CBM",'General price list'!$C$20:$BA$20,0),FALSE)*(G39*C39),0)</f>
        <v>0</v>
      </c>
      <c r="K39" s="6"/>
      <c r="L39" s="6"/>
      <c r="M39" s="6"/>
      <c r="N39" s="6"/>
      <c r="O39" s="6"/>
      <c r="P39" s="6"/>
      <c r="Q39" s="6"/>
      <c r="R39" s="6"/>
      <c r="S39" s="6"/>
      <c r="T39" s="6"/>
      <c r="U39" s="6"/>
      <c r="V39" s="6"/>
      <c r="W39" s="6"/>
      <c r="X39" s="6"/>
      <c r="Y39" s="6"/>
      <c r="Z39" s="6"/>
      <c r="AA39" s="6"/>
      <c r="AB39" s="6"/>
      <c r="AC39" s="6"/>
      <c r="AD39" s="6"/>
      <c r="AE39" s="6"/>
      <c r="AF39" s="6"/>
      <c r="AG39" s="6"/>
      <c r="AH39" s="97">
        <v>15</v>
      </c>
      <c r="AI39" s="97">
        <f t="shared" si="7"/>
        <v>15</v>
      </c>
      <c r="AJ39" s="97">
        <f t="shared" si="8"/>
        <v>0.33333333333333331</v>
      </c>
      <c r="AK39" s="97">
        <f t="shared" si="9"/>
        <v>0.33333333333333331</v>
      </c>
      <c r="AL39" s="97">
        <f t="shared" si="5"/>
        <v>4.6888888888888882</v>
      </c>
      <c r="AM39" s="97">
        <f t="shared" si="6"/>
        <v>0.2</v>
      </c>
      <c r="AN39" s="6"/>
      <c r="AO39" s="6"/>
      <c r="AP39" s="967" t="s">
        <v>2380</v>
      </c>
      <c r="AQ39" s="968"/>
      <c r="AR39" s="80">
        <f>ROUND(U13/$AA$5,0)</f>
        <v>0</v>
      </c>
      <c r="AS39" s="104" t="e">
        <f>ROUND(VLOOKUP(AR39,AH25:AM39,4,FALSE),0)&amp;" min"</f>
        <v>#N/A</v>
      </c>
      <c r="AT39" s="80">
        <f>ROUND(W13/$AB$5,0)</f>
        <v>0</v>
      </c>
      <c r="AU39" s="81" t="e">
        <f>ROUND(VLOOKUP(AT39,AH25:AM39,6,FALSE),0)&amp;" min"</f>
        <v>#N/A</v>
      </c>
      <c r="AV39" s="6"/>
      <c r="AW39" s="6"/>
    </row>
    <row r="40" spans="1:49" ht="15.75" thickTop="1">
      <c r="A40" s="6"/>
      <c r="B40" s="91" t="s">
        <v>75</v>
      </c>
      <c r="C40" s="2">
        <f>IFERROR(VLOOKUP(B40,'General price list'!C:BA,MATCH("PAL",'General price list'!$C$20:$BA$20,0),FALSE),"")</f>
        <v>80</v>
      </c>
      <c r="D40" s="2">
        <f>IFERROR(VLOOKUP(B40,'General price list'!C:BA,MATCH("OBJ",'General price list'!$C$20:$BA$20,0),FALSE),"")</f>
        <v>0</v>
      </c>
      <c r="E40" s="2">
        <f t="shared" si="1"/>
        <v>0</v>
      </c>
      <c r="F40" s="2">
        <f t="shared" si="2"/>
        <v>0</v>
      </c>
      <c r="G40" s="2">
        <f t="shared" si="3"/>
        <v>0</v>
      </c>
      <c r="H40" s="2">
        <f t="shared" si="4"/>
        <v>0</v>
      </c>
      <c r="I40" s="2">
        <f t="shared" si="0"/>
        <v>0</v>
      </c>
      <c r="J40">
        <f>IFERROR(VLOOKUP(B40,'General price list'!C:BA,MATCH("CBM",'General price list'!$C$20:$BA$20,0),FALSE)*(G40*C40),0)</f>
        <v>0</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1:49">
      <c r="A41" s="6"/>
      <c r="B41" s="91" t="s">
        <v>70</v>
      </c>
      <c r="C41" s="2">
        <f>IFERROR(VLOOKUP(B41,'General price list'!C:BA,MATCH("PAL",'General price list'!$C$20:$BA$20,0),FALSE),"")</f>
        <v>24</v>
      </c>
      <c r="D41" s="2">
        <f>IFERROR(VLOOKUP(B41,'General price list'!C:BA,MATCH("OBJ",'General price list'!$C$20:$BA$20,0),FALSE),"")</f>
        <v>0</v>
      </c>
      <c r="E41" s="2">
        <f t="shared" si="1"/>
        <v>0</v>
      </c>
      <c r="F41" s="2">
        <f t="shared" si="2"/>
        <v>0</v>
      </c>
      <c r="G41" s="2">
        <f t="shared" si="3"/>
        <v>0</v>
      </c>
      <c r="H41" s="2">
        <f t="shared" si="4"/>
        <v>0</v>
      </c>
      <c r="I41" s="2">
        <f t="shared" si="0"/>
        <v>0</v>
      </c>
      <c r="J41">
        <f>IFERROR(VLOOKUP(B41,'General price list'!C:BA,MATCH("CBM",'General price list'!$C$20:$BA$20,0),FALSE)*(G41*C41),0)</f>
        <v>0</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1:49">
      <c r="A42" s="6"/>
      <c r="B42" s="91" t="s">
        <v>64</v>
      </c>
      <c r="C42" s="2">
        <f>IFERROR(VLOOKUP(B42,'General price list'!C:BA,MATCH("PAL",'General price list'!$C$20:$BA$20,0),FALSE),"")</f>
        <v>42</v>
      </c>
      <c r="D42" s="2">
        <f>IFERROR(VLOOKUP(B42,'General price list'!C:BA,MATCH("OBJ",'General price list'!$C$20:$BA$20,0),FALSE),"")</f>
        <v>0</v>
      </c>
      <c r="E42" s="2">
        <f t="shared" si="1"/>
        <v>0</v>
      </c>
      <c r="F42" s="2">
        <f t="shared" si="2"/>
        <v>0</v>
      </c>
      <c r="G42" s="2">
        <f t="shared" si="3"/>
        <v>0</v>
      </c>
      <c r="H42" s="2">
        <f t="shared" si="4"/>
        <v>0</v>
      </c>
      <c r="I42" s="2">
        <f t="shared" si="0"/>
        <v>0</v>
      </c>
      <c r="J42">
        <f>IFERROR(VLOOKUP(B42,'General price list'!C:BA,MATCH("CBM",'General price list'!$C$20:$BA$20,0),FALSE)*(G42*C42),0)</f>
        <v>0</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1:49">
      <c r="A43" s="6"/>
      <c r="B43" s="90" t="s">
        <v>58</v>
      </c>
      <c r="C43" s="2">
        <f>IFERROR(VLOOKUP(B43,'General price list'!C:BA,MATCH("PAL",'General price list'!$C$20:$BA$20,0),FALSE),"")</f>
        <v>40</v>
      </c>
      <c r="D43" s="2">
        <f>IFERROR(VLOOKUP(B43,'General price list'!C:BA,MATCH("OBJ",'General price list'!$C$20:$BA$20,0),FALSE),"")</f>
        <v>0</v>
      </c>
      <c r="E43" s="2">
        <f t="shared" si="1"/>
        <v>0</v>
      </c>
      <c r="F43" s="2">
        <f t="shared" si="2"/>
        <v>0</v>
      </c>
      <c r="G43" s="2">
        <f t="shared" si="3"/>
        <v>0</v>
      </c>
      <c r="H43" s="2">
        <f t="shared" si="4"/>
        <v>0</v>
      </c>
      <c r="I43" s="2">
        <f t="shared" si="0"/>
        <v>0</v>
      </c>
      <c r="J43">
        <f>IFERROR(VLOOKUP(B43,'General price list'!C:BA,MATCH("CBM",'General price list'!$C$20:$BA$20,0),FALSE)*(G43*C43),0)</f>
        <v>0</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1:49">
      <c r="A44" s="6"/>
      <c r="B44" s="90" t="s">
        <v>52</v>
      </c>
      <c r="C44" s="2" t="str">
        <f>IFERROR(VLOOKUP(B44,'General price list'!C:BA,MATCH("PAL",'General price list'!$C$20:$BA$20,0),FALSE),"")</f>
        <v>40</v>
      </c>
      <c r="D44" s="2">
        <f>IFERROR(VLOOKUP(B44,'General price list'!C:BA,MATCH("OBJ",'General price list'!$C$20:$BA$20,0),FALSE),"")</f>
        <v>0</v>
      </c>
      <c r="E44" s="2">
        <f t="shared" si="1"/>
        <v>0</v>
      </c>
      <c r="F44" s="2">
        <f t="shared" si="2"/>
        <v>0</v>
      </c>
      <c r="G44" s="2">
        <f t="shared" si="3"/>
        <v>0</v>
      </c>
      <c r="H44" s="2">
        <f t="shared" si="4"/>
        <v>0</v>
      </c>
      <c r="I44" s="2">
        <f t="shared" si="0"/>
        <v>0</v>
      </c>
      <c r="J44">
        <f>IFERROR(VLOOKUP(B44,'General price list'!C:BA,MATCH("CBM",'General price list'!$C$20:$BA$20,0),FALSE)*(G44*C44),0)</f>
        <v>0</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1:49">
      <c r="A45" s="6"/>
      <c r="B45" s="93" t="s">
        <v>2472</v>
      </c>
      <c r="C45" s="2">
        <f>IFERROR(VLOOKUP(B45,'General price list'!C:BA,MATCH("PAL",'General price list'!$C$20:$BA$20,0),FALSE),"")</f>
        <v>24</v>
      </c>
      <c r="D45" s="2">
        <f>IFERROR(VLOOKUP(B45,'General price list'!C:BA,MATCH("OBJ",'General price list'!$C$20:$BA$20,0),FALSE),"")</f>
        <v>0</v>
      </c>
      <c r="E45" s="2">
        <f t="shared" si="1"/>
        <v>0</v>
      </c>
      <c r="F45" s="2">
        <f t="shared" si="2"/>
        <v>0</v>
      </c>
      <c r="G45" s="2">
        <f t="shared" si="3"/>
        <v>0</v>
      </c>
      <c r="H45" s="2">
        <f t="shared" si="4"/>
        <v>0</v>
      </c>
      <c r="I45" s="2">
        <f t="shared" si="0"/>
        <v>0</v>
      </c>
      <c r="J45">
        <f>IFERROR(VLOOKUP(B45,'General price list'!C:BA,MATCH("CBM",'General price list'!$C$20:$BA$20,0),FALSE)*(G45*C45),0)</f>
        <v>0</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1:49">
      <c r="A46" s="6"/>
      <c r="B46" s="90" t="s">
        <v>2474</v>
      </c>
      <c r="C46" s="2">
        <f>IFERROR(VLOOKUP(B46,'General price list'!C:BA,MATCH("PAL",'General price list'!$C$20:$BA$20,0),FALSE),"")</f>
        <v>24</v>
      </c>
      <c r="D46" s="2">
        <f>IFERROR(VLOOKUP(B46,'General price list'!C:BA,MATCH("OBJ",'General price list'!$C$20:$BA$20,0),FALSE),"")</f>
        <v>0</v>
      </c>
      <c r="E46" s="2">
        <f t="shared" si="1"/>
        <v>0</v>
      </c>
      <c r="F46" s="2">
        <f t="shared" si="2"/>
        <v>0</v>
      </c>
      <c r="G46" s="2">
        <f t="shared" si="3"/>
        <v>0</v>
      </c>
      <c r="H46" s="2">
        <f t="shared" si="4"/>
        <v>0</v>
      </c>
      <c r="I46" s="2">
        <f t="shared" si="0"/>
        <v>0</v>
      </c>
      <c r="J46">
        <f>IFERROR(VLOOKUP(B46,'General price list'!C:BA,MATCH("CBM",'General price list'!$C$20:$BA$20,0),FALSE)*(G46*C46),0)</f>
        <v>0</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1:49">
      <c r="A47" s="6"/>
      <c r="B47" s="90" t="s">
        <v>2476</v>
      </c>
      <c r="C47" s="2">
        <f>IFERROR(VLOOKUP(B47,'General price list'!C:BA,MATCH("PAL",'General price list'!$C$20:$BA$20,0),FALSE),"")</f>
        <v>30</v>
      </c>
      <c r="D47" s="2">
        <f>IFERROR(VLOOKUP(B47,'General price list'!C:BA,MATCH("OBJ",'General price list'!$C$20:$BA$20,0),FALSE),"")</f>
        <v>0</v>
      </c>
      <c r="E47" s="2">
        <f t="shared" si="1"/>
        <v>0</v>
      </c>
      <c r="F47" s="2">
        <f t="shared" si="2"/>
        <v>0</v>
      </c>
      <c r="G47" s="2">
        <f t="shared" si="3"/>
        <v>0</v>
      </c>
      <c r="H47" s="2">
        <f t="shared" si="4"/>
        <v>0</v>
      </c>
      <c r="I47" s="2">
        <f t="shared" si="0"/>
        <v>0</v>
      </c>
      <c r="J47">
        <f>IFERROR(VLOOKUP(B47,'General price list'!C:BA,MATCH("CBM",'General price list'!$C$20:$BA$20,0),FALSE)*(G47*C47),0)</f>
        <v>0</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1:49">
      <c r="A48" s="6"/>
      <c r="B48" s="90" t="s">
        <v>3335</v>
      </c>
      <c r="C48" s="2">
        <f>IFERROR(VLOOKUP(B48,'General price list'!C:BA,MATCH("PAL",'General price list'!$C$20:$BA$20,0),FALSE),"")</f>
        <v>14</v>
      </c>
      <c r="D48" s="2">
        <f>IFERROR(VLOOKUP(B48,'General price list'!C:BA,MATCH("OBJ",'General price list'!$C$20:$BA$20,0),FALSE),"")</f>
        <v>0</v>
      </c>
      <c r="E48" s="2">
        <f t="shared" si="1"/>
        <v>0</v>
      </c>
      <c r="F48" s="2">
        <f t="shared" si="2"/>
        <v>0</v>
      </c>
      <c r="G48" s="2">
        <f t="shared" si="3"/>
        <v>0</v>
      </c>
      <c r="H48" s="2">
        <f t="shared" si="4"/>
        <v>0</v>
      </c>
      <c r="I48" s="2">
        <f t="shared" si="0"/>
        <v>0</v>
      </c>
      <c r="J48">
        <f>IFERROR(VLOOKUP(B48,'General price list'!C:BA,MATCH("CBM",'General price list'!$C$20:$BA$20,0),FALSE)*(G48*C48),0)</f>
        <v>0</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1:49">
      <c r="A49" s="6"/>
      <c r="B49" s="91" t="s">
        <v>12724</v>
      </c>
      <c r="C49" s="2">
        <f>IFERROR(VLOOKUP(B49,'General price list'!C:BA,MATCH("PAL",'General price list'!$C$20:$BA$20,0),FALSE),"")</f>
        <v>16</v>
      </c>
      <c r="D49" s="2">
        <f>IFERROR(VLOOKUP(B49,'General price list'!C:BA,MATCH("OBJ",'General price list'!$C$20:$BA$20,0),FALSE),"")</f>
        <v>0</v>
      </c>
      <c r="E49" s="2">
        <f t="shared" si="1"/>
        <v>0</v>
      </c>
      <c r="F49" s="2">
        <f t="shared" si="2"/>
        <v>0</v>
      </c>
      <c r="G49" s="2">
        <f t="shared" si="3"/>
        <v>0</v>
      </c>
      <c r="H49" s="2">
        <f t="shared" si="4"/>
        <v>0</v>
      </c>
      <c r="I49" s="2">
        <f t="shared" si="0"/>
        <v>0</v>
      </c>
      <c r="J49">
        <f>IFERROR(VLOOKUP(B49,'General price list'!C:BA,MATCH("CBM",'General price list'!$C$20:$BA$20,0),FALSE)*(G49*C49),0)</f>
        <v>0</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1:49">
      <c r="A50" s="6"/>
      <c r="B50" s="90" t="s">
        <v>139</v>
      </c>
      <c r="C50" s="2">
        <f>IFERROR(VLOOKUP(B50,'General price list'!C:BA,MATCH("PAL",'General price list'!$C$20:$BA$20,0),FALSE),"")</f>
        <v>25</v>
      </c>
      <c r="D50" s="2">
        <f>IFERROR(VLOOKUP(B50,'General price list'!C:BA,MATCH("OBJ",'General price list'!$C$20:$BA$20,0),FALSE),"")</f>
        <v>0</v>
      </c>
      <c r="E50" s="2">
        <f t="shared" si="1"/>
        <v>0</v>
      </c>
      <c r="F50" s="2">
        <f t="shared" si="2"/>
        <v>0</v>
      </c>
      <c r="G50" s="2">
        <f t="shared" si="3"/>
        <v>0</v>
      </c>
      <c r="H50" s="2">
        <f t="shared" si="4"/>
        <v>0</v>
      </c>
      <c r="I50" s="2">
        <f t="shared" si="0"/>
        <v>0</v>
      </c>
      <c r="J50">
        <f>IFERROR(VLOOKUP(B50,'General price list'!C:BA,MATCH("CBM",'General price list'!$C$20:$BA$20,0),FALSE)*(G50*C50),0)</f>
        <v>0</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1:49">
      <c r="A51" s="6"/>
      <c r="B51" s="90" t="s">
        <v>3351</v>
      </c>
      <c r="C51" s="2">
        <f>IFERROR(VLOOKUP(B51,'General price list'!C:BA,MATCH("PAL",'General price list'!$C$20:$BA$20,0),FALSE),"")</f>
        <v>8</v>
      </c>
      <c r="D51" s="2">
        <f>IFERROR(VLOOKUP(B51,'General price list'!C:BA,MATCH("OBJ",'General price list'!$C$20:$BA$20,0),FALSE),"")</f>
        <v>0</v>
      </c>
      <c r="E51" s="2">
        <f t="shared" si="1"/>
        <v>0</v>
      </c>
      <c r="F51" s="2">
        <f t="shared" si="2"/>
        <v>0</v>
      </c>
      <c r="G51" s="2">
        <f t="shared" si="3"/>
        <v>0</v>
      </c>
      <c r="H51" s="2">
        <f t="shared" si="4"/>
        <v>0</v>
      </c>
      <c r="I51" s="2">
        <f t="shared" si="0"/>
        <v>0</v>
      </c>
      <c r="J51">
        <f>IFERROR(VLOOKUP(B51,'General price list'!C:BA,MATCH("CBM",'General price list'!$C$20:$BA$20,0),FALSE)*(G51*C51),0)</f>
        <v>0</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1:49">
      <c r="A52" s="6"/>
      <c r="B52" s="90" t="s">
        <v>144</v>
      </c>
      <c r="C52" s="2" t="str">
        <f>IFERROR(VLOOKUP(B52,'General price list'!C:BA,MATCH("PAL",'General price list'!$C$20:$BA$20,0),FALSE),"")</f>
        <v>16</v>
      </c>
      <c r="D52" s="2">
        <f>IFERROR(VLOOKUP(B52,'General price list'!C:BA,MATCH("OBJ",'General price list'!$C$20:$BA$20,0),FALSE),"")</f>
        <v>0</v>
      </c>
      <c r="E52" s="2">
        <f t="shared" si="1"/>
        <v>0</v>
      </c>
      <c r="F52" s="2">
        <f t="shared" si="2"/>
        <v>0</v>
      </c>
      <c r="G52" s="2">
        <f t="shared" si="3"/>
        <v>0</v>
      </c>
      <c r="H52" s="2">
        <f t="shared" si="4"/>
        <v>0</v>
      </c>
      <c r="I52" s="2">
        <f t="shared" si="0"/>
        <v>0</v>
      </c>
      <c r="J52">
        <f>IFERROR(VLOOKUP(B52,'General price list'!C:BA,MATCH("CBM",'General price list'!$C$20:$BA$20,0),FALSE)*(G52*C52),0)</f>
        <v>0</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1:49">
      <c r="A53" s="6"/>
      <c r="B53" s="90" t="s">
        <v>2482</v>
      </c>
      <c r="C53" s="2" t="str">
        <f>IFERROR(VLOOKUP(B53,'General price list'!C:BA,MATCH("PAL",'General price list'!$C$20:$BA$20,0),FALSE),"")</f>
        <v>28</v>
      </c>
      <c r="D53" s="2">
        <f>IFERROR(VLOOKUP(B53,'General price list'!C:BA,MATCH("OBJ",'General price list'!$C$20:$BA$20,0),FALSE),"")</f>
        <v>0</v>
      </c>
      <c r="E53" s="2">
        <f t="shared" si="1"/>
        <v>0</v>
      </c>
      <c r="F53" s="2">
        <f t="shared" si="2"/>
        <v>0</v>
      </c>
      <c r="G53" s="2">
        <f t="shared" si="3"/>
        <v>0</v>
      </c>
      <c r="H53" s="2">
        <f t="shared" si="4"/>
        <v>0</v>
      </c>
      <c r="I53" s="2">
        <f t="shared" si="0"/>
        <v>0</v>
      </c>
      <c r="J53">
        <f>IFERROR(VLOOKUP(B53,'General price list'!C:BA,MATCH("CBM",'General price list'!$C$20:$BA$20,0),FALSE)*(G53*C53),0)</f>
        <v>0</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1:49">
      <c r="A54" s="6"/>
      <c r="B54" s="90" t="s">
        <v>151</v>
      </c>
      <c r="C54" s="2" t="str">
        <f>IFERROR(VLOOKUP(B54,'General price list'!C:BA,MATCH("PAL",'General price list'!$C$20:$BA$20,0),FALSE),"")</f>
        <v>38</v>
      </c>
      <c r="D54" s="2">
        <f>IFERROR(VLOOKUP(B54,'General price list'!C:BA,MATCH("OBJ",'General price list'!$C$20:$BA$20,0),FALSE),"")</f>
        <v>0</v>
      </c>
      <c r="E54" s="2">
        <f t="shared" si="1"/>
        <v>0</v>
      </c>
      <c r="F54" s="2">
        <f t="shared" si="2"/>
        <v>0</v>
      </c>
      <c r="G54" s="2">
        <f t="shared" si="3"/>
        <v>0</v>
      </c>
      <c r="H54" s="2">
        <f t="shared" si="4"/>
        <v>0</v>
      </c>
      <c r="I54" s="2">
        <f t="shared" si="0"/>
        <v>0</v>
      </c>
      <c r="J54">
        <f>IFERROR(VLOOKUP(B54,'General price list'!C:BA,MATCH("CBM",'General price list'!$C$20:$BA$20,0),FALSE)*(G54*C54),0)</f>
        <v>0</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c r="A55" s="6"/>
      <c r="B55" s="90" t="s">
        <v>156</v>
      </c>
      <c r="C55" s="2">
        <f>IFERROR(VLOOKUP(B55,'General price list'!C:BA,MATCH("PAL",'General price list'!$C$20:$BA$20,0),FALSE),"")</f>
        <v>60</v>
      </c>
      <c r="D55" s="2">
        <f>IFERROR(VLOOKUP(B55,'General price list'!C:BA,MATCH("OBJ",'General price list'!$C$20:$BA$20,0),FALSE),"")</f>
        <v>0</v>
      </c>
      <c r="E55" s="2">
        <f t="shared" si="1"/>
        <v>0</v>
      </c>
      <c r="F55" s="2">
        <f t="shared" si="2"/>
        <v>0</v>
      </c>
      <c r="G55" s="2">
        <f t="shared" si="3"/>
        <v>0</v>
      </c>
      <c r="H55" s="2">
        <f t="shared" si="4"/>
        <v>0</v>
      </c>
      <c r="I55" s="2">
        <f t="shared" si="0"/>
        <v>0</v>
      </c>
      <c r="J55">
        <f>IFERROR(VLOOKUP(B55,'General price list'!C:BA,MATCH("CBM",'General price list'!$C$20:$BA$20,0),FALSE)*(G55*C55),0)</f>
        <v>0</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c r="A56" s="6"/>
      <c r="B56" s="90" t="s">
        <v>164</v>
      </c>
      <c r="C56" s="2" t="str">
        <f>IFERROR(VLOOKUP(B56,'General price list'!C:BA,MATCH("PAL",'General price list'!$C$20:$BA$20,0),FALSE),"")</f>
        <v>42</v>
      </c>
      <c r="D56" s="2">
        <f>IFERROR(VLOOKUP(B56,'General price list'!C:BA,MATCH("OBJ",'General price list'!$C$20:$BA$20,0),FALSE),"")</f>
        <v>0</v>
      </c>
      <c r="E56" s="2">
        <f t="shared" si="1"/>
        <v>0</v>
      </c>
      <c r="F56" s="2">
        <f t="shared" si="2"/>
        <v>0</v>
      </c>
      <c r="G56" s="2">
        <f t="shared" si="3"/>
        <v>0</v>
      </c>
      <c r="H56" s="2">
        <f t="shared" si="4"/>
        <v>0</v>
      </c>
      <c r="I56" s="2">
        <f t="shared" si="0"/>
        <v>0</v>
      </c>
      <c r="J56">
        <f>IFERROR(VLOOKUP(B56,'General price list'!C:BA,MATCH("CBM",'General price list'!$C$20:$BA$20,0),FALSE)*(G56*C56),0)</f>
        <v>0</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c r="A57" s="6"/>
      <c r="B57" s="90" t="s">
        <v>170</v>
      </c>
      <c r="C57" s="2">
        <f>IFERROR(VLOOKUP(B57,'General price list'!C:BA,MATCH("PAL",'General price list'!$C$20:$BA$20,0),FALSE),"")</f>
        <v>36</v>
      </c>
      <c r="D57" s="2">
        <f>IFERROR(VLOOKUP(B57,'General price list'!C:BA,MATCH("OBJ",'General price list'!$C$20:$BA$20,0),FALSE),"")</f>
        <v>0</v>
      </c>
      <c r="E57" s="2">
        <f t="shared" si="1"/>
        <v>0</v>
      </c>
      <c r="F57" s="2">
        <f t="shared" si="2"/>
        <v>0</v>
      </c>
      <c r="G57" s="2">
        <f t="shared" si="3"/>
        <v>0</v>
      </c>
      <c r="H57" s="2">
        <f t="shared" si="4"/>
        <v>0</v>
      </c>
      <c r="I57" s="2">
        <f t="shared" si="0"/>
        <v>0</v>
      </c>
      <c r="J57">
        <f>IFERROR(VLOOKUP(B57,'General price list'!C:BA,MATCH("CBM",'General price list'!$C$20:$BA$20,0),FALSE)*(G57*C57),0)</f>
        <v>0</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c r="A58" s="6"/>
      <c r="B58" s="90" t="s">
        <v>176</v>
      </c>
      <c r="C58" s="2">
        <f>IFERROR(VLOOKUP(B58,'General price list'!C:BA,MATCH("PAL",'General price list'!$C$20:$BA$20,0),FALSE),"")</f>
        <v>60</v>
      </c>
      <c r="D58" s="2">
        <f>IFERROR(VLOOKUP(B58,'General price list'!C:BA,MATCH("OBJ",'General price list'!$C$20:$BA$20,0),FALSE),"")</f>
        <v>0</v>
      </c>
      <c r="E58" s="2">
        <f t="shared" si="1"/>
        <v>0</v>
      </c>
      <c r="F58" s="2">
        <f t="shared" si="2"/>
        <v>0</v>
      </c>
      <c r="G58" s="2">
        <f t="shared" si="3"/>
        <v>0</v>
      </c>
      <c r="H58" s="2">
        <f t="shared" si="4"/>
        <v>0</v>
      </c>
      <c r="I58" s="2">
        <f t="shared" si="0"/>
        <v>0</v>
      </c>
      <c r="J58">
        <f>IFERROR(VLOOKUP(B58,'General price list'!C:BA,MATCH("CBM",'General price list'!$C$20:$BA$20,0),FALSE)*(G58*C58),0)</f>
        <v>0</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c r="A59" s="6"/>
      <c r="B59" s="90" t="s">
        <v>12002</v>
      </c>
      <c r="C59" s="2">
        <f>IFERROR(VLOOKUP(B59,'General price list'!C:BA,MATCH("PAL",'General price list'!$C$20:$BA$20,0),FALSE),"")</f>
        <v>60</v>
      </c>
      <c r="D59" s="2">
        <f>IFERROR(VLOOKUP(B59,'General price list'!C:BA,MATCH("OBJ",'General price list'!$C$20:$BA$20,0),FALSE),"")</f>
        <v>0</v>
      </c>
      <c r="E59" s="2">
        <f t="shared" si="1"/>
        <v>0</v>
      </c>
      <c r="F59" s="2">
        <f t="shared" si="2"/>
        <v>0</v>
      </c>
      <c r="G59" s="2">
        <f t="shared" si="3"/>
        <v>0</v>
      </c>
      <c r="H59" s="2">
        <f t="shared" si="4"/>
        <v>0</v>
      </c>
      <c r="I59" s="2">
        <f t="shared" si="0"/>
        <v>0</v>
      </c>
      <c r="J59">
        <f>IFERROR(VLOOKUP(B59,'General price list'!C:BA,MATCH("CBM",'General price list'!$C$20:$BA$20,0),FALSE)*(G59*C59),0)</f>
        <v>0</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c r="A60" s="6"/>
      <c r="B60" s="90" t="s">
        <v>182</v>
      </c>
      <c r="C60" s="2">
        <f>IFERROR(VLOOKUP(B60,'General price list'!C:BA,MATCH("PAL",'General price list'!$C$20:$BA$20,0),FALSE),"")</f>
        <v>62</v>
      </c>
      <c r="D60" s="2">
        <f>IFERROR(VLOOKUP(B60,'General price list'!C:BA,MATCH("OBJ",'General price list'!$C$20:$BA$20,0),FALSE),"")</f>
        <v>0</v>
      </c>
      <c r="E60" s="2">
        <f t="shared" si="1"/>
        <v>0</v>
      </c>
      <c r="F60" s="2">
        <f t="shared" si="2"/>
        <v>0</v>
      </c>
      <c r="G60" s="2">
        <f t="shared" si="3"/>
        <v>0</v>
      </c>
      <c r="H60" s="2">
        <f t="shared" si="4"/>
        <v>0</v>
      </c>
      <c r="I60" s="2">
        <f t="shared" si="0"/>
        <v>0</v>
      </c>
      <c r="J60">
        <f>IFERROR(VLOOKUP(B60,'General price list'!C:BA,MATCH("CBM",'General price list'!$C$20:$BA$20,0),FALSE)*(G60*C60),0)</f>
        <v>0</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c r="A61" s="6"/>
      <c r="B61" s="90" t="s">
        <v>187</v>
      </c>
      <c r="C61" s="2">
        <f>IFERROR(VLOOKUP(B61,'General price list'!C:BA,MATCH("PAL",'General price list'!$C$20:$BA$20,0),FALSE),"")</f>
        <v>33</v>
      </c>
      <c r="D61" s="2">
        <f>IFERROR(VLOOKUP(B61,'General price list'!C:BA,MATCH("OBJ",'General price list'!$C$20:$BA$20,0),FALSE),"")</f>
        <v>0</v>
      </c>
      <c r="E61" s="2">
        <f t="shared" si="1"/>
        <v>0</v>
      </c>
      <c r="F61" s="2">
        <f t="shared" si="2"/>
        <v>0</v>
      </c>
      <c r="G61" s="2">
        <f t="shared" si="3"/>
        <v>0</v>
      </c>
      <c r="H61" s="2">
        <f t="shared" si="4"/>
        <v>0</v>
      </c>
      <c r="I61" s="2">
        <f t="shared" si="0"/>
        <v>0</v>
      </c>
      <c r="J61">
        <f>IFERROR(VLOOKUP(B61,'General price list'!C:BA,MATCH("CBM",'General price list'!$C$20:$BA$20,0),FALSE)*(G61*C61),0)</f>
        <v>0</v>
      </c>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c r="A62" s="6"/>
      <c r="B62" s="90" t="s">
        <v>12004</v>
      </c>
      <c r="C62" s="2">
        <f>IFERROR(VLOOKUP(B62,'General price list'!C:BA,MATCH("PAL",'General price list'!$C$20:$BA$20,0),FALSE),"")</f>
        <v>62</v>
      </c>
      <c r="D62" s="2">
        <f>IFERROR(VLOOKUP(B62,'General price list'!C:BA,MATCH("OBJ",'General price list'!$C$20:$BA$20,0),FALSE),"")</f>
        <v>0</v>
      </c>
      <c r="E62" s="2">
        <f t="shared" si="1"/>
        <v>0</v>
      </c>
      <c r="F62" s="2">
        <f t="shared" si="2"/>
        <v>0</v>
      </c>
      <c r="G62" s="2">
        <f t="shared" si="3"/>
        <v>0</v>
      </c>
      <c r="H62" s="2">
        <f t="shared" si="4"/>
        <v>0</v>
      </c>
      <c r="I62" s="2">
        <f t="shared" si="0"/>
        <v>0</v>
      </c>
      <c r="J62">
        <f>IFERROR(VLOOKUP(B62,'General price list'!C:BA,MATCH("CBM",'General price list'!$C$20:$BA$20,0),FALSE)*(G62*C62),0)</f>
        <v>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c r="A63" s="6"/>
      <c r="B63" s="90" t="s">
        <v>189</v>
      </c>
      <c r="C63" s="2">
        <f>IFERROR(VLOOKUP(B63,'General price list'!C:BA,MATCH("PAL",'General price list'!$C$20:$BA$20,0),FALSE),"")</f>
        <v>48</v>
      </c>
      <c r="D63" s="2">
        <f>IFERROR(VLOOKUP(B63,'General price list'!C:BA,MATCH("OBJ",'General price list'!$C$20:$BA$20,0),FALSE),"")</f>
        <v>0</v>
      </c>
      <c r="E63" s="2">
        <f t="shared" si="1"/>
        <v>0</v>
      </c>
      <c r="F63" s="2">
        <f t="shared" si="2"/>
        <v>0</v>
      </c>
      <c r="G63" s="2">
        <f t="shared" si="3"/>
        <v>0</v>
      </c>
      <c r="H63" s="2">
        <f t="shared" si="4"/>
        <v>0</v>
      </c>
      <c r="I63" s="2">
        <f t="shared" si="0"/>
        <v>0</v>
      </c>
      <c r="J63">
        <f>IFERROR(VLOOKUP(B63,'General price list'!C:BA,MATCH("CBM",'General price list'!$C$20:$BA$20,0),FALSE)*(G63*C63),0)</f>
        <v>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c r="A64" s="6"/>
      <c r="B64" s="90" t="s">
        <v>194</v>
      </c>
      <c r="C64" s="2" t="str">
        <f>IFERROR(VLOOKUP(B64,'General price list'!C:BA,MATCH("PAL",'General price list'!$C$20:$BA$20,0),FALSE),"")</f>
        <v>25</v>
      </c>
      <c r="D64" s="2">
        <f>IFERROR(VLOOKUP(B64,'General price list'!C:BA,MATCH("OBJ",'General price list'!$C$20:$BA$20,0),FALSE),"")</f>
        <v>0</v>
      </c>
      <c r="E64" s="2">
        <f t="shared" si="1"/>
        <v>0</v>
      </c>
      <c r="F64" s="2">
        <f t="shared" si="2"/>
        <v>0</v>
      </c>
      <c r="G64" s="2">
        <f t="shared" si="3"/>
        <v>0</v>
      </c>
      <c r="H64" s="2">
        <f t="shared" si="4"/>
        <v>0</v>
      </c>
      <c r="I64" s="2">
        <f t="shared" si="0"/>
        <v>0</v>
      </c>
      <c r="J64">
        <f>IFERROR(VLOOKUP(B64,'General price list'!C:BA,MATCH("CBM",'General price list'!$C$20:$BA$20,0),FALSE)*(G64*C64),0)</f>
        <v>0</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c r="A65" s="6"/>
      <c r="B65" s="90" t="s">
        <v>200</v>
      </c>
      <c r="C65" s="2" t="str">
        <f>IFERROR(VLOOKUP(B65,'General price list'!C:BA,MATCH("PAL",'General price list'!$C$20:$BA$20,0),FALSE),"")</f>
        <v>25</v>
      </c>
      <c r="D65" s="2">
        <f>IFERROR(VLOOKUP(B65,'General price list'!C:BA,MATCH("OBJ",'General price list'!$C$20:$BA$20,0),FALSE),"")</f>
        <v>0</v>
      </c>
      <c r="E65" s="2">
        <f t="shared" si="1"/>
        <v>0</v>
      </c>
      <c r="F65" s="2">
        <f t="shared" si="2"/>
        <v>0</v>
      </c>
      <c r="G65" s="2">
        <f t="shared" si="3"/>
        <v>0</v>
      </c>
      <c r="H65" s="2">
        <f t="shared" si="4"/>
        <v>0</v>
      </c>
      <c r="I65" s="2">
        <f t="shared" si="0"/>
        <v>0</v>
      </c>
      <c r="J65">
        <f>IFERROR(VLOOKUP(B65,'General price list'!C:BA,MATCH("CBM",'General price list'!$C$20:$BA$20,0),FALSE)*(G65*C65),0)</f>
        <v>0</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c r="A66" s="6"/>
      <c r="B66" s="90" t="s">
        <v>201</v>
      </c>
      <c r="C66" s="2" t="str">
        <f>IFERROR(VLOOKUP(B66,'General price list'!C:BA,MATCH("PAL",'General price list'!$C$20:$BA$20,0),FALSE),"")</f>
        <v>24</v>
      </c>
      <c r="D66" s="2">
        <f>IFERROR(VLOOKUP(B66,'General price list'!C:BA,MATCH("OBJ",'General price list'!$C$20:$BA$20,0),FALSE),"")</f>
        <v>0</v>
      </c>
      <c r="E66" s="2">
        <f t="shared" si="1"/>
        <v>0</v>
      </c>
      <c r="F66" s="2">
        <f t="shared" si="2"/>
        <v>0</v>
      </c>
      <c r="G66" s="2">
        <f t="shared" si="3"/>
        <v>0</v>
      </c>
      <c r="H66" s="2">
        <f t="shared" si="4"/>
        <v>0</v>
      </c>
      <c r="I66" s="2">
        <f t="shared" si="0"/>
        <v>0</v>
      </c>
      <c r="J66">
        <f>IFERROR(VLOOKUP(B66,'General price list'!C:BA,MATCH("CBM",'General price list'!$C$20:$BA$20,0),FALSE)*(G66*C66),0)</f>
        <v>0</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c r="A67" s="6"/>
      <c r="B67" s="90" t="s">
        <v>204</v>
      </c>
      <c r="C67" s="2">
        <f>IFERROR(VLOOKUP(B67,'General price list'!C:BA,MATCH("PAL",'General price list'!$C$20:$BA$20,0),FALSE),"")</f>
        <v>63</v>
      </c>
      <c r="D67" s="2">
        <f>IFERROR(VLOOKUP(B67,'General price list'!C:BA,MATCH("OBJ",'General price list'!$C$20:$BA$20,0),FALSE),"")</f>
        <v>0</v>
      </c>
      <c r="E67" s="2">
        <f t="shared" si="1"/>
        <v>0</v>
      </c>
      <c r="F67" s="2">
        <f t="shared" si="2"/>
        <v>0</v>
      </c>
      <c r="G67" s="2">
        <f t="shared" si="3"/>
        <v>0</v>
      </c>
      <c r="H67" s="2">
        <f t="shared" si="4"/>
        <v>0</v>
      </c>
      <c r="I67" s="2">
        <f t="shared" si="0"/>
        <v>0</v>
      </c>
      <c r="J67">
        <f>IFERROR(VLOOKUP(B67,'General price list'!C:BA,MATCH("CBM",'General price list'!$C$20:$BA$20,0),FALSE)*(G67*C67),0)</f>
        <v>0</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c r="A68" s="6"/>
      <c r="B68" s="90" t="s">
        <v>214</v>
      </c>
      <c r="C68" s="2">
        <f>IFERROR(VLOOKUP(B68,'General price list'!C:BA,MATCH("PAL",'General price list'!$C$20:$BA$20,0),FALSE),"")</f>
        <v>42</v>
      </c>
      <c r="D68" s="2">
        <f>IFERROR(VLOOKUP(B68,'General price list'!C:BA,MATCH("OBJ",'General price list'!$C$20:$BA$20,0),FALSE),"")</f>
        <v>0</v>
      </c>
      <c r="E68" s="2">
        <f t="shared" si="1"/>
        <v>0</v>
      </c>
      <c r="F68" s="2">
        <f t="shared" si="2"/>
        <v>0</v>
      </c>
      <c r="G68" s="2">
        <f t="shared" si="3"/>
        <v>0</v>
      </c>
      <c r="H68" s="2">
        <f t="shared" si="4"/>
        <v>0</v>
      </c>
      <c r="I68" s="2">
        <f t="shared" ref="I68:I131" si="10">IFERROR(IF(D68=0,0,IF(F68=0,(D68*nextVK)+(prvniVK-nextVK),(G68*C68*nextVK)+(F68*PALzKoje))),0)</f>
        <v>0</v>
      </c>
      <c r="J68">
        <f>IFERROR(VLOOKUP(B68,'General price list'!C:BA,MATCH("CBM",'General price list'!$C$20:$BA$20,0),FALSE)*(G68*C68),0)</f>
        <v>0</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c r="A69" s="6"/>
      <c r="B69" s="90" t="s">
        <v>221</v>
      </c>
      <c r="C69" s="2">
        <f>IFERROR(VLOOKUP(B69,'General price list'!C:BA,MATCH("PAL",'General price list'!$C$20:$BA$20,0),FALSE),"")</f>
        <v>72</v>
      </c>
      <c r="D69" s="2">
        <f>IFERROR(VLOOKUP(B69,'General price list'!C:BA,MATCH("OBJ",'General price list'!$C$20:$BA$20,0),FALSE),"")</f>
        <v>0</v>
      </c>
      <c r="E69" s="2">
        <f t="shared" ref="E69:E132" si="11">IFERROR(D69/C69,0)</f>
        <v>0</v>
      </c>
      <c r="F69" s="2">
        <f t="shared" ref="F69:F132" si="12">IFERROR(FLOOR(IF(E69-1&lt;0,0,E69),1),0)</f>
        <v>0</v>
      </c>
      <c r="G69" s="2">
        <f t="shared" ref="G69:G132" si="13">IFERROR(IF(H69&gt;E69,F69-E69,E69-F69),0)</f>
        <v>0</v>
      </c>
      <c r="H69" s="2">
        <f t="shared" ref="H69:H132" si="14">IFERROR(IF(E69=0,0,F69),0)</f>
        <v>0</v>
      </c>
      <c r="I69" s="2">
        <f t="shared" si="10"/>
        <v>0</v>
      </c>
      <c r="J69">
        <f>IFERROR(VLOOKUP(B69,'General price list'!C:BA,MATCH("CBM",'General price list'!$C$20:$BA$20,0),FALSE)*(G69*C69),0)</f>
        <v>0</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c r="A70" s="6"/>
      <c r="B70" s="90" t="s">
        <v>226</v>
      </c>
      <c r="C70" s="2">
        <f>IFERROR(VLOOKUP(B70,'General price list'!C:BA,MATCH("PAL",'General price list'!$C$20:$BA$20,0),FALSE),"")</f>
        <v>72</v>
      </c>
      <c r="D70" s="2">
        <f>IFERROR(VLOOKUP(B70,'General price list'!C:BA,MATCH("OBJ",'General price list'!$C$20:$BA$20,0),FALSE),"")</f>
        <v>0</v>
      </c>
      <c r="E70" s="2">
        <f t="shared" si="11"/>
        <v>0</v>
      </c>
      <c r="F70" s="2">
        <f t="shared" si="12"/>
        <v>0</v>
      </c>
      <c r="G70" s="2">
        <f t="shared" si="13"/>
        <v>0</v>
      </c>
      <c r="H70" s="2">
        <f t="shared" si="14"/>
        <v>0</v>
      </c>
      <c r="I70" s="2">
        <f t="shared" si="10"/>
        <v>0</v>
      </c>
      <c r="J70">
        <f>IFERROR(VLOOKUP(B70,'General price list'!C:BA,MATCH("CBM",'General price list'!$C$20:$BA$20,0),FALSE)*(G70*C70),0)</f>
        <v>0</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6"/>
      <c r="B71" s="93" t="s">
        <v>231</v>
      </c>
      <c r="C71" s="2" t="str">
        <f>IFERROR(VLOOKUP(B71,'General price list'!C:BA,MATCH("PAL",'General price list'!$C$20:$BA$20,0),FALSE),"")</f>
        <v>54</v>
      </c>
      <c r="D71" s="2">
        <f>IFERROR(VLOOKUP(B71,'General price list'!C:BA,MATCH("OBJ",'General price list'!$C$20:$BA$20,0),FALSE),"")</f>
        <v>0</v>
      </c>
      <c r="E71" s="2">
        <f t="shared" si="11"/>
        <v>0</v>
      </c>
      <c r="F71" s="2">
        <f t="shared" si="12"/>
        <v>0</v>
      </c>
      <c r="G71" s="2">
        <f t="shared" si="13"/>
        <v>0</v>
      </c>
      <c r="H71" s="2">
        <f t="shared" si="14"/>
        <v>0</v>
      </c>
      <c r="I71" s="2">
        <f t="shared" si="10"/>
        <v>0</v>
      </c>
      <c r="J71">
        <f>IFERROR(VLOOKUP(B71,'General price list'!C:BA,MATCH("CBM",'General price list'!$C$20:$BA$20,0),FALSE)*(G71*C71),0)</f>
        <v>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c r="A72" s="6"/>
      <c r="B72" s="90" t="s">
        <v>2973</v>
      </c>
      <c r="C72" s="2" t="str">
        <f>IFERROR(VLOOKUP(B72,'General price list'!C:BA,MATCH("PAL",'General price list'!$C$20:$BA$20,0),FALSE),"")</f>
        <v/>
      </c>
      <c r="D72" s="2">
        <f>IFERROR(VLOOKUP(B72,'General price list'!C:BA,MATCH("OBJ",'General price list'!$C$20:$BA$20,0),FALSE),"")</f>
        <v>0</v>
      </c>
      <c r="E72" s="2">
        <f t="shared" si="11"/>
        <v>0</v>
      </c>
      <c r="F72" s="2">
        <f t="shared" si="12"/>
        <v>0</v>
      </c>
      <c r="G72" s="2">
        <f t="shared" si="13"/>
        <v>0</v>
      </c>
      <c r="H72" s="2">
        <f t="shared" si="14"/>
        <v>0</v>
      </c>
      <c r="I72" s="2">
        <f t="shared" si="10"/>
        <v>0</v>
      </c>
      <c r="J72">
        <f>IFERROR(VLOOKUP(B72,'General price list'!C:BA,MATCH("CBM",'General price list'!$C$20:$BA$20,0),FALSE)*(G72*C72),0)</f>
        <v>0</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c r="A73" s="6"/>
      <c r="B73" s="90" t="s">
        <v>237</v>
      </c>
      <c r="C73" s="2">
        <f>IFERROR(VLOOKUP(B73,'General price list'!C:BA,MATCH("PAL",'General price list'!$C$20:$BA$20,0),FALSE),"")</f>
        <v>32</v>
      </c>
      <c r="D73" s="2">
        <f>IFERROR(VLOOKUP(B73,'General price list'!C:BA,MATCH("OBJ",'General price list'!$C$20:$BA$20,0),FALSE),"")</f>
        <v>0</v>
      </c>
      <c r="E73" s="2">
        <f t="shared" si="11"/>
        <v>0</v>
      </c>
      <c r="F73" s="2">
        <f t="shared" si="12"/>
        <v>0</v>
      </c>
      <c r="G73" s="2">
        <f t="shared" si="13"/>
        <v>0</v>
      </c>
      <c r="H73" s="2">
        <f t="shared" si="14"/>
        <v>0</v>
      </c>
      <c r="I73" s="2">
        <f t="shared" si="10"/>
        <v>0</v>
      </c>
      <c r="J73">
        <f>IFERROR(VLOOKUP(B73,'General price list'!C:BA,MATCH("CBM",'General price list'!$C$20:$BA$20,0),FALSE)*(G73*C73),0)</f>
        <v>0</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c r="A74" s="6"/>
      <c r="B74" s="90" t="s">
        <v>13472</v>
      </c>
      <c r="C74" s="2">
        <f>IFERROR(VLOOKUP(B74,'General price list'!C:BA,MATCH("PAL",'General price list'!$C$20:$BA$20,0),FALSE),"")</f>
        <v>15</v>
      </c>
      <c r="D74" s="2">
        <f>IFERROR(VLOOKUP(B74,'General price list'!C:BA,MATCH("OBJ",'General price list'!$C$20:$BA$20,0),FALSE),"")</f>
        <v>0</v>
      </c>
      <c r="E74" s="2">
        <f t="shared" si="11"/>
        <v>0</v>
      </c>
      <c r="F74" s="2">
        <f t="shared" si="12"/>
        <v>0</v>
      </c>
      <c r="G74" s="2">
        <f t="shared" si="13"/>
        <v>0</v>
      </c>
      <c r="H74" s="2">
        <f t="shared" si="14"/>
        <v>0</v>
      </c>
      <c r="I74" s="2">
        <f t="shared" si="10"/>
        <v>0</v>
      </c>
      <c r="J74">
        <f>IFERROR(VLOOKUP(B74,'General price list'!C:BA,MATCH("CBM",'General price list'!$C$20:$BA$20,0),FALSE)*(G74*C74),0)</f>
        <v>0</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c r="A75" s="6"/>
      <c r="B75" s="91" t="s">
        <v>244</v>
      </c>
      <c r="C75" s="2">
        <f>IFERROR(VLOOKUP(B75,'General price list'!C:BA,MATCH("PAL",'General price list'!$C$20:$BA$20,0),FALSE),"")</f>
        <v>42</v>
      </c>
      <c r="D75" s="2">
        <f>IFERROR(VLOOKUP(B75,'General price list'!C:BA,MATCH("OBJ",'General price list'!$C$20:$BA$20,0),FALSE),"")</f>
        <v>0</v>
      </c>
      <c r="E75" s="2">
        <f t="shared" si="11"/>
        <v>0</v>
      </c>
      <c r="F75" s="2">
        <f t="shared" si="12"/>
        <v>0</v>
      </c>
      <c r="G75" s="2">
        <f t="shared" si="13"/>
        <v>0</v>
      </c>
      <c r="H75" s="2">
        <f t="shared" si="14"/>
        <v>0</v>
      </c>
      <c r="I75" s="2">
        <f t="shared" si="10"/>
        <v>0</v>
      </c>
      <c r="J75">
        <f>IFERROR(VLOOKUP(B75,'General price list'!C:BA,MATCH("CBM",'General price list'!$C$20:$BA$20,0),FALSE)*(G75*C75),0)</f>
        <v>0</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c r="A76" s="6"/>
      <c r="B76" s="90" t="s">
        <v>249</v>
      </c>
      <c r="C76" s="2">
        <f>IFERROR(VLOOKUP(B76,'General price list'!C:BA,MATCH("PAL",'General price list'!$C$20:$BA$20,0),FALSE),"")</f>
        <v>42</v>
      </c>
      <c r="D76" s="2">
        <f>IFERROR(VLOOKUP(B76,'General price list'!C:BA,MATCH("OBJ",'General price list'!$C$20:$BA$20,0),FALSE),"")</f>
        <v>0</v>
      </c>
      <c r="E76" s="2">
        <f t="shared" si="11"/>
        <v>0</v>
      </c>
      <c r="F76" s="2">
        <f t="shared" si="12"/>
        <v>0</v>
      </c>
      <c r="G76" s="2">
        <f t="shared" si="13"/>
        <v>0</v>
      </c>
      <c r="H76" s="2">
        <f t="shared" si="14"/>
        <v>0</v>
      </c>
      <c r="I76" s="2">
        <f t="shared" si="10"/>
        <v>0</v>
      </c>
      <c r="J76">
        <f>IFERROR(VLOOKUP(B76,'General price list'!C:BA,MATCH("CBM",'General price list'!$C$20:$BA$20,0),FALSE)*(G76*C76),0)</f>
        <v>0</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c r="A77" s="6"/>
      <c r="B77" s="90" t="s">
        <v>3489</v>
      </c>
      <c r="C77" s="2">
        <f>IFERROR(VLOOKUP(B77,'General price list'!C:BA,MATCH("PAL",'General price list'!$C$20:$BA$20,0),FALSE),"")</f>
        <v>42</v>
      </c>
      <c r="D77" s="2">
        <f>IFERROR(VLOOKUP(B77,'General price list'!C:BA,MATCH("OBJ",'General price list'!$C$20:$BA$20,0),FALSE),"")</f>
        <v>0</v>
      </c>
      <c r="E77" s="2">
        <f t="shared" si="11"/>
        <v>0</v>
      </c>
      <c r="F77" s="2">
        <f t="shared" si="12"/>
        <v>0</v>
      </c>
      <c r="G77" s="2">
        <f t="shared" si="13"/>
        <v>0</v>
      </c>
      <c r="H77" s="2">
        <f t="shared" si="14"/>
        <v>0</v>
      </c>
      <c r="I77" s="2">
        <f t="shared" si="10"/>
        <v>0</v>
      </c>
      <c r="J77">
        <f>IFERROR(VLOOKUP(B77,'General price list'!C:BA,MATCH("CBM",'General price list'!$C$20:$BA$20,0),FALSE)*(G77*C77),0)</f>
        <v>0</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c r="A78" s="6"/>
      <c r="B78" s="90" t="s">
        <v>3490</v>
      </c>
      <c r="C78" s="2">
        <f>IFERROR(VLOOKUP(B78,'General price list'!C:BA,MATCH("PAL",'General price list'!$C$20:$BA$20,0),FALSE),"")</f>
        <v>42</v>
      </c>
      <c r="D78" s="2">
        <f>IFERROR(VLOOKUP(B78,'General price list'!C:BA,MATCH("OBJ",'General price list'!$C$20:$BA$20,0),FALSE),"")</f>
        <v>0</v>
      </c>
      <c r="E78" s="2">
        <f t="shared" si="11"/>
        <v>0</v>
      </c>
      <c r="F78" s="2">
        <f t="shared" si="12"/>
        <v>0</v>
      </c>
      <c r="G78" s="2">
        <f t="shared" si="13"/>
        <v>0</v>
      </c>
      <c r="H78" s="2">
        <f t="shared" si="14"/>
        <v>0</v>
      </c>
      <c r="I78" s="2">
        <f t="shared" si="10"/>
        <v>0</v>
      </c>
      <c r="J78">
        <f>IFERROR(VLOOKUP(B78,'General price list'!C:BA,MATCH("CBM",'General price list'!$C$20:$BA$20,0),FALSE)*(G78*C78),0)</f>
        <v>0</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c r="A79" s="6"/>
      <c r="B79" s="90" t="s">
        <v>2484</v>
      </c>
      <c r="C79" s="2" t="str">
        <f>IFERROR(VLOOKUP(B79,'General price list'!C:BA,MATCH("PAL",'General price list'!$C$20:$BA$20,0),FALSE),"")</f>
        <v>105</v>
      </c>
      <c r="D79" s="2">
        <f>IFERROR(VLOOKUP(B79,'General price list'!C:BA,MATCH("OBJ",'General price list'!$C$20:$BA$20,0),FALSE),"")</f>
        <v>0</v>
      </c>
      <c r="E79" s="2">
        <f t="shared" si="11"/>
        <v>0</v>
      </c>
      <c r="F79" s="2">
        <f t="shared" si="12"/>
        <v>0</v>
      </c>
      <c r="G79" s="2">
        <f t="shared" si="13"/>
        <v>0</v>
      </c>
      <c r="H79" s="2">
        <f t="shared" si="14"/>
        <v>0</v>
      </c>
      <c r="I79" s="2">
        <f t="shared" si="10"/>
        <v>0</v>
      </c>
      <c r="J79">
        <f>IFERROR(VLOOKUP(B79,'General price list'!C:BA,MATCH("CBM",'General price list'!$C$20:$BA$20,0),FALSE)*(G79*C79),0)</f>
        <v>0</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c r="A80" s="6"/>
      <c r="B80" s="90" t="s">
        <v>254</v>
      </c>
      <c r="C80" s="2" t="str">
        <f>IFERROR(VLOOKUP(B80,'General price list'!C:BA,MATCH("PAL",'General price list'!$C$20:$BA$20,0),FALSE),"")</f>
        <v>72</v>
      </c>
      <c r="D80" s="2">
        <f>IFERROR(VLOOKUP(B80,'General price list'!C:BA,MATCH("OBJ",'General price list'!$C$20:$BA$20,0),FALSE),"")</f>
        <v>0</v>
      </c>
      <c r="E80" s="2">
        <f t="shared" si="11"/>
        <v>0</v>
      </c>
      <c r="F80" s="2">
        <f t="shared" si="12"/>
        <v>0</v>
      </c>
      <c r="G80" s="2">
        <f t="shared" si="13"/>
        <v>0</v>
      </c>
      <c r="H80" s="2">
        <f t="shared" si="14"/>
        <v>0</v>
      </c>
      <c r="I80" s="2">
        <f t="shared" si="10"/>
        <v>0</v>
      </c>
      <c r="J80">
        <f>IFERROR(VLOOKUP(B80,'General price list'!C:BA,MATCH("CBM",'General price list'!$C$20:$BA$20,0),FALSE)*(G80*C80),0)</f>
        <v>0</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c r="A81" s="6"/>
      <c r="B81" s="90" t="s">
        <v>261</v>
      </c>
      <c r="C81" s="2" t="str">
        <f>IFERROR(VLOOKUP(B81,'General price list'!C:BA,MATCH("PAL",'General price list'!$C$20:$BA$20,0),FALSE),"")</f>
        <v>72</v>
      </c>
      <c r="D81" s="2">
        <f>IFERROR(VLOOKUP(B81,'General price list'!C:BA,MATCH("OBJ",'General price list'!$C$20:$BA$20,0),FALSE),"")</f>
        <v>0</v>
      </c>
      <c r="E81" s="2">
        <f t="shared" si="11"/>
        <v>0</v>
      </c>
      <c r="F81" s="2">
        <f t="shared" si="12"/>
        <v>0</v>
      </c>
      <c r="G81" s="2">
        <f t="shared" si="13"/>
        <v>0</v>
      </c>
      <c r="H81" s="2">
        <f t="shared" si="14"/>
        <v>0</v>
      </c>
      <c r="I81" s="2">
        <f t="shared" si="10"/>
        <v>0</v>
      </c>
      <c r="J81">
        <f>IFERROR(VLOOKUP(B81,'General price list'!C:BA,MATCH("CBM",'General price list'!$C$20:$BA$20,0),FALSE)*(G81*C81),0)</f>
        <v>0</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c r="A82" s="6"/>
      <c r="B82" s="90" t="s">
        <v>262</v>
      </c>
      <c r="C82" s="2" t="str">
        <f>IFERROR(VLOOKUP(B82,'General price list'!C:BA,MATCH("PAL",'General price list'!$C$20:$BA$20,0),FALSE),"")</f>
        <v>72</v>
      </c>
      <c r="D82" s="2">
        <f>IFERROR(VLOOKUP(B82,'General price list'!C:BA,MATCH("OBJ",'General price list'!$C$20:$BA$20,0),FALSE),"")</f>
        <v>0</v>
      </c>
      <c r="E82" s="2">
        <f t="shared" si="11"/>
        <v>0</v>
      </c>
      <c r="F82" s="2">
        <f t="shared" si="12"/>
        <v>0</v>
      </c>
      <c r="G82" s="2">
        <f t="shared" si="13"/>
        <v>0</v>
      </c>
      <c r="H82" s="2">
        <f t="shared" si="14"/>
        <v>0</v>
      </c>
      <c r="I82" s="2">
        <f t="shared" si="10"/>
        <v>0</v>
      </c>
      <c r="J82">
        <f>IFERROR(VLOOKUP(B82,'General price list'!C:BA,MATCH("CBM",'General price list'!$C$20:$BA$20,0),FALSE)*(G82*C82),0)</f>
        <v>0</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c r="A83" s="6"/>
      <c r="B83" s="90" t="s">
        <v>267</v>
      </c>
      <c r="C83" s="2" t="str">
        <f>IFERROR(VLOOKUP(B83,'General price list'!C:BA,MATCH("PAL",'General price list'!$C$20:$BA$20,0),FALSE),"")</f>
        <v>72</v>
      </c>
      <c r="D83" s="2">
        <f>IFERROR(VLOOKUP(B83,'General price list'!C:BA,MATCH("OBJ",'General price list'!$C$20:$BA$20,0),FALSE),"")</f>
        <v>0</v>
      </c>
      <c r="E83" s="2">
        <f t="shared" si="11"/>
        <v>0</v>
      </c>
      <c r="F83" s="2">
        <f t="shared" si="12"/>
        <v>0</v>
      </c>
      <c r="G83" s="2">
        <f t="shared" si="13"/>
        <v>0</v>
      </c>
      <c r="H83" s="2">
        <f t="shared" si="14"/>
        <v>0</v>
      </c>
      <c r="I83" s="2">
        <f t="shared" si="10"/>
        <v>0</v>
      </c>
      <c r="J83">
        <f>IFERROR(VLOOKUP(B83,'General price list'!C:BA,MATCH("CBM",'General price list'!$C$20:$BA$20,0),FALSE)*(G83*C83),0)</f>
        <v>0</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1:49">
      <c r="A84" s="6"/>
      <c r="B84" s="90" t="s">
        <v>268</v>
      </c>
      <c r="C84" s="2" t="str">
        <f>IFERROR(VLOOKUP(B84,'General price list'!C:BA,MATCH("PAL",'General price list'!$C$20:$BA$20,0),FALSE),"")</f>
        <v>72</v>
      </c>
      <c r="D84" s="2">
        <f>IFERROR(VLOOKUP(B84,'General price list'!C:BA,MATCH("OBJ",'General price list'!$C$20:$BA$20,0),FALSE),"")</f>
        <v>0</v>
      </c>
      <c r="E84" s="2">
        <f t="shared" si="11"/>
        <v>0</v>
      </c>
      <c r="F84" s="2">
        <f t="shared" si="12"/>
        <v>0</v>
      </c>
      <c r="G84" s="2">
        <f t="shared" si="13"/>
        <v>0</v>
      </c>
      <c r="H84" s="2">
        <f t="shared" si="14"/>
        <v>0</v>
      </c>
      <c r="I84" s="2">
        <f t="shared" si="10"/>
        <v>0</v>
      </c>
      <c r="J84">
        <f>IFERROR(VLOOKUP(B84,'General price list'!C:BA,MATCH("CBM",'General price list'!$C$20:$BA$20,0),FALSE)*(G84*C84),0)</f>
        <v>0</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1:49">
      <c r="A85" s="6"/>
      <c r="B85" s="90" t="s">
        <v>274</v>
      </c>
      <c r="C85" s="2" t="str">
        <f>IFERROR(VLOOKUP(B85,'General price list'!C:BA,MATCH("PAL",'General price list'!$C$20:$BA$20,0),FALSE),"")</f>
        <v>72</v>
      </c>
      <c r="D85" s="2">
        <f>IFERROR(VLOOKUP(B85,'General price list'!C:BA,MATCH("OBJ",'General price list'!$C$20:$BA$20,0),FALSE),"")</f>
        <v>0</v>
      </c>
      <c r="E85" s="2">
        <f t="shared" si="11"/>
        <v>0</v>
      </c>
      <c r="F85" s="2">
        <f t="shared" si="12"/>
        <v>0</v>
      </c>
      <c r="G85" s="2">
        <f t="shared" si="13"/>
        <v>0</v>
      </c>
      <c r="H85" s="2">
        <f t="shared" si="14"/>
        <v>0</v>
      </c>
      <c r="I85" s="2">
        <f t="shared" si="10"/>
        <v>0</v>
      </c>
      <c r="J85">
        <f>IFERROR(VLOOKUP(B85,'General price list'!C:BA,MATCH("CBM",'General price list'!$C$20:$BA$20,0),FALSE)*(G85*C85),0)</f>
        <v>0</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1:49">
      <c r="A86" s="6"/>
      <c r="B86" s="90" t="s">
        <v>279</v>
      </c>
      <c r="C86" s="2" t="str">
        <f>IFERROR(VLOOKUP(B86,'General price list'!C:BA,MATCH("PAL",'General price list'!$C$20:$BA$20,0),FALSE),"")</f>
        <v>72</v>
      </c>
      <c r="D86" s="2">
        <f>IFERROR(VLOOKUP(B86,'General price list'!C:BA,MATCH("OBJ",'General price list'!$C$20:$BA$20,0),FALSE),"")</f>
        <v>0</v>
      </c>
      <c r="E86" s="2">
        <f t="shared" si="11"/>
        <v>0</v>
      </c>
      <c r="F86" s="2">
        <f t="shared" si="12"/>
        <v>0</v>
      </c>
      <c r="G86" s="2">
        <f t="shared" si="13"/>
        <v>0</v>
      </c>
      <c r="H86" s="2">
        <f t="shared" si="14"/>
        <v>0</v>
      </c>
      <c r="I86" s="2">
        <f t="shared" si="10"/>
        <v>0</v>
      </c>
      <c r="J86">
        <f>IFERROR(VLOOKUP(B86,'General price list'!C:BA,MATCH("CBM",'General price list'!$C$20:$BA$20,0),FALSE)*(G86*C86),0)</f>
        <v>0</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1:49">
      <c r="A87" s="6"/>
      <c r="B87" s="90" t="s">
        <v>280</v>
      </c>
      <c r="C87" s="2" t="str">
        <f>IFERROR(VLOOKUP(B87,'General price list'!C:BA,MATCH("PAL",'General price list'!$C$20:$BA$20,0),FALSE),"")</f>
        <v>72</v>
      </c>
      <c r="D87" s="2">
        <f>IFERROR(VLOOKUP(B87,'General price list'!C:BA,MATCH("OBJ",'General price list'!$C$20:$BA$20,0),FALSE),"")</f>
        <v>0</v>
      </c>
      <c r="E87" s="2">
        <f t="shared" si="11"/>
        <v>0</v>
      </c>
      <c r="F87" s="2">
        <f t="shared" si="12"/>
        <v>0</v>
      </c>
      <c r="G87" s="2">
        <f t="shared" si="13"/>
        <v>0</v>
      </c>
      <c r="H87" s="2">
        <f t="shared" si="14"/>
        <v>0</v>
      </c>
      <c r="I87" s="2">
        <f t="shared" si="10"/>
        <v>0</v>
      </c>
      <c r="J87">
        <f>IFERROR(VLOOKUP(B87,'General price list'!C:BA,MATCH("CBM",'General price list'!$C$20:$BA$20,0),FALSE)*(G87*C87),0)</f>
        <v>0</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1:49">
      <c r="A88" s="6"/>
      <c r="B88" s="90" t="s">
        <v>285</v>
      </c>
      <c r="C88" s="2" t="str">
        <f>IFERROR(VLOOKUP(B88,'General price list'!C:BA,MATCH("PAL",'General price list'!$C$20:$BA$20,0),FALSE),"")</f>
        <v>72</v>
      </c>
      <c r="D88" s="2">
        <f>IFERROR(VLOOKUP(B88,'General price list'!C:BA,MATCH("OBJ",'General price list'!$C$20:$BA$20,0),FALSE),"")</f>
        <v>0</v>
      </c>
      <c r="E88" s="2">
        <f t="shared" si="11"/>
        <v>0</v>
      </c>
      <c r="F88" s="2">
        <f t="shared" si="12"/>
        <v>0</v>
      </c>
      <c r="G88" s="2">
        <f t="shared" si="13"/>
        <v>0</v>
      </c>
      <c r="H88" s="2">
        <f t="shared" si="14"/>
        <v>0</v>
      </c>
      <c r="I88" s="2">
        <f t="shared" si="10"/>
        <v>0</v>
      </c>
      <c r="J88">
        <f>IFERROR(VLOOKUP(B88,'General price list'!C:BA,MATCH("CBM",'General price list'!$C$20:$BA$20,0),FALSE)*(G88*C88),0)</f>
        <v>0</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1:49">
      <c r="A89" s="6"/>
      <c r="B89" s="90" t="s">
        <v>286</v>
      </c>
      <c r="C89" s="2" t="str">
        <f>IFERROR(VLOOKUP(B89,'General price list'!C:BA,MATCH("PAL",'General price list'!$C$20:$BA$20,0),FALSE),"")</f>
        <v>72</v>
      </c>
      <c r="D89" s="2">
        <f>IFERROR(VLOOKUP(B89,'General price list'!C:BA,MATCH("OBJ",'General price list'!$C$20:$BA$20,0),FALSE),"")</f>
        <v>0</v>
      </c>
      <c r="E89" s="2">
        <f t="shared" si="11"/>
        <v>0</v>
      </c>
      <c r="F89" s="2">
        <f t="shared" si="12"/>
        <v>0</v>
      </c>
      <c r="G89" s="2">
        <f t="shared" si="13"/>
        <v>0</v>
      </c>
      <c r="H89" s="2">
        <f t="shared" si="14"/>
        <v>0</v>
      </c>
      <c r="I89" s="2">
        <f t="shared" si="10"/>
        <v>0</v>
      </c>
      <c r="J89">
        <f>IFERROR(VLOOKUP(B89,'General price list'!C:BA,MATCH("CBM",'General price list'!$C$20:$BA$20,0),FALSE)*(G89*C89),0)</f>
        <v>0</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1:49" ht="15" customHeight="1">
      <c r="B90" t="s">
        <v>291</v>
      </c>
      <c r="C90" s="2" t="str">
        <f>IFERROR(VLOOKUP(B90,'General price list'!C:BA,MATCH("PAL",'General price list'!$C$20:$BA$20,0),FALSE),"")</f>
        <v>72</v>
      </c>
      <c r="D90" s="2">
        <f>IFERROR(VLOOKUP(B90,'General price list'!C:BA,MATCH("OBJ",'General price list'!$C$20:$BA$20,0),FALSE),"")</f>
        <v>0</v>
      </c>
      <c r="E90" s="2">
        <f t="shared" si="11"/>
        <v>0</v>
      </c>
      <c r="F90" s="2">
        <f t="shared" si="12"/>
        <v>0</v>
      </c>
      <c r="G90" s="2">
        <f t="shared" si="13"/>
        <v>0</v>
      </c>
      <c r="H90" s="2">
        <f t="shared" si="14"/>
        <v>0</v>
      </c>
      <c r="I90" s="2">
        <f t="shared" si="10"/>
        <v>0</v>
      </c>
      <c r="J90">
        <f>IFERROR(VLOOKUP(B90,'General price list'!C:BA,MATCH("CBM",'General price list'!$C$20:$BA$20,0),FALSE)*(G90*C90),0)</f>
        <v>0</v>
      </c>
    </row>
    <row r="91" spans="1:49" ht="15" customHeight="1">
      <c r="B91" t="s">
        <v>292</v>
      </c>
      <c r="C91" s="2">
        <f>IFERROR(VLOOKUP(B91,'General price list'!C:BA,MATCH("PAL",'General price list'!$C$20:$BA$20,0),FALSE),"")</f>
        <v>42</v>
      </c>
      <c r="D91" s="2">
        <f>IFERROR(VLOOKUP(B91,'General price list'!C:BA,MATCH("OBJ",'General price list'!$C$20:$BA$20,0),FALSE),"")</f>
        <v>0</v>
      </c>
      <c r="E91" s="2">
        <f t="shared" si="11"/>
        <v>0</v>
      </c>
      <c r="F91" s="2">
        <f t="shared" si="12"/>
        <v>0</v>
      </c>
      <c r="G91" s="2">
        <f t="shared" si="13"/>
        <v>0</v>
      </c>
      <c r="H91" s="2">
        <f t="shared" si="14"/>
        <v>0</v>
      </c>
      <c r="I91" s="2">
        <f t="shared" si="10"/>
        <v>0</v>
      </c>
      <c r="J91">
        <f>IFERROR(VLOOKUP(B91,'General price list'!C:BA,MATCH("CBM",'General price list'!$C$20:$BA$20,0),FALSE)*(G91*C91),0)</f>
        <v>0</v>
      </c>
    </row>
    <row r="92" spans="1:49" ht="15" customHeight="1">
      <c r="B92" t="s">
        <v>297</v>
      </c>
      <c r="C92" s="2">
        <f>IFERROR(VLOOKUP(B92,'General price list'!C:BA,MATCH("PAL",'General price list'!$C$20:$BA$20,0),FALSE),"")</f>
        <v>42</v>
      </c>
      <c r="D92" s="2">
        <f>IFERROR(VLOOKUP(B92,'General price list'!C:BA,MATCH("OBJ",'General price list'!$C$20:$BA$20,0),FALSE),"")</f>
        <v>0</v>
      </c>
      <c r="E92" s="2">
        <f t="shared" si="11"/>
        <v>0</v>
      </c>
      <c r="F92" s="2">
        <f t="shared" si="12"/>
        <v>0</v>
      </c>
      <c r="G92" s="2">
        <f t="shared" si="13"/>
        <v>0</v>
      </c>
      <c r="H92" s="2">
        <f t="shared" si="14"/>
        <v>0</v>
      </c>
      <c r="I92" s="2">
        <f t="shared" si="10"/>
        <v>0</v>
      </c>
      <c r="J92">
        <f>IFERROR(VLOOKUP(B92,'General price list'!C:BA,MATCH("CBM",'General price list'!$C$20:$BA$20,0),FALSE)*(G92*C92),0)</f>
        <v>0</v>
      </c>
    </row>
    <row r="93" spans="1:49" ht="15" customHeight="1">
      <c r="B93" t="s">
        <v>302</v>
      </c>
      <c r="C93" s="2">
        <f>IFERROR(VLOOKUP(B93,'General price list'!C:BA,MATCH("PAL",'General price list'!$C$20:$BA$20,0),FALSE),"")</f>
        <v>42</v>
      </c>
      <c r="D93" s="2">
        <f>IFERROR(VLOOKUP(B93,'General price list'!C:BA,MATCH("OBJ",'General price list'!$C$20:$BA$20,0),FALSE),"")</f>
        <v>0</v>
      </c>
      <c r="E93" s="2">
        <f t="shared" si="11"/>
        <v>0</v>
      </c>
      <c r="F93" s="2">
        <f t="shared" si="12"/>
        <v>0</v>
      </c>
      <c r="G93" s="2">
        <f t="shared" si="13"/>
        <v>0</v>
      </c>
      <c r="H93" s="2">
        <f t="shared" si="14"/>
        <v>0</v>
      </c>
      <c r="I93" s="2">
        <f t="shared" si="10"/>
        <v>0</v>
      </c>
      <c r="J93">
        <f>IFERROR(VLOOKUP(B93,'General price list'!C:BA,MATCH("CBM",'General price list'!$C$20:$BA$20,0),FALSE)*(G93*C93),0)</f>
        <v>0</v>
      </c>
    </row>
    <row r="94" spans="1:49" ht="15" customHeight="1">
      <c r="B94" t="s">
        <v>12355</v>
      </c>
      <c r="C94" s="2" t="str">
        <f>IFERROR(VLOOKUP(B94,'General price list'!C:BA,MATCH("PAL",'General price list'!$C$20:$BA$20,0),FALSE),"")</f>
        <v>36</v>
      </c>
      <c r="D94" s="2">
        <f>IFERROR(VLOOKUP(B94,'General price list'!C:BA,MATCH("OBJ",'General price list'!$C$20:$BA$20,0),FALSE),"")</f>
        <v>0</v>
      </c>
      <c r="E94" s="2">
        <f t="shared" si="11"/>
        <v>0</v>
      </c>
      <c r="F94" s="2">
        <f t="shared" si="12"/>
        <v>0</v>
      </c>
      <c r="G94" s="2">
        <f t="shared" si="13"/>
        <v>0</v>
      </c>
      <c r="H94" s="2">
        <f t="shared" si="14"/>
        <v>0</v>
      </c>
      <c r="I94" s="2">
        <f t="shared" si="10"/>
        <v>0</v>
      </c>
      <c r="J94">
        <f>IFERROR(VLOOKUP(B94,'General price list'!C:BA,MATCH("CBM",'General price list'!$C$20:$BA$20,0),FALSE)*(G94*C94),0)</f>
        <v>0</v>
      </c>
    </row>
    <row r="95" spans="1:49" ht="15" customHeight="1">
      <c r="B95" t="s">
        <v>12357</v>
      </c>
      <c r="C95" s="2" t="str">
        <f>IFERROR(VLOOKUP(B95,'General price list'!C:BA,MATCH("PAL",'General price list'!$C$20:$BA$20,0),FALSE),"")</f>
        <v>36</v>
      </c>
      <c r="D95" s="2">
        <f>IFERROR(VLOOKUP(B95,'General price list'!C:BA,MATCH("OBJ",'General price list'!$C$20:$BA$20,0),FALSE),"")</f>
        <v>0</v>
      </c>
      <c r="E95" s="2">
        <f t="shared" si="11"/>
        <v>0</v>
      </c>
      <c r="F95" s="2">
        <f t="shared" si="12"/>
        <v>0</v>
      </c>
      <c r="G95" s="2">
        <f t="shared" si="13"/>
        <v>0</v>
      </c>
      <c r="H95" s="2">
        <f t="shared" si="14"/>
        <v>0</v>
      </c>
      <c r="I95" s="2">
        <f t="shared" si="10"/>
        <v>0</v>
      </c>
      <c r="J95">
        <f>IFERROR(VLOOKUP(B95,'General price list'!C:BA,MATCH("CBM",'General price list'!$C$20:$BA$20,0),FALSE)*(G95*C95),0)</f>
        <v>0</v>
      </c>
    </row>
    <row r="96" spans="1:49" ht="15" customHeight="1">
      <c r="B96" t="s">
        <v>12360</v>
      </c>
      <c r="C96" s="2" t="str">
        <f>IFERROR(VLOOKUP(B96,'General price list'!C:BA,MATCH("PAL",'General price list'!$C$20:$BA$20,0),FALSE),"")</f>
        <v>36</v>
      </c>
      <c r="D96" s="2">
        <f>IFERROR(VLOOKUP(B96,'General price list'!C:BA,MATCH("OBJ",'General price list'!$C$20:$BA$20,0),FALSE),"")</f>
        <v>0</v>
      </c>
      <c r="E96" s="2">
        <f t="shared" si="11"/>
        <v>0</v>
      </c>
      <c r="F96" s="2">
        <f t="shared" si="12"/>
        <v>0</v>
      </c>
      <c r="G96" s="2">
        <f t="shared" si="13"/>
        <v>0</v>
      </c>
      <c r="H96" s="2">
        <f t="shared" si="14"/>
        <v>0</v>
      </c>
      <c r="I96" s="2">
        <f t="shared" si="10"/>
        <v>0</v>
      </c>
      <c r="J96">
        <f>IFERROR(VLOOKUP(B96,'General price list'!C:BA,MATCH("CBM",'General price list'!$C$20:$BA$20,0),FALSE)*(G96*C96),0)</f>
        <v>0</v>
      </c>
    </row>
    <row r="97" spans="2:10" ht="15" customHeight="1">
      <c r="B97" t="s">
        <v>12361</v>
      </c>
      <c r="C97" s="2" t="str">
        <f>IFERROR(VLOOKUP(B97,'General price list'!C:BA,MATCH("PAL",'General price list'!$C$20:$BA$20,0),FALSE),"")</f>
        <v>36</v>
      </c>
      <c r="D97" s="2">
        <f>IFERROR(VLOOKUP(B97,'General price list'!C:BA,MATCH("OBJ",'General price list'!$C$20:$BA$20,0),FALSE),"")</f>
        <v>0</v>
      </c>
      <c r="E97" s="2">
        <f t="shared" si="11"/>
        <v>0</v>
      </c>
      <c r="F97" s="2">
        <f t="shared" si="12"/>
        <v>0</v>
      </c>
      <c r="G97" s="2">
        <f t="shared" si="13"/>
        <v>0</v>
      </c>
      <c r="H97" s="2">
        <f t="shared" si="14"/>
        <v>0</v>
      </c>
      <c r="I97" s="2">
        <f t="shared" si="10"/>
        <v>0</v>
      </c>
      <c r="J97">
        <f>IFERROR(VLOOKUP(B97,'General price list'!C:BA,MATCH("CBM",'General price list'!$C$20:$BA$20,0),FALSE)*(G97*C97),0)</f>
        <v>0</v>
      </c>
    </row>
    <row r="98" spans="2:10" ht="15" customHeight="1">
      <c r="B98" t="s">
        <v>12362</v>
      </c>
      <c r="C98" s="2" t="str">
        <f>IFERROR(VLOOKUP(B98,'General price list'!C:BA,MATCH("PAL",'General price list'!$C$20:$BA$20,0),FALSE),"")</f>
        <v>45</v>
      </c>
      <c r="D98" s="2">
        <f>IFERROR(VLOOKUP(B98,'General price list'!C:BA,MATCH("OBJ",'General price list'!$C$20:$BA$20,0),FALSE),"")</f>
        <v>0</v>
      </c>
      <c r="E98" s="2">
        <f t="shared" si="11"/>
        <v>0</v>
      </c>
      <c r="F98" s="2">
        <f t="shared" si="12"/>
        <v>0</v>
      </c>
      <c r="G98" s="2">
        <f t="shared" si="13"/>
        <v>0</v>
      </c>
      <c r="H98" s="2">
        <f t="shared" si="14"/>
        <v>0</v>
      </c>
      <c r="I98" s="2">
        <f t="shared" si="10"/>
        <v>0</v>
      </c>
      <c r="J98">
        <f>IFERROR(VLOOKUP(B98,'General price list'!C:BA,MATCH("CBM",'General price list'!$C$20:$BA$20,0),FALSE)*(G98*C98),0)</f>
        <v>0</v>
      </c>
    </row>
    <row r="99" spans="2:10" ht="15" customHeight="1">
      <c r="B99" t="s">
        <v>12365</v>
      </c>
      <c r="C99" s="2" t="str">
        <f>IFERROR(VLOOKUP(B99,'General price list'!C:BA,MATCH("PAL",'General price list'!$C$20:$BA$20,0),FALSE),"")</f>
        <v>45</v>
      </c>
      <c r="D99" s="2">
        <f>IFERROR(VLOOKUP(B99,'General price list'!C:BA,MATCH("OBJ",'General price list'!$C$20:$BA$20,0),FALSE),"")</f>
        <v>0</v>
      </c>
      <c r="E99" s="2">
        <f t="shared" si="11"/>
        <v>0</v>
      </c>
      <c r="F99" s="2">
        <f t="shared" si="12"/>
        <v>0</v>
      </c>
      <c r="G99" s="2">
        <f t="shared" si="13"/>
        <v>0</v>
      </c>
      <c r="H99" s="2">
        <f t="shared" si="14"/>
        <v>0</v>
      </c>
      <c r="I99" s="2">
        <f t="shared" si="10"/>
        <v>0</v>
      </c>
      <c r="J99">
        <f>IFERROR(VLOOKUP(B99,'General price list'!C:BA,MATCH("CBM",'General price list'!$C$20:$BA$20,0),FALSE)*(G99*C99),0)</f>
        <v>0</v>
      </c>
    </row>
    <row r="100" spans="2:10" ht="15" customHeight="1">
      <c r="B100" t="s">
        <v>12366</v>
      </c>
      <c r="C100" s="2" t="str">
        <f>IFERROR(VLOOKUP(B100,'General price list'!C:BA,MATCH("PAL",'General price list'!$C$20:$BA$20,0),FALSE),"")</f>
        <v>45</v>
      </c>
      <c r="D100" s="2">
        <f>IFERROR(VLOOKUP(B100,'General price list'!C:BA,MATCH("OBJ",'General price list'!$C$20:$BA$20,0),FALSE),"")</f>
        <v>0</v>
      </c>
      <c r="E100" s="2">
        <f t="shared" si="11"/>
        <v>0</v>
      </c>
      <c r="F100" s="2">
        <f t="shared" si="12"/>
        <v>0</v>
      </c>
      <c r="G100" s="2">
        <f t="shared" si="13"/>
        <v>0</v>
      </c>
      <c r="H100" s="2">
        <f t="shared" si="14"/>
        <v>0</v>
      </c>
      <c r="I100" s="2">
        <f t="shared" si="10"/>
        <v>0</v>
      </c>
      <c r="J100">
        <f>IFERROR(VLOOKUP(B100,'General price list'!C:BA,MATCH("CBM",'General price list'!$C$20:$BA$20,0),FALSE)*(G100*C100),0)</f>
        <v>0</v>
      </c>
    </row>
    <row r="101" spans="2:10" ht="15" customHeight="1">
      <c r="B101" t="s">
        <v>12367</v>
      </c>
      <c r="C101" s="2" t="str">
        <f>IFERROR(VLOOKUP(B101,'General price list'!C:BA,MATCH("PAL",'General price list'!$C$20:$BA$20,0),FALSE),"")</f>
        <v>45</v>
      </c>
      <c r="D101" s="2">
        <f>IFERROR(VLOOKUP(B101,'General price list'!C:BA,MATCH("OBJ",'General price list'!$C$20:$BA$20,0),FALSE),"")</f>
        <v>0</v>
      </c>
      <c r="E101" s="2">
        <f t="shared" si="11"/>
        <v>0</v>
      </c>
      <c r="F101" s="2">
        <f t="shared" si="12"/>
        <v>0</v>
      </c>
      <c r="G101" s="2">
        <f t="shared" si="13"/>
        <v>0</v>
      </c>
      <c r="H101" s="2">
        <f t="shared" si="14"/>
        <v>0</v>
      </c>
      <c r="I101" s="2">
        <f t="shared" si="10"/>
        <v>0</v>
      </c>
      <c r="J101">
        <f>IFERROR(VLOOKUP(B101,'General price list'!C:BA,MATCH("CBM",'General price list'!$C$20:$BA$20,0),FALSE)*(G101*C101),0)</f>
        <v>0</v>
      </c>
    </row>
    <row r="102" spans="2:10" ht="15" customHeight="1">
      <c r="B102" t="s">
        <v>12368</v>
      </c>
      <c r="C102" s="2" t="str">
        <f>IFERROR(VLOOKUP(B102,'General price list'!C:BA,MATCH("PAL",'General price list'!$C$20:$BA$20,0),FALSE),"")</f>
        <v>45</v>
      </c>
      <c r="D102" s="2">
        <f>IFERROR(VLOOKUP(B102,'General price list'!C:BA,MATCH("OBJ",'General price list'!$C$20:$BA$20,0),FALSE),"")</f>
        <v>0</v>
      </c>
      <c r="E102" s="2">
        <f t="shared" si="11"/>
        <v>0</v>
      </c>
      <c r="F102" s="2">
        <f t="shared" si="12"/>
        <v>0</v>
      </c>
      <c r="G102" s="2">
        <f t="shared" si="13"/>
        <v>0</v>
      </c>
      <c r="H102" s="2">
        <f t="shared" si="14"/>
        <v>0</v>
      </c>
      <c r="I102" s="2">
        <f t="shared" si="10"/>
        <v>0</v>
      </c>
      <c r="J102">
        <f>IFERROR(VLOOKUP(B102,'General price list'!C:BA,MATCH("CBM",'General price list'!$C$20:$BA$20,0),FALSE)*(G102*C102),0)</f>
        <v>0</v>
      </c>
    </row>
    <row r="103" spans="2:10" ht="15" customHeight="1">
      <c r="B103" t="s">
        <v>3635</v>
      </c>
      <c r="C103" s="2">
        <f>IFERROR(VLOOKUP(B103,'General price list'!C:BA,MATCH("PAL",'General price list'!$C$20:$BA$20,0),FALSE),"")</f>
        <v>28</v>
      </c>
      <c r="D103" s="2">
        <f>IFERROR(VLOOKUP(B103,'General price list'!C:BA,MATCH("OBJ",'General price list'!$C$20:$BA$20,0),FALSE),"")</f>
        <v>0</v>
      </c>
      <c r="E103" s="2">
        <f t="shared" si="11"/>
        <v>0</v>
      </c>
      <c r="F103" s="2">
        <f t="shared" si="12"/>
        <v>0</v>
      </c>
      <c r="G103" s="2">
        <f t="shared" si="13"/>
        <v>0</v>
      </c>
      <c r="H103" s="2">
        <f t="shared" si="14"/>
        <v>0</v>
      </c>
      <c r="I103" s="2">
        <f t="shared" si="10"/>
        <v>0</v>
      </c>
      <c r="J103">
        <f>IFERROR(VLOOKUP(B103,'General price list'!C:BA,MATCH("CBM",'General price list'!$C$20:$BA$20,0),FALSE)*(G103*C103),0)</f>
        <v>0</v>
      </c>
    </row>
    <row r="104" spans="2:10" ht="15" customHeight="1">
      <c r="B104" t="s">
        <v>3646</v>
      </c>
      <c r="C104" s="2">
        <f>IFERROR(VLOOKUP(B104,'General price list'!C:BA,MATCH("PAL",'General price list'!$C$20:$BA$20,0),FALSE),"")</f>
        <v>28</v>
      </c>
      <c r="D104" s="2">
        <f>IFERROR(VLOOKUP(B104,'General price list'!C:BA,MATCH("OBJ",'General price list'!$C$20:$BA$20,0),FALSE),"")</f>
        <v>0</v>
      </c>
      <c r="E104" s="2">
        <f t="shared" si="11"/>
        <v>0</v>
      </c>
      <c r="F104" s="2">
        <f t="shared" si="12"/>
        <v>0</v>
      </c>
      <c r="G104" s="2">
        <f t="shared" si="13"/>
        <v>0</v>
      </c>
      <c r="H104" s="2">
        <f t="shared" si="14"/>
        <v>0</v>
      </c>
      <c r="I104" s="2">
        <f t="shared" si="10"/>
        <v>0</v>
      </c>
      <c r="J104">
        <f>IFERROR(VLOOKUP(B104,'General price list'!C:BA,MATCH("CBM",'General price list'!$C$20:$BA$20,0),FALSE)*(G104*C104),0)</f>
        <v>0</v>
      </c>
    </row>
    <row r="105" spans="2:10" ht="15" customHeight="1">
      <c r="B105" t="s">
        <v>3657</v>
      </c>
      <c r="C105" s="2">
        <f>IFERROR(VLOOKUP(B105,'General price list'!C:BA,MATCH("PAL",'General price list'!$C$20:$BA$20,0),FALSE),"")</f>
        <v>28</v>
      </c>
      <c r="D105" s="2">
        <f>IFERROR(VLOOKUP(B105,'General price list'!C:BA,MATCH("OBJ",'General price list'!$C$20:$BA$20,0),FALSE),"")</f>
        <v>0</v>
      </c>
      <c r="E105" s="2">
        <f t="shared" si="11"/>
        <v>0</v>
      </c>
      <c r="F105" s="2">
        <f t="shared" si="12"/>
        <v>0</v>
      </c>
      <c r="G105" s="2">
        <f t="shared" si="13"/>
        <v>0</v>
      </c>
      <c r="H105" s="2">
        <f t="shared" si="14"/>
        <v>0</v>
      </c>
      <c r="I105" s="2">
        <f t="shared" si="10"/>
        <v>0</v>
      </c>
      <c r="J105">
        <f>IFERROR(VLOOKUP(B105,'General price list'!C:BA,MATCH("CBM",'General price list'!$C$20:$BA$20,0),FALSE)*(G105*C105),0)</f>
        <v>0</v>
      </c>
    </row>
    <row r="106" spans="2:10" ht="15" customHeight="1">
      <c r="B106" t="s">
        <v>3668</v>
      </c>
      <c r="C106" s="2">
        <f>IFERROR(VLOOKUP(B106,'General price list'!C:BA,MATCH("PAL",'General price list'!$C$20:$BA$20,0),FALSE),"")</f>
        <v>28</v>
      </c>
      <c r="D106" s="2">
        <f>IFERROR(VLOOKUP(B106,'General price list'!C:BA,MATCH("OBJ",'General price list'!$C$20:$BA$20,0),FALSE),"")</f>
        <v>0</v>
      </c>
      <c r="E106" s="2">
        <f t="shared" si="11"/>
        <v>0</v>
      </c>
      <c r="F106" s="2">
        <f t="shared" si="12"/>
        <v>0</v>
      </c>
      <c r="G106" s="2">
        <f t="shared" si="13"/>
        <v>0</v>
      </c>
      <c r="H106" s="2">
        <f t="shared" si="14"/>
        <v>0</v>
      </c>
      <c r="I106" s="2">
        <f t="shared" si="10"/>
        <v>0</v>
      </c>
      <c r="J106">
        <f>IFERROR(VLOOKUP(B106,'General price list'!C:BA,MATCH("CBM",'General price list'!$C$20:$BA$20,0),FALSE)*(G106*C106),0)</f>
        <v>0</v>
      </c>
    </row>
    <row r="107" spans="2:10" ht="15" customHeight="1">
      <c r="B107" t="s">
        <v>3679</v>
      </c>
      <c r="C107" s="2">
        <f>IFERROR(VLOOKUP(B107,'General price list'!C:BA,MATCH("PAL",'General price list'!$C$20:$BA$20,0),FALSE),"")</f>
        <v>36</v>
      </c>
      <c r="D107" s="2">
        <f>IFERROR(VLOOKUP(B107,'General price list'!C:BA,MATCH("OBJ",'General price list'!$C$20:$BA$20,0),FALSE),"")</f>
        <v>0</v>
      </c>
      <c r="E107" s="2">
        <f t="shared" si="11"/>
        <v>0</v>
      </c>
      <c r="F107" s="2">
        <f t="shared" si="12"/>
        <v>0</v>
      </c>
      <c r="G107" s="2">
        <f t="shared" si="13"/>
        <v>0</v>
      </c>
      <c r="H107" s="2">
        <f t="shared" si="14"/>
        <v>0</v>
      </c>
      <c r="I107" s="2">
        <f t="shared" si="10"/>
        <v>0</v>
      </c>
      <c r="J107">
        <f>IFERROR(VLOOKUP(B107,'General price list'!C:BA,MATCH("CBM",'General price list'!$C$20:$BA$20,0),FALSE)*(G107*C107),0)</f>
        <v>0</v>
      </c>
    </row>
    <row r="108" spans="2:10" ht="15" customHeight="1">
      <c r="B108" t="s">
        <v>3690</v>
      </c>
      <c r="C108" s="2">
        <f>IFERROR(VLOOKUP(B108,'General price list'!C:BA,MATCH("PAL",'General price list'!$C$20:$BA$20,0),FALSE),"")</f>
        <v>36</v>
      </c>
      <c r="D108" s="2">
        <f>IFERROR(VLOOKUP(B108,'General price list'!C:BA,MATCH("OBJ",'General price list'!$C$20:$BA$20,0),FALSE),"")</f>
        <v>0</v>
      </c>
      <c r="E108" s="2">
        <f t="shared" si="11"/>
        <v>0</v>
      </c>
      <c r="F108" s="2">
        <f t="shared" si="12"/>
        <v>0</v>
      </c>
      <c r="G108" s="2">
        <f t="shared" si="13"/>
        <v>0</v>
      </c>
      <c r="H108" s="2">
        <f t="shared" si="14"/>
        <v>0</v>
      </c>
      <c r="I108" s="2">
        <f t="shared" si="10"/>
        <v>0</v>
      </c>
      <c r="J108">
        <f>IFERROR(VLOOKUP(B108,'General price list'!C:BA,MATCH("CBM",'General price list'!$C$20:$BA$20,0),FALSE)*(G108*C108),0)</f>
        <v>0</v>
      </c>
    </row>
    <row r="109" spans="2:10" ht="15" customHeight="1">
      <c r="B109" t="s">
        <v>3701</v>
      </c>
      <c r="C109" s="2">
        <f>IFERROR(VLOOKUP(B109,'General price list'!C:BA,MATCH("PAL",'General price list'!$C$20:$BA$20,0),FALSE),"")</f>
        <v>36</v>
      </c>
      <c r="D109" s="2">
        <f>IFERROR(VLOOKUP(B109,'General price list'!C:BA,MATCH("OBJ",'General price list'!$C$20:$BA$20,0),FALSE),"")</f>
        <v>0</v>
      </c>
      <c r="E109" s="2">
        <f t="shared" si="11"/>
        <v>0</v>
      </c>
      <c r="F109" s="2">
        <f t="shared" si="12"/>
        <v>0</v>
      </c>
      <c r="G109" s="2">
        <f t="shared" si="13"/>
        <v>0</v>
      </c>
      <c r="H109" s="2">
        <f t="shared" si="14"/>
        <v>0</v>
      </c>
      <c r="I109" s="2">
        <f t="shared" si="10"/>
        <v>0</v>
      </c>
      <c r="J109">
        <f>IFERROR(VLOOKUP(B109,'General price list'!C:BA,MATCH("CBM",'General price list'!$C$20:$BA$20,0),FALSE)*(G109*C109),0)</f>
        <v>0</v>
      </c>
    </row>
    <row r="110" spans="2:10" ht="15" customHeight="1">
      <c r="B110" t="s">
        <v>3712</v>
      </c>
      <c r="C110" s="2">
        <f>IFERROR(VLOOKUP(B110,'General price list'!C:BA,MATCH("PAL",'General price list'!$C$20:$BA$20,0),FALSE),"")</f>
        <v>36</v>
      </c>
      <c r="D110" s="2">
        <f>IFERROR(VLOOKUP(B110,'General price list'!C:BA,MATCH("OBJ",'General price list'!$C$20:$BA$20,0),FALSE),"")</f>
        <v>0</v>
      </c>
      <c r="E110" s="2">
        <f t="shared" si="11"/>
        <v>0</v>
      </c>
      <c r="F110" s="2">
        <f t="shared" si="12"/>
        <v>0</v>
      </c>
      <c r="G110" s="2">
        <f t="shared" si="13"/>
        <v>0</v>
      </c>
      <c r="H110" s="2">
        <f t="shared" si="14"/>
        <v>0</v>
      </c>
      <c r="I110" s="2">
        <f t="shared" si="10"/>
        <v>0</v>
      </c>
      <c r="J110">
        <f>IFERROR(VLOOKUP(B110,'General price list'!C:BA,MATCH("CBM",'General price list'!$C$20:$BA$20,0),FALSE)*(G110*C110),0)</f>
        <v>0</v>
      </c>
    </row>
    <row r="111" spans="2:10" ht="15" customHeight="1">
      <c r="B111" t="s">
        <v>361</v>
      </c>
      <c r="C111" s="2">
        <f>IFERROR(VLOOKUP(B111,'General price list'!C:BA,MATCH("PAL",'General price list'!$C$20:$BA$20,0),FALSE),"")</f>
        <v>60</v>
      </c>
      <c r="D111" s="2">
        <f>IFERROR(VLOOKUP(B111,'General price list'!C:BA,MATCH("OBJ",'General price list'!$C$20:$BA$20,0),FALSE),"")</f>
        <v>0</v>
      </c>
      <c r="E111" s="2">
        <f t="shared" si="11"/>
        <v>0</v>
      </c>
      <c r="F111" s="2">
        <f t="shared" si="12"/>
        <v>0</v>
      </c>
      <c r="G111" s="2">
        <f t="shared" si="13"/>
        <v>0</v>
      </c>
      <c r="H111" s="2">
        <f t="shared" si="14"/>
        <v>0</v>
      </c>
      <c r="I111" s="2">
        <f t="shared" si="10"/>
        <v>0</v>
      </c>
      <c r="J111">
        <f>IFERROR(VLOOKUP(B111,'General price list'!C:BA,MATCH("CBM",'General price list'!$C$20:$BA$20,0),FALSE)*(G111*C111),0)</f>
        <v>0</v>
      </c>
    </row>
    <row r="112" spans="2:10" ht="15" customHeight="1">
      <c r="B112" t="s">
        <v>367</v>
      </c>
      <c r="C112" s="2">
        <f>IFERROR(VLOOKUP(B112,'General price list'!C:BA,MATCH("PAL",'General price list'!$C$20:$BA$20,0),FALSE),"")</f>
        <v>60</v>
      </c>
      <c r="D112" s="2">
        <f>IFERROR(VLOOKUP(B112,'General price list'!C:BA,MATCH("OBJ",'General price list'!$C$20:$BA$20,0),FALSE),"")</f>
        <v>0</v>
      </c>
      <c r="E112" s="2">
        <f t="shared" si="11"/>
        <v>0</v>
      </c>
      <c r="F112" s="2">
        <f t="shared" si="12"/>
        <v>0</v>
      </c>
      <c r="G112" s="2">
        <f t="shared" si="13"/>
        <v>0</v>
      </c>
      <c r="H112" s="2">
        <f t="shared" si="14"/>
        <v>0</v>
      </c>
      <c r="I112" s="2">
        <f t="shared" si="10"/>
        <v>0</v>
      </c>
      <c r="J112">
        <f>IFERROR(VLOOKUP(B112,'General price list'!C:BA,MATCH("CBM",'General price list'!$C$20:$BA$20,0),FALSE)*(G112*C112),0)</f>
        <v>0</v>
      </c>
    </row>
    <row r="113" spans="2:10" ht="15" customHeight="1">
      <c r="B113" t="s">
        <v>371</v>
      </c>
      <c r="C113" s="2">
        <f>IFERROR(VLOOKUP(B113,'General price list'!C:BA,MATCH("PAL",'General price list'!$C$20:$BA$20,0),FALSE),"")</f>
        <v>60</v>
      </c>
      <c r="D113" s="2">
        <f>IFERROR(VLOOKUP(B113,'General price list'!C:BA,MATCH("OBJ",'General price list'!$C$20:$BA$20,0),FALSE),"")</f>
        <v>0</v>
      </c>
      <c r="E113" s="2">
        <f t="shared" si="11"/>
        <v>0</v>
      </c>
      <c r="F113" s="2">
        <f t="shared" si="12"/>
        <v>0</v>
      </c>
      <c r="G113" s="2">
        <f t="shared" si="13"/>
        <v>0</v>
      </c>
      <c r="H113" s="2">
        <f t="shared" si="14"/>
        <v>0</v>
      </c>
      <c r="I113" s="2">
        <f t="shared" si="10"/>
        <v>0</v>
      </c>
      <c r="J113">
        <f>IFERROR(VLOOKUP(B113,'General price list'!C:BA,MATCH("CBM",'General price list'!$C$20:$BA$20,0),FALSE)*(G113*C113),0)</f>
        <v>0</v>
      </c>
    </row>
    <row r="114" spans="2:10" ht="15" customHeight="1">
      <c r="B114" t="s">
        <v>376</v>
      </c>
      <c r="C114" s="2">
        <f>IFERROR(VLOOKUP(B114,'General price list'!C:BA,MATCH("PAL",'General price list'!$C$20:$BA$20,0),FALSE),"")</f>
        <v>60</v>
      </c>
      <c r="D114" s="2">
        <f>IFERROR(VLOOKUP(B114,'General price list'!C:BA,MATCH("OBJ",'General price list'!$C$20:$BA$20,0),FALSE),"")</f>
        <v>0</v>
      </c>
      <c r="E114" s="2">
        <f t="shared" si="11"/>
        <v>0</v>
      </c>
      <c r="F114" s="2">
        <f t="shared" si="12"/>
        <v>0</v>
      </c>
      <c r="G114" s="2">
        <f t="shared" si="13"/>
        <v>0</v>
      </c>
      <c r="H114" s="2">
        <f t="shared" si="14"/>
        <v>0</v>
      </c>
      <c r="I114" s="2">
        <f t="shared" si="10"/>
        <v>0</v>
      </c>
      <c r="J114">
        <f>IFERROR(VLOOKUP(B114,'General price list'!C:BA,MATCH("CBM",'General price list'!$C$20:$BA$20,0),FALSE)*(G114*C114),0)</f>
        <v>0</v>
      </c>
    </row>
    <row r="115" spans="2:10" ht="15" customHeight="1">
      <c r="B115" t="s">
        <v>380</v>
      </c>
      <c r="C115" s="2">
        <f>IFERROR(VLOOKUP(B115,'General price list'!C:BA,MATCH("PAL",'General price list'!$C$20:$BA$20,0),FALSE),"")</f>
        <v>60</v>
      </c>
      <c r="D115" s="2">
        <f>IFERROR(VLOOKUP(B115,'General price list'!C:BA,MATCH("OBJ",'General price list'!$C$20:$BA$20,0),FALSE),"")</f>
        <v>0</v>
      </c>
      <c r="E115" s="2">
        <f t="shared" si="11"/>
        <v>0</v>
      </c>
      <c r="F115" s="2">
        <f t="shared" si="12"/>
        <v>0</v>
      </c>
      <c r="G115" s="2">
        <f t="shared" si="13"/>
        <v>0</v>
      </c>
      <c r="H115" s="2">
        <f t="shared" si="14"/>
        <v>0</v>
      </c>
      <c r="I115" s="2">
        <f t="shared" si="10"/>
        <v>0</v>
      </c>
      <c r="J115">
        <f>IFERROR(VLOOKUP(B115,'General price list'!C:BA,MATCH("CBM",'General price list'!$C$20:$BA$20,0),FALSE)*(G115*C115),0)</f>
        <v>0</v>
      </c>
    </row>
    <row r="116" spans="2:10" ht="15" customHeight="1">
      <c r="B116" t="s">
        <v>381</v>
      </c>
      <c r="C116" s="2">
        <f>IFERROR(VLOOKUP(B116,'General price list'!C:BA,MATCH("PAL",'General price list'!$C$20:$BA$20,0),FALSE),"")</f>
        <v>60</v>
      </c>
      <c r="D116" s="2">
        <f>IFERROR(VLOOKUP(B116,'General price list'!C:BA,MATCH("OBJ",'General price list'!$C$20:$BA$20,0),FALSE),"")</f>
        <v>0</v>
      </c>
      <c r="E116" s="2">
        <f t="shared" si="11"/>
        <v>0</v>
      </c>
      <c r="F116" s="2">
        <f t="shared" si="12"/>
        <v>0</v>
      </c>
      <c r="G116" s="2">
        <f t="shared" si="13"/>
        <v>0</v>
      </c>
      <c r="H116" s="2">
        <f t="shared" si="14"/>
        <v>0</v>
      </c>
      <c r="I116" s="2">
        <f t="shared" si="10"/>
        <v>0</v>
      </c>
      <c r="J116">
        <f>IFERROR(VLOOKUP(B116,'General price list'!C:BA,MATCH("CBM",'General price list'!$C$20:$BA$20,0),FALSE)*(G116*C116),0)</f>
        <v>0</v>
      </c>
    </row>
    <row r="117" spans="2:10" ht="15" customHeight="1">
      <c r="B117" t="s">
        <v>385</v>
      </c>
      <c r="C117" s="2">
        <f>IFERROR(VLOOKUP(B117,'General price list'!C:BA,MATCH("PAL",'General price list'!$C$20:$BA$20,0),FALSE),"")</f>
        <v>60</v>
      </c>
      <c r="D117" s="2">
        <f>IFERROR(VLOOKUP(B117,'General price list'!C:BA,MATCH("OBJ",'General price list'!$C$20:$BA$20,0),FALSE),"")</f>
        <v>0</v>
      </c>
      <c r="E117" s="2">
        <f t="shared" si="11"/>
        <v>0</v>
      </c>
      <c r="F117" s="2">
        <f t="shared" si="12"/>
        <v>0</v>
      </c>
      <c r="G117" s="2">
        <f t="shared" si="13"/>
        <v>0</v>
      </c>
      <c r="H117" s="2">
        <f t="shared" si="14"/>
        <v>0</v>
      </c>
      <c r="I117" s="2">
        <f t="shared" si="10"/>
        <v>0</v>
      </c>
      <c r="J117">
        <f>IFERROR(VLOOKUP(B117,'General price list'!C:BA,MATCH("CBM",'General price list'!$C$20:$BA$20,0),FALSE)*(G117*C117),0)</f>
        <v>0</v>
      </c>
    </row>
    <row r="118" spans="2:10" ht="15" customHeight="1">
      <c r="B118" t="s">
        <v>386</v>
      </c>
      <c r="C118" s="2">
        <f>IFERROR(VLOOKUP(B118,'General price list'!C:BA,MATCH("PAL",'General price list'!$C$20:$BA$20,0),FALSE),"")</f>
        <v>60</v>
      </c>
      <c r="D118" s="2">
        <f>IFERROR(VLOOKUP(B118,'General price list'!C:BA,MATCH("OBJ",'General price list'!$C$20:$BA$20,0),FALSE),"")</f>
        <v>0</v>
      </c>
      <c r="E118" s="2">
        <f t="shared" si="11"/>
        <v>0</v>
      </c>
      <c r="F118" s="2">
        <f t="shared" si="12"/>
        <v>0</v>
      </c>
      <c r="G118" s="2">
        <f t="shared" si="13"/>
        <v>0</v>
      </c>
      <c r="H118" s="2">
        <f t="shared" si="14"/>
        <v>0</v>
      </c>
      <c r="I118" s="2">
        <f t="shared" si="10"/>
        <v>0</v>
      </c>
      <c r="J118">
        <f>IFERROR(VLOOKUP(B118,'General price list'!C:BA,MATCH("CBM",'General price list'!$C$20:$BA$20,0),FALSE)*(G118*C118),0)</f>
        <v>0</v>
      </c>
    </row>
    <row r="119" spans="2:10" ht="15" customHeight="1">
      <c r="B119" t="s">
        <v>390</v>
      </c>
      <c r="C119" s="2">
        <f>IFERROR(VLOOKUP(B119,'General price list'!C:BA,MATCH("PAL",'General price list'!$C$20:$BA$20,0),FALSE),"")</f>
        <v>60</v>
      </c>
      <c r="D119" s="2">
        <f>IFERROR(VLOOKUP(B119,'General price list'!C:BA,MATCH("OBJ",'General price list'!$C$20:$BA$20,0),FALSE),"")</f>
        <v>0</v>
      </c>
      <c r="E119" s="2">
        <f t="shared" si="11"/>
        <v>0</v>
      </c>
      <c r="F119" s="2">
        <f t="shared" si="12"/>
        <v>0</v>
      </c>
      <c r="G119" s="2">
        <f t="shared" si="13"/>
        <v>0</v>
      </c>
      <c r="H119" s="2">
        <f t="shared" si="14"/>
        <v>0</v>
      </c>
      <c r="I119" s="2">
        <f t="shared" si="10"/>
        <v>0</v>
      </c>
      <c r="J119">
        <f>IFERROR(VLOOKUP(B119,'General price list'!C:BA,MATCH("CBM",'General price list'!$C$20:$BA$20,0),FALSE)*(G119*C119),0)</f>
        <v>0</v>
      </c>
    </row>
    <row r="120" spans="2:10" ht="15" customHeight="1">
      <c r="B120" t="s">
        <v>12453</v>
      </c>
      <c r="C120" s="2" t="str">
        <f>IFERROR(VLOOKUP(B120,'General price list'!C:BA,MATCH("PAL",'General price list'!$C$20:$BA$20,0),FALSE),"")</f>
        <v>36</v>
      </c>
      <c r="D120" s="2">
        <f>IFERROR(VLOOKUP(B120,'General price list'!C:BA,MATCH("OBJ",'General price list'!$C$20:$BA$20,0),FALSE),"")</f>
        <v>0</v>
      </c>
      <c r="E120" s="2">
        <f t="shared" si="11"/>
        <v>0</v>
      </c>
      <c r="F120" s="2">
        <f t="shared" si="12"/>
        <v>0</v>
      </c>
      <c r="G120" s="2">
        <f t="shared" si="13"/>
        <v>0</v>
      </c>
      <c r="H120" s="2">
        <f t="shared" si="14"/>
        <v>0</v>
      </c>
      <c r="I120" s="2">
        <f t="shared" si="10"/>
        <v>0</v>
      </c>
      <c r="J120">
        <f>IFERROR(VLOOKUP(B120,'General price list'!C:BA,MATCH("CBM",'General price list'!$C$20:$BA$20,0),FALSE)*(G120*C120),0)</f>
        <v>0</v>
      </c>
    </row>
    <row r="121" spans="2:10" ht="15" customHeight="1">
      <c r="B121" t="s">
        <v>12454</v>
      </c>
      <c r="C121" s="2" t="str">
        <f>IFERROR(VLOOKUP(B121,'General price list'!C:BA,MATCH("PAL",'General price list'!$C$20:$BA$20,0),FALSE),"")</f>
        <v>36</v>
      </c>
      <c r="D121" s="2">
        <f>IFERROR(VLOOKUP(B121,'General price list'!C:BA,MATCH("OBJ",'General price list'!$C$20:$BA$20,0),FALSE),"")</f>
        <v>0</v>
      </c>
      <c r="E121" s="2">
        <f t="shared" si="11"/>
        <v>0</v>
      </c>
      <c r="F121" s="2">
        <f t="shared" si="12"/>
        <v>0</v>
      </c>
      <c r="G121" s="2">
        <f t="shared" si="13"/>
        <v>0</v>
      </c>
      <c r="H121" s="2">
        <f t="shared" si="14"/>
        <v>0</v>
      </c>
      <c r="I121" s="2">
        <f t="shared" si="10"/>
        <v>0</v>
      </c>
      <c r="J121">
        <f>IFERROR(VLOOKUP(B121,'General price list'!C:BA,MATCH("CBM",'General price list'!$C$20:$BA$20,0),FALSE)*(G121*C121),0)</f>
        <v>0</v>
      </c>
    </row>
    <row r="122" spans="2:10" ht="15" customHeight="1">
      <c r="B122" t="s">
        <v>12372</v>
      </c>
      <c r="C122" s="2">
        <f>IFERROR(VLOOKUP(B122,'General price list'!C:BA,MATCH("PAL",'General price list'!$C$20:$BA$20,0),FALSE),"")</f>
        <v>21</v>
      </c>
      <c r="D122" s="2">
        <f>IFERROR(VLOOKUP(B122,'General price list'!C:BA,MATCH("OBJ",'General price list'!$C$20:$BA$20,0),FALSE),"")</f>
        <v>0</v>
      </c>
      <c r="E122" s="2">
        <f t="shared" si="11"/>
        <v>0</v>
      </c>
      <c r="F122" s="2">
        <f t="shared" si="12"/>
        <v>0</v>
      </c>
      <c r="G122" s="2">
        <f t="shared" si="13"/>
        <v>0</v>
      </c>
      <c r="H122" s="2">
        <f t="shared" si="14"/>
        <v>0</v>
      </c>
      <c r="I122" s="2">
        <f t="shared" si="10"/>
        <v>0</v>
      </c>
      <c r="J122">
        <f>IFERROR(VLOOKUP(B122,'General price list'!C:BA,MATCH("CBM",'General price list'!$C$20:$BA$20,0),FALSE)*(G122*C122),0)</f>
        <v>0</v>
      </c>
    </row>
    <row r="123" spans="2:10" ht="15" customHeight="1">
      <c r="B123" t="s">
        <v>3782</v>
      </c>
      <c r="C123" s="2">
        <f>IFERROR(VLOOKUP(B123,'General price list'!C:BA,MATCH("PAL",'General price list'!$C$20:$BA$20,0),FALSE),"")</f>
        <v>21</v>
      </c>
      <c r="D123" s="2">
        <f>IFERROR(VLOOKUP(B123,'General price list'!C:BA,MATCH("OBJ",'General price list'!$C$20:$BA$20,0),FALSE),"")</f>
        <v>0</v>
      </c>
      <c r="E123" s="2">
        <f t="shared" si="11"/>
        <v>0</v>
      </c>
      <c r="F123" s="2">
        <f t="shared" si="12"/>
        <v>0</v>
      </c>
      <c r="G123" s="2">
        <f t="shared" si="13"/>
        <v>0</v>
      </c>
      <c r="H123" s="2">
        <f t="shared" si="14"/>
        <v>0</v>
      </c>
      <c r="I123" s="2">
        <f t="shared" si="10"/>
        <v>0</v>
      </c>
      <c r="J123">
        <f>IFERROR(VLOOKUP(B123,'General price list'!C:BA,MATCH("CBM",'General price list'!$C$20:$BA$20,0),FALSE)*(G123*C123),0)</f>
        <v>0</v>
      </c>
    </row>
    <row r="124" spans="2:10" ht="15" customHeight="1">
      <c r="B124" t="s">
        <v>3793</v>
      </c>
      <c r="C124" s="2">
        <f>IFERROR(VLOOKUP(B124,'General price list'!C:BA,MATCH("PAL",'General price list'!$C$20:$BA$20,0),FALSE),"")</f>
        <v>21</v>
      </c>
      <c r="D124" s="2">
        <f>IFERROR(VLOOKUP(B124,'General price list'!C:BA,MATCH("OBJ",'General price list'!$C$20:$BA$20,0),FALSE),"")</f>
        <v>0</v>
      </c>
      <c r="E124" s="2">
        <f t="shared" si="11"/>
        <v>0</v>
      </c>
      <c r="F124" s="2">
        <f t="shared" si="12"/>
        <v>0</v>
      </c>
      <c r="G124" s="2">
        <f t="shared" si="13"/>
        <v>0</v>
      </c>
      <c r="H124" s="2">
        <f t="shared" si="14"/>
        <v>0</v>
      </c>
      <c r="I124" s="2">
        <f t="shared" si="10"/>
        <v>0</v>
      </c>
      <c r="J124">
        <f>IFERROR(VLOOKUP(B124,'General price list'!C:BA,MATCH("CBM",'General price list'!$C$20:$BA$20,0),FALSE)*(G124*C124),0)</f>
        <v>0</v>
      </c>
    </row>
    <row r="125" spans="2:10" ht="15" customHeight="1">
      <c r="B125" t="s">
        <v>3804</v>
      </c>
      <c r="C125" s="2">
        <f>IFERROR(VLOOKUP(B125,'General price list'!C:BA,MATCH("PAL",'General price list'!$C$20:$BA$20,0),FALSE),"")</f>
        <v>21</v>
      </c>
      <c r="D125" s="2">
        <f>IFERROR(VLOOKUP(B125,'General price list'!C:BA,MATCH("OBJ",'General price list'!$C$20:$BA$20,0),FALSE),"")</f>
        <v>0</v>
      </c>
      <c r="E125" s="2">
        <f t="shared" si="11"/>
        <v>0</v>
      </c>
      <c r="F125" s="2">
        <f t="shared" si="12"/>
        <v>0</v>
      </c>
      <c r="G125" s="2">
        <f t="shared" si="13"/>
        <v>0</v>
      </c>
      <c r="H125" s="2">
        <f t="shared" si="14"/>
        <v>0</v>
      </c>
      <c r="I125" s="2">
        <f t="shared" si="10"/>
        <v>0</v>
      </c>
      <c r="J125">
        <f>IFERROR(VLOOKUP(B125,'General price list'!C:BA,MATCH("CBM",'General price list'!$C$20:$BA$20,0),FALSE)*(G125*C125),0)</f>
        <v>0</v>
      </c>
    </row>
    <row r="126" spans="2:10" ht="15" customHeight="1">
      <c r="B126" t="s">
        <v>3815</v>
      </c>
      <c r="C126" s="2">
        <f>IFERROR(VLOOKUP(B126,'General price list'!C:BA,MATCH("PAL",'General price list'!$C$20:$BA$20,0),FALSE),"")</f>
        <v>21</v>
      </c>
      <c r="D126" s="2">
        <f>IFERROR(VLOOKUP(B126,'General price list'!C:BA,MATCH("OBJ",'General price list'!$C$20:$BA$20,0),FALSE),"")</f>
        <v>0</v>
      </c>
      <c r="E126" s="2">
        <f t="shared" si="11"/>
        <v>0</v>
      </c>
      <c r="F126" s="2">
        <f t="shared" si="12"/>
        <v>0</v>
      </c>
      <c r="G126" s="2">
        <f t="shared" si="13"/>
        <v>0</v>
      </c>
      <c r="H126" s="2">
        <f t="shared" si="14"/>
        <v>0</v>
      </c>
      <c r="I126" s="2">
        <f t="shared" si="10"/>
        <v>0</v>
      </c>
      <c r="J126">
        <f>IFERROR(VLOOKUP(B126,'General price list'!C:BA,MATCH("CBM",'General price list'!$C$20:$BA$20,0),FALSE)*(G126*C126),0)</f>
        <v>0</v>
      </c>
    </row>
    <row r="127" spans="2:10" ht="15" customHeight="1">
      <c r="B127" t="s">
        <v>3826</v>
      </c>
      <c r="C127" s="2">
        <f>IFERROR(VLOOKUP(B127,'General price list'!C:BA,MATCH("PAL",'General price list'!$C$20:$BA$20,0),FALSE),"")</f>
        <v>21</v>
      </c>
      <c r="D127" s="2">
        <f>IFERROR(VLOOKUP(B127,'General price list'!C:BA,MATCH("OBJ",'General price list'!$C$20:$BA$20,0),FALSE),"")</f>
        <v>0</v>
      </c>
      <c r="E127" s="2">
        <f t="shared" si="11"/>
        <v>0</v>
      </c>
      <c r="F127" s="2">
        <f t="shared" si="12"/>
        <v>0</v>
      </c>
      <c r="G127" s="2">
        <f t="shared" si="13"/>
        <v>0</v>
      </c>
      <c r="H127" s="2">
        <f t="shared" si="14"/>
        <v>0</v>
      </c>
      <c r="I127" s="2">
        <f t="shared" si="10"/>
        <v>0</v>
      </c>
      <c r="J127">
        <f>IFERROR(VLOOKUP(B127,'General price list'!C:BA,MATCH("CBM",'General price list'!$C$20:$BA$20,0),FALSE)*(G127*C127),0)</f>
        <v>0</v>
      </c>
    </row>
    <row r="128" spans="2:10" ht="15" customHeight="1">
      <c r="B128" t="s">
        <v>3837</v>
      </c>
      <c r="C128" s="2">
        <f>IFERROR(VLOOKUP(B128,'General price list'!C:BA,MATCH("PAL",'General price list'!$C$20:$BA$20,0),FALSE),"")</f>
        <v>21</v>
      </c>
      <c r="D128" s="2">
        <f>IFERROR(VLOOKUP(B128,'General price list'!C:BA,MATCH("OBJ",'General price list'!$C$20:$BA$20,0),FALSE),"")</f>
        <v>0</v>
      </c>
      <c r="E128" s="2">
        <f t="shared" si="11"/>
        <v>0</v>
      </c>
      <c r="F128" s="2">
        <f t="shared" si="12"/>
        <v>0</v>
      </c>
      <c r="G128" s="2">
        <f t="shared" si="13"/>
        <v>0</v>
      </c>
      <c r="H128" s="2">
        <f t="shared" si="14"/>
        <v>0</v>
      </c>
      <c r="I128" s="2">
        <f t="shared" si="10"/>
        <v>0</v>
      </c>
      <c r="J128">
        <f>IFERROR(VLOOKUP(B128,'General price list'!C:BA,MATCH("CBM",'General price list'!$C$20:$BA$20,0),FALSE)*(G128*C128),0)</f>
        <v>0</v>
      </c>
    </row>
    <row r="129" spans="2:10" ht="15" customHeight="1">
      <c r="B129" t="s">
        <v>3848</v>
      </c>
      <c r="C129" s="2">
        <f>IFERROR(VLOOKUP(B129,'General price list'!C:BA,MATCH("PAL",'General price list'!$C$20:$BA$20,0),FALSE),"")</f>
        <v>21</v>
      </c>
      <c r="D129" s="2">
        <f>IFERROR(VLOOKUP(B129,'General price list'!C:BA,MATCH("OBJ",'General price list'!$C$20:$BA$20,0),FALSE),"")</f>
        <v>0</v>
      </c>
      <c r="E129" s="2">
        <f t="shared" si="11"/>
        <v>0</v>
      </c>
      <c r="F129" s="2">
        <f t="shared" si="12"/>
        <v>0</v>
      </c>
      <c r="G129" s="2">
        <f t="shared" si="13"/>
        <v>0</v>
      </c>
      <c r="H129" s="2">
        <f t="shared" si="14"/>
        <v>0</v>
      </c>
      <c r="I129" s="2">
        <f t="shared" si="10"/>
        <v>0</v>
      </c>
      <c r="J129">
        <f>IFERROR(VLOOKUP(B129,'General price list'!C:BA,MATCH("CBM",'General price list'!$C$20:$BA$20,0),FALSE)*(G129*C129),0)</f>
        <v>0</v>
      </c>
    </row>
    <row r="130" spans="2:10" ht="15" customHeight="1">
      <c r="B130" t="s">
        <v>944</v>
      </c>
      <c r="C130" s="2" t="str">
        <f>IFERROR(VLOOKUP(B130,'General price list'!C:BA,MATCH("PAL",'General price list'!$C$20:$BA$20,0),FALSE),"")</f>
        <v>60</v>
      </c>
      <c r="D130" s="2">
        <f>IFERROR(VLOOKUP(B130,'General price list'!C:BA,MATCH("OBJ",'General price list'!$C$20:$BA$20,0),FALSE),"")</f>
        <v>0</v>
      </c>
      <c r="E130" s="2">
        <f t="shared" si="11"/>
        <v>0</v>
      </c>
      <c r="F130" s="2">
        <f t="shared" si="12"/>
        <v>0</v>
      </c>
      <c r="G130" s="2">
        <f t="shared" si="13"/>
        <v>0</v>
      </c>
      <c r="H130" s="2">
        <f t="shared" si="14"/>
        <v>0</v>
      </c>
      <c r="I130" s="2">
        <f t="shared" si="10"/>
        <v>0</v>
      </c>
      <c r="J130">
        <f>IFERROR(VLOOKUP(B130,'General price list'!C:BA,MATCH("CBM",'General price list'!$C$20:$BA$20,0),FALSE)*(G130*C130),0)</f>
        <v>0</v>
      </c>
    </row>
    <row r="131" spans="2:10" ht="15" customHeight="1">
      <c r="B131" t="s">
        <v>946</v>
      </c>
      <c r="C131" s="2" t="str">
        <f>IFERROR(VLOOKUP(B131,'General price list'!C:BA,MATCH("PAL",'General price list'!$C$20:$BA$20,0),FALSE),"")</f>
        <v>60</v>
      </c>
      <c r="D131" s="2">
        <f>IFERROR(VLOOKUP(B131,'General price list'!C:BA,MATCH("OBJ",'General price list'!$C$20:$BA$20,0),FALSE),"")</f>
        <v>0</v>
      </c>
      <c r="E131" s="2">
        <f t="shared" si="11"/>
        <v>0</v>
      </c>
      <c r="F131" s="2">
        <f t="shared" si="12"/>
        <v>0</v>
      </c>
      <c r="G131" s="2">
        <f t="shared" si="13"/>
        <v>0</v>
      </c>
      <c r="H131" s="2">
        <f t="shared" si="14"/>
        <v>0</v>
      </c>
      <c r="I131" s="2">
        <f t="shared" si="10"/>
        <v>0</v>
      </c>
      <c r="J131">
        <f>IFERROR(VLOOKUP(B131,'General price list'!C:BA,MATCH("CBM",'General price list'!$C$20:$BA$20,0),FALSE)*(G131*C131),0)</f>
        <v>0</v>
      </c>
    </row>
    <row r="132" spans="2:10" ht="15" customHeight="1">
      <c r="B132" t="s">
        <v>3870</v>
      </c>
      <c r="C132" s="2" t="str">
        <f>IFERROR(VLOOKUP(B132,'General price list'!C:BA,MATCH("PAL",'General price list'!$C$20:$BA$20,0),FALSE),"")</f>
        <v>60</v>
      </c>
      <c r="D132" s="2">
        <f>IFERROR(VLOOKUP(B132,'General price list'!C:BA,MATCH("OBJ",'General price list'!$C$20:$BA$20,0),FALSE),"")</f>
        <v>0</v>
      </c>
      <c r="E132" s="2">
        <f t="shared" si="11"/>
        <v>0</v>
      </c>
      <c r="F132" s="2">
        <f t="shared" si="12"/>
        <v>0</v>
      </c>
      <c r="G132" s="2">
        <f t="shared" si="13"/>
        <v>0</v>
      </c>
      <c r="H132" s="2">
        <f t="shared" si="14"/>
        <v>0</v>
      </c>
      <c r="I132" s="2">
        <f t="shared" ref="I132:I195" si="15">IFERROR(IF(D132=0,0,IF(F132=0,(D132*nextVK)+(prvniVK-nextVK),(G132*C132*nextVK)+(F132*PALzKoje))),0)</f>
        <v>0</v>
      </c>
      <c r="J132">
        <f>IFERROR(VLOOKUP(B132,'General price list'!C:BA,MATCH("CBM",'General price list'!$C$20:$BA$20,0),FALSE)*(G132*C132),0)</f>
        <v>0</v>
      </c>
    </row>
    <row r="133" spans="2:10" ht="15" customHeight="1">
      <c r="B133" t="s">
        <v>947</v>
      </c>
      <c r="C133" s="2" t="str">
        <f>IFERROR(VLOOKUP(B133,'General price list'!C:BA,MATCH("PAL",'General price list'!$C$20:$BA$20,0),FALSE),"")</f>
        <v>60</v>
      </c>
      <c r="D133" s="2">
        <f>IFERROR(VLOOKUP(B133,'General price list'!C:BA,MATCH("OBJ",'General price list'!$C$20:$BA$20,0),FALSE),"")</f>
        <v>0</v>
      </c>
      <c r="E133" s="2">
        <f t="shared" ref="E133:E196" si="16">IFERROR(D133/C133,0)</f>
        <v>0</v>
      </c>
      <c r="F133" s="2">
        <f t="shared" ref="F133:F196" si="17">IFERROR(FLOOR(IF(E133-1&lt;0,0,E133),1),0)</f>
        <v>0</v>
      </c>
      <c r="G133" s="2">
        <f t="shared" ref="G133:G196" si="18">IFERROR(IF(H133&gt;E133,F133-E133,E133-F133),0)</f>
        <v>0</v>
      </c>
      <c r="H133" s="2">
        <f t="shared" ref="H133:H196" si="19">IFERROR(IF(E133=0,0,F133),0)</f>
        <v>0</v>
      </c>
      <c r="I133" s="2">
        <f t="shared" si="15"/>
        <v>0</v>
      </c>
      <c r="J133">
        <f>IFERROR(VLOOKUP(B133,'General price list'!C:BA,MATCH("CBM",'General price list'!$C$20:$BA$20,0),FALSE)*(G133*C133),0)</f>
        <v>0</v>
      </c>
    </row>
    <row r="134" spans="2:10" ht="15" customHeight="1">
      <c r="B134" t="s">
        <v>2518</v>
      </c>
      <c r="C134" s="2" t="str">
        <f>IFERROR(VLOOKUP(B134,'General price list'!C:BA,MATCH("PAL",'General price list'!$C$20:$BA$20,0),FALSE),"")</f>
        <v>60</v>
      </c>
      <c r="D134" s="2">
        <f>IFERROR(VLOOKUP(B134,'General price list'!C:BA,MATCH("OBJ",'General price list'!$C$20:$BA$20,0),FALSE),"")</f>
        <v>0</v>
      </c>
      <c r="E134" s="2">
        <f t="shared" si="16"/>
        <v>0</v>
      </c>
      <c r="F134" s="2">
        <f t="shared" si="17"/>
        <v>0</v>
      </c>
      <c r="G134" s="2">
        <f t="shared" si="18"/>
        <v>0</v>
      </c>
      <c r="H134" s="2">
        <f t="shared" si="19"/>
        <v>0</v>
      </c>
      <c r="I134" s="2">
        <f t="shared" si="15"/>
        <v>0</v>
      </c>
      <c r="J134">
        <f>IFERROR(VLOOKUP(B134,'General price list'!C:BA,MATCH("CBM",'General price list'!$C$20:$BA$20,0),FALSE)*(G134*C134),0)</f>
        <v>0</v>
      </c>
    </row>
    <row r="135" spans="2:10" ht="15" customHeight="1">
      <c r="B135" t="s">
        <v>2520</v>
      </c>
      <c r="C135" s="2">
        <f>IFERROR(VLOOKUP(B135,'General price list'!C:BA,MATCH("PAL",'General price list'!$C$20:$BA$20,0),FALSE),"")</f>
        <v>66</v>
      </c>
      <c r="D135" s="2">
        <f>IFERROR(VLOOKUP(B135,'General price list'!C:BA,MATCH("OBJ",'General price list'!$C$20:$BA$20,0),FALSE),"")</f>
        <v>0</v>
      </c>
      <c r="E135" s="2">
        <f t="shared" si="16"/>
        <v>0</v>
      </c>
      <c r="F135" s="2">
        <f t="shared" si="17"/>
        <v>0</v>
      </c>
      <c r="G135" s="2">
        <f t="shared" si="18"/>
        <v>0</v>
      </c>
      <c r="H135" s="2">
        <f t="shared" si="19"/>
        <v>0</v>
      </c>
      <c r="I135" s="2">
        <f t="shared" si="15"/>
        <v>0</v>
      </c>
      <c r="J135">
        <f>IFERROR(VLOOKUP(B135,'General price list'!C:BA,MATCH("CBM",'General price list'!$C$20:$BA$20,0),FALSE)*(G135*C135),0)</f>
        <v>0</v>
      </c>
    </row>
    <row r="136" spans="2:10" ht="15" customHeight="1">
      <c r="B136" t="s">
        <v>922</v>
      </c>
      <c r="C136" s="2" t="str">
        <f>IFERROR(VLOOKUP(B136,'General price list'!C:BA,MATCH("PAL",'General price list'!$C$20:$BA$20,0),FALSE),"")</f>
        <v>87</v>
      </c>
      <c r="D136" s="2">
        <f>IFERROR(VLOOKUP(B136,'General price list'!C:BA,MATCH("OBJ",'General price list'!$C$20:$BA$20,0),FALSE),"")</f>
        <v>0</v>
      </c>
      <c r="E136" s="2">
        <f t="shared" si="16"/>
        <v>0</v>
      </c>
      <c r="F136" s="2">
        <f t="shared" si="17"/>
        <v>0</v>
      </c>
      <c r="G136" s="2">
        <f t="shared" si="18"/>
        <v>0</v>
      </c>
      <c r="H136" s="2">
        <f t="shared" si="19"/>
        <v>0</v>
      </c>
      <c r="I136" s="2">
        <f t="shared" si="15"/>
        <v>0</v>
      </c>
      <c r="J136">
        <f>IFERROR(VLOOKUP(B136,'General price list'!C:BA,MATCH("CBM",'General price list'!$C$20:$BA$20,0),FALSE)*(G136*C136),0)</f>
        <v>0</v>
      </c>
    </row>
    <row r="137" spans="2:10" ht="15" customHeight="1">
      <c r="B137" t="s">
        <v>928</v>
      </c>
      <c r="C137" s="2" t="str">
        <f>IFERROR(VLOOKUP(B137,'General price list'!C:BA,MATCH("PAL",'General price list'!$C$20:$BA$20,0),FALSE),"")</f>
        <v>95</v>
      </c>
      <c r="D137" s="2">
        <f>IFERROR(VLOOKUP(B137,'General price list'!C:BA,MATCH("OBJ",'General price list'!$C$20:$BA$20,0),FALSE),"")</f>
        <v>0</v>
      </c>
      <c r="E137" s="2">
        <f t="shared" si="16"/>
        <v>0</v>
      </c>
      <c r="F137" s="2">
        <f t="shared" si="17"/>
        <v>0</v>
      </c>
      <c r="G137" s="2">
        <f t="shared" si="18"/>
        <v>0</v>
      </c>
      <c r="H137" s="2">
        <f t="shared" si="19"/>
        <v>0</v>
      </c>
      <c r="I137" s="2">
        <f t="shared" si="15"/>
        <v>0</v>
      </c>
      <c r="J137">
        <f>IFERROR(VLOOKUP(B137,'General price list'!C:BA,MATCH("CBM",'General price list'!$C$20:$BA$20,0),FALSE)*(G137*C137),0)</f>
        <v>0</v>
      </c>
    </row>
    <row r="138" spans="2:10" ht="15" customHeight="1">
      <c r="B138" t="s">
        <v>392</v>
      </c>
      <c r="C138" s="2">
        <f>IFERROR(VLOOKUP(B138,'General price list'!C:BA,MATCH("PAL",'General price list'!$C$20:$BA$20,0),FALSE),"")</f>
        <v>16</v>
      </c>
      <c r="D138" s="2">
        <f>IFERROR(VLOOKUP(B138,'General price list'!C:BA,MATCH("OBJ",'General price list'!$C$20:$BA$20,0),FALSE),"")</f>
        <v>0</v>
      </c>
      <c r="E138" s="2">
        <f t="shared" si="16"/>
        <v>0</v>
      </c>
      <c r="F138" s="2">
        <f t="shared" si="17"/>
        <v>0</v>
      </c>
      <c r="G138" s="2">
        <f t="shared" si="18"/>
        <v>0</v>
      </c>
      <c r="H138" s="2">
        <f t="shared" si="19"/>
        <v>0</v>
      </c>
      <c r="I138" s="2">
        <f t="shared" si="15"/>
        <v>0</v>
      </c>
      <c r="J138">
        <f>IFERROR(VLOOKUP(B138,'General price list'!C:BA,MATCH("CBM",'General price list'!$C$20:$BA$20,0),FALSE)*(G138*C138),0)</f>
        <v>0</v>
      </c>
    </row>
    <row r="139" spans="2:10" ht="15" customHeight="1">
      <c r="B139" t="s">
        <v>397</v>
      </c>
      <c r="C139" s="2">
        <f>IFERROR(VLOOKUP(B139,'General price list'!C:BA,MATCH("PAL",'General price list'!$C$20:$BA$20,0),FALSE),"")</f>
        <v>20</v>
      </c>
      <c r="D139" s="2">
        <f>IFERROR(VLOOKUP(B139,'General price list'!C:BA,MATCH("OBJ",'General price list'!$C$20:$BA$20,0),FALSE),"")</f>
        <v>0</v>
      </c>
      <c r="E139" s="2">
        <f t="shared" si="16"/>
        <v>0</v>
      </c>
      <c r="F139" s="2">
        <f t="shared" si="17"/>
        <v>0</v>
      </c>
      <c r="G139" s="2">
        <f t="shared" si="18"/>
        <v>0</v>
      </c>
      <c r="H139" s="2">
        <f t="shared" si="19"/>
        <v>0</v>
      </c>
      <c r="I139" s="2">
        <f t="shared" si="15"/>
        <v>0</v>
      </c>
      <c r="J139">
        <f>IFERROR(VLOOKUP(B139,'General price list'!C:BA,MATCH("CBM",'General price list'!$C$20:$BA$20,0),FALSE)*(G139*C139),0)</f>
        <v>0</v>
      </c>
    </row>
    <row r="140" spans="2:10" ht="15" customHeight="1">
      <c r="B140" t="s">
        <v>3928</v>
      </c>
      <c r="C140" s="2">
        <f>IFERROR(VLOOKUP(B140,'General price list'!C:BA,MATCH("PAL",'General price list'!$C$20:$BA$20,0),FALSE),"")</f>
        <v>36</v>
      </c>
      <c r="D140" s="2">
        <f>IFERROR(VLOOKUP(B140,'General price list'!C:BA,MATCH("OBJ",'General price list'!$C$20:$BA$20,0),FALSE),"")</f>
        <v>0</v>
      </c>
      <c r="E140" s="2">
        <f t="shared" si="16"/>
        <v>0</v>
      </c>
      <c r="F140" s="2">
        <f t="shared" si="17"/>
        <v>0</v>
      </c>
      <c r="G140" s="2">
        <f t="shared" si="18"/>
        <v>0</v>
      </c>
      <c r="H140" s="2">
        <f t="shared" si="19"/>
        <v>0</v>
      </c>
      <c r="I140" s="2">
        <f t="shared" si="15"/>
        <v>0</v>
      </c>
      <c r="J140">
        <f>IFERROR(VLOOKUP(B140,'General price list'!C:BA,MATCH("CBM",'General price list'!$C$20:$BA$20,0),FALSE)*(G140*C140),0)</f>
        <v>0</v>
      </c>
    </row>
    <row r="141" spans="2:10" ht="15" customHeight="1">
      <c r="B141" t="s">
        <v>409</v>
      </c>
      <c r="C141" s="2">
        <f>IFERROR(VLOOKUP(B141,'General price list'!C:BA,MATCH("PAL",'General price list'!$C$20:$BA$20,0),FALSE),"")</f>
        <v>60</v>
      </c>
      <c r="D141" s="2">
        <f>IFERROR(VLOOKUP(B141,'General price list'!C:BA,MATCH("OBJ",'General price list'!$C$20:$BA$20,0),FALSE),"")</f>
        <v>0</v>
      </c>
      <c r="E141" s="2">
        <f t="shared" si="16"/>
        <v>0</v>
      </c>
      <c r="F141" s="2">
        <f t="shared" si="17"/>
        <v>0</v>
      </c>
      <c r="G141" s="2">
        <f t="shared" si="18"/>
        <v>0</v>
      </c>
      <c r="H141" s="2">
        <f t="shared" si="19"/>
        <v>0</v>
      </c>
      <c r="I141" s="2">
        <f t="shared" si="15"/>
        <v>0</v>
      </c>
      <c r="J141">
        <f>IFERROR(VLOOKUP(B141,'General price list'!C:BA,MATCH("CBM",'General price list'!$C$20:$BA$20,0),FALSE)*(G141*C141),0)</f>
        <v>0</v>
      </c>
    </row>
    <row r="142" spans="2:10" ht="15" customHeight="1">
      <c r="B142" t="s">
        <v>3961</v>
      </c>
      <c r="C142" s="2">
        <f>IFERROR(VLOOKUP(B142,'General price list'!C:BA,MATCH("PAL",'General price list'!$C$20:$BA$20,0),FALSE),"")</f>
        <v>30</v>
      </c>
      <c r="D142" s="2">
        <f>IFERROR(VLOOKUP(B142,'General price list'!C:BA,MATCH("OBJ",'General price list'!$C$20:$BA$20,0),FALSE),"")</f>
        <v>0</v>
      </c>
      <c r="E142" s="2">
        <f t="shared" si="16"/>
        <v>0</v>
      </c>
      <c r="F142" s="2">
        <f t="shared" si="17"/>
        <v>0</v>
      </c>
      <c r="G142" s="2">
        <f t="shared" si="18"/>
        <v>0</v>
      </c>
      <c r="H142" s="2">
        <f t="shared" si="19"/>
        <v>0</v>
      </c>
      <c r="I142" s="2">
        <f t="shared" si="15"/>
        <v>0</v>
      </c>
      <c r="J142">
        <f>IFERROR(VLOOKUP(B142,'General price list'!C:BA,MATCH("CBM",'General price list'!$C$20:$BA$20,0),FALSE)*(G142*C142),0)</f>
        <v>0</v>
      </c>
    </row>
    <row r="143" spans="2:10" ht="15" customHeight="1">
      <c r="B143" t="s">
        <v>419</v>
      </c>
      <c r="C143" s="2">
        <f>IFERROR(VLOOKUP(B143,'General price list'!C:BA,MATCH("PAL",'General price list'!$C$20:$BA$20,0),FALSE),"")</f>
        <v>24</v>
      </c>
      <c r="D143" s="2">
        <f>IFERROR(VLOOKUP(B143,'General price list'!C:BA,MATCH("OBJ",'General price list'!$C$20:$BA$20,0),FALSE),"")</f>
        <v>0</v>
      </c>
      <c r="E143" s="2">
        <f t="shared" si="16"/>
        <v>0</v>
      </c>
      <c r="F143" s="2">
        <f t="shared" si="17"/>
        <v>0</v>
      </c>
      <c r="G143" s="2">
        <f t="shared" si="18"/>
        <v>0</v>
      </c>
      <c r="H143" s="2">
        <f t="shared" si="19"/>
        <v>0</v>
      </c>
      <c r="I143" s="2">
        <f t="shared" si="15"/>
        <v>0</v>
      </c>
      <c r="J143">
        <f>IFERROR(VLOOKUP(B143,'General price list'!C:BA,MATCH("CBM",'General price list'!$C$20:$BA$20,0),FALSE)*(G143*C143),0)</f>
        <v>0</v>
      </c>
    </row>
    <row r="144" spans="2:10" ht="15" customHeight="1">
      <c r="B144" t="s">
        <v>2486</v>
      </c>
      <c r="C144" s="2">
        <f>IFERROR(VLOOKUP(B144,'General price list'!C:BA,MATCH("PAL",'General price list'!$C$20:$BA$20,0),FALSE),"")</f>
        <v>54</v>
      </c>
      <c r="D144" s="2">
        <f>IFERROR(VLOOKUP(B144,'General price list'!C:BA,MATCH("OBJ",'General price list'!$C$20:$BA$20,0),FALSE),"")</f>
        <v>0</v>
      </c>
      <c r="E144" s="2">
        <f t="shared" si="16"/>
        <v>0</v>
      </c>
      <c r="F144" s="2">
        <f t="shared" si="17"/>
        <v>0</v>
      </c>
      <c r="G144" s="2">
        <f t="shared" si="18"/>
        <v>0</v>
      </c>
      <c r="H144" s="2">
        <f t="shared" si="19"/>
        <v>0</v>
      </c>
      <c r="I144" s="2">
        <f t="shared" si="15"/>
        <v>0</v>
      </c>
      <c r="J144">
        <f>IFERROR(VLOOKUP(B144,'General price list'!C:BA,MATCH("CBM",'General price list'!$C$20:$BA$20,0),FALSE)*(G144*C144),0)</f>
        <v>0</v>
      </c>
    </row>
    <row r="145" spans="2:10" ht="15" customHeight="1">
      <c r="B145" t="s">
        <v>430</v>
      </c>
      <c r="C145" s="2" t="str">
        <f>IFERROR(VLOOKUP(B145,'General price list'!C:BA,MATCH("PAL",'General price list'!$C$20:$BA$20,0),FALSE),"")</f>
        <v>16</v>
      </c>
      <c r="D145" s="2">
        <f>IFERROR(VLOOKUP(B145,'General price list'!C:BA,MATCH("OBJ",'General price list'!$C$20:$BA$20,0),FALSE),"")</f>
        <v>0</v>
      </c>
      <c r="E145" s="2">
        <f t="shared" si="16"/>
        <v>0</v>
      </c>
      <c r="F145" s="2">
        <f t="shared" si="17"/>
        <v>0</v>
      </c>
      <c r="G145" s="2">
        <f t="shared" si="18"/>
        <v>0</v>
      </c>
      <c r="H145" s="2">
        <f t="shared" si="19"/>
        <v>0</v>
      </c>
      <c r="I145" s="2">
        <f t="shared" si="15"/>
        <v>0</v>
      </c>
      <c r="J145">
        <f>IFERROR(VLOOKUP(B145,'General price list'!C:BA,MATCH("CBM",'General price list'!$C$20:$BA$20,0),FALSE)*(G145*C145),0)</f>
        <v>0</v>
      </c>
    </row>
    <row r="146" spans="2:10" ht="15" customHeight="1">
      <c r="B146" t="s">
        <v>433</v>
      </c>
      <c r="C146" s="2">
        <f>IFERROR(VLOOKUP(B146,'General price list'!C:BA,MATCH("PAL",'General price list'!$C$20:$BA$20,0),FALSE),"")</f>
        <v>24</v>
      </c>
      <c r="D146" s="2">
        <f>IFERROR(VLOOKUP(B146,'General price list'!C:BA,MATCH("OBJ",'General price list'!$C$20:$BA$20,0),FALSE),"")</f>
        <v>0</v>
      </c>
      <c r="E146" s="2">
        <f t="shared" si="16"/>
        <v>0</v>
      </c>
      <c r="F146" s="2">
        <f t="shared" si="17"/>
        <v>0</v>
      </c>
      <c r="G146" s="2">
        <f t="shared" si="18"/>
        <v>0</v>
      </c>
      <c r="H146" s="2">
        <f t="shared" si="19"/>
        <v>0</v>
      </c>
      <c r="I146" s="2">
        <f t="shared" si="15"/>
        <v>0</v>
      </c>
      <c r="J146">
        <f>IFERROR(VLOOKUP(B146,'General price list'!C:BA,MATCH("CBM",'General price list'!$C$20:$BA$20,0),FALSE)*(G146*C146),0)</f>
        <v>0</v>
      </c>
    </row>
    <row r="147" spans="2:10" ht="15" customHeight="1">
      <c r="B147" t="s">
        <v>12278</v>
      </c>
      <c r="C147" s="2">
        <f>IFERROR(VLOOKUP(B147,'General price list'!C:BA,MATCH("PAL",'General price list'!$C$20:$BA$20,0),FALSE),"")</f>
        <v>24</v>
      </c>
      <c r="D147" s="2">
        <f>IFERROR(VLOOKUP(B147,'General price list'!C:BA,MATCH("OBJ",'General price list'!$C$20:$BA$20,0),FALSE),"")</f>
        <v>0</v>
      </c>
      <c r="E147" s="2">
        <f t="shared" si="16"/>
        <v>0</v>
      </c>
      <c r="F147" s="2">
        <f t="shared" si="17"/>
        <v>0</v>
      </c>
      <c r="G147" s="2">
        <f t="shared" si="18"/>
        <v>0</v>
      </c>
      <c r="H147" s="2">
        <f t="shared" si="19"/>
        <v>0</v>
      </c>
      <c r="I147" s="2">
        <f t="shared" si="15"/>
        <v>0</v>
      </c>
      <c r="J147">
        <f>IFERROR(VLOOKUP(B147,'General price list'!C:BA,MATCH("CBM",'General price list'!$C$20:$BA$20,0),FALSE)*(G147*C147),0)</f>
        <v>0</v>
      </c>
    </row>
    <row r="148" spans="2:10" ht="15" customHeight="1">
      <c r="B148" t="s">
        <v>4000</v>
      </c>
      <c r="C148" s="2">
        <f>IFERROR(VLOOKUP(B148,'General price list'!C:BA,MATCH("PAL",'General price list'!$C$20:$BA$20,0),FALSE),"")</f>
        <v>24</v>
      </c>
      <c r="D148" s="2">
        <f>IFERROR(VLOOKUP(B148,'General price list'!C:BA,MATCH("OBJ",'General price list'!$C$20:$BA$20,0),FALSE),"")</f>
        <v>0</v>
      </c>
      <c r="E148" s="2">
        <f t="shared" si="16"/>
        <v>0</v>
      </c>
      <c r="F148" s="2">
        <f t="shared" si="17"/>
        <v>0</v>
      </c>
      <c r="G148" s="2">
        <f t="shared" si="18"/>
        <v>0</v>
      </c>
      <c r="H148" s="2">
        <f t="shared" si="19"/>
        <v>0</v>
      </c>
      <c r="I148" s="2">
        <f t="shared" si="15"/>
        <v>0</v>
      </c>
      <c r="J148">
        <f>IFERROR(VLOOKUP(B148,'General price list'!C:BA,MATCH("CBM",'General price list'!$C$20:$BA$20,0),FALSE)*(G148*C148),0)</f>
        <v>0</v>
      </c>
    </row>
    <row r="149" spans="2:10" ht="15" customHeight="1">
      <c r="B149" t="s">
        <v>438</v>
      </c>
      <c r="C149" s="2">
        <f>IFERROR(VLOOKUP(B149,'General price list'!C:BA,MATCH("PAL",'General price list'!$C$20:$BA$20,0),FALSE),"")</f>
        <v>30</v>
      </c>
      <c r="D149" s="2">
        <f>IFERROR(VLOOKUP(B149,'General price list'!C:BA,MATCH("OBJ",'General price list'!$C$20:$BA$20,0),FALSE),"")</f>
        <v>0</v>
      </c>
      <c r="E149" s="2">
        <f t="shared" si="16"/>
        <v>0</v>
      </c>
      <c r="F149" s="2">
        <f t="shared" si="17"/>
        <v>0</v>
      </c>
      <c r="G149" s="2">
        <f t="shared" si="18"/>
        <v>0</v>
      </c>
      <c r="H149" s="2">
        <f t="shared" si="19"/>
        <v>0</v>
      </c>
      <c r="I149" s="2">
        <f t="shared" si="15"/>
        <v>0</v>
      </c>
      <c r="J149">
        <f>IFERROR(VLOOKUP(B149,'General price list'!C:BA,MATCH("CBM",'General price list'!$C$20:$BA$20,0),FALSE)*(G149*C149),0)</f>
        <v>0</v>
      </c>
    </row>
    <row r="150" spans="2:10" ht="15" customHeight="1">
      <c r="B150" t="s">
        <v>442</v>
      </c>
      <c r="C150" s="2">
        <f>IFERROR(VLOOKUP(B150,'General price list'!C:BA,MATCH("PAL",'General price list'!$C$20:$BA$20,0),FALSE),"")</f>
        <v>42</v>
      </c>
      <c r="D150" s="2">
        <f>IFERROR(VLOOKUP(B150,'General price list'!C:BA,MATCH("OBJ",'General price list'!$C$20:$BA$20,0),FALSE),"")</f>
        <v>0</v>
      </c>
      <c r="E150" s="2">
        <f t="shared" si="16"/>
        <v>0</v>
      </c>
      <c r="F150" s="2">
        <f t="shared" si="17"/>
        <v>0</v>
      </c>
      <c r="G150" s="2">
        <f t="shared" si="18"/>
        <v>0</v>
      </c>
      <c r="H150" s="2">
        <f t="shared" si="19"/>
        <v>0</v>
      </c>
      <c r="I150" s="2">
        <f t="shared" si="15"/>
        <v>0</v>
      </c>
      <c r="J150">
        <f>IFERROR(VLOOKUP(B150,'General price list'!C:BA,MATCH("CBM",'General price list'!$C$20:$BA$20,0),FALSE)*(G150*C150),0)</f>
        <v>0</v>
      </c>
    </row>
    <row r="151" spans="2:10" ht="15" customHeight="1">
      <c r="B151" t="s">
        <v>443</v>
      </c>
      <c r="C151" s="2">
        <f>IFERROR(VLOOKUP(B151,'General price list'!C:BA,MATCH("PAL",'General price list'!$C$20:$BA$20,0),FALSE),"")</f>
        <v>32</v>
      </c>
      <c r="D151" s="2">
        <f>IFERROR(VLOOKUP(B151,'General price list'!C:BA,MATCH("OBJ",'General price list'!$C$20:$BA$20,0),FALSE),"")</f>
        <v>0</v>
      </c>
      <c r="E151" s="2">
        <f t="shared" si="16"/>
        <v>0</v>
      </c>
      <c r="F151" s="2">
        <f t="shared" si="17"/>
        <v>0</v>
      </c>
      <c r="G151" s="2">
        <f t="shared" si="18"/>
        <v>0</v>
      </c>
      <c r="H151" s="2">
        <f t="shared" si="19"/>
        <v>0</v>
      </c>
      <c r="I151" s="2">
        <f t="shared" si="15"/>
        <v>0</v>
      </c>
      <c r="J151">
        <f>IFERROR(VLOOKUP(B151,'General price list'!C:BA,MATCH("CBM",'General price list'!$C$20:$BA$20,0),FALSE)*(G151*C151),0)</f>
        <v>0</v>
      </c>
    </row>
    <row r="152" spans="2:10" ht="15" customHeight="1">
      <c r="B152" t="s">
        <v>448</v>
      </c>
      <c r="C152" s="2">
        <f>IFERROR(VLOOKUP(B152,'General price list'!C:BA,MATCH("PAL",'General price list'!$C$20:$BA$20,0),FALSE),"")</f>
        <v>32</v>
      </c>
      <c r="D152" s="2">
        <f>IFERROR(VLOOKUP(B152,'General price list'!C:BA,MATCH("OBJ",'General price list'!$C$20:$BA$20,0),FALSE),"")</f>
        <v>0</v>
      </c>
      <c r="E152" s="2">
        <f t="shared" si="16"/>
        <v>0</v>
      </c>
      <c r="F152" s="2">
        <f t="shared" si="17"/>
        <v>0</v>
      </c>
      <c r="G152" s="2">
        <f t="shared" si="18"/>
        <v>0</v>
      </c>
      <c r="H152" s="2">
        <f t="shared" si="19"/>
        <v>0</v>
      </c>
      <c r="I152" s="2">
        <f t="shared" si="15"/>
        <v>0</v>
      </c>
      <c r="J152">
        <f>IFERROR(VLOOKUP(B152,'General price list'!C:BA,MATCH("CBM",'General price list'!$C$20:$BA$20,0),FALSE)*(G152*C152),0)</f>
        <v>0</v>
      </c>
    </row>
    <row r="153" spans="2:10" ht="15" customHeight="1">
      <c r="B153" t="s">
        <v>452</v>
      </c>
      <c r="C153" s="2">
        <f>IFERROR(VLOOKUP(B153,'General price list'!C:BA,MATCH("PAL",'General price list'!$C$20:$BA$20,0),FALSE),"")</f>
        <v>32</v>
      </c>
      <c r="D153" s="2">
        <f>IFERROR(VLOOKUP(B153,'General price list'!C:BA,MATCH("OBJ",'General price list'!$C$20:$BA$20,0),FALSE),"")</f>
        <v>0</v>
      </c>
      <c r="E153" s="2">
        <f t="shared" si="16"/>
        <v>0</v>
      </c>
      <c r="F153" s="2">
        <f t="shared" si="17"/>
        <v>0</v>
      </c>
      <c r="G153" s="2">
        <f t="shared" si="18"/>
        <v>0</v>
      </c>
      <c r="H153" s="2">
        <f t="shared" si="19"/>
        <v>0</v>
      </c>
      <c r="I153" s="2">
        <f t="shared" si="15"/>
        <v>0</v>
      </c>
      <c r="J153">
        <f>IFERROR(VLOOKUP(B153,'General price list'!C:BA,MATCH("CBM",'General price list'!$C$20:$BA$20,0),FALSE)*(G153*C153),0)</f>
        <v>0</v>
      </c>
    </row>
    <row r="154" spans="2:10" ht="15" customHeight="1">
      <c r="B154" t="s">
        <v>454</v>
      </c>
      <c r="C154" s="2" t="str">
        <f>IFERROR(VLOOKUP(B154,'General price list'!C:BA,MATCH("PAL",'General price list'!$C$20:$BA$20,0),FALSE),"")</f>
        <v>16</v>
      </c>
      <c r="D154" s="2">
        <f>IFERROR(VLOOKUP(B154,'General price list'!C:BA,MATCH("OBJ",'General price list'!$C$20:$BA$20,0),FALSE),"")</f>
        <v>0</v>
      </c>
      <c r="E154" s="2">
        <f t="shared" si="16"/>
        <v>0</v>
      </c>
      <c r="F154" s="2">
        <f t="shared" si="17"/>
        <v>0</v>
      </c>
      <c r="G154" s="2">
        <f t="shared" si="18"/>
        <v>0</v>
      </c>
      <c r="H154" s="2">
        <f t="shared" si="19"/>
        <v>0</v>
      </c>
      <c r="I154" s="2">
        <f t="shared" si="15"/>
        <v>0</v>
      </c>
      <c r="J154">
        <f>IFERROR(VLOOKUP(B154,'General price list'!C:BA,MATCH("CBM",'General price list'!$C$20:$BA$20,0),FALSE)*(G154*C154),0)</f>
        <v>0</v>
      </c>
    </row>
    <row r="155" spans="2:10" ht="15" customHeight="1">
      <c r="B155" t="s">
        <v>464</v>
      </c>
      <c r="C155" s="2">
        <f>IFERROR(VLOOKUP(B155,'General price list'!C:BA,MATCH("PAL",'General price list'!$C$20:$BA$20,0),FALSE),"")</f>
        <v>15</v>
      </c>
      <c r="D155" s="2">
        <f>IFERROR(VLOOKUP(B155,'General price list'!C:BA,MATCH("OBJ",'General price list'!$C$20:$BA$20,0),FALSE),"")</f>
        <v>0</v>
      </c>
      <c r="E155" s="2">
        <f t="shared" si="16"/>
        <v>0</v>
      </c>
      <c r="F155" s="2">
        <f t="shared" si="17"/>
        <v>0</v>
      </c>
      <c r="G155" s="2">
        <f t="shared" si="18"/>
        <v>0</v>
      </c>
      <c r="H155" s="2">
        <f t="shared" si="19"/>
        <v>0</v>
      </c>
      <c r="I155" s="2">
        <f t="shared" si="15"/>
        <v>0</v>
      </c>
      <c r="J155">
        <f>IFERROR(VLOOKUP(B155,'General price list'!C:BA,MATCH("CBM",'General price list'!$C$20:$BA$20,0),FALSE)*(G155*C155),0)</f>
        <v>0</v>
      </c>
    </row>
    <row r="156" spans="2:10" ht="15" customHeight="1">
      <c r="B156" t="s">
        <v>468</v>
      </c>
      <c r="C156" s="2">
        <f>IFERROR(VLOOKUP(B156,'General price list'!C:BA,MATCH("PAL",'General price list'!$C$20:$BA$20,0),FALSE),"")</f>
        <v>15</v>
      </c>
      <c r="D156" s="2">
        <f>IFERROR(VLOOKUP(B156,'General price list'!C:BA,MATCH("OBJ",'General price list'!$C$20:$BA$20,0),FALSE),"")</f>
        <v>0</v>
      </c>
      <c r="E156" s="2">
        <f t="shared" si="16"/>
        <v>0</v>
      </c>
      <c r="F156" s="2">
        <f t="shared" si="17"/>
        <v>0</v>
      </c>
      <c r="G156" s="2">
        <f t="shared" si="18"/>
        <v>0</v>
      </c>
      <c r="H156" s="2">
        <f t="shared" si="19"/>
        <v>0</v>
      </c>
      <c r="I156" s="2">
        <f t="shared" si="15"/>
        <v>0</v>
      </c>
      <c r="J156">
        <f>IFERROR(VLOOKUP(B156,'General price list'!C:BA,MATCH("CBM",'General price list'!$C$20:$BA$20,0),FALSE)*(G156*C156),0)</f>
        <v>0</v>
      </c>
    </row>
    <row r="157" spans="2:10" ht="15" customHeight="1">
      <c r="B157" t="s">
        <v>472</v>
      </c>
      <c r="C157" s="2">
        <f>IFERROR(VLOOKUP(B157,'General price list'!C:BA,MATCH("PAL",'General price list'!$C$20:$BA$20,0),FALSE),"")</f>
        <v>32</v>
      </c>
      <c r="D157" s="2">
        <f>IFERROR(VLOOKUP(B157,'General price list'!C:BA,MATCH("OBJ",'General price list'!$C$20:$BA$20,0),FALSE),"")</f>
        <v>0</v>
      </c>
      <c r="E157" s="2">
        <f t="shared" si="16"/>
        <v>0</v>
      </c>
      <c r="F157" s="2">
        <f t="shared" si="17"/>
        <v>0</v>
      </c>
      <c r="G157" s="2">
        <f t="shared" si="18"/>
        <v>0</v>
      </c>
      <c r="H157" s="2">
        <f t="shared" si="19"/>
        <v>0</v>
      </c>
      <c r="I157" s="2">
        <f t="shared" si="15"/>
        <v>0</v>
      </c>
      <c r="J157">
        <f>IFERROR(VLOOKUP(B157,'General price list'!C:BA,MATCH("CBM",'General price list'!$C$20:$BA$20,0),FALSE)*(G157*C157),0)</f>
        <v>0</v>
      </c>
    </row>
    <row r="158" spans="2:10" ht="15" customHeight="1">
      <c r="B158" t="s">
        <v>476</v>
      </c>
      <c r="C158" s="2">
        <f>IFERROR(VLOOKUP(B158,'General price list'!C:BA,MATCH("PAL",'General price list'!$C$20:$BA$20,0),FALSE),"")</f>
        <v>32</v>
      </c>
      <c r="D158" s="2">
        <f>IFERROR(VLOOKUP(B158,'General price list'!C:BA,MATCH("OBJ",'General price list'!$C$20:$BA$20,0),FALSE),"")</f>
        <v>0</v>
      </c>
      <c r="E158" s="2">
        <f t="shared" si="16"/>
        <v>0</v>
      </c>
      <c r="F158" s="2">
        <f t="shared" si="17"/>
        <v>0</v>
      </c>
      <c r="G158" s="2">
        <f t="shared" si="18"/>
        <v>0</v>
      </c>
      <c r="H158" s="2">
        <f t="shared" si="19"/>
        <v>0</v>
      </c>
      <c r="I158" s="2">
        <f t="shared" si="15"/>
        <v>0</v>
      </c>
      <c r="J158">
        <f>IFERROR(VLOOKUP(B158,'General price list'!C:BA,MATCH("CBM",'General price list'!$C$20:$BA$20,0),FALSE)*(G158*C158),0)</f>
        <v>0</v>
      </c>
    </row>
    <row r="159" spans="2:10" ht="15" customHeight="1">
      <c r="B159" t="s">
        <v>484</v>
      </c>
      <c r="C159" s="2">
        <f>IFERROR(VLOOKUP(B159,'General price list'!C:BA,MATCH("PAL",'General price list'!$C$20:$BA$20,0),FALSE),"")</f>
        <v>20</v>
      </c>
      <c r="D159" s="2">
        <f>IFERROR(VLOOKUP(B159,'General price list'!C:BA,MATCH("OBJ",'General price list'!$C$20:$BA$20,0),FALSE),"")</f>
        <v>0</v>
      </c>
      <c r="E159" s="2">
        <f t="shared" si="16"/>
        <v>0</v>
      </c>
      <c r="F159" s="2">
        <f t="shared" si="17"/>
        <v>0</v>
      </c>
      <c r="G159" s="2">
        <f t="shared" si="18"/>
        <v>0</v>
      </c>
      <c r="H159" s="2">
        <f t="shared" si="19"/>
        <v>0</v>
      </c>
      <c r="I159" s="2">
        <f t="shared" si="15"/>
        <v>0</v>
      </c>
      <c r="J159">
        <f>IFERROR(VLOOKUP(B159,'General price list'!C:BA,MATCH("CBM",'General price list'!$C$20:$BA$20,0),FALSE)*(G159*C159),0)</f>
        <v>0</v>
      </c>
    </row>
    <row r="160" spans="2:10" ht="15" customHeight="1">
      <c r="B160" t="s">
        <v>487</v>
      </c>
      <c r="C160" s="2">
        <f>IFERROR(VLOOKUP(B160,'General price list'!C:BA,MATCH("PAL",'General price list'!$C$20:$BA$20,0),FALSE),"")</f>
        <v>20</v>
      </c>
      <c r="D160" s="2">
        <f>IFERROR(VLOOKUP(B160,'General price list'!C:BA,MATCH("OBJ",'General price list'!$C$20:$BA$20,0),FALSE),"")</f>
        <v>0</v>
      </c>
      <c r="E160" s="2">
        <f t="shared" si="16"/>
        <v>0</v>
      </c>
      <c r="F160" s="2">
        <f t="shared" si="17"/>
        <v>0</v>
      </c>
      <c r="G160" s="2">
        <f t="shared" si="18"/>
        <v>0</v>
      </c>
      <c r="H160" s="2">
        <f t="shared" si="19"/>
        <v>0</v>
      </c>
      <c r="I160" s="2">
        <f t="shared" si="15"/>
        <v>0</v>
      </c>
      <c r="J160">
        <f>IFERROR(VLOOKUP(B160,'General price list'!C:BA,MATCH("CBM",'General price list'!$C$20:$BA$20,0),FALSE)*(G160*C160),0)</f>
        <v>0</v>
      </c>
    </row>
    <row r="161" spans="2:10" ht="15" customHeight="1">
      <c r="B161" t="s">
        <v>491</v>
      </c>
      <c r="C161" s="2" t="str">
        <f>IFERROR(VLOOKUP(B161,'General price list'!C:BA,MATCH("PAL",'General price list'!$C$20:$BA$20,0),FALSE),"")</f>
        <v>24</v>
      </c>
      <c r="D161" s="2">
        <f>IFERROR(VLOOKUP(B161,'General price list'!C:BA,MATCH("OBJ",'General price list'!$C$20:$BA$20,0),FALSE),"")</f>
        <v>0</v>
      </c>
      <c r="E161" s="2">
        <f t="shared" si="16"/>
        <v>0</v>
      </c>
      <c r="F161" s="2">
        <f t="shared" si="17"/>
        <v>0</v>
      </c>
      <c r="G161" s="2">
        <f t="shared" si="18"/>
        <v>0</v>
      </c>
      <c r="H161" s="2">
        <f t="shared" si="19"/>
        <v>0</v>
      </c>
      <c r="I161" s="2">
        <f t="shared" si="15"/>
        <v>0</v>
      </c>
      <c r="J161">
        <f>IFERROR(VLOOKUP(B161,'General price list'!C:BA,MATCH("CBM",'General price list'!$C$20:$BA$20,0),FALSE)*(G161*C161),0)</f>
        <v>0</v>
      </c>
    </row>
    <row r="162" spans="2:10" ht="15" customHeight="1">
      <c r="B162" t="s">
        <v>497</v>
      </c>
      <c r="C162" s="2">
        <f>IFERROR(VLOOKUP(B162,'General price list'!C:BA,MATCH("PAL",'General price list'!$C$20:$BA$20,0),FALSE),"")</f>
        <v>48</v>
      </c>
      <c r="D162" s="2">
        <f>IFERROR(VLOOKUP(B162,'General price list'!C:BA,MATCH("OBJ",'General price list'!$C$20:$BA$20,0),FALSE),"")</f>
        <v>0</v>
      </c>
      <c r="E162" s="2">
        <f t="shared" si="16"/>
        <v>0</v>
      </c>
      <c r="F162" s="2">
        <f t="shared" si="17"/>
        <v>0</v>
      </c>
      <c r="G162" s="2">
        <f t="shared" si="18"/>
        <v>0</v>
      </c>
      <c r="H162" s="2">
        <f t="shared" si="19"/>
        <v>0</v>
      </c>
      <c r="I162" s="2">
        <f t="shared" si="15"/>
        <v>0</v>
      </c>
      <c r="J162">
        <f>IFERROR(VLOOKUP(B162,'General price list'!C:BA,MATCH("CBM",'General price list'!$C$20:$BA$20,0),FALSE)*(G162*C162),0)</f>
        <v>0</v>
      </c>
    </row>
    <row r="163" spans="2:10" ht="15" customHeight="1">
      <c r="B163" t="s">
        <v>503</v>
      </c>
      <c r="C163" s="2">
        <f>IFERROR(VLOOKUP(B163,'General price list'!C:BA,MATCH("PAL",'General price list'!$C$20:$BA$20,0),FALSE),"")</f>
        <v>54</v>
      </c>
      <c r="D163" s="2">
        <f>IFERROR(VLOOKUP(B163,'General price list'!C:BA,MATCH("OBJ",'General price list'!$C$20:$BA$20,0),FALSE),"")</f>
        <v>0</v>
      </c>
      <c r="E163" s="2">
        <f t="shared" si="16"/>
        <v>0</v>
      </c>
      <c r="F163" s="2">
        <f t="shared" si="17"/>
        <v>0</v>
      </c>
      <c r="G163" s="2">
        <f t="shared" si="18"/>
        <v>0</v>
      </c>
      <c r="H163" s="2">
        <f t="shared" si="19"/>
        <v>0</v>
      </c>
      <c r="I163" s="2">
        <f t="shared" si="15"/>
        <v>0</v>
      </c>
      <c r="J163">
        <f>IFERROR(VLOOKUP(B163,'General price list'!C:BA,MATCH("CBM",'General price list'!$C$20:$BA$20,0),FALSE)*(G163*C163),0)</f>
        <v>0</v>
      </c>
    </row>
    <row r="164" spans="2:10" ht="15" customHeight="1">
      <c r="B164" t="s">
        <v>511</v>
      </c>
      <c r="C164" s="2">
        <f>IFERROR(VLOOKUP(B164,'General price list'!C:BA,MATCH("PAL",'General price list'!$C$20:$BA$20,0),FALSE),"")</f>
        <v>40</v>
      </c>
      <c r="D164" s="2">
        <f>IFERROR(VLOOKUP(B164,'General price list'!C:BA,MATCH("OBJ",'General price list'!$C$20:$BA$20,0),FALSE),"")</f>
        <v>0</v>
      </c>
      <c r="E164" s="2">
        <f t="shared" si="16"/>
        <v>0</v>
      </c>
      <c r="F164" s="2">
        <f t="shared" si="17"/>
        <v>0</v>
      </c>
      <c r="G164" s="2">
        <f t="shared" si="18"/>
        <v>0</v>
      </c>
      <c r="H164" s="2">
        <f t="shared" si="19"/>
        <v>0</v>
      </c>
      <c r="I164" s="2">
        <f t="shared" si="15"/>
        <v>0</v>
      </c>
      <c r="J164">
        <f>IFERROR(VLOOKUP(B164,'General price list'!C:BA,MATCH("CBM",'General price list'!$C$20:$BA$20,0),FALSE)*(G164*C164),0)</f>
        <v>0</v>
      </c>
    </row>
    <row r="165" spans="2:10" ht="15" customHeight="1">
      <c r="B165" t="s">
        <v>516</v>
      </c>
      <c r="C165" s="2" t="str">
        <f>IFERROR(VLOOKUP(B165,'General price list'!C:BA,MATCH("PAL",'General price list'!$C$20:$BA$20,0),FALSE),"")</f>
        <v>36</v>
      </c>
      <c r="D165" s="2">
        <f>IFERROR(VLOOKUP(B165,'General price list'!C:BA,MATCH("OBJ",'General price list'!$C$20:$BA$20,0),FALSE),"")</f>
        <v>0</v>
      </c>
      <c r="E165" s="2">
        <f t="shared" si="16"/>
        <v>0</v>
      </c>
      <c r="F165" s="2">
        <f t="shared" si="17"/>
        <v>0</v>
      </c>
      <c r="G165" s="2">
        <f t="shared" si="18"/>
        <v>0</v>
      </c>
      <c r="H165" s="2">
        <f t="shared" si="19"/>
        <v>0</v>
      </c>
      <c r="I165" s="2">
        <f t="shared" si="15"/>
        <v>0</v>
      </c>
      <c r="J165">
        <f>IFERROR(VLOOKUP(B165,'General price list'!C:BA,MATCH("CBM",'General price list'!$C$20:$BA$20,0),FALSE)*(G165*C165),0)</f>
        <v>0</v>
      </c>
    </row>
    <row r="166" spans="2:10" ht="15" customHeight="1">
      <c r="B166" t="s">
        <v>557</v>
      </c>
      <c r="C166" s="2" t="str">
        <f>IFERROR(VLOOKUP(B166,'General price list'!C:BA,MATCH("PAL",'General price list'!$C$20:$BA$20,0),FALSE),"")</f>
        <v>16</v>
      </c>
      <c r="D166" s="2">
        <f>IFERROR(VLOOKUP(B166,'General price list'!C:BA,MATCH("OBJ",'General price list'!$C$20:$BA$20,0),FALSE),"")</f>
        <v>0</v>
      </c>
      <c r="E166" s="2">
        <f t="shared" si="16"/>
        <v>0</v>
      </c>
      <c r="F166" s="2">
        <f t="shared" si="17"/>
        <v>0</v>
      </c>
      <c r="G166" s="2">
        <f t="shared" si="18"/>
        <v>0</v>
      </c>
      <c r="H166" s="2">
        <f t="shared" si="19"/>
        <v>0</v>
      </c>
      <c r="I166" s="2">
        <f t="shared" si="15"/>
        <v>0</v>
      </c>
      <c r="J166">
        <f>IFERROR(VLOOKUP(B166,'General price list'!C:BA,MATCH("CBM",'General price list'!$C$20:$BA$20,0),FALSE)*(G166*C166),0)</f>
        <v>0</v>
      </c>
    </row>
    <row r="167" spans="2:10" ht="15" customHeight="1">
      <c r="B167" t="s">
        <v>563</v>
      </c>
      <c r="C167" s="2" t="str">
        <f>IFERROR(VLOOKUP(B167,'General price list'!C:BA,MATCH("PAL",'General price list'!$C$20:$BA$20,0),FALSE),"")</f>
        <v>16</v>
      </c>
      <c r="D167" s="2">
        <f>IFERROR(VLOOKUP(B167,'General price list'!C:BA,MATCH("OBJ",'General price list'!$C$20:$BA$20,0),FALSE),"")</f>
        <v>0</v>
      </c>
      <c r="E167" s="2">
        <f t="shared" si="16"/>
        <v>0</v>
      </c>
      <c r="F167" s="2">
        <f t="shared" si="17"/>
        <v>0</v>
      </c>
      <c r="G167" s="2">
        <f t="shared" si="18"/>
        <v>0</v>
      </c>
      <c r="H167" s="2">
        <f t="shared" si="19"/>
        <v>0</v>
      </c>
      <c r="I167" s="2">
        <f t="shared" si="15"/>
        <v>0</v>
      </c>
      <c r="J167">
        <f>IFERROR(VLOOKUP(B167,'General price list'!C:BA,MATCH("CBM",'General price list'!$C$20:$BA$20,0),FALSE)*(G167*C167),0)</f>
        <v>0</v>
      </c>
    </row>
    <row r="168" spans="2:10" ht="15" customHeight="1">
      <c r="B168" t="s">
        <v>568</v>
      </c>
      <c r="C168" s="2" t="str">
        <f>IFERROR(VLOOKUP(B168,'General price list'!C:BA,MATCH("PAL",'General price list'!$C$20:$BA$20,0),FALSE),"")</f>
        <v>16</v>
      </c>
      <c r="D168" s="2">
        <f>IFERROR(VLOOKUP(B168,'General price list'!C:BA,MATCH("OBJ",'General price list'!$C$20:$BA$20,0),FALSE),"")</f>
        <v>0</v>
      </c>
      <c r="E168" s="2">
        <f t="shared" si="16"/>
        <v>0</v>
      </c>
      <c r="F168" s="2">
        <f t="shared" si="17"/>
        <v>0</v>
      </c>
      <c r="G168" s="2">
        <f t="shared" si="18"/>
        <v>0</v>
      </c>
      <c r="H168" s="2">
        <f t="shared" si="19"/>
        <v>0</v>
      </c>
      <c r="I168" s="2">
        <f t="shared" si="15"/>
        <v>0</v>
      </c>
      <c r="J168">
        <f>IFERROR(VLOOKUP(B168,'General price list'!C:BA,MATCH("CBM",'General price list'!$C$20:$BA$20,0),FALSE)*(G168*C168),0)</f>
        <v>0</v>
      </c>
    </row>
    <row r="169" spans="2:10" ht="15" customHeight="1">
      <c r="B169" t="s">
        <v>573</v>
      </c>
      <c r="C169" s="2" t="str">
        <f>IFERROR(VLOOKUP(B169,'General price list'!C:BA,MATCH("PAL",'General price list'!$C$20:$BA$20,0),FALSE),"")</f>
        <v>21</v>
      </c>
      <c r="D169" s="2">
        <f>IFERROR(VLOOKUP(B169,'General price list'!C:BA,MATCH("OBJ",'General price list'!$C$20:$BA$20,0),FALSE),"")</f>
        <v>0</v>
      </c>
      <c r="E169" s="2">
        <f t="shared" si="16"/>
        <v>0</v>
      </c>
      <c r="F169" s="2">
        <f t="shared" si="17"/>
        <v>0</v>
      </c>
      <c r="G169" s="2">
        <f t="shared" si="18"/>
        <v>0</v>
      </c>
      <c r="H169" s="2">
        <f t="shared" si="19"/>
        <v>0</v>
      </c>
      <c r="I169" s="2">
        <f t="shared" si="15"/>
        <v>0</v>
      </c>
      <c r="J169">
        <f>IFERROR(VLOOKUP(B169,'General price list'!C:BA,MATCH("CBM",'General price list'!$C$20:$BA$20,0),FALSE)*(G169*C169),0)</f>
        <v>0</v>
      </c>
    </row>
    <row r="170" spans="2:10" ht="15" customHeight="1">
      <c r="B170" t="s">
        <v>587</v>
      </c>
      <c r="C170" s="2">
        <f>IFERROR(VLOOKUP(B170,'General price list'!C:BA,MATCH("PAL",'General price list'!$C$20:$BA$20,0),FALSE),"")</f>
        <v>56</v>
      </c>
      <c r="D170" s="2">
        <f>IFERROR(VLOOKUP(B170,'General price list'!C:BA,MATCH("OBJ",'General price list'!$C$20:$BA$20,0),FALSE),"")</f>
        <v>0</v>
      </c>
      <c r="E170" s="2">
        <f t="shared" si="16"/>
        <v>0</v>
      </c>
      <c r="F170" s="2">
        <f t="shared" si="17"/>
        <v>0</v>
      </c>
      <c r="G170" s="2">
        <f t="shared" si="18"/>
        <v>0</v>
      </c>
      <c r="H170" s="2">
        <f t="shared" si="19"/>
        <v>0</v>
      </c>
      <c r="I170" s="2">
        <f t="shared" si="15"/>
        <v>0</v>
      </c>
      <c r="J170">
        <f>IFERROR(VLOOKUP(B170,'General price list'!C:BA,MATCH("CBM",'General price list'!$C$20:$BA$20,0),FALSE)*(G170*C170),0)</f>
        <v>0</v>
      </c>
    </row>
    <row r="171" spans="2:10" ht="15" customHeight="1">
      <c r="B171" t="s">
        <v>2489</v>
      </c>
      <c r="C171" s="2" t="str">
        <f>IFERROR(VLOOKUP(B171,'General price list'!C:BA,MATCH("PAL",'General price list'!$C$20:$BA$20,0),FALSE),"")</f>
        <v>56</v>
      </c>
      <c r="D171" s="2">
        <f>IFERROR(VLOOKUP(B171,'General price list'!C:BA,MATCH("OBJ",'General price list'!$C$20:$BA$20,0),FALSE),"")</f>
        <v>0</v>
      </c>
      <c r="E171" s="2">
        <f t="shared" si="16"/>
        <v>0</v>
      </c>
      <c r="F171" s="2">
        <f t="shared" si="17"/>
        <v>0</v>
      </c>
      <c r="G171" s="2">
        <f t="shared" si="18"/>
        <v>0</v>
      </c>
      <c r="H171" s="2">
        <f t="shared" si="19"/>
        <v>0</v>
      </c>
      <c r="I171" s="2">
        <f t="shared" si="15"/>
        <v>0</v>
      </c>
      <c r="J171">
        <f>IFERROR(VLOOKUP(B171,'General price list'!C:BA,MATCH("CBM",'General price list'!$C$20:$BA$20,0),FALSE)*(G171*C171),0)</f>
        <v>0</v>
      </c>
    </row>
    <row r="172" spans="2:10" ht="15" customHeight="1">
      <c r="B172" t="s">
        <v>597</v>
      </c>
      <c r="C172" s="2">
        <f>IFERROR(VLOOKUP(B172,'General price list'!C:BA,MATCH("PAL",'General price list'!$C$20:$BA$20,0),FALSE),"")</f>
        <v>40</v>
      </c>
      <c r="D172" s="2">
        <f>IFERROR(VLOOKUP(B172,'General price list'!C:BA,MATCH("OBJ",'General price list'!$C$20:$BA$20,0),FALSE),"")</f>
        <v>0</v>
      </c>
      <c r="E172" s="2">
        <f t="shared" si="16"/>
        <v>0</v>
      </c>
      <c r="F172" s="2">
        <f t="shared" si="17"/>
        <v>0</v>
      </c>
      <c r="G172" s="2">
        <f t="shared" si="18"/>
        <v>0</v>
      </c>
      <c r="H172" s="2">
        <f t="shared" si="19"/>
        <v>0</v>
      </c>
      <c r="I172" s="2">
        <f t="shared" si="15"/>
        <v>0</v>
      </c>
      <c r="J172">
        <f>IFERROR(VLOOKUP(B172,'General price list'!C:BA,MATCH("CBM",'General price list'!$C$20:$BA$20,0),FALSE)*(G172*C172),0)</f>
        <v>0</v>
      </c>
    </row>
    <row r="173" spans="2:10" ht="15" customHeight="1">
      <c r="B173" t="s">
        <v>603</v>
      </c>
      <c r="C173" s="2">
        <f>IFERROR(VLOOKUP(B173,'General price list'!C:BA,MATCH("PAL",'General price list'!$C$20:$BA$20,0),FALSE),"")</f>
        <v>36</v>
      </c>
      <c r="D173" s="2">
        <f>IFERROR(VLOOKUP(B173,'General price list'!C:BA,MATCH("OBJ",'General price list'!$C$20:$BA$20,0),FALSE),"")</f>
        <v>0</v>
      </c>
      <c r="E173" s="2">
        <f t="shared" si="16"/>
        <v>0</v>
      </c>
      <c r="F173" s="2">
        <f t="shared" si="17"/>
        <v>0</v>
      </c>
      <c r="G173" s="2">
        <f t="shared" si="18"/>
        <v>0</v>
      </c>
      <c r="H173" s="2">
        <f t="shared" si="19"/>
        <v>0</v>
      </c>
      <c r="I173" s="2">
        <f t="shared" si="15"/>
        <v>0</v>
      </c>
      <c r="J173">
        <f>IFERROR(VLOOKUP(B173,'General price list'!C:BA,MATCH("CBM",'General price list'!$C$20:$BA$20,0),FALSE)*(G173*C173),0)</f>
        <v>0</v>
      </c>
    </row>
    <row r="174" spans="2:10" ht="15" customHeight="1">
      <c r="B174" t="s">
        <v>609</v>
      </c>
      <c r="C174" s="2">
        <f>IFERROR(VLOOKUP(B174,'General price list'!C:BA,MATCH("PAL",'General price list'!$C$20:$BA$20,0),FALSE),"")</f>
        <v>24</v>
      </c>
      <c r="D174" s="2">
        <f>IFERROR(VLOOKUP(B174,'General price list'!C:BA,MATCH("OBJ",'General price list'!$C$20:$BA$20,0),FALSE),"")</f>
        <v>0</v>
      </c>
      <c r="E174" s="2">
        <f t="shared" si="16"/>
        <v>0</v>
      </c>
      <c r="F174" s="2">
        <f t="shared" si="17"/>
        <v>0</v>
      </c>
      <c r="G174" s="2">
        <f t="shared" si="18"/>
        <v>0</v>
      </c>
      <c r="H174" s="2">
        <f t="shared" si="19"/>
        <v>0</v>
      </c>
      <c r="I174" s="2">
        <f t="shared" si="15"/>
        <v>0</v>
      </c>
      <c r="J174">
        <f>IFERROR(VLOOKUP(B174,'General price list'!C:BA,MATCH("CBM",'General price list'!$C$20:$BA$20,0),FALSE)*(G174*C174),0)</f>
        <v>0</v>
      </c>
    </row>
    <row r="175" spans="2:10" ht="15" customHeight="1">
      <c r="B175" t="s">
        <v>613</v>
      </c>
      <c r="C175" s="2">
        <f>IFERROR(VLOOKUP(B175,'General price list'!C:BA,MATCH("PAL",'General price list'!$C$20:$BA$20,0),FALSE),"")</f>
        <v>36</v>
      </c>
      <c r="D175" s="2">
        <f>IFERROR(VLOOKUP(B175,'General price list'!C:BA,MATCH("OBJ",'General price list'!$C$20:$BA$20,0),FALSE),"")</f>
        <v>0</v>
      </c>
      <c r="E175" s="2">
        <f t="shared" si="16"/>
        <v>0</v>
      </c>
      <c r="F175" s="2">
        <f t="shared" si="17"/>
        <v>0</v>
      </c>
      <c r="G175" s="2">
        <f t="shared" si="18"/>
        <v>0</v>
      </c>
      <c r="H175" s="2">
        <f t="shared" si="19"/>
        <v>0</v>
      </c>
      <c r="I175" s="2">
        <f t="shared" si="15"/>
        <v>0</v>
      </c>
      <c r="J175">
        <f>IFERROR(VLOOKUP(B175,'General price list'!C:BA,MATCH("CBM",'General price list'!$C$20:$BA$20,0),FALSE)*(G175*C175),0)</f>
        <v>0</v>
      </c>
    </row>
    <row r="176" spans="2:10" ht="15" customHeight="1">
      <c r="B176" t="s">
        <v>623</v>
      </c>
      <c r="C176" s="2">
        <f>IFERROR(VLOOKUP(B176,'General price list'!C:BA,MATCH("PAL",'General price list'!$C$20:$BA$20,0),FALSE),"")</f>
        <v>28</v>
      </c>
      <c r="D176" s="2">
        <f>IFERROR(VLOOKUP(B176,'General price list'!C:BA,MATCH("OBJ",'General price list'!$C$20:$BA$20,0),FALSE),"")</f>
        <v>0</v>
      </c>
      <c r="E176" s="2">
        <f t="shared" si="16"/>
        <v>0</v>
      </c>
      <c r="F176" s="2">
        <f t="shared" si="17"/>
        <v>0</v>
      </c>
      <c r="G176" s="2">
        <f t="shared" si="18"/>
        <v>0</v>
      </c>
      <c r="H176" s="2">
        <f t="shared" si="19"/>
        <v>0</v>
      </c>
      <c r="I176" s="2">
        <f t="shared" si="15"/>
        <v>0</v>
      </c>
      <c r="J176">
        <f>IFERROR(VLOOKUP(B176,'General price list'!C:BA,MATCH("CBM",'General price list'!$C$20:$BA$20,0),FALSE)*(G176*C176),0)</f>
        <v>0</v>
      </c>
    </row>
    <row r="177" spans="2:10" ht="15" customHeight="1">
      <c r="B177" t="s">
        <v>626</v>
      </c>
      <c r="C177" s="2">
        <f>IFERROR(VLOOKUP(B177,'General price list'!C:BA,MATCH("PAL",'General price list'!$C$20:$BA$20,0),FALSE),"")</f>
        <v>30</v>
      </c>
      <c r="D177" s="2">
        <f>IFERROR(VLOOKUP(B177,'General price list'!C:BA,MATCH("OBJ",'General price list'!$C$20:$BA$20,0),FALSE),"")</f>
        <v>0</v>
      </c>
      <c r="E177" s="2">
        <f t="shared" si="16"/>
        <v>0</v>
      </c>
      <c r="F177" s="2">
        <f t="shared" si="17"/>
        <v>0</v>
      </c>
      <c r="G177" s="2">
        <f t="shared" si="18"/>
        <v>0</v>
      </c>
      <c r="H177" s="2">
        <f t="shared" si="19"/>
        <v>0</v>
      </c>
      <c r="I177" s="2">
        <f t="shared" si="15"/>
        <v>0</v>
      </c>
      <c r="J177">
        <f>IFERROR(VLOOKUP(B177,'General price list'!C:BA,MATCH("CBM",'General price list'!$C$20:$BA$20,0),FALSE)*(G177*C177),0)</f>
        <v>0</v>
      </c>
    </row>
    <row r="178" spans="2:10" ht="15" customHeight="1">
      <c r="B178" t="s">
        <v>631</v>
      </c>
      <c r="C178" s="2">
        <f>IFERROR(VLOOKUP(B178,'General price list'!C:BA,MATCH("PAL",'General price list'!$C$20:$BA$20,0),FALSE),"")</f>
        <v>27</v>
      </c>
      <c r="D178" s="2">
        <f>IFERROR(VLOOKUP(B178,'General price list'!C:BA,MATCH("OBJ",'General price list'!$C$20:$BA$20,0),FALSE),"")</f>
        <v>0</v>
      </c>
      <c r="E178" s="2">
        <f t="shared" si="16"/>
        <v>0</v>
      </c>
      <c r="F178" s="2">
        <f t="shared" si="17"/>
        <v>0</v>
      </c>
      <c r="G178" s="2">
        <f t="shared" si="18"/>
        <v>0</v>
      </c>
      <c r="H178" s="2">
        <f t="shared" si="19"/>
        <v>0</v>
      </c>
      <c r="I178" s="2">
        <f t="shared" si="15"/>
        <v>0</v>
      </c>
      <c r="J178">
        <f>IFERROR(VLOOKUP(B178,'General price list'!C:BA,MATCH("CBM",'General price list'!$C$20:$BA$20,0),FALSE)*(G178*C178),0)</f>
        <v>0</v>
      </c>
    </row>
    <row r="179" spans="2:10" ht="15" customHeight="1">
      <c r="B179" t="s">
        <v>641</v>
      </c>
      <c r="C179" s="2">
        <f>IFERROR(VLOOKUP(B179,'General price list'!C:BA,MATCH("PAL",'General price list'!$C$20:$BA$20,0),FALSE),"")</f>
        <v>30</v>
      </c>
      <c r="D179" s="2">
        <f>IFERROR(VLOOKUP(B179,'General price list'!C:BA,MATCH("OBJ",'General price list'!$C$20:$BA$20,0),FALSE),"")</f>
        <v>0</v>
      </c>
      <c r="E179" s="2">
        <f t="shared" si="16"/>
        <v>0</v>
      </c>
      <c r="F179" s="2">
        <f t="shared" si="17"/>
        <v>0</v>
      </c>
      <c r="G179" s="2">
        <f t="shared" si="18"/>
        <v>0</v>
      </c>
      <c r="H179" s="2">
        <f t="shared" si="19"/>
        <v>0</v>
      </c>
      <c r="I179" s="2">
        <f t="shared" si="15"/>
        <v>0</v>
      </c>
      <c r="J179">
        <f>IFERROR(VLOOKUP(B179,'General price list'!C:BA,MATCH("CBM",'General price list'!$C$20:$BA$20,0),FALSE)*(G179*C179),0)</f>
        <v>0</v>
      </c>
    </row>
    <row r="180" spans="2:10" ht="15" customHeight="1">
      <c r="B180" t="s">
        <v>648</v>
      </c>
      <c r="C180" s="2">
        <f>IFERROR(VLOOKUP(B180,'General price list'!C:BA,MATCH("PAL",'General price list'!$C$20:$BA$20,0),FALSE),"")</f>
        <v>63</v>
      </c>
      <c r="D180" s="2">
        <f>IFERROR(VLOOKUP(B180,'General price list'!C:BA,MATCH("OBJ",'General price list'!$C$20:$BA$20,0),FALSE),"")</f>
        <v>0</v>
      </c>
      <c r="E180" s="2">
        <f t="shared" si="16"/>
        <v>0</v>
      </c>
      <c r="F180" s="2">
        <f t="shared" si="17"/>
        <v>0</v>
      </c>
      <c r="G180" s="2">
        <f t="shared" si="18"/>
        <v>0</v>
      </c>
      <c r="H180" s="2">
        <f t="shared" si="19"/>
        <v>0</v>
      </c>
      <c r="I180" s="2">
        <f t="shared" si="15"/>
        <v>0</v>
      </c>
      <c r="J180">
        <f>IFERROR(VLOOKUP(B180,'General price list'!C:BA,MATCH("CBM",'General price list'!$C$20:$BA$20,0),FALSE)*(G180*C180),0)</f>
        <v>0</v>
      </c>
    </row>
    <row r="181" spans="2:10" ht="15" customHeight="1">
      <c r="B181" t="s">
        <v>653</v>
      </c>
      <c r="C181" s="2">
        <f>IFERROR(VLOOKUP(B181,'General price list'!C:BA,MATCH("PAL",'General price list'!$C$20:$BA$20,0),FALSE),"")</f>
        <v>30</v>
      </c>
      <c r="D181" s="2">
        <f>IFERROR(VLOOKUP(B181,'General price list'!C:BA,MATCH("OBJ",'General price list'!$C$20:$BA$20,0),FALSE),"")</f>
        <v>0</v>
      </c>
      <c r="E181" s="2">
        <f t="shared" si="16"/>
        <v>0</v>
      </c>
      <c r="F181" s="2">
        <f t="shared" si="17"/>
        <v>0</v>
      </c>
      <c r="G181" s="2">
        <f t="shared" si="18"/>
        <v>0</v>
      </c>
      <c r="H181" s="2">
        <f t="shared" si="19"/>
        <v>0</v>
      </c>
      <c r="I181" s="2">
        <f t="shared" si="15"/>
        <v>0</v>
      </c>
      <c r="J181">
        <f>IFERROR(VLOOKUP(B181,'General price list'!C:BA,MATCH("CBM",'General price list'!$C$20:$BA$20,0),FALSE)*(G181*C181),0)</f>
        <v>0</v>
      </c>
    </row>
    <row r="182" spans="2:10" ht="15" customHeight="1">
      <c r="B182" t="s">
        <v>2490</v>
      </c>
      <c r="C182" s="2">
        <f>IFERROR(VLOOKUP(B182,'General price list'!C:BA,MATCH("PAL",'General price list'!$C$20:$BA$20,0),FALSE),"")</f>
        <v>30</v>
      </c>
      <c r="D182" s="2">
        <f>IFERROR(VLOOKUP(B182,'General price list'!C:BA,MATCH("OBJ",'General price list'!$C$20:$BA$20,0),FALSE),"")</f>
        <v>0</v>
      </c>
      <c r="E182" s="2">
        <f t="shared" si="16"/>
        <v>0</v>
      </c>
      <c r="F182" s="2">
        <f t="shared" si="17"/>
        <v>0</v>
      </c>
      <c r="G182" s="2">
        <f t="shared" si="18"/>
        <v>0</v>
      </c>
      <c r="H182" s="2">
        <f t="shared" si="19"/>
        <v>0</v>
      </c>
      <c r="I182" s="2">
        <f t="shared" si="15"/>
        <v>0</v>
      </c>
      <c r="J182">
        <f>IFERROR(VLOOKUP(B182,'General price list'!C:BA,MATCH("CBM",'General price list'!$C$20:$BA$20,0),FALSE)*(G182*C182),0)</f>
        <v>0</v>
      </c>
    </row>
    <row r="183" spans="2:10" ht="15" customHeight="1">
      <c r="B183" t="s">
        <v>657</v>
      </c>
      <c r="C183" s="2">
        <f>IFERROR(VLOOKUP(B183,'General price list'!C:BA,MATCH("PAL",'General price list'!$C$20:$BA$20,0),FALSE),"")</f>
        <v>25</v>
      </c>
      <c r="D183" s="2">
        <f>IFERROR(VLOOKUP(B183,'General price list'!C:BA,MATCH("OBJ",'General price list'!$C$20:$BA$20,0),FALSE),"")</f>
        <v>0</v>
      </c>
      <c r="E183" s="2">
        <f t="shared" si="16"/>
        <v>0</v>
      </c>
      <c r="F183" s="2">
        <f t="shared" si="17"/>
        <v>0</v>
      </c>
      <c r="G183" s="2">
        <f t="shared" si="18"/>
        <v>0</v>
      </c>
      <c r="H183" s="2">
        <f t="shared" si="19"/>
        <v>0</v>
      </c>
      <c r="I183" s="2">
        <f t="shared" si="15"/>
        <v>0</v>
      </c>
      <c r="J183">
        <f>IFERROR(VLOOKUP(B183,'General price list'!C:BA,MATCH("CBM",'General price list'!$C$20:$BA$20,0),FALSE)*(G183*C183),0)</f>
        <v>0</v>
      </c>
    </row>
    <row r="184" spans="2:10" ht="15" customHeight="1">
      <c r="B184" t="s">
        <v>4318</v>
      </c>
      <c r="C184" s="2">
        <f>IFERROR(VLOOKUP(B184,'General price list'!C:BA,MATCH("PAL",'General price list'!$C$20:$BA$20,0),FALSE),"")</f>
        <v>21</v>
      </c>
      <c r="D184" s="2">
        <f>IFERROR(VLOOKUP(B184,'General price list'!C:BA,MATCH("OBJ",'General price list'!$C$20:$BA$20,0),FALSE),"")</f>
        <v>0</v>
      </c>
      <c r="E184" s="2">
        <f t="shared" si="16"/>
        <v>0</v>
      </c>
      <c r="F184" s="2">
        <f t="shared" si="17"/>
        <v>0</v>
      </c>
      <c r="G184" s="2">
        <f t="shared" si="18"/>
        <v>0</v>
      </c>
      <c r="H184" s="2">
        <f t="shared" si="19"/>
        <v>0</v>
      </c>
      <c r="I184" s="2">
        <f t="shared" si="15"/>
        <v>0</v>
      </c>
      <c r="J184">
        <f>IFERROR(VLOOKUP(B184,'General price list'!C:BA,MATCH("CBM",'General price list'!$C$20:$BA$20,0),FALSE)*(G184*C184),0)</f>
        <v>0</v>
      </c>
    </row>
    <row r="185" spans="2:10" ht="15" customHeight="1">
      <c r="B185" t="s">
        <v>661</v>
      </c>
      <c r="C185" s="2">
        <f>IFERROR(VLOOKUP(B185,'General price list'!C:BA,MATCH("PAL",'General price list'!$C$20:$BA$20,0),FALSE),"")</f>
        <v>36</v>
      </c>
      <c r="D185" s="2">
        <f>IFERROR(VLOOKUP(B185,'General price list'!C:BA,MATCH("OBJ",'General price list'!$C$20:$BA$20,0),FALSE),"")</f>
        <v>0</v>
      </c>
      <c r="E185" s="2">
        <f t="shared" si="16"/>
        <v>0</v>
      </c>
      <c r="F185" s="2">
        <f t="shared" si="17"/>
        <v>0</v>
      </c>
      <c r="G185" s="2">
        <f t="shared" si="18"/>
        <v>0</v>
      </c>
      <c r="H185" s="2">
        <f t="shared" si="19"/>
        <v>0</v>
      </c>
      <c r="I185" s="2">
        <f t="shared" si="15"/>
        <v>0</v>
      </c>
      <c r="J185">
        <f>IFERROR(VLOOKUP(B185,'General price list'!C:BA,MATCH("CBM",'General price list'!$C$20:$BA$20,0),FALSE)*(G185*C185),0)</f>
        <v>0</v>
      </c>
    </row>
    <row r="186" spans="2:10" ht="15" customHeight="1">
      <c r="B186" t="s">
        <v>666</v>
      </c>
      <c r="C186" s="2">
        <f>IFERROR(VLOOKUP(B186,'General price list'!C:BA,MATCH("PAL",'General price list'!$C$20:$BA$20,0),FALSE),"")</f>
        <v>40</v>
      </c>
      <c r="D186" s="2">
        <f>IFERROR(VLOOKUP(B186,'General price list'!C:BA,MATCH("OBJ",'General price list'!$C$20:$BA$20,0),FALSE),"")</f>
        <v>0</v>
      </c>
      <c r="E186" s="2">
        <f t="shared" si="16"/>
        <v>0</v>
      </c>
      <c r="F186" s="2">
        <f t="shared" si="17"/>
        <v>0</v>
      </c>
      <c r="G186" s="2">
        <f t="shared" si="18"/>
        <v>0</v>
      </c>
      <c r="H186" s="2">
        <f t="shared" si="19"/>
        <v>0</v>
      </c>
      <c r="I186" s="2">
        <f t="shared" si="15"/>
        <v>0</v>
      </c>
      <c r="J186">
        <f>IFERROR(VLOOKUP(B186,'General price list'!C:BA,MATCH("CBM",'General price list'!$C$20:$BA$20,0),FALSE)*(G186*C186),0)</f>
        <v>0</v>
      </c>
    </row>
    <row r="187" spans="2:10" ht="15" customHeight="1">
      <c r="B187" t="s">
        <v>667</v>
      </c>
      <c r="C187" s="2">
        <f>IFERROR(VLOOKUP(B187,'General price list'!C:BA,MATCH("PAL",'General price list'!$C$20:$BA$20,0),FALSE),"")</f>
        <v>40</v>
      </c>
      <c r="D187" s="2">
        <f>IFERROR(VLOOKUP(B187,'General price list'!C:BA,MATCH("OBJ",'General price list'!$C$20:$BA$20,0),FALSE),"")</f>
        <v>0</v>
      </c>
      <c r="E187" s="2">
        <f t="shared" si="16"/>
        <v>0</v>
      </c>
      <c r="F187" s="2">
        <f t="shared" si="17"/>
        <v>0</v>
      </c>
      <c r="G187" s="2">
        <f t="shared" si="18"/>
        <v>0</v>
      </c>
      <c r="H187" s="2">
        <f t="shared" si="19"/>
        <v>0</v>
      </c>
      <c r="I187" s="2">
        <f t="shared" si="15"/>
        <v>0</v>
      </c>
      <c r="J187">
        <f>IFERROR(VLOOKUP(B187,'General price list'!C:BA,MATCH("CBM",'General price list'!$C$20:$BA$20,0),FALSE)*(G187*C187),0)</f>
        <v>0</v>
      </c>
    </row>
    <row r="188" spans="2:10" ht="15" customHeight="1">
      <c r="B188" t="s">
        <v>671</v>
      </c>
      <c r="C188" s="2">
        <f>IFERROR(VLOOKUP(B188,'General price list'!C:BA,MATCH("PAL",'General price list'!$C$20:$BA$20,0),FALSE),"")</f>
        <v>30</v>
      </c>
      <c r="D188" s="2">
        <f>IFERROR(VLOOKUP(B188,'General price list'!C:BA,MATCH("OBJ",'General price list'!$C$20:$BA$20,0),FALSE),"")</f>
        <v>0</v>
      </c>
      <c r="E188" s="2">
        <f t="shared" si="16"/>
        <v>0</v>
      </c>
      <c r="F188" s="2">
        <f t="shared" si="17"/>
        <v>0</v>
      </c>
      <c r="G188" s="2">
        <f t="shared" si="18"/>
        <v>0</v>
      </c>
      <c r="H188" s="2">
        <f t="shared" si="19"/>
        <v>0</v>
      </c>
      <c r="I188" s="2">
        <f t="shared" si="15"/>
        <v>0</v>
      </c>
      <c r="J188">
        <f>IFERROR(VLOOKUP(B188,'General price list'!C:BA,MATCH("CBM",'General price list'!$C$20:$BA$20,0),FALSE)*(G188*C188),0)</f>
        <v>0</v>
      </c>
    </row>
    <row r="189" spans="2:10" ht="15" customHeight="1">
      <c r="B189" t="s">
        <v>676</v>
      </c>
      <c r="C189" s="2">
        <f>IFERROR(VLOOKUP(B189,'General price list'!C:BA,MATCH("PAL",'General price list'!$C$20:$BA$20,0),FALSE),"")</f>
        <v>28</v>
      </c>
      <c r="D189" s="2">
        <f>IFERROR(VLOOKUP(B189,'General price list'!C:BA,MATCH("OBJ",'General price list'!$C$20:$BA$20,0),FALSE),"")</f>
        <v>0</v>
      </c>
      <c r="E189" s="2">
        <f t="shared" si="16"/>
        <v>0</v>
      </c>
      <c r="F189" s="2">
        <f t="shared" si="17"/>
        <v>0</v>
      </c>
      <c r="G189" s="2">
        <f t="shared" si="18"/>
        <v>0</v>
      </c>
      <c r="H189" s="2">
        <f t="shared" si="19"/>
        <v>0</v>
      </c>
      <c r="I189" s="2">
        <f t="shared" si="15"/>
        <v>0</v>
      </c>
      <c r="J189">
        <f>IFERROR(VLOOKUP(B189,'General price list'!C:BA,MATCH("CBM",'General price list'!$C$20:$BA$20,0),FALSE)*(G189*C189),0)</f>
        <v>0</v>
      </c>
    </row>
    <row r="190" spans="2:10" ht="15" customHeight="1">
      <c r="B190" t="s">
        <v>2492</v>
      </c>
      <c r="C190" s="2">
        <f>IFERROR(VLOOKUP(B190,'General price list'!C:BA,MATCH("PAL",'General price list'!$C$20:$BA$20,0),FALSE),"")</f>
        <v>36</v>
      </c>
      <c r="D190" s="2">
        <f>IFERROR(VLOOKUP(B190,'General price list'!C:BA,MATCH("OBJ",'General price list'!$C$20:$BA$20,0),FALSE),"")</f>
        <v>0</v>
      </c>
      <c r="E190" s="2">
        <f t="shared" si="16"/>
        <v>0</v>
      </c>
      <c r="F190" s="2">
        <f t="shared" si="17"/>
        <v>0</v>
      </c>
      <c r="G190" s="2">
        <f t="shared" si="18"/>
        <v>0</v>
      </c>
      <c r="H190" s="2">
        <f t="shared" si="19"/>
        <v>0</v>
      </c>
      <c r="I190" s="2">
        <f t="shared" si="15"/>
        <v>0</v>
      </c>
      <c r="J190">
        <f>IFERROR(VLOOKUP(B190,'General price list'!C:BA,MATCH("CBM",'General price list'!$C$20:$BA$20,0),FALSE)*(G190*C190),0)</f>
        <v>0</v>
      </c>
    </row>
    <row r="191" spans="2:10" ht="15" customHeight="1">
      <c r="B191" t="s">
        <v>687</v>
      </c>
      <c r="C191" s="2">
        <f>IFERROR(VLOOKUP(B191,'General price list'!C:BA,MATCH("PAL",'General price list'!$C$20:$BA$20,0),FALSE),"")</f>
        <v>18</v>
      </c>
      <c r="D191" s="2">
        <f>IFERROR(VLOOKUP(B191,'General price list'!C:BA,MATCH("OBJ",'General price list'!$C$20:$BA$20,0),FALSE),"")</f>
        <v>0</v>
      </c>
      <c r="E191" s="2">
        <f t="shared" si="16"/>
        <v>0</v>
      </c>
      <c r="F191" s="2">
        <f t="shared" si="17"/>
        <v>0</v>
      </c>
      <c r="G191" s="2">
        <f t="shared" si="18"/>
        <v>0</v>
      </c>
      <c r="H191" s="2">
        <f t="shared" si="19"/>
        <v>0</v>
      </c>
      <c r="I191" s="2">
        <f t="shared" si="15"/>
        <v>0</v>
      </c>
      <c r="J191">
        <f>IFERROR(VLOOKUP(B191,'General price list'!C:BA,MATCH("CBM",'General price list'!$C$20:$BA$20,0),FALSE)*(G191*C191),0)</f>
        <v>0</v>
      </c>
    </row>
    <row r="192" spans="2:10" ht="15" customHeight="1">
      <c r="B192" t="s">
        <v>694</v>
      </c>
      <c r="C192" s="2">
        <f>IFERROR(VLOOKUP(B192,'General price list'!C:BA,MATCH("PAL",'General price list'!$C$20:$BA$20,0),FALSE),"")</f>
        <v>24</v>
      </c>
      <c r="D192" s="2">
        <f>IFERROR(VLOOKUP(B192,'General price list'!C:BA,MATCH("OBJ",'General price list'!$C$20:$BA$20,0),FALSE),"")</f>
        <v>0</v>
      </c>
      <c r="E192" s="2">
        <f t="shared" si="16"/>
        <v>0</v>
      </c>
      <c r="F192" s="2">
        <f t="shared" si="17"/>
        <v>0</v>
      </c>
      <c r="G192" s="2">
        <f t="shared" si="18"/>
        <v>0</v>
      </c>
      <c r="H192" s="2">
        <f t="shared" si="19"/>
        <v>0</v>
      </c>
      <c r="I192" s="2">
        <f t="shared" si="15"/>
        <v>0</v>
      </c>
      <c r="J192">
        <f>IFERROR(VLOOKUP(B192,'General price list'!C:BA,MATCH("CBM",'General price list'!$C$20:$BA$20,0),FALSE)*(G192*C192),0)</f>
        <v>0</v>
      </c>
    </row>
    <row r="193" spans="2:10" ht="15" customHeight="1">
      <c r="B193" t="s">
        <v>696</v>
      </c>
      <c r="C193" s="2" t="str">
        <f>IFERROR(VLOOKUP(B193,'General price list'!C:BA,MATCH("PAL",'General price list'!$C$20:$BA$20,0),FALSE),"")</f>
        <v>22</v>
      </c>
      <c r="D193" s="2">
        <f>IFERROR(VLOOKUP(B193,'General price list'!C:BA,MATCH("OBJ",'General price list'!$C$20:$BA$20,0),FALSE),"")</f>
        <v>0</v>
      </c>
      <c r="E193" s="2">
        <f t="shared" si="16"/>
        <v>0</v>
      </c>
      <c r="F193" s="2">
        <f t="shared" si="17"/>
        <v>0</v>
      </c>
      <c r="G193" s="2">
        <f t="shared" si="18"/>
        <v>0</v>
      </c>
      <c r="H193" s="2">
        <f t="shared" si="19"/>
        <v>0</v>
      </c>
      <c r="I193" s="2">
        <f t="shared" si="15"/>
        <v>0</v>
      </c>
      <c r="J193">
        <f>IFERROR(VLOOKUP(B193,'General price list'!C:BA,MATCH("CBM",'General price list'!$C$20:$BA$20,0),FALSE)*(G193*C193),0)</f>
        <v>0</v>
      </c>
    </row>
    <row r="194" spans="2:10" ht="15" customHeight="1">
      <c r="B194" t="s">
        <v>699</v>
      </c>
      <c r="C194" s="2">
        <f>IFERROR(VLOOKUP(B194,'General price list'!C:BA,MATCH("PAL",'General price list'!$C$20:$BA$20,0),FALSE),"")</f>
        <v>14</v>
      </c>
      <c r="D194" s="2">
        <f>IFERROR(VLOOKUP(B194,'General price list'!C:BA,MATCH("OBJ",'General price list'!$C$20:$BA$20,0),FALSE),"")</f>
        <v>0</v>
      </c>
      <c r="E194" s="2">
        <f t="shared" si="16"/>
        <v>0</v>
      </c>
      <c r="F194" s="2">
        <f t="shared" si="17"/>
        <v>0</v>
      </c>
      <c r="G194" s="2">
        <f t="shared" si="18"/>
        <v>0</v>
      </c>
      <c r="H194" s="2">
        <f t="shared" si="19"/>
        <v>0</v>
      </c>
      <c r="I194" s="2">
        <f t="shared" si="15"/>
        <v>0</v>
      </c>
      <c r="J194">
        <f>IFERROR(VLOOKUP(B194,'General price list'!C:BA,MATCH("CBM",'General price list'!$C$20:$BA$20,0),FALSE)*(G194*C194),0)</f>
        <v>0</v>
      </c>
    </row>
    <row r="195" spans="2:10" ht="15" customHeight="1">
      <c r="B195" t="s">
        <v>702</v>
      </c>
      <c r="C195" s="2">
        <f>IFERROR(VLOOKUP(B195,'General price list'!C:BA,MATCH("PAL",'General price list'!$C$20:$BA$20,0),FALSE),"")</f>
        <v>15</v>
      </c>
      <c r="D195" s="2">
        <f>IFERROR(VLOOKUP(B195,'General price list'!C:BA,MATCH("OBJ",'General price list'!$C$20:$BA$20,0),FALSE),"")</f>
        <v>0</v>
      </c>
      <c r="E195" s="2">
        <f t="shared" si="16"/>
        <v>0</v>
      </c>
      <c r="F195" s="2">
        <f t="shared" si="17"/>
        <v>0</v>
      </c>
      <c r="G195" s="2">
        <f t="shared" si="18"/>
        <v>0</v>
      </c>
      <c r="H195" s="2">
        <f t="shared" si="19"/>
        <v>0</v>
      </c>
      <c r="I195" s="2">
        <f t="shared" si="15"/>
        <v>0</v>
      </c>
      <c r="J195">
        <f>IFERROR(VLOOKUP(B195,'General price list'!C:BA,MATCH("CBM",'General price list'!$C$20:$BA$20,0),FALSE)*(G195*C195),0)</f>
        <v>0</v>
      </c>
    </row>
    <row r="196" spans="2:10" ht="15" customHeight="1">
      <c r="B196" t="s">
        <v>2876</v>
      </c>
      <c r="C196" s="2">
        <f>IFERROR(VLOOKUP(B196,'General price list'!C:BA,MATCH("PAL",'General price list'!$C$20:$BA$20,0),FALSE),"")</f>
        <v>25</v>
      </c>
      <c r="D196" s="2">
        <f>IFERROR(VLOOKUP(B196,'General price list'!C:BA,MATCH("OBJ",'General price list'!$C$20:$BA$20,0),FALSE),"")</f>
        <v>0</v>
      </c>
      <c r="E196" s="2">
        <f t="shared" si="16"/>
        <v>0</v>
      </c>
      <c r="F196" s="2">
        <f t="shared" si="17"/>
        <v>0</v>
      </c>
      <c r="G196" s="2">
        <f t="shared" si="18"/>
        <v>0</v>
      </c>
      <c r="H196" s="2">
        <f t="shared" si="19"/>
        <v>0</v>
      </c>
      <c r="I196" s="2">
        <f t="shared" ref="I196:I259" si="20">IFERROR(IF(D196=0,0,IF(F196=0,(D196*nextVK)+(prvniVK-nextVK),(G196*C196*nextVK)+(F196*PALzKoje))),0)</f>
        <v>0</v>
      </c>
      <c r="J196">
        <f>IFERROR(VLOOKUP(B196,'General price list'!C:BA,MATCH("CBM",'General price list'!$C$20:$BA$20,0),FALSE)*(G196*C196),0)</f>
        <v>0</v>
      </c>
    </row>
    <row r="197" spans="2:10" ht="15" customHeight="1">
      <c r="B197" t="s">
        <v>2559</v>
      </c>
      <c r="C197" s="2">
        <f>IFERROR(VLOOKUP(B197,'General price list'!C:BA,MATCH("PAL",'General price list'!$C$20:$BA$20,0),FALSE),"")</f>
        <v>56</v>
      </c>
      <c r="D197" s="2">
        <f>IFERROR(VLOOKUP(B197,'General price list'!C:BA,MATCH("OBJ",'General price list'!$C$20:$BA$20,0),FALSE),"")</f>
        <v>0</v>
      </c>
      <c r="E197" s="2">
        <f t="shared" ref="E197:E260" si="21">IFERROR(D197/C197,0)</f>
        <v>0</v>
      </c>
      <c r="F197" s="2">
        <f t="shared" ref="F197:F260" si="22">IFERROR(FLOOR(IF(E197-1&lt;0,0,E197),1),0)</f>
        <v>0</v>
      </c>
      <c r="G197" s="2">
        <f t="shared" ref="G197:G260" si="23">IFERROR(IF(H197&gt;E197,F197-E197,E197-F197),0)</f>
        <v>0</v>
      </c>
      <c r="H197" s="2">
        <f t="shared" ref="H197:H260" si="24">IFERROR(IF(E197=0,0,F197),0)</f>
        <v>0</v>
      </c>
      <c r="I197" s="2">
        <f t="shared" si="20"/>
        <v>0</v>
      </c>
      <c r="J197">
        <f>IFERROR(VLOOKUP(B197,'General price list'!C:BA,MATCH("CBM",'General price list'!$C$20:$BA$20,0),FALSE)*(G197*C197),0)</f>
        <v>0</v>
      </c>
    </row>
    <row r="198" spans="2:10" ht="15" customHeight="1">
      <c r="B198" t="s">
        <v>2494</v>
      </c>
      <c r="C198" s="2">
        <f>IFERROR(VLOOKUP(B198,'General price list'!C:BA,MATCH("PAL",'General price list'!$C$20:$BA$20,0),FALSE),"")</f>
        <v>12</v>
      </c>
      <c r="D198" s="2">
        <f>IFERROR(VLOOKUP(B198,'General price list'!C:BA,MATCH("OBJ",'General price list'!$C$20:$BA$20,0),FALSE),"")</f>
        <v>0</v>
      </c>
      <c r="E198" s="2">
        <f t="shared" si="21"/>
        <v>0</v>
      </c>
      <c r="F198" s="2">
        <f t="shared" si="22"/>
        <v>0</v>
      </c>
      <c r="G198" s="2">
        <f t="shared" si="23"/>
        <v>0</v>
      </c>
      <c r="H198" s="2">
        <f t="shared" si="24"/>
        <v>0</v>
      </c>
      <c r="I198" s="2">
        <f t="shared" si="20"/>
        <v>0</v>
      </c>
      <c r="J198">
        <f>IFERROR(VLOOKUP(B198,'General price list'!C:BA,MATCH("CBM",'General price list'!$C$20:$BA$20,0),FALSE)*(G198*C198),0)</f>
        <v>0</v>
      </c>
    </row>
    <row r="199" spans="2:10" ht="15" customHeight="1">
      <c r="B199" t="s">
        <v>2495</v>
      </c>
      <c r="C199" s="2">
        <f>IFERROR(VLOOKUP(B199,'General price list'!C:BA,MATCH("PAL",'General price list'!$C$20:$BA$20,0),FALSE),"")</f>
        <v>72</v>
      </c>
      <c r="D199" s="2">
        <f>IFERROR(VLOOKUP(B199,'General price list'!C:BA,MATCH("OBJ",'General price list'!$C$20:$BA$20,0),FALSE),"")</f>
        <v>0</v>
      </c>
      <c r="E199" s="2">
        <f t="shared" si="21"/>
        <v>0</v>
      </c>
      <c r="F199" s="2">
        <f t="shared" si="22"/>
        <v>0</v>
      </c>
      <c r="G199" s="2">
        <f t="shared" si="23"/>
        <v>0</v>
      </c>
      <c r="H199" s="2">
        <f t="shared" si="24"/>
        <v>0</v>
      </c>
      <c r="I199" s="2">
        <f t="shared" si="20"/>
        <v>0</v>
      </c>
      <c r="J199">
        <f>IFERROR(VLOOKUP(B199,'General price list'!C:BA,MATCH("CBM",'General price list'!$C$20:$BA$20,0),FALSE)*(G199*C199),0)</f>
        <v>0</v>
      </c>
    </row>
    <row r="200" spans="2:10" ht="15" customHeight="1">
      <c r="B200" t="s">
        <v>4390</v>
      </c>
      <c r="C200" s="2">
        <f>IFERROR(VLOOKUP(B200,'General price list'!C:BA,MATCH("PAL",'General price list'!$C$20:$BA$20,0),FALSE),"")</f>
        <v>72</v>
      </c>
      <c r="D200" s="2">
        <f>IFERROR(VLOOKUP(B200,'General price list'!C:BA,MATCH("OBJ",'General price list'!$C$20:$BA$20,0),FALSE),"")</f>
        <v>0</v>
      </c>
      <c r="E200" s="2">
        <f t="shared" si="21"/>
        <v>0</v>
      </c>
      <c r="F200" s="2">
        <f t="shared" si="22"/>
        <v>0</v>
      </c>
      <c r="G200" s="2">
        <f t="shared" si="23"/>
        <v>0</v>
      </c>
      <c r="H200" s="2">
        <f t="shared" si="24"/>
        <v>0</v>
      </c>
      <c r="I200" s="2">
        <f t="shared" si="20"/>
        <v>0</v>
      </c>
      <c r="J200">
        <f>IFERROR(VLOOKUP(B200,'General price list'!C:BA,MATCH("CBM",'General price list'!$C$20:$BA$20,0),FALSE)*(G200*C200),0)</f>
        <v>0</v>
      </c>
    </row>
    <row r="201" spans="2:10" ht="15" customHeight="1">
      <c r="B201" t="s">
        <v>4391</v>
      </c>
      <c r="C201" s="2">
        <f>IFERROR(VLOOKUP(B201,'General price list'!C:BA,MATCH("PAL",'General price list'!$C$20:$BA$20,0),FALSE),"")</f>
        <v>72</v>
      </c>
      <c r="D201" s="2">
        <f>IFERROR(VLOOKUP(B201,'General price list'!C:BA,MATCH("OBJ",'General price list'!$C$20:$BA$20,0),FALSE),"")</f>
        <v>0</v>
      </c>
      <c r="E201" s="2">
        <f t="shared" si="21"/>
        <v>0</v>
      </c>
      <c r="F201" s="2">
        <f t="shared" si="22"/>
        <v>0</v>
      </c>
      <c r="G201" s="2">
        <f t="shared" si="23"/>
        <v>0</v>
      </c>
      <c r="H201" s="2">
        <f t="shared" si="24"/>
        <v>0</v>
      </c>
      <c r="I201" s="2">
        <f t="shared" si="20"/>
        <v>0</v>
      </c>
      <c r="J201">
        <f>IFERROR(VLOOKUP(B201,'General price list'!C:BA,MATCH("CBM",'General price list'!$C$20:$BA$20,0),FALSE)*(G201*C201),0)</f>
        <v>0</v>
      </c>
    </row>
    <row r="202" spans="2:10" ht="15" customHeight="1">
      <c r="B202" t="s">
        <v>4402</v>
      </c>
      <c r="C202" s="2">
        <f>IFERROR(VLOOKUP(B202,'General price list'!C:BA,MATCH("PAL",'General price list'!$C$20:$BA$20,0),FALSE),"")</f>
        <v>72</v>
      </c>
      <c r="D202" s="2">
        <f>IFERROR(VLOOKUP(B202,'General price list'!C:BA,MATCH("OBJ",'General price list'!$C$20:$BA$20,0),FALSE),"")</f>
        <v>0</v>
      </c>
      <c r="E202" s="2">
        <f t="shared" si="21"/>
        <v>0</v>
      </c>
      <c r="F202" s="2">
        <f t="shared" si="22"/>
        <v>0</v>
      </c>
      <c r="G202" s="2">
        <f t="shared" si="23"/>
        <v>0</v>
      </c>
      <c r="H202" s="2">
        <f t="shared" si="24"/>
        <v>0</v>
      </c>
      <c r="I202" s="2">
        <f t="shared" si="20"/>
        <v>0</v>
      </c>
      <c r="J202">
        <f>IFERROR(VLOOKUP(B202,'General price list'!C:BA,MATCH("CBM",'General price list'!$C$20:$BA$20,0),FALSE)*(G202*C202),0)</f>
        <v>0</v>
      </c>
    </row>
    <row r="203" spans="2:10" ht="15" customHeight="1">
      <c r="B203" t="s">
        <v>4403</v>
      </c>
      <c r="C203" s="2">
        <f>IFERROR(VLOOKUP(B203,'General price list'!C:BA,MATCH("PAL",'General price list'!$C$20:$BA$20,0),FALSE),"")</f>
        <v>72</v>
      </c>
      <c r="D203" s="2">
        <f>IFERROR(VLOOKUP(B203,'General price list'!C:BA,MATCH("OBJ",'General price list'!$C$20:$BA$20,0),FALSE),"")</f>
        <v>0</v>
      </c>
      <c r="E203" s="2">
        <f t="shared" si="21"/>
        <v>0</v>
      </c>
      <c r="F203" s="2">
        <f t="shared" si="22"/>
        <v>0</v>
      </c>
      <c r="G203" s="2">
        <f t="shared" si="23"/>
        <v>0</v>
      </c>
      <c r="H203" s="2">
        <f t="shared" si="24"/>
        <v>0</v>
      </c>
      <c r="I203" s="2">
        <f t="shared" si="20"/>
        <v>0</v>
      </c>
      <c r="J203">
        <f>IFERROR(VLOOKUP(B203,'General price list'!C:BA,MATCH("CBM",'General price list'!$C$20:$BA$20,0),FALSE)*(G203*C203),0)</f>
        <v>0</v>
      </c>
    </row>
    <row r="204" spans="2:10" ht="15" customHeight="1">
      <c r="B204" t="s">
        <v>4413</v>
      </c>
      <c r="C204" s="2">
        <f>IFERROR(VLOOKUP(B204,'General price list'!C:BA,MATCH("PAL",'General price list'!$C$20:$BA$20,0),FALSE),"")</f>
        <v>72</v>
      </c>
      <c r="D204" s="2">
        <f>IFERROR(VLOOKUP(B204,'General price list'!C:BA,MATCH("OBJ",'General price list'!$C$20:$BA$20,0),FALSE),"")</f>
        <v>0</v>
      </c>
      <c r="E204" s="2">
        <f t="shared" si="21"/>
        <v>0</v>
      </c>
      <c r="F204" s="2">
        <f t="shared" si="22"/>
        <v>0</v>
      </c>
      <c r="G204" s="2">
        <f t="shared" si="23"/>
        <v>0</v>
      </c>
      <c r="H204" s="2">
        <f t="shared" si="24"/>
        <v>0</v>
      </c>
      <c r="I204" s="2">
        <f t="shared" si="20"/>
        <v>0</v>
      </c>
      <c r="J204">
        <f>IFERROR(VLOOKUP(B204,'General price list'!C:BA,MATCH("CBM",'General price list'!$C$20:$BA$20,0),FALSE)*(G204*C204),0)</f>
        <v>0</v>
      </c>
    </row>
    <row r="205" spans="2:10" ht="15" customHeight="1">
      <c r="B205" t="s">
        <v>4468</v>
      </c>
      <c r="C205" s="2">
        <f>IFERROR(VLOOKUP(B205,'General price list'!C:BA,MATCH("PAL",'General price list'!$C$20:$BA$20,0),FALSE),"")</f>
        <v>36</v>
      </c>
      <c r="D205" s="2">
        <f>IFERROR(VLOOKUP(B205,'General price list'!C:BA,MATCH("OBJ",'General price list'!$C$20:$BA$20,0),FALSE),"")</f>
        <v>0</v>
      </c>
      <c r="E205" s="2">
        <f t="shared" si="21"/>
        <v>0</v>
      </c>
      <c r="F205" s="2">
        <f t="shared" si="22"/>
        <v>0</v>
      </c>
      <c r="G205" s="2">
        <f t="shared" si="23"/>
        <v>0</v>
      </c>
      <c r="H205" s="2">
        <f t="shared" si="24"/>
        <v>0</v>
      </c>
      <c r="I205" s="2">
        <f t="shared" si="20"/>
        <v>0</v>
      </c>
      <c r="J205">
        <f>IFERROR(VLOOKUP(B205,'General price list'!C:BA,MATCH("CBM",'General price list'!$C$20:$BA$20,0),FALSE)*(G205*C205),0)</f>
        <v>0</v>
      </c>
    </row>
    <row r="206" spans="2:10" ht="15" customHeight="1">
      <c r="B206" t="s">
        <v>14054</v>
      </c>
      <c r="C206" s="2" t="str">
        <f>IFERROR(VLOOKUP(B206,'General price list'!C:BA,MATCH("PAL",'General price list'!$C$20:$BA$20,0),FALSE),"")</f>
        <v/>
      </c>
      <c r="D206" s="2">
        <f>IFERROR(VLOOKUP(B206,'General price list'!C:BA,MATCH("OBJ",'General price list'!$C$20:$BA$20,0),FALSE),"")</f>
        <v>0</v>
      </c>
      <c r="E206" s="2">
        <f t="shared" si="21"/>
        <v>0</v>
      </c>
      <c r="F206" s="2">
        <f t="shared" si="22"/>
        <v>0</v>
      </c>
      <c r="G206" s="2">
        <f t="shared" si="23"/>
        <v>0</v>
      </c>
      <c r="H206" s="2">
        <f t="shared" si="24"/>
        <v>0</v>
      </c>
      <c r="I206" s="2">
        <f t="shared" si="20"/>
        <v>0</v>
      </c>
      <c r="J206">
        <f>IFERROR(VLOOKUP(B206,'General price list'!C:BA,MATCH("CBM",'General price list'!$C$20:$BA$20,0),FALSE)*(G206*C206),0)</f>
        <v>0</v>
      </c>
    </row>
    <row r="207" spans="2:10" ht="15" customHeight="1">
      <c r="B207" t="s">
        <v>14055</v>
      </c>
      <c r="C207" s="2" t="str">
        <f>IFERROR(VLOOKUP(B207,'General price list'!C:BA,MATCH("PAL",'General price list'!$C$20:$BA$20,0),FALSE),"")</f>
        <v/>
      </c>
      <c r="D207" s="2">
        <f>IFERROR(VLOOKUP(B207,'General price list'!C:BA,MATCH("OBJ",'General price list'!$C$20:$BA$20,0),FALSE),"")</f>
        <v>0</v>
      </c>
      <c r="E207" s="2">
        <f t="shared" si="21"/>
        <v>0</v>
      </c>
      <c r="F207" s="2">
        <f t="shared" si="22"/>
        <v>0</v>
      </c>
      <c r="G207" s="2">
        <f t="shared" si="23"/>
        <v>0</v>
      </c>
      <c r="H207" s="2">
        <f t="shared" si="24"/>
        <v>0</v>
      </c>
      <c r="I207" s="2">
        <f t="shared" si="20"/>
        <v>0</v>
      </c>
      <c r="J207">
        <f>IFERROR(VLOOKUP(B207,'General price list'!C:BA,MATCH("CBM",'General price list'!$C$20:$BA$20,0),FALSE)*(G207*C207),0)</f>
        <v>0</v>
      </c>
    </row>
    <row r="208" spans="2:10" ht="15" customHeight="1">
      <c r="B208" t="s">
        <v>14056</v>
      </c>
      <c r="C208" s="2" t="str">
        <f>IFERROR(VLOOKUP(B208,'General price list'!C:BA,MATCH("PAL",'General price list'!$C$20:$BA$20,0),FALSE),"")</f>
        <v/>
      </c>
      <c r="D208" s="2">
        <f>IFERROR(VLOOKUP(B208,'General price list'!C:BA,MATCH("OBJ",'General price list'!$C$20:$BA$20,0),FALSE),"")</f>
        <v>0</v>
      </c>
      <c r="E208" s="2">
        <f t="shared" si="21"/>
        <v>0</v>
      </c>
      <c r="F208" s="2">
        <f t="shared" si="22"/>
        <v>0</v>
      </c>
      <c r="G208" s="2">
        <f t="shared" si="23"/>
        <v>0</v>
      </c>
      <c r="H208" s="2">
        <f t="shared" si="24"/>
        <v>0</v>
      </c>
      <c r="I208" s="2">
        <f t="shared" si="20"/>
        <v>0</v>
      </c>
      <c r="J208">
        <f>IFERROR(VLOOKUP(B208,'General price list'!C:BA,MATCH("CBM",'General price list'!$C$20:$BA$20,0),FALSE)*(G208*C208),0)</f>
        <v>0</v>
      </c>
    </row>
    <row r="209" spans="2:10" ht="15" customHeight="1">
      <c r="B209" t="s">
        <v>723</v>
      </c>
      <c r="C209" s="2">
        <f>IFERROR(VLOOKUP(B209,'General price list'!C:BA,MATCH("PAL",'General price list'!$C$20:$BA$20,0),FALSE),"")</f>
        <v>42</v>
      </c>
      <c r="D209" s="2">
        <f>IFERROR(VLOOKUP(B209,'General price list'!C:BA,MATCH("OBJ",'General price list'!$C$20:$BA$20,0),FALSE),"")</f>
        <v>0</v>
      </c>
      <c r="E209" s="2">
        <f t="shared" si="21"/>
        <v>0</v>
      </c>
      <c r="F209" s="2">
        <f t="shared" si="22"/>
        <v>0</v>
      </c>
      <c r="G209" s="2">
        <f t="shared" si="23"/>
        <v>0</v>
      </c>
      <c r="H209" s="2">
        <f t="shared" si="24"/>
        <v>0</v>
      </c>
      <c r="I209" s="2">
        <f t="shared" si="20"/>
        <v>0</v>
      </c>
      <c r="J209">
        <f>IFERROR(VLOOKUP(B209,'General price list'!C:BA,MATCH("CBM",'General price list'!$C$20:$BA$20,0),FALSE)*(G209*C209),0)</f>
        <v>0</v>
      </c>
    </row>
    <row r="210" spans="2:10" ht="15" customHeight="1">
      <c r="B210" t="s">
        <v>725</v>
      </c>
      <c r="C210" s="2">
        <f>IFERROR(VLOOKUP(B210,'General price list'!C:BA,MATCH("PAL",'General price list'!$C$20:$BA$20,0),FALSE),"")</f>
        <v>24</v>
      </c>
      <c r="D210" s="2">
        <f>IFERROR(VLOOKUP(B210,'General price list'!C:BA,MATCH("OBJ",'General price list'!$C$20:$BA$20,0),FALSE),"")</f>
        <v>0</v>
      </c>
      <c r="E210" s="2">
        <f t="shared" si="21"/>
        <v>0</v>
      </c>
      <c r="F210" s="2">
        <f t="shared" si="22"/>
        <v>0</v>
      </c>
      <c r="G210" s="2">
        <f t="shared" si="23"/>
        <v>0</v>
      </c>
      <c r="H210" s="2">
        <f t="shared" si="24"/>
        <v>0</v>
      </c>
      <c r="I210" s="2">
        <f t="shared" si="20"/>
        <v>0</v>
      </c>
      <c r="J210">
        <f>IFERROR(VLOOKUP(B210,'General price list'!C:BA,MATCH("CBM",'General price list'!$C$20:$BA$20,0),FALSE)*(G210*C210),0)</f>
        <v>0</v>
      </c>
    </row>
    <row r="211" spans="2:10" ht="15" customHeight="1">
      <c r="B211" t="s">
        <v>732</v>
      </c>
      <c r="C211" s="2">
        <f>IFERROR(VLOOKUP(B211,'General price list'!C:BA,MATCH("PAL",'General price list'!$C$20:$BA$20,0),FALSE),"")</f>
        <v>36</v>
      </c>
      <c r="D211" s="2">
        <f>IFERROR(VLOOKUP(B211,'General price list'!C:BA,MATCH("OBJ",'General price list'!$C$20:$BA$20,0),FALSE),"")</f>
        <v>0</v>
      </c>
      <c r="E211" s="2">
        <f t="shared" si="21"/>
        <v>0</v>
      </c>
      <c r="F211" s="2">
        <f t="shared" si="22"/>
        <v>0</v>
      </c>
      <c r="G211" s="2">
        <f t="shared" si="23"/>
        <v>0</v>
      </c>
      <c r="H211" s="2">
        <f t="shared" si="24"/>
        <v>0</v>
      </c>
      <c r="I211" s="2">
        <f t="shared" si="20"/>
        <v>0</v>
      </c>
      <c r="J211">
        <f>IFERROR(VLOOKUP(B211,'General price list'!C:BA,MATCH("CBM",'General price list'!$C$20:$BA$20,0),FALSE)*(G211*C211),0)</f>
        <v>0</v>
      </c>
    </row>
    <row r="212" spans="2:10" ht="15" customHeight="1">
      <c r="B212" t="s">
        <v>4466</v>
      </c>
      <c r="C212" s="2">
        <f>IFERROR(VLOOKUP(B212,'General price list'!C:BA,MATCH("PAL",'General price list'!$C$20:$BA$20,0),FALSE),"")</f>
        <v>35</v>
      </c>
      <c r="D212" s="2">
        <f>IFERROR(VLOOKUP(B212,'General price list'!C:BA,MATCH("OBJ",'General price list'!$C$20:$BA$20,0),FALSE),"")</f>
        <v>0</v>
      </c>
      <c r="E212" s="2">
        <f t="shared" si="21"/>
        <v>0</v>
      </c>
      <c r="F212" s="2">
        <f t="shared" si="22"/>
        <v>0</v>
      </c>
      <c r="G212" s="2">
        <f t="shared" si="23"/>
        <v>0</v>
      </c>
      <c r="H212" s="2">
        <f t="shared" si="24"/>
        <v>0</v>
      </c>
      <c r="I212" s="2">
        <f t="shared" si="20"/>
        <v>0</v>
      </c>
      <c r="J212">
        <f>IFERROR(VLOOKUP(B212,'General price list'!C:BA,MATCH("CBM",'General price list'!$C$20:$BA$20,0),FALSE)*(G212*C212),0)</f>
        <v>0</v>
      </c>
    </row>
    <row r="213" spans="2:10" ht="15" customHeight="1">
      <c r="B213" t="s">
        <v>737</v>
      </c>
      <c r="C213" s="2" t="str">
        <f>IFERROR(VLOOKUP(B213,'General price list'!C:BA,MATCH("PAL",'General price list'!$C$20:$BA$20,0),FALSE),"")</f>
        <v>36</v>
      </c>
      <c r="D213" s="2">
        <f>IFERROR(VLOOKUP(B213,'General price list'!C:BA,MATCH("OBJ",'General price list'!$C$20:$BA$20,0),FALSE),"")</f>
        <v>0</v>
      </c>
      <c r="E213" s="2">
        <f t="shared" si="21"/>
        <v>0</v>
      </c>
      <c r="F213" s="2">
        <f t="shared" si="22"/>
        <v>0</v>
      </c>
      <c r="G213" s="2">
        <f t="shared" si="23"/>
        <v>0</v>
      </c>
      <c r="H213" s="2">
        <f t="shared" si="24"/>
        <v>0</v>
      </c>
      <c r="I213" s="2">
        <f t="shared" si="20"/>
        <v>0</v>
      </c>
      <c r="J213">
        <f>IFERROR(VLOOKUP(B213,'General price list'!C:BA,MATCH("CBM",'General price list'!$C$20:$BA$20,0),FALSE)*(G213*C213),0)</f>
        <v>0</v>
      </c>
    </row>
    <row r="214" spans="2:10" ht="15" customHeight="1">
      <c r="B214" t="s">
        <v>742</v>
      </c>
      <c r="C214" s="2">
        <f>IFERROR(VLOOKUP(B214,'General price list'!C:BA,MATCH("PAL",'General price list'!$C$20:$BA$20,0),FALSE),"")</f>
        <v>28</v>
      </c>
      <c r="D214" s="2">
        <f>IFERROR(VLOOKUP(B214,'General price list'!C:BA,MATCH("OBJ",'General price list'!$C$20:$BA$20,0),FALSE),"")</f>
        <v>0</v>
      </c>
      <c r="E214" s="2">
        <f t="shared" si="21"/>
        <v>0</v>
      </c>
      <c r="F214" s="2">
        <f t="shared" si="22"/>
        <v>0</v>
      </c>
      <c r="G214" s="2">
        <f t="shared" si="23"/>
        <v>0</v>
      </c>
      <c r="H214" s="2">
        <f t="shared" si="24"/>
        <v>0</v>
      </c>
      <c r="I214" s="2">
        <f t="shared" si="20"/>
        <v>0</v>
      </c>
      <c r="J214">
        <f>IFERROR(VLOOKUP(B214,'General price list'!C:BA,MATCH("CBM",'General price list'!$C$20:$BA$20,0),FALSE)*(G214*C214),0)</f>
        <v>0</v>
      </c>
    </row>
    <row r="215" spans="2:10" ht="15" customHeight="1">
      <c r="B215" t="s">
        <v>13775</v>
      </c>
      <c r="C215" s="2">
        <f>IFERROR(VLOOKUP(B215,'General price list'!C:BA,MATCH("PAL",'General price list'!$C$20:$BA$20,0),FALSE),"")</f>
        <v>36</v>
      </c>
      <c r="D215" s="2">
        <f>IFERROR(VLOOKUP(B215,'General price list'!C:BA,MATCH("OBJ",'General price list'!$C$20:$BA$20,0),FALSE),"")</f>
        <v>0</v>
      </c>
      <c r="E215" s="2">
        <f t="shared" si="21"/>
        <v>0</v>
      </c>
      <c r="F215" s="2">
        <f t="shared" si="22"/>
        <v>0</v>
      </c>
      <c r="G215" s="2">
        <f t="shared" si="23"/>
        <v>0</v>
      </c>
      <c r="H215" s="2">
        <f t="shared" si="24"/>
        <v>0</v>
      </c>
      <c r="I215" s="2">
        <f t="shared" si="20"/>
        <v>0</v>
      </c>
      <c r="J215">
        <f>IFERROR(VLOOKUP(B215,'General price list'!C:BA,MATCH("CBM",'General price list'!$C$20:$BA$20,0),FALSE)*(G215*C215),0)</f>
        <v>0</v>
      </c>
    </row>
    <row r="216" spans="2:10" ht="15" customHeight="1">
      <c r="B216" t="s">
        <v>13776</v>
      </c>
      <c r="C216" s="2">
        <f>IFERROR(VLOOKUP(B216,'General price list'!C:BA,MATCH("PAL",'General price list'!$C$20:$BA$20,0),FALSE),"")</f>
        <v>36</v>
      </c>
      <c r="D216" s="2">
        <f>IFERROR(VLOOKUP(B216,'General price list'!C:BA,MATCH("OBJ",'General price list'!$C$20:$BA$20,0),FALSE),"")</f>
        <v>0</v>
      </c>
      <c r="E216" s="2">
        <f t="shared" si="21"/>
        <v>0</v>
      </c>
      <c r="F216" s="2">
        <f t="shared" si="22"/>
        <v>0</v>
      </c>
      <c r="G216" s="2">
        <f t="shared" si="23"/>
        <v>0</v>
      </c>
      <c r="H216" s="2">
        <f t="shared" si="24"/>
        <v>0</v>
      </c>
      <c r="I216" s="2">
        <f t="shared" si="20"/>
        <v>0</v>
      </c>
      <c r="J216">
        <f>IFERROR(VLOOKUP(B216,'General price list'!C:BA,MATCH("CBM",'General price list'!$C$20:$BA$20,0),FALSE)*(G216*C216),0)</f>
        <v>0</v>
      </c>
    </row>
    <row r="217" spans="2:10" ht="15" customHeight="1">
      <c r="B217" t="s">
        <v>747</v>
      </c>
      <c r="C217" s="2">
        <f>IFERROR(VLOOKUP(B217,'General price list'!C:BA,MATCH("PAL",'General price list'!$C$20:$BA$20,0),FALSE),"")</f>
        <v>54</v>
      </c>
      <c r="D217" s="2">
        <f>IFERROR(VLOOKUP(B217,'General price list'!C:BA,MATCH("OBJ",'General price list'!$C$20:$BA$20,0),FALSE),"")</f>
        <v>0</v>
      </c>
      <c r="E217" s="2">
        <f t="shared" si="21"/>
        <v>0</v>
      </c>
      <c r="F217" s="2">
        <f t="shared" si="22"/>
        <v>0</v>
      </c>
      <c r="G217" s="2">
        <f t="shared" si="23"/>
        <v>0</v>
      </c>
      <c r="H217" s="2">
        <f t="shared" si="24"/>
        <v>0</v>
      </c>
      <c r="I217" s="2">
        <f t="shared" si="20"/>
        <v>0</v>
      </c>
      <c r="J217">
        <f>IFERROR(VLOOKUP(B217,'General price list'!C:BA,MATCH("CBM",'General price list'!$C$20:$BA$20,0),FALSE)*(G217*C217),0)</f>
        <v>0</v>
      </c>
    </row>
    <row r="218" spans="2:10" ht="15" customHeight="1">
      <c r="B218" t="s">
        <v>751</v>
      </c>
      <c r="C218" s="2">
        <f>IFERROR(VLOOKUP(B218,'General price list'!C:BA,MATCH("PAL",'General price list'!$C$20:$BA$20,0),FALSE),"")</f>
        <v>36</v>
      </c>
      <c r="D218" s="2">
        <f>IFERROR(VLOOKUP(B218,'General price list'!C:BA,MATCH("OBJ",'General price list'!$C$20:$BA$20,0),FALSE),"")</f>
        <v>0</v>
      </c>
      <c r="E218" s="2">
        <f t="shared" si="21"/>
        <v>0</v>
      </c>
      <c r="F218" s="2">
        <f t="shared" si="22"/>
        <v>0</v>
      </c>
      <c r="G218" s="2">
        <f t="shared" si="23"/>
        <v>0</v>
      </c>
      <c r="H218" s="2">
        <f t="shared" si="24"/>
        <v>0</v>
      </c>
      <c r="I218" s="2">
        <f t="shared" si="20"/>
        <v>0</v>
      </c>
      <c r="J218">
        <f>IFERROR(VLOOKUP(B218,'General price list'!C:BA,MATCH("CBM",'General price list'!$C$20:$BA$20,0),FALSE)*(G218*C218),0)</f>
        <v>0</v>
      </c>
    </row>
    <row r="219" spans="2:10" ht="15" customHeight="1">
      <c r="B219" t="s">
        <v>4488</v>
      </c>
      <c r="C219" s="2">
        <f>IFERROR(VLOOKUP(B219,'General price list'!C:BA,MATCH("PAL",'General price list'!$C$20:$BA$20,0),FALSE),"")</f>
        <v>42</v>
      </c>
      <c r="D219" s="2">
        <f>IFERROR(VLOOKUP(B219,'General price list'!C:BA,MATCH("OBJ",'General price list'!$C$20:$BA$20,0),FALSE),"")</f>
        <v>0</v>
      </c>
      <c r="E219" s="2">
        <f t="shared" si="21"/>
        <v>0</v>
      </c>
      <c r="F219" s="2">
        <f t="shared" si="22"/>
        <v>0</v>
      </c>
      <c r="G219" s="2">
        <f t="shared" si="23"/>
        <v>0</v>
      </c>
      <c r="H219" s="2">
        <f t="shared" si="24"/>
        <v>0</v>
      </c>
      <c r="I219" s="2">
        <f t="shared" si="20"/>
        <v>0</v>
      </c>
      <c r="J219">
        <f>IFERROR(VLOOKUP(B219,'General price list'!C:BA,MATCH("CBM",'General price list'!$C$20:$BA$20,0),FALSE)*(G219*C219),0)</f>
        <v>0</v>
      </c>
    </row>
    <row r="220" spans="2:10" ht="15" customHeight="1">
      <c r="B220" t="s">
        <v>12130</v>
      </c>
      <c r="C220" s="2">
        <f>IFERROR(VLOOKUP(B220,'General price list'!C:BA,MATCH("PAL",'General price list'!$C$20:$BA$20,0),FALSE),"")</f>
        <v>42</v>
      </c>
      <c r="D220" s="2">
        <f>IFERROR(VLOOKUP(B220,'General price list'!C:BA,MATCH("OBJ",'General price list'!$C$20:$BA$20,0),FALSE),"")</f>
        <v>0</v>
      </c>
      <c r="E220" s="2">
        <f t="shared" si="21"/>
        <v>0</v>
      </c>
      <c r="F220" s="2">
        <f t="shared" si="22"/>
        <v>0</v>
      </c>
      <c r="G220" s="2">
        <f t="shared" si="23"/>
        <v>0</v>
      </c>
      <c r="H220" s="2">
        <f t="shared" si="24"/>
        <v>0</v>
      </c>
      <c r="I220" s="2">
        <f t="shared" si="20"/>
        <v>0</v>
      </c>
      <c r="J220">
        <f>IFERROR(VLOOKUP(B220,'General price list'!C:BA,MATCH("CBM",'General price list'!$C$20:$BA$20,0),FALSE)*(G220*C220),0)</f>
        <v>0</v>
      </c>
    </row>
    <row r="221" spans="2:10" ht="15" customHeight="1">
      <c r="B221" t="s">
        <v>4497</v>
      </c>
      <c r="C221" s="2">
        <f>IFERROR(VLOOKUP(B221,'General price list'!C:BA,MATCH("PAL",'General price list'!$C$20:$BA$20,0),FALSE),"")</f>
        <v>30</v>
      </c>
      <c r="D221" s="2">
        <f>IFERROR(VLOOKUP(B221,'General price list'!C:BA,MATCH("OBJ",'General price list'!$C$20:$BA$20,0),FALSE),"")</f>
        <v>0</v>
      </c>
      <c r="E221" s="2">
        <f t="shared" si="21"/>
        <v>0</v>
      </c>
      <c r="F221" s="2">
        <f t="shared" si="22"/>
        <v>0</v>
      </c>
      <c r="G221" s="2">
        <f t="shared" si="23"/>
        <v>0</v>
      </c>
      <c r="H221" s="2">
        <f t="shared" si="24"/>
        <v>0</v>
      </c>
      <c r="I221" s="2">
        <f t="shared" si="20"/>
        <v>0</v>
      </c>
      <c r="J221">
        <f>IFERROR(VLOOKUP(B221,'General price list'!C:BA,MATCH("CBM",'General price list'!$C$20:$BA$20,0),FALSE)*(G221*C221),0)</f>
        <v>0</v>
      </c>
    </row>
    <row r="222" spans="2:10" ht="15" customHeight="1">
      <c r="B222" t="s">
        <v>757</v>
      </c>
      <c r="C222" s="2">
        <f>IFERROR(VLOOKUP(B222,'General price list'!C:BA,MATCH("PAL",'General price list'!$C$20:$BA$20,0),FALSE),"")</f>
        <v>34</v>
      </c>
      <c r="D222" s="2">
        <f>IFERROR(VLOOKUP(B222,'General price list'!C:BA,MATCH("OBJ",'General price list'!$C$20:$BA$20,0),FALSE),"")</f>
        <v>0</v>
      </c>
      <c r="E222" s="2">
        <f t="shared" si="21"/>
        <v>0</v>
      </c>
      <c r="F222" s="2">
        <f t="shared" si="22"/>
        <v>0</v>
      </c>
      <c r="G222" s="2">
        <f t="shared" si="23"/>
        <v>0</v>
      </c>
      <c r="H222" s="2">
        <f t="shared" si="24"/>
        <v>0</v>
      </c>
      <c r="I222" s="2">
        <f t="shared" si="20"/>
        <v>0</v>
      </c>
      <c r="J222">
        <f>IFERROR(VLOOKUP(B222,'General price list'!C:BA,MATCH("CBM",'General price list'!$C$20:$BA$20,0),FALSE)*(G222*C222),0)</f>
        <v>0</v>
      </c>
    </row>
    <row r="223" spans="2:10" ht="15" customHeight="1">
      <c r="B223" t="s">
        <v>759</v>
      </c>
      <c r="C223" s="2">
        <f>IFERROR(VLOOKUP(B223,'General price list'!C:BA,MATCH("PAL",'General price list'!$C$20:$BA$20,0),FALSE),"")</f>
        <v>36</v>
      </c>
      <c r="D223" s="2">
        <f>IFERROR(VLOOKUP(B223,'General price list'!C:BA,MATCH("OBJ",'General price list'!$C$20:$BA$20,0),FALSE),"")</f>
        <v>0</v>
      </c>
      <c r="E223" s="2">
        <f t="shared" si="21"/>
        <v>0</v>
      </c>
      <c r="F223" s="2">
        <f t="shared" si="22"/>
        <v>0</v>
      </c>
      <c r="G223" s="2">
        <f t="shared" si="23"/>
        <v>0</v>
      </c>
      <c r="H223" s="2">
        <f t="shared" si="24"/>
        <v>0</v>
      </c>
      <c r="I223" s="2">
        <f t="shared" si="20"/>
        <v>0</v>
      </c>
      <c r="J223">
        <f>IFERROR(VLOOKUP(B223,'General price list'!C:BA,MATCH("CBM",'General price list'!$C$20:$BA$20,0),FALSE)*(G223*C223),0)</f>
        <v>0</v>
      </c>
    </row>
    <row r="224" spans="2:10" ht="15" customHeight="1">
      <c r="B224" t="s">
        <v>763</v>
      </c>
      <c r="C224" s="2">
        <f>IFERROR(VLOOKUP(B224,'General price list'!C:BA,MATCH("PAL",'General price list'!$C$20:$BA$20,0),FALSE),"")</f>
        <v>42</v>
      </c>
      <c r="D224" s="2">
        <f>IFERROR(VLOOKUP(B224,'General price list'!C:BA,MATCH("OBJ",'General price list'!$C$20:$BA$20,0),FALSE),"")</f>
        <v>0</v>
      </c>
      <c r="E224" s="2">
        <f t="shared" si="21"/>
        <v>0</v>
      </c>
      <c r="F224" s="2">
        <f t="shared" si="22"/>
        <v>0</v>
      </c>
      <c r="G224" s="2">
        <f t="shared" si="23"/>
        <v>0</v>
      </c>
      <c r="H224" s="2">
        <f t="shared" si="24"/>
        <v>0</v>
      </c>
      <c r="I224" s="2">
        <f t="shared" si="20"/>
        <v>0</v>
      </c>
      <c r="J224">
        <f>IFERROR(VLOOKUP(B224,'General price list'!C:BA,MATCH("CBM",'General price list'!$C$20:$BA$20,0),FALSE)*(G224*C224),0)</f>
        <v>0</v>
      </c>
    </row>
    <row r="225" spans="2:10" ht="15" customHeight="1">
      <c r="B225" t="s">
        <v>4518</v>
      </c>
      <c r="C225" s="2">
        <f>IFERROR(VLOOKUP(B225,'General price list'!C:BA,MATCH("PAL",'General price list'!$C$20:$BA$20,0),FALSE),"")</f>
        <v>42</v>
      </c>
      <c r="D225" s="2">
        <f>IFERROR(VLOOKUP(B225,'General price list'!C:BA,MATCH("OBJ",'General price list'!$C$20:$BA$20,0),FALSE),"")</f>
        <v>0</v>
      </c>
      <c r="E225" s="2">
        <f t="shared" si="21"/>
        <v>0</v>
      </c>
      <c r="F225" s="2">
        <f t="shared" si="22"/>
        <v>0</v>
      </c>
      <c r="G225" s="2">
        <f t="shared" si="23"/>
        <v>0</v>
      </c>
      <c r="H225" s="2">
        <f t="shared" si="24"/>
        <v>0</v>
      </c>
      <c r="I225" s="2">
        <f t="shared" si="20"/>
        <v>0</v>
      </c>
      <c r="J225">
        <f>IFERROR(VLOOKUP(B225,'General price list'!C:BA,MATCH("CBM",'General price list'!$C$20:$BA$20,0),FALSE)*(G225*C225),0)</f>
        <v>0</v>
      </c>
    </row>
    <row r="226" spans="2:10" ht="15" customHeight="1">
      <c r="B226" t="s">
        <v>768</v>
      </c>
      <c r="C226" s="2">
        <f>IFERROR(VLOOKUP(B226,'General price list'!C:BA,MATCH("PAL",'General price list'!$C$20:$BA$20,0),FALSE),"")</f>
        <v>40</v>
      </c>
      <c r="D226" s="2">
        <f>IFERROR(VLOOKUP(B226,'General price list'!C:BA,MATCH("OBJ",'General price list'!$C$20:$BA$20,0),FALSE),"")</f>
        <v>0</v>
      </c>
      <c r="E226" s="2">
        <f t="shared" si="21"/>
        <v>0</v>
      </c>
      <c r="F226" s="2">
        <f t="shared" si="22"/>
        <v>0</v>
      </c>
      <c r="G226" s="2">
        <f t="shared" si="23"/>
        <v>0</v>
      </c>
      <c r="H226" s="2">
        <f t="shared" si="24"/>
        <v>0</v>
      </c>
      <c r="I226" s="2">
        <f t="shared" si="20"/>
        <v>0</v>
      </c>
      <c r="J226">
        <f>IFERROR(VLOOKUP(B226,'General price list'!C:BA,MATCH("CBM",'General price list'!$C$20:$BA$20,0),FALSE)*(G226*C226),0)</f>
        <v>0</v>
      </c>
    </row>
    <row r="227" spans="2:10" ht="15" customHeight="1">
      <c r="B227" t="s">
        <v>769</v>
      </c>
      <c r="C227" s="2">
        <f>IFERROR(VLOOKUP(B227,'General price list'!C:BA,MATCH("PAL",'General price list'!$C$20:$BA$20,0),FALSE),"")</f>
        <v>42</v>
      </c>
      <c r="D227" s="2">
        <f>IFERROR(VLOOKUP(B227,'General price list'!C:BA,MATCH("OBJ",'General price list'!$C$20:$BA$20,0),FALSE),"")</f>
        <v>0</v>
      </c>
      <c r="E227" s="2">
        <f t="shared" si="21"/>
        <v>0</v>
      </c>
      <c r="F227" s="2">
        <f t="shared" si="22"/>
        <v>0</v>
      </c>
      <c r="G227" s="2">
        <f t="shared" si="23"/>
        <v>0</v>
      </c>
      <c r="H227" s="2">
        <f t="shared" si="24"/>
        <v>0</v>
      </c>
      <c r="I227" s="2">
        <f t="shared" si="20"/>
        <v>0</v>
      </c>
      <c r="J227">
        <f>IFERROR(VLOOKUP(B227,'General price list'!C:BA,MATCH("CBM",'General price list'!$C$20:$BA$20,0),FALSE)*(G227*C227),0)</f>
        <v>0</v>
      </c>
    </row>
    <row r="228" spans="2:10" ht="15" customHeight="1">
      <c r="B228" t="s">
        <v>771</v>
      </c>
      <c r="C228" s="2">
        <f>IFERROR(VLOOKUP(B228,'General price list'!C:BA,MATCH("PAL",'General price list'!$C$20:$BA$20,0),FALSE),"")</f>
        <v>42</v>
      </c>
      <c r="D228" s="2">
        <f>IFERROR(VLOOKUP(B228,'General price list'!C:BA,MATCH("OBJ",'General price list'!$C$20:$BA$20,0),FALSE),"")</f>
        <v>0</v>
      </c>
      <c r="E228" s="2">
        <f t="shared" si="21"/>
        <v>0</v>
      </c>
      <c r="F228" s="2">
        <f t="shared" si="22"/>
        <v>0</v>
      </c>
      <c r="G228" s="2">
        <f t="shared" si="23"/>
        <v>0</v>
      </c>
      <c r="H228" s="2">
        <f t="shared" si="24"/>
        <v>0</v>
      </c>
      <c r="I228" s="2">
        <f t="shared" si="20"/>
        <v>0</v>
      </c>
      <c r="J228">
        <f>IFERROR(VLOOKUP(B228,'General price list'!C:BA,MATCH("CBM",'General price list'!$C$20:$BA$20,0),FALSE)*(G228*C228),0)</f>
        <v>0</v>
      </c>
    </row>
    <row r="229" spans="2:10" ht="15" customHeight="1">
      <c r="B229" t="s">
        <v>2502</v>
      </c>
      <c r="C229" s="2">
        <f>IFERROR(VLOOKUP(B229,'General price list'!C:BA,MATCH("PAL",'General price list'!$C$20:$BA$20,0),FALSE),"")</f>
        <v>48</v>
      </c>
      <c r="D229" s="2">
        <f>IFERROR(VLOOKUP(B229,'General price list'!C:BA,MATCH("OBJ",'General price list'!$C$20:$BA$20,0),FALSE),"")</f>
        <v>0</v>
      </c>
      <c r="E229" s="2">
        <f t="shared" si="21"/>
        <v>0</v>
      </c>
      <c r="F229" s="2">
        <f t="shared" si="22"/>
        <v>0</v>
      </c>
      <c r="G229" s="2">
        <f t="shared" si="23"/>
        <v>0</v>
      </c>
      <c r="H229" s="2">
        <f t="shared" si="24"/>
        <v>0</v>
      </c>
      <c r="I229" s="2">
        <f t="shared" si="20"/>
        <v>0</v>
      </c>
      <c r="J229">
        <f>IFERROR(VLOOKUP(B229,'General price list'!C:BA,MATCH("CBM",'General price list'!$C$20:$BA$20,0),FALSE)*(G229*C229),0)</f>
        <v>0</v>
      </c>
    </row>
    <row r="230" spans="2:10" ht="15" customHeight="1">
      <c r="B230" t="s">
        <v>4525</v>
      </c>
      <c r="C230" s="2">
        <f>IFERROR(VLOOKUP(B230,'General price list'!C:BA,MATCH("PAL",'General price list'!$C$20:$BA$20,0),FALSE),"")</f>
        <v>26</v>
      </c>
      <c r="D230" s="2">
        <f>IFERROR(VLOOKUP(B230,'General price list'!C:BA,MATCH("OBJ",'General price list'!$C$20:$BA$20,0),FALSE),"")</f>
        <v>0</v>
      </c>
      <c r="E230" s="2">
        <f t="shared" si="21"/>
        <v>0</v>
      </c>
      <c r="F230" s="2">
        <f t="shared" si="22"/>
        <v>0</v>
      </c>
      <c r="G230" s="2">
        <f t="shared" si="23"/>
        <v>0</v>
      </c>
      <c r="H230" s="2">
        <f t="shared" si="24"/>
        <v>0</v>
      </c>
      <c r="I230" s="2">
        <f t="shared" si="20"/>
        <v>0</v>
      </c>
      <c r="J230">
        <f>IFERROR(VLOOKUP(B230,'General price list'!C:BA,MATCH("CBM",'General price list'!$C$20:$BA$20,0),FALSE)*(G230*C230),0)</f>
        <v>0</v>
      </c>
    </row>
    <row r="231" spans="2:10" ht="15" customHeight="1">
      <c r="B231" t="s">
        <v>4528</v>
      </c>
      <c r="C231" s="2">
        <f>IFERROR(VLOOKUP(B231,'General price list'!C:BA,MATCH("PAL",'General price list'!$C$20:$BA$20,0),FALSE),"")</f>
        <v>26</v>
      </c>
      <c r="D231" s="2">
        <f>IFERROR(VLOOKUP(B231,'General price list'!C:BA,MATCH("OBJ",'General price list'!$C$20:$BA$20,0),FALSE),"")</f>
        <v>0</v>
      </c>
      <c r="E231" s="2">
        <f t="shared" si="21"/>
        <v>0</v>
      </c>
      <c r="F231" s="2">
        <f t="shared" si="22"/>
        <v>0</v>
      </c>
      <c r="G231" s="2">
        <f t="shared" si="23"/>
        <v>0</v>
      </c>
      <c r="H231" s="2">
        <f t="shared" si="24"/>
        <v>0</v>
      </c>
      <c r="I231" s="2">
        <f t="shared" si="20"/>
        <v>0</v>
      </c>
      <c r="J231">
        <f>IFERROR(VLOOKUP(B231,'General price list'!C:BA,MATCH("CBM",'General price list'!$C$20:$BA$20,0),FALSE)*(G231*C231),0)</f>
        <v>0</v>
      </c>
    </row>
    <row r="232" spans="2:10" ht="15" customHeight="1">
      <c r="B232" t="s">
        <v>4538</v>
      </c>
      <c r="C232" s="2">
        <f>IFERROR(VLOOKUP(B232,'General price list'!C:BA,MATCH("PAL",'General price list'!$C$20:$BA$20,0),FALSE),"")</f>
        <v>26</v>
      </c>
      <c r="D232" s="2">
        <f>IFERROR(VLOOKUP(B232,'General price list'!C:BA,MATCH("OBJ",'General price list'!$C$20:$BA$20,0),FALSE),"")</f>
        <v>0</v>
      </c>
      <c r="E232" s="2">
        <f t="shared" si="21"/>
        <v>0</v>
      </c>
      <c r="F232" s="2">
        <f t="shared" si="22"/>
        <v>0</v>
      </c>
      <c r="G232" s="2">
        <f t="shared" si="23"/>
        <v>0</v>
      </c>
      <c r="H232" s="2">
        <f t="shared" si="24"/>
        <v>0</v>
      </c>
      <c r="I232" s="2">
        <f t="shared" si="20"/>
        <v>0</v>
      </c>
      <c r="J232">
        <f>IFERROR(VLOOKUP(B232,'General price list'!C:BA,MATCH("CBM",'General price list'!$C$20:$BA$20,0),FALSE)*(G232*C232),0)</f>
        <v>0</v>
      </c>
    </row>
    <row r="233" spans="2:10" ht="15" customHeight="1">
      <c r="B233" t="s">
        <v>775</v>
      </c>
      <c r="C233" s="2">
        <f>IFERROR(VLOOKUP(B233,'General price list'!C:BA,MATCH("PAL",'General price list'!$C$20:$BA$20,0),FALSE),"")</f>
        <v>40</v>
      </c>
      <c r="D233" s="2">
        <f>IFERROR(VLOOKUP(B233,'General price list'!C:BA,MATCH("OBJ",'General price list'!$C$20:$BA$20,0),FALSE),"")</f>
        <v>0</v>
      </c>
      <c r="E233" s="2">
        <f t="shared" si="21"/>
        <v>0</v>
      </c>
      <c r="F233" s="2">
        <f t="shared" si="22"/>
        <v>0</v>
      </c>
      <c r="G233" s="2">
        <f t="shared" si="23"/>
        <v>0</v>
      </c>
      <c r="H233" s="2">
        <f t="shared" si="24"/>
        <v>0</v>
      </c>
      <c r="I233" s="2">
        <f t="shared" si="20"/>
        <v>0</v>
      </c>
      <c r="J233">
        <f>IFERROR(VLOOKUP(B233,'General price list'!C:BA,MATCH("CBM",'General price list'!$C$20:$BA$20,0),FALSE)*(G233*C233),0)</f>
        <v>0</v>
      </c>
    </row>
    <row r="234" spans="2:10" ht="15" customHeight="1">
      <c r="B234" t="s">
        <v>94</v>
      </c>
      <c r="C234" s="2" t="str">
        <f>IFERROR(VLOOKUP(B234,'General price list'!C:BA,MATCH("PAL",'General price list'!$C$20:$BA$20,0),FALSE),"")</f>
        <v>87</v>
      </c>
      <c r="D234" s="2">
        <f>IFERROR(VLOOKUP(B234,'General price list'!C:BA,MATCH("OBJ",'General price list'!$C$20:$BA$20,0),FALSE),"")</f>
        <v>0</v>
      </c>
      <c r="E234" s="2">
        <f t="shared" si="21"/>
        <v>0</v>
      </c>
      <c r="F234" s="2">
        <f t="shared" si="22"/>
        <v>0</v>
      </c>
      <c r="G234" s="2">
        <f t="shared" si="23"/>
        <v>0</v>
      </c>
      <c r="H234" s="2">
        <f t="shared" si="24"/>
        <v>0</v>
      </c>
      <c r="I234" s="2">
        <f t="shared" si="20"/>
        <v>0</v>
      </c>
      <c r="J234">
        <f>IFERROR(VLOOKUP(B234,'General price list'!C:BA,MATCH("CBM",'General price list'!$C$20:$BA$20,0),FALSE)*(G234*C234),0)</f>
        <v>0</v>
      </c>
    </row>
    <row r="235" spans="2:10" ht="15" customHeight="1">
      <c r="B235" t="s">
        <v>2478</v>
      </c>
      <c r="C235" s="2">
        <f>IFERROR(VLOOKUP(B235,'General price list'!C:BA,MATCH("PAL",'General price list'!$C$20:$BA$20,0),FALSE),"")</f>
        <v>60</v>
      </c>
      <c r="D235" s="2">
        <f>IFERROR(VLOOKUP(B235,'General price list'!C:BA,MATCH("OBJ",'General price list'!$C$20:$BA$20,0),FALSE),"")</f>
        <v>0</v>
      </c>
      <c r="E235" s="2">
        <f t="shared" si="21"/>
        <v>0</v>
      </c>
      <c r="F235" s="2">
        <f t="shared" si="22"/>
        <v>0</v>
      </c>
      <c r="G235" s="2">
        <f t="shared" si="23"/>
        <v>0</v>
      </c>
      <c r="H235" s="2">
        <f t="shared" si="24"/>
        <v>0</v>
      </c>
      <c r="I235" s="2">
        <f t="shared" si="20"/>
        <v>0</v>
      </c>
      <c r="J235">
        <f>IFERROR(VLOOKUP(B235,'General price list'!C:BA,MATCH("CBM",'General price list'!$C$20:$BA$20,0),FALSE)*(G235*C235),0)</f>
        <v>0</v>
      </c>
    </row>
    <row r="236" spans="2:10" ht="15" customHeight="1">
      <c r="B236" t="s">
        <v>790</v>
      </c>
      <c r="C236" s="2">
        <f>IFERROR(VLOOKUP(B236,'General price list'!C:BA,MATCH("PAL",'General price list'!$C$20:$BA$20,0),FALSE),"")</f>
        <v>54</v>
      </c>
      <c r="D236" s="2">
        <f>IFERROR(VLOOKUP(B236,'General price list'!C:BA,MATCH("OBJ",'General price list'!$C$20:$BA$20,0),FALSE),"")</f>
        <v>0</v>
      </c>
      <c r="E236" s="2">
        <f t="shared" si="21"/>
        <v>0</v>
      </c>
      <c r="F236" s="2">
        <f t="shared" si="22"/>
        <v>0</v>
      </c>
      <c r="G236" s="2">
        <f t="shared" si="23"/>
        <v>0</v>
      </c>
      <c r="H236" s="2">
        <f t="shared" si="24"/>
        <v>0</v>
      </c>
      <c r="I236" s="2">
        <f t="shared" si="20"/>
        <v>0</v>
      </c>
      <c r="J236">
        <f>IFERROR(VLOOKUP(B236,'General price list'!C:BA,MATCH("CBM",'General price list'!$C$20:$BA$20,0),FALSE)*(G236*C236),0)</f>
        <v>0</v>
      </c>
    </row>
    <row r="237" spans="2:10" ht="15" customHeight="1">
      <c r="B237" t="s">
        <v>791</v>
      </c>
      <c r="C237" s="2">
        <f>IFERROR(VLOOKUP(B237,'General price list'!C:BA,MATCH("PAL",'General price list'!$C$20:$BA$20,0),FALSE),"")</f>
        <v>20</v>
      </c>
      <c r="D237" s="2">
        <f>IFERROR(VLOOKUP(B237,'General price list'!C:BA,MATCH("OBJ",'General price list'!$C$20:$BA$20,0),FALSE),"")</f>
        <v>0</v>
      </c>
      <c r="E237" s="2">
        <f t="shared" si="21"/>
        <v>0</v>
      </c>
      <c r="F237" s="2">
        <f t="shared" si="22"/>
        <v>0</v>
      </c>
      <c r="G237" s="2">
        <f t="shared" si="23"/>
        <v>0</v>
      </c>
      <c r="H237" s="2">
        <f t="shared" si="24"/>
        <v>0</v>
      </c>
      <c r="I237" s="2">
        <f t="shared" si="20"/>
        <v>0</v>
      </c>
      <c r="J237">
        <f>IFERROR(VLOOKUP(B237,'General price list'!C:BA,MATCH("CBM",'General price list'!$C$20:$BA$20,0),FALSE)*(G237*C237),0)</f>
        <v>0</v>
      </c>
    </row>
    <row r="238" spans="2:10" ht="15" customHeight="1">
      <c r="B238" t="s">
        <v>792</v>
      </c>
      <c r="C238" s="2">
        <f>IFERROR(VLOOKUP(B238,'General price list'!C:BA,MATCH("PAL",'General price list'!$C$20:$BA$20,0),FALSE),"")</f>
        <v>24</v>
      </c>
      <c r="D238" s="2">
        <f>IFERROR(VLOOKUP(B238,'General price list'!C:BA,MATCH("OBJ",'General price list'!$C$20:$BA$20,0),FALSE),"")</f>
        <v>0</v>
      </c>
      <c r="E238" s="2">
        <f t="shared" si="21"/>
        <v>0</v>
      </c>
      <c r="F238" s="2">
        <f t="shared" si="22"/>
        <v>0</v>
      </c>
      <c r="G238" s="2">
        <f t="shared" si="23"/>
        <v>0</v>
      </c>
      <c r="H238" s="2">
        <f t="shared" si="24"/>
        <v>0</v>
      </c>
      <c r="I238" s="2">
        <f t="shared" si="20"/>
        <v>0</v>
      </c>
      <c r="J238">
        <f>IFERROR(VLOOKUP(B238,'General price list'!C:BA,MATCH("CBM",'General price list'!$C$20:$BA$20,0),FALSE)*(G238*C238),0)</f>
        <v>0</v>
      </c>
    </row>
    <row r="239" spans="2:10" ht="15" customHeight="1">
      <c r="B239" t="s">
        <v>796</v>
      </c>
      <c r="C239" s="2">
        <f>IFERROR(VLOOKUP(B239,'General price list'!C:BA,MATCH("PAL",'General price list'!$C$20:$BA$20,0),FALSE),"")</f>
        <v>42</v>
      </c>
      <c r="D239" s="2">
        <f>IFERROR(VLOOKUP(B239,'General price list'!C:BA,MATCH("OBJ",'General price list'!$C$20:$BA$20,0),FALSE),"")</f>
        <v>0</v>
      </c>
      <c r="E239" s="2">
        <f t="shared" si="21"/>
        <v>0</v>
      </c>
      <c r="F239" s="2">
        <f t="shared" si="22"/>
        <v>0</v>
      </c>
      <c r="G239" s="2">
        <f t="shared" si="23"/>
        <v>0</v>
      </c>
      <c r="H239" s="2">
        <f t="shared" si="24"/>
        <v>0</v>
      </c>
      <c r="I239" s="2">
        <f t="shared" si="20"/>
        <v>0</v>
      </c>
      <c r="J239">
        <f>IFERROR(VLOOKUP(B239,'General price list'!C:BA,MATCH("CBM",'General price list'!$C$20:$BA$20,0),FALSE)*(G239*C239),0)</f>
        <v>0</v>
      </c>
    </row>
    <row r="240" spans="2:10" ht="15" customHeight="1">
      <c r="B240" t="s">
        <v>801</v>
      </c>
      <c r="C240" s="2">
        <f>IFERROR(VLOOKUP(B240,'General price list'!C:BA,MATCH("PAL",'General price list'!$C$20:$BA$20,0),FALSE),"")</f>
        <v>35</v>
      </c>
      <c r="D240" s="2">
        <f>IFERROR(VLOOKUP(B240,'General price list'!C:BA,MATCH("OBJ",'General price list'!$C$20:$BA$20,0),FALSE),"")</f>
        <v>0</v>
      </c>
      <c r="E240" s="2">
        <f t="shared" si="21"/>
        <v>0</v>
      </c>
      <c r="F240" s="2">
        <f t="shared" si="22"/>
        <v>0</v>
      </c>
      <c r="G240" s="2">
        <f t="shared" si="23"/>
        <v>0</v>
      </c>
      <c r="H240" s="2">
        <f t="shared" si="24"/>
        <v>0</v>
      </c>
      <c r="I240" s="2">
        <f t="shared" si="20"/>
        <v>0</v>
      </c>
      <c r="J240">
        <f>IFERROR(VLOOKUP(B240,'General price list'!C:BA,MATCH("CBM",'General price list'!$C$20:$BA$20,0),FALSE)*(G240*C240),0)</f>
        <v>0</v>
      </c>
    </row>
    <row r="241" spans="2:10" ht="15" customHeight="1">
      <c r="B241" t="s">
        <v>805</v>
      </c>
      <c r="C241" s="2">
        <f>IFERROR(VLOOKUP(B241,'General price list'!C:BA,MATCH("PAL",'General price list'!$C$20:$BA$20,0),FALSE),"")</f>
        <v>30</v>
      </c>
      <c r="D241" s="2">
        <f>IFERROR(VLOOKUP(B241,'General price list'!C:BA,MATCH("OBJ",'General price list'!$C$20:$BA$20,0),FALSE),"")</f>
        <v>0</v>
      </c>
      <c r="E241" s="2">
        <f t="shared" si="21"/>
        <v>0</v>
      </c>
      <c r="F241" s="2">
        <f t="shared" si="22"/>
        <v>0</v>
      </c>
      <c r="G241" s="2">
        <f t="shared" si="23"/>
        <v>0</v>
      </c>
      <c r="H241" s="2">
        <f t="shared" si="24"/>
        <v>0</v>
      </c>
      <c r="I241" s="2">
        <f t="shared" si="20"/>
        <v>0</v>
      </c>
      <c r="J241">
        <f>IFERROR(VLOOKUP(B241,'General price list'!C:BA,MATCH("CBM",'General price list'!$C$20:$BA$20,0),FALSE)*(G241*C241),0)</f>
        <v>0</v>
      </c>
    </row>
    <row r="242" spans="2:10" ht="15" customHeight="1">
      <c r="B242" t="s">
        <v>814</v>
      </c>
      <c r="C242" s="2">
        <f>IFERROR(VLOOKUP(B242,'General price list'!C:BA,MATCH("PAL",'General price list'!$C$20:$BA$20,0),FALSE),"")</f>
        <v>52</v>
      </c>
      <c r="D242" s="2">
        <f>IFERROR(VLOOKUP(B242,'General price list'!C:BA,MATCH("OBJ",'General price list'!$C$20:$BA$20,0),FALSE),"")</f>
        <v>0</v>
      </c>
      <c r="E242" s="2">
        <f t="shared" si="21"/>
        <v>0</v>
      </c>
      <c r="F242" s="2">
        <f t="shared" si="22"/>
        <v>0</v>
      </c>
      <c r="G242" s="2">
        <f t="shared" si="23"/>
        <v>0</v>
      </c>
      <c r="H242" s="2">
        <f t="shared" si="24"/>
        <v>0</v>
      </c>
      <c r="I242" s="2">
        <f t="shared" si="20"/>
        <v>0</v>
      </c>
      <c r="J242">
        <f>IFERROR(VLOOKUP(B242,'General price list'!C:BA,MATCH("CBM",'General price list'!$C$20:$BA$20,0),FALSE)*(G242*C242),0)</f>
        <v>0</v>
      </c>
    </row>
    <row r="243" spans="2:10" ht="15" customHeight="1">
      <c r="B243" t="s">
        <v>816</v>
      </c>
      <c r="C243" s="2">
        <f>IFERROR(VLOOKUP(B243,'General price list'!C:BA,MATCH("PAL",'General price list'!$C$20:$BA$20,0),FALSE),"")</f>
        <v>32</v>
      </c>
      <c r="D243" s="2">
        <f>IFERROR(VLOOKUP(B243,'General price list'!C:BA,MATCH("OBJ",'General price list'!$C$20:$BA$20,0),FALSE),"")</f>
        <v>0</v>
      </c>
      <c r="E243" s="2">
        <f t="shared" si="21"/>
        <v>0</v>
      </c>
      <c r="F243" s="2">
        <f t="shared" si="22"/>
        <v>0</v>
      </c>
      <c r="G243" s="2">
        <f t="shared" si="23"/>
        <v>0</v>
      </c>
      <c r="H243" s="2">
        <f t="shared" si="24"/>
        <v>0</v>
      </c>
      <c r="I243" s="2">
        <f t="shared" si="20"/>
        <v>0</v>
      </c>
      <c r="J243">
        <f>IFERROR(VLOOKUP(B243,'General price list'!C:BA,MATCH("CBM",'General price list'!$C$20:$BA$20,0),FALSE)*(G243*C243),0)</f>
        <v>0</v>
      </c>
    </row>
    <row r="244" spans="2:10" ht="15" customHeight="1">
      <c r="B244" t="s">
        <v>11986</v>
      </c>
      <c r="C244" s="2">
        <f>IFERROR(VLOOKUP(B244,'General price list'!C:BA,MATCH("PAL",'General price list'!$C$20:$BA$20,0),FALSE),"")</f>
        <v>40</v>
      </c>
      <c r="D244" s="2">
        <f>IFERROR(VLOOKUP(B244,'General price list'!C:BA,MATCH("OBJ",'General price list'!$C$20:$BA$20,0),FALSE),"")</f>
        <v>0</v>
      </c>
      <c r="E244" s="2">
        <f t="shared" si="21"/>
        <v>0</v>
      </c>
      <c r="F244" s="2">
        <f t="shared" si="22"/>
        <v>0</v>
      </c>
      <c r="G244" s="2">
        <f t="shared" si="23"/>
        <v>0</v>
      </c>
      <c r="H244" s="2">
        <f t="shared" si="24"/>
        <v>0</v>
      </c>
      <c r="I244" s="2">
        <f t="shared" si="20"/>
        <v>0</v>
      </c>
      <c r="J244">
        <f>IFERROR(VLOOKUP(B244,'General price list'!C:BA,MATCH("CBM",'General price list'!$C$20:$BA$20,0),FALSE)*(G244*C244),0)</f>
        <v>0</v>
      </c>
    </row>
    <row r="245" spans="2:10" ht="15" customHeight="1">
      <c r="B245" t="s">
        <v>4639</v>
      </c>
      <c r="C245" s="2">
        <f>IFERROR(VLOOKUP(B245,'General price list'!C:BA,MATCH("PAL",'General price list'!$C$20:$BA$20,0),FALSE),"")</f>
        <v>47</v>
      </c>
      <c r="D245" s="2">
        <f>IFERROR(VLOOKUP(B245,'General price list'!C:BA,MATCH("OBJ",'General price list'!$C$20:$BA$20,0),FALSE),"")</f>
        <v>0</v>
      </c>
      <c r="E245" s="2">
        <f t="shared" si="21"/>
        <v>0</v>
      </c>
      <c r="F245" s="2">
        <f t="shared" si="22"/>
        <v>0</v>
      </c>
      <c r="G245" s="2">
        <f t="shared" si="23"/>
        <v>0</v>
      </c>
      <c r="H245" s="2">
        <f t="shared" si="24"/>
        <v>0</v>
      </c>
      <c r="I245" s="2">
        <f t="shared" si="20"/>
        <v>0</v>
      </c>
      <c r="J245">
        <f>IFERROR(VLOOKUP(B245,'General price list'!C:BA,MATCH("CBM",'General price list'!$C$20:$BA$20,0),FALSE)*(G245*C245),0)</f>
        <v>0</v>
      </c>
    </row>
    <row r="246" spans="2:10" ht="15" customHeight="1">
      <c r="B246" t="s">
        <v>824</v>
      </c>
      <c r="C246" s="2">
        <f>IFERROR(VLOOKUP(B246,'General price list'!C:BA,MATCH("PAL",'General price list'!$C$20:$BA$20,0),FALSE),"")</f>
        <v>25</v>
      </c>
      <c r="D246" s="2">
        <f>IFERROR(VLOOKUP(B246,'General price list'!C:BA,MATCH("OBJ",'General price list'!$C$20:$BA$20,0),FALSE),"")</f>
        <v>0</v>
      </c>
      <c r="E246" s="2">
        <f t="shared" si="21"/>
        <v>0</v>
      </c>
      <c r="F246" s="2">
        <f t="shared" si="22"/>
        <v>0</v>
      </c>
      <c r="G246" s="2">
        <f t="shared" si="23"/>
        <v>0</v>
      </c>
      <c r="H246" s="2">
        <f t="shared" si="24"/>
        <v>0</v>
      </c>
      <c r="I246" s="2">
        <f t="shared" si="20"/>
        <v>0</v>
      </c>
      <c r="J246">
        <f>IFERROR(VLOOKUP(B246,'General price list'!C:BA,MATCH("CBM",'General price list'!$C$20:$BA$20,0),FALSE)*(G246*C246),0)</f>
        <v>0</v>
      </c>
    </row>
    <row r="247" spans="2:10" ht="15" customHeight="1">
      <c r="B247" t="s">
        <v>829</v>
      </c>
      <c r="C247" s="2">
        <f>IFERROR(VLOOKUP(B247,'General price list'!C:BA,MATCH("PAL",'General price list'!$C$20:$BA$20,0),FALSE),"")</f>
        <v>48</v>
      </c>
      <c r="D247" s="2">
        <f>IFERROR(VLOOKUP(B247,'General price list'!C:BA,MATCH("OBJ",'General price list'!$C$20:$BA$20,0),FALSE),"")</f>
        <v>0</v>
      </c>
      <c r="E247" s="2">
        <f t="shared" si="21"/>
        <v>0</v>
      </c>
      <c r="F247" s="2">
        <f t="shared" si="22"/>
        <v>0</v>
      </c>
      <c r="G247" s="2">
        <f t="shared" si="23"/>
        <v>0</v>
      </c>
      <c r="H247" s="2">
        <f t="shared" si="24"/>
        <v>0</v>
      </c>
      <c r="I247" s="2">
        <f t="shared" si="20"/>
        <v>0</v>
      </c>
      <c r="J247">
        <f>IFERROR(VLOOKUP(B247,'General price list'!C:BA,MATCH("CBM",'General price list'!$C$20:$BA$20,0),FALSE)*(G247*C247),0)</f>
        <v>0</v>
      </c>
    </row>
    <row r="248" spans="2:10" ht="15" customHeight="1">
      <c r="B248" t="s">
        <v>833</v>
      </c>
      <c r="C248" s="2">
        <f>IFERROR(VLOOKUP(B248,'General price list'!C:BA,MATCH("PAL",'General price list'!$C$20:$BA$20,0),FALSE),"")</f>
        <v>54</v>
      </c>
      <c r="D248" s="2">
        <f>IFERROR(VLOOKUP(B248,'General price list'!C:BA,MATCH("OBJ",'General price list'!$C$20:$BA$20,0),FALSE),"")</f>
        <v>0</v>
      </c>
      <c r="E248" s="2">
        <f t="shared" si="21"/>
        <v>0</v>
      </c>
      <c r="F248" s="2">
        <f t="shared" si="22"/>
        <v>0</v>
      </c>
      <c r="G248" s="2">
        <f t="shared" si="23"/>
        <v>0</v>
      </c>
      <c r="H248" s="2">
        <f t="shared" si="24"/>
        <v>0</v>
      </c>
      <c r="I248" s="2">
        <f t="shared" si="20"/>
        <v>0</v>
      </c>
      <c r="J248">
        <f>IFERROR(VLOOKUP(B248,'General price list'!C:BA,MATCH("CBM",'General price list'!$C$20:$BA$20,0),FALSE)*(G248*C248),0)</f>
        <v>0</v>
      </c>
    </row>
    <row r="249" spans="2:10" ht="15" customHeight="1">
      <c r="B249" t="s">
        <v>838</v>
      </c>
      <c r="C249" s="2">
        <f>IFERROR(VLOOKUP(B249,'General price list'!C:BA,MATCH("PAL",'General price list'!$C$20:$BA$20,0),FALSE),"")</f>
        <v>63</v>
      </c>
      <c r="D249" s="2">
        <f>IFERROR(VLOOKUP(B249,'General price list'!C:BA,MATCH("OBJ",'General price list'!$C$20:$BA$20,0),FALSE),"")</f>
        <v>0</v>
      </c>
      <c r="E249" s="2">
        <f t="shared" si="21"/>
        <v>0</v>
      </c>
      <c r="F249" s="2">
        <f t="shared" si="22"/>
        <v>0</v>
      </c>
      <c r="G249" s="2">
        <f t="shared" si="23"/>
        <v>0</v>
      </c>
      <c r="H249" s="2">
        <f t="shared" si="24"/>
        <v>0</v>
      </c>
      <c r="I249" s="2">
        <f t="shared" si="20"/>
        <v>0</v>
      </c>
      <c r="J249">
        <f>IFERROR(VLOOKUP(B249,'General price list'!C:BA,MATCH("CBM",'General price list'!$C$20:$BA$20,0),FALSE)*(G249*C249),0)</f>
        <v>0</v>
      </c>
    </row>
    <row r="250" spans="2:10" ht="15" customHeight="1">
      <c r="B250" t="s">
        <v>843</v>
      </c>
      <c r="C250" s="2">
        <f>IFERROR(VLOOKUP(B250,'General price list'!C:BA,MATCH("PAL",'General price list'!$C$20:$BA$20,0),FALSE),"")</f>
        <v>24</v>
      </c>
      <c r="D250" s="2">
        <f>IFERROR(VLOOKUP(B250,'General price list'!C:BA,MATCH("OBJ",'General price list'!$C$20:$BA$20,0),FALSE),"")</f>
        <v>0</v>
      </c>
      <c r="E250" s="2">
        <f t="shared" si="21"/>
        <v>0</v>
      </c>
      <c r="F250" s="2">
        <f t="shared" si="22"/>
        <v>0</v>
      </c>
      <c r="G250" s="2">
        <f t="shared" si="23"/>
        <v>0</v>
      </c>
      <c r="H250" s="2">
        <f t="shared" si="24"/>
        <v>0</v>
      </c>
      <c r="I250" s="2">
        <f t="shared" si="20"/>
        <v>0</v>
      </c>
      <c r="J250">
        <f>IFERROR(VLOOKUP(B250,'General price list'!C:BA,MATCH("CBM",'General price list'!$C$20:$BA$20,0),FALSE)*(G250*C250),0)</f>
        <v>0</v>
      </c>
    </row>
    <row r="251" spans="2:10" ht="15" customHeight="1">
      <c r="B251" t="s">
        <v>2505</v>
      </c>
      <c r="C251" s="2" t="str">
        <f>IFERROR(VLOOKUP(B251,'General price list'!C:BA,MATCH("PAL",'General price list'!$C$20:$BA$20,0),FALSE),"")</f>
        <v>18</v>
      </c>
      <c r="D251" s="2">
        <f>IFERROR(VLOOKUP(B251,'General price list'!C:BA,MATCH("OBJ",'General price list'!$C$20:$BA$20,0),FALSE),"")</f>
        <v>0</v>
      </c>
      <c r="E251" s="2">
        <f t="shared" si="21"/>
        <v>0</v>
      </c>
      <c r="F251" s="2">
        <f t="shared" si="22"/>
        <v>0</v>
      </c>
      <c r="G251" s="2">
        <f t="shared" si="23"/>
        <v>0</v>
      </c>
      <c r="H251" s="2">
        <f t="shared" si="24"/>
        <v>0</v>
      </c>
      <c r="I251" s="2">
        <f t="shared" si="20"/>
        <v>0</v>
      </c>
      <c r="J251">
        <f>IFERROR(VLOOKUP(B251,'General price list'!C:BA,MATCH("CBM",'General price list'!$C$20:$BA$20,0),FALSE)*(G251*C251),0)</f>
        <v>0</v>
      </c>
    </row>
    <row r="252" spans="2:10" ht="15" customHeight="1">
      <c r="B252" t="s">
        <v>11900</v>
      </c>
      <c r="C252" s="2" t="str">
        <f>IFERROR(VLOOKUP(B252,'General price list'!C:BA,MATCH("PAL",'General price list'!$C$20:$BA$20,0),FALSE),"")</f>
        <v>30</v>
      </c>
      <c r="D252" s="2">
        <f>IFERROR(VLOOKUP(B252,'General price list'!C:BA,MATCH("OBJ",'General price list'!$C$20:$BA$20,0),FALSE),"")</f>
        <v>0</v>
      </c>
      <c r="E252" s="2">
        <f t="shared" si="21"/>
        <v>0</v>
      </c>
      <c r="F252" s="2">
        <f t="shared" si="22"/>
        <v>0</v>
      </c>
      <c r="G252" s="2">
        <f t="shared" si="23"/>
        <v>0</v>
      </c>
      <c r="H252" s="2">
        <f t="shared" si="24"/>
        <v>0</v>
      </c>
      <c r="I252" s="2">
        <f t="shared" si="20"/>
        <v>0</v>
      </c>
      <c r="J252">
        <f>IFERROR(VLOOKUP(B252,'General price list'!C:BA,MATCH("CBM",'General price list'!$C$20:$BA$20,0),FALSE)*(G252*C252),0)</f>
        <v>0</v>
      </c>
    </row>
    <row r="253" spans="2:10" ht="15" customHeight="1">
      <c r="B253" t="s">
        <v>853</v>
      </c>
      <c r="C253" s="2" t="str">
        <f>IFERROR(VLOOKUP(B253,'General price list'!C:BA,MATCH("PAL",'General price list'!$C$20:$BA$20,0),FALSE),"")</f>
        <v>16</v>
      </c>
      <c r="D253" s="2">
        <f>IFERROR(VLOOKUP(B253,'General price list'!C:BA,MATCH("OBJ",'General price list'!$C$20:$BA$20,0),FALSE),"")</f>
        <v>0</v>
      </c>
      <c r="E253" s="2">
        <f t="shared" si="21"/>
        <v>0</v>
      </c>
      <c r="F253" s="2">
        <f t="shared" si="22"/>
        <v>0</v>
      </c>
      <c r="G253" s="2">
        <f t="shared" si="23"/>
        <v>0</v>
      </c>
      <c r="H253" s="2">
        <f t="shared" si="24"/>
        <v>0</v>
      </c>
      <c r="I253" s="2">
        <f t="shared" si="20"/>
        <v>0</v>
      </c>
      <c r="J253">
        <f>IFERROR(VLOOKUP(B253,'General price list'!C:BA,MATCH("CBM",'General price list'!$C$20:$BA$20,0),FALSE)*(G253*C253),0)</f>
        <v>0</v>
      </c>
    </row>
    <row r="254" spans="2:10" ht="15" customHeight="1">
      <c r="B254" t="s">
        <v>2507</v>
      </c>
      <c r="C254" s="2">
        <f>IFERROR(VLOOKUP(B254,'General price list'!C:BA,MATCH("PAL",'General price list'!$C$20:$BA$20,0),FALSE),"")</f>
        <v>22</v>
      </c>
      <c r="D254" s="2">
        <f>IFERROR(VLOOKUP(B254,'General price list'!C:BA,MATCH("OBJ",'General price list'!$C$20:$BA$20,0),FALSE),"")</f>
        <v>0</v>
      </c>
      <c r="E254" s="2">
        <f t="shared" si="21"/>
        <v>0</v>
      </c>
      <c r="F254" s="2">
        <f t="shared" si="22"/>
        <v>0</v>
      </c>
      <c r="G254" s="2">
        <f t="shared" si="23"/>
        <v>0</v>
      </c>
      <c r="H254" s="2">
        <f t="shared" si="24"/>
        <v>0</v>
      </c>
      <c r="I254" s="2">
        <f t="shared" si="20"/>
        <v>0</v>
      </c>
      <c r="J254">
        <f>IFERROR(VLOOKUP(B254,'General price list'!C:BA,MATCH("CBM",'General price list'!$C$20:$BA$20,0),FALSE)*(G254*C254),0)</f>
        <v>0</v>
      </c>
    </row>
    <row r="255" spans="2:10" ht="15" customHeight="1">
      <c r="B255" t="s">
        <v>858</v>
      </c>
      <c r="C255" s="2">
        <f>IFERROR(VLOOKUP(B255,'General price list'!C:BA,MATCH("PAL",'General price list'!$C$20:$BA$20,0),FALSE),"")</f>
        <v>30</v>
      </c>
      <c r="D255" s="2">
        <f>IFERROR(VLOOKUP(B255,'General price list'!C:BA,MATCH("OBJ",'General price list'!$C$20:$BA$20,0),FALSE),"")</f>
        <v>0</v>
      </c>
      <c r="E255" s="2">
        <f t="shared" si="21"/>
        <v>0</v>
      </c>
      <c r="F255" s="2">
        <f t="shared" si="22"/>
        <v>0</v>
      </c>
      <c r="G255" s="2">
        <f t="shared" si="23"/>
        <v>0</v>
      </c>
      <c r="H255" s="2">
        <f t="shared" si="24"/>
        <v>0</v>
      </c>
      <c r="I255" s="2">
        <f t="shared" si="20"/>
        <v>0</v>
      </c>
      <c r="J255">
        <f>IFERROR(VLOOKUP(B255,'General price list'!C:BA,MATCH("CBM",'General price list'!$C$20:$BA$20,0),FALSE)*(G255*C255),0)</f>
        <v>0</v>
      </c>
    </row>
    <row r="256" spans="2:10" ht="15" customHeight="1">
      <c r="B256" t="s">
        <v>860</v>
      </c>
      <c r="C256" s="2">
        <f>IFERROR(VLOOKUP(B256,'General price list'!C:BA,MATCH("PAL",'General price list'!$C$20:$BA$20,0),FALSE),"")</f>
        <v>15</v>
      </c>
      <c r="D256" s="2">
        <f>IFERROR(VLOOKUP(B256,'General price list'!C:BA,MATCH("OBJ",'General price list'!$C$20:$BA$20,0),FALSE),"")</f>
        <v>0</v>
      </c>
      <c r="E256" s="2">
        <f t="shared" si="21"/>
        <v>0</v>
      </c>
      <c r="F256" s="2">
        <f t="shared" si="22"/>
        <v>0</v>
      </c>
      <c r="G256" s="2">
        <f t="shared" si="23"/>
        <v>0</v>
      </c>
      <c r="H256" s="2">
        <f t="shared" si="24"/>
        <v>0</v>
      </c>
      <c r="I256" s="2">
        <f t="shared" si="20"/>
        <v>0</v>
      </c>
      <c r="J256">
        <f>IFERROR(VLOOKUP(B256,'General price list'!C:BA,MATCH("CBM",'General price list'!$C$20:$BA$20,0),FALSE)*(G256*C256),0)</f>
        <v>0</v>
      </c>
    </row>
    <row r="257" spans="2:10" ht="15" customHeight="1">
      <c r="B257" t="s">
        <v>867</v>
      </c>
      <c r="C257" s="2">
        <f>IFERROR(VLOOKUP(B257,'General price list'!C:BA,MATCH("PAL",'General price list'!$C$20:$BA$20,0),FALSE),"")</f>
        <v>12</v>
      </c>
      <c r="D257" s="2">
        <f>IFERROR(VLOOKUP(B257,'General price list'!C:BA,MATCH("OBJ",'General price list'!$C$20:$BA$20,0),FALSE),"")</f>
        <v>0</v>
      </c>
      <c r="E257" s="2">
        <f t="shared" si="21"/>
        <v>0</v>
      </c>
      <c r="F257" s="2">
        <f t="shared" si="22"/>
        <v>0</v>
      </c>
      <c r="G257" s="2">
        <f t="shared" si="23"/>
        <v>0</v>
      </c>
      <c r="H257" s="2">
        <f t="shared" si="24"/>
        <v>0</v>
      </c>
      <c r="I257" s="2">
        <f t="shared" si="20"/>
        <v>0</v>
      </c>
      <c r="J257">
        <f>IFERROR(VLOOKUP(B257,'General price list'!C:BA,MATCH("CBM",'General price list'!$C$20:$BA$20,0),FALSE)*(G257*C257),0)</f>
        <v>0</v>
      </c>
    </row>
    <row r="258" spans="2:10" ht="15" customHeight="1">
      <c r="B258" t="s">
        <v>872</v>
      </c>
      <c r="C258" s="2">
        <f>IFERROR(VLOOKUP(B258,'General price list'!C:BA,MATCH("PAL",'General price list'!$C$20:$BA$20,0),FALSE),"")</f>
        <v>10</v>
      </c>
      <c r="D258" s="2">
        <f>IFERROR(VLOOKUP(B258,'General price list'!C:BA,MATCH("OBJ",'General price list'!$C$20:$BA$20,0),FALSE),"")</f>
        <v>0</v>
      </c>
      <c r="E258" s="2">
        <f t="shared" si="21"/>
        <v>0</v>
      </c>
      <c r="F258" s="2">
        <f t="shared" si="22"/>
        <v>0</v>
      </c>
      <c r="G258" s="2">
        <f t="shared" si="23"/>
        <v>0</v>
      </c>
      <c r="H258" s="2">
        <f t="shared" si="24"/>
        <v>0</v>
      </c>
      <c r="I258" s="2">
        <f t="shared" si="20"/>
        <v>0</v>
      </c>
      <c r="J258">
        <f>IFERROR(VLOOKUP(B258,'General price list'!C:BA,MATCH("CBM",'General price list'!$C$20:$BA$20,0),FALSE)*(G258*C258),0)</f>
        <v>0</v>
      </c>
    </row>
    <row r="259" spans="2:10" ht="15" customHeight="1">
      <c r="B259" t="s">
        <v>874</v>
      </c>
      <c r="C259" s="2">
        <f>IFERROR(VLOOKUP(B259,'General price list'!C:BA,MATCH("PAL",'General price list'!$C$20:$BA$20,0),FALSE),"")</f>
        <v>10</v>
      </c>
      <c r="D259" s="2">
        <f>IFERROR(VLOOKUP(B259,'General price list'!C:BA,MATCH("OBJ",'General price list'!$C$20:$BA$20,0),FALSE),"")</f>
        <v>0</v>
      </c>
      <c r="E259" s="2">
        <f t="shared" si="21"/>
        <v>0</v>
      </c>
      <c r="F259" s="2">
        <f t="shared" si="22"/>
        <v>0</v>
      </c>
      <c r="G259" s="2">
        <f t="shared" si="23"/>
        <v>0</v>
      </c>
      <c r="H259" s="2">
        <f t="shared" si="24"/>
        <v>0</v>
      </c>
      <c r="I259" s="2">
        <f t="shared" si="20"/>
        <v>0</v>
      </c>
      <c r="J259">
        <f>IFERROR(VLOOKUP(B259,'General price list'!C:BA,MATCH("CBM",'General price list'!$C$20:$BA$20,0),FALSE)*(G259*C259),0)</f>
        <v>0</v>
      </c>
    </row>
    <row r="260" spans="2:10" ht="15" customHeight="1">
      <c r="B260" t="s">
        <v>2509</v>
      </c>
      <c r="C260" s="2">
        <f>IFERROR(VLOOKUP(B260,'General price list'!C:BA,MATCH("PAL",'General price list'!$C$20:$BA$20,0),FALSE),"")</f>
        <v>18</v>
      </c>
      <c r="D260" s="2">
        <f>IFERROR(VLOOKUP(B260,'General price list'!C:BA,MATCH("OBJ",'General price list'!$C$20:$BA$20,0),FALSE),"")</f>
        <v>0</v>
      </c>
      <c r="E260" s="2">
        <f t="shared" si="21"/>
        <v>0</v>
      </c>
      <c r="F260" s="2">
        <f t="shared" si="22"/>
        <v>0</v>
      </c>
      <c r="G260" s="2">
        <f t="shared" si="23"/>
        <v>0</v>
      </c>
      <c r="H260" s="2">
        <f t="shared" si="24"/>
        <v>0</v>
      </c>
      <c r="I260" s="2">
        <f t="shared" ref="I260:I323" si="25">IFERROR(IF(D260=0,0,IF(F260=0,(D260*nextVK)+(prvniVK-nextVK),(G260*C260*nextVK)+(F260*PALzKoje))),0)</f>
        <v>0</v>
      </c>
      <c r="J260">
        <f>IFERROR(VLOOKUP(B260,'General price list'!C:BA,MATCH("CBM",'General price list'!$C$20:$BA$20,0),FALSE)*(G260*C260),0)</f>
        <v>0</v>
      </c>
    </row>
    <row r="261" spans="2:10" ht="15" customHeight="1">
      <c r="B261" t="s">
        <v>2511</v>
      </c>
      <c r="C261" s="2">
        <f>IFERROR(VLOOKUP(B261,'General price list'!C:BA,MATCH("PAL",'General price list'!$C$20:$BA$20,0),FALSE),"")</f>
        <v>8</v>
      </c>
      <c r="D261" s="2">
        <f>IFERROR(VLOOKUP(B261,'General price list'!C:BA,MATCH("OBJ",'General price list'!$C$20:$BA$20,0),FALSE),"")</f>
        <v>0</v>
      </c>
      <c r="E261" s="2">
        <f t="shared" ref="E261:E324" si="26">IFERROR(D261/C261,0)</f>
        <v>0</v>
      </c>
      <c r="F261" s="2">
        <f t="shared" ref="F261:F324" si="27">IFERROR(FLOOR(IF(E261-1&lt;0,0,E261),1),0)</f>
        <v>0</v>
      </c>
      <c r="G261" s="2">
        <f t="shared" ref="G261:G324" si="28">IFERROR(IF(H261&gt;E261,F261-E261,E261-F261),0)</f>
        <v>0</v>
      </c>
      <c r="H261" s="2">
        <f t="shared" ref="H261:H324" si="29">IFERROR(IF(E261=0,0,F261),0)</f>
        <v>0</v>
      </c>
      <c r="I261" s="2">
        <f t="shared" si="25"/>
        <v>0</v>
      </c>
      <c r="J261">
        <f>IFERROR(VLOOKUP(B261,'General price list'!C:BA,MATCH("CBM",'General price list'!$C$20:$BA$20,0),FALSE)*(G261*C261),0)</f>
        <v>0</v>
      </c>
    </row>
    <row r="262" spans="2:10" ht="15" customHeight="1">
      <c r="B262" t="s">
        <v>896</v>
      </c>
      <c r="C262" s="2" t="str">
        <f>IFERROR(VLOOKUP(B262,'General price list'!C:BA,MATCH("PAL",'General price list'!$C$20:$BA$20,0),FALSE),"")</f>
        <v>18</v>
      </c>
      <c r="D262" s="2">
        <f>IFERROR(VLOOKUP(B262,'General price list'!C:BA,MATCH("OBJ",'General price list'!$C$20:$BA$20,0),FALSE),"")</f>
        <v>0</v>
      </c>
      <c r="E262" s="2">
        <f t="shared" si="26"/>
        <v>0</v>
      </c>
      <c r="F262" s="2">
        <f t="shared" si="27"/>
        <v>0</v>
      </c>
      <c r="G262" s="2">
        <f t="shared" si="28"/>
        <v>0</v>
      </c>
      <c r="H262" s="2">
        <f t="shared" si="29"/>
        <v>0</v>
      </c>
      <c r="I262" s="2">
        <f t="shared" si="25"/>
        <v>0</v>
      </c>
      <c r="J262">
        <f>IFERROR(VLOOKUP(B262,'General price list'!C:BA,MATCH("CBM",'General price list'!$C$20:$BA$20,0),FALSE)*(G262*C262),0)</f>
        <v>0</v>
      </c>
    </row>
    <row r="263" spans="2:10" ht="15" customHeight="1">
      <c r="B263" t="s">
        <v>901</v>
      </c>
      <c r="C263" s="2">
        <f>IFERROR(VLOOKUP(B263,'General price list'!C:BA,MATCH("PAL",'General price list'!$C$20:$BA$20,0),FALSE),"")</f>
        <v>21</v>
      </c>
      <c r="D263" s="2">
        <f>IFERROR(VLOOKUP(B263,'General price list'!C:BA,MATCH("OBJ",'General price list'!$C$20:$BA$20,0),FALSE),"")</f>
        <v>0</v>
      </c>
      <c r="E263" s="2">
        <f t="shared" si="26"/>
        <v>0</v>
      </c>
      <c r="F263" s="2">
        <f t="shared" si="27"/>
        <v>0</v>
      </c>
      <c r="G263" s="2">
        <f t="shared" si="28"/>
        <v>0</v>
      </c>
      <c r="H263" s="2">
        <f t="shared" si="29"/>
        <v>0</v>
      </c>
      <c r="I263" s="2">
        <f t="shared" si="25"/>
        <v>0</v>
      </c>
      <c r="J263">
        <f>IFERROR(VLOOKUP(B263,'General price list'!C:BA,MATCH("CBM",'General price list'!$C$20:$BA$20,0),FALSE)*(G263*C263),0)</f>
        <v>0</v>
      </c>
    </row>
    <row r="264" spans="2:10" ht="15" customHeight="1">
      <c r="B264" t="s">
        <v>906</v>
      </c>
      <c r="C264" s="2">
        <f>IFERROR(VLOOKUP(B264,'General price list'!C:BA,MATCH("PAL",'General price list'!$C$20:$BA$20,0),FALSE),"")</f>
        <v>12</v>
      </c>
      <c r="D264" s="2">
        <f>IFERROR(VLOOKUP(B264,'General price list'!C:BA,MATCH("OBJ",'General price list'!$C$20:$BA$20,0),FALSE),"")</f>
        <v>0</v>
      </c>
      <c r="E264" s="2">
        <f t="shared" si="26"/>
        <v>0</v>
      </c>
      <c r="F264" s="2">
        <f t="shared" si="27"/>
        <v>0</v>
      </c>
      <c r="G264" s="2">
        <f t="shared" si="28"/>
        <v>0</v>
      </c>
      <c r="H264" s="2">
        <f t="shared" si="29"/>
        <v>0</v>
      </c>
      <c r="I264" s="2">
        <f t="shared" si="25"/>
        <v>0</v>
      </c>
      <c r="J264">
        <f>IFERROR(VLOOKUP(B264,'General price list'!C:BA,MATCH("CBM",'General price list'!$C$20:$BA$20,0),FALSE)*(G264*C264),0)</f>
        <v>0</v>
      </c>
    </row>
    <row r="265" spans="2:10" ht="15" customHeight="1">
      <c r="B265" t="s">
        <v>907</v>
      </c>
      <c r="C265" s="2">
        <f>IFERROR(VLOOKUP(B265,'General price list'!C:BA,MATCH("PAL",'General price list'!$C$20:$BA$20,0),FALSE),"")</f>
        <v>10</v>
      </c>
      <c r="D265" s="2">
        <f>IFERROR(VLOOKUP(B265,'General price list'!C:BA,MATCH("OBJ",'General price list'!$C$20:$BA$20,0),FALSE),"")</f>
        <v>0</v>
      </c>
      <c r="E265" s="2">
        <f t="shared" si="26"/>
        <v>0</v>
      </c>
      <c r="F265" s="2">
        <f t="shared" si="27"/>
        <v>0</v>
      </c>
      <c r="G265" s="2">
        <f t="shared" si="28"/>
        <v>0</v>
      </c>
      <c r="H265" s="2">
        <f t="shared" si="29"/>
        <v>0</v>
      </c>
      <c r="I265" s="2">
        <f t="shared" si="25"/>
        <v>0</v>
      </c>
      <c r="J265">
        <f>IFERROR(VLOOKUP(B265,'General price list'!C:BA,MATCH("CBM",'General price list'!$C$20:$BA$20,0),FALSE)*(G265*C265),0)</f>
        <v>0</v>
      </c>
    </row>
    <row r="266" spans="2:10" ht="15" customHeight="1">
      <c r="B266" t="s">
        <v>908</v>
      </c>
      <c r="C266" s="2">
        <f>IFERROR(VLOOKUP(B266,'General price list'!C:BA,MATCH("PAL",'General price list'!$C$20:$BA$20,0),FALSE),"")</f>
        <v>8</v>
      </c>
      <c r="D266" s="2">
        <f>IFERROR(VLOOKUP(B266,'General price list'!C:BA,MATCH("OBJ",'General price list'!$C$20:$BA$20,0),FALSE),"")</f>
        <v>0</v>
      </c>
      <c r="E266" s="2">
        <f t="shared" si="26"/>
        <v>0</v>
      </c>
      <c r="F266" s="2">
        <f t="shared" si="27"/>
        <v>0</v>
      </c>
      <c r="G266" s="2">
        <f t="shared" si="28"/>
        <v>0</v>
      </c>
      <c r="H266" s="2">
        <f t="shared" si="29"/>
        <v>0</v>
      </c>
      <c r="I266" s="2">
        <f t="shared" si="25"/>
        <v>0</v>
      </c>
      <c r="J266">
        <f>IFERROR(VLOOKUP(B266,'General price list'!C:BA,MATCH("CBM",'General price list'!$C$20:$BA$20,0),FALSE)*(G266*C266),0)</f>
        <v>0</v>
      </c>
    </row>
    <row r="267" spans="2:10" ht="15" customHeight="1">
      <c r="B267" t="s">
        <v>909</v>
      </c>
      <c r="C267" s="2">
        <f>IFERROR(VLOOKUP(B267,'General price list'!C:BA,MATCH("PAL",'General price list'!$C$20:$BA$20,0),FALSE),"")</f>
        <v>8</v>
      </c>
      <c r="D267" s="2">
        <f>IFERROR(VLOOKUP(B267,'General price list'!C:BA,MATCH("OBJ",'General price list'!$C$20:$BA$20,0),FALSE),"")</f>
        <v>0</v>
      </c>
      <c r="E267" s="2">
        <f t="shared" si="26"/>
        <v>0</v>
      </c>
      <c r="F267" s="2">
        <f t="shared" si="27"/>
        <v>0</v>
      </c>
      <c r="G267" s="2">
        <f t="shared" si="28"/>
        <v>0</v>
      </c>
      <c r="H267" s="2">
        <f t="shared" si="29"/>
        <v>0</v>
      </c>
      <c r="I267" s="2">
        <f t="shared" si="25"/>
        <v>0</v>
      </c>
      <c r="J267">
        <f>IFERROR(VLOOKUP(B267,'General price list'!C:BA,MATCH("CBM",'General price list'!$C$20:$BA$20,0),FALSE)*(G267*C267),0)</f>
        <v>0</v>
      </c>
    </row>
    <row r="268" spans="2:10" ht="15" customHeight="1">
      <c r="B268" t="s">
        <v>2513</v>
      </c>
      <c r="C268" s="2">
        <f>IFERROR(VLOOKUP(B268,'General price list'!C:BA,MATCH("PAL",'General price list'!$C$20:$BA$20,0),FALSE),"")</f>
        <v>18</v>
      </c>
      <c r="D268" s="2">
        <f>IFERROR(VLOOKUP(B268,'General price list'!C:BA,MATCH("OBJ",'General price list'!$C$20:$BA$20,0),FALSE),"")</f>
        <v>0</v>
      </c>
      <c r="E268" s="2">
        <f t="shared" si="26"/>
        <v>0</v>
      </c>
      <c r="F268" s="2">
        <f t="shared" si="27"/>
        <v>0</v>
      </c>
      <c r="G268" s="2">
        <f t="shared" si="28"/>
        <v>0</v>
      </c>
      <c r="H268" s="2">
        <f t="shared" si="29"/>
        <v>0</v>
      </c>
      <c r="I268" s="2">
        <f t="shared" si="25"/>
        <v>0</v>
      </c>
      <c r="J268">
        <f>IFERROR(VLOOKUP(B268,'General price list'!C:BA,MATCH("CBM",'General price list'!$C$20:$BA$20,0),FALSE)*(G268*C268),0)</f>
        <v>0</v>
      </c>
    </row>
    <row r="269" spans="2:10" ht="15" customHeight="1">
      <c r="B269" t="s">
        <v>910</v>
      </c>
      <c r="C269" s="2">
        <f>IFERROR(VLOOKUP(B269,'General price list'!C:BA,MATCH("PAL",'General price list'!$C$20:$BA$20,0),FALSE),"")</f>
        <v>8</v>
      </c>
      <c r="D269" s="2">
        <f>IFERROR(VLOOKUP(B269,'General price list'!C:BA,MATCH("OBJ",'General price list'!$C$20:$BA$20,0),FALSE),"")</f>
        <v>0</v>
      </c>
      <c r="E269" s="2">
        <f t="shared" si="26"/>
        <v>0</v>
      </c>
      <c r="F269" s="2">
        <f t="shared" si="27"/>
        <v>0</v>
      </c>
      <c r="G269" s="2">
        <f t="shared" si="28"/>
        <v>0</v>
      </c>
      <c r="H269" s="2">
        <f t="shared" si="29"/>
        <v>0</v>
      </c>
      <c r="I269" s="2">
        <f t="shared" si="25"/>
        <v>0</v>
      </c>
      <c r="J269">
        <f>IFERROR(VLOOKUP(B269,'General price list'!C:BA,MATCH("CBM",'General price list'!$C$20:$BA$20,0),FALSE)*(G269*C269),0)</f>
        <v>0</v>
      </c>
    </row>
    <row r="270" spans="2:10" ht="15" customHeight="1">
      <c r="B270" t="s">
        <v>912</v>
      </c>
      <c r="C270" s="2">
        <f>IFERROR(VLOOKUP(B270,'General price list'!C:BA,MATCH("PAL",'General price list'!$C$20:$BA$20,0),FALSE),"")</f>
        <v>15</v>
      </c>
      <c r="D270" s="2">
        <f>IFERROR(VLOOKUP(B270,'General price list'!C:BA,MATCH("OBJ",'General price list'!$C$20:$BA$20,0),FALSE),"")</f>
        <v>0</v>
      </c>
      <c r="E270" s="2">
        <f t="shared" si="26"/>
        <v>0</v>
      </c>
      <c r="F270" s="2">
        <f t="shared" si="27"/>
        <v>0</v>
      </c>
      <c r="G270" s="2">
        <f t="shared" si="28"/>
        <v>0</v>
      </c>
      <c r="H270" s="2">
        <f t="shared" si="29"/>
        <v>0</v>
      </c>
      <c r="I270" s="2">
        <f t="shared" si="25"/>
        <v>0</v>
      </c>
      <c r="J270">
        <f>IFERROR(VLOOKUP(B270,'General price list'!C:BA,MATCH("CBM",'General price list'!$C$20:$BA$20,0),FALSE)*(G270*C270),0)</f>
        <v>0</v>
      </c>
    </row>
    <row r="271" spans="2:10" ht="15" customHeight="1">
      <c r="B271" t="s">
        <v>914</v>
      </c>
      <c r="C271" s="2">
        <f>IFERROR(VLOOKUP(B271,'General price list'!C:BA,MATCH("PAL",'General price list'!$C$20:$BA$20,0),FALSE),"")</f>
        <v>9</v>
      </c>
      <c r="D271" s="2">
        <f>IFERROR(VLOOKUP(B271,'General price list'!C:BA,MATCH("OBJ",'General price list'!$C$20:$BA$20,0),FALSE),"")</f>
        <v>0</v>
      </c>
      <c r="E271" s="2">
        <f t="shared" si="26"/>
        <v>0</v>
      </c>
      <c r="F271" s="2">
        <f t="shared" si="27"/>
        <v>0</v>
      </c>
      <c r="G271" s="2">
        <f t="shared" si="28"/>
        <v>0</v>
      </c>
      <c r="H271" s="2">
        <f t="shared" si="29"/>
        <v>0</v>
      </c>
      <c r="I271" s="2">
        <f t="shared" si="25"/>
        <v>0</v>
      </c>
      <c r="J271">
        <f>IFERROR(VLOOKUP(B271,'General price list'!C:BA,MATCH("CBM",'General price list'!$C$20:$BA$20,0),FALSE)*(G271*C271),0)</f>
        <v>0</v>
      </c>
    </row>
    <row r="272" spans="2:10" ht="15" customHeight="1">
      <c r="B272" t="s">
        <v>2514</v>
      </c>
      <c r="C272" s="2">
        <f>IFERROR(VLOOKUP(B272,'General price list'!C:BA,MATCH("PAL",'General price list'!$C$20:$BA$20,0),FALSE),"")</f>
        <v>12</v>
      </c>
      <c r="D272" s="2">
        <f>IFERROR(VLOOKUP(B272,'General price list'!C:BA,MATCH("OBJ",'General price list'!$C$20:$BA$20,0),FALSE),"")</f>
        <v>0</v>
      </c>
      <c r="E272" s="2">
        <f t="shared" si="26"/>
        <v>0</v>
      </c>
      <c r="F272" s="2">
        <f t="shared" si="27"/>
        <v>0</v>
      </c>
      <c r="G272" s="2">
        <f t="shared" si="28"/>
        <v>0</v>
      </c>
      <c r="H272" s="2">
        <f t="shared" si="29"/>
        <v>0</v>
      </c>
      <c r="I272" s="2">
        <f t="shared" si="25"/>
        <v>0</v>
      </c>
      <c r="J272">
        <f>IFERROR(VLOOKUP(B272,'General price list'!C:BA,MATCH("CBM",'General price list'!$C$20:$BA$20,0),FALSE)*(G272*C272),0)</f>
        <v>0</v>
      </c>
    </row>
    <row r="273" spans="2:10" ht="15" customHeight="1">
      <c r="B273" t="s">
        <v>2516</v>
      </c>
      <c r="C273" s="2" t="str">
        <f>IFERROR(VLOOKUP(B273,'General price list'!C:BA,MATCH("PAL",'General price list'!$C$20:$BA$20,0),FALSE),"")</f>
        <v>15</v>
      </c>
      <c r="D273" s="2">
        <f>IFERROR(VLOOKUP(B273,'General price list'!C:BA,MATCH("OBJ",'General price list'!$C$20:$BA$20,0),FALSE),"")</f>
        <v>0</v>
      </c>
      <c r="E273" s="2">
        <f t="shared" si="26"/>
        <v>0</v>
      </c>
      <c r="F273" s="2">
        <f t="shared" si="27"/>
        <v>0</v>
      </c>
      <c r="G273" s="2">
        <f t="shared" si="28"/>
        <v>0</v>
      </c>
      <c r="H273" s="2">
        <f t="shared" si="29"/>
        <v>0</v>
      </c>
      <c r="I273" s="2">
        <f t="shared" si="25"/>
        <v>0</v>
      </c>
      <c r="J273">
        <f>IFERROR(VLOOKUP(B273,'General price list'!C:BA,MATCH("CBM",'General price list'!$C$20:$BA$20,0),FALSE)*(G273*C273),0)</f>
        <v>0</v>
      </c>
    </row>
    <row r="274" spans="2:10" ht="15" customHeight="1">
      <c r="B274" t="s">
        <v>919</v>
      </c>
      <c r="C274" s="2">
        <f>IFERROR(VLOOKUP(B274,'General price list'!C:BA,MATCH("PAL",'General price list'!$C$20:$BA$20,0),FALSE),"")</f>
        <v>15</v>
      </c>
      <c r="D274" s="2">
        <f>IFERROR(VLOOKUP(B274,'General price list'!C:BA,MATCH("OBJ",'General price list'!$C$20:$BA$20,0),FALSE),"")</f>
        <v>0</v>
      </c>
      <c r="E274" s="2">
        <f t="shared" si="26"/>
        <v>0</v>
      </c>
      <c r="F274" s="2">
        <f t="shared" si="27"/>
        <v>0</v>
      </c>
      <c r="G274" s="2">
        <f t="shared" si="28"/>
        <v>0</v>
      </c>
      <c r="H274" s="2">
        <f t="shared" si="29"/>
        <v>0</v>
      </c>
      <c r="I274" s="2">
        <f t="shared" si="25"/>
        <v>0</v>
      </c>
      <c r="J274">
        <f>IFERROR(VLOOKUP(B274,'General price list'!C:BA,MATCH("CBM",'General price list'!$C$20:$BA$20,0),FALSE)*(G274*C274),0)</f>
        <v>0</v>
      </c>
    </row>
    <row r="275" spans="2:10" ht="15" customHeight="1">
      <c r="B275" t="s">
        <v>962</v>
      </c>
      <c r="C275" s="2" t="str">
        <f>IFERROR(VLOOKUP(B275,'General price list'!C:BA,MATCH("PAL",'General price list'!$C$20:$BA$20,0),FALSE),"")</f>
        <v/>
      </c>
      <c r="D275" s="2">
        <f>IFERROR(VLOOKUP(B275,'General price list'!C:BA,MATCH("OBJ",'General price list'!$C$20:$BA$20,0),FALSE),"")</f>
        <v>0</v>
      </c>
      <c r="E275" s="2">
        <f t="shared" si="26"/>
        <v>0</v>
      </c>
      <c r="F275" s="2">
        <f t="shared" si="27"/>
        <v>0</v>
      </c>
      <c r="G275" s="2">
        <f t="shared" si="28"/>
        <v>0</v>
      </c>
      <c r="H275" s="2">
        <f t="shared" si="29"/>
        <v>0</v>
      </c>
      <c r="I275" s="2">
        <f t="shared" si="25"/>
        <v>0</v>
      </c>
      <c r="J275">
        <f>IFERROR(VLOOKUP(B275,'General price list'!C:BA,MATCH("CBM",'General price list'!$C$20:$BA$20,0),FALSE)*(G275*C275),0)</f>
        <v>0</v>
      </c>
    </row>
    <row r="276" spans="2:10" ht="15" customHeight="1">
      <c r="B276" t="s">
        <v>968</v>
      </c>
      <c r="C276" s="2" t="str">
        <f>IFERROR(VLOOKUP(B276,'General price list'!C:BA,MATCH("PAL",'General price list'!$C$20:$BA$20,0),FALSE),"")</f>
        <v/>
      </c>
      <c r="D276" s="2">
        <f>IFERROR(VLOOKUP(B276,'General price list'!C:BA,MATCH("OBJ",'General price list'!$C$20:$BA$20,0),FALSE),"")</f>
        <v>0</v>
      </c>
      <c r="E276" s="2">
        <f t="shared" si="26"/>
        <v>0</v>
      </c>
      <c r="F276" s="2">
        <f t="shared" si="27"/>
        <v>0</v>
      </c>
      <c r="G276" s="2">
        <f t="shared" si="28"/>
        <v>0</v>
      </c>
      <c r="H276" s="2">
        <f t="shared" si="29"/>
        <v>0</v>
      </c>
      <c r="I276" s="2">
        <f t="shared" si="25"/>
        <v>0</v>
      </c>
      <c r="J276">
        <f>IFERROR(VLOOKUP(B276,'General price list'!C:BA,MATCH("CBM",'General price list'!$C$20:$BA$20,0),FALSE)*(G276*C276),0)</f>
        <v>0</v>
      </c>
    </row>
    <row r="277" spans="2:10" ht="15" customHeight="1">
      <c r="B277" t="s">
        <v>969</v>
      </c>
      <c r="C277" s="2" t="str">
        <f>IFERROR(VLOOKUP(B277,'General price list'!C:BA,MATCH("PAL",'General price list'!$C$20:$BA$20,0),FALSE),"")</f>
        <v/>
      </c>
      <c r="D277" s="2">
        <f>IFERROR(VLOOKUP(B277,'General price list'!C:BA,MATCH("OBJ",'General price list'!$C$20:$BA$20,0),FALSE),"")</f>
        <v>0</v>
      </c>
      <c r="E277" s="2">
        <f t="shared" si="26"/>
        <v>0</v>
      </c>
      <c r="F277" s="2">
        <f t="shared" si="27"/>
        <v>0</v>
      </c>
      <c r="G277" s="2">
        <f t="shared" si="28"/>
        <v>0</v>
      </c>
      <c r="H277" s="2">
        <f t="shared" si="29"/>
        <v>0</v>
      </c>
      <c r="I277" s="2">
        <f t="shared" si="25"/>
        <v>0</v>
      </c>
      <c r="J277">
        <f>IFERROR(VLOOKUP(B277,'General price list'!C:BA,MATCH("CBM",'General price list'!$C$20:$BA$20,0),FALSE)*(G277*C277),0)</f>
        <v>0</v>
      </c>
    </row>
    <row r="278" spans="2:10" ht="15" customHeight="1">
      <c r="B278" t="s">
        <v>970</v>
      </c>
      <c r="C278" s="2" t="str">
        <f>IFERROR(VLOOKUP(B278,'General price list'!C:BA,MATCH("PAL",'General price list'!$C$20:$BA$20,0),FALSE),"")</f>
        <v/>
      </c>
      <c r="D278" s="2">
        <f>IFERROR(VLOOKUP(B278,'General price list'!C:BA,MATCH("OBJ",'General price list'!$C$20:$BA$20,0),FALSE),"")</f>
        <v>0</v>
      </c>
      <c r="E278" s="2">
        <f t="shared" si="26"/>
        <v>0</v>
      </c>
      <c r="F278" s="2">
        <f t="shared" si="27"/>
        <v>0</v>
      </c>
      <c r="G278" s="2">
        <f t="shared" si="28"/>
        <v>0</v>
      </c>
      <c r="H278" s="2">
        <f t="shared" si="29"/>
        <v>0</v>
      </c>
      <c r="I278" s="2">
        <f t="shared" si="25"/>
        <v>0</v>
      </c>
      <c r="J278">
        <f>IFERROR(VLOOKUP(B278,'General price list'!C:BA,MATCH("CBM",'General price list'!$C$20:$BA$20,0),FALSE)*(G278*C278),0)</f>
        <v>0</v>
      </c>
    </row>
    <row r="279" spans="2:10" ht="15" customHeight="1">
      <c r="B279" t="s">
        <v>975</v>
      </c>
      <c r="C279" s="2" t="str">
        <f>IFERROR(VLOOKUP(B279,'General price list'!C:BA,MATCH("PAL",'General price list'!$C$20:$BA$20,0),FALSE),"")</f>
        <v/>
      </c>
      <c r="D279" s="2">
        <f>IFERROR(VLOOKUP(B279,'General price list'!C:BA,MATCH("OBJ",'General price list'!$C$20:$BA$20,0),FALSE),"")</f>
        <v>0</v>
      </c>
      <c r="E279" s="2">
        <f t="shared" si="26"/>
        <v>0</v>
      </c>
      <c r="F279" s="2">
        <f t="shared" si="27"/>
        <v>0</v>
      </c>
      <c r="G279" s="2">
        <f t="shared" si="28"/>
        <v>0</v>
      </c>
      <c r="H279" s="2">
        <f t="shared" si="29"/>
        <v>0</v>
      </c>
      <c r="I279" s="2">
        <f t="shared" si="25"/>
        <v>0</v>
      </c>
      <c r="J279">
        <f>IFERROR(VLOOKUP(B279,'General price list'!C:BA,MATCH("CBM",'General price list'!$C$20:$BA$20,0),FALSE)*(G279*C279),0)</f>
        <v>0</v>
      </c>
    </row>
    <row r="280" spans="2:10" ht="15" customHeight="1">
      <c r="B280" t="s">
        <v>2671</v>
      </c>
      <c r="C280" s="2" t="str">
        <f>IFERROR(VLOOKUP(B280,'General price list'!C:BA,MATCH("PAL",'General price list'!$C$20:$BA$20,0),FALSE),"")</f>
        <v/>
      </c>
      <c r="D280" s="2">
        <f>IFERROR(VLOOKUP(B280,'General price list'!C:BA,MATCH("OBJ",'General price list'!$C$20:$BA$20,0),FALSE),"")</f>
        <v>0</v>
      </c>
      <c r="E280" s="2">
        <f t="shared" si="26"/>
        <v>0</v>
      </c>
      <c r="F280" s="2">
        <f t="shared" si="27"/>
        <v>0</v>
      </c>
      <c r="G280" s="2">
        <f t="shared" si="28"/>
        <v>0</v>
      </c>
      <c r="H280" s="2">
        <f t="shared" si="29"/>
        <v>0</v>
      </c>
      <c r="I280" s="2">
        <f t="shared" si="25"/>
        <v>0</v>
      </c>
      <c r="J280">
        <f>IFERROR(VLOOKUP(B280,'General price list'!C:BA,MATCH("CBM",'General price list'!$C$20:$BA$20,0),FALSE)*(G280*C280),0)</f>
        <v>0</v>
      </c>
    </row>
    <row r="281" spans="2:10" ht="15" customHeight="1">
      <c r="B281" t="s">
        <v>2673</v>
      </c>
      <c r="C281" s="2" t="str">
        <f>IFERROR(VLOOKUP(B281,'General price list'!C:BA,MATCH("PAL",'General price list'!$C$20:$BA$20,0),FALSE),"")</f>
        <v/>
      </c>
      <c r="D281" s="2">
        <f>IFERROR(VLOOKUP(B281,'General price list'!C:BA,MATCH("OBJ",'General price list'!$C$20:$BA$20,0),FALSE),"")</f>
        <v>0</v>
      </c>
      <c r="E281" s="2">
        <f t="shared" si="26"/>
        <v>0</v>
      </c>
      <c r="F281" s="2">
        <f t="shared" si="27"/>
        <v>0</v>
      </c>
      <c r="G281" s="2">
        <f t="shared" si="28"/>
        <v>0</v>
      </c>
      <c r="H281" s="2">
        <f t="shared" si="29"/>
        <v>0</v>
      </c>
      <c r="I281" s="2">
        <f t="shared" si="25"/>
        <v>0</v>
      </c>
      <c r="J281">
        <f>IFERROR(VLOOKUP(B281,'General price list'!C:BA,MATCH("CBM",'General price list'!$C$20:$BA$20,0),FALSE)*(G281*C281),0)</f>
        <v>0</v>
      </c>
    </row>
    <row r="282" spans="2:10" ht="15" customHeight="1">
      <c r="B282" t="s">
        <v>2675</v>
      </c>
      <c r="C282" s="2" t="str">
        <f>IFERROR(VLOOKUP(B282,'General price list'!C:BA,MATCH("PAL",'General price list'!$C$20:$BA$20,0),FALSE),"")</f>
        <v/>
      </c>
      <c r="D282" s="2">
        <f>IFERROR(VLOOKUP(B282,'General price list'!C:BA,MATCH("OBJ",'General price list'!$C$20:$BA$20,0),FALSE),"")</f>
        <v>0</v>
      </c>
      <c r="E282" s="2">
        <f t="shared" si="26"/>
        <v>0</v>
      </c>
      <c r="F282" s="2">
        <f t="shared" si="27"/>
        <v>0</v>
      </c>
      <c r="G282" s="2">
        <f t="shared" si="28"/>
        <v>0</v>
      </c>
      <c r="H282" s="2">
        <f t="shared" si="29"/>
        <v>0</v>
      </c>
      <c r="I282" s="2">
        <f t="shared" si="25"/>
        <v>0</v>
      </c>
      <c r="J282">
        <f>IFERROR(VLOOKUP(B282,'General price list'!C:BA,MATCH("CBM",'General price list'!$C$20:$BA$20,0),FALSE)*(G282*C282),0)</f>
        <v>0</v>
      </c>
    </row>
    <row r="283" spans="2:10" ht="15" customHeight="1">
      <c r="B283" t="s">
        <v>2677</v>
      </c>
      <c r="C283" s="2" t="str">
        <f>IFERROR(VLOOKUP(B283,'General price list'!C:BA,MATCH("PAL",'General price list'!$C$20:$BA$20,0),FALSE),"")</f>
        <v/>
      </c>
      <c r="D283" s="2">
        <f>IFERROR(VLOOKUP(B283,'General price list'!C:BA,MATCH("OBJ",'General price list'!$C$20:$BA$20,0),FALSE),"")</f>
        <v>0</v>
      </c>
      <c r="E283" s="2">
        <f t="shared" si="26"/>
        <v>0</v>
      </c>
      <c r="F283" s="2">
        <f t="shared" si="27"/>
        <v>0</v>
      </c>
      <c r="G283" s="2">
        <f t="shared" si="28"/>
        <v>0</v>
      </c>
      <c r="H283" s="2">
        <f t="shared" si="29"/>
        <v>0</v>
      </c>
      <c r="I283" s="2">
        <f t="shared" si="25"/>
        <v>0</v>
      </c>
      <c r="J283">
        <f>IFERROR(VLOOKUP(B283,'General price list'!C:BA,MATCH("CBM",'General price list'!$C$20:$BA$20,0),FALSE)*(G283*C283),0)</f>
        <v>0</v>
      </c>
    </row>
    <row r="284" spans="2:10" ht="15" customHeight="1">
      <c r="B284" t="s">
        <v>2679</v>
      </c>
      <c r="C284" s="2" t="str">
        <f>IFERROR(VLOOKUP(B284,'General price list'!C:BA,MATCH("PAL",'General price list'!$C$20:$BA$20,0),FALSE),"")</f>
        <v/>
      </c>
      <c r="D284" s="2">
        <f>IFERROR(VLOOKUP(B284,'General price list'!C:BA,MATCH("OBJ",'General price list'!$C$20:$BA$20,0),FALSE),"")</f>
        <v>0</v>
      </c>
      <c r="E284" s="2">
        <f t="shared" si="26"/>
        <v>0</v>
      </c>
      <c r="F284" s="2">
        <f t="shared" si="27"/>
        <v>0</v>
      </c>
      <c r="G284" s="2">
        <f t="shared" si="28"/>
        <v>0</v>
      </c>
      <c r="H284" s="2">
        <f t="shared" si="29"/>
        <v>0</v>
      </c>
      <c r="I284" s="2">
        <f t="shared" si="25"/>
        <v>0</v>
      </c>
      <c r="J284">
        <f>IFERROR(VLOOKUP(B284,'General price list'!C:BA,MATCH("CBM",'General price list'!$C$20:$BA$20,0),FALSE)*(G284*C284),0)</f>
        <v>0</v>
      </c>
    </row>
    <row r="285" spans="2:10" ht="15" customHeight="1">
      <c r="B285" t="s">
        <v>2681</v>
      </c>
      <c r="C285" s="2" t="str">
        <f>IFERROR(VLOOKUP(B285,'General price list'!C:BA,MATCH("PAL",'General price list'!$C$20:$BA$20,0),FALSE),"")</f>
        <v/>
      </c>
      <c r="D285" s="2">
        <f>IFERROR(VLOOKUP(B285,'General price list'!C:BA,MATCH("OBJ",'General price list'!$C$20:$BA$20,0),FALSE),"")</f>
        <v>0</v>
      </c>
      <c r="E285" s="2">
        <f t="shared" si="26"/>
        <v>0</v>
      </c>
      <c r="F285" s="2">
        <f t="shared" si="27"/>
        <v>0</v>
      </c>
      <c r="G285" s="2">
        <f t="shared" si="28"/>
        <v>0</v>
      </c>
      <c r="H285" s="2">
        <f t="shared" si="29"/>
        <v>0</v>
      </c>
      <c r="I285" s="2">
        <f t="shared" si="25"/>
        <v>0</v>
      </c>
      <c r="J285">
        <f>IFERROR(VLOOKUP(B285,'General price list'!C:BA,MATCH("CBM",'General price list'!$C$20:$BA$20,0),FALSE)*(G285*C285),0)</f>
        <v>0</v>
      </c>
    </row>
    <row r="286" spans="2:10" ht="15" customHeight="1">
      <c r="B286" t="s">
        <v>2683</v>
      </c>
      <c r="C286" s="2" t="str">
        <f>IFERROR(VLOOKUP(B286,'General price list'!C:BA,MATCH("PAL",'General price list'!$C$20:$BA$20,0),FALSE),"")</f>
        <v/>
      </c>
      <c r="D286" s="2">
        <f>IFERROR(VLOOKUP(B286,'General price list'!C:BA,MATCH("OBJ",'General price list'!$C$20:$BA$20,0),FALSE),"")</f>
        <v>0</v>
      </c>
      <c r="E286" s="2">
        <f t="shared" si="26"/>
        <v>0</v>
      </c>
      <c r="F286" s="2">
        <f t="shared" si="27"/>
        <v>0</v>
      </c>
      <c r="G286" s="2">
        <f t="shared" si="28"/>
        <v>0</v>
      </c>
      <c r="H286" s="2">
        <f t="shared" si="29"/>
        <v>0</v>
      </c>
      <c r="I286" s="2">
        <f t="shared" si="25"/>
        <v>0</v>
      </c>
      <c r="J286">
        <f>IFERROR(VLOOKUP(B286,'General price list'!C:BA,MATCH("CBM",'General price list'!$C$20:$BA$20,0),FALSE)*(G286*C286),0)</f>
        <v>0</v>
      </c>
    </row>
    <row r="287" spans="2:10" ht="15" customHeight="1">
      <c r="B287" t="s">
        <v>2685</v>
      </c>
      <c r="C287" s="2" t="str">
        <f>IFERROR(VLOOKUP(B287,'General price list'!C:BA,MATCH("PAL",'General price list'!$C$20:$BA$20,0),FALSE),"")</f>
        <v/>
      </c>
      <c r="D287" s="2">
        <f>IFERROR(VLOOKUP(B287,'General price list'!C:BA,MATCH("OBJ",'General price list'!$C$20:$BA$20,0),FALSE),"")</f>
        <v>0</v>
      </c>
      <c r="E287" s="2">
        <f t="shared" si="26"/>
        <v>0</v>
      </c>
      <c r="F287" s="2">
        <f t="shared" si="27"/>
        <v>0</v>
      </c>
      <c r="G287" s="2">
        <f t="shared" si="28"/>
        <v>0</v>
      </c>
      <c r="H287" s="2">
        <f t="shared" si="29"/>
        <v>0</v>
      </c>
      <c r="I287" s="2">
        <f t="shared" si="25"/>
        <v>0</v>
      </c>
      <c r="J287">
        <f>IFERROR(VLOOKUP(B287,'General price list'!C:BA,MATCH("CBM",'General price list'!$C$20:$BA$20,0),FALSE)*(G287*C287),0)</f>
        <v>0</v>
      </c>
    </row>
    <row r="288" spans="2:10" ht="15" customHeight="1">
      <c r="B288" t="s">
        <v>2687</v>
      </c>
      <c r="C288" s="2" t="str">
        <f>IFERROR(VLOOKUP(B288,'General price list'!C:BA,MATCH("PAL",'General price list'!$C$20:$BA$20,0),FALSE),"")</f>
        <v/>
      </c>
      <c r="D288" s="2">
        <f>IFERROR(VLOOKUP(B288,'General price list'!C:BA,MATCH("OBJ",'General price list'!$C$20:$BA$20,0),FALSE),"")</f>
        <v>0</v>
      </c>
      <c r="E288" s="2">
        <f t="shared" si="26"/>
        <v>0</v>
      </c>
      <c r="F288" s="2">
        <f t="shared" si="27"/>
        <v>0</v>
      </c>
      <c r="G288" s="2">
        <f t="shared" si="28"/>
        <v>0</v>
      </c>
      <c r="H288" s="2">
        <f t="shared" si="29"/>
        <v>0</v>
      </c>
      <c r="I288" s="2">
        <f t="shared" si="25"/>
        <v>0</v>
      </c>
      <c r="J288">
        <f>IFERROR(VLOOKUP(B288,'General price list'!C:BA,MATCH("CBM",'General price list'!$C$20:$BA$20,0),FALSE)*(G288*C288),0)</f>
        <v>0</v>
      </c>
    </row>
    <row r="289" spans="2:10" ht="15" customHeight="1">
      <c r="B289" t="s">
        <v>2689</v>
      </c>
      <c r="C289" s="2" t="str">
        <f>IFERROR(VLOOKUP(B289,'General price list'!C:BA,MATCH("PAL",'General price list'!$C$20:$BA$20,0),FALSE),"")</f>
        <v/>
      </c>
      <c r="D289" s="2">
        <f>IFERROR(VLOOKUP(B289,'General price list'!C:BA,MATCH("OBJ",'General price list'!$C$20:$BA$20,0),FALSE),"")</f>
        <v>0</v>
      </c>
      <c r="E289" s="2">
        <f t="shared" si="26"/>
        <v>0</v>
      </c>
      <c r="F289" s="2">
        <f t="shared" si="27"/>
        <v>0</v>
      </c>
      <c r="G289" s="2">
        <f t="shared" si="28"/>
        <v>0</v>
      </c>
      <c r="H289" s="2">
        <f t="shared" si="29"/>
        <v>0</v>
      </c>
      <c r="I289" s="2">
        <f t="shared" si="25"/>
        <v>0</v>
      </c>
      <c r="J289">
        <f>IFERROR(VLOOKUP(B289,'General price list'!C:BA,MATCH("CBM",'General price list'!$C$20:$BA$20,0),FALSE)*(G289*C289),0)</f>
        <v>0</v>
      </c>
    </row>
    <row r="290" spans="2:10" ht="15" customHeight="1">
      <c r="B290" t="s">
        <v>2691</v>
      </c>
      <c r="C290" s="2" t="str">
        <f>IFERROR(VLOOKUP(B290,'General price list'!C:BA,MATCH("PAL",'General price list'!$C$20:$BA$20,0),FALSE),"")</f>
        <v/>
      </c>
      <c r="D290" s="2">
        <f>IFERROR(VLOOKUP(B290,'General price list'!C:BA,MATCH("OBJ",'General price list'!$C$20:$BA$20,0),FALSE),"")</f>
        <v>0</v>
      </c>
      <c r="E290" s="2">
        <f t="shared" si="26"/>
        <v>0</v>
      </c>
      <c r="F290" s="2">
        <f t="shared" si="27"/>
        <v>0</v>
      </c>
      <c r="G290" s="2">
        <f t="shared" si="28"/>
        <v>0</v>
      </c>
      <c r="H290" s="2">
        <f t="shared" si="29"/>
        <v>0</v>
      </c>
      <c r="I290" s="2">
        <f t="shared" si="25"/>
        <v>0</v>
      </c>
      <c r="J290">
        <f>IFERROR(VLOOKUP(B290,'General price list'!C:BA,MATCH("CBM",'General price list'!$C$20:$BA$20,0),FALSE)*(G290*C290),0)</f>
        <v>0</v>
      </c>
    </row>
    <row r="291" spans="2:10" ht="15" customHeight="1">
      <c r="B291" t="s">
        <v>2693</v>
      </c>
      <c r="C291" s="2" t="str">
        <f>IFERROR(VLOOKUP(B291,'General price list'!C:BA,MATCH("PAL",'General price list'!$C$20:$BA$20,0),FALSE),"")</f>
        <v/>
      </c>
      <c r="D291" s="2">
        <f>IFERROR(VLOOKUP(B291,'General price list'!C:BA,MATCH("OBJ",'General price list'!$C$20:$BA$20,0),FALSE),"")</f>
        <v>0</v>
      </c>
      <c r="E291" s="2">
        <f t="shared" si="26"/>
        <v>0</v>
      </c>
      <c r="F291" s="2">
        <f t="shared" si="27"/>
        <v>0</v>
      </c>
      <c r="G291" s="2">
        <f t="shared" si="28"/>
        <v>0</v>
      </c>
      <c r="H291" s="2">
        <f t="shared" si="29"/>
        <v>0</v>
      </c>
      <c r="I291" s="2">
        <f t="shared" si="25"/>
        <v>0</v>
      </c>
      <c r="J291">
        <f>IFERROR(VLOOKUP(B291,'General price list'!C:BA,MATCH("CBM",'General price list'!$C$20:$BA$20,0),FALSE)*(G291*C291),0)</f>
        <v>0</v>
      </c>
    </row>
    <row r="292" spans="2:10" ht="15" customHeight="1">
      <c r="B292" t="s">
        <v>2695</v>
      </c>
      <c r="C292" s="2" t="str">
        <f>IFERROR(VLOOKUP(B292,'General price list'!C:BA,MATCH("PAL",'General price list'!$C$20:$BA$20,0),FALSE),"")</f>
        <v/>
      </c>
      <c r="D292" s="2">
        <f>IFERROR(VLOOKUP(B292,'General price list'!C:BA,MATCH("OBJ",'General price list'!$C$20:$BA$20,0),FALSE),"")</f>
        <v>0</v>
      </c>
      <c r="E292" s="2">
        <f t="shared" si="26"/>
        <v>0</v>
      </c>
      <c r="F292" s="2">
        <f t="shared" si="27"/>
        <v>0</v>
      </c>
      <c r="G292" s="2">
        <f t="shared" si="28"/>
        <v>0</v>
      </c>
      <c r="H292" s="2">
        <f t="shared" si="29"/>
        <v>0</v>
      </c>
      <c r="I292" s="2">
        <f t="shared" si="25"/>
        <v>0</v>
      </c>
      <c r="J292">
        <f>IFERROR(VLOOKUP(B292,'General price list'!C:BA,MATCH("CBM",'General price list'!$C$20:$BA$20,0),FALSE)*(G292*C292),0)</f>
        <v>0</v>
      </c>
    </row>
    <row r="293" spans="2:10" ht="15" customHeight="1">
      <c r="B293" t="s">
        <v>2697</v>
      </c>
      <c r="C293" s="2" t="str">
        <f>IFERROR(VLOOKUP(B293,'General price list'!C:BA,MATCH("PAL",'General price list'!$C$20:$BA$20,0),FALSE),"")</f>
        <v/>
      </c>
      <c r="D293" s="2">
        <f>IFERROR(VLOOKUP(B293,'General price list'!C:BA,MATCH("OBJ",'General price list'!$C$20:$BA$20,0),FALSE),"")</f>
        <v>0</v>
      </c>
      <c r="E293" s="2">
        <f t="shared" si="26"/>
        <v>0</v>
      </c>
      <c r="F293" s="2">
        <f t="shared" si="27"/>
        <v>0</v>
      </c>
      <c r="G293" s="2">
        <f t="shared" si="28"/>
        <v>0</v>
      </c>
      <c r="H293" s="2">
        <f t="shared" si="29"/>
        <v>0</v>
      </c>
      <c r="I293" s="2">
        <f t="shared" si="25"/>
        <v>0</v>
      </c>
      <c r="J293">
        <f>IFERROR(VLOOKUP(B293,'General price list'!C:BA,MATCH("CBM",'General price list'!$C$20:$BA$20,0),FALSE)*(G293*C293),0)</f>
        <v>0</v>
      </c>
    </row>
    <row r="294" spans="2:10" ht="15" customHeight="1">
      <c r="B294" t="s">
        <v>2699</v>
      </c>
      <c r="C294" s="2" t="str">
        <f>IFERROR(VLOOKUP(B294,'General price list'!C:BA,MATCH("PAL",'General price list'!$C$20:$BA$20,0),FALSE),"")</f>
        <v/>
      </c>
      <c r="D294" s="2">
        <f>IFERROR(VLOOKUP(B294,'General price list'!C:BA,MATCH("OBJ",'General price list'!$C$20:$BA$20,0),FALSE),"")</f>
        <v>0</v>
      </c>
      <c r="E294" s="2">
        <f t="shared" si="26"/>
        <v>0</v>
      </c>
      <c r="F294" s="2">
        <f t="shared" si="27"/>
        <v>0</v>
      </c>
      <c r="G294" s="2">
        <f t="shared" si="28"/>
        <v>0</v>
      </c>
      <c r="H294" s="2">
        <f t="shared" si="29"/>
        <v>0</v>
      </c>
      <c r="I294" s="2">
        <f t="shared" si="25"/>
        <v>0</v>
      </c>
      <c r="J294">
        <f>IFERROR(VLOOKUP(B294,'General price list'!C:BA,MATCH("CBM",'General price list'!$C$20:$BA$20,0),FALSE)*(G294*C294),0)</f>
        <v>0</v>
      </c>
    </row>
    <row r="295" spans="2:10" ht="15" customHeight="1">
      <c r="B295" t="s">
        <v>2701</v>
      </c>
      <c r="C295" s="2" t="str">
        <f>IFERROR(VLOOKUP(B295,'General price list'!C:BA,MATCH("PAL",'General price list'!$C$20:$BA$20,0),FALSE),"")</f>
        <v/>
      </c>
      <c r="D295" s="2">
        <f>IFERROR(VLOOKUP(B295,'General price list'!C:BA,MATCH("OBJ",'General price list'!$C$20:$BA$20,0),FALSE),"")</f>
        <v>0</v>
      </c>
      <c r="E295" s="2">
        <f t="shared" si="26"/>
        <v>0</v>
      </c>
      <c r="F295" s="2">
        <f t="shared" si="27"/>
        <v>0</v>
      </c>
      <c r="G295" s="2">
        <f t="shared" si="28"/>
        <v>0</v>
      </c>
      <c r="H295" s="2">
        <f t="shared" si="29"/>
        <v>0</v>
      </c>
      <c r="I295" s="2">
        <f t="shared" si="25"/>
        <v>0</v>
      </c>
      <c r="J295">
        <f>IFERROR(VLOOKUP(B295,'General price list'!C:BA,MATCH("CBM",'General price list'!$C$20:$BA$20,0),FALSE)*(G295*C295),0)</f>
        <v>0</v>
      </c>
    </row>
    <row r="296" spans="2:10" ht="15" customHeight="1">
      <c r="B296" t="s">
        <v>2703</v>
      </c>
      <c r="C296" s="2" t="str">
        <f>IFERROR(VLOOKUP(B296,'General price list'!C:BA,MATCH("PAL",'General price list'!$C$20:$BA$20,0),FALSE),"")</f>
        <v/>
      </c>
      <c r="D296" s="2">
        <f>IFERROR(VLOOKUP(B296,'General price list'!C:BA,MATCH("OBJ",'General price list'!$C$20:$BA$20,0),FALSE),"")</f>
        <v>0</v>
      </c>
      <c r="E296" s="2">
        <f t="shared" si="26"/>
        <v>0</v>
      </c>
      <c r="F296" s="2">
        <f t="shared" si="27"/>
        <v>0</v>
      </c>
      <c r="G296" s="2">
        <f t="shared" si="28"/>
        <v>0</v>
      </c>
      <c r="H296" s="2">
        <f t="shared" si="29"/>
        <v>0</v>
      </c>
      <c r="I296" s="2">
        <f t="shared" si="25"/>
        <v>0</v>
      </c>
      <c r="J296">
        <f>IFERROR(VLOOKUP(B296,'General price list'!C:BA,MATCH("CBM",'General price list'!$C$20:$BA$20,0),FALSE)*(G296*C296),0)</f>
        <v>0</v>
      </c>
    </row>
    <row r="297" spans="2:10" ht="15" customHeight="1">
      <c r="B297" t="s">
        <v>2705</v>
      </c>
      <c r="C297" s="2" t="str">
        <f>IFERROR(VLOOKUP(B297,'General price list'!C:BA,MATCH("PAL",'General price list'!$C$20:$BA$20,0),FALSE),"")</f>
        <v/>
      </c>
      <c r="D297" s="2">
        <f>IFERROR(VLOOKUP(B297,'General price list'!C:BA,MATCH("OBJ",'General price list'!$C$20:$BA$20,0),FALSE),"")</f>
        <v>0</v>
      </c>
      <c r="E297" s="2">
        <f t="shared" si="26"/>
        <v>0</v>
      </c>
      <c r="F297" s="2">
        <f t="shared" si="27"/>
        <v>0</v>
      </c>
      <c r="G297" s="2">
        <f t="shared" si="28"/>
        <v>0</v>
      </c>
      <c r="H297" s="2">
        <f t="shared" si="29"/>
        <v>0</v>
      </c>
      <c r="I297" s="2">
        <f t="shared" si="25"/>
        <v>0</v>
      </c>
      <c r="J297">
        <f>IFERROR(VLOOKUP(B297,'General price list'!C:BA,MATCH("CBM",'General price list'!$C$20:$BA$20,0),FALSE)*(G297*C297),0)</f>
        <v>0</v>
      </c>
    </row>
    <row r="298" spans="2:10" ht="15" customHeight="1">
      <c r="B298" t="s">
        <v>2707</v>
      </c>
      <c r="C298" s="2" t="str">
        <f>IFERROR(VLOOKUP(B298,'General price list'!C:BA,MATCH("PAL",'General price list'!$C$20:$BA$20,0),FALSE),"")</f>
        <v/>
      </c>
      <c r="D298" s="2">
        <f>IFERROR(VLOOKUP(B298,'General price list'!C:BA,MATCH("OBJ",'General price list'!$C$20:$BA$20,0),FALSE),"")</f>
        <v>0</v>
      </c>
      <c r="E298" s="2">
        <f t="shared" si="26"/>
        <v>0</v>
      </c>
      <c r="F298" s="2">
        <f t="shared" si="27"/>
        <v>0</v>
      </c>
      <c r="G298" s="2">
        <f t="shared" si="28"/>
        <v>0</v>
      </c>
      <c r="H298" s="2">
        <f t="shared" si="29"/>
        <v>0</v>
      </c>
      <c r="I298" s="2">
        <f t="shared" si="25"/>
        <v>0</v>
      </c>
      <c r="J298">
        <f>IFERROR(VLOOKUP(B298,'General price list'!C:BA,MATCH("CBM",'General price list'!$C$20:$BA$20,0),FALSE)*(G298*C298),0)</f>
        <v>0</v>
      </c>
    </row>
    <row r="299" spans="2:10" ht="15" customHeight="1">
      <c r="B299" t="s">
        <v>2709</v>
      </c>
      <c r="C299" s="2" t="str">
        <f>IFERROR(VLOOKUP(B299,'General price list'!C:BA,MATCH("PAL",'General price list'!$C$20:$BA$20,0),FALSE),"")</f>
        <v/>
      </c>
      <c r="D299" s="2">
        <f>IFERROR(VLOOKUP(B299,'General price list'!C:BA,MATCH("OBJ",'General price list'!$C$20:$BA$20,0),FALSE),"")</f>
        <v>0</v>
      </c>
      <c r="E299" s="2">
        <f t="shared" si="26"/>
        <v>0</v>
      </c>
      <c r="F299" s="2">
        <f t="shared" si="27"/>
        <v>0</v>
      </c>
      <c r="G299" s="2">
        <f t="shared" si="28"/>
        <v>0</v>
      </c>
      <c r="H299" s="2">
        <f t="shared" si="29"/>
        <v>0</v>
      </c>
      <c r="I299" s="2">
        <f t="shared" si="25"/>
        <v>0</v>
      </c>
      <c r="J299">
        <f>IFERROR(VLOOKUP(B299,'General price list'!C:BA,MATCH("CBM",'General price list'!$C$20:$BA$20,0),FALSE)*(G299*C299),0)</f>
        <v>0</v>
      </c>
    </row>
    <row r="300" spans="2:10" ht="15" customHeight="1">
      <c r="B300" t="s">
        <v>14057</v>
      </c>
      <c r="C300" s="2" t="str">
        <f>IFERROR(VLOOKUP(B300,'General price list'!C:BA,MATCH("PAL",'General price list'!$C$20:$BA$20,0),FALSE),"")</f>
        <v/>
      </c>
      <c r="D300" s="2">
        <f>IFERROR(VLOOKUP(B300,'General price list'!C:BA,MATCH("OBJ",'General price list'!$C$20:$BA$20,0),FALSE),"")</f>
        <v>0</v>
      </c>
      <c r="E300" s="2">
        <f t="shared" si="26"/>
        <v>0</v>
      </c>
      <c r="F300" s="2">
        <f t="shared" si="27"/>
        <v>0</v>
      </c>
      <c r="G300" s="2">
        <f t="shared" si="28"/>
        <v>0</v>
      </c>
      <c r="H300" s="2">
        <f t="shared" si="29"/>
        <v>0</v>
      </c>
      <c r="I300" s="2">
        <f t="shared" si="25"/>
        <v>0</v>
      </c>
      <c r="J300">
        <f>IFERROR(VLOOKUP(B300,'General price list'!C:BA,MATCH("CBM",'General price list'!$C$20:$BA$20,0),FALSE)*(G300*C300),0)</f>
        <v>0</v>
      </c>
    </row>
    <row r="301" spans="2:10" ht="15" customHeight="1">
      <c r="B301" t="s">
        <v>14059</v>
      </c>
      <c r="C301" s="2" t="str">
        <f>IFERROR(VLOOKUP(B301,'General price list'!C:BA,MATCH("PAL",'General price list'!$C$20:$BA$20,0),FALSE),"")</f>
        <v/>
      </c>
      <c r="D301" s="2">
        <f>IFERROR(VLOOKUP(B301,'General price list'!C:BA,MATCH("OBJ",'General price list'!$C$20:$BA$20,0),FALSE),"")</f>
        <v>0</v>
      </c>
      <c r="E301" s="2">
        <f t="shared" si="26"/>
        <v>0</v>
      </c>
      <c r="F301" s="2">
        <f t="shared" si="27"/>
        <v>0</v>
      </c>
      <c r="G301" s="2">
        <f t="shared" si="28"/>
        <v>0</v>
      </c>
      <c r="H301" s="2">
        <f t="shared" si="29"/>
        <v>0</v>
      </c>
      <c r="I301" s="2">
        <f t="shared" si="25"/>
        <v>0</v>
      </c>
      <c r="J301">
        <f>IFERROR(VLOOKUP(B301,'General price list'!C:BA,MATCH("CBM",'General price list'!$C$20:$BA$20,0),FALSE)*(G301*C301),0)</f>
        <v>0</v>
      </c>
    </row>
    <row r="302" spans="2:10" ht="15" customHeight="1">
      <c r="B302" t="s">
        <v>14061</v>
      </c>
      <c r="C302" s="2" t="str">
        <f>IFERROR(VLOOKUP(B302,'General price list'!C:BA,MATCH("PAL",'General price list'!$C$20:$BA$20,0),FALSE),"")</f>
        <v/>
      </c>
      <c r="D302" s="2">
        <f>IFERROR(VLOOKUP(B302,'General price list'!C:BA,MATCH("OBJ",'General price list'!$C$20:$BA$20,0),FALSE),"")</f>
        <v>0</v>
      </c>
      <c r="E302" s="2">
        <f t="shared" si="26"/>
        <v>0</v>
      </c>
      <c r="F302" s="2">
        <f t="shared" si="27"/>
        <v>0</v>
      </c>
      <c r="G302" s="2">
        <f t="shared" si="28"/>
        <v>0</v>
      </c>
      <c r="H302" s="2">
        <f t="shared" si="29"/>
        <v>0</v>
      </c>
      <c r="I302" s="2">
        <f t="shared" si="25"/>
        <v>0</v>
      </c>
      <c r="J302">
        <f>IFERROR(VLOOKUP(B302,'General price list'!C:BA,MATCH("CBM",'General price list'!$C$20:$BA$20,0),FALSE)*(G302*C302),0)</f>
        <v>0</v>
      </c>
    </row>
    <row r="303" spans="2:10" ht="15" customHeight="1">
      <c r="B303" t="s">
        <v>14063</v>
      </c>
      <c r="C303" s="2" t="str">
        <f>IFERROR(VLOOKUP(B303,'General price list'!C:BA,MATCH("PAL",'General price list'!$C$20:$BA$20,0),FALSE),"")</f>
        <v/>
      </c>
      <c r="D303" s="2">
        <f>IFERROR(VLOOKUP(B303,'General price list'!C:BA,MATCH("OBJ",'General price list'!$C$20:$BA$20,0),FALSE),"")</f>
        <v>0</v>
      </c>
      <c r="E303" s="2">
        <f t="shared" si="26"/>
        <v>0</v>
      </c>
      <c r="F303" s="2">
        <f t="shared" si="27"/>
        <v>0</v>
      </c>
      <c r="G303" s="2">
        <f t="shared" si="28"/>
        <v>0</v>
      </c>
      <c r="H303" s="2">
        <f t="shared" si="29"/>
        <v>0</v>
      </c>
      <c r="I303" s="2">
        <f t="shared" si="25"/>
        <v>0</v>
      </c>
      <c r="J303">
        <f>IFERROR(VLOOKUP(B303,'General price list'!C:BA,MATCH("CBM",'General price list'!$C$20:$BA$20,0),FALSE)*(G303*C303),0)</f>
        <v>0</v>
      </c>
    </row>
    <row r="304" spans="2:10" ht="15" customHeight="1">
      <c r="B304" t="s">
        <v>2711</v>
      </c>
      <c r="C304" s="2" t="str">
        <f>IFERROR(VLOOKUP(B304,'General price list'!C:BA,MATCH("PAL",'General price list'!$C$20:$BA$20,0),FALSE),"")</f>
        <v/>
      </c>
      <c r="D304" s="2">
        <f>IFERROR(VLOOKUP(B304,'General price list'!C:BA,MATCH("OBJ",'General price list'!$C$20:$BA$20,0),FALSE),"")</f>
        <v>0</v>
      </c>
      <c r="E304" s="2">
        <f t="shared" si="26"/>
        <v>0</v>
      </c>
      <c r="F304" s="2">
        <f t="shared" si="27"/>
        <v>0</v>
      </c>
      <c r="G304" s="2">
        <f t="shared" si="28"/>
        <v>0</v>
      </c>
      <c r="H304" s="2">
        <f t="shared" si="29"/>
        <v>0</v>
      </c>
      <c r="I304" s="2">
        <f t="shared" si="25"/>
        <v>0</v>
      </c>
      <c r="J304">
        <f>IFERROR(VLOOKUP(B304,'General price list'!C:BA,MATCH("CBM",'General price list'!$C$20:$BA$20,0),FALSE)*(G304*C304),0)</f>
        <v>0</v>
      </c>
    </row>
    <row r="305" spans="2:10" ht="15" customHeight="1">
      <c r="B305" t="s">
        <v>2713</v>
      </c>
      <c r="C305" s="2" t="str">
        <f>IFERROR(VLOOKUP(B305,'General price list'!C:BA,MATCH("PAL",'General price list'!$C$20:$BA$20,0),FALSE),"")</f>
        <v/>
      </c>
      <c r="D305" s="2">
        <f>IFERROR(VLOOKUP(B305,'General price list'!C:BA,MATCH("OBJ",'General price list'!$C$20:$BA$20,0),FALSE),"")</f>
        <v>0</v>
      </c>
      <c r="E305" s="2">
        <f t="shared" si="26"/>
        <v>0</v>
      </c>
      <c r="F305" s="2">
        <f t="shared" si="27"/>
        <v>0</v>
      </c>
      <c r="G305" s="2">
        <f t="shared" si="28"/>
        <v>0</v>
      </c>
      <c r="H305" s="2">
        <f t="shared" si="29"/>
        <v>0</v>
      </c>
      <c r="I305" s="2">
        <f t="shared" si="25"/>
        <v>0</v>
      </c>
      <c r="J305">
        <f>IFERROR(VLOOKUP(B305,'General price list'!C:BA,MATCH("CBM",'General price list'!$C$20:$BA$20,0),FALSE)*(G305*C305),0)</f>
        <v>0</v>
      </c>
    </row>
    <row r="306" spans="2:10" ht="15" customHeight="1">
      <c r="B306" t="s">
        <v>984</v>
      </c>
      <c r="C306" s="2" t="str">
        <f>IFERROR(VLOOKUP(B306,'General price list'!C:BA,MATCH("PAL",'General price list'!$C$20:$BA$20,0),FALSE),"")</f>
        <v>120</v>
      </c>
      <c r="D306" s="2">
        <f>IFERROR(VLOOKUP(B306,'General price list'!C:BA,MATCH("OBJ",'General price list'!$C$20:$BA$20,0),FALSE),"")</f>
        <v>0</v>
      </c>
      <c r="E306" s="2">
        <f t="shared" si="26"/>
        <v>0</v>
      </c>
      <c r="F306" s="2">
        <f t="shared" si="27"/>
        <v>0</v>
      </c>
      <c r="G306" s="2">
        <f t="shared" si="28"/>
        <v>0</v>
      </c>
      <c r="H306" s="2">
        <f t="shared" si="29"/>
        <v>0</v>
      </c>
      <c r="I306" s="2">
        <f t="shared" si="25"/>
        <v>0</v>
      </c>
      <c r="J306">
        <f>IFERROR(VLOOKUP(B306,'General price list'!C:BA,MATCH("CBM",'General price list'!$C$20:$BA$20,0),FALSE)*(G306*C306),0)</f>
        <v>0</v>
      </c>
    </row>
    <row r="307" spans="2:10" ht="15" customHeight="1">
      <c r="B307" t="s">
        <v>997</v>
      </c>
      <c r="C307" s="2" t="str">
        <f>IFERROR(VLOOKUP(B307,'General price list'!C:BA,MATCH("PAL",'General price list'!$C$20:$BA$20,0),FALSE),"")</f>
        <v/>
      </c>
      <c r="D307" s="2">
        <f>IFERROR(VLOOKUP(B307,'General price list'!C:BA,MATCH("OBJ",'General price list'!$C$20:$BA$20,0),FALSE),"")</f>
        <v>0</v>
      </c>
      <c r="E307" s="2">
        <f t="shared" si="26"/>
        <v>0</v>
      </c>
      <c r="F307" s="2">
        <f t="shared" si="27"/>
        <v>0</v>
      </c>
      <c r="G307" s="2">
        <f t="shared" si="28"/>
        <v>0</v>
      </c>
      <c r="H307" s="2">
        <f t="shared" si="29"/>
        <v>0</v>
      </c>
      <c r="I307" s="2">
        <f t="shared" si="25"/>
        <v>0</v>
      </c>
      <c r="J307">
        <f>IFERROR(VLOOKUP(B307,'General price list'!C:BA,MATCH("CBM",'General price list'!$C$20:$BA$20,0),FALSE)*(G307*C307),0)</f>
        <v>0</v>
      </c>
    </row>
    <row r="308" spans="2:10" ht="15" customHeight="1">
      <c r="B308" t="s">
        <v>13778</v>
      </c>
      <c r="C308" s="2" t="str">
        <f>IFERROR(VLOOKUP(B308,'General price list'!C:BA,MATCH("PAL",'General price list'!$C$20:$BA$20,0),FALSE),"")</f>
        <v/>
      </c>
      <c r="D308" s="2">
        <f>IFERROR(VLOOKUP(B308,'General price list'!C:BA,MATCH("OBJ",'General price list'!$C$20:$BA$20,0),FALSE),"")</f>
        <v>0</v>
      </c>
      <c r="E308" s="2">
        <f t="shared" si="26"/>
        <v>0</v>
      </c>
      <c r="F308" s="2">
        <f t="shared" si="27"/>
        <v>0</v>
      </c>
      <c r="G308" s="2">
        <f t="shared" si="28"/>
        <v>0</v>
      </c>
      <c r="H308" s="2">
        <f t="shared" si="29"/>
        <v>0</v>
      </c>
      <c r="I308" s="2">
        <f t="shared" si="25"/>
        <v>0</v>
      </c>
      <c r="J308">
        <f>IFERROR(VLOOKUP(B308,'General price list'!C:BA,MATCH("CBM",'General price list'!$C$20:$BA$20,0),FALSE)*(G308*C308),0)</f>
        <v>0</v>
      </c>
    </row>
    <row r="309" spans="2:10" ht="15" customHeight="1">
      <c r="B309" t="s">
        <v>1021</v>
      </c>
      <c r="C309" s="2" t="str">
        <f>IFERROR(VLOOKUP(B309,'General price list'!C:BA,MATCH("PAL",'General price list'!$C$20:$BA$20,0),FALSE),"")</f>
        <v/>
      </c>
      <c r="D309" s="2">
        <f>IFERROR(VLOOKUP(B309,'General price list'!C:BA,MATCH("OBJ",'General price list'!$C$20:$BA$20,0),FALSE),"")</f>
        <v>0</v>
      </c>
      <c r="E309" s="2">
        <f t="shared" si="26"/>
        <v>0</v>
      </c>
      <c r="F309" s="2">
        <f t="shared" si="27"/>
        <v>0</v>
      </c>
      <c r="G309" s="2">
        <f t="shared" si="28"/>
        <v>0</v>
      </c>
      <c r="H309" s="2">
        <f t="shared" si="29"/>
        <v>0</v>
      </c>
      <c r="I309" s="2">
        <f t="shared" si="25"/>
        <v>0</v>
      </c>
      <c r="J309">
        <f>IFERROR(VLOOKUP(B309,'General price list'!C:BA,MATCH("CBM",'General price list'!$C$20:$BA$20,0),FALSE)*(G309*C309),0)</f>
        <v>0</v>
      </c>
    </row>
    <row r="310" spans="2:10" ht="15" customHeight="1">
      <c r="B310" t="s">
        <v>1024</v>
      </c>
      <c r="C310" s="2" t="str">
        <f>IFERROR(VLOOKUP(B310,'General price list'!C:BA,MATCH("PAL",'General price list'!$C$20:$BA$20,0),FALSE),"")</f>
        <v/>
      </c>
      <c r="D310" s="2">
        <f>IFERROR(VLOOKUP(B310,'General price list'!C:BA,MATCH("OBJ",'General price list'!$C$20:$BA$20,0),FALSE),"")</f>
        <v>0</v>
      </c>
      <c r="E310" s="2">
        <f t="shared" si="26"/>
        <v>0</v>
      </c>
      <c r="F310" s="2">
        <f t="shared" si="27"/>
        <v>0</v>
      </c>
      <c r="G310" s="2">
        <f t="shared" si="28"/>
        <v>0</v>
      </c>
      <c r="H310" s="2">
        <f t="shared" si="29"/>
        <v>0</v>
      </c>
      <c r="I310" s="2">
        <f t="shared" si="25"/>
        <v>0</v>
      </c>
      <c r="J310">
        <f>IFERROR(VLOOKUP(B310,'General price list'!C:BA,MATCH("CBM",'General price list'!$C$20:$BA$20,0),FALSE)*(G310*C310),0)</f>
        <v>0</v>
      </c>
    </row>
    <row r="311" spans="2:10" ht="15" customHeight="1">
      <c r="B311" t="s">
        <v>1030</v>
      </c>
      <c r="C311" s="2" t="str">
        <f>IFERROR(VLOOKUP(B311,'General price list'!C:BA,MATCH("PAL",'General price list'!$C$20:$BA$20,0),FALSE),"")</f>
        <v/>
      </c>
      <c r="D311" s="2">
        <f>IFERROR(VLOOKUP(B311,'General price list'!C:BA,MATCH("OBJ",'General price list'!$C$20:$BA$20,0),FALSE),"")</f>
        <v>0</v>
      </c>
      <c r="E311" s="2">
        <f t="shared" si="26"/>
        <v>0</v>
      </c>
      <c r="F311" s="2">
        <f t="shared" si="27"/>
        <v>0</v>
      </c>
      <c r="G311" s="2">
        <f t="shared" si="28"/>
        <v>0</v>
      </c>
      <c r="H311" s="2">
        <f t="shared" si="29"/>
        <v>0</v>
      </c>
      <c r="I311" s="2">
        <f t="shared" si="25"/>
        <v>0</v>
      </c>
      <c r="J311">
        <f>IFERROR(VLOOKUP(B311,'General price list'!C:BA,MATCH("CBM",'General price list'!$C$20:$BA$20,0),FALSE)*(G311*C311),0)</f>
        <v>0</v>
      </c>
    </row>
    <row r="312" spans="2:10" ht="15" customHeight="1">
      <c r="B312" t="s">
        <v>1034</v>
      </c>
      <c r="C312" s="2" t="str">
        <f>IFERROR(VLOOKUP(B312,'General price list'!C:BA,MATCH("PAL",'General price list'!$C$20:$BA$20,0),FALSE),"")</f>
        <v/>
      </c>
      <c r="D312" s="2">
        <f>IFERROR(VLOOKUP(B312,'General price list'!C:BA,MATCH("OBJ",'General price list'!$C$20:$BA$20,0),FALSE),"")</f>
        <v>0</v>
      </c>
      <c r="E312" s="2">
        <f t="shared" si="26"/>
        <v>0</v>
      </c>
      <c r="F312" s="2">
        <f t="shared" si="27"/>
        <v>0</v>
      </c>
      <c r="G312" s="2">
        <f t="shared" si="28"/>
        <v>0</v>
      </c>
      <c r="H312" s="2">
        <f t="shared" si="29"/>
        <v>0</v>
      </c>
      <c r="I312" s="2">
        <f t="shared" si="25"/>
        <v>0</v>
      </c>
      <c r="J312">
        <f>IFERROR(VLOOKUP(B312,'General price list'!C:BA,MATCH("CBM",'General price list'!$C$20:$BA$20,0),FALSE)*(G312*C312),0)</f>
        <v>0</v>
      </c>
    </row>
    <row r="313" spans="2:10" ht="15" customHeight="1">
      <c r="B313" t="s">
        <v>240</v>
      </c>
      <c r="C313" s="2" t="str">
        <f>IFERROR(VLOOKUP(B313,'General price list'!C:BA,MATCH("PAL",'General price list'!$C$20:$BA$20,0),FALSE),"")</f>
        <v/>
      </c>
      <c r="D313" s="2">
        <f>IFERROR(VLOOKUP(B313,'General price list'!C:BA,MATCH("OBJ",'General price list'!$C$20:$BA$20,0),FALSE),"")</f>
        <v>0</v>
      </c>
      <c r="E313" s="2">
        <f t="shared" si="26"/>
        <v>0</v>
      </c>
      <c r="F313" s="2">
        <f t="shared" si="27"/>
        <v>0</v>
      </c>
      <c r="G313" s="2">
        <f t="shared" si="28"/>
        <v>0</v>
      </c>
      <c r="H313" s="2">
        <f t="shared" si="29"/>
        <v>0</v>
      </c>
      <c r="I313" s="2">
        <f t="shared" si="25"/>
        <v>0</v>
      </c>
      <c r="J313">
        <f>IFERROR(VLOOKUP(B313,'General price list'!C:BA,MATCH("CBM",'General price list'!$C$20:$BA$20,0),FALSE)*(G313*C313),0)</f>
        <v>0</v>
      </c>
    </row>
    <row r="314" spans="2:10" ht="15" customHeight="1">
      <c r="B314" t="s">
        <v>777</v>
      </c>
      <c r="C314" s="2" t="str">
        <f>IFERROR(VLOOKUP(B314,'General price list'!C:BA,MATCH("PAL",'General price list'!$C$20:$BA$20,0),FALSE),"")</f>
        <v/>
      </c>
      <c r="D314" s="2">
        <f>IFERROR(VLOOKUP(B314,'General price list'!C:BA,MATCH("OBJ",'General price list'!$C$20:$BA$20,0),FALSE),"")</f>
        <v>0</v>
      </c>
      <c r="E314" s="2">
        <f t="shared" si="26"/>
        <v>0</v>
      </c>
      <c r="F314" s="2">
        <f t="shared" si="27"/>
        <v>0</v>
      </c>
      <c r="G314" s="2">
        <f t="shared" si="28"/>
        <v>0</v>
      </c>
      <c r="H314" s="2">
        <f t="shared" si="29"/>
        <v>0</v>
      </c>
      <c r="I314" s="2">
        <f t="shared" si="25"/>
        <v>0</v>
      </c>
      <c r="J314">
        <f>IFERROR(VLOOKUP(B314,'General price list'!C:BA,MATCH("CBM",'General price list'!$C$20:$BA$20,0),FALSE)*(G314*C314),0)</f>
        <v>0</v>
      </c>
    </row>
    <row r="315" spans="2:10" ht="15" customHeight="1">
      <c r="B315" t="s">
        <v>13780</v>
      </c>
      <c r="C315" s="2" t="str">
        <f>IFERROR(VLOOKUP(B315,'General price list'!C:BA,MATCH("PAL",'General price list'!$C$20:$BA$20,0),FALSE),"")</f>
        <v/>
      </c>
      <c r="D315" s="2">
        <f>IFERROR(VLOOKUP(B315,'General price list'!C:BA,MATCH("OBJ",'General price list'!$C$20:$BA$20,0),FALSE),"")</f>
        <v>0</v>
      </c>
      <c r="E315" s="2">
        <f t="shared" si="26"/>
        <v>0</v>
      </c>
      <c r="F315" s="2">
        <f t="shared" si="27"/>
        <v>0</v>
      </c>
      <c r="G315" s="2">
        <f t="shared" si="28"/>
        <v>0</v>
      </c>
      <c r="H315" s="2">
        <f t="shared" si="29"/>
        <v>0</v>
      </c>
      <c r="I315" s="2">
        <f t="shared" si="25"/>
        <v>0</v>
      </c>
      <c r="J315">
        <f>IFERROR(VLOOKUP(B315,'General price list'!C:BA,MATCH("CBM",'General price list'!$C$20:$BA$20,0),FALSE)*(G315*C315),0)</f>
        <v>0</v>
      </c>
    </row>
    <row r="316" spans="2:10" ht="15" customHeight="1">
      <c r="B316" t="s">
        <v>1046</v>
      </c>
      <c r="C316" s="2" t="str">
        <f>IFERROR(VLOOKUP(B316,'General price list'!C:BA,MATCH("PAL",'General price list'!$C$20:$BA$20,0),FALSE),"")</f>
        <v/>
      </c>
      <c r="D316" s="2">
        <f>IFERROR(VLOOKUP(B316,'General price list'!C:BA,MATCH("OBJ",'General price list'!$C$20:$BA$20,0),FALSE),"")</f>
        <v>0</v>
      </c>
      <c r="E316" s="2">
        <f t="shared" si="26"/>
        <v>0</v>
      </c>
      <c r="F316" s="2">
        <f t="shared" si="27"/>
        <v>0</v>
      </c>
      <c r="G316" s="2">
        <f t="shared" si="28"/>
        <v>0</v>
      </c>
      <c r="H316" s="2">
        <f t="shared" si="29"/>
        <v>0</v>
      </c>
      <c r="I316" s="2">
        <f t="shared" si="25"/>
        <v>0</v>
      </c>
      <c r="J316">
        <f>IFERROR(VLOOKUP(B316,'General price list'!C:BA,MATCH("CBM",'General price list'!$C$20:$BA$20,0),FALSE)*(G316*C316),0)</f>
        <v>0</v>
      </c>
    </row>
    <row r="317" spans="2:10" ht="15" customHeight="1">
      <c r="B317" t="s">
        <v>1051</v>
      </c>
      <c r="C317" s="2" t="str">
        <f>IFERROR(VLOOKUP(B317,'General price list'!C:BA,MATCH("PAL",'General price list'!$C$20:$BA$20,0),FALSE),"")</f>
        <v/>
      </c>
      <c r="D317" s="2">
        <f>IFERROR(VLOOKUP(B317,'General price list'!C:BA,MATCH("OBJ",'General price list'!$C$20:$BA$20,0),FALSE),"")</f>
        <v>0</v>
      </c>
      <c r="E317" s="2">
        <f t="shared" si="26"/>
        <v>0</v>
      </c>
      <c r="F317" s="2">
        <f t="shared" si="27"/>
        <v>0</v>
      </c>
      <c r="G317" s="2">
        <f t="shared" si="28"/>
        <v>0</v>
      </c>
      <c r="H317" s="2">
        <f t="shared" si="29"/>
        <v>0</v>
      </c>
      <c r="I317" s="2">
        <f t="shared" si="25"/>
        <v>0</v>
      </c>
      <c r="J317">
        <f>IFERROR(VLOOKUP(B317,'General price list'!C:BA,MATCH("CBM",'General price list'!$C$20:$BA$20,0),FALSE)*(G317*C317),0)</f>
        <v>0</v>
      </c>
    </row>
    <row r="318" spans="2:10" ht="15" customHeight="1">
      <c r="B318" t="s">
        <v>1056</v>
      </c>
      <c r="C318" s="2" t="str">
        <f>IFERROR(VLOOKUP(B318,'General price list'!C:BA,MATCH("PAL",'General price list'!$C$20:$BA$20,0),FALSE),"")</f>
        <v/>
      </c>
      <c r="D318" s="2">
        <f>IFERROR(VLOOKUP(B318,'General price list'!C:BA,MATCH("OBJ",'General price list'!$C$20:$BA$20,0),FALSE),"")</f>
        <v>0</v>
      </c>
      <c r="E318" s="2">
        <f t="shared" si="26"/>
        <v>0</v>
      </c>
      <c r="F318" s="2">
        <f t="shared" si="27"/>
        <v>0</v>
      </c>
      <c r="G318" s="2">
        <f t="shared" si="28"/>
        <v>0</v>
      </c>
      <c r="H318" s="2">
        <f t="shared" si="29"/>
        <v>0</v>
      </c>
      <c r="I318" s="2">
        <f t="shared" si="25"/>
        <v>0</v>
      </c>
      <c r="J318">
        <f>IFERROR(VLOOKUP(B318,'General price list'!C:BA,MATCH("CBM",'General price list'!$C$20:$BA$20,0),FALSE)*(G318*C318),0)</f>
        <v>0</v>
      </c>
    </row>
    <row r="319" spans="2:10" ht="15" customHeight="1">
      <c r="B319" t="s">
        <v>13473</v>
      </c>
      <c r="C319" s="2" t="str">
        <f>IFERROR(VLOOKUP(B319,'General price list'!C:BA,MATCH("PAL",'General price list'!$C$20:$BA$20,0),FALSE),"")</f>
        <v/>
      </c>
      <c r="D319" s="2">
        <f>IFERROR(VLOOKUP(B319,'General price list'!C:BA,MATCH("OBJ",'General price list'!$C$20:$BA$20,0),FALSE),"")</f>
        <v>0</v>
      </c>
      <c r="E319" s="2">
        <f t="shared" si="26"/>
        <v>0</v>
      </c>
      <c r="F319" s="2">
        <f t="shared" si="27"/>
        <v>0</v>
      </c>
      <c r="G319" s="2">
        <f t="shared" si="28"/>
        <v>0</v>
      </c>
      <c r="H319" s="2">
        <f t="shared" si="29"/>
        <v>0</v>
      </c>
      <c r="I319" s="2">
        <f t="shared" si="25"/>
        <v>0</v>
      </c>
      <c r="J319">
        <f>IFERROR(VLOOKUP(B319,'General price list'!C:BA,MATCH("CBM",'General price list'!$C$20:$BA$20,0),FALSE)*(G319*C319),0)</f>
        <v>0</v>
      </c>
    </row>
    <row r="320" spans="2:10" ht="15" customHeight="1">
      <c r="B320" t="s">
        <v>1064</v>
      </c>
      <c r="C320" s="2" t="str">
        <f>IFERROR(VLOOKUP(B320,'General price list'!C:BA,MATCH("PAL",'General price list'!$C$20:$BA$20,0),FALSE),"")</f>
        <v/>
      </c>
      <c r="D320" s="2">
        <f>IFERROR(VLOOKUP(B320,'General price list'!C:BA,MATCH("OBJ",'General price list'!$C$20:$BA$20,0),FALSE),"")</f>
        <v>0</v>
      </c>
      <c r="E320" s="2">
        <f t="shared" si="26"/>
        <v>0</v>
      </c>
      <c r="F320" s="2">
        <f t="shared" si="27"/>
        <v>0</v>
      </c>
      <c r="G320" s="2">
        <f t="shared" si="28"/>
        <v>0</v>
      </c>
      <c r="H320" s="2">
        <f t="shared" si="29"/>
        <v>0</v>
      </c>
      <c r="I320" s="2">
        <f t="shared" si="25"/>
        <v>0</v>
      </c>
      <c r="J320">
        <f>IFERROR(VLOOKUP(B320,'General price list'!C:BA,MATCH("CBM",'General price list'!$C$20:$BA$20,0),FALSE)*(G320*C320),0)</f>
        <v>0</v>
      </c>
    </row>
    <row r="321" spans="2:10" ht="15" customHeight="1">
      <c r="B321" t="s">
        <v>1069</v>
      </c>
      <c r="C321" s="2">
        <f>IFERROR(VLOOKUP(B321,'General price list'!C:BA,MATCH("PAL",'General price list'!$C$20:$BA$20,0),FALSE),"")</f>
        <v>36</v>
      </c>
      <c r="D321" s="2">
        <f>IFERROR(VLOOKUP(B321,'General price list'!C:BA,MATCH("OBJ",'General price list'!$C$20:$BA$20,0),FALSE),"")</f>
        <v>0</v>
      </c>
      <c r="E321" s="2">
        <f t="shared" si="26"/>
        <v>0</v>
      </c>
      <c r="F321" s="2">
        <f t="shared" si="27"/>
        <v>0</v>
      </c>
      <c r="G321" s="2">
        <f t="shared" si="28"/>
        <v>0</v>
      </c>
      <c r="H321" s="2">
        <f t="shared" si="29"/>
        <v>0</v>
      </c>
      <c r="I321" s="2">
        <f t="shared" si="25"/>
        <v>0</v>
      </c>
      <c r="J321">
        <f>IFERROR(VLOOKUP(B321,'General price list'!C:BA,MATCH("CBM",'General price list'!$C$20:$BA$20,0),FALSE)*(G321*C321),0)</f>
        <v>0</v>
      </c>
    </row>
    <row r="322" spans="2:10" ht="15" customHeight="1">
      <c r="B322" t="s">
        <v>1079</v>
      </c>
      <c r="C322" s="2">
        <f>IFERROR(VLOOKUP(B322,'General price list'!C:BA,MATCH("PAL",'General price list'!$C$20:$BA$20,0),FALSE),"")</f>
        <v>40</v>
      </c>
      <c r="D322" s="2">
        <f>IFERROR(VLOOKUP(B322,'General price list'!C:BA,MATCH("OBJ",'General price list'!$C$20:$BA$20,0),FALSE),"")</f>
        <v>0</v>
      </c>
      <c r="E322" s="2">
        <f t="shared" si="26"/>
        <v>0</v>
      </c>
      <c r="F322" s="2">
        <f t="shared" si="27"/>
        <v>0</v>
      </c>
      <c r="G322" s="2">
        <f t="shared" si="28"/>
        <v>0</v>
      </c>
      <c r="H322" s="2">
        <f t="shared" si="29"/>
        <v>0</v>
      </c>
      <c r="I322" s="2">
        <f t="shared" si="25"/>
        <v>0</v>
      </c>
      <c r="J322">
        <f>IFERROR(VLOOKUP(B322,'General price list'!C:BA,MATCH("CBM",'General price list'!$C$20:$BA$20,0),FALSE)*(G322*C322),0)</f>
        <v>0</v>
      </c>
    </row>
    <row r="323" spans="2:10" ht="15" customHeight="1">
      <c r="B323" t="s">
        <v>1083</v>
      </c>
      <c r="C323" s="2" t="str">
        <f>IFERROR(VLOOKUP(B323,'General price list'!C:BA,MATCH("PAL",'General price list'!$C$20:$BA$20,0),FALSE),"")</f>
        <v>21</v>
      </c>
      <c r="D323" s="2">
        <f>IFERROR(VLOOKUP(B323,'General price list'!C:BA,MATCH("OBJ",'General price list'!$C$20:$BA$20,0),FALSE),"")</f>
        <v>0</v>
      </c>
      <c r="E323" s="2">
        <f t="shared" si="26"/>
        <v>0</v>
      </c>
      <c r="F323" s="2">
        <f t="shared" si="27"/>
        <v>0</v>
      </c>
      <c r="G323" s="2">
        <f t="shared" si="28"/>
        <v>0</v>
      </c>
      <c r="H323" s="2">
        <f t="shared" si="29"/>
        <v>0</v>
      </c>
      <c r="I323" s="2">
        <f t="shared" si="25"/>
        <v>0</v>
      </c>
      <c r="J323">
        <f>IFERROR(VLOOKUP(B323,'General price list'!C:BA,MATCH("CBM",'General price list'!$C$20:$BA$20,0),FALSE)*(G323*C323),0)</f>
        <v>0</v>
      </c>
    </row>
    <row r="324" spans="2:10" ht="15" customHeight="1">
      <c r="B324" t="s">
        <v>1086</v>
      </c>
      <c r="C324" s="2" t="str">
        <f>IFERROR(VLOOKUP(B324,'General price list'!C:BA,MATCH("PAL",'General price list'!$C$20:$BA$20,0),FALSE),"")</f>
        <v>40</v>
      </c>
      <c r="D324" s="2">
        <f>IFERROR(VLOOKUP(B324,'General price list'!C:BA,MATCH("OBJ",'General price list'!$C$20:$BA$20,0),FALSE),"")</f>
        <v>0</v>
      </c>
      <c r="E324" s="2">
        <f t="shared" si="26"/>
        <v>0</v>
      </c>
      <c r="F324" s="2">
        <f t="shared" si="27"/>
        <v>0</v>
      </c>
      <c r="G324" s="2">
        <f t="shared" si="28"/>
        <v>0</v>
      </c>
      <c r="H324" s="2">
        <f t="shared" si="29"/>
        <v>0</v>
      </c>
      <c r="I324" s="2">
        <f t="shared" ref="I324:I387" si="30">IFERROR(IF(D324=0,0,IF(F324=0,(D324*nextVK)+(prvniVK-nextVK),(G324*C324*nextVK)+(F324*PALzKoje))),0)</f>
        <v>0</v>
      </c>
      <c r="J324">
        <f>IFERROR(VLOOKUP(B324,'General price list'!C:BA,MATCH("CBM",'General price list'!$C$20:$BA$20,0),FALSE)*(G324*C324),0)</f>
        <v>0</v>
      </c>
    </row>
    <row r="325" spans="2:10" ht="15" customHeight="1">
      <c r="B325" t="s">
        <v>1087</v>
      </c>
      <c r="C325" s="2">
        <f>IFERROR(VLOOKUP(B325,'General price list'!C:BA,MATCH("PAL",'General price list'!$C$20:$BA$20,0),FALSE),"")</f>
        <v>63</v>
      </c>
      <c r="D325" s="2">
        <f>IFERROR(VLOOKUP(B325,'General price list'!C:BA,MATCH("OBJ",'General price list'!$C$20:$BA$20,0),FALSE),"")</f>
        <v>0</v>
      </c>
      <c r="E325" s="2">
        <f t="shared" ref="E325:E388" si="31">IFERROR(D325/C325,0)</f>
        <v>0</v>
      </c>
      <c r="F325" s="2">
        <f t="shared" ref="F325:F388" si="32">IFERROR(FLOOR(IF(E325-1&lt;0,0,E325),1),0)</f>
        <v>0</v>
      </c>
      <c r="G325" s="2">
        <f t="shared" ref="G325:G388" si="33">IFERROR(IF(H325&gt;E325,F325-E325,E325-F325),0)</f>
        <v>0</v>
      </c>
      <c r="H325" s="2">
        <f t="shared" ref="H325:H388" si="34">IFERROR(IF(E325=0,0,F325),0)</f>
        <v>0</v>
      </c>
      <c r="I325" s="2">
        <f t="shared" si="30"/>
        <v>0</v>
      </c>
      <c r="J325">
        <f>IFERROR(VLOOKUP(B325,'General price list'!C:BA,MATCH("CBM",'General price list'!$C$20:$BA$20,0),FALSE)*(G325*C325),0)</f>
        <v>0</v>
      </c>
    </row>
    <row r="326" spans="2:10" ht="15" customHeight="1">
      <c r="B326" t="s">
        <v>5061</v>
      </c>
      <c r="C326" s="2">
        <f>IFERROR(VLOOKUP(B326,'General price list'!C:BA,MATCH("PAL",'General price list'!$C$20:$BA$20,0),FALSE),"")</f>
        <v>42</v>
      </c>
      <c r="D326" s="2">
        <f>IFERROR(VLOOKUP(B326,'General price list'!C:BA,MATCH("OBJ",'General price list'!$C$20:$BA$20,0),FALSE),"")</f>
        <v>0</v>
      </c>
      <c r="E326" s="2">
        <f t="shared" si="31"/>
        <v>0</v>
      </c>
      <c r="F326" s="2">
        <f t="shared" si="32"/>
        <v>0</v>
      </c>
      <c r="G326" s="2">
        <f t="shared" si="33"/>
        <v>0</v>
      </c>
      <c r="H326" s="2">
        <f t="shared" si="34"/>
        <v>0</v>
      </c>
      <c r="I326" s="2">
        <f t="shared" si="30"/>
        <v>0</v>
      </c>
      <c r="J326">
        <f>IFERROR(VLOOKUP(B326,'General price list'!C:BA,MATCH("CBM",'General price list'!$C$20:$BA$20,0),FALSE)*(G326*C326),0)</f>
        <v>0</v>
      </c>
    </row>
    <row r="327" spans="2:10" ht="15" customHeight="1">
      <c r="B327" t="s">
        <v>1089</v>
      </c>
      <c r="C327" s="2">
        <f>IFERROR(VLOOKUP(B327,'General price list'!C:BA,MATCH("PAL",'General price list'!$C$20:$BA$20,0),FALSE),"")</f>
        <v>48</v>
      </c>
      <c r="D327" s="2">
        <f>IFERROR(VLOOKUP(B327,'General price list'!C:BA,MATCH("OBJ",'General price list'!$C$20:$BA$20,0),FALSE),"")</f>
        <v>0</v>
      </c>
      <c r="E327" s="2">
        <f t="shared" si="31"/>
        <v>0</v>
      </c>
      <c r="F327" s="2">
        <f t="shared" si="32"/>
        <v>0</v>
      </c>
      <c r="G327" s="2">
        <f t="shared" si="33"/>
        <v>0</v>
      </c>
      <c r="H327" s="2">
        <f t="shared" si="34"/>
        <v>0</v>
      </c>
      <c r="I327" s="2">
        <f t="shared" si="30"/>
        <v>0</v>
      </c>
      <c r="J327">
        <f>IFERROR(VLOOKUP(B327,'General price list'!C:BA,MATCH("CBM",'General price list'!$C$20:$BA$20,0),FALSE)*(G327*C327),0)</f>
        <v>0</v>
      </c>
    </row>
    <row r="328" spans="2:10" ht="15" customHeight="1">
      <c r="B328" t="s">
        <v>1090</v>
      </c>
      <c r="C328" s="2">
        <f>IFERROR(VLOOKUP(B328,'General price list'!C:BA,MATCH("PAL",'General price list'!$C$20:$BA$20,0),FALSE),"")</f>
        <v>32</v>
      </c>
      <c r="D328" s="2">
        <f>IFERROR(VLOOKUP(B328,'General price list'!C:BA,MATCH("OBJ",'General price list'!$C$20:$BA$20,0),FALSE),"")</f>
        <v>0</v>
      </c>
      <c r="E328" s="2">
        <f t="shared" si="31"/>
        <v>0</v>
      </c>
      <c r="F328" s="2">
        <f t="shared" si="32"/>
        <v>0</v>
      </c>
      <c r="G328" s="2">
        <f t="shared" si="33"/>
        <v>0</v>
      </c>
      <c r="H328" s="2">
        <f t="shared" si="34"/>
        <v>0</v>
      </c>
      <c r="I328" s="2">
        <f t="shared" si="30"/>
        <v>0</v>
      </c>
      <c r="J328">
        <f>IFERROR(VLOOKUP(B328,'General price list'!C:BA,MATCH("CBM",'General price list'!$C$20:$BA$20,0),FALSE)*(G328*C328),0)</f>
        <v>0</v>
      </c>
    </row>
    <row r="329" spans="2:10" ht="15" customHeight="1">
      <c r="B329" t="s">
        <v>2523</v>
      </c>
      <c r="C329" s="2">
        <f>IFERROR(VLOOKUP(B329,'General price list'!C:BA,MATCH("PAL",'General price list'!$C$20:$BA$20,0),FALSE),"")</f>
        <v>24</v>
      </c>
      <c r="D329" s="2">
        <f>IFERROR(VLOOKUP(B329,'General price list'!C:BA,MATCH("OBJ",'General price list'!$C$20:$BA$20,0),FALSE),"")</f>
        <v>0</v>
      </c>
      <c r="E329" s="2">
        <f t="shared" si="31"/>
        <v>0</v>
      </c>
      <c r="F329" s="2">
        <f t="shared" si="32"/>
        <v>0</v>
      </c>
      <c r="G329" s="2">
        <f t="shared" si="33"/>
        <v>0</v>
      </c>
      <c r="H329" s="2">
        <f t="shared" si="34"/>
        <v>0</v>
      </c>
      <c r="I329" s="2">
        <f t="shared" si="30"/>
        <v>0</v>
      </c>
      <c r="J329">
        <f>IFERROR(VLOOKUP(B329,'General price list'!C:BA,MATCH("CBM",'General price list'!$C$20:$BA$20,0),FALSE)*(G329*C329),0)</f>
        <v>0</v>
      </c>
    </row>
    <row r="330" spans="2:10" ht="15" customHeight="1">
      <c r="B330" t="s">
        <v>1094</v>
      </c>
      <c r="C330" s="2">
        <f>IFERROR(VLOOKUP(B330,'General price list'!C:BA,MATCH("PAL",'General price list'!$C$20:$BA$20,0),FALSE),"")</f>
        <v>36</v>
      </c>
      <c r="D330" s="2">
        <f>IFERROR(VLOOKUP(B330,'General price list'!C:BA,MATCH("OBJ",'General price list'!$C$20:$BA$20,0),FALSE),"")</f>
        <v>0</v>
      </c>
      <c r="E330" s="2">
        <f t="shared" si="31"/>
        <v>0</v>
      </c>
      <c r="F330" s="2">
        <f t="shared" si="32"/>
        <v>0</v>
      </c>
      <c r="G330" s="2">
        <f t="shared" si="33"/>
        <v>0</v>
      </c>
      <c r="H330" s="2">
        <f t="shared" si="34"/>
        <v>0</v>
      </c>
      <c r="I330" s="2">
        <f t="shared" si="30"/>
        <v>0</v>
      </c>
      <c r="J330">
        <f>IFERROR(VLOOKUP(B330,'General price list'!C:BA,MATCH("CBM",'General price list'!$C$20:$BA$20,0),FALSE)*(G330*C330),0)</f>
        <v>0</v>
      </c>
    </row>
    <row r="331" spans="2:10" ht="15" customHeight="1">
      <c r="B331" t="s">
        <v>1099</v>
      </c>
      <c r="C331" s="2">
        <f>IFERROR(VLOOKUP(B331,'General price list'!C:BA,MATCH("PAL",'General price list'!$C$20:$BA$20,0),FALSE),"")</f>
        <v>36</v>
      </c>
      <c r="D331" s="2">
        <f>IFERROR(VLOOKUP(B331,'General price list'!C:BA,MATCH("OBJ",'General price list'!$C$20:$BA$20,0),FALSE),"")</f>
        <v>0</v>
      </c>
      <c r="E331" s="2">
        <f t="shared" si="31"/>
        <v>0</v>
      </c>
      <c r="F331" s="2">
        <f t="shared" si="32"/>
        <v>0</v>
      </c>
      <c r="G331" s="2">
        <f t="shared" si="33"/>
        <v>0</v>
      </c>
      <c r="H331" s="2">
        <f t="shared" si="34"/>
        <v>0</v>
      </c>
      <c r="I331" s="2">
        <f t="shared" si="30"/>
        <v>0</v>
      </c>
      <c r="J331">
        <f>IFERROR(VLOOKUP(B331,'General price list'!C:BA,MATCH("CBM",'General price list'!$C$20:$BA$20,0),FALSE)*(G331*C331),0)</f>
        <v>0</v>
      </c>
    </row>
    <row r="332" spans="2:10" ht="15" customHeight="1">
      <c r="B332" t="s">
        <v>1101</v>
      </c>
      <c r="C332" s="2">
        <f>IFERROR(VLOOKUP(B332,'General price list'!C:BA,MATCH("PAL",'General price list'!$C$20:$BA$20,0),FALSE),"")</f>
        <v>36</v>
      </c>
      <c r="D332" s="2">
        <f>IFERROR(VLOOKUP(B332,'General price list'!C:BA,MATCH("OBJ",'General price list'!$C$20:$BA$20,0),FALSE),"")</f>
        <v>0</v>
      </c>
      <c r="E332" s="2">
        <f t="shared" si="31"/>
        <v>0</v>
      </c>
      <c r="F332" s="2">
        <f t="shared" si="32"/>
        <v>0</v>
      </c>
      <c r="G332" s="2">
        <f t="shared" si="33"/>
        <v>0</v>
      </c>
      <c r="H332" s="2">
        <f t="shared" si="34"/>
        <v>0</v>
      </c>
      <c r="I332" s="2">
        <f t="shared" si="30"/>
        <v>0</v>
      </c>
      <c r="J332">
        <f>IFERROR(VLOOKUP(B332,'General price list'!C:BA,MATCH("CBM",'General price list'!$C$20:$BA$20,0),FALSE)*(G332*C332),0)</f>
        <v>0</v>
      </c>
    </row>
    <row r="333" spans="2:10" ht="15" customHeight="1">
      <c r="B333" t="s">
        <v>5092</v>
      </c>
      <c r="C333" s="2">
        <f>IFERROR(VLOOKUP(B333,'General price list'!C:BA,MATCH("PAL",'General price list'!$C$20:$BA$20,0),FALSE),"")</f>
        <v>36</v>
      </c>
      <c r="D333" s="2">
        <f>IFERROR(VLOOKUP(B333,'General price list'!C:BA,MATCH("OBJ",'General price list'!$C$20:$BA$20,0),FALSE),"")</f>
        <v>0</v>
      </c>
      <c r="E333" s="2">
        <f t="shared" si="31"/>
        <v>0</v>
      </c>
      <c r="F333" s="2">
        <f t="shared" si="32"/>
        <v>0</v>
      </c>
      <c r="G333" s="2">
        <f t="shared" si="33"/>
        <v>0</v>
      </c>
      <c r="H333" s="2">
        <f t="shared" si="34"/>
        <v>0</v>
      </c>
      <c r="I333" s="2">
        <f t="shared" si="30"/>
        <v>0</v>
      </c>
      <c r="J333">
        <f>IFERROR(VLOOKUP(B333,'General price list'!C:BA,MATCH("CBM",'General price list'!$C$20:$BA$20,0),FALSE)*(G333*C333),0)</f>
        <v>0</v>
      </c>
    </row>
    <row r="334" spans="2:10" ht="15" customHeight="1">
      <c r="B334" t="s">
        <v>5102</v>
      </c>
      <c r="C334" s="2">
        <f>IFERROR(VLOOKUP(B334,'General price list'!C:BA,MATCH("PAL",'General price list'!$C$20:$BA$20,0),FALSE),"")</f>
        <v>36</v>
      </c>
      <c r="D334" s="2">
        <f>IFERROR(VLOOKUP(B334,'General price list'!C:BA,MATCH("OBJ",'General price list'!$C$20:$BA$20,0),FALSE),"")</f>
        <v>0</v>
      </c>
      <c r="E334" s="2">
        <f t="shared" si="31"/>
        <v>0</v>
      </c>
      <c r="F334" s="2">
        <f t="shared" si="32"/>
        <v>0</v>
      </c>
      <c r="G334" s="2">
        <f t="shared" si="33"/>
        <v>0</v>
      </c>
      <c r="H334" s="2">
        <f t="shared" si="34"/>
        <v>0</v>
      </c>
      <c r="I334" s="2">
        <f t="shared" si="30"/>
        <v>0</v>
      </c>
      <c r="J334">
        <f>IFERROR(VLOOKUP(B334,'General price list'!C:BA,MATCH("CBM",'General price list'!$C$20:$BA$20,0),FALSE)*(G334*C334),0)</f>
        <v>0</v>
      </c>
    </row>
    <row r="335" spans="2:10" ht="15" customHeight="1">
      <c r="B335" t="s">
        <v>1105</v>
      </c>
      <c r="C335" s="2">
        <f>IFERROR(VLOOKUP(B335,'General price list'!C:BA,MATCH("PAL",'General price list'!$C$20:$BA$20,0),FALSE),"")</f>
        <v>36</v>
      </c>
      <c r="D335" s="2">
        <f>IFERROR(VLOOKUP(B335,'General price list'!C:BA,MATCH("OBJ",'General price list'!$C$20:$BA$20,0),FALSE),"")</f>
        <v>0</v>
      </c>
      <c r="E335" s="2">
        <f t="shared" si="31"/>
        <v>0</v>
      </c>
      <c r="F335" s="2">
        <f t="shared" si="32"/>
        <v>0</v>
      </c>
      <c r="G335" s="2">
        <f t="shared" si="33"/>
        <v>0</v>
      </c>
      <c r="H335" s="2">
        <f t="shared" si="34"/>
        <v>0</v>
      </c>
      <c r="I335" s="2">
        <f t="shared" si="30"/>
        <v>0</v>
      </c>
      <c r="J335">
        <f>IFERROR(VLOOKUP(B335,'General price list'!C:BA,MATCH("CBM",'General price list'!$C$20:$BA$20,0),FALSE)*(G335*C335),0)</f>
        <v>0</v>
      </c>
    </row>
    <row r="336" spans="2:10" ht="15" customHeight="1">
      <c r="B336" t="s">
        <v>1106</v>
      </c>
      <c r="C336" s="2">
        <f>IFERROR(VLOOKUP(B336,'General price list'!C:BA,MATCH("PAL",'General price list'!$C$20:$BA$20,0),FALSE),"")</f>
        <v>36</v>
      </c>
      <c r="D336" s="2">
        <f>IFERROR(VLOOKUP(B336,'General price list'!C:BA,MATCH("OBJ",'General price list'!$C$20:$BA$20,0),FALSE),"")</f>
        <v>0</v>
      </c>
      <c r="E336" s="2">
        <f t="shared" si="31"/>
        <v>0</v>
      </c>
      <c r="F336" s="2">
        <f t="shared" si="32"/>
        <v>0</v>
      </c>
      <c r="G336" s="2">
        <f t="shared" si="33"/>
        <v>0</v>
      </c>
      <c r="H336" s="2">
        <f t="shared" si="34"/>
        <v>0</v>
      </c>
      <c r="I336" s="2">
        <f t="shared" si="30"/>
        <v>0</v>
      </c>
      <c r="J336">
        <f>IFERROR(VLOOKUP(B336,'General price list'!C:BA,MATCH("CBM",'General price list'!$C$20:$BA$20,0),FALSE)*(G336*C336),0)</f>
        <v>0</v>
      </c>
    </row>
    <row r="337" spans="2:10" ht="15" customHeight="1">
      <c r="B337" t="s">
        <v>1108</v>
      </c>
      <c r="C337" s="2">
        <f>IFERROR(VLOOKUP(B337,'General price list'!C:BA,MATCH("PAL",'General price list'!$C$20:$BA$20,0),FALSE),"")</f>
        <v>36</v>
      </c>
      <c r="D337" s="2">
        <f>IFERROR(VLOOKUP(B337,'General price list'!C:BA,MATCH("OBJ",'General price list'!$C$20:$BA$20,0),FALSE),"")</f>
        <v>0</v>
      </c>
      <c r="E337" s="2">
        <f t="shared" si="31"/>
        <v>0</v>
      </c>
      <c r="F337" s="2">
        <f t="shared" si="32"/>
        <v>0</v>
      </c>
      <c r="G337" s="2">
        <f t="shared" si="33"/>
        <v>0</v>
      </c>
      <c r="H337" s="2">
        <f t="shared" si="34"/>
        <v>0</v>
      </c>
      <c r="I337" s="2">
        <f t="shared" si="30"/>
        <v>0</v>
      </c>
      <c r="J337">
        <f>IFERROR(VLOOKUP(B337,'General price list'!C:BA,MATCH("CBM",'General price list'!$C$20:$BA$20,0),FALSE)*(G337*C337),0)</f>
        <v>0</v>
      </c>
    </row>
    <row r="338" spans="2:10" ht="15" customHeight="1">
      <c r="B338" t="s">
        <v>1111</v>
      </c>
      <c r="C338" s="2">
        <f>IFERROR(VLOOKUP(B338,'General price list'!C:BA,MATCH("PAL",'General price list'!$C$20:$BA$20,0),FALSE),"")</f>
        <v>36</v>
      </c>
      <c r="D338" s="2">
        <f>IFERROR(VLOOKUP(B338,'General price list'!C:BA,MATCH("OBJ",'General price list'!$C$20:$BA$20,0),FALSE),"")</f>
        <v>0</v>
      </c>
      <c r="E338" s="2">
        <f t="shared" si="31"/>
        <v>0</v>
      </c>
      <c r="F338" s="2">
        <f t="shared" si="32"/>
        <v>0</v>
      </c>
      <c r="G338" s="2">
        <f t="shared" si="33"/>
        <v>0</v>
      </c>
      <c r="H338" s="2">
        <f t="shared" si="34"/>
        <v>0</v>
      </c>
      <c r="I338" s="2">
        <f t="shared" si="30"/>
        <v>0</v>
      </c>
      <c r="J338">
        <f>IFERROR(VLOOKUP(B338,'General price list'!C:BA,MATCH("CBM",'General price list'!$C$20:$BA$20,0),FALSE)*(G338*C338),0)</f>
        <v>0</v>
      </c>
    </row>
    <row r="339" spans="2:10" ht="15" customHeight="1">
      <c r="B339" t="s">
        <v>1113</v>
      </c>
      <c r="C339" s="2">
        <f>IFERROR(VLOOKUP(B339,'General price list'!C:BA,MATCH("PAL",'General price list'!$C$20:$BA$20,0),FALSE),"")</f>
        <v>36</v>
      </c>
      <c r="D339" s="2">
        <f>IFERROR(VLOOKUP(B339,'General price list'!C:BA,MATCH("OBJ",'General price list'!$C$20:$BA$20,0),FALSE),"")</f>
        <v>0</v>
      </c>
      <c r="E339" s="2">
        <f t="shared" si="31"/>
        <v>0</v>
      </c>
      <c r="F339" s="2">
        <f t="shared" si="32"/>
        <v>0</v>
      </c>
      <c r="G339" s="2">
        <f t="shared" si="33"/>
        <v>0</v>
      </c>
      <c r="H339" s="2">
        <f t="shared" si="34"/>
        <v>0</v>
      </c>
      <c r="I339" s="2">
        <f t="shared" si="30"/>
        <v>0</v>
      </c>
      <c r="J339">
        <f>IFERROR(VLOOKUP(B339,'General price list'!C:BA,MATCH("CBM",'General price list'!$C$20:$BA$20,0),FALSE)*(G339*C339),0)</f>
        <v>0</v>
      </c>
    </row>
    <row r="340" spans="2:10" ht="15" customHeight="1">
      <c r="B340" t="s">
        <v>1116</v>
      </c>
      <c r="C340" s="2">
        <f>IFERROR(VLOOKUP(B340,'General price list'!C:BA,MATCH("PAL",'General price list'!$C$20:$BA$20,0),FALSE),"")</f>
        <v>36</v>
      </c>
      <c r="D340" s="2">
        <f>IFERROR(VLOOKUP(B340,'General price list'!C:BA,MATCH("OBJ",'General price list'!$C$20:$BA$20,0),FALSE),"")</f>
        <v>0</v>
      </c>
      <c r="E340" s="2">
        <f t="shared" si="31"/>
        <v>0</v>
      </c>
      <c r="F340" s="2">
        <f t="shared" si="32"/>
        <v>0</v>
      </c>
      <c r="G340" s="2">
        <f t="shared" si="33"/>
        <v>0</v>
      </c>
      <c r="H340" s="2">
        <f t="shared" si="34"/>
        <v>0</v>
      </c>
      <c r="I340" s="2">
        <f t="shared" si="30"/>
        <v>0</v>
      </c>
      <c r="J340">
        <f>IFERROR(VLOOKUP(B340,'General price list'!C:BA,MATCH("CBM",'General price list'!$C$20:$BA$20,0),FALSE)*(G340*C340),0)</f>
        <v>0</v>
      </c>
    </row>
    <row r="341" spans="2:10" ht="15" customHeight="1">
      <c r="B341" t="s">
        <v>1117</v>
      </c>
      <c r="C341" s="2">
        <f>IFERROR(VLOOKUP(B341,'General price list'!C:BA,MATCH("PAL",'General price list'!$C$20:$BA$20,0),FALSE),"")</f>
        <v>36</v>
      </c>
      <c r="D341" s="2">
        <f>IFERROR(VLOOKUP(B341,'General price list'!C:BA,MATCH("OBJ",'General price list'!$C$20:$BA$20,0),FALSE),"")</f>
        <v>0</v>
      </c>
      <c r="E341" s="2">
        <f t="shared" si="31"/>
        <v>0</v>
      </c>
      <c r="F341" s="2">
        <f t="shared" si="32"/>
        <v>0</v>
      </c>
      <c r="G341" s="2">
        <f t="shared" si="33"/>
        <v>0</v>
      </c>
      <c r="H341" s="2">
        <f t="shared" si="34"/>
        <v>0</v>
      </c>
      <c r="I341" s="2">
        <f t="shared" si="30"/>
        <v>0</v>
      </c>
      <c r="J341">
        <f>IFERROR(VLOOKUP(B341,'General price list'!C:BA,MATCH("CBM",'General price list'!$C$20:$BA$20,0),FALSE)*(G341*C341),0)</f>
        <v>0</v>
      </c>
    </row>
    <row r="342" spans="2:10" ht="15" customHeight="1">
      <c r="B342" t="s">
        <v>1118</v>
      </c>
      <c r="C342" s="2">
        <f>IFERROR(VLOOKUP(B342,'General price list'!C:BA,MATCH("PAL",'General price list'!$C$20:$BA$20,0),FALSE),"")</f>
        <v>36</v>
      </c>
      <c r="D342" s="2">
        <f>IFERROR(VLOOKUP(B342,'General price list'!C:BA,MATCH("OBJ",'General price list'!$C$20:$BA$20,0),FALSE),"")</f>
        <v>0</v>
      </c>
      <c r="E342" s="2">
        <f t="shared" si="31"/>
        <v>0</v>
      </c>
      <c r="F342" s="2">
        <f t="shared" si="32"/>
        <v>0</v>
      </c>
      <c r="G342" s="2">
        <f t="shared" si="33"/>
        <v>0</v>
      </c>
      <c r="H342" s="2">
        <f t="shared" si="34"/>
        <v>0</v>
      </c>
      <c r="I342" s="2">
        <f t="shared" si="30"/>
        <v>0</v>
      </c>
      <c r="J342">
        <f>IFERROR(VLOOKUP(B342,'General price list'!C:BA,MATCH("CBM",'General price list'!$C$20:$BA$20,0),FALSE)*(G342*C342),0)</f>
        <v>0</v>
      </c>
    </row>
    <row r="343" spans="2:10" ht="15" customHeight="1">
      <c r="B343" t="s">
        <v>1119</v>
      </c>
      <c r="C343" s="2">
        <f>IFERROR(VLOOKUP(B343,'General price list'!C:BA,MATCH("PAL",'General price list'!$C$20:$BA$20,0),FALSE),"")</f>
        <v>36</v>
      </c>
      <c r="D343" s="2">
        <f>IFERROR(VLOOKUP(B343,'General price list'!C:BA,MATCH("OBJ",'General price list'!$C$20:$BA$20,0),FALSE),"")</f>
        <v>0</v>
      </c>
      <c r="E343" s="2">
        <f t="shared" si="31"/>
        <v>0</v>
      </c>
      <c r="F343" s="2">
        <f t="shared" si="32"/>
        <v>0</v>
      </c>
      <c r="G343" s="2">
        <f t="shared" si="33"/>
        <v>0</v>
      </c>
      <c r="H343" s="2">
        <f t="shared" si="34"/>
        <v>0</v>
      </c>
      <c r="I343" s="2">
        <f t="shared" si="30"/>
        <v>0</v>
      </c>
      <c r="J343">
        <f>IFERROR(VLOOKUP(B343,'General price list'!C:BA,MATCH("CBM",'General price list'!$C$20:$BA$20,0),FALSE)*(G343*C343),0)</f>
        <v>0</v>
      </c>
    </row>
    <row r="344" spans="2:10" ht="15" customHeight="1">
      <c r="B344" t="s">
        <v>2526</v>
      </c>
      <c r="C344" s="2">
        <f>IFERROR(VLOOKUP(B344,'General price list'!C:BA,MATCH("PAL",'General price list'!$C$20:$BA$20,0),FALSE),"")</f>
        <v>36</v>
      </c>
      <c r="D344" s="2">
        <f>IFERROR(VLOOKUP(B344,'General price list'!C:BA,MATCH("OBJ",'General price list'!$C$20:$BA$20,0),FALSE),"")</f>
        <v>0</v>
      </c>
      <c r="E344" s="2">
        <f t="shared" si="31"/>
        <v>0</v>
      </c>
      <c r="F344" s="2">
        <f t="shared" si="32"/>
        <v>0</v>
      </c>
      <c r="G344" s="2">
        <f t="shared" si="33"/>
        <v>0</v>
      </c>
      <c r="H344" s="2">
        <f t="shared" si="34"/>
        <v>0</v>
      </c>
      <c r="I344" s="2">
        <f t="shared" si="30"/>
        <v>0</v>
      </c>
      <c r="J344">
        <f>IFERROR(VLOOKUP(B344,'General price list'!C:BA,MATCH("CBM",'General price list'!$C$20:$BA$20,0),FALSE)*(G344*C344),0)</f>
        <v>0</v>
      </c>
    </row>
    <row r="345" spans="2:10" ht="15" customHeight="1">
      <c r="B345" t="s">
        <v>2528</v>
      </c>
      <c r="C345" s="2">
        <f>IFERROR(VLOOKUP(B345,'General price list'!C:BA,MATCH("PAL",'General price list'!$C$20:$BA$20,0),FALSE),"")</f>
        <v>36</v>
      </c>
      <c r="D345" s="2">
        <f>IFERROR(VLOOKUP(B345,'General price list'!C:BA,MATCH("OBJ",'General price list'!$C$20:$BA$20,0),FALSE),"")</f>
        <v>0</v>
      </c>
      <c r="E345" s="2">
        <f t="shared" si="31"/>
        <v>0</v>
      </c>
      <c r="F345" s="2">
        <f t="shared" si="32"/>
        <v>0</v>
      </c>
      <c r="G345" s="2">
        <f t="shared" si="33"/>
        <v>0</v>
      </c>
      <c r="H345" s="2">
        <f t="shared" si="34"/>
        <v>0</v>
      </c>
      <c r="I345" s="2">
        <f t="shared" si="30"/>
        <v>0</v>
      </c>
      <c r="J345">
        <f>IFERROR(VLOOKUP(B345,'General price list'!C:BA,MATCH("CBM",'General price list'!$C$20:$BA$20,0),FALSE)*(G345*C345),0)</f>
        <v>0</v>
      </c>
    </row>
    <row r="346" spans="2:10" ht="15" customHeight="1">
      <c r="B346" t="s">
        <v>1120</v>
      </c>
      <c r="C346" s="2">
        <f>IFERROR(VLOOKUP(B346,'General price list'!C:BA,MATCH("PAL",'General price list'!$C$20:$BA$20,0),FALSE),"")</f>
        <v>54</v>
      </c>
      <c r="D346" s="2">
        <f>IFERROR(VLOOKUP(B346,'General price list'!C:BA,MATCH("OBJ",'General price list'!$C$20:$BA$20,0),FALSE),"")</f>
        <v>0</v>
      </c>
      <c r="E346" s="2">
        <f t="shared" si="31"/>
        <v>0</v>
      </c>
      <c r="F346" s="2">
        <f t="shared" si="32"/>
        <v>0</v>
      </c>
      <c r="G346" s="2">
        <f t="shared" si="33"/>
        <v>0</v>
      </c>
      <c r="H346" s="2">
        <f t="shared" si="34"/>
        <v>0</v>
      </c>
      <c r="I346" s="2">
        <f t="shared" si="30"/>
        <v>0</v>
      </c>
      <c r="J346">
        <f>IFERROR(VLOOKUP(B346,'General price list'!C:BA,MATCH("CBM",'General price list'!$C$20:$BA$20,0),FALSE)*(G346*C346),0)</f>
        <v>0</v>
      </c>
    </row>
    <row r="347" spans="2:10" ht="15" customHeight="1">
      <c r="B347" t="s">
        <v>1122</v>
      </c>
      <c r="C347" s="2">
        <f>IFERROR(VLOOKUP(B347,'General price list'!C:BA,MATCH("PAL",'General price list'!$C$20:$BA$20,0),FALSE),"")</f>
        <v>40</v>
      </c>
      <c r="D347" s="2">
        <f>IFERROR(VLOOKUP(B347,'General price list'!C:BA,MATCH("OBJ",'General price list'!$C$20:$BA$20,0),FALSE),"")</f>
        <v>0</v>
      </c>
      <c r="E347" s="2">
        <f t="shared" si="31"/>
        <v>0</v>
      </c>
      <c r="F347" s="2">
        <f t="shared" si="32"/>
        <v>0</v>
      </c>
      <c r="G347" s="2">
        <f t="shared" si="33"/>
        <v>0</v>
      </c>
      <c r="H347" s="2">
        <f t="shared" si="34"/>
        <v>0</v>
      </c>
      <c r="I347" s="2">
        <f t="shared" si="30"/>
        <v>0</v>
      </c>
      <c r="J347">
        <f>IFERROR(VLOOKUP(B347,'General price list'!C:BA,MATCH("CBM",'General price list'!$C$20:$BA$20,0),FALSE)*(G347*C347),0)</f>
        <v>0</v>
      </c>
    </row>
    <row r="348" spans="2:10" ht="15" customHeight="1">
      <c r="B348" t="s">
        <v>1123</v>
      </c>
      <c r="C348" s="2">
        <f>IFERROR(VLOOKUP(B348,'General price list'!C:BA,MATCH("PAL",'General price list'!$C$20:$BA$20,0),FALSE),"")</f>
        <v>54</v>
      </c>
      <c r="D348" s="2">
        <f>IFERROR(VLOOKUP(B348,'General price list'!C:BA,MATCH("OBJ",'General price list'!$C$20:$BA$20,0),FALSE),"")</f>
        <v>0</v>
      </c>
      <c r="E348" s="2">
        <f t="shared" si="31"/>
        <v>0</v>
      </c>
      <c r="F348" s="2">
        <f t="shared" si="32"/>
        <v>0</v>
      </c>
      <c r="G348" s="2">
        <f t="shared" si="33"/>
        <v>0</v>
      </c>
      <c r="H348" s="2">
        <f t="shared" si="34"/>
        <v>0</v>
      </c>
      <c r="I348" s="2">
        <f t="shared" si="30"/>
        <v>0</v>
      </c>
      <c r="J348">
        <f>IFERROR(VLOOKUP(B348,'General price list'!C:BA,MATCH("CBM",'General price list'!$C$20:$BA$20,0),FALSE)*(G348*C348),0)</f>
        <v>0</v>
      </c>
    </row>
    <row r="349" spans="2:10" ht="15" customHeight="1">
      <c r="B349" t="s">
        <v>1126</v>
      </c>
      <c r="C349" s="2">
        <f>IFERROR(VLOOKUP(B349,'General price list'!C:BA,MATCH("PAL",'General price list'!$C$20:$BA$20,0),FALSE),"")</f>
        <v>54</v>
      </c>
      <c r="D349" s="2">
        <f>IFERROR(VLOOKUP(B349,'General price list'!C:BA,MATCH("OBJ",'General price list'!$C$20:$BA$20,0),FALSE),"")</f>
        <v>0</v>
      </c>
      <c r="E349" s="2">
        <f t="shared" si="31"/>
        <v>0</v>
      </c>
      <c r="F349" s="2">
        <f t="shared" si="32"/>
        <v>0</v>
      </c>
      <c r="G349" s="2">
        <f t="shared" si="33"/>
        <v>0</v>
      </c>
      <c r="H349" s="2">
        <f t="shared" si="34"/>
        <v>0</v>
      </c>
      <c r="I349" s="2">
        <f t="shared" si="30"/>
        <v>0</v>
      </c>
      <c r="J349">
        <f>IFERROR(VLOOKUP(B349,'General price list'!C:BA,MATCH("CBM",'General price list'!$C$20:$BA$20,0),FALSE)*(G349*C349),0)</f>
        <v>0</v>
      </c>
    </row>
    <row r="350" spans="2:10" ht="15" customHeight="1">
      <c r="B350" t="s">
        <v>1128</v>
      </c>
      <c r="C350" s="2">
        <f>IFERROR(VLOOKUP(B350,'General price list'!C:BA,MATCH("PAL",'General price list'!$C$20:$BA$20,0),FALSE),"")</f>
        <v>54</v>
      </c>
      <c r="D350" s="2">
        <f>IFERROR(VLOOKUP(B350,'General price list'!C:BA,MATCH("OBJ",'General price list'!$C$20:$BA$20,0),FALSE),"")</f>
        <v>0</v>
      </c>
      <c r="E350" s="2">
        <f t="shared" si="31"/>
        <v>0</v>
      </c>
      <c r="F350" s="2">
        <f t="shared" si="32"/>
        <v>0</v>
      </c>
      <c r="G350" s="2">
        <f t="shared" si="33"/>
        <v>0</v>
      </c>
      <c r="H350" s="2">
        <f t="shared" si="34"/>
        <v>0</v>
      </c>
      <c r="I350" s="2">
        <f t="shared" si="30"/>
        <v>0</v>
      </c>
      <c r="J350">
        <f>IFERROR(VLOOKUP(B350,'General price list'!C:BA,MATCH("CBM",'General price list'!$C$20:$BA$20,0),FALSE)*(G350*C350),0)</f>
        <v>0</v>
      </c>
    </row>
    <row r="351" spans="2:10" ht="15" customHeight="1">
      <c r="B351" t="s">
        <v>1130</v>
      </c>
      <c r="C351" s="2">
        <f>IFERROR(VLOOKUP(B351,'General price list'!C:BA,MATCH("PAL",'General price list'!$C$20:$BA$20,0),FALSE),"")</f>
        <v>54</v>
      </c>
      <c r="D351" s="2">
        <f>IFERROR(VLOOKUP(B351,'General price list'!C:BA,MATCH("OBJ",'General price list'!$C$20:$BA$20,0),FALSE),"")</f>
        <v>0</v>
      </c>
      <c r="E351" s="2">
        <f t="shared" si="31"/>
        <v>0</v>
      </c>
      <c r="F351" s="2">
        <f t="shared" si="32"/>
        <v>0</v>
      </c>
      <c r="G351" s="2">
        <f t="shared" si="33"/>
        <v>0</v>
      </c>
      <c r="H351" s="2">
        <f t="shared" si="34"/>
        <v>0</v>
      </c>
      <c r="I351" s="2">
        <f t="shared" si="30"/>
        <v>0</v>
      </c>
      <c r="J351">
        <f>IFERROR(VLOOKUP(B351,'General price list'!C:BA,MATCH("CBM",'General price list'!$C$20:$BA$20,0),FALSE)*(G351*C351),0)</f>
        <v>0</v>
      </c>
    </row>
    <row r="352" spans="2:10" ht="15" customHeight="1">
      <c r="B352" t="s">
        <v>1135</v>
      </c>
      <c r="C352" s="2">
        <f>IFERROR(VLOOKUP(B352,'General price list'!C:BA,MATCH("PAL",'General price list'!$C$20:$BA$20,0),FALSE),"")</f>
        <v>54</v>
      </c>
      <c r="D352" s="2">
        <f>IFERROR(VLOOKUP(B352,'General price list'!C:BA,MATCH("OBJ",'General price list'!$C$20:$BA$20,0),FALSE),"")</f>
        <v>0</v>
      </c>
      <c r="E352" s="2">
        <f t="shared" si="31"/>
        <v>0</v>
      </c>
      <c r="F352" s="2">
        <f t="shared" si="32"/>
        <v>0</v>
      </c>
      <c r="G352" s="2">
        <f t="shared" si="33"/>
        <v>0</v>
      </c>
      <c r="H352" s="2">
        <f t="shared" si="34"/>
        <v>0</v>
      </c>
      <c r="I352" s="2">
        <f t="shared" si="30"/>
        <v>0</v>
      </c>
      <c r="J352">
        <f>IFERROR(VLOOKUP(B352,'General price list'!C:BA,MATCH("CBM",'General price list'!$C$20:$BA$20,0),FALSE)*(G352*C352),0)</f>
        <v>0</v>
      </c>
    </row>
    <row r="353" spans="2:10" ht="15" customHeight="1">
      <c r="B353" t="s">
        <v>1140</v>
      </c>
      <c r="C353" s="2">
        <f>IFERROR(VLOOKUP(B353,'General price list'!C:BA,MATCH("PAL",'General price list'!$C$20:$BA$20,0),FALSE),"")</f>
        <v>54</v>
      </c>
      <c r="D353" s="2">
        <f>IFERROR(VLOOKUP(B353,'General price list'!C:BA,MATCH("OBJ",'General price list'!$C$20:$BA$20,0),FALSE),"")</f>
        <v>0</v>
      </c>
      <c r="E353" s="2">
        <f t="shared" si="31"/>
        <v>0</v>
      </c>
      <c r="F353" s="2">
        <f t="shared" si="32"/>
        <v>0</v>
      </c>
      <c r="G353" s="2">
        <f t="shared" si="33"/>
        <v>0</v>
      </c>
      <c r="H353" s="2">
        <f t="shared" si="34"/>
        <v>0</v>
      </c>
      <c r="I353" s="2">
        <f t="shared" si="30"/>
        <v>0</v>
      </c>
      <c r="J353">
        <f>IFERROR(VLOOKUP(B353,'General price list'!C:BA,MATCH("CBM",'General price list'!$C$20:$BA$20,0),FALSE)*(G353*C353),0)</f>
        <v>0</v>
      </c>
    </row>
    <row r="354" spans="2:10" ht="15" customHeight="1">
      <c r="B354" t="s">
        <v>1145</v>
      </c>
      <c r="C354" s="2">
        <f>IFERROR(VLOOKUP(B354,'General price list'!C:BA,MATCH("PAL",'General price list'!$C$20:$BA$20,0),FALSE),"")</f>
        <v>54</v>
      </c>
      <c r="D354" s="2">
        <f>IFERROR(VLOOKUP(B354,'General price list'!C:BA,MATCH("OBJ",'General price list'!$C$20:$BA$20,0),FALSE),"")</f>
        <v>0</v>
      </c>
      <c r="E354" s="2">
        <f t="shared" si="31"/>
        <v>0</v>
      </c>
      <c r="F354" s="2">
        <f t="shared" si="32"/>
        <v>0</v>
      </c>
      <c r="G354" s="2">
        <f t="shared" si="33"/>
        <v>0</v>
      </c>
      <c r="H354" s="2">
        <f t="shared" si="34"/>
        <v>0</v>
      </c>
      <c r="I354" s="2">
        <f t="shared" si="30"/>
        <v>0</v>
      </c>
      <c r="J354">
        <f>IFERROR(VLOOKUP(B354,'General price list'!C:BA,MATCH("CBM",'General price list'!$C$20:$BA$20,0),FALSE)*(G354*C354),0)</f>
        <v>0</v>
      </c>
    </row>
    <row r="355" spans="2:10" ht="15" customHeight="1">
      <c r="B355" t="s">
        <v>1154</v>
      </c>
      <c r="C355" s="2">
        <f>IFERROR(VLOOKUP(B355,'General price list'!C:BA,MATCH("PAL",'General price list'!$C$20:$BA$20,0),FALSE),"")</f>
        <v>42</v>
      </c>
      <c r="D355" s="2">
        <f>IFERROR(VLOOKUP(B355,'General price list'!C:BA,MATCH("OBJ",'General price list'!$C$20:$BA$20,0),FALSE),"")</f>
        <v>0</v>
      </c>
      <c r="E355" s="2">
        <f t="shared" si="31"/>
        <v>0</v>
      </c>
      <c r="F355" s="2">
        <f t="shared" si="32"/>
        <v>0</v>
      </c>
      <c r="G355" s="2">
        <f t="shared" si="33"/>
        <v>0</v>
      </c>
      <c r="H355" s="2">
        <f t="shared" si="34"/>
        <v>0</v>
      </c>
      <c r="I355" s="2">
        <f t="shared" si="30"/>
        <v>0</v>
      </c>
      <c r="J355">
        <f>IFERROR(VLOOKUP(B355,'General price list'!C:BA,MATCH("CBM",'General price list'!$C$20:$BA$20,0),FALSE)*(G355*C355),0)</f>
        <v>0</v>
      </c>
    </row>
    <row r="356" spans="2:10" ht="15" customHeight="1">
      <c r="B356" t="s">
        <v>1132</v>
      </c>
      <c r="C356" s="2">
        <f>IFERROR(VLOOKUP(B356,'General price list'!C:BA,MATCH("PAL",'General price list'!$C$20:$BA$20,0),FALSE),"")</f>
        <v>54</v>
      </c>
      <c r="D356" s="2">
        <f>IFERROR(VLOOKUP(B356,'General price list'!C:BA,MATCH("OBJ",'General price list'!$C$20:$BA$20,0),FALSE),"")</f>
        <v>0</v>
      </c>
      <c r="E356" s="2">
        <f t="shared" si="31"/>
        <v>0</v>
      </c>
      <c r="F356" s="2">
        <f t="shared" si="32"/>
        <v>0</v>
      </c>
      <c r="G356" s="2">
        <f t="shared" si="33"/>
        <v>0</v>
      </c>
      <c r="H356" s="2">
        <f t="shared" si="34"/>
        <v>0</v>
      </c>
      <c r="I356" s="2">
        <f t="shared" si="30"/>
        <v>0</v>
      </c>
      <c r="J356">
        <f>IFERROR(VLOOKUP(B356,'General price list'!C:BA,MATCH("CBM",'General price list'!$C$20:$BA$20,0),FALSE)*(G356*C356),0)</f>
        <v>0</v>
      </c>
    </row>
    <row r="357" spans="2:10" ht="15" customHeight="1">
      <c r="B357" t="s">
        <v>1133</v>
      </c>
      <c r="C357" s="2">
        <f>IFERROR(VLOOKUP(B357,'General price list'!C:BA,MATCH("PAL",'General price list'!$C$20:$BA$20,0),FALSE),"")</f>
        <v>54</v>
      </c>
      <c r="D357" s="2">
        <f>IFERROR(VLOOKUP(B357,'General price list'!C:BA,MATCH("OBJ",'General price list'!$C$20:$BA$20,0),FALSE),"")</f>
        <v>0</v>
      </c>
      <c r="E357" s="2">
        <f t="shared" si="31"/>
        <v>0</v>
      </c>
      <c r="F357" s="2">
        <f t="shared" si="32"/>
        <v>0</v>
      </c>
      <c r="G357" s="2">
        <f t="shared" si="33"/>
        <v>0</v>
      </c>
      <c r="H357" s="2">
        <f t="shared" si="34"/>
        <v>0</v>
      </c>
      <c r="I357" s="2">
        <f t="shared" si="30"/>
        <v>0</v>
      </c>
      <c r="J357">
        <f>IFERROR(VLOOKUP(B357,'General price list'!C:BA,MATCH("CBM",'General price list'!$C$20:$BA$20,0),FALSE)*(G357*C357),0)</f>
        <v>0</v>
      </c>
    </row>
    <row r="358" spans="2:10" ht="15" customHeight="1">
      <c r="B358" t="s">
        <v>1134</v>
      </c>
      <c r="C358" s="2">
        <f>IFERROR(VLOOKUP(B358,'General price list'!C:BA,MATCH("PAL",'General price list'!$C$20:$BA$20,0),FALSE),"")</f>
        <v>54</v>
      </c>
      <c r="D358" s="2">
        <f>IFERROR(VLOOKUP(B358,'General price list'!C:BA,MATCH("OBJ",'General price list'!$C$20:$BA$20,0),FALSE),"")</f>
        <v>0</v>
      </c>
      <c r="E358" s="2">
        <f t="shared" si="31"/>
        <v>0</v>
      </c>
      <c r="F358" s="2">
        <f t="shared" si="32"/>
        <v>0</v>
      </c>
      <c r="G358" s="2">
        <f t="shared" si="33"/>
        <v>0</v>
      </c>
      <c r="H358" s="2">
        <f t="shared" si="34"/>
        <v>0</v>
      </c>
      <c r="I358" s="2">
        <f t="shared" si="30"/>
        <v>0</v>
      </c>
      <c r="J358">
        <f>IFERROR(VLOOKUP(B358,'General price list'!C:BA,MATCH("CBM",'General price list'!$C$20:$BA$20,0),FALSE)*(G358*C358),0)</f>
        <v>0</v>
      </c>
    </row>
    <row r="359" spans="2:10" ht="15" customHeight="1">
      <c r="B359" t="s">
        <v>1156</v>
      </c>
      <c r="C359" s="2">
        <f>IFERROR(VLOOKUP(B359,'General price list'!C:BA,MATCH("PAL",'General price list'!$C$20:$BA$20,0),FALSE),"")</f>
        <v>36</v>
      </c>
      <c r="D359" s="2">
        <f>IFERROR(VLOOKUP(B359,'General price list'!C:BA,MATCH("OBJ",'General price list'!$C$20:$BA$20,0),FALSE),"")</f>
        <v>0</v>
      </c>
      <c r="E359" s="2">
        <f t="shared" si="31"/>
        <v>0</v>
      </c>
      <c r="F359" s="2">
        <f t="shared" si="32"/>
        <v>0</v>
      </c>
      <c r="G359" s="2">
        <f t="shared" si="33"/>
        <v>0</v>
      </c>
      <c r="H359" s="2">
        <f t="shared" si="34"/>
        <v>0</v>
      </c>
      <c r="I359" s="2">
        <f t="shared" si="30"/>
        <v>0</v>
      </c>
      <c r="J359">
        <f>IFERROR(VLOOKUP(B359,'General price list'!C:BA,MATCH("CBM",'General price list'!$C$20:$BA$20,0),FALSE)*(G359*C359),0)</f>
        <v>0</v>
      </c>
    </row>
    <row r="360" spans="2:10" ht="15" customHeight="1">
      <c r="B360" t="s">
        <v>1158</v>
      </c>
      <c r="C360" s="2">
        <f>IFERROR(VLOOKUP(B360,'General price list'!C:BA,MATCH("PAL",'General price list'!$C$20:$BA$20,0),FALSE),"")</f>
        <v>36</v>
      </c>
      <c r="D360" s="2">
        <f>IFERROR(VLOOKUP(B360,'General price list'!C:BA,MATCH("OBJ",'General price list'!$C$20:$BA$20,0),FALSE),"")</f>
        <v>0</v>
      </c>
      <c r="E360" s="2">
        <f t="shared" si="31"/>
        <v>0</v>
      </c>
      <c r="F360" s="2">
        <f t="shared" si="32"/>
        <v>0</v>
      </c>
      <c r="G360" s="2">
        <f t="shared" si="33"/>
        <v>0</v>
      </c>
      <c r="H360" s="2">
        <f t="shared" si="34"/>
        <v>0</v>
      </c>
      <c r="I360" s="2">
        <f t="shared" si="30"/>
        <v>0</v>
      </c>
      <c r="J360">
        <f>IFERROR(VLOOKUP(B360,'General price list'!C:BA,MATCH("CBM",'General price list'!$C$20:$BA$20,0),FALSE)*(G360*C360),0)</f>
        <v>0</v>
      </c>
    </row>
    <row r="361" spans="2:10" ht="15" customHeight="1">
      <c r="B361" t="s">
        <v>1160</v>
      </c>
      <c r="C361" s="2">
        <f>IFERROR(VLOOKUP(B361,'General price list'!C:BA,MATCH("PAL",'General price list'!$C$20:$BA$20,0),FALSE),"")</f>
        <v>36</v>
      </c>
      <c r="D361" s="2">
        <f>IFERROR(VLOOKUP(B361,'General price list'!C:BA,MATCH("OBJ",'General price list'!$C$20:$BA$20,0),FALSE),"")</f>
        <v>0</v>
      </c>
      <c r="E361" s="2">
        <f t="shared" si="31"/>
        <v>0</v>
      </c>
      <c r="F361" s="2">
        <f t="shared" si="32"/>
        <v>0</v>
      </c>
      <c r="G361" s="2">
        <f t="shared" si="33"/>
        <v>0</v>
      </c>
      <c r="H361" s="2">
        <f t="shared" si="34"/>
        <v>0</v>
      </c>
      <c r="I361" s="2">
        <f t="shared" si="30"/>
        <v>0</v>
      </c>
      <c r="J361">
        <f>IFERROR(VLOOKUP(B361,'General price list'!C:BA,MATCH("CBM",'General price list'!$C$20:$BA$20,0),FALSE)*(G361*C361),0)</f>
        <v>0</v>
      </c>
    </row>
    <row r="362" spans="2:10" ht="15" customHeight="1">
      <c r="B362" t="s">
        <v>1161</v>
      </c>
      <c r="C362" s="2">
        <f>IFERROR(VLOOKUP(B362,'General price list'!C:BA,MATCH("PAL",'General price list'!$C$20:$BA$20,0),FALSE),"")</f>
        <v>36</v>
      </c>
      <c r="D362" s="2">
        <f>IFERROR(VLOOKUP(B362,'General price list'!C:BA,MATCH("OBJ",'General price list'!$C$20:$BA$20,0),FALSE),"")</f>
        <v>0</v>
      </c>
      <c r="E362" s="2">
        <f t="shared" si="31"/>
        <v>0</v>
      </c>
      <c r="F362" s="2">
        <f t="shared" si="32"/>
        <v>0</v>
      </c>
      <c r="G362" s="2">
        <f t="shared" si="33"/>
        <v>0</v>
      </c>
      <c r="H362" s="2">
        <f t="shared" si="34"/>
        <v>0</v>
      </c>
      <c r="I362" s="2">
        <f t="shared" si="30"/>
        <v>0</v>
      </c>
      <c r="J362">
        <f>IFERROR(VLOOKUP(B362,'General price list'!C:BA,MATCH("CBM",'General price list'!$C$20:$BA$20,0),FALSE)*(G362*C362),0)</f>
        <v>0</v>
      </c>
    </row>
    <row r="363" spans="2:10" ht="15" customHeight="1">
      <c r="B363" t="s">
        <v>1163</v>
      </c>
      <c r="C363" s="2">
        <f>IFERROR(VLOOKUP(B363,'General price list'!C:BA,MATCH("PAL",'General price list'!$C$20:$BA$20,0),FALSE),"")</f>
        <v>36</v>
      </c>
      <c r="D363" s="2">
        <f>IFERROR(VLOOKUP(B363,'General price list'!C:BA,MATCH("OBJ",'General price list'!$C$20:$BA$20,0),FALSE),"")</f>
        <v>0</v>
      </c>
      <c r="E363" s="2">
        <f t="shared" si="31"/>
        <v>0</v>
      </c>
      <c r="F363" s="2">
        <f t="shared" si="32"/>
        <v>0</v>
      </c>
      <c r="G363" s="2">
        <f t="shared" si="33"/>
        <v>0</v>
      </c>
      <c r="H363" s="2">
        <f t="shared" si="34"/>
        <v>0</v>
      </c>
      <c r="I363" s="2">
        <f t="shared" si="30"/>
        <v>0</v>
      </c>
      <c r="J363">
        <f>IFERROR(VLOOKUP(B363,'General price list'!C:BA,MATCH("CBM",'General price list'!$C$20:$BA$20,0),FALSE)*(G363*C363),0)</f>
        <v>0</v>
      </c>
    </row>
    <row r="364" spans="2:10" ht="15" customHeight="1">
      <c r="B364" t="s">
        <v>1166</v>
      </c>
      <c r="C364" s="2">
        <f>IFERROR(VLOOKUP(B364,'General price list'!C:BA,MATCH("PAL",'General price list'!$C$20:$BA$20,0),FALSE),"")</f>
        <v>36</v>
      </c>
      <c r="D364" s="2">
        <f>IFERROR(VLOOKUP(B364,'General price list'!C:BA,MATCH("OBJ",'General price list'!$C$20:$BA$20,0),FALSE),"")</f>
        <v>0</v>
      </c>
      <c r="E364" s="2">
        <f t="shared" si="31"/>
        <v>0</v>
      </c>
      <c r="F364" s="2">
        <f t="shared" si="32"/>
        <v>0</v>
      </c>
      <c r="G364" s="2">
        <f t="shared" si="33"/>
        <v>0</v>
      </c>
      <c r="H364" s="2">
        <f t="shared" si="34"/>
        <v>0</v>
      </c>
      <c r="I364" s="2">
        <f t="shared" si="30"/>
        <v>0</v>
      </c>
      <c r="J364">
        <f>IFERROR(VLOOKUP(B364,'General price list'!C:BA,MATCH("CBM",'General price list'!$C$20:$BA$20,0),FALSE)*(G364*C364),0)</f>
        <v>0</v>
      </c>
    </row>
    <row r="365" spans="2:10" ht="15" customHeight="1">
      <c r="B365" t="s">
        <v>1168</v>
      </c>
      <c r="C365" s="2">
        <f>IFERROR(VLOOKUP(B365,'General price list'!C:BA,MATCH("PAL",'General price list'!$C$20:$BA$20,0),FALSE),"")</f>
        <v>36</v>
      </c>
      <c r="D365" s="2">
        <f>IFERROR(VLOOKUP(B365,'General price list'!C:BA,MATCH("OBJ",'General price list'!$C$20:$BA$20,0),FALSE),"")</f>
        <v>0</v>
      </c>
      <c r="E365" s="2">
        <f t="shared" si="31"/>
        <v>0</v>
      </c>
      <c r="F365" s="2">
        <f t="shared" si="32"/>
        <v>0</v>
      </c>
      <c r="G365" s="2">
        <f t="shared" si="33"/>
        <v>0</v>
      </c>
      <c r="H365" s="2">
        <f t="shared" si="34"/>
        <v>0</v>
      </c>
      <c r="I365" s="2">
        <f t="shared" si="30"/>
        <v>0</v>
      </c>
      <c r="J365">
        <f>IFERROR(VLOOKUP(B365,'General price list'!C:BA,MATCH("CBM",'General price list'!$C$20:$BA$20,0),FALSE)*(G365*C365),0)</f>
        <v>0</v>
      </c>
    </row>
    <row r="366" spans="2:10" ht="15" customHeight="1">
      <c r="B366" t="s">
        <v>1169</v>
      </c>
      <c r="C366" s="2">
        <f>IFERROR(VLOOKUP(B366,'General price list'!C:BA,MATCH("PAL",'General price list'!$C$20:$BA$20,0),FALSE),"")</f>
        <v>36</v>
      </c>
      <c r="D366" s="2">
        <f>IFERROR(VLOOKUP(B366,'General price list'!C:BA,MATCH("OBJ",'General price list'!$C$20:$BA$20,0),FALSE),"")</f>
        <v>0</v>
      </c>
      <c r="E366" s="2">
        <f t="shared" si="31"/>
        <v>0</v>
      </c>
      <c r="F366" s="2">
        <f t="shared" si="32"/>
        <v>0</v>
      </c>
      <c r="G366" s="2">
        <f t="shared" si="33"/>
        <v>0</v>
      </c>
      <c r="H366" s="2">
        <f t="shared" si="34"/>
        <v>0</v>
      </c>
      <c r="I366" s="2">
        <f t="shared" si="30"/>
        <v>0</v>
      </c>
      <c r="J366">
        <f>IFERROR(VLOOKUP(B366,'General price list'!C:BA,MATCH("CBM",'General price list'!$C$20:$BA$20,0),FALSE)*(G366*C366),0)</f>
        <v>0</v>
      </c>
    </row>
    <row r="367" spans="2:10" ht="15" customHeight="1">
      <c r="B367" t="s">
        <v>1171</v>
      </c>
      <c r="C367" s="2">
        <f>IFERROR(VLOOKUP(B367,'General price list'!C:BA,MATCH("PAL",'General price list'!$C$20:$BA$20,0),FALSE),"")</f>
        <v>36</v>
      </c>
      <c r="D367" s="2">
        <f>IFERROR(VLOOKUP(B367,'General price list'!C:BA,MATCH("OBJ",'General price list'!$C$20:$BA$20,0),FALSE),"")</f>
        <v>0</v>
      </c>
      <c r="E367" s="2">
        <f t="shared" si="31"/>
        <v>0</v>
      </c>
      <c r="F367" s="2">
        <f t="shared" si="32"/>
        <v>0</v>
      </c>
      <c r="G367" s="2">
        <f t="shared" si="33"/>
        <v>0</v>
      </c>
      <c r="H367" s="2">
        <f t="shared" si="34"/>
        <v>0</v>
      </c>
      <c r="I367" s="2">
        <f t="shared" si="30"/>
        <v>0</v>
      </c>
      <c r="J367">
        <f>IFERROR(VLOOKUP(B367,'General price list'!C:BA,MATCH("CBM",'General price list'!$C$20:$BA$20,0),FALSE)*(G367*C367),0)</f>
        <v>0</v>
      </c>
    </row>
    <row r="368" spans="2:10" ht="15" customHeight="1">
      <c r="B368" t="s">
        <v>1172</v>
      </c>
      <c r="C368" s="2">
        <f>IFERROR(VLOOKUP(B368,'General price list'!C:BA,MATCH("PAL",'General price list'!$C$20:$BA$20,0),FALSE),"")</f>
        <v>24</v>
      </c>
      <c r="D368" s="2">
        <f>IFERROR(VLOOKUP(B368,'General price list'!C:BA,MATCH("OBJ",'General price list'!$C$20:$BA$20,0),FALSE),"")</f>
        <v>0</v>
      </c>
      <c r="E368" s="2">
        <f t="shared" si="31"/>
        <v>0</v>
      </c>
      <c r="F368" s="2">
        <f t="shared" si="32"/>
        <v>0</v>
      </c>
      <c r="G368" s="2">
        <f t="shared" si="33"/>
        <v>0</v>
      </c>
      <c r="H368" s="2">
        <f t="shared" si="34"/>
        <v>0</v>
      </c>
      <c r="I368" s="2">
        <f t="shared" si="30"/>
        <v>0</v>
      </c>
      <c r="J368">
        <f>IFERROR(VLOOKUP(B368,'General price list'!C:BA,MATCH("CBM",'General price list'!$C$20:$BA$20,0),FALSE)*(G368*C368),0)</f>
        <v>0</v>
      </c>
    </row>
    <row r="369" spans="2:10" ht="15" customHeight="1">
      <c r="B369" t="s">
        <v>1174</v>
      </c>
      <c r="C369" s="2">
        <f>IFERROR(VLOOKUP(B369,'General price list'!C:BA,MATCH("PAL",'General price list'!$C$20:$BA$20,0),FALSE),"")</f>
        <v>24</v>
      </c>
      <c r="D369" s="2">
        <f>IFERROR(VLOOKUP(B369,'General price list'!C:BA,MATCH("OBJ",'General price list'!$C$20:$BA$20,0),FALSE),"")</f>
        <v>0</v>
      </c>
      <c r="E369" s="2">
        <f t="shared" si="31"/>
        <v>0</v>
      </c>
      <c r="F369" s="2">
        <f t="shared" si="32"/>
        <v>0</v>
      </c>
      <c r="G369" s="2">
        <f t="shared" si="33"/>
        <v>0</v>
      </c>
      <c r="H369" s="2">
        <f t="shared" si="34"/>
        <v>0</v>
      </c>
      <c r="I369" s="2">
        <f t="shared" si="30"/>
        <v>0</v>
      </c>
      <c r="J369">
        <f>IFERROR(VLOOKUP(B369,'General price list'!C:BA,MATCH("CBM",'General price list'!$C$20:$BA$20,0),FALSE)*(G369*C369),0)</f>
        <v>0</v>
      </c>
    </row>
    <row r="370" spans="2:10" ht="15" customHeight="1">
      <c r="B370" t="s">
        <v>1176</v>
      </c>
      <c r="C370" s="2">
        <f>IFERROR(VLOOKUP(B370,'General price list'!C:BA,MATCH("PAL",'General price list'!$C$20:$BA$20,0),FALSE),"")</f>
        <v>24</v>
      </c>
      <c r="D370" s="2">
        <f>IFERROR(VLOOKUP(B370,'General price list'!C:BA,MATCH("OBJ",'General price list'!$C$20:$BA$20,0),FALSE),"")</f>
        <v>0</v>
      </c>
      <c r="E370" s="2">
        <f t="shared" si="31"/>
        <v>0</v>
      </c>
      <c r="F370" s="2">
        <f t="shared" si="32"/>
        <v>0</v>
      </c>
      <c r="G370" s="2">
        <f t="shared" si="33"/>
        <v>0</v>
      </c>
      <c r="H370" s="2">
        <f t="shared" si="34"/>
        <v>0</v>
      </c>
      <c r="I370" s="2">
        <f t="shared" si="30"/>
        <v>0</v>
      </c>
      <c r="J370">
        <f>IFERROR(VLOOKUP(B370,'General price list'!C:BA,MATCH("CBM",'General price list'!$C$20:$BA$20,0),FALSE)*(G370*C370),0)</f>
        <v>0</v>
      </c>
    </row>
    <row r="371" spans="2:10" ht="15" customHeight="1">
      <c r="B371" t="s">
        <v>1179</v>
      </c>
      <c r="C371" s="2">
        <f>IFERROR(VLOOKUP(B371,'General price list'!C:BA,MATCH("PAL",'General price list'!$C$20:$BA$20,0),FALSE),"")</f>
        <v>24</v>
      </c>
      <c r="D371" s="2">
        <f>IFERROR(VLOOKUP(B371,'General price list'!C:BA,MATCH("OBJ",'General price list'!$C$20:$BA$20,0),FALSE),"")</f>
        <v>0</v>
      </c>
      <c r="E371" s="2">
        <f t="shared" si="31"/>
        <v>0</v>
      </c>
      <c r="F371" s="2">
        <f t="shared" si="32"/>
        <v>0</v>
      </c>
      <c r="G371" s="2">
        <f t="shared" si="33"/>
        <v>0</v>
      </c>
      <c r="H371" s="2">
        <f t="shared" si="34"/>
        <v>0</v>
      </c>
      <c r="I371" s="2">
        <f t="shared" si="30"/>
        <v>0</v>
      </c>
      <c r="J371">
        <f>IFERROR(VLOOKUP(B371,'General price list'!C:BA,MATCH("CBM",'General price list'!$C$20:$BA$20,0),FALSE)*(G371*C371),0)</f>
        <v>0</v>
      </c>
    </row>
    <row r="372" spans="2:10" ht="15" customHeight="1">
      <c r="B372" t="s">
        <v>1178</v>
      </c>
      <c r="C372" s="2">
        <f>IFERROR(VLOOKUP(B372,'General price list'!C:BA,MATCH("PAL",'General price list'!$C$20:$BA$20,0),FALSE),"")</f>
        <v>24</v>
      </c>
      <c r="D372" s="2">
        <f>IFERROR(VLOOKUP(B372,'General price list'!C:BA,MATCH("OBJ",'General price list'!$C$20:$BA$20,0),FALSE),"")</f>
        <v>0</v>
      </c>
      <c r="E372" s="2">
        <f t="shared" si="31"/>
        <v>0</v>
      </c>
      <c r="F372" s="2">
        <f t="shared" si="32"/>
        <v>0</v>
      </c>
      <c r="G372" s="2">
        <f t="shared" si="33"/>
        <v>0</v>
      </c>
      <c r="H372" s="2">
        <f t="shared" si="34"/>
        <v>0</v>
      </c>
      <c r="I372" s="2">
        <f t="shared" si="30"/>
        <v>0</v>
      </c>
      <c r="J372">
        <f>IFERROR(VLOOKUP(B372,'General price list'!C:BA,MATCH("CBM",'General price list'!$C$20:$BA$20,0),FALSE)*(G372*C372),0)</f>
        <v>0</v>
      </c>
    </row>
    <row r="373" spans="2:10" ht="15" customHeight="1">
      <c r="B373" t="s">
        <v>2530</v>
      </c>
      <c r="C373" s="2">
        <f>IFERROR(VLOOKUP(B373,'General price list'!C:BA,MATCH("PAL",'General price list'!$C$20:$BA$20,0),FALSE),"")</f>
        <v>48</v>
      </c>
      <c r="D373" s="2">
        <f>IFERROR(VLOOKUP(B373,'General price list'!C:BA,MATCH("OBJ",'General price list'!$C$20:$BA$20,0),FALSE),"")</f>
        <v>0</v>
      </c>
      <c r="E373" s="2">
        <f t="shared" si="31"/>
        <v>0</v>
      </c>
      <c r="F373" s="2">
        <f t="shared" si="32"/>
        <v>0</v>
      </c>
      <c r="G373" s="2">
        <f t="shared" si="33"/>
        <v>0</v>
      </c>
      <c r="H373" s="2">
        <f t="shared" si="34"/>
        <v>0</v>
      </c>
      <c r="I373" s="2">
        <f t="shared" si="30"/>
        <v>0</v>
      </c>
      <c r="J373">
        <f>IFERROR(VLOOKUP(B373,'General price list'!C:BA,MATCH("CBM",'General price list'!$C$20:$BA$20,0),FALSE)*(G373*C373),0)</f>
        <v>0</v>
      </c>
    </row>
    <row r="374" spans="2:10" ht="15" customHeight="1">
      <c r="B374" t="s">
        <v>1182</v>
      </c>
      <c r="C374" s="2">
        <f>IFERROR(VLOOKUP(B374,'General price list'!C:BA,MATCH("PAL",'General price list'!$C$20:$BA$20,0),FALSE),"")</f>
        <v>48</v>
      </c>
      <c r="D374" s="2">
        <f>IFERROR(VLOOKUP(B374,'General price list'!C:BA,MATCH("OBJ",'General price list'!$C$20:$BA$20,0),FALSE),"")</f>
        <v>0</v>
      </c>
      <c r="E374" s="2">
        <f t="shared" si="31"/>
        <v>0</v>
      </c>
      <c r="F374" s="2">
        <f t="shared" si="32"/>
        <v>0</v>
      </c>
      <c r="G374" s="2">
        <f t="shared" si="33"/>
        <v>0</v>
      </c>
      <c r="H374" s="2">
        <f t="shared" si="34"/>
        <v>0</v>
      </c>
      <c r="I374" s="2">
        <f t="shared" si="30"/>
        <v>0</v>
      </c>
      <c r="J374">
        <f>IFERROR(VLOOKUP(B374,'General price list'!C:BA,MATCH("CBM",'General price list'!$C$20:$BA$20,0),FALSE)*(G374*C374),0)</f>
        <v>0</v>
      </c>
    </row>
    <row r="375" spans="2:10" ht="15" customHeight="1">
      <c r="B375" t="s">
        <v>1187</v>
      </c>
      <c r="C375" s="2">
        <f>IFERROR(VLOOKUP(B375,'General price list'!C:BA,MATCH("PAL",'General price list'!$C$20:$BA$20,0),FALSE),"")</f>
        <v>48</v>
      </c>
      <c r="D375" s="2">
        <f>IFERROR(VLOOKUP(B375,'General price list'!C:BA,MATCH("OBJ",'General price list'!$C$20:$BA$20,0),FALSE),"")</f>
        <v>0</v>
      </c>
      <c r="E375" s="2">
        <f t="shared" si="31"/>
        <v>0</v>
      </c>
      <c r="F375" s="2">
        <f t="shared" si="32"/>
        <v>0</v>
      </c>
      <c r="G375" s="2">
        <f t="shared" si="33"/>
        <v>0</v>
      </c>
      <c r="H375" s="2">
        <f t="shared" si="34"/>
        <v>0</v>
      </c>
      <c r="I375" s="2">
        <f t="shared" si="30"/>
        <v>0</v>
      </c>
      <c r="J375">
        <f>IFERROR(VLOOKUP(B375,'General price list'!C:BA,MATCH("CBM",'General price list'!$C$20:$BA$20,0),FALSE)*(G375*C375),0)</f>
        <v>0</v>
      </c>
    </row>
    <row r="376" spans="2:10" ht="15" customHeight="1">
      <c r="B376" t="s">
        <v>1189</v>
      </c>
      <c r="C376" s="2">
        <f>IFERROR(VLOOKUP(B376,'General price list'!C:BA,MATCH("PAL",'General price list'!$C$20:$BA$20,0),FALSE),"")</f>
        <v>48</v>
      </c>
      <c r="D376" s="2">
        <f>IFERROR(VLOOKUP(B376,'General price list'!C:BA,MATCH("OBJ",'General price list'!$C$20:$BA$20,0),FALSE),"")</f>
        <v>0</v>
      </c>
      <c r="E376" s="2">
        <f t="shared" si="31"/>
        <v>0</v>
      </c>
      <c r="F376" s="2">
        <f t="shared" si="32"/>
        <v>0</v>
      </c>
      <c r="G376" s="2">
        <f t="shared" si="33"/>
        <v>0</v>
      </c>
      <c r="H376" s="2">
        <f t="shared" si="34"/>
        <v>0</v>
      </c>
      <c r="I376" s="2">
        <f t="shared" si="30"/>
        <v>0</v>
      </c>
      <c r="J376">
        <f>IFERROR(VLOOKUP(B376,'General price list'!C:BA,MATCH("CBM",'General price list'!$C$20:$BA$20,0),FALSE)*(G376*C376),0)</f>
        <v>0</v>
      </c>
    </row>
    <row r="377" spans="2:10" ht="15" customHeight="1">
      <c r="B377" t="s">
        <v>1191</v>
      </c>
      <c r="C377" s="2">
        <f>IFERROR(VLOOKUP(B377,'General price list'!C:BA,MATCH("PAL",'General price list'!$C$20:$BA$20,0),FALSE),"")</f>
        <v>48</v>
      </c>
      <c r="D377" s="2">
        <f>IFERROR(VLOOKUP(B377,'General price list'!C:BA,MATCH("OBJ",'General price list'!$C$20:$BA$20,0),FALSE),"")</f>
        <v>0</v>
      </c>
      <c r="E377" s="2">
        <f t="shared" si="31"/>
        <v>0</v>
      </c>
      <c r="F377" s="2">
        <f t="shared" si="32"/>
        <v>0</v>
      </c>
      <c r="G377" s="2">
        <f t="shared" si="33"/>
        <v>0</v>
      </c>
      <c r="H377" s="2">
        <f t="shared" si="34"/>
        <v>0</v>
      </c>
      <c r="I377" s="2">
        <f t="shared" si="30"/>
        <v>0</v>
      </c>
      <c r="J377">
        <f>IFERROR(VLOOKUP(B377,'General price list'!C:BA,MATCH("CBM",'General price list'!$C$20:$BA$20,0),FALSE)*(G377*C377),0)</f>
        <v>0</v>
      </c>
    </row>
    <row r="378" spans="2:10" ht="15" customHeight="1">
      <c r="B378" t="s">
        <v>1192</v>
      </c>
      <c r="C378" s="2">
        <f>IFERROR(VLOOKUP(B378,'General price list'!C:BA,MATCH("PAL",'General price list'!$C$20:$BA$20,0),FALSE),"")</f>
        <v>48</v>
      </c>
      <c r="D378" s="2">
        <f>IFERROR(VLOOKUP(B378,'General price list'!C:BA,MATCH("OBJ",'General price list'!$C$20:$BA$20,0),FALSE),"")</f>
        <v>0</v>
      </c>
      <c r="E378" s="2">
        <f t="shared" si="31"/>
        <v>0</v>
      </c>
      <c r="F378" s="2">
        <f t="shared" si="32"/>
        <v>0</v>
      </c>
      <c r="G378" s="2">
        <f t="shared" si="33"/>
        <v>0</v>
      </c>
      <c r="H378" s="2">
        <f t="shared" si="34"/>
        <v>0</v>
      </c>
      <c r="I378" s="2">
        <f t="shared" si="30"/>
        <v>0</v>
      </c>
      <c r="J378">
        <f>IFERROR(VLOOKUP(B378,'General price list'!C:BA,MATCH("CBM",'General price list'!$C$20:$BA$20,0),FALSE)*(G378*C378),0)</f>
        <v>0</v>
      </c>
    </row>
    <row r="379" spans="2:10" ht="15" customHeight="1">
      <c r="B379" t="s">
        <v>1193</v>
      </c>
      <c r="C379" s="2">
        <f>IFERROR(VLOOKUP(B379,'General price list'!C:BA,MATCH("PAL",'General price list'!$C$20:$BA$20,0),FALSE),"")</f>
        <v>18</v>
      </c>
      <c r="D379" s="2">
        <f>IFERROR(VLOOKUP(B379,'General price list'!C:BA,MATCH("OBJ",'General price list'!$C$20:$BA$20,0),FALSE),"")</f>
        <v>0</v>
      </c>
      <c r="E379" s="2">
        <f t="shared" si="31"/>
        <v>0</v>
      </c>
      <c r="F379" s="2">
        <f t="shared" si="32"/>
        <v>0</v>
      </c>
      <c r="G379" s="2">
        <f t="shared" si="33"/>
        <v>0</v>
      </c>
      <c r="H379" s="2">
        <f t="shared" si="34"/>
        <v>0</v>
      </c>
      <c r="I379" s="2">
        <f t="shared" si="30"/>
        <v>0</v>
      </c>
      <c r="J379">
        <f>IFERROR(VLOOKUP(B379,'General price list'!C:BA,MATCH("CBM",'General price list'!$C$20:$BA$20,0),FALSE)*(G379*C379),0)</f>
        <v>0</v>
      </c>
    </row>
    <row r="380" spans="2:10" ht="15" customHeight="1">
      <c r="B380" t="s">
        <v>1197</v>
      </c>
      <c r="C380" s="2">
        <f>IFERROR(VLOOKUP(B380,'General price list'!C:BA,MATCH("PAL",'General price list'!$C$20:$BA$20,0),FALSE),"")</f>
        <v>18</v>
      </c>
      <c r="D380" s="2">
        <f>IFERROR(VLOOKUP(B380,'General price list'!C:BA,MATCH("OBJ",'General price list'!$C$20:$BA$20,0),FALSE),"")</f>
        <v>0</v>
      </c>
      <c r="E380" s="2">
        <f t="shared" si="31"/>
        <v>0</v>
      </c>
      <c r="F380" s="2">
        <f t="shared" si="32"/>
        <v>0</v>
      </c>
      <c r="G380" s="2">
        <f t="shared" si="33"/>
        <v>0</v>
      </c>
      <c r="H380" s="2">
        <f t="shared" si="34"/>
        <v>0</v>
      </c>
      <c r="I380" s="2">
        <f t="shared" si="30"/>
        <v>0</v>
      </c>
      <c r="J380">
        <f>IFERROR(VLOOKUP(B380,'General price list'!C:BA,MATCH("CBM",'General price list'!$C$20:$BA$20,0),FALSE)*(G380*C380),0)</f>
        <v>0</v>
      </c>
    </row>
    <row r="381" spans="2:10" ht="15" customHeight="1">
      <c r="B381" t="s">
        <v>1199</v>
      </c>
      <c r="C381" s="2">
        <f>IFERROR(VLOOKUP(B381,'General price list'!C:BA,MATCH("PAL",'General price list'!$C$20:$BA$20,0),FALSE),"")</f>
        <v>18</v>
      </c>
      <c r="D381" s="2">
        <f>IFERROR(VLOOKUP(B381,'General price list'!C:BA,MATCH("OBJ",'General price list'!$C$20:$BA$20,0),FALSE),"")</f>
        <v>0</v>
      </c>
      <c r="E381" s="2">
        <f t="shared" si="31"/>
        <v>0</v>
      </c>
      <c r="F381" s="2">
        <f t="shared" si="32"/>
        <v>0</v>
      </c>
      <c r="G381" s="2">
        <f t="shared" si="33"/>
        <v>0</v>
      </c>
      <c r="H381" s="2">
        <f t="shared" si="34"/>
        <v>0</v>
      </c>
      <c r="I381" s="2">
        <f t="shared" si="30"/>
        <v>0</v>
      </c>
      <c r="J381">
        <f>IFERROR(VLOOKUP(B381,'General price list'!C:BA,MATCH("CBM",'General price list'!$C$20:$BA$20,0),FALSE)*(G381*C381),0)</f>
        <v>0</v>
      </c>
    </row>
    <row r="382" spans="2:10" ht="15" customHeight="1">
      <c r="B382" t="s">
        <v>1202</v>
      </c>
      <c r="C382" s="2">
        <f>IFERROR(VLOOKUP(B382,'General price list'!C:BA,MATCH("PAL",'General price list'!$C$20:$BA$20,0),FALSE),"")</f>
        <v>18</v>
      </c>
      <c r="D382" s="2">
        <f>IFERROR(VLOOKUP(B382,'General price list'!C:BA,MATCH("OBJ",'General price list'!$C$20:$BA$20,0),FALSE),"")</f>
        <v>0</v>
      </c>
      <c r="E382" s="2">
        <f t="shared" si="31"/>
        <v>0</v>
      </c>
      <c r="F382" s="2">
        <f t="shared" si="32"/>
        <v>0</v>
      </c>
      <c r="G382" s="2">
        <f t="shared" si="33"/>
        <v>0</v>
      </c>
      <c r="H382" s="2">
        <f t="shared" si="34"/>
        <v>0</v>
      </c>
      <c r="I382" s="2">
        <f t="shared" si="30"/>
        <v>0</v>
      </c>
      <c r="J382">
        <f>IFERROR(VLOOKUP(B382,'General price list'!C:BA,MATCH("CBM",'General price list'!$C$20:$BA$20,0),FALSE)*(G382*C382),0)</f>
        <v>0</v>
      </c>
    </row>
    <row r="383" spans="2:10" ht="15" customHeight="1">
      <c r="B383" t="s">
        <v>1203</v>
      </c>
      <c r="C383" s="2">
        <f>IFERROR(VLOOKUP(B383,'General price list'!C:BA,MATCH("PAL",'General price list'!$C$20:$BA$20,0),FALSE),"")</f>
        <v>18</v>
      </c>
      <c r="D383" s="2">
        <f>IFERROR(VLOOKUP(B383,'General price list'!C:BA,MATCH("OBJ",'General price list'!$C$20:$BA$20,0),FALSE),"")</f>
        <v>0</v>
      </c>
      <c r="E383" s="2">
        <f t="shared" si="31"/>
        <v>0</v>
      </c>
      <c r="F383" s="2">
        <f t="shared" si="32"/>
        <v>0</v>
      </c>
      <c r="G383" s="2">
        <f t="shared" si="33"/>
        <v>0</v>
      </c>
      <c r="H383" s="2">
        <f t="shared" si="34"/>
        <v>0</v>
      </c>
      <c r="I383" s="2">
        <f t="shared" si="30"/>
        <v>0</v>
      </c>
      <c r="J383">
        <f>IFERROR(VLOOKUP(B383,'General price list'!C:BA,MATCH("CBM",'General price list'!$C$20:$BA$20,0),FALSE)*(G383*C383),0)</f>
        <v>0</v>
      </c>
    </row>
    <row r="384" spans="2:10" ht="15" customHeight="1">
      <c r="B384" t="s">
        <v>1204</v>
      </c>
      <c r="C384" s="2">
        <f>IFERROR(VLOOKUP(B384,'General price list'!C:BA,MATCH("PAL",'General price list'!$C$20:$BA$20,0),FALSE),"")</f>
        <v>24</v>
      </c>
      <c r="D384" s="2">
        <f>IFERROR(VLOOKUP(B384,'General price list'!C:BA,MATCH("OBJ",'General price list'!$C$20:$BA$20,0),FALSE),"")</f>
        <v>0</v>
      </c>
      <c r="E384" s="2">
        <f t="shared" si="31"/>
        <v>0</v>
      </c>
      <c r="F384" s="2">
        <f t="shared" si="32"/>
        <v>0</v>
      </c>
      <c r="G384" s="2">
        <f t="shared" si="33"/>
        <v>0</v>
      </c>
      <c r="H384" s="2">
        <f t="shared" si="34"/>
        <v>0</v>
      </c>
      <c r="I384" s="2">
        <f t="shared" si="30"/>
        <v>0</v>
      </c>
      <c r="J384">
        <f>IFERROR(VLOOKUP(B384,'General price list'!C:BA,MATCH("CBM",'General price list'!$C$20:$BA$20,0),FALSE)*(G384*C384),0)</f>
        <v>0</v>
      </c>
    </row>
    <row r="385" spans="2:10" ht="15" customHeight="1">
      <c r="B385" t="s">
        <v>1205</v>
      </c>
      <c r="C385" s="2">
        <f>IFERROR(VLOOKUP(B385,'General price list'!C:BA,MATCH("PAL",'General price list'!$C$20:$BA$20,0),FALSE),"")</f>
        <v>24</v>
      </c>
      <c r="D385" s="2">
        <f>IFERROR(VLOOKUP(B385,'General price list'!C:BA,MATCH("OBJ",'General price list'!$C$20:$BA$20,0),FALSE),"")</f>
        <v>0</v>
      </c>
      <c r="E385" s="2">
        <f t="shared" si="31"/>
        <v>0</v>
      </c>
      <c r="F385" s="2">
        <f t="shared" si="32"/>
        <v>0</v>
      </c>
      <c r="G385" s="2">
        <f t="shared" si="33"/>
        <v>0</v>
      </c>
      <c r="H385" s="2">
        <f t="shared" si="34"/>
        <v>0</v>
      </c>
      <c r="I385" s="2">
        <f t="shared" si="30"/>
        <v>0</v>
      </c>
      <c r="J385">
        <f>IFERROR(VLOOKUP(B385,'General price list'!C:BA,MATCH("CBM",'General price list'!$C$20:$BA$20,0),FALSE)*(G385*C385),0)</f>
        <v>0</v>
      </c>
    </row>
    <row r="386" spans="2:10" ht="15" customHeight="1">
      <c r="B386" t="s">
        <v>1207</v>
      </c>
      <c r="C386" s="2">
        <f>IFERROR(VLOOKUP(B386,'General price list'!C:BA,MATCH("PAL",'General price list'!$C$20:$BA$20,0),FALSE),"")</f>
        <v>24</v>
      </c>
      <c r="D386" s="2">
        <f>IFERROR(VLOOKUP(B386,'General price list'!C:BA,MATCH("OBJ",'General price list'!$C$20:$BA$20,0),FALSE),"")</f>
        <v>0</v>
      </c>
      <c r="E386" s="2">
        <f t="shared" si="31"/>
        <v>0</v>
      </c>
      <c r="F386" s="2">
        <f t="shared" si="32"/>
        <v>0</v>
      </c>
      <c r="G386" s="2">
        <f t="shared" si="33"/>
        <v>0</v>
      </c>
      <c r="H386" s="2">
        <f t="shared" si="34"/>
        <v>0</v>
      </c>
      <c r="I386" s="2">
        <f t="shared" si="30"/>
        <v>0</v>
      </c>
      <c r="J386">
        <f>IFERROR(VLOOKUP(B386,'General price list'!C:BA,MATCH("CBM",'General price list'!$C$20:$BA$20,0),FALSE)*(G386*C386),0)</f>
        <v>0</v>
      </c>
    </row>
    <row r="387" spans="2:10" ht="15" customHeight="1">
      <c r="B387" t="s">
        <v>1209</v>
      </c>
      <c r="C387" s="2">
        <f>IFERROR(VLOOKUP(B387,'General price list'!C:BA,MATCH("PAL",'General price list'!$C$20:$BA$20,0),FALSE),"")</f>
        <v>24</v>
      </c>
      <c r="D387" s="2">
        <f>IFERROR(VLOOKUP(B387,'General price list'!C:BA,MATCH("OBJ",'General price list'!$C$20:$BA$20,0),FALSE),"")</f>
        <v>0</v>
      </c>
      <c r="E387" s="2">
        <f t="shared" si="31"/>
        <v>0</v>
      </c>
      <c r="F387" s="2">
        <f t="shared" si="32"/>
        <v>0</v>
      </c>
      <c r="G387" s="2">
        <f t="shared" si="33"/>
        <v>0</v>
      </c>
      <c r="H387" s="2">
        <f t="shared" si="34"/>
        <v>0</v>
      </c>
      <c r="I387" s="2">
        <f t="shared" si="30"/>
        <v>0</v>
      </c>
      <c r="J387">
        <f>IFERROR(VLOOKUP(B387,'General price list'!C:BA,MATCH("CBM",'General price list'!$C$20:$BA$20,0),FALSE)*(G387*C387),0)</f>
        <v>0</v>
      </c>
    </row>
    <row r="388" spans="2:10" ht="15" customHeight="1">
      <c r="B388" t="s">
        <v>1210</v>
      </c>
      <c r="C388" s="2">
        <f>IFERROR(VLOOKUP(B388,'General price list'!C:BA,MATCH("PAL",'General price list'!$C$20:$BA$20,0),FALSE),"")</f>
        <v>24</v>
      </c>
      <c r="D388" s="2">
        <f>IFERROR(VLOOKUP(B388,'General price list'!C:BA,MATCH("OBJ",'General price list'!$C$20:$BA$20,0),FALSE),"")</f>
        <v>0</v>
      </c>
      <c r="E388" s="2">
        <f t="shared" si="31"/>
        <v>0</v>
      </c>
      <c r="F388" s="2">
        <f t="shared" si="32"/>
        <v>0</v>
      </c>
      <c r="G388" s="2">
        <f t="shared" si="33"/>
        <v>0</v>
      </c>
      <c r="H388" s="2">
        <f t="shared" si="34"/>
        <v>0</v>
      </c>
      <c r="I388" s="2">
        <f t="shared" ref="I388:I451" si="35">IFERROR(IF(D388=0,0,IF(F388=0,(D388*nextVK)+(prvniVK-nextVK),(G388*C388*nextVK)+(F388*PALzKoje))),0)</f>
        <v>0</v>
      </c>
      <c r="J388">
        <f>IFERROR(VLOOKUP(B388,'General price list'!C:BA,MATCH("CBM",'General price list'!$C$20:$BA$20,0),FALSE)*(G388*C388),0)</f>
        <v>0</v>
      </c>
    </row>
    <row r="389" spans="2:10" ht="15" customHeight="1">
      <c r="B389" t="s">
        <v>5152</v>
      </c>
      <c r="C389" s="2">
        <f>IFERROR(VLOOKUP(B389,'General price list'!C:BA,MATCH("PAL",'General price list'!$C$20:$BA$20,0),FALSE),"")</f>
        <v>24</v>
      </c>
      <c r="D389" s="2">
        <f>IFERROR(VLOOKUP(B389,'General price list'!C:BA,MATCH("OBJ",'General price list'!$C$20:$BA$20,0),FALSE),"")</f>
        <v>0</v>
      </c>
      <c r="E389" s="2">
        <f t="shared" ref="E389:E452" si="36">IFERROR(D389/C389,0)</f>
        <v>0</v>
      </c>
      <c r="F389" s="2">
        <f t="shared" ref="F389:F452" si="37">IFERROR(FLOOR(IF(E389-1&lt;0,0,E389),1),0)</f>
        <v>0</v>
      </c>
      <c r="G389" s="2">
        <f t="shared" ref="G389:G452" si="38">IFERROR(IF(H389&gt;E389,F389-E389,E389-F389),0)</f>
        <v>0</v>
      </c>
      <c r="H389" s="2">
        <f t="shared" ref="H389:H452" si="39">IFERROR(IF(E389=0,0,F389),0)</f>
        <v>0</v>
      </c>
      <c r="I389" s="2">
        <f t="shared" si="35"/>
        <v>0</v>
      </c>
      <c r="J389">
        <f>IFERROR(VLOOKUP(B389,'General price list'!C:BA,MATCH("CBM",'General price list'!$C$20:$BA$20,0),FALSE)*(G389*C389),0)</f>
        <v>0</v>
      </c>
    </row>
    <row r="390" spans="2:10" ht="15" customHeight="1">
      <c r="B390" t="s">
        <v>1211</v>
      </c>
      <c r="C390" s="2">
        <f>IFERROR(VLOOKUP(B390,'General price list'!C:BA,MATCH("PAL",'General price list'!$C$20:$BA$20,0),FALSE),"")</f>
        <v>24</v>
      </c>
      <c r="D390" s="2">
        <f>IFERROR(VLOOKUP(B390,'General price list'!C:BA,MATCH("OBJ",'General price list'!$C$20:$BA$20,0),FALSE),"")</f>
        <v>0</v>
      </c>
      <c r="E390" s="2">
        <f t="shared" si="36"/>
        <v>0</v>
      </c>
      <c r="F390" s="2">
        <f t="shared" si="37"/>
        <v>0</v>
      </c>
      <c r="G390" s="2">
        <f t="shared" si="38"/>
        <v>0</v>
      </c>
      <c r="H390" s="2">
        <f t="shared" si="39"/>
        <v>0</v>
      </c>
      <c r="I390" s="2">
        <f t="shared" si="35"/>
        <v>0</v>
      </c>
      <c r="J390">
        <f>IFERROR(VLOOKUP(B390,'General price list'!C:BA,MATCH("CBM",'General price list'!$C$20:$BA$20,0),FALSE)*(G390*C390),0)</f>
        <v>0</v>
      </c>
    </row>
    <row r="391" spans="2:10" ht="15" customHeight="1">
      <c r="B391" t="s">
        <v>2531</v>
      </c>
      <c r="C391" s="2">
        <f>IFERROR(VLOOKUP(B391,'General price list'!C:BA,MATCH("PAL",'General price list'!$C$20:$BA$20,0),FALSE),"")</f>
        <v>22</v>
      </c>
      <c r="D391" s="2">
        <f>IFERROR(VLOOKUP(B391,'General price list'!C:BA,MATCH("OBJ",'General price list'!$C$20:$BA$20,0),FALSE),"")</f>
        <v>0</v>
      </c>
      <c r="E391" s="2">
        <f t="shared" si="36"/>
        <v>0</v>
      </c>
      <c r="F391" s="2">
        <f t="shared" si="37"/>
        <v>0</v>
      </c>
      <c r="G391" s="2">
        <f t="shared" si="38"/>
        <v>0</v>
      </c>
      <c r="H391" s="2">
        <f t="shared" si="39"/>
        <v>0</v>
      </c>
      <c r="I391" s="2">
        <f t="shared" si="35"/>
        <v>0</v>
      </c>
      <c r="J391">
        <f>IFERROR(VLOOKUP(B391,'General price list'!C:BA,MATCH("CBM",'General price list'!$C$20:$BA$20,0),FALSE)*(G391*C391),0)</f>
        <v>0</v>
      </c>
    </row>
    <row r="392" spans="2:10" ht="15" customHeight="1">
      <c r="B392" t="s">
        <v>2532</v>
      </c>
      <c r="C392" s="2">
        <f>IFERROR(VLOOKUP(B392,'General price list'!C:BA,MATCH("PAL",'General price list'!$C$20:$BA$20,0),FALSE),"")</f>
        <v>22</v>
      </c>
      <c r="D392" s="2">
        <f>IFERROR(VLOOKUP(B392,'General price list'!C:BA,MATCH("OBJ",'General price list'!$C$20:$BA$20,0),FALSE),"")</f>
        <v>0</v>
      </c>
      <c r="E392" s="2">
        <f t="shared" si="36"/>
        <v>0</v>
      </c>
      <c r="F392" s="2">
        <f t="shared" si="37"/>
        <v>0</v>
      </c>
      <c r="G392" s="2">
        <f t="shared" si="38"/>
        <v>0</v>
      </c>
      <c r="H392" s="2">
        <f t="shared" si="39"/>
        <v>0</v>
      </c>
      <c r="I392" s="2">
        <f t="shared" si="35"/>
        <v>0</v>
      </c>
      <c r="J392">
        <f>IFERROR(VLOOKUP(B392,'General price list'!C:BA,MATCH("CBM",'General price list'!$C$20:$BA$20,0),FALSE)*(G392*C392),0)</f>
        <v>0</v>
      </c>
    </row>
    <row r="393" spans="2:10" ht="15" customHeight="1">
      <c r="B393" t="s">
        <v>5154</v>
      </c>
      <c r="C393" s="2">
        <f>IFERROR(VLOOKUP(B393,'General price list'!C:BA,MATCH("PAL",'General price list'!$C$20:$BA$20,0),FALSE),"")</f>
        <v>22</v>
      </c>
      <c r="D393" s="2">
        <f>IFERROR(VLOOKUP(B393,'General price list'!C:BA,MATCH("OBJ",'General price list'!$C$20:$BA$20,0),FALSE),"")</f>
        <v>0</v>
      </c>
      <c r="E393" s="2">
        <f t="shared" si="36"/>
        <v>0</v>
      </c>
      <c r="F393" s="2">
        <f t="shared" si="37"/>
        <v>0</v>
      </c>
      <c r="G393" s="2">
        <f t="shared" si="38"/>
        <v>0</v>
      </c>
      <c r="H393" s="2">
        <f t="shared" si="39"/>
        <v>0</v>
      </c>
      <c r="I393" s="2">
        <f t="shared" si="35"/>
        <v>0</v>
      </c>
      <c r="J393">
        <f>IFERROR(VLOOKUP(B393,'General price list'!C:BA,MATCH("CBM",'General price list'!$C$20:$BA$20,0),FALSE)*(G393*C393),0)</f>
        <v>0</v>
      </c>
    </row>
    <row r="394" spans="2:10" ht="15" customHeight="1">
      <c r="B394" t="s">
        <v>2533</v>
      </c>
      <c r="C394" s="2">
        <f>IFERROR(VLOOKUP(B394,'General price list'!C:BA,MATCH("PAL",'General price list'!$C$20:$BA$20,0),FALSE),"")</f>
        <v>22</v>
      </c>
      <c r="D394" s="2">
        <f>IFERROR(VLOOKUP(B394,'General price list'!C:BA,MATCH("OBJ",'General price list'!$C$20:$BA$20,0),FALSE),"")</f>
        <v>0</v>
      </c>
      <c r="E394" s="2">
        <f t="shared" si="36"/>
        <v>0</v>
      </c>
      <c r="F394" s="2">
        <f t="shared" si="37"/>
        <v>0</v>
      </c>
      <c r="G394" s="2">
        <f t="shared" si="38"/>
        <v>0</v>
      </c>
      <c r="H394" s="2">
        <f t="shared" si="39"/>
        <v>0</v>
      </c>
      <c r="I394" s="2">
        <f t="shared" si="35"/>
        <v>0</v>
      </c>
      <c r="J394">
        <f>IFERROR(VLOOKUP(B394,'General price list'!C:BA,MATCH("CBM",'General price list'!$C$20:$BA$20,0),FALSE)*(G394*C394),0)</f>
        <v>0</v>
      </c>
    </row>
    <row r="395" spans="2:10" ht="15" customHeight="1">
      <c r="B395" t="s">
        <v>1212</v>
      </c>
      <c r="C395" s="2">
        <f>IFERROR(VLOOKUP(B395,'General price list'!C:BA,MATCH("PAL",'General price list'!$C$20:$BA$20,0),FALSE),"")</f>
        <v>45</v>
      </c>
      <c r="D395" s="2">
        <f>IFERROR(VLOOKUP(B395,'General price list'!C:BA,MATCH("OBJ",'General price list'!$C$20:$BA$20,0),FALSE),"")</f>
        <v>0</v>
      </c>
      <c r="E395" s="2">
        <f t="shared" si="36"/>
        <v>0</v>
      </c>
      <c r="F395" s="2">
        <f t="shared" si="37"/>
        <v>0</v>
      </c>
      <c r="G395" s="2">
        <f t="shared" si="38"/>
        <v>0</v>
      </c>
      <c r="H395" s="2">
        <f t="shared" si="39"/>
        <v>0</v>
      </c>
      <c r="I395" s="2">
        <f t="shared" si="35"/>
        <v>0</v>
      </c>
      <c r="J395">
        <f>IFERROR(VLOOKUP(B395,'General price list'!C:BA,MATCH("CBM",'General price list'!$C$20:$BA$20,0),FALSE)*(G395*C395),0)</f>
        <v>0</v>
      </c>
    </row>
    <row r="396" spans="2:10" ht="15" customHeight="1">
      <c r="B396" t="s">
        <v>1217</v>
      </c>
      <c r="C396" s="2">
        <f>IFERROR(VLOOKUP(B396,'General price list'!C:BA,MATCH("PAL",'General price list'!$C$20:$BA$20,0),FALSE),"")</f>
        <v>45</v>
      </c>
      <c r="D396" s="2">
        <f>IFERROR(VLOOKUP(B396,'General price list'!C:BA,MATCH("OBJ",'General price list'!$C$20:$BA$20,0),FALSE),"")</f>
        <v>0</v>
      </c>
      <c r="E396" s="2">
        <f t="shared" si="36"/>
        <v>0</v>
      </c>
      <c r="F396" s="2">
        <f t="shared" si="37"/>
        <v>0</v>
      </c>
      <c r="G396" s="2">
        <f t="shared" si="38"/>
        <v>0</v>
      </c>
      <c r="H396" s="2">
        <f t="shared" si="39"/>
        <v>0</v>
      </c>
      <c r="I396" s="2">
        <f t="shared" si="35"/>
        <v>0</v>
      </c>
      <c r="J396">
        <f>IFERROR(VLOOKUP(B396,'General price list'!C:BA,MATCH("CBM",'General price list'!$C$20:$BA$20,0),FALSE)*(G396*C396),0)</f>
        <v>0</v>
      </c>
    </row>
    <row r="397" spans="2:10" ht="15" customHeight="1">
      <c r="B397" t="s">
        <v>2534</v>
      </c>
      <c r="C397" s="2">
        <f>IFERROR(VLOOKUP(B397,'General price list'!C:BA,MATCH("PAL",'General price list'!$C$20:$BA$20,0),FALSE),"")</f>
        <v>36</v>
      </c>
      <c r="D397" s="2">
        <f>IFERROR(VLOOKUP(B397,'General price list'!C:BA,MATCH("OBJ",'General price list'!$C$20:$BA$20,0),FALSE),"")</f>
        <v>0</v>
      </c>
      <c r="E397" s="2">
        <f t="shared" si="36"/>
        <v>0</v>
      </c>
      <c r="F397" s="2">
        <f t="shared" si="37"/>
        <v>0</v>
      </c>
      <c r="G397" s="2">
        <f t="shared" si="38"/>
        <v>0</v>
      </c>
      <c r="H397" s="2">
        <f t="shared" si="39"/>
        <v>0</v>
      </c>
      <c r="I397" s="2">
        <f t="shared" si="35"/>
        <v>0</v>
      </c>
      <c r="J397">
        <f>IFERROR(VLOOKUP(B397,'General price list'!C:BA,MATCH("CBM",'General price list'!$C$20:$BA$20,0),FALSE)*(G397*C397),0)</f>
        <v>0</v>
      </c>
    </row>
    <row r="398" spans="2:10" ht="15" customHeight="1">
      <c r="B398" t="s">
        <v>1219</v>
      </c>
      <c r="C398" s="2">
        <f>IFERROR(VLOOKUP(B398,'General price list'!C:BA,MATCH("PAL",'General price list'!$C$20:$BA$20,0),FALSE),"")</f>
        <v>36</v>
      </c>
      <c r="D398" s="2">
        <f>IFERROR(VLOOKUP(B398,'General price list'!C:BA,MATCH("OBJ",'General price list'!$C$20:$BA$20,0),FALSE),"")</f>
        <v>0</v>
      </c>
      <c r="E398" s="2">
        <f t="shared" si="36"/>
        <v>0</v>
      </c>
      <c r="F398" s="2">
        <f t="shared" si="37"/>
        <v>0</v>
      </c>
      <c r="G398" s="2">
        <f t="shared" si="38"/>
        <v>0</v>
      </c>
      <c r="H398" s="2">
        <f t="shared" si="39"/>
        <v>0</v>
      </c>
      <c r="I398" s="2">
        <f t="shared" si="35"/>
        <v>0</v>
      </c>
      <c r="J398">
        <f>IFERROR(VLOOKUP(B398,'General price list'!C:BA,MATCH("CBM",'General price list'!$C$20:$BA$20,0),FALSE)*(G398*C398),0)</f>
        <v>0</v>
      </c>
    </row>
    <row r="399" spans="2:10" ht="15" customHeight="1">
      <c r="B399" t="s">
        <v>1224</v>
      </c>
      <c r="C399" s="2">
        <f>IFERROR(VLOOKUP(B399,'General price list'!C:BA,MATCH("PAL",'General price list'!$C$20:$BA$20,0),FALSE),"")</f>
        <v>36</v>
      </c>
      <c r="D399" s="2">
        <f>IFERROR(VLOOKUP(B399,'General price list'!C:BA,MATCH("OBJ",'General price list'!$C$20:$BA$20,0),FALSE),"")</f>
        <v>0</v>
      </c>
      <c r="E399" s="2">
        <f t="shared" si="36"/>
        <v>0</v>
      </c>
      <c r="F399" s="2">
        <f t="shared" si="37"/>
        <v>0</v>
      </c>
      <c r="G399" s="2">
        <f t="shared" si="38"/>
        <v>0</v>
      </c>
      <c r="H399" s="2">
        <f t="shared" si="39"/>
        <v>0</v>
      </c>
      <c r="I399" s="2">
        <f t="shared" si="35"/>
        <v>0</v>
      </c>
      <c r="J399">
        <f>IFERROR(VLOOKUP(B399,'General price list'!C:BA,MATCH("CBM",'General price list'!$C$20:$BA$20,0),FALSE)*(G399*C399),0)</f>
        <v>0</v>
      </c>
    </row>
    <row r="400" spans="2:10" ht="15" customHeight="1">
      <c r="B400" t="s">
        <v>1225</v>
      </c>
      <c r="C400" s="2">
        <f>IFERROR(VLOOKUP(B400,'General price list'!C:BA,MATCH("PAL",'General price list'!$C$20:$BA$20,0),FALSE),"")</f>
        <v>20</v>
      </c>
      <c r="D400" s="2">
        <f>IFERROR(VLOOKUP(B400,'General price list'!C:BA,MATCH("OBJ",'General price list'!$C$20:$BA$20,0),FALSE),"")</f>
        <v>0</v>
      </c>
      <c r="E400" s="2">
        <f t="shared" si="36"/>
        <v>0</v>
      </c>
      <c r="F400" s="2">
        <f t="shared" si="37"/>
        <v>0</v>
      </c>
      <c r="G400" s="2">
        <f t="shared" si="38"/>
        <v>0</v>
      </c>
      <c r="H400" s="2">
        <f t="shared" si="39"/>
        <v>0</v>
      </c>
      <c r="I400" s="2">
        <f t="shared" si="35"/>
        <v>0</v>
      </c>
      <c r="J400">
        <f>IFERROR(VLOOKUP(B400,'General price list'!C:BA,MATCH("CBM",'General price list'!$C$20:$BA$20,0),FALSE)*(G400*C400),0)</f>
        <v>0</v>
      </c>
    </row>
    <row r="401" spans="2:10" ht="15" customHeight="1">
      <c r="B401" t="s">
        <v>1229</v>
      </c>
      <c r="C401" s="2">
        <f>IFERROR(VLOOKUP(B401,'General price list'!C:BA,MATCH("PAL",'General price list'!$C$20:$BA$20,0),FALSE),"")</f>
        <v>20</v>
      </c>
      <c r="D401" s="2">
        <f>IFERROR(VLOOKUP(B401,'General price list'!C:BA,MATCH("OBJ",'General price list'!$C$20:$BA$20,0),FALSE),"")</f>
        <v>0</v>
      </c>
      <c r="E401" s="2">
        <f t="shared" si="36"/>
        <v>0</v>
      </c>
      <c r="F401" s="2">
        <f t="shared" si="37"/>
        <v>0</v>
      </c>
      <c r="G401" s="2">
        <f t="shared" si="38"/>
        <v>0</v>
      </c>
      <c r="H401" s="2">
        <f t="shared" si="39"/>
        <v>0</v>
      </c>
      <c r="I401" s="2">
        <f t="shared" si="35"/>
        <v>0</v>
      </c>
      <c r="J401">
        <f>IFERROR(VLOOKUP(B401,'General price list'!C:BA,MATCH("CBM",'General price list'!$C$20:$BA$20,0),FALSE)*(G401*C401),0)</f>
        <v>0</v>
      </c>
    </row>
    <row r="402" spans="2:10" ht="15" customHeight="1">
      <c r="B402" t="s">
        <v>1232</v>
      </c>
      <c r="C402" s="2">
        <f>IFERROR(VLOOKUP(B402,'General price list'!C:BA,MATCH("PAL",'General price list'!$C$20:$BA$20,0),FALSE),"")</f>
        <v>20</v>
      </c>
      <c r="D402" s="2">
        <f>IFERROR(VLOOKUP(B402,'General price list'!C:BA,MATCH("OBJ",'General price list'!$C$20:$BA$20,0),FALSE),"")</f>
        <v>0</v>
      </c>
      <c r="E402" s="2">
        <f t="shared" si="36"/>
        <v>0</v>
      </c>
      <c r="F402" s="2">
        <f t="shared" si="37"/>
        <v>0</v>
      </c>
      <c r="G402" s="2">
        <f t="shared" si="38"/>
        <v>0</v>
      </c>
      <c r="H402" s="2">
        <f t="shared" si="39"/>
        <v>0</v>
      </c>
      <c r="I402" s="2">
        <f t="shared" si="35"/>
        <v>0</v>
      </c>
      <c r="J402">
        <f>IFERROR(VLOOKUP(B402,'General price list'!C:BA,MATCH("CBM",'General price list'!$C$20:$BA$20,0),FALSE)*(G402*C402),0)</f>
        <v>0</v>
      </c>
    </row>
    <row r="403" spans="2:10" ht="15" customHeight="1">
      <c r="B403" t="s">
        <v>1236</v>
      </c>
      <c r="C403" s="2">
        <f>IFERROR(VLOOKUP(B403,'General price list'!C:BA,MATCH("PAL",'General price list'!$C$20:$BA$20,0),FALSE),"")</f>
        <v>20</v>
      </c>
      <c r="D403" s="2">
        <f>IFERROR(VLOOKUP(B403,'General price list'!C:BA,MATCH("OBJ",'General price list'!$C$20:$BA$20,0),FALSE),"")</f>
        <v>0</v>
      </c>
      <c r="E403" s="2">
        <f t="shared" si="36"/>
        <v>0</v>
      </c>
      <c r="F403" s="2">
        <f t="shared" si="37"/>
        <v>0</v>
      </c>
      <c r="G403" s="2">
        <f t="shared" si="38"/>
        <v>0</v>
      </c>
      <c r="H403" s="2">
        <f t="shared" si="39"/>
        <v>0</v>
      </c>
      <c r="I403" s="2">
        <f t="shared" si="35"/>
        <v>0</v>
      </c>
      <c r="J403">
        <f>IFERROR(VLOOKUP(B403,'General price list'!C:BA,MATCH("CBM",'General price list'!$C$20:$BA$20,0),FALSE)*(G403*C403),0)</f>
        <v>0</v>
      </c>
    </row>
    <row r="404" spans="2:10" ht="15" customHeight="1">
      <c r="B404" t="s">
        <v>5175</v>
      </c>
      <c r="C404" s="2">
        <f>IFERROR(VLOOKUP(B404,'General price list'!C:BA,MATCH("PAL",'General price list'!$C$20:$BA$20,0),FALSE),"")</f>
        <v>20</v>
      </c>
      <c r="D404" s="2">
        <f>IFERROR(VLOOKUP(B404,'General price list'!C:BA,MATCH("OBJ",'General price list'!$C$20:$BA$20,0),FALSE),"")</f>
        <v>0</v>
      </c>
      <c r="E404" s="2">
        <f t="shared" si="36"/>
        <v>0</v>
      </c>
      <c r="F404" s="2">
        <f t="shared" si="37"/>
        <v>0</v>
      </c>
      <c r="G404" s="2">
        <f t="shared" si="38"/>
        <v>0</v>
      </c>
      <c r="H404" s="2">
        <f t="shared" si="39"/>
        <v>0</v>
      </c>
      <c r="I404" s="2">
        <f t="shared" si="35"/>
        <v>0</v>
      </c>
      <c r="J404">
        <f>IFERROR(VLOOKUP(B404,'General price list'!C:BA,MATCH("CBM",'General price list'!$C$20:$BA$20,0),FALSE)*(G404*C404),0)</f>
        <v>0</v>
      </c>
    </row>
    <row r="405" spans="2:10" ht="15" customHeight="1">
      <c r="B405" t="s">
        <v>2535</v>
      </c>
      <c r="C405" s="2">
        <f>IFERROR(VLOOKUP(B405,'General price list'!C:BA,MATCH("PAL",'General price list'!$C$20:$BA$20,0),FALSE),"")</f>
        <v>20</v>
      </c>
      <c r="D405" s="2">
        <f>IFERROR(VLOOKUP(B405,'General price list'!C:BA,MATCH("OBJ",'General price list'!$C$20:$BA$20,0),FALSE),"")</f>
        <v>0</v>
      </c>
      <c r="E405" s="2">
        <f t="shared" si="36"/>
        <v>0</v>
      </c>
      <c r="F405" s="2">
        <f t="shared" si="37"/>
        <v>0</v>
      </c>
      <c r="G405" s="2">
        <f t="shared" si="38"/>
        <v>0</v>
      </c>
      <c r="H405" s="2">
        <f t="shared" si="39"/>
        <v>0</v>
      </c>
      <c r="I405" s="2">
        <f t="shared" si="35"/>
        <v>0</v>
      </c>
      <c r="J405">
        <f>IFERROR(VLOOKUP(B405,'General price list'!C:BA,MATCH("CBM",'General price list'!$C$20:$BA$20,0),FALSE)*(G405*C405),0)</f>
        <v>0</v>
      </c>
    </row>
    <row r="406" spans="2:10" ht="15" customHeight="1">
      <c r="B406" t="s">
        <v>2536</v>
      </c>
      <c r="C406" s="2">
        <f>IFERROR(VLOOKUP(B406,'General price list'!C:BA,MATCH("PAL",'General price list'!$C$20:$BA$20,0),FALSE),"")</f>
        <v>22</v>
      </c>
      <c r="D406" s="2">
        <f>IFERROR(VLOOKUP(B406,'General price list'!C:BA,MATCH("OBJ",'General price list'!$C$20:$BA$20,0),FALSE),"")</f>
        <v>0</v>
      </c>
      <c r="E406" s="2">
        <f t="shared" si="36"/>
        <v>0</v>
      </c>
      <c r="F406" s="2">
        <f t="shared" si="37"/>
        <v>0</v>
      </c>
      <c r="G406" s="2">
        <f t="shared" si="38"/>
        <v>0</v>
      </c>
      <c r="H406" s="2">
        <f t="shared" si="39"/>
        <v>0</v>
      </c>
      <c r="I406" s="2">
        <f t="shared" si="35"/>
        <v>0</v>
      </c>
      <c r="J406">
        <f>IFERROR(VLOOKUP(B406,'General price list'!C:BA,MATCH("CBM",'General price list'!$C$20:$BA$20,0),FALSE)*(G406*C406),0)</f>
        <v>0</v>
      </c>
    </row>
    <row r="407" spans="2:10" ht="15" customHeight="1">
      <c r="B407" t="s">
        <v>2537</v>
      </c>
      <c r="C407" s="2">
        <f>IFERROR(VLOOKUP(B407,'General price list'!C:BA,MATCH("PAL",'General price list'!$C$20:$BA$20,0),FALSE),"")</f>
        <v>22</v>
      </c>
      <c r="D407" s="2">
        <f>IFERROR(VLOOKUP(B407,'General price list'!C:BA,MATCH("OBJ",'General price list'!$C$20:$BA$20,0),FALSE),"")</f>
        <v>0</v>
      </c>
      <c r="E407" s="2">
        <f t="shared" si="36"/>
        <v>0</v>
      </c>
      <c r="F407" s="2">
        <f t="shared" si="37"/>
        <v>0</v>
      </c>
      <c r="G407" s="2">
        <f t="shared" si="38"/>
        <v>0</v>
      </c>
      <c r="H407" s="2">
        <f t="shared" si="39"/>
        <v>0</v>
      </c>
      <c r="I407" s="2">
        <f t="shared" si="35"/>
        <v>0</v>
      </c>
      <c r="J407">
        <f>IFERROR(VLOOKUP(B407,'General price list'!C:BA,MATCH("CBM",'General price list'!$C$20:$BA$20,0),FALSE)*(G407*C407),0)</f>
        <v>0</v>
      </c>
    </row>
    <row r="408" spans="2:10" ht="15" customHeight="1">
      <c r="B408" t="s">
        <v>2538</v>
      </c>
      <c r="C408" s="2">
        <f>IFERROR(VLOOKUP(B408,'General price list'!C:BA,MATCH("PAL",'General price list'!$C$20:$BA$20,0),FALSE),"")</f>
        <v>20</v>
      </c>
      <c r="D408" s="2">
        <f>IFERROR(VLOOKUP(B408,'General price list'!C:BA,MATCH("OBJ",'General price list'!$C$20:$BA$20,0),FALSE),"")</f>
        <v>0</v>
      </c>
      <c r="E408" s="2">
        <f t="shared" si="36"/>
        <v>0</v>
      </c>
      <c r="F408" s="2">
        <f t="shared" si="37"/>
        <v>0</v>
      </c>
      <c r="G408" s="2">
        <f t="shared" si="38"/>
        <v>0</v>
      </c>
      <c r="H408" s="2">
        <f t="shared" si="39"/>
        <v>0</v>
      </c>
      <c r="I408" s="2">
        <f t="shared" si="35"/>
        <v>0</v>
      </c>
      <c r="J408">
        <f>IFERROR(VLOOKUP(B408,'General price list'!C:BA,MATCH("CBM",'General price list'!$C$20:$BA$20,0),FALSE)*(G408*C408),0)</f>
        <v>0</v>
      </c>
    </row>
    <row r="409" spans="2:10" ht="15" customHeight="1">
      <c r="B409" t="s">
        <v>1238</v>
      </c>
      <c r="C409" s="2">
        <f>IFERROR(VLOOKUP(B409,'General price list'!C:BA,MATCH("PAL",'General price list'!$C$20:$BA$20,0),FALSE),"")</f>
        <v>77</v>
      </c>
      <c r="D409" s="2">
        <f>IFERROR(VLOOKUP(B409,'General price list'!C:BA,MATCH("OBJ",'General price list'!$C$20:$BA$20,0),FALSE),"")</f>
        <v>0</v>
      </c>
      <c r="E409" s="2">
        <f t="shared" si="36"/>
        <v>0</v>
      </c>
      <c r="F409" s="2">
        <f t="shared" si="37"/>
        <v>0</v>
      </c>
      <c r="G409" s="2">
        <f t="shared" si="38"/>
        <v>0</v>
      </c>
      <c r="H409" s="2">
        <f t="shared" si="39"/>
        <v>0</v>
      </c>
      <c r="I409" s="2">
        <f t="shared" si="35"/>
        <v>0</v>
      </c>
      <c r="J409">
        <f>IFERROR(VLOOKUP(B409,'General price list'!C:BA,MATCH("CBM",'General price list'!$C$20:$BA$20,0),FALSE)*(G409*C409),0)</f>
        <v>0</v>
      </c>
    </row>
    <row r="410" spans="2:10" ht="15" customHeight="1">
      <c r="B410" t="s">
        <v>1242</v>
      </c>
      <c r="C410" s="2">
        <f>IFERROR(VLOOKUP(B410,'General price list'!C:BA,MATCH("PAL",'General price list'!$C$20:$BA$20,0),FALSE),"")</f>
        <v>40</v>
      </c>
      <c r="D410" s="2">
        <f>IFERROR(VLOOKUP(B410,'General price list'!C:BA,MATCH("OBJ",'General price list'!$C$20:$BA$20,0),FALSE),"")</f>
        <v>0</v>
      </c>
      <c r="E410" s="2">
        <f t="shared" si="36"/>
        <v>0</v>
      </c>
      <c r="F410" s="2">
        <f t="shared" si="37"/>
        <v>0</v>
      </c>
      <c r="G410" s="2">
        <f t="shared" si="38"/>
        <v>0</v>
      </c>
      <c r="H410" s="2">
        <f t="shared" si="39"/>
        <v>0</v>
      </c>
      <c r="I410" s="2">
        <f t="shared" si="35"/>
        <v>0</v>
      </c>
      <c r="J410">
        <f>IFERROR(VLOOKUP(B410,'General price list'!C:BA,MATCH("CBM",'General price list'!$C$20:$BA$20,0),FALSE)*(G410*C410),0)</f>
        <v>0</v>
      </c>
    </row>
    <row r="411" spans="2:10" ht="15" customHeight="1">
      <c r="B411" t="s">
        <v>5184</v>
      </c>
      <c r="C411" s="2">
        <f>IFERROR(VLOOKUP(B411,'General price list'!C:BA,MATCH("PAL",'General price list'!$C$20:$BA$20,0),FALSE),"")</f>
        <v>40</v>
      </c>
      <c r="D411" s="2">
        <f>IFERROR(VLOOKUP(B411,'General price list'!C:BA,MATCH("OBJ",'General price list'!$C$20:$BA$20,0),FALSE),"")</f>
        <v>0</v>
      </c>
      <c r="E411" s="2">
        <f t="shared" si="36"/>
        <v>0</v>
      </c>
      <c r="F411" s="2">
        <f t="shared" si="37"/>
        <v>0</v>
      </c>
      <c r="G411" s="2">
        <f t="shared" si="38"/>
        <v>0</v>
      </c>
      <c r="H411" s="2">
        <f t="shared" si="39"/>
        <v>0</v>
      </c>
      <c r="I411" s="2">
        <f t="shared" si="35"/>
        <v>0</v>
      </c>
      <c r="J411">
        <f>IFERROR(VLOOKUP(B411,'General price list'!C:BA,MATCH("CBM",'General price list'!$C$20:$BA$20,0),FALSE)*(G411*C411),0)</f>
        <v>0</v>
      </c>
    </row>
    <row r="412" spans="2:10" ht="15" customHeight="1">
      <c r="B412" t="s">
        <v>2539</v>
      </c>
      <c r="C412" s="2" t="str">
        <f>IFERROR(VLOOKUP(B412,'General price list'!C:BA,MATCH("PAL",'General price list'!$C$20:$BA$20,0),FALSE),"")</f>
        <v>40</v>
      </c>
      <c r="D412" s="2">
        <f>IFERROR(VLOOKUP(B412,'General price list'!C:BA,MATCH("OBJ",'General price list'!$C$20:$BA$20,0),FALSE),"")</f>
        <v>0</v>
      </c>
      <c r="E412" s="2">
        <f t="shared" si="36"/>
        <v>0</v>
      </c>
      <c r="F412" s="2">
        <f t="shared" si="37"/>
        <v>0</v>
      </c>
      <c r="G412" s="2">
        <f t="shared" si="38"/>
        <v>0</v>
      </c>
      <c r="H412" s="2">
        <f t="shared" si="39"/>
        <v>0</v>
      </c>
      <c r="I412" s="2">
        <f t="shared" si="35"/>
        <v>0</v>
      </c>
      <c r="J412">
        <f>IFERROR(VLOOKUP(B412,'General price list'!C:BA,MATCH("CBM",'General price list'!$C$20:$BA$20,0),FALSE)*(G412*C412),0)</f>
        <v>0</v>
      </c>
    </row>
    <row r="413" spans="2:10" ht="15" customHeight="1">
      <c r="B413" t="s">
        <v>5186</v>
      </c>
      <c r="C413" s="2" t="str">
        <f>IFERROR(VLOOKUP(B413,'General price list'!C:BA,MATCH("PAL",'General price list'!$C$20:$BA$20,0),FALSE),"")</f>
        <v>40</v>
      </c>
      <c r="D413" s="2">
        <f>IFERROR(VLOOKUP(B413,'General price list'!C:BA,MATCH("OBJ",'General price list'!$C$20:$BA$20,0),FALSE),"")</f>
        <v>0</v>
      </c>
      <c r="E413" s="2">
        <f t="shared" si="36"/>
        <v>0</v>
      </c>
      <c r="F413" s="2">
        <f t="shared" si="37"/>
        <v>0</v>
      </c>
      <c r="G413" s="2">
        <f t="shared" si="38"/>
        <v>0</v>
      </c>
      <c r="H413" s="2">
        <f t="shared" si="39"/>
        <v>0</v>
      </c>
      <c r="I413" s="2">
        <f t="shared" si="35"/>
        <v>0</v>
      </c>
      <c r="J413">
        <f>IFERROR(VLOOKUP(B413,'General price list'!C:BA,MATCH("CBM",'General price list'!$C$20:$BA$20,0),FALSE)*(G413*C413),0)</f>
        <v>0</v>
      </c>
    </row>
    <row r="414" spans="2:10" ht="15" customHeight="1">
      <c r="B414" t="s">
        <v>1245</v>
      </c>
      <c r="C414" s="2">
        <f>IFERROR(VLOOKUP(B414,'General price list'!C:BA,MATCH("PAL",'General price list'!$C$20:$BA$20,0),FALSE),"")</f>
        <v>66</v>
      </c>
      <c r="D414" s="2">
        <f>IFERROR(VLOOKUP(B414,'General price list'!C:BA,MATCH("OBJ",'General price list'!$C$20:$BA$20,0),FALSE),"")</f>
        <v>0</v>
      </c>
      <c r="E414" s="2">
        <f t="shared" si="36"/>
        <v>0</v>
      </c>
      <c r="F414" s="2">
        <f t="shared" si="37"/>
        <v>0</v>
      </c>
      <c r="G414" s="2">
        <f t="shared" si="38"/>
        <v>0</v>
      </c>
      <c r="H414" s="2">
        <f t="shared" si="39"/>
        <v>0</v>
      </c>
      <c r="I414" s="2">
        <f t="shared" si="35"/>
        <v>0</v>
      </c>
      <c r="J414">
        <f>IFERROR(VLOOKUP(B414,'General price list'!C:BA,MATCH("CBM",'General price list'!$C$20:$BA$20,0),FALSE)*(G414*C414),0)</f>
        <v>0</v>
      </c>
    </row>
    <row r="415" spans="2:10" ht="15" customHeight="1">
      <c r="B415" t="s">
        <v>2540</v>
      </c>
      <c r="C415" s="2" t="str">
        <f>IFERROR(VLOOKUP(B415,'General price list'!C:BA,MATCH("PAL",'General price list'!$C$20:$BA$20,0),FALSE),"")</f>
        <v>40</v>
      </c>
      <c r="D415" s="2">
        <f>IFERROR(VLOOKUP(B415,'General price list'!C:BA,MATCH("OBJ",'General price list'!$C$20:$BA$20,0),FALSE),"")</f>
        <v>0</v>
      </c>
      <c r="E415" s="2">
        <f t="shared" si="36"/>
        <v>0</v>
      </c>
      <c r="F415" s="2">
        <f t="shared" si="37"/>
        <v>0</v>
      </c>
      <c r="G415" s="2">
        <f t="shared" si="38"/>
        <v>0</v>
      </c>
      <c r="H415" s="2">
        <f t="shared" si="39"/>
        <v>0</v>
      </c>
      <c r="I415" s="2">
        <f t="shared" si="35"/>
        <v>0</v>
      </c>
      <c r="J415">
        <f>IFERROR(VLOOKUP(B415,'General price list'!C:BA,MATCH("CBM",'General price list'!$C$20:$BA$20,0),FALSE)*(G415*C415),0)</f>
        <v>0</v>
      </c>
    </row>
    <row r="416" spans="2:10" ht="15" customHeight="1">
      <c r="B416" t="s">
        <v>1250</v>
      </c>
      <c r="C416" s="2">
        <f>IFERROR(VLOOKUP(B416,'General price list'!C:BA,MATCH("PAL",'General price list'!$C$20:$BA$20,0),FALSE),"")</f>
        <v>66</v>
      </c>
      <c r="D416" s="2">
        <f>IFERROR(VLOOKUP(B416,'General price list'!C:BA,MATCH("OBJ",'General price list'!$C$20:$BA$20,0),FALSE),"")</f>
        <v>0</v>
      </c>
      <c r="E416" s="2">
        <f t="shared" si="36"/>
        <v>0</v>
      </c>
      <c r="F416" s="2">
        <f t="shared" si="37"/>
        <v>0</v>
      </c>
      <c r="G416" s="2">
        <f t="shared" si="38"/>
        <v>0</v>
      </c>
      <c r="H416" s="2">
        <f t="shared" si="39"/>
        <v>0</v>
      </c>
      <c r="I416" s="2">
        <f t="shared" si="35"/>
        <v>0</v>
      </c>
      <c r="J416">
        <f>IFERROR(VLOOKUP(B416,'General price list'!C:BA,MATCH("CBM",'General price list'!$C$20:$BA$20,0),FALSE)*(G416*C416),0)</f>
        <v>0</v>
      </c>
    </row>
    <row r="417" spans="2:10" ht="15" customHeight="1">
      <c r="B417" t="s">
        <v>1255</v>
      </c>
      <c r="C417" s="2">
        <f>IFERROR(VLOOKUP(B417,'General price list'!C:BA,MATCH("PAL",'General price list'!$C$20:$BA$20,0),FALSE),"")</f>
        <v>18</v>
      </c>
      <c r="D417" s="2">
        <f>IFERROR(VLOOKUP(B417,'General price list'!C:BA,MATCH("OBJ",'General price list'!$C$20:$BA$20,0),FALSE),"")</f>
        <v>0</v>
      </c>
      <c r="E417" s="2">
        <f t="shared" si="36"/>
        <v>0</v>
      </c>
      <c r="F417" s="2">
        <f t="shared" si="37"/>
        <v>0</v>
      </c>
      <c r="G417" s="2">
        <f t="shared" si="38"/>
        <v>0</v>
      </c>
      <c r="H417" s="2">
        <f t="shared" si="39"/>
        <v>0</v>
      </c>
      <c r="I417" s="2">
        <f t="shared" si="35"/>
        <v>0</v>
      </c>
      <c r="J417">
        <f>IFERROR(VLOOKUP(B417,'General price list'!C:BA,MATCH("CBM",'General price list'!$C$20:$BA$20,0),FALSE)*(G417*C417),0)</f>
        <v>0</v>
      </c>
    </row>
    <row r="418" spans="2:10" ht="15" customHeight="1">
      <c r="B418" t="s">
        <v>2542</v>
      </c>
      <c r="C418" s="2" t="str">
        <f>IFERROR(VLOOKUP(B418,'General price list'!C:BA,MATCH("PAL",'General price list'!$C$20:$BA$20,0),FALSE),"")</f>
        <v>20</v>
      </c>
      <c r="D418" s="2">
        <f>IFERROR(VLOOKUP(B418,'General price list'!C:BA,MATCH("OBJ",'General price list'!$C$20:$BA$20,0),FALSE),"")</f>
        <v>0</v>
      </c>
      <c r="E418" s="2">
        <f t="shared" si="36"/>
        <v>0</v>
      </c>
      <c r="F418" s="2">
        <f t="shared" si="37"/>
        <v>0</v>
      </c>
      <c r="G418" s="2">
        <f t="shared" si="38"/>
        <v>0</v>
      </c>
      <c r="H418" s="2">
        <f t="shared" si="39"/>
        <v>0</v>
      </c>
      <c r="I418" s="2">
        <f t="shared" si="35"/>
        <v>0</v>
      </c>
      <c r="J418">
        <f>IFERROR(VLOOKUP(B418,'General price list'!C:BA,MATCH("CBM",'General price list'!$C$20:$BA$20,0),FALSE)*(G418*C418),0)</f>
        <v>0</v>
      </c>
    </row>
    <row r="419" spans="2:10" ht="15" customHeight="1">
      <c r="B419" t="s">
        <v>2715</v>
      </c>
      <c r="C419" s="2">
        <f>IFERROR(VLOOKUP(B419,'General price list'!C:BA,MATCH("PAL",'General price list'!$C$20:$BA$20,0),FALSE),"")</f>
        <v>72</v>
      </c>
      <c r="D419" s="2">
        <f>IFERROR(VLOOKUP(B419,'General price list'!C:BA,MATCH("OBJ",'General price list'!$C$20:$BA$20,0),FALSE),"")</f>
        <v>0</v>
      </c>
      <c r="E419" s="2">
        <f t="shared" si="36"/>
        <v>0</v>
      </c>
      <c r="F419" s="2">
        <f t="shared" si="37"/>
        <v>0</v>
      </c>
      <c r="G419" s="2">
        <f t="shared" si="38"/>
        <v>0</v>
      </c>
      <c r="H419" s="2">
        <f t="shared" si="39"/>
        <v>0</v>
      </c>
      <c r="I419" s="2">
        <f t="shared" si="35"/>
        <v>0</v>
      </c>
      <c r="J419">
        <f>IFERROR(VLOOKUP(B419,'General price list'!C:BA,MATCH("CBM",'General price list'!$C$20:$BA$20,0),FALSE)*(G419*C419),0)</f>
        <v>0</v>
      </c>
    </row>
    <row r="420" spans="2:10" ht="15" customHeight="1">
      <c r="B420" t="s">
        <v>2716</v>
      </c>
      <c r="C420" s="2">
        <f>IFERROR(VLOOKUP(B420,'General price list'!C:BA,MATCH("PAL",'General price list'!$C$20:$BA$20,0),FALSE),"")</f>
        <v>40</v>
      </c>
      <c r="D420" s="2">
        <f>IFERROR(VLOOKUP(B420,'General price list'!C:BA,MATCH("OBJ",'General price list'!$C$20:$BA$20,0),FALSE),"")</f>
        <v>0</v>
      </c>
      <c r="E420" s="2">
        <f t="shared" si="36"/>
        <v>0</v>
      </c>
      <c r="F420" s="2">
        <f t="shared" si="37"/>
        <v>0</v>
      </c>
      <c r="G420" s="2">
        <f t="shared" si="38"/>
        <v>0</v>
      </c>
      <c r="H420" s="2">
        <f t="shared" si="39"/>
        <v>0</v>
      </c>
      <c r="I420" s="2">
        <f t="shared" si="35"/>
        <v>0</v>
      </c>
      <c r="J420">
        <f>IFERROR(VLOOKUP(B420,'General price list'!C:BA,MATCH("CBM",'General price list'!$C$20:$BA$20,0),FALSE)*(G420*C420),0)</f>
        <v>0</v>
      </c>
    </row>
    <row r="421" spans="2:10" ht="15" customHeight="1">
      <c r="B421" t="s">
        <v>5204</v>
      </c>
      <c r="C421" s="2">
        <f>IFERROR(VLOOKUP(B421,'General price list'!C:BA,MATCH("PAL",'General price list'!$C$20:$BA$20,0),FALSE),"")</f>
        <v>40</v>
      </c>
      <c r="D421" s="2">
        <f>IFERROR(VLOOKUP(B421,'General price list'!C:BA,MATCH("OBJ",'General price list'!$C$20:$BA$20,0),FALSE),"")</f>
        <v>0</v>
      </c>
      <c r="E421" s="2">
        <f t="shared" si="36"/>
        <v>0</v>
      </c>
      <c r="F421" s="2">
        <f t="shared" si="37"/>
        <v>0</v>
      </c>
      <c r="G421" s="2">
        <f t="shared" si="38"/>
        <v>0</v>
      </c>
      <c r="H421" s="2">
        <f t="shared" si="39"/>
        <v>0</v>
      </c>
      <c r="I421" s="2">
        <f t="shared" si="35"/>
        <v>0</v>
      </c>
      <c r="J421">
        <f>IFERROR(VLOOKUP(B421,'General price list'!C:BA,MATCH("CBM",'General price list'!$C$20:$BA$20,0),FALSE)*(G421*C421),0)</f>
        <v>0</v>
      </c>
    </row>
    <row r="422" spans="2:10" ht="15" customHeight="1">
      <c r="B422" t="s">
        <v>2717</v>
      </c>
      <c r="C422" s="2" t="str">
        <f>IFERROR(VLOOKUP(B422,'General price list'!C:BA,MATCH("PAL",'General price list'!$C$20:$BA$20,0),FALSE),"")</f>
        <v>40</v>
      </c>
      <c r="D422" s="2">
        <f>IFERROR(VLOOKUP(B422,'General price list'!C:BA,MATCH("OBJ",'General price list'!$C$20:$BA$20,0),FALSE),"")</f>
        <v>0</v>
      </c>
      <c r="E422" s="2">
        <f t="shared" si="36"/>
        <v>0</v>
      </c>
      <c r="F422" s="2">
        <f t="shared" si="37"/>
        <v>0</v>
      </c>
      <c r="G422" s="2">
        <f t="shared" si="38"/>
        <v>0</v>
      </c>
      <c r="H422" s="2">
        <f t="shared" si="39"/>
        <v>0</v>
      </c>
      <c r="I422" s="2">
        <f t="shared" si="35"/>
        <v>0</v>
      </c>
      <c r="J422">
        <f>IFERROR(VLOOKUP(B422,'General price list'!C:BA,MATCH("CBM",'General price list'!$C$20:$BA$20,0),FALSE)*(G422*C422),0)</f>
        <v>0</v>
      </c>
    </row>
    <row r="423" spans="2:10" ht="15" customHeight="1">
      <c r="B423" t="s">
        <v>5205</v>
      </c>
      <c r="C423" s="2" t="str">
        <f>IFERROR(VLOOKUP(B423,'General price list'!C:BA,MATCH("PAL",'General price list'!$C$20:$BA$20,0),FALSE),"")</f>
        <v>40</v>
      </c>
      <c r="D423" s="2">
        <f>IFERROR(VLOOKUP(B423,'General price list'!C:BA,MATCH("OBJ",'General price list'!$C$20:$BA$20,0),FALSE),"")</f>
        <v>0</v>
      </c>
      <c r="E423" s="2">
        <f t="shared" si="36"/>
        <v>0</v>
      </c>
      <c r="F423" s="2">
        <f t="shared" si="37"/>
        <v>0</v>
      </c>
      <c r="G423" s="2">
        <f t="shared" si="38"/>
        <v>0</v>
      </c>
      <c r="H423" s="2">
        <f t="shared" si="39"/>
        <v>0</v>
      </c>
      <c r="I423" s="2">
        <f t="shared" si="35"/>
        <v>0</v>
      </c>
      <c r="J423">
        <f>IFERROR(VLOOKUP(B423,'General price list'!C:BA,MATCH("CBM",'General price list'!$C$20:$BA$20,0),FALSE)*(G423*C423),0)</f>
        <v>0</v>
      </c>
    </row>
    <row r="424" spans="2:10" ht="15" customHeight="1">
      <c r="B424" t="s">
        <v>5206</v>
      </c>
      <c r="C424" s="2">
        <f>IFERROR(VLOOKUP(B424,'General price list'!C:BA,MATCH("PAL",'General price list'!$C$20:$BA$20,0),FALSE),"")</f>
        <v>66</v>
      </c>
      <c r="D424" s="2">
        <f>IFERROR(VLOOKUP(B424,'General price list'!C:BA,MATCH("OBJ",'General price list'!$C$20:$BA$20,0),FALSE),"")</f>
        <v>0</v>
      </c>
      <c r="E424" s="2">
        <f t="shared" si="36"/>
        <v>0</v>
      </c>
      <c r="F424" s="2">
        <f t="shared" si="37"/>
        <v>0</v>
      </c>
      <c r="G424" s="2">
        <f t="shared" si="38"/>
        <v>0</v>
      </c>
      <c r="H424" s="2">
        <f t="shared" si="39"/>
        <v>0</v>
      </c>
      <c r="I424" s="2">
        <f t="shared" si="35"/>
        <v>0</v>
      </c>
      <c r="J424">
        <f>IFERROR(VLOOKUP(B424,'General price list'!C:BA,MATCH("CBM",'General price list'!$C$20:$BA$20,0),FALSE)*(G424*C424),0)</f>
        <v>0</v>
      </c>
    </row>
    <row r="425" spans="2:10" ht="15" customHeight="1">
      <c r="B425" t="s">
        <v>2718</v>
      </c>
      <c r="C425" s="2" t="str">
        <f>IFERROR(VLOOKUP(B425,'General price list'!C:BA,MATCH("PAL",'General price list'!$C$20:$BA$20,0),FALSE),"")</f>
        <v>40</v>
      </c>
      <c r="D425" s="2">
        <f>IFERROR(VLOOKUP(B425,'General price list'!C:BA,MATCH("OBJ",'General price list'!$C$20:$BA$20,0),FALSE),"")</f>
        <v>0</v>
      </c>
      <c r="E425" s="2">
        <f t="shared" si="36"/>
        <v>0</v>
      </c>
      <c r="F425" s="2">
        <f t="shared" si="37"/>
        <v>0</v>
      </c>
      <c r="G425" s="2">
        <f t="shared" si="38"/>
        <v>0</v>
      </c>
      <c r="H425" s="2">
        <f t="shared" si="39"/>
        <v>0</v>
      </c>
      <c r="I425" s="2">
        <f t="shared" si="35"/>
        <v>0</v>
      </c>
      <c r="J425">
        <f>IFERROR(VLOOKUP(B425,'General price list'!C:BA,MATCH("CBM",'General price list'!$C$20:$BA$20,0),FALSE)*(G425*C425),0)</f>
        <v>0</v>
      </c>
    </row>
    <row r="426" spans="2:10" ht="15" customHeight="1">
      <c r="B426" t="s">
        <v>5208</v>
      </c>
      <c r="C426" s="2">
        <f>IFERROR(VLOOKUP(B426,'General price list'!C:BA,MATCH("PAL",'General price list'!$C$20:$BA$20,0),FALSE),"")</f>
        <v>66</v>
      </c>
      <c r="D426" s="2">
        <f>IFERROR(VLOOKUP(B426,'General price list'!C:BA,MATCH("OBJ",'General price list'!$C$20:$BA$20,0),FALSE),"")</f>
        <v>0</v>
      </c>
      <c r="E426" s="2">
        <f t="shared" si="36"/>
        <v>0</v>
      </c>
      <c r="F426" s="2">
        <f t="shared" si="37"/>
        <v>0</v>
      </c>
      <c r="G426" s="2">
        <f t="shared" si="38"/>
        <v>0</v>
      </c>
      <c r="H426" s="2">
        <f t="shared" si="39"/>
        <v>0</v>
      </c>
      <c r="I426" s="2">
        <f t="shared" si="35"/>
        <v>0</v>
      </c>
      <c r="J426">
        <f>IFERROR(VLOOKUP(B426,'General price list'!C:BA,MATCH("CBM",'General price list'!$C$20:$BA$20,0),FALSE)*(G426*C426),0)</f>
        <v>0</v>
      </c>
    </row>
    <row r="427" spans="2:10" ht="15" customHeight="1">
      <c r="B427" t="s">
        <v>5209</v>
      </c>
      <c r="C427" s="2">
        <f>IFERROR(VLOOKUP(B427,'General price list'!C:BA,MATCH("PAL",'General price list'!$C$20:$BA$20,0),FALSE),"")</f>
        <v>18</v>
      </c>
      <c r="D427" s="2">
        <f>IFERROR(VLOOKUP(B427,'General price list'!C:BA,MATCH("OBJ",'General price list'!$C$20:$BA$20,0),FALSE),"")</f>
        <v>0</v>
      </c>
      <c r="E427" s="2">
        <f t="shared" si="36"/>
        <v>0</v>
      </c>
      <c r="F427" s="2">
        <f t="shared" si="37"/>
        <v>0</v>
      </c>
      <c r="G427" s="2">
        <f t="shared" si="38"/>
        <v>0</v>
      </c>
      <c r="H427" s="2">
        <f t="shared" si="39"/>
        <v>0</v>
      </c>
      <c r="I427" s="2">
        <f t="shared" si="35"/>
        <v>0</v>
      </c>
      <c r="J427">
        <f>IFERROR(VLOOKUP(B427,'General price list'!C:BA,MATCH("CBM",'General price list'!$C$20:$BA$20,0),FALSE)*(G427*C427),0)</f>
        <v>0</v>
      </c>
    </row>
    <row r="428" spans="2:10" ht="15" customHeight="1">
      <c r="B428" t="s">
        <v>2719</v>
      </c>
      <c r="C428" s="2" t="str">
        <f>IFERROR(VLOOKUP(B428,'General price list'!C:BA,MATCH("PAL",'General price list'!$C$20:$BA$20,0),FALSE),"")</f>
        <v>20</v>
      </c>
      <c r="D428" s="2">
        <f>IFERROR(VLOOKUP(B428,'General price list'!C:BA,MATCH("OBJ",'General price list'!$C$20:$BA$20,0),FALSE),"")</f>
        <v>0</v>
      </c>
      <c r="E428" s="2">
        <f t="shared" si="36"/>
        <v>0</v>
      </c>
      <c r="F428" s="2">
        <f t="shared" si="37"/>
        <v>0</v>
      </c>
      <c r="G428" s="2">
        <f t="shared" si="38"/>
        <v>0</v>
      </c>
      <c r="H428" s="2">
        <f t="shared" si="39"/>
        <v>0</v>
      </c>
      <c r="I428" s="2">
        <f t="shared" si="35"/>
        <v>0</v>
      </c>
      <c r="J428">
        <f>IFERROR(VLOOKUP(B428,'General price list'!C:BA,MATCH("CBM",'General price list'!$C$20:$BA$20,0),FALSE)*(G428*C428),0)</f>
        <v>0</v>
      </c>
    </row>
    <row r="429" spans="2:10" ht="15" customHeight="1">
      <c r="B429" t="s">
        <v>1257</v>
      </c>
      <c r="C429" s="2">
        <f>IFERROR(VLOOKUP(B429,'General price list'!C:BA,MATCH("PAL",'General price list'!$C$20:$BA$20,0),FALSE),"")</f>
        <v>22</v>
      </c>
      <c r="D429" s="2">
        <f>IFERROR(VLOOKUP(B429,'General price list'!C:BA,MATCH("OBJ",'General price list'!$C$20:$BA$20,0),FALSE),"")</f>
        <v>0</v>
      </c>
      <c r="E429" s="2">
        <f t="shared" si="36"/>
        <v>0</v>
      </c>
      <c r="F429" s="2">
        <f t="shared" si="37"/>
        <v>0</v>
      </c>
      <c r="G429" s="2">
        <f t="shared" si="38"/>
        <v>0</v>
      </c>
      <c r="H429" s="2">
        <f t="shared" si="39"/>
        <v>0</v>
      </c>
      <c r="I429" s="2">
        <f t="shared" si="35"/>
        <v>0</v>
      </c>
      <c r="J429">
        <f>IFERROR(VLOOKUP(B429,'General price list'!C:BA,MATCH("CBM",'General price list'!$C$20:$BA$20,0),FALSE)*(G429*C429),0)</f>
        <v>0</v>
      </c>
    </row>
    <row r="430" spans="2:10" ht="15" customHeight="1">
      <c r="B430" t="s">
        <v>1258</v>
      </c>
      <c r="C430" s="2">
        <f>IFERROR(VLOOKUP(B430,'General price list'!C:BA,MATCH("PAL",'General price list'!$C$20:$BA$20,0),FALSE),"")</f>
        <v>77</v>
      </c>
      <c r="D430" s="2">
        <f>IFERROR(VLOOKUP(B430,'General price list'!C:BA,MATCH("OBJ",'General price list'!$C$20:$BA$20,0),FALSE),"")</f>
        <v>0</v>
      </c>
      <c r="E430" s="2">
        <f t="shared" si="36"/>
        <v>0</v>
      </c>
      <c r="F430" s="2">
        <f t="shared" si="37"/>
        <v>0</v>
      </c>
      <c r="G430" s="2">
        <f t="shared" si="38"/>
        <v>0</v>
      </c>
      <c r="H430" s="2">
        <f t="shared" si="39"/>
        <v>0</v>
      </c>
      <c r="I430" s="2">
        <f t="shared" si="35"/>
        <v>0</v>
      </c>
      <c r="J430">
        <f>IFERROR(VLOOKUP(B430,'General price list'!C:BA,MATCH("CBM",'General price list'!$C$20:$BA$20,0),FALSE)*(G430*C430),0)</f>
        <v>0</v>
      </c>
    </row>
    <row r="431" spans="2:10" ht="15" customHeight="1">
      <c r="B431" t="s">
        <v>1259</v>
      </c>
      <c r="C431" s="2">
        <f>IFERROR(VLOOKUP(B431,'General price list'!C:BA,MATCH("PAL",'General price list'!$C$20:$BA$20,0),FALSE),"")</f>
        <v>72</v>
      </c>
      <c r="D431" s="2">
        <f>IFERROR(VLOOKUP(B431,'General price list'!C:BA,MATCH("OBJ",'General price list'!$C$20:$BA$20,0),FALSE),"")</f>
        <v>0</v>
      </c>
      <c r="E431" s="2">
        <f t="shared" si="36"/>
        <v>0</v>
      </c>
      <c r="F431" s="2">
        <f t="shared" si="37"/>
        <v>0</v>
      </c>
      <c r="G431" s="2">
        <f t="shared" si="38"/>
        <v>0</v>
      </c>
      <c r="H431" s="2">
        <f t="shared" si="39"/>
        <v>0</v>
      </c>
      <c r="I431" s="2">
        <f t="shared" si="35"/>
        <v>0</v>
      </c>
      <c r="J431">
        <f>IFERROR(VLOOKUP(B431,'General price list'!C:BA,MATCH("CBM",'General price list'!$C$20:$BA$20,0),FALSE)*(G431*C431),0)</f>
        <v>0</v>
      </c>
    </row>
    <row r="432" spans="2:10" ht="15" customHeight="1">
      <c r="B432" t="s">
        <v>1261</v>
      </c>
      <c r="C432" s="2" t="str">
        <f>IFERROR(VLOOKUP(B432,'General price list'!C:BA,MATCH("PAL",'General price list'!$C$20:$BA$20,0),FALSE),"")</f>
        <v>36</v>
      </c>
      <c r="D432" s="2">
        <f>IFERROR(VLOOKUP(B432,'General price list'!C:BA,MATCH("OBJ",'General price list'!$C$20:$BA$20,0),FALSE),"")</f>
        <v>0</v>
      </c>
      <c r="E432" s="2">
        <f t="shared" si="36"/>
        <v>0</v>
      </c>
      <c r="F432" s="2">
        <f t="shared" si="37"/>
        <v>0</v>
      </c>
      <c r="G432" s="2">
        <f t="shared" si="38"/>
        <v>0</v>
      </c>
      <c r="H432" s="2">
        <f t="shared" si="39"/>
        <v>0</v>
      </c>
      <c r="I432" s="2">
        <f t="shared" si="35"/>
        <v>0</v>
      </c>
      <c r="J432">
        <f>IFERROR(VLOOKUP(B432,'General price list'!C:BA,MATCH("CBM",'General price list'!$C$20:$BA$20,0),FALSE)*(G432*C432),0)</f>
        <v>0</v>
      </c>
    </row>
    <row r="433" spans="2:10" ht="15" customHeight="1">
      <c r="B433" t="s">
        <v>1263</v>
      </c>
      <c r="C433" s="2">
        <f>IFERROR(VLOOKUP(B433,'General price list'!C:BA,MATCH("PAL",'General price list'!$C$20:$BA$20,0),FALSE),"")</f>
        <v>66</v>
      </c>
      <c r="D433" s="2">
        <f>IFERROR(VLOOKUP(B433,'General price list'!C:BA,MATCH("OBJ",'General price list'!$C$20:$BA$20,0),FALSE),"")</f>
        <v>0</v>
      </c>
      <c r="E433" s="2">
        <f t="shared" si="36"/>
        <v>0</v>
      </c>
      <c r="F433" s="2">
        <f t="shared" si="37"/>
        <v>0</v>
      </c>
      <c r="G433" s="2">
        <f t="shared" si="38"/>
        <v>0</v>
      </c>
      <c r="H433" s="2">
        <f t="shared" si="39"/>
        <v>0</v>
      </c>
      <c r="I433" s="2">
        <f t="shared" si="35"/>
        <v>0</v>
      </c>
      <c r="J433">
        <f>IFERROR(VLOOKUP(B433,'General price list'!C:BA,MATCH("CBM",'General price list'!$C$20:$BA$20,0),FALSE)*(G433*C433),0)</f>
        <v>0</v>
      </c>
    </row>
    <row r="434" spans="2:10" ht="15" customHeight="1">
      <c r="B434" t="s">
        <v>1264</v>
      </c>
      <c r="C434" s="2" t="str">
        <f>IFERROR(VLOOKUP(B434,'General price list'!C:BA,MATCH("PAL",'General price list'!$C$20:$BA$20,0),FALSE),"")</f>
        <v>66</v>
      </c>
      <c r="D434" s="2">
        <f>IFERROR(VLOOKUP(B434,'General price list'!C:BA,MATCH("OBJ",'General price list'!$C$20:$BA$20,0),FALSE),"")</f>
        <v>0</v>
      </c>
      <c r="E434" s="2">
        <f t="shared" si="36"/>
        <v>0</v>
      </c>
      <c r="F434" s="2">
        <f t="shared" si="37"/>
        <v>0</v>
      </c>
      <c r="G434" s="2">
        <f t="shared" si="38"/>
        <v>0</v>
      </c>
      <c r="H434" s="2">
        <f t="shared" si="39"/>
        <v>0</v>
      </c>
      <c r="I434" s="2">
        <f t="shared" si="35"/>
        <v>0</v>
      </c>
      <c r="J434">
        <f>IFERROR(VLOOKUP(B434,'General price list'!C:BA,MATCH("CBM",'General price list'!$C$20:$BA$20,0),FALSE)*(G434*C434),0)</f>
        <v>0</v>
      </c>
    </row>
    <row r="435" spans="2:10" ht="15" customHeight="1">
      <c r="B435" t="s">
        <v>2543</v>
      </c>
      <c r="C435" s="2" t="str">
        <f>IFERROR(VLOOKUP(B435,'General price list'!C:BA,MATCH("PAL",'General price list'!$C$20:$BA$20,0),FALSE),"")</f>
        <v>40</v>
      </c>
      <c r="D435" s="2">
        <f>IFERROR(VLOOKUP(B435,'General price list'!C:BA,MATCH("OBJ",'General price list'!$C$20:$BA$20,0),FALSE),"")</f>
        <v>0</v>
      </c>
      <c r="E435" s="2">
        <f t="shared" si="36"/>
        <v>0</v>
      </c>
      <c r="F435" s="2">
        <f t="shared" si="37"/>
        <v>0</v>
      </c>
      <c r="G435" s="2">
        <f t="shared" si="38"/>
        <v>0</v>
      </c>
      <c r="H435" s="2">
        <f t="shared" si="39"/>
        <v>0</v>
      </c>
      <c r="I435" s="2">
        <f t="shared" si="35"/>
        <v>0</v>
      </c>
      <c r="J435">
        <f>IFERROR(VLOOKUP(B435,'General price list'!C:BA,MATCH("CBM",'General price list'!$C$20:$BA$20,0),FALSE)*(G435*C435),0)</f>
        <v>0</v>
      </c>
    </row>
    <row r="436" spans="2:10" ht="15" customHeight="1">
      <c r="B436" t="s">
        <v>1265</v>
      </c>
      <c r="C436" s="2">
        <f>IFERROR(VLOOKUP(B436,'General price list'!C:BA,MATCH("PAL",'General price list'!$C$20:$BA$20,0),FALSE),"")</f>
        <v>66</v>
      </c>
      <c r="D436" s="2">
        <f>IFERROR(VLOOKUP(B436,'General price list'!C:BA,MATCH("OBJ",'General price list'!$C$20:$BA$20,0),FALSE),"")</f>
        <v>0</v>
      </c>
      <c r="E436" s="2">
        <f t="shared" si="36"/>
        <v>0</v>
      </c>
      <c r="F436" s="2">
        <f t="shared" si="37"/>
        <v>0</v>
      </c>
      <c r="G436" s="2">
        <f t="shared" si="38"/>
        <v>0</v>
      </c>
      <c r="H436" s="2">
        <f t="shared" si="39"/>
        <v>0</v>
      </c>
      <c r="I436" s="2">
        <f t="shared" si="35"/>
        <v>0</v>
      </c>
      <c r="J436">
        <f>IFERROR(VLOOKUP(B436,'General price list'!C:BA,MATCH("CBM",'General price list'!$C$20:$BA$20,0),FALSE)*(G436*C436),0)</f>
        <v>0</v>
      </c>
    </row>
    <row r="437" spans="2:10" ht="15" customHeight="1">
      <c r="B437" t="s">
        <v>1266</v>
      </c>
      <c r="C437" s="2">
        <f>IFERROR(VLOOKUP(B437,'General price list'!C:BA,MATCH("PAL",'General price list'!$C$20:$BA$20,0),FALSE),"")</f>
        <v>18</v>
      </c>
      <c r="D437" s="2">
        <f>IFERROR(VLOOKUP(B437,'General price list'!C:BA,MATCH("OBJ",'General price list'!$C$20:$BA$20,0),FALSE),"")</f>
        <v>0</v>
      </c>
      <c r="E437" s="2">
        <f t="shared" si="36"/>
        <v>0</v>
      </c>
      <c r="F437" s="2">
        <f t="shared" si="37"/>
        <v>0</v>
      </c>
      <c r="G437" s="2">
        <f t="shared" si="38"/>
        <v>0</v>
      </c>
      <c r="H437" s="2">
        <f t="shared" si="39"/>
        <v>0</v>
      </c>
      <c r="I437" s="2">
        <f t="shared" si="35"/>
        <v>0</v>
      </c>
      <c r="J437">
        <f>IFERROR(VLOOKUP(B437,'General price list'!C:BA,MATCH("CBM",'General price list'!$C$20:$BA$20,0),FALSE)*(G437*C437),0)</f>
        <v>0</v>
      </c>
    </row>
    <row r="438" spans="2:10" ht="15" customHeight="1">
      <c r="B438" t="s">
        <v>2720</v>
      </c>
      <c r="C438" s="2">
        <f>IFERROR(VLOOKUP(B438,'General price list'!C:BA,MATCH("PAL",'General price list'!$C$20:$BA$20,0),FALSE),"")</f>
        <v>77</v>
      </c>
      <c r="D438" s="2">
        <f>IFERROR(VLOOKUP(B438,'General price list'!C:BA,MATCH("OBJ",'General price list'!$C$20:$BA$20,0),FALSE),"")</f>
        <v>0</v>
      </c>
      <c r="E438" s="2">
        <f t="shared" si="36"/>
        <v>0</v>
      </c>
      <c r="F438" s="2">
        <f t="shared" si="37"/>
        <v>0</v>
      </c>
      <c r="G438" s="2">
        <f t="shared" si="38"/>
        <v>0</v>
      </c>
      <c r="H438" s="2">
        <f t="shared" si="39"/>
        <v>0</v>
      </c>
      <c r="I438" s="2">
        <f t="shared" si="35"/>
        <v>0</v>
      </c>
      <c r="J438">
        <f>IFERROR(VLOOKUP(B438,'General price list'!C:BA,MATCH("CBM",'General price list'!$C$20:$BA$20,0),FALSE)*(G438*C438),0)</f>
        <v>0</v>
      </c>
    </row>
    <row r="439" spans="2:10" ht="15" customHeight="1">
      <c r="B439" t="s">
        <v>5211</v>
      </c>
      <c r="C439" s="2">
        <f>IFERROR(VLOOKUP(B439,'General price list'!C:BA,MATCH("PAL",'General price list'!$C$20:$BA$20,0),FALSE),"")</f>
        <v>72</v>
      </c>
      <c r="D439" s="2">
        <f>IFERROR(VLOOKUP(B439,'General price list'!C:BA,MATCH("OBJ",'General price list'!$C$20:$BA$20,0),FALSE),"")</f>
        <v>0</v>
      </c>
      <c r="E439" s="2">
        <f t="shared" si="36"/>
        <v>0</v>
      </c>
      <c r="F439" s="2">
        <f t="shared" si="37"/>
        <v>0</v>
      </c>
      <c r="G439" s="2">
        <f t="shared" si="38"/>
        <v>0</v>
      </c>
      <c r="H439" s="2">
        <f t="shared" si="39"/>
        <v>0</v>
      </c>
      <c r="I439" s="2">
        <f t="shared" si="35"/>
        <v>0</v>
      </c>
      <c r="J439">
        <f>IFERROR(VLOOKUP(B439,'General price list'!C:BA,MATCH("CBM",'General price list'!$C$20:$BA$20,0),FALSE)*(G439*C439),0)</f>
        <v>0</v>
      </c>
    </row>
    <row r="440" spans="2:10" ht="15" customHeight="1">
      <c r="B440" t="s">
        <v>5212</v>
      </c>
      <c r="C440" s="2" t="str">
        <f>IFERROR(VLOOKUP(B440,'General price list'!C:BA,MATCH("PAL",'General price list'!$C$20:$BA$20,0),FALSE),"")</f>
        <v>36</v>
      </c>
      <c r="D440" s="2">
        <f>IFERROR(VLOOKUP(B440,'General price list'!C:BA,MATCH("OBJ",'General price list'!$C$20:$BA$20,0),FALSE),"")</f>
        <v>0</v>
      </c>
      <c r="E440" s="2">
        <f t="shared" si="36"/>
        <v>0</v>
      </c>
      <c r="F440" s="2">
        <f t="shared" si="37"/>
        <v>0</v>
      </c>
      <c r="G440" s="2">
        <f t="shared" si="38"/>
        <v>0</v>
      </c>
      <c r="H440" s="2">
        <f t="shared" si="39"/>
        <v>0</v>
      </c>
      <c r="I440" s="2">
        <f t="shared" si="35"/>
        <v>0</v>
      </c>
      <c r="J440">
        <f>IFERROR(VLOOKUP(B440,'General price list'!C:BA,MATCH("CBM",'General price list'!$C$20:$BA$20,0),FALSE)*(G440*C440),0)</f>
        <v>0</v>
      </c>
    </row>
    <row r="441" spans="2:10" ht="15" customHeight="1">
      <c r="B441" t="s">
        <v>2721</v>
      </c>
      <c r="C441" s="2">
        <f>IFERROR(VLOOKUP(B441,'General price list'!C:BA,MATCH("PAL",'General price list'!$C$20:$BA$20,0),FALSE),"")</f>
        <v>66</v>
      </c>
      <c r="D441" s="2">
        <f>IFERROR(VLOOKUP(B441,'General price list'!C:BA,MATCH("OBJ",'General price list'!$C$20:$BA$20,0),FALSE),"")</f>
        <v>0</v>
      </c>
      <c r="E441" s="2">
        <f t="shared" si="36"/>
        <v>0</v>
      </c>
      <c r="F441" s="2">
        <f t="shared" si="37"/>
        <v>0</v>
      </c>
      <c r="G441" s="2">
        <f t="shared" si="38"/>
        <v>0</v>
      </c>
      <c r="H441" s="2">
        <f t="shared" si="39"/>
        <v>0</v>
      </c>
      <c r="I441" s="2">
        <f t="shared" si="35"/>
        <v>0</v>
      </c>
      <c r="J441">
        <f>IFERROR(VLOOKUP(B441,'General price list'!C:BA,MATCH("CBM",'General price list'!$C$20:$BA$20,0),FALSE)*(G441*C441),0)</f>
        <v>0</v>
      </c>
    </row>
    <row r="442" spans="2:10" ht="15" customHeight="1">
      <c r="B442" t="s">
        <v>5214</v>
      </c>
      <c r="C442" s="2" t="str">
        <f>IFERROR(VLOOKUP(B442,'General price list'!C:BA,MATCH("PAL",'General price list'!$C$20:$BA$20,0),FALSE),"")</f>
        <v>66</v>
      </c>
      <c r="D442" s="2">
        <f>IFERROR(VLOOKUP(B442,'General price list'!C:BA,MATCH("OBJ",'General price list'!$C$20:$BA$20,0),FALSE),"")</f>
        <v>0</v>
      </c>
      <c r="E442" s="2">
        <f t="shared" si="36"/>
        <v>0</v>
      </c>
      <c r="F442" s="2">
        <f t="shared" si="37"/>
        <v>0</v>
      </c>
      <c r="G442" s="2">
        <f t="shared" si="38"/>
        <v>0</v>
      </c>
      <c r="H442" s="2">
        <f t="shared" si="39"/>
        <v>0</v>
      </c>
      <c r="I442" s="2">
        <f t="shared" si="35"/>
        <v>0</v>
      </c>
      <c r="J442">
        <f>IFERROR(VLOOKUP(B442,'General price list'!C:BA,MATCH("CBM",'General price list'!$C$20:$BA$20,0),FALSE)*(G442*C442),0)</f>
        <v>0</v>
      </c>
    </row>
    <row r="443" spans="2:10" ht="15" customHeight="1">
      <c r="B443" t="s">
        <v>2722</v>
      </c>
      <c r="C443" s="2" t="str">
        <f>IFERROR(VLOOKUP(B443,'General price list'!C:BA,MATCH("PAL",'General price list'!$C$20:$BA$20,0),FALSE),"")</f>
        <v>40</v>
      </c>
      <c r="D443" s="2">
        <f>IFERROR(VLOOKUP(B443,'General price list'!C:BA,MATCH("OBJ",'General price list'!$C$20:$BA$20,0),FALSE),"")</f>
        <v>0</v>
      </c>
      <c r="E443" s="2">
        <f t="shared" si="36"/>
        <v>0</v>
      </c>
      <c r="F443" s="2">
        <f t="shared" si="37"/>
        <v>0</v>
      </c>
      <c r="G443" s="2">
        <f t="shared" si="38"/>
        <v>0</v>
      </c>
      <c r="H443" s="2">
        <f t="shared" si="39"/>
        <v>0</v>
      </c>
      <c r="I443" s="2">
        <f t="shared" si="35"/>
        <v>0</v>
      </c>
      <c r="J443">
        <f>IFERROR(VLOOKUP(B443,'General price list'!C:BA,MATCH("CBM",'General price list'!$C$20:$BA$20,0),FALSE)*(G443*C443),0)</f>
        <v>0</v>
      </c>
    </row>
    <row r="444" spans="2:10" ht="15" customHeight="1">
      <c r="B444" t="s">
        <v>2723</v>
      </c>
      <c r="C444" s="2">
        <f>IFERROR(VLOOKUP(B444,'General price list'!C:BA,MATCH("PAL",'General price list'!$C$20:$BA$20,0),FALSE),"")</f>
        <v>66</v>
      </c>
      <c r="D444" s="2">
        <f>IFERROR(VLOOKUP(B444,'General price list'!C:BA,MATCH("OBJ",'General price list'!$C$20:$BA$20,0),FALSE),"")</f>
        <v>0</v>
      </c>
      <c r="E444" s="2">
        <f t="shared" si="36"/>
        <v>0</v>
      </c>
      <c r="F444" s="2">
        <f t="shared" si="37"/>
        <v>0</v>
      </c>
      <c r="G444" s="2">
        <f t="shared" si="38"/>
        <v>0</v>
      </c>
      <c r="H444" s="2">
        <f t="shared" si="39"/>
        <v>0</v>
      </c>
      <c r="I444" s="2">
        <f t="shared" si="35"/>
        <v>0</v>
      </c>
      <c r="J444">
        <f>IFERROR(VLOOKUP(B444,'General price list'!C:BA,MATCH("CBM",'General price list'!$C$20:$BA$20,0),FALSE)*(G444*C444),0)</f>
        <v>0</v>
      </c>
    </row>
    <row r="445" spans="2:10" ht="15" customHeight="1">
      <c r="B445" t="s">
        <v>2724</v>
      </c>
      <c r="C445" s="2" t="str">
        <f>IFERROR(VLOOKUP(B445,'General price list'!C:BA,MATCH("PAL",'General price list'!$C$20:$BA$20,0),FALSE),"")</f>
        <v>20</v>
      </c>
      <c r="D445" s="2">
        <f>IFERROR(VLOOKUP(B445,'General price list'!C:BA,MATCH("OBJ",'General price list'!$C$20:$BA$20,0),FALSE),"")</f>
        <v>0</v>
      </c>
      <c r="E445" s="2">
        <f t="shared" si="36"/>
        <v>0</v>
      </c>
      <c r="F445" s="2">
        <f t="shared" si="37"/>
        <v>0</v>
      </c>
      <c r="G445" s="2">
        <f t="shared" si="38"/>
        <v>0</v>
      </c>
      <c r="H445" s="2">
        <f t="shared" si="39"/>
        <v>0</v>
      </c>
      <c r="I445" s="2">
        <f t="shared" si="35"/>
        <v>0</v>
      </c>
      <c r="J445">
        <f>IFERROR(VLOOKUP(B445,'General price list'!C:BA,MATCH("CBM",'General price list'!$C$20:$BA$20,0),FALSE)*(G445*C445),0)</f>
        <v>0</v>
      </c>
    </row>
    <row r="446" spans="2:10" ht="15" customHeight="1">
      <c r="B446" t="s">
        <v>1279</v>
      </c>
      <c r="C446" s="2">
        <f>IFERROR(VLOOKUP(B446,'General price list'!C:BA,MATCH("PAL",'General price list'!$C$20:$BA$20,0),FALSE),"")</f>
        <v>66</v>
      </c>
      <c r="D446" s="2">
        <f>IFERROR(VLOOKUP(B446,'General price list'!C:BA,MATCH("OBJ",'General price list'!$C$20:$BA$20,0),FALSE),"")</f>
        <v>0</v>
      </c>
      <c r="E446" s="2">
        <f t="shared" si="36"/>
        <v>0</v>
      </c>
      <c r="F446" s="2">
        <f t="shared" si="37"/>
        <v>0</v>
      </c>
      <c r="G446" s="2">
        <f t="shared" si="38"/>
        <v>0</v>
      </c>
      <c r="H446" s="2">
        <f t="shared" si="39"/>
        <v>0</v>
      </c>
      <c r="I446" s="2">
        <f t="shared" si="35"/>
        <v>0</v>
      </c>
      <c r="J446">
        <f>IFERROR(VLOOKUP(B446,'General price list'!C:BA,MATCH("CBM",'General price list'!$C$20:$BA$20,0),FALSE)*(G446*C446),0)</f>
        <v>0</v>
      </c>
    </row>
    <row r="447" spans="2:10" ht="15" customHeight="1">
      <c r="B447" t="s">
        <v>1282</v>
      </c>
      <c r="C447" s="2" t="str">
        <f>IFERROR(VLOOKUP(B447,'General price list'!C:BA,MATCH("PAL",'General price list'!$C$20:$BA$20,0),FALSE),"")</f>
        <v>44</v>
      </c>
      <c r="D447" s="2">
        <f>IFERROR(VLOOKUP(B447,'General price list'!C:BA,MATCH("OBJ",'General price list'!$C$20:$BA$20,0),FALSE),"")</f>
        <v>0</v>
      </c>
      <c r="E447" s="2">
        <f t="shared" si="36"/>
        <v>0</v>
      </c>
      <c r="F447" s="2">
        <f t="shared" si="37"/>
        <v>0</v>
      </c>
      <c r="G447" s="2">
        <f t="shared" si="38"/>
        <v>0</v>
      </c>
      <c r="H447" s="2">
        <f t="shared" si="39"/>
        <v>0</v>
      </c>
      <c r="I447" s="2">
        <f t="shared" si="35"/>
        <v>0</v>
      </c>
      <c r="J447">
        <f>IFERROR(VLOOKUP(B447,'General price list'!C:BA,MATCH("CBM",'General price list'!$C$20:$BA$20,0),FALSE)*(G447*C447),0)</f>
        <v>0</v>
      </c>
    </row>
    <row r="448" spans="2:10" ht="15" customHeight="1">
      <c r="B448" t="s">
        <v>1284</v>
      </c>
      <c r="C448" s="2" t="str">
        <f>IFERROR(VLOOKUP(B448,'General price list'!C:BA,MATCH("PAL",'General price list'!$C$20:$BA$20,0),FALSE),"")</f>
        <v>44</v>
      </c>
      <c r="D448" s="2">
        <f>IFERROR(VLOOKUP(B448,'General price list'!C:BA,MATCH("OBJ",'General price list'!$C$20:$BA$20,0),FALSE),"")</f>
        <v>0</v>
      </c>
      <c r="E448" s="2">
        <f t="shared" si="36"/>
        <v>0</v>
      </c>
      <c r="F448" s="2">
        <f t="shared" si="37"/>
        <v>0</v>
      </c>
      <c r="G448" s="2">
        <f t="shared" si="38"/>
        <v>0</v>
      </c>
      <c r="H448" s="2">
        <f t="shared" si="39"/>
        <v>0</v>
      </c>
      <c r="I448" s="2">
        <f t="shared" si="35"/>
        <v>0</v>
      </c>
      <c r="J448">
        <f>IFERROR(VLOOKUP(B448,'General price list'!C:BA,MATCH("CBM",'General price list'!$C$20:$BA$20,0),FALSE)*(G448*C448),0)</f>
        <v>0</v>
      </c>
    </row>
    <row r="449" spans="2:10" ht="15" customHeight="1">
      <c r="B449" t="s">
        <v>1286</v>
      </c>
      <c r="C449" s="2" t="str">
        <f>IFERROR(VLOOKUP(B449,'General price list'!C:BA,MATCH("PAL",'General price list'!$C$20:$BA$20,0),FALSE),"")</f>
        <v>27</v>
      </c>
      <c r="D449" s="2">
        <f>IFERROR(VLOOKUP(B449,'General price list'!C:BA,MATCH("OBJ",'General price list'!$C$20:$BA$20,0),FALSE),"")</f>
        <v>0</v>
      </c>
      <c r="E449" s="2">
        <f t="shared" si="36"/>
        <v>0</v>
      </c>
      <c r="F449" s="2">
        <f t="shared" si="37"/>
        <v>0</v>
      </c>
      <c r="G449" s="2">
        <f t="shared" si="38"/>
        <v>0</v>
      </c>
      <c r="H449" s="2">
        <f t="shared" si="39"/>
        <v>0</v>
      </c>
      <c r="I449" s="2">
        <f t="shared" si="35"/>
        <v>0</v>
      </c>
      <c r="J449">
        <f>IFERROR(VLOOKUP(B449,'General price list'!C:BA,MATCH("CBM",'General price list'!$C$20:$BA$20,0),FALSE)*(G449*C449),0)</f>
        <v>0</v>
      </c>
    </row>
    <row r="450" spans="2:10" ht="15" customHeight="1">
      <c r="B450" t="s">
        <v>1287</v>
      </c>
      <c r="C450" s="2">
        <f>IFERROR(VLOOKUP(B450,'General price list'!C:BA,MATCH("PAL",'General price list'!$C$20:$BA$20,0),FALSE),"")</f>
        <v>33</v>
      </c>
      <c r="D450" s="2">
        <f>IFERROR(VLOOKUP(B450,'General price list'!C:BA,MATCH("OBJ",'General price list'!$C$20:$BA$20,0),FALSE),"")</f>
        <v>0</v>
      </c>
      <c r="E450" s="2">
        <f t="shared" si="36"/>
        <v>0</v>
      </c>
      <c r="F450" s="2">
        <f t="shared" si="37"/>
        <v>0</v>
      </c>
      <c r="G450" s="2">
        <f t="shared" si="38"/>
        <v>0</v>
      </c>
      <c r="H450" s="2">
        <f t="shared" si="39"/>
        <v>0</v>
      </c>
      <c r="I450" s="2">
        <f t="shared" si="35"/>
        <v>0</v>
      </c>
      <c r="J450">
        <f>IFERROR(VLOOKUP(B450,'General price list'!C:BA,MATCH("CBM",'General price list'!$C$20:$BA$20,0),FALSE)*(G450*C450),0)</f>
        <v>0</v>
      </c>
    </row>
    <row r="451" spans="2:10" ht="15" customHeight="1">
      <c r="B451" t="s">
        <v>1288</v>
      </c>
      <c r="C451" s="2">
        <f>IFERROR(VLOOKUP(B451,'General price list'!C:BA,MATCH("PAL",'General price list'!$C$20:$BA$20,0),FALSE),"")</f>
        <v>24</v>
      </c>
      <c r="D451" s="2">
        <f>IFERROR(VLOOKUP(B451,'General price list'!C:BA,MATCH("OBJ",'General price list'!$C$20:$BA$20,0),FALSE),"")</f>
        <v>0</v>
      </c>
      <c r="E451" s="2">
        <f t="shared" si="36"/>
        <v>0</v>
      </c>
      <c r="F451" s="2">
        <f t="shared" si="37"/>
        <v>0</v>
      </c>
      <c r="G451" s="2">
        <f t="shared" si="38"/>
        <v>0</v>
      </c>
      <c r="H451" s="2">
        <f t="shared" si="39"/>
        <v>0</v>
      </c>
      <c r="I451" s="2">
        <f t="shared" si="35"/>
        <v>0</v>
      </c>
      <c r="J451">
        <f>IFERROR(VLOOKUP(B451,'General price list'!C:BA,MATCH("CBM",'General price list'!$C$20:$BA$20,0),FALSE)*(G451*C451),0)</f>
        <v>0</v>
      </c>
    </row>
    <row r="452" spans="2:10" ht="15" customHeight="1">
      <c r="B452" t="s">
        <v>1289</v>
      </c>
      <c r="C452" s="2" t="str">
        <f>IFERROR(VLOOKUP(B452,'General price list'!C:BA,MATCH("PAL",'General price list'!$C$20:$BA$20,0),FALSE),"")</f>
        <v>20</v>
      </c>
      <c r="D452" s="2">
        <f>IFERROR(VLOOKUP(B452,'General price list'!C:BA,MATCH("OBJ",'General price list'!$C$20:$BA$20,0),FALSE),"")</f>
        <v>0</v>
      </c>
      <c r="E452" s="2">
        <f t="shared" si="36"/>
        <v>0</v>
      </c>
      <c r="F452" s="2">
        <f t="shared" si="37"/>
        <v>0</v>
      </c>
      <c r="G452" s="2">
        <f t="shared" si="38"/>
        <v>0</v>
      </c>
      <c r="H452" s="2">
        <f t="shared" si="39"/>
        <v>0</v>
      </c>
      <c r="I452" s="2">
        <f t="shared" ref="I452:I515" si="40">IFERROR(IF(D452=0,0,IF(F452=0,(D452*nextVK)+(prvniVK-nextVK),(G452*C452*nextVK)+(F452*PALzKoje))),0)</f>
        <v>0</v>
      </c>
      <c r="J452">
        <f>IFERROR(VLOOKUP(B452,'General price list'!C:BA,MATCH("CBM",'General price list'!$C$20:$BA$20,0),FALSE)*(G452*C452),0)</f>
        <v>0</v>
      </c>
    </row>
    <row r="453" spans="2:10" ht="15" customHeight="1">
      <c r="B453" t="s">
        <v>13475</v>
      </c>
      <c r="C453" s="2">
        <f>IFERROR(VLOOKUP(B453,'General price list'!C:BA,MATCH("PAL",'General price list'!$C$20:$BA$20,0),FALSE),"")</f>
        <v>14</v>
      </c>
      <c r="D453" s="2">
        <f>IFERROR(VLOOKUP(B453,'General price list'!C:BA,MATCH("OBJ",'General price list'!$C$20:$BA$20,0),FALSE),"")</f>
        <v>0</v>
      </c>
      <c r="E453" s="2">
        <f t="shared" ref="E453:E516" si="41">IFERROR(D453/C453,0)</f>
        <v>0</v>
      </c>
      <c r="F453" s="2">
        <f t="shared" ref="F453:F516" si="42">IFERROR(FLOOR(IF(E453-1&lt;0,0,E453),1),0)</f>
        <v>0</v>
      </c>
      <c r="G453" s="2">
        <f t="shared" ref="G453:G516" si="43">IFERROR(IF(H453&gt;E453,F453-E453,E453-F453),0)</f>
        <v>0</v>
      </c>
      <c r="H453" s="2">
        <f t="shared" ref="H453:H516" si="44">IFERROR(IF(E453=0,0,F453),0)</f>
        <v>0</v>
      </c>
      <c r="I453" s="2">
        <f t="shared" si="40"/>
        <v>0</v>
      </c>
      <c r="J453">
        <f>IFERROR(VLOOKUP(B453,'General price list'!C:BA,MATCH("CBM",'General price list'!$C$20:$BA$20,0),FALSE)*(G453*C453),0)</f>
        <v>0</v>
      </c>
    </row>
    <row r="454" spans="2:10" ht="15" customHeight="1">
      <c r="B454" t="s">
        <v>2725</v>
      </c>
      <c r="C454" s="2">
        <f>IFERROR(VLOOKUP(B454,'General price list'!C:BA,MATCH("PAL",'General price list'!$C$20:$BA$20,0),FALSE),"")</f>
        <v>66</v>
      </c>
      <c r="D454" s="2">
        <f>IFERROR(VLOOKUP(B454,'General price list'!C:BA,MATCH("OBJ",'General price list'!$C$20:$BA$20,0),FALSE),"")</f>
        <v>0</v>
      </c>
      <c r="E454" s="2">
        <f t="shared" si="41"/>
        <v>0</v>
      </c>
      <c r="F454" s="2">
        <f t="shared" si="42"/>
        <v>0</v>
      </c>
      <c r="G454" s="2">
        <f t="shared" si="43"/>
        <v>0</v>
      </c>
      <c r="H454" s="2">
        <f t="shared" si="44"/>
        <v>0</v>
      </c>
      <c r="I454" s="2">
        <f t="shared" si="40"/>
        <v>0</v>
      </c>
      <c r="J454">
        <f>IFERROR(VLOOKUP(B454,'General price list'!C:BA,MATCH("CBM",'General price list'!$C$20:$BA$20,0),FALSE)*(G454*C454),0)</f>
        <v>0</v>
      </c>
    </row>
    <row r="455" spans="2:10" ht="15" customHeight="1">
      <c r="B455" t="s">
        <v>2726</v>
      </c>
      <c r="C455" s="2" t="str">
        <f>IFERROR(VLOOKUP(B455,'General price list'!C:BA,MATCH("PAL",'General price list'!$C$20:$BA$20,0),FALSE),"")</f>
        <v>44</v>
      </c>
      <c r="D455" s="2">
        <f>IFERROR(VLOOKUP(B455,'General price list'!C:BA,MATCH("OBJ",'General price list'!$C$20:$BA$20,0),FALSE),"")</f>
        <v>0</v>
      </c>
      <c r="E455" s="2">
        <f t="shared" si="41"/>
        <v>0</v>
      </c>
      <c r="F455" s="2">
        <f t="shared" si="42"/>
        <v>0</v>
      </c>
      <c r="G455" s="2">
        <f t="shared" si="43"/>
        <v>0</v>
      </c>
      <c r="H455" s="2">
        <f t="shared" si="44"/>
        <v>0</v>
      </c>
      <c r="I455" s="2">
        <f t="shared" si="40"/>
        <v>0</v>
      </c>
      <c r="J455">
        <f>IFERROR(VLOOKUP(B455,'General price list'!C:BA,MATCH("CBM",'General price list'!$C$20:$BA$20,0),FALSE)*(G455*C455),0)</f>
        <v>0</v>
      </c>
    </row>
    <row r="456" spans="2:10" ht="15" customHeight="1">
      <c r="B456" t="s">
        <v>5239</v>
      </c>
      <c r="C456" s="2" t="str">
        <f>IFERROR(VLOOKUP(B456,'General price list'!C:BA,MATCH("PAL",'General price list'!$C$20:$BA$20,0),FALSE),"")</f>
        <v>44</v>
      </c>
      <c r="D456" s="2">
        <f>IFERROR(VLOOKUP(B456,'General price list'!C:BA,MATCH("OBJ",'General price list'!$C$20:$BA$20,0),FALSE),"")</f>
        <v>0</v>
      </c>
      <c r="E456" s="2">
        <f t="shared" si="41"/>
        <v>0</v>
      </c>
      <c r="F456" s="2">
        <f t="shared" si="42"/>
        <v>0</v>
      </c>
      <c r="G456" s="2">
        <f t="shared" si="43"/>
        <v>0</v>
      </c>
      <c r="H456" s="2">
        <f t="shared" si="44"/>
        <v>0</v>
      </c>
      <c r="I456" s="2">
        <f t="shared" si="40"/>
        <v>0</v>
      </c>
      <c r="J456">
        <f>IFERROR(VLOOKUP(B456,'General price list'!C:BA,MATCH("CBM",'General price list'!$C$20:$BA$20,0),FALSE)*(G456*C456),0)</f>
        <v>0</v>
      </c>
    </row>
    <row r="457" spans="2:10" ht="15" customHeight="1">
      <c r="B457" t="s">
        <v>5241</v>
      </c>
      <c r="C457" s="2" t="str">
        <f>IFERROR(VLOOKUP(B457,'General price list'!C:BA,MATCH("PAL",'General price list'!$C$20:$BA$20,0),FALSE),"")</f>
        <v>27</v>
      </c>
      <c r="D457" s="2">
        <f>IFERROR(VLOOKUP(B457,'General price list'!C:BA,MATCH("OBJ",'General price list'!$C$20:$BA$20,0),FALSE),"")</f>
        <v>0</v>
      </c>
      <c r="E457" s="2">
        <f t="shared" si="41"/>
        <v>0</v>
      </c>
      <c r="F457" s="2">
        <f t="shared" si="42"/>
        <v>0</v>
      </c>
      <c r="G457" s="2">
        <f t="shared" si="43"/>
        <v>0</v>
      </c>
      <c r="H457" s="2">
        <f t="shared" si="44"/>
        <v>0</v>
      </c>
      <c r="I457" s="2">
        <f t="shared" si="40"/>
        <v>0</v>
      </c>
      <c r="J457">
        <f>IFERROR(VLOOKUP(B457,'General price list'!C:BA,MATCH("CBM",'General price list'!$C$20:$BA$20,0),FALSE)*(G457*C457),0)</f>
        <v>0</v>
      </c>
    </row>
    <row r="458" spans="2:10" ht="15" customHeight="1">
      <c r="B458" t="s">
        <v>2727</v>
      </c>
      <c r="C458" s="2">
        <f>IFERROR(VLOOKUP(B458,'General price list'!C:BA,MATCH("PAL",'General price list'!$C$20:$BA$20,0),FALSE),"")</f>
        <v>36</v>
      </c>
      <c r="D458" s="2">
        <f>IFERROR(VLOOKUP(B458,'General price list'!C:BA,MATCH("OBJ",'General price list'!$C$20:$BA$20,0),FALSE),"")</f>
        <v>0</v>
      </c>
      <c r="E458" s="2">
        <f t="shared" si="41"/>
        <v>0</v>
      </c>
      <c r="F458" s="2">
        <f t="shared" si="42"/>
        <v>0</v>
      </c>
      <c r="G458" s="2">
        <f t="shared" si="43"/>
        <v>0</v>
      </c>
      <c r="H458" s="2">
        <f t="shared" si="44"/>
        <v>0</v>
      </c>
      <c r="I458" s="2">
        <f t="shared" si="40"/>
        <v>0</v>
      </c>
      <c r="J458">
        <f>IFERROR(VLOOKUP(B458,'General price list'!C:BA,MATCH("CBM",'General price list'!$C$20:$BA$20,0),FALSE)*(G458*C458),0)</f>
        <v>0</v>
      </c>
    </row>
    <row r="459" spans="2:10" ht="15" customHeight="1">
      <c r="B459" t="s">
        <v>2728</v>
      </c>
      <c r="C459" s="2">
        <f>IFERROR(VLOOKUP(B459,'General price list'!C:BA,MATCH("PAL",'General price list'!$C$20:$BA$20,0),FALSE),"")</f>
        <v>24</v>
      </c>
      <c r="D459" s="2">
        <f>IFERROR(VLOOKUP(B459,'General price list'!C:BA,MATCH("OBJ",'General price list'!$C$20:$BA$20,0),FALSE),"")</f>
        <v>0</v>
      </c>
      <c r="E459" s="2">
        <f t="shared" si="41"/>
        <v>0</v>
      </c>
      <c r="F459" s="2">
        <f t="shared" si="42"/>
        <v>0</v>
      </c>
      <c r="G459" s="2">
        <f t="shared" si="43"/>
        <v>0</v>
      </c>
      <c r="H459" s="2">
        <f t="shared" si="44"/>
        <v>0</v>
      </c>
      <c r="I459" s="2">
        <f t="shared" si="40"/>
        <v>0</v>
      </c>
      <c r="J459">
        <f>IFERROR(VLOOKUP(B459,'General price list'!C:BA,MATCH("CBM",'General price list'!$C$20:$BA$20,0),FALSE)*(G459*C459),0)</f>
        <v>0</v>
      </c>
    </row>
    <row r="460" spans="2:10" ht="15" customHeight="1">
      <c r="B460" t="s">
        <v>2729</v>
      </c>
      <c r="C460" s="2" t="str">
        <f>IFERROR(VLOOKUP(B460,'General price list'!C:BA,MATCH("PAL",'General price list'!$C$20:$BA$20,0),FALSE),"")</f>
        <v>20</v>
      </c>
      <c r="D460" s="2">
        <f>IFERROR(VLOOKUP(B460,'General price list'!C:BA,MATCH("OBJ",'General price list'!$C$20:$BA$20,0),FALSE),"")</f>
        <v>0</v>
      </c>
      <c r="E460" s="2">
        <f t="shared" si="41"/>
        <v>0</v>
      </c>
      <c r="F460" s="2">
        <f t="shared" si="42"/>
        <v>0</v>
      </c>
      <c r="G460" s="2">
        <f t="shared" si="43"/>
        <v>0</v>
      </c>
      <c r="H460" s="2">
        <f t="shared" si="44"/>
        <v>0</v>
      </c>
      <c r="I460" s="2">
        <f t="shared" si="40"/>
        <v>0</v>
      </c>
      <c r="J460">
        <f>IFERROR(VLOOKUP(B460,'General price list'!C:BA,MATCH("CBM",'General price list'!$C$20:$BA$20,0),FALSE)*(G460*C460),0)</f>
        <v>0</v>
      </c>
    </row>
    <row r="461" spans="2:10" ht="15" customHeight="1">
      <c r="B461" t="s">
        <v>1292</v>
      </c>
      <c r="C461" s="2">
        <f>IFERROR(VLOOKUP(B461,'General price list'!C:BA,MATCH("PAL",'General price list'!$C$20:$BA$20,0),FALSE),"")</f>
        <v>45</v>
      </c>
      <c r="D461" s="2">
        <f>IFERROR(VLOOKUP(B461,'General price list'!C:BA,MATCH("OBJ",'General price list'!$C$20:$BA$20,0),FALSE),"")</f>
        <v>0</v>
      </c>
      <c r="E461" s="2">
        <f t="shared" si="41"/>
        <v>0</v>
      </c>
      <c r="F461" s="2">
        <f t="shared" si="42"/>
        <v>0</v>
      </c>
      <c r="G461" s="2">
        <f t="shared" si="43"/>
        <v>0</v>
      </c>
      <c r="H461" s="2">
        <f t="shared" si="44"/>
        <v>0</v>
      </c>
      <c r="I461" s="2">
        <f t="shared" si="40"/>
        <v>0</v>
      </c>
      <c r="J461">
        <f>IFERROR(VLOOKUP(B461,'General price list'!C:BA,MATCH("CBM",'General price list'!$C$20:$BA$20,0),FALSE)*(G461*C461),0)</f>
        <v>0</v>
      </c>
    </row>
    <row r="462" spans="2:10" ht="15" customHeight="1">
      <c r="B462" t="s">
        <v>1294</v>
      </c>
      <c r="C462" s="2">
        <f>IFERROR(VLOOKUP(B462,'General price list'!C:BA,MATCH("PAL",'General price list'!$C$20:$BA$20,0),FALSE),"")</f>
        <v>45</v>
      </c>
      <c r="D462" s="2">
        <f>IFERROR(VLOOKUP(B462,'General price list'!C:BA,MATCH("OBJ",'General price list'!$C$20:$BA$20,0),FALSE),"")</f>
        <v>0</v>
      </c>
      <c r="E462" s="2">
        <f t="shared" si="41"/>
        <v>0</v>
      </c>
      <c r="F462" s="2">
        <f t="shared" si="42"/>
        <v>0</v>
      </c>
      <c r="G462" s="2">
        <f t="shared" si="43"/>
        <v>0</v>
      </c>
      <c r="H462" s="2">
        <f t="shared" si="44"/>
        <v>0</v>
      </c>
      <c r="I462" s="2">
        <f t="shared" si="40"/>
        <v>0</v>
      </c>
      <c r="J462">
        <f>IFERROR(VLOOKUP(B462,'General price list'!C:BA,MATCH("CBM",'General price list'!$C$20:$BA$20,0),FALSE)*(G462*C462),0)</f>
        <v>0</v>
      </c>
    </row>
    <row r="463" spans="2:10" ht="15" customHeight="1">
      <c r="B463" t="s">
        <v>1296</v>
      </c>
      <c r="C463" s="2">
        <f>IFERROR(VLOOKUP(B463,'General price list'!C:BA,MATCH("PAL",'General price list'!$C$20:$BA$20,0),FALSE),"")</f>
        <v>45</v>
      </c>
      <c r="D463" s="2">
        <f>IFERROR(VLOOKUP(B463,'General price list'!C:BA,MATCH("OBJ",'General price list'!$C$20:$BA$20,0),FALSE),"")</f>
        <v>0</v>
      </c>
      <c r="E463" s="2">
        <f t="shared" si="41"/>
        <v>0</v>
      </c>
      <c r="F463" s="2">
        <f t="shared" si="42"/>
        <v>0</v>
      </c>
      <c r="G463" s="2">
        <f t="shared" si="43"/>
        <v>0</v>
      </c>
      <c r="H463" s="2">
        <f t="shared" si="44"/>
        <v>0</v>
      </c>
      <c r="I463" s="2">
        <f t="shared" si="40"/>
        <v>0</v>
      </c>
      <c r="J463">
        <f>IFERROR(VLOOKUP(B463,'General price list'!C:BA,MATCH("CBM",'General price list'!$C$20:$BA$20,0),FALSE)*(G463*C463),0)</f>
        <v>0</v>
      </c>
    </row>
    <row r="464" spans="2:10" ht="15" customHeight="1">
      <c r="B464" t="s">
        <v>1298</v>
      </c>
      <c r="C464" s="2">
        <f>IFERROR(VLOOKUP(B464,'General price list'!C:BA,MATCH("PAL",'General price list'!$C$20:$BA$20,0),FALSE),"")</f>
        <v>45</v>
      </c>
      <c r="D464" s="2">
        <f>IFERROR(VLOOKUP(B464,'General price list'!C:BA,MATCH("OBJ",'General price list'!$C$20:$BA$20,0),FALSE),"")</f>
        <v>0</v>
      </c>
      <c r="E464" s="2">
        <f t="shared" si="41"/>
        <v>0</v>
      </c>
      <c r="F464" s="2">
        <f t="shared" si="42"/>
        <v>0</v>
      </c>
      <c r="G464" s="2">
        <f t="shared" si="43"/>
        <v>0</v>
      </c>
      <c r="H464" s="2">
        <f t="shared" si="44"/>
        <v>0</v>
      </c>
      <c r="I464" s="2">
        <f t="shared" si="40"/>
        <v>0</v>
      </c>
      <c r="J464">
        <f>IFERROR(VLOOKUP(B464,'General price list'!C:BA,MATCH("CBM",'General price list'!$C$20:$BA$20,0),FALSE)*(G464*C464),0)</f>
        <v>0</v>
      </c>
    </row>
    <row r="465" spans="2:10" ht="15" customHeight="1">
      <c r="B465" t="s">
        <v>1300</v>
      </c>
      <c r="C465" s="2">
        <f>IFERROR(VLOOKUP(B465,'General price list'!C:BA,MATCH("PAL",'General price list'!$C$20:$BA$20,0),FALSE),"")</f>
        <v>45</v>
      </c>
      <c r="D465" s="2">
        <f>IFERROR(VLOOKUP(B465,'General price list'!C:BA,MATCH("OBJ",'General price list'!$C$20:$BA$20,0),FALSE),"")</f>
        <v>0</v>
      </c>
      <c r="E465" s="2">
        <f t="shared" si="41"/>
        <v>0</v>
      </c>
      <c r="F465" s="2">
        <f t="shared" si="42"/>
        <v>0</v>
      </c>
      <c r="G465" s="2">
        <f t="shared" si="43"/>
        <v>0</v>
      </c>
      <c r="H465" s="2">
        <f t="shared" si="44"/>
        <v>0</v>
      </c>
      <c r="I465" s="2">
        <f t="shared" si="40"/>
        <v>0</v>
      </c>
      <c r="J465">
        <f>IFERROR(VLOOKUP(B465,'General price list'!C:BA,MATCH("CBM",'General price list'!$C$20:$BA$20,0),FALSE)*(G465*C465),0)</f>
        <v>0</v>
      </c>
    </row>
    <row r="466" spans="2:10" ht="15" customHeight="1">
      <c r="B466" t="s">
        <v>1301</v>
      </c>
      <c r="C466" s="2">
        <f>IFERROR(VLOOKUP(B466,'General price list'!C:BA,MATCH("PAL",'General price list'!$C$20:$BA$20,0),FALSE),"")</f>
        <v>45</v>
      </c>
      <c r="D466" s="2">
        <f>IFERROR(VLOOKUP(B466,'General price list'!C:BA,MATCH("OBJ",'General price list'!$C$20:$BA$20,0),FALSE),"")</f>
        <v>0</v>
      </c>
      <c r="E466" s="2">
        <f t="shared" si="41"/>
        <v>0</v>
      </c>
      <c r="F466" s="2">
        <f t="shared" si="42"/>
        <v>0</v>
      </c>
      <c r="G466" s="2">
        <f t="shared" si="43"/>
        <v>0</v>
      </c>
      <c r="H466" s="2">
        <f t="shared" si="44"/>
        <v>0</v>
      </c>
      <c r="I466" s="2">
        <f t="shared" si="40"/>
        <v>0</v>
      </c>
      <c r="J466">
        <f>IFERROR(VLOOKUP(B466,'General price list'!C:BA,MATCH("CBM",'General price list'!$C$20:$BA$20,0),FALSE)*(G466*C466),0)</f>
        <v>0</v>
      </c>
    </row>
    <row r="467" spans="2:10" ht="15" customHeight="1">
      <c r="B467" t="s">
        <v>1302</v>
      </c>
      <c r="C467" s="2">
        <f>IFERROR(VLOOKUP(B467,'General price list'!C:BA,MATCH("PAL",'General price list'!$C$20:$BA$20,0),FALSE),"")</f>
        <v>45</v>
      </c>
      <c r="D467" s="2">
        <f>IFERROR(VLOOKUP(B467,'General price list'!C:BA,MATCH("OBJ",'General price list'!$C$20:$BA$20,0),FALSE),"")</f>
        <v>0</v>
      </c>
      <c r="E467" s="2">
        <f t="shared" si="41"/>
        <v>0</v>
      </c>
      <c r="F467" s="2">
        <f t="shared" si="42"/>
        <v>0</v>
      </c>
      <c r="G467" s="2">
        <f t="shared" si="43"/>
        <v>0</v>
      </c>
      <c r="H467" s="2">
        <f t="shared" si="44"/>
        <v>0</v>
      </c>
      <c r="I467" s="2">
        <f t="shared" si="40"/>
        <v>0</v>
      </c>
      <c r="J467">
        <f>IFERROR(VLOOKUP(B467,'General price list'!C:BA,MATCH("CBM",'General price list'!$C$20:$BA$20,0),FALSE)*(G467*C467),0)</f>
        <v>0</v>
      </c>
    </row>
    <row r="468" spans="2:10" ht="15" customHeight="1">
      <c r="B468" t="s">
        <v>2545</v>
      </c>
      <c r="C468" s="2">
        <f>IFERROR(VLOOKUP(B468,'General price list'!C:BA,MATCH("PAL",'General price list'!$C$20:$BA$20,0),FALSE),"")</f>
        <v>20</v>
      </c>
      <c r="D468" s="2">
        <f>IFERROR(VLOOKUP(B468,'General price list'!C:BA,MATCH("OBJ",'General price list'!$C$20:$BA$20,0),FALSE),"")</f>
        <v>0</v>
      </c>
      <c r="E468" s="2">
        <f t="shared" si="41"/>
        <v>0</v>
      </c>
      <c r="F468" s="2">
        <f t="shared" si="42"/>
        <v>0</v>
      </c>
      <c r="G468" s="2">
        <f t="shared" si="43"/>
        <v>0</v>
      </c>
      <c r="H468" s="2">
        <f t="shared" si="44"/>
        <v>0</v>
      </c>
      <c r="I468" s="2">
        <f t="shared" si="40"/>
        <v>0</v>
      </c>
      <c r="J468">
        <f>IFERROR(VLOOKUP(B468,'General price list'!C:BA,MATCH("CBM",'General price list'!$C$20:$BA$20,0),FALSE)*(G468*C468),0)</f>
        <v>0</v>
      </c>
    </row>
    <row r="469" spans="2:10" ht="15" customHeight="1">
      <c r="B469" t="s">
        <v>1303</v>
      </c>
      <c r="C469" s="2">
        <f>IFERROR(VLOOKUP(B469,'General price list'!C:BA,MATCH("PAL",'General price list'!$C$20:$BA$20,0),FALSE),"")</f>
        <v>20</v>
      </c>
      <c r="D469" s="2">
        <f>IFERROR(VLOOKUP(B469,'General price list'!C:BA,MATCH("OBJ",'General price list'!$C$20:$BA$20,0),FALSE),"")</f>
        <v>0</v>
      </c>
      <c r="E469" s="2">
        <f t="shared" si="41"/>
        <v>0</v>
      </c>
      <c r="F469" s="2">
        <f t="shared" si="42"/>
        <v>0</v>
      </c>
      <c r="G469" s="2">
        <f t="shared" si="43"/>
        <v>0</v>
      </c>
      <c r="H469" s="2">
        <f t="shared" si="44"/>
        <v>0</v>
      </c>
      <c r="I469" s="2">
        <f t="shared" si="40"/>
        <v>0</v>
      </c>
      <c r="J469">
        <f>IFERROR(VLOOKUP(B469,'General price list'!C:BA,MATCH("CBM",'General price list'!$C$20:$BA$20,0),FALSE)*(G469*C469),0)</f>
        <v>0</v>
      </c>
    </row>
    <row r="470" spans="2:10" ht="15" customHeight="1">
      <c r="B470" t="s">
        <v>1304</v>
      </c>
      <c r="C470" s="2">
        <f>IFERROR(VLOOKUP(B470,'General price list'!C:BA,MATCH("PAL",'General price list'!$C$20:$BA$20,0),FALSE),"")</f>
        <v>20</v>
      </c>
      <c r="D470" s="2">
        <f>IFERROR(VLOOKUP(B470,'General price list'!C:BA,MATCH("OBJ",'General price list'!$C$20:$BA$20,0),FALSE),"")</f>
        <v>0</v>
      </c>
      <c r="E470" s="2">
        <f t="shared" si="41"/>
        <v>0</v>
      </c>
      <c r="F470" s="2">
        <f t="shared" si="42"/>
        <v>0</v>
      </c>
      <c r="G470" s="2">
        <f t="shared" si="43"/>
        <v>0</v>
      </c>
      <c r="H470" s="2">
        <f t="shared" si="44"/>
        <v>0</v>
      </c>
      <c r="I470" s="2">
        <f t="shared" si="40"/>
        <v>0</v>
      </c>
      <c r="J470">
        <f>IFERROR(VLOOKUP(B470,'General price list'!C:BA,MATCH("CBM",'General price list'!$C$20:$BA$20,0),FALSE)*(G470*C470),0)</f>
        <v>0</v>
      </c>
    </row>
    <row r="471" spans="2:10" ht="15" customHeight="1">
      <c r="B471" t="s">
        <v>1306</v>
      </c>
      <c r="C471" s="2">
        <f>IFERROR(VLOOKUP(B471,'General price list'!C:BA,MATCH("PAL",'General price list'!$C$20:$BA$20,0),FALSE),"")</f>
        <v>20</v>
      </c>
      <c r="D471" s="2">
        <f>IFERROR(VLOOKUP(B471,'General price list'!C:BA,MATCH("OBJ",'General price list'!$C$20:$BA$20,0),FALSE),"")</f>
        <v>0</v>
      </c>
      <c r="E471" s="2">
        <f t="shared" si="41"/>
        <v>0</v>
      </c>
      <c r="F471" s="2">
        <f t="shared" si="42"/>
        <v>0</v>
      </c>
      <c r="G471" s="2">
        <f t="shared" si="43"/>
        <v>0</v>
      </c>
      <c r="H471" s="2">
        <f t="shared" si="44"/>
        <v>0</v>
      </c>
      <c r="I471" s="2">
        <f t="shared" si="40"/>
        <v>0</v>
      </c>
      <c r="J471">
        <f>IFERROR(VLOOKUP(B471,'General price list'!C:BA,MATCH("CBM",'General price list'!$C$20:$BA$20,0),FALSE)*(G471*C471),0)</f>
        <v>0</v>
      </c>
    </row>
    <row r="472" spans="2:10" ht="15" customHeight="1">
      <c r="B472" t="s">
        <v>1308</v>
      </c>
      <c r="C472" s="2">
        <f>IFERROR(VLOOKUP(B472,'General price list'!C:BA,MATCH("PAL",'General price list'!$C$20:$BA$20,0),FALSE),"")</f>
        <v>20</v>
      </c>
      <c r="D472" s="2">
        <f>IFERROR(VLOOKUP(B472,'General price list'!C:BA,MATCH("OBJ",'General price list'!$C$20:$BA$20,0),FALSE),"")</f>
        <v>0</v>
      </c>
      <c r="E472" s="2">
        <f t="shared" si="41"/>
        <v>0</v>
      </c>
      <c r="F472" s="2">
        <f t="shared" si="42"/>
        <v>0</v>
      </c>
      <c r="G472" s="2">
        <f t="shared" si="43"/>
        <v>0</v>
      </c>
      <c r="H472" s="2">
        <f t="shared" si="44"/>
        <v>0</v>
      </c>
      <c r="I472" s="2">
        <f t="shared" si="40"/>
        <v>0</v>
      </c>
      <c r="J472">
        <f>IFERROR(VLOOKUP(B472,'General price list'!C:BA,MATCH("CBM",'General price list'!$C$20:$BA$20,0),FALSE)*(G472*C472),0)</f>
        <v>0</v>
      </c>
    </row>
    <row r="473" spans="2:10" ht="15" customHeight="1">
      <c r="B473" t="s">
        <v>2546</v>
      </c>
      <c r="C473" s="2">
        <f>IFERROR(VLOOKUP(B473,'General price list'!C:BA,MATCH("PAL",'General price list'!$C$20:$BA$20,0),FALSE),"")</f>
        <v>16</v>
      </c>
      <c r="D473" s="2">
        <f>IFERROR(VLOOKUP(B473,'General price list'!C:BA,MATCH("OBJ",'General price list'!$C$20:$BA$20,0),FALSE),"")</f>
        <v>0</v>
      </c>
      <c r="E473" s="2">
        <f t="shared" si="41"/>
        <v>0</v>
      </c>
      <c r="F473" s="2">
        <f t="shared" si="42"/>
        <v>0</v>
      </c>
      <c r="G473" s="2">
        <f t="shared" si="43"/>
        <v>0</v>
      </c>
      <c r="H473" s="2">
        <f t="shared" si="44"/>
        <v>0</v>
      </c>
      <c r="I473" s="2">
        <f t="shared" si="40"/>
        <v>0</v>
      </c>
      <c r="J473">
        <f>IFERROR(VLOOKUP(B473,'General price list'!C:BA,MATCH("CBM",'General price list'!$C$20:$BA$20,0),FALSE)*(G473*C473),0)</f>
        <v>0</v>
      </c>
    </row>
    <row r="474" spans="2:10" ht="15" customHeight="1">
      <c r="B474" t="s">
        <v>1310</v>
      </c>
      <c r="C474" s="2" t="str">
        <f>IFERROR(VLOOKUP(B474,'General price list'!C:BA,MATCH("PAL",'General price list'!$C$20:$BA$20,0),FALSE),"")</f>
        <v>20</v>
      </c>
      <c r="D474" s="2">
        <f>IFERROR(VLOOKUP(B474,'General price list'!C:BA,MATCH("OBJ",'General price list'!$C$20:$BA$20,0),FALSE),"")</f>
        <v>0</v>
      </c>
      <c r="E474" s="2">
        <f t="shared" si="41"/>
        <v>0</v>
      </c>
      <c r="F474" s="2">
        <f t="shared" si="42"/>
        <v>0</v>
      </c>
      <c r="G474" s="2">
        <f t="shared" si="43"/>
        <v>0</v>
      </c>
      <c r="H474" s="2">
        <f t="shared" si="44"/>
        <v>0</v>
      </c>
      <c r="I474" s="2">
        <f t="shared" si="40"/>
        <v>0</v>
      </c>
      <c r="J474">
        <f>IFERROR(VLOOKUP(B474,'General price list'!C:BA,MATCH("CBM",'General price list'!$C$20:$BA$20,0),FALSE)*(G474*C474),0)</f>
        <v>0</v>
      </c>
    </row>
    <row r="475" spans="2:10" ht="15" customHeight="1">
      <c r="B475" t="s">
        <v>1313</v>
      </c>
      <c r="C475" s="2" t="str">
        <f>IFERROR(VLOOKUP(B475,'General price list'!C:BA,MATCH("PAL",'General price list'!$C$20:$BA$20,0),FALSE),"")</f>
        <v>20</v>
      </c>
      <c r="D475" s="2">
        <f>IFERROR(VLOOKUP(B475,'General price list'!C:BA,MATCH("OBJ",'General price list'!$C$20:$BA$20,0),FALSE),"")</f>
        <v>0</v>
      </c>
      <c r="E475" s="2">
        <f t="shared" si="41"/>
        <v>0</v>
      </c>
      <c r="F475" s="2">
        <f t="shared" si="42"/>
        <v>0</v>
      </c>
      <c r="G475" s="2">
        <f t="shared" si="43"/>
        <v>0</v>
      </c>
      <c r="H475" s="2">
        <f t="shared" si="44"/>
        <v>0</v>
      </c>
      <c r="I475" s="2">
        <f t="shared" si="40"/>
        <v>0</v>
      </c>
      <c r="J475">
        <f>IFERROR(VLOOKUP(B475,'General price list'!C:BA,MATCH("CBM",'General price list'!$C$20:$BA$20,0),FALSE)*(G475*C475),0)</f>
        <v>0</v>
      </c>
    </row>
    <row r="476" spans="2:10" ht="15" customHeight="1">
      <c r="B476" t="s">
        <v>1316</v>
      </c>
      <c r="C476" s="2" t="str">
        <f>IFERROR(VLOOKUP(B476,'General price list'!C:BA,MATCH("PAL",'General price list'!$C$20:$BA$20,0),FALSE),"")</f>
        <v>20</v>
      </c>
      <c r="D476" s="2">
        <f>IFERROR(VLOOKUP(B476,'General price list'!C:BA,MATCH("OBJ",'General price list'!$C$20:$BA$20,0),FALSE),"")</f>
        <v>0</v>
      </c>
      <c r="E476" s="2">
        <f t="shared" si="41"/>
        <v>0</v>
      </c>
      <c r="F476" s="2">
        <f t="shared" si="42"/>
        <v>0</v>
      </c>
      <c r="G476" s="2">
        <f t="shared" si="43"/>
        <v>0</v>
      </c>
      <c r="H476" s="2">
        <f t="shared" si="44"/>
        <v>0</v>
      </c>
      <c r="I476" s="2">
        <f t="shared" si="40"/>
        <v>0</v>
      </c>
      <c r="J476">
        <f>IFERROR(VLOOKUP(B476,'General price list'!C:BA,MATCH("CBM",'General price list'!$C$20:$BA$20,0),FALSE)*(G476*C476),0)</f>
        <v>0</v>
      </c>
    </row>
    <row r="477" spans="2:10" ht="15" customHeight="1">
      <c r="B477" t="s">
        <v>1318</v>
      </c>
      <c r="C477" s="2">
        <f>IFERROR(VLOOKUP(B477,'General price list'!C:BA,MATCH("PAL",'General price list'!$C$20:$BA$20,0),FALSE),"")</f>
        <v>18</v>
      </c>
      <c r="D477" s="2">
        <f>IFERROR(VLOOKUP(B477,'General price list'!C:BA,MATCH("OBJ",'General price list'!$C$20:$BA$20,0),FALSE),"")</f>
        <v>0</v>
      </c>
      <c r="E477" s="2">
        <f t="shared" si="41"/>
        <v>0</v>
      </c>
      <c r="F477" s="2">
        <f t="shared" si="42"/>
        <v>0</v>
      </c>
      <c r="G477" s="2">
        <f t="shared" si="43"/>
        <v>0</v>
      </c>
      <c r="H477" s="2">
        <f t="shared" si="44"/>
        <v>0</v>
      </c>
      <c r="I477" s="2">
        <f t="shared" si="40"/>
        <v>0</v>
      </c>
      <c r="J477">
        <f>IFERROR(VLOOKUP(B477,'General price list'!C:BA,MATCH("CBM",'General price list'!$C$20:$BA$20,0),FALSE)*(G477*C477),0)</f>
        <v>0</v>
      </c>
    </row>
    <row r="478" spans="2:10" ht="15" customHeight="1">
      <c r="B478" t="s">
        <v>1321</v>
      </c>
      <c r="C478" s="2">
        <f>IFERROR(VLOOKUP(B478,'General price list'!C:BA,MATCH("PAL",'General price list'!$C$20:$BA$20,0),FALSE),"")</f>
        <v>25</v>
      </c>
      <c r="D478" s="2">
        <f>IFERROR(VLOOKUP(B478,'General price list'!C:BA,MATCH("OBJ",'General price list'!$C$20:$BA$20,0),FALSE),"")</f>
        <v>0</v>
      </c>
      <c r="E478" s="2">
        <f t="shared" si="41"/>
        <v>0</v>
      </c>
      <c r="F478" s="2">
        <f t="shared" si="42"/>
        <v>0</v>
      </c>
      <c r="G478" s="2">
        <f t="shared" si="43"/>
        <v>0</v>
      </c>
      <c r="H478" s="2">
        <f t="shared" si="44"/>
        <v>0</v>
      </c>
      <c r="I478" s="2">
        <f t="shared" si="40"/>
        <v>0</v>
      </c>
      <c r="J478">
        <f>IFERROR(VLOOKUP(B478,'General price list'!C:BA,MATCH("CBM",'General price list'!$C$20:$BA$20,0),FALSE)*(G478*C478),0)</f>
        <v>0</v>
      </c>
    </row>
    <row r="479" spans="2:10" ht="15" customHeight="1">
      <c r="B479" t="s">
        <v>1323</v>
      </c>
      <c r="C479" s="2">
        <f>IFERROR(VLOOKUP(B479,'General price list'!C:BA,MATCH("PAL",'General price list'!$C$20:$BA$20,0),FALSE),"")</f>
        <v>25</v>
      </c>
      <c r="D479" s="2">
        <f>IFERROR(VLOOKUP(B479,'General price list'!C:BA,MATCH("OBJ",'General price list'!$C$20:$BA$20,0),FALSE),"")</f>
        <v>0</v>
      </c>
      <c r="E479" s="2">
        <f t="shared" si="41"/>
        <v>0</v>
      </c>
      <c r="F479" s="2">
        <f t="shared" si="42"/>
        <v>0</v>
      </c>
      <c r="G479" s="2">
        <f t="shared" si="43"/>
        <v>0</v>
      </c>
      <c r="H479" s="2">
        <f t="shared" si="44"/>
        <v>0</v>
      </c>
      <c r="I479" s="2">
        <f t="shared" si="40"/>
        <v>0</v>
      </c>
      <c r="J479">
        <f>IFERROR(VLOOKUP(B479,'General price list'!C:BA,MATCH("CBM",'General price list'!$C$20:$BA$20,0),FALSE)*(G479*C479),0)</f>
        <v>0</v>
      </c>
    </row>
    <row r="480" spans="2:10" ht="15" customHeight="1">
      <c r="B480" t="s">
        <v>1324</v>
      </c>
      <c r="C480" s="2">
        <f>IFERROR(VLOOKUP(B480,'General price list'!C:BA,MATCH("PAL",'General price list'!$C$20:$BA$20,0),FALSE),"")</f>
        <v>25</v>
      </c>
      <c r="D480" s="2">
        <f>IFERROR(VLOOKUP(B480,'General price list'!C:BA,MATCH("OBJ",'General price list'!$C$20:$BA$20,0),FALSE),"")</f>
        <v>0</v>
      </c>
      <c r="E480" s="2">
        <f t="shared" si="41"/>
        <v>0</v>
      </c>
      <c r="F480" s="2">
        <f t="shared" si="42"/>
        <v>0</v>
      </c>
      <c r="G480" s="2">
        <f t="shared" si="43"/>
        <v>0</v>
      </c>
      <c r="H480" s="2">
        <f t="shared" si="44"/>
        <v>0</v>
      </c>
      <c r="I480" s="2">
        <f t="shared" si="40"/>
        <v>0</v>
      </c>
      <c r="J480">
        <f>IFERROR(VLOOKUP(B480,'General price list'!C:BA,MATCH("CBM",'General price list'!$C$20:$BA$20,0),FALSE)*(G480*C480),0)</f>
        <v>0</v>
      </c>
    </row>
    <row r="481" spans="2:10" ht="15" customHeight="1">
      <c r="B481" t="s">
        <v>1326</v>
      </c>
      <c r="C481" s="2">
        <f>IFERROR(VLOOKUP(B481,'General price list'!C:BA,MATCH("PAL",'General price list'!$C$20:$BA$20,0),FALSE),"")</f>
        <v>25</v>
      </c>
      <c r="D481" s="2">
        <f>IFERROR(VLOOKUP(B481,'General price list'!C:BA,MATCH("OBJ",'General price list'!$C$20:$BA$20,0),FALSE),"")</f>
        <v>0</v>
      </c>
      <c r="E481" s="2">
        <f t="shared" si="41"/>
        <v>0</v>
      </c>
      <c r="F481" s="2">
        <f t="shared" si="42"/>
        <v>0</v>
      </c>
      <c r="G481" s="2">
        <f t="shared" si="43"/>
        <v>0</v>
      </c>
      <c r="H481" s="2">
        <f t="shared" si="44"/>
        <v>0</v>
      </c>
      <c r="I481" s="2">
        <f t="shared" si="40"/>
        <v>0</v>
      </c>
      <c r="J481">
        <f>IFERROR(VLOOKUP(B481,'General price list'!C:BA,MATCH("CBM",'General price list'!$C$20:$BA$20,0),FALSE)*(G481*C481),0)</f>
        <v>0</v>
      </c>
    </row>
    <row r="482" spans="2:10" ht="15" customHeight="1">
      <c r="B482" t="s">
        <v>1327</v>
      </c>
      <c r="C482" s="2">
        <f>IFERROR(VLOOKUP(B482,'General price list'!C:BA,MATCH("PAL",'General price list'!$C$20:$BA$20,0),FALSE),"")</f>
        <v>25</v>
      </c>
      <c r="D482" s="2">
        <f>IFERROR(VLOOKUP(B482,'General price list'!C:BA,MATCH("OBJ",'General price list'!$C$20:$BA$20,0),FALSE),"")</f>
        <v>0</v>
      </c>
      <c r="E482" s="2">
        <f t="shared" si="41"/>
        <v>0</v>
      </c>
      <c r="F482" s="2">
        <f t="shared" si="42"/>
        <v>0</v>
      </c>
      <c r="G482" s="2">
        <f t="shared" si="43"/>
        <v>0</v>
      </c>
      <c r="H482" s="2">
        <f t="shared" si="44"/>
        <v>0</v>
      </c>
      <c r="I482" s="2">
        <f t="shared" si="40"/>
        <v>0</v>
      </c>
      <c r="J482">
        <f>IFERROR(VLOOKUP(B482,'General price list'!C:BA,MATCH("CBM",'General price list'!$C$20:$BA$20,0),FALSE)*(G482*C482),0)</f>
        <v>0</v>
      </c>
    </row>
    <row r="483" spans="2:10" ht="15" customHeight="1">
      <c r="B483" t="s">
        <v>1331</v>
      </c>
      <c r="C483" s="2">
        <f>IFERROR(VLOOKUP(B483,'General price list'!C:BA,MATCH("PAL",'General price list'!$C$20:$BA$20,0),FALSE),"")</f>
        <v>25</v>
      </c>
      <c r="D483" s="2">
        <f>IFERROR(VLOOKUP(B483,'General price list'!C:BA,MATCH("OBJ",'General price list'!$C$20:$BA$20,0),FALSE),"")</f>
        <v>0</v>
      </c>
      <c r="E483" s="2">
        <f t="shared" si="41"/>
        <v>0</v>
      </c>
      <c r="F483" s="2">
        <f t="shared" si="42"/>
        <v>0</v>
      </c>
      <c r="G483" s="2">
        <f t="shared" si="43"/>
        <v>0</v>
      </c>
      <c r="H483" s="2">
        <f t="shared" si="44"/>
        <v>0</v>
      </c>
      <c r="I483" s="2">
        <f t="shared" si="40"/>
        <v>0</v>
      </c>
      <c r="J483">
        <f>IFERROR(VLOOKUP(B483,'General price list'!C:BA,MATCH("CBM",'General price list'!$C$20:$BA$20,0),FALSE)*(G483*C483),0)</f>
        <v>0</v>
      </c>
    </row>
    <row r="484" spans="2:10" ht="15" customHeight="1">
      <c r="B484" t="s">
        <v>1332</v>
      </c>
      <c r="C484" s="2">
        <f>IFERROR(VLOOKUP(B484,'General price list'!C:BA,MATCH("PAL",'General price list'!$C$20:$BA$20,0),FALSE),"")</f>
        <v>25</v>
      </c>
      <c r="D484" s="2">
        <f>IFERROR(VLOOKUP(B484,'General price list'!C:BA,MATCH("OBJ",'General price list'!$C$20:$BA$20,0),FALSE),"")</f>
        <v>0</v>
      </c>
      <c r="E484" s="2">
        <f t="shared" si="41"/>
        <v>0</v>
      </c>
      <c r="F484" s="2">
        <f t="shared" si="42"/>
        <v>0</v>
      </c>
      <c r="G484" s="2">
        <f t="shared" si="43"/>
        <v>0</v>
      </c>
      <c r="H484" s="2">
        <f t="shared" si="44"/>
        <v>0</v>
      </c>
      <c r="I484" s="2">
        <f t="shared" si="40"/>
        <v>0</v>
      </c>
      <c r="J484">
        <f>IFERROR(VLOOKUP(B484,'General price list'!C:BA,MATCH("CBM",'General price list'!$C$20:$BA$20,0),FALSE)*(G484*C484),0)</f>
        <v>0</v>
      </c>
    </row>
    <row r="485" spans="2:10" ht="15" customHeight="1">
      <c r="B485" t="s">
        <v>1333</v>
      </c>
      <c r="C485" s="2">
        <f>IFERROR(VLOOKUP(B485,'General price list'!C:BA,MATCH("PAL",'General price list'!$C$20:$BA$20,0),FALSE),"")</f>
        <v>25</v>
      </c>
      <c r="D485" s="2">
        <f>IFERROR(VLOOKUP(B485,'General price list'!C:BA,MATCH("OBJ",'General price list'!$C$20:$BA$20,0),FALSE),"")</f>
        <v>0</v>
      </c>
      <c r="E485" s="2">
        <f t="shared" si="41"/>
        <v>0</v>
      </c>
      <c r="F485" s="2">
        <f t="shared" si="42"/>
        <v>0</v>
      </c>
      <c r="G485" s="2">
        <f t="shared" si="43"/>
        <v>0</v>
      </c>
      <c r="H485" s="2">
        <f t="shared" si="44"/>
        <v>0</v>
      </c>
      <c r="I485" s="2">
        <f t="shared" si="40"/>
        <v>0</v>
      </c>
      <c r="J485">
        <f>IFERROR(VLOOKUP(B485,'General price list'!C:BA,MATCH("CBM",'General price list'!$C$20:$BA$20,0),FALSE)*(G485*C485),0)</f>
        <v>0</v>
      </c>
    </row>
    <row r="486" spans="2:10" ht="15" customHeight="1">
      <c r="B486" t="s">
        <v>1334</v>
      </c>
      <c r="C486" s="2">
        <f>IFERROR(VLOOKUP(B486,'General price list'!C:BA,MATCH("PAL",'General price list'!$C$20:$BA$20,0),FALSE),"")</f>
        <v>25</v>
      </c>
      <c r="D486" s="2">
        <f>IFERROR(VLOOKUP(B486,'General price list'!C:BA,MATCH("OBJ",'General price list'!$C$20:$BA$20,0),FALSE),"")</f>
        <v>0</v>
      </c>
      <c r="E486" s="2">
        <f t="shared" si="41"/>
        <v>0</v>
      </c>
      <c r="F486" s="2">
        <f t="shared" si="42"/>
        <v>0</v>
      </c>
      <c r="G486" s="2">
        <f t="shared" si="43"/>
        <v>0</v>
      </c>
      <c r="H486" s="2">
        <f t="shared" si="44"/>
        <v>0</v>
      </c>
      <c r="I486" s="2">
        <f t="shared" si="40"/>
        <v>0</v>
      </c>
      <c r="J486">
        <f>IFERROR(VLOOKUP(B486,'General price list'!C:BA,MATCH("CBM",'General price list'!$C$20:$BA$20,0),FALSE)*(G486*C486),0)</f>
        <v>0</v>
      </c>
    </row>
    <row r="487" spans="2:10" ht="15" customHeight="1">
      <c r="B487" t="s">
        <v>2547</v>
      </c>
      <c r="C487" s="2">
        <f>IFERROR(VLOOKUP(B487,'General price list'!C:BA,MATCH("PAL",'General price list'!$C$20:$BA$20,0),FALSE),"")</f>
        <v>16</v>
      </c>
      <c r="D487" s="2">
        <f>IFERROR(VLOOKUP(B487,'General price list'!C:BA,MATCH("OBJ",'General price list'!$C$20:$BA$20,0),FALSE),"")</f>
        <v>0</v>
      </c>
      <c r="E487" s="2">
        <f t="shared" si="41"/>
        <v>0</v>
      </c>
      <c r="F487" s="2">
        <f t="shared" si="42"/>
        <v>0</v>
      </c>
      <c r="G487" s="2">
        <f t="shared" si="43"/>
        <v>0</v>
      </c>
      <c r="H487" s="2">
        <f t="shared" si="44"/>
        <v>0</v>
      </c>
      <c r="I487" s="2">
        <f t="shared" si="40"/>
        <v>0</v>
      </c>
      <c r="J487">
        <f>IFERROR(VLOOKUP(B487,'General price list'!C:BA,MATCH("CBM",'General price list'!$C$20:$BA$20,0),FALSE)*(G487*C487),0)</f>
        <v>0</v>
      </c>
    </row>
    <row r="488" spans="2:10" ht="15" customHeight="1">
      <c r="B488" t="s">
        <v>1339</v>
      </c>
      <c r="C488" s="2">
        <f>IFERROR(VLOOKUP(B488,'General price list'!C:BA,MATCH("PAL",'General price list'!$C$20:$BA$20,0),FALSE),"")</f>
        <v>16</v>
      </c>
      <c r="D488" s="2">
        <f>IFERROR(VLOOKUP(B488,'General price list'!C:BA,MATCH("OBJ",'General price list'!$C$20:$BA$20,0),FALSE),"")</f>
        <v>0</v>
      </c>
      <c r="E488" s="2">
        <f t="shared" si="41"/>
        <v>0</v>
      </c>
      <c r="F488" s="2">
        <f t="shared" si="42"/>
        <v>0</v>
      </c>
      <c r="G488" s="2">
        <f t="shared" si="43"/>
        <v>0</v>
      </c>
      <c r="H488" s="2">
        <f t="shared" si="44"/>
        <v>0</v>
      </c>
      <c r="I488" s="2">
        <f t="shared" si="40"/>
        <v>0</v>
      </c>
      <c r="J488">
        <f>IFERROR(VLOOKUP(B488,'General price list'!C:BA,MATCH("CBM",'General price list'!$C$20:$BA$20,0),FALSE)*(G488*C488),0)</f>
        <v>0</v>
      </c>
    </row>
    <row r="489" spans="2:10" ht="15" customHeight="1">
      <c r="B489" t="s">
        <v>1341</v>
      </c>
      <c r="C489" s="2">
        <f>IFERROR(VLOOKUP(B489,'General price list'!C:BA,MATCH("PAL",'General price list'!$C$20:$BA$20,0),FALSE),"")</f>
        <v>16</v>
      </c>
      <c r="D489" s="2">
        <f>IFERROR(VLOOKUP(B489,'General price list'!C:BA,MATCH("OBJ",'General price list'!$C$20:$BA$20,0),FALSE),"")</f>
        <v>0</v>
      </c>
      <c r="E489" s="2">
        <f t="shared" si="41"/>
        <v>0</v>
      </c>
      <c r="F489" s="2">
        <f t="shared" si="42"/>
        <v>0</v>
      </c>
      <c r="G489" s="2">
        <f t="shared" si="43"/>
        <v>0</v>
      </c>
      <c r="H489" s="2">
        <f t="shared" si="44"/>
        <v>0</v>
      </c>
      <c r="I489" s="2">
        <f t="shared" si="40"/>
        <v>0</v>
      </c>
      <c r="J489">
        <f>IFERROR(VLOOKUP(B489,'General price list'!C:BA,MATCH("CBM",'General price list'!$C$20:$BA$20,0),FALSE)*(G489*C489),0)</f>
        <v>0</v>
      </c>
    </row>
    <row r="490" spans="2:10" ht="15" customHeight="1">
      <c r="B490" t="s">
        <v>2549</v>
      </c>
      <c r="C490" s="2">
        <f>IFERROR(VLOOKUP(B490,'General price list'!C:BA,MATCH("PAL",'General price list'!$C$20:$BA$20,0),FALSE),"")</f>
        <v>24</v>
      </c>
      <c r="D490" s="2">
        <f>IFERROR(VLOOKUP(B490,'General price list'!C:BA,MATCH("OBJ",'General price list'!$C$20:$BA$20,0),FALSE),"")</f>
        <v>0</v>
      </c>
      <c r="E490" s="2">
        <f t="shared" si="41"/>
        <v>0</v>
      </c>
      <c r="F490" s="2">
        <f t="shared" si="42"/>
        <v>0</v>
      </c>
      <c r="G490" s="2">
        <f t="shared" si="43"/>
        <v>0</v>
      </c>
      <c r="H490" s="2">
        <f t="shared" si="44"/>
        <v>0</v>
      </c>
      <c r="I490" s="2">
        <f t="shared" si="40"/>
        <v>0</v>
      </c>
      <c r="J490">
        <f>IFERROR(VLOOKUP(B490,'General price list'!C:BA,MATCH("CBM",'General price list'!$C$20:$BA$20,0),FALSE)*(G490*C490),0)</f>
        <v>0</v>
      </c>
    </row>
    <row r="491" spans="2:10" ht="15" customHeight="1">
      <c r="B491" t="s">
        <v>1346</v>
      </c>
      <c r="C491" s="2">
        <f>IFERROR(VLOOKUP(B491,'General price list'!C:BA,MATCH("PAL",'General price list'!$C$20:$BA$20,0),FALSE),"")</f>
        <v>40</v>
      </c>
      <c r="D491" s="2">
        <f>IFERROR(VLOOKUP(B491,'General price list'!C:BA,MATCH("OBJ",'General price list'!$C$20:$BA$20,0),FALSE),"")</f>
        <v>0</v>
      </c>
      <c r="E491" s="2">
        <f t="shared" si="41"/>
        <v>0</v>
      </c>
      <c r="F491" s="2">
        <f t="shared" si="42"/>
        <v>0</v>
      </c>
      <c r="G491" s="2">
        <f t="shared" si="43"/>
        <v>0</v>
      </c>
      <c r="H491" s="2">
        <f t="shared" si="44"/>
        <v>0</v>
      </c>
      <c r="I491" s="2">
        <f t="shared" si="40"/>
        <v>0</v>
      </c>
      <c r="J491">
        <f>IFERROR(VLOOKUP(B491,'General price list'!C:BA,MATCH("CBM",'General price list'!$C$20:$BA$20,0),FALSE)*(G491*C491),0)</f>
        <v>0</v>
      </c>
    </row>
    <row r="492" spans="2:10" ht="15" customHeight="1">
      <c r="B492" t="s">
        <v>1348</v>
      </c>
      <c r="C492" s="2">
        <f>IFERROR(VLOOKUP(B492,'General price list'!C:BA,MATCH("PAL",'General price list'!$C$20:$BA$20,0),FALSE),"")</f>
        <v>40</v>
      </c>
      <c r="D492" s="2">
        <f>IFERROR(VLOOKUP(B492,'General price list'!C:BA,MATCH("OBJ",'General price list'!$C$20:$BA$20,0),FALSE),"")</f>
        <v>0</v>
      </c>
      <c r="E492" s="2">
        <f t="shared" si="41"/>
        <v>0</v>
      </c>
      <c r="F492" s="2">
        <f t="shared" si="42"/>
        <v>0</v>
      </c>
      <c r="G492" s="2">
        <f t="shared" si="43"/>
        <v>0</v>
      </c>
      <c r="H492" s="2">
        <f t="shared" si="44"/>
        <v>0</v>
      </c>
      <c r="I492" s="2">
        <f t="shared" si="40"/>
        <v>0</v>
      </c>
      <c r="J492">
        <f>IFERROR(VLOOKUP(B492,'General price list'!C:BA,MATCH("CBM",'General price list'!$C$20:$BA$20,0),FALSE)*(G492*C492),0)</f>
        <v>0</v>
      </c>
    </row>
    <row r="493" spans="2:10" ht="15" customHeight="1">
      <c r="B493" t="s">
        <v>1353</v>
      </c>
      <c r="C493" s="2">
        <f>IFERROR(VLOOKUP(B493,'General price list'!C:BA,MATCH("PAL",'General price list'!$C$20:$BA$20,0),FALSE),"")</f>
        <v>40</v>
      </c>
      <c r="D493" s="2">
        <f>IFERROR(VLOOKUP(B493,'General price list'!C:BA,MATCH("OBJ",'General price list'!$C$20:$BA$20,0),FALSE),"")</f>
        <v>0</v>
      </c>
      <c r="E493" s="2">
        <f t="shared" si="41"/>
        <v>0</v>
      </c>
      <c r="F493" s="2">
        <f t="shared" si="42"/>
        <v>0</v>
      </c>
      <c r="G493" s="2">
        <f t="shared" si="43"/>
        <v>0</v>
      </c>
      <c r="H493" s="2">
        <f t="shared" si="44"/>
        <v>0</v>
      </c>
      <c r="I493" s="2">
        <f t="shared" si="40"/>
        <v>0</v>
      </c>
      <c r="J493">
        <f>IFERROR(VLOOKUP(B493,'General price list'!C:BA,MATCH("CBM",'General price list'!$C$20:$BA$20,0),FALSE)*(G493*C493),0)</f>
        <v>0</v>
      </c>
    </row>
    <row r="494" spans="2:10" ht="15" customHeight="1">
      <c r="B494" t="s">
        <v>1355</v>
      </c>
      <c r="C494" s="2">
        <f>IFERROR(VLOOKUP(B494,'General price list'!C:BA,MATCH("PAL",'General price list'!$C$20:$BA$20,0),FALSE),"")</f>
        <v>40</v>
      </c>
      <c r="D494" s="2">
        <f>IFERROR(VLOOKUP(B494,'General price list'!C:BA,MATCH("OBJ",'General price list'!$C$20:$BA$20,0),FALSE),"")</f>
        <v>0</v>
      </c>
      <c r="E494" s="2">
        <f t="shared" si="41"/>
        <v>0</v>
      </c>
      <c r="F494" s="2">
        <f t="shared" si="42"/>
        <v>0</v>
      </c>
      <c r="G494" s="2">
        <f t="shared" si="43"/>
        <v>0</v>
      </c>
      <c r="H494" s="2">
        <f t="shared" si="44"/>
        <v>0</v>
      </c>
      <c r="I494" s="2">
        <f t="shared" si="40"/>
        <v>0</v>
      </c>
      <c r="J494">
        <f>IFERROR(VLOOKUP(B494,'General price list'!C:BA,MATCH("CBM",'General price list'!$C$20:$BA$20,0),FALSE)*(G494*C494),0)</f>
        <v>0</v>
      </c>
    </row>
    <row r="495" spans="2:10" ht="15" customHeight="1">
      <c r="B495" t="s">
        <v>1360</v>
      </c>
      <c r="C495" s="2">
        <f>IFERROR(VLOOKUP(B495,'General price list'!C:BA,MATCH("PAL",'General price list'!$C$20:$BA$20,0),FALSE),"")</f>
        <v>24</v>
      </c>
      <c r="D495" s="2">
        <f>IFERROR(VLOOKUP(B495,'General price list'!C:BA,MATCH("OBJ",'General price list'!$C$20:$BA$20,0),FALSE),"")</f>
        <v>0</v>
      </c>
      <c r="E495" s="2">
        <f t="shared" si="41"/>
        <v>0</v>
      </c>
      <c r="F495" s="2">
        <f t="shared" si="42"/>
        <v>0</v>
      </c>
      <c r="G495" s="2">
        <f t="shared" si="43"/>
        <v>0</v>
      </c>
      <c r="H495" s="2">
        <f t="shared" si="44"/>
        <v>0</v>
      </c>
      <c r="I495" s="2">
        <f t="shared" si="40"/>
        <v>0</v>
      </c>
      <c r="J495">
        <f>IFERROR(VLOOKUP(B495,'General price list'!C:BA,MATCH("CBM",'General price list'!$C$20:$BA$20,0),FALSE)*(G495*C495),0)</f>
        <v>0</v>
      </c>
    </row>
    <row r="496" spans="2:10" ht="15" customHeight="1">
      <c r="B496" t="s">
        <v>1365</v>
      </c>
      <c r="C496" s="2">
        <f>IFERROR(VLOOKUP(B496,'General price list'!C:BA,MATCH("PAL",'General price list'!$C$20:$BA$20,0),FALSE),"")</f>
        <v>24</v>
      </c>
      <c r="D496" s="2">
        <f>IFERROR(VLOOKUP(B496,'General price list'!C:BA,MATCH("OBJ",'General price list'!$C$20:$BA$20,0),FALSE),"")</f>
        <v>0</v>
      </c>
      <c r="E496" s="2">
        <f t="shared" si="41"/>
        <v>0</v>
      </c>
      <c r="F496" s="2">
        <f t="shared" si="42"/>
        <v>0</v>
      </c>
      <c r="G496" s="2">
        <f t="shared" si="43"/>
        <v>0</v>
      </c>
      <c r="H496" s="2">
        <f t="shared" si="44"/>
        <v>0</v>
      </c>
      <c r="I496" s="2">
        <f t="shared" si="40"/>
        <v>0</v>
      </c>
      <c r="J496">
        <f>IFERROR(VLOOKUP(B496,'General price list'!C:BA,MATCH("CBM",'General price list'!$C$20:$BA$20,0),FALSE)*(G496*C496),0)</f>
        <v>0</v>
      </c>
    </row>
    <row r="497" spans="2:10" ht="15" customHeight="1">
      <c r="B497" t="s">
        <v>1367</v>
      </c>
      <c r="C497" s="2">
        <f>IFERROR(VLOOKUP(B497,'General price list'!C:BA,MATCH("PAL",'General price list'!$C$20:$BA$20,0),FALSE),"")</f>
        <v>30</v>
      </c>
      <c r="D497" s="2">
        <f>IFERROR(VLOOKUP(B497,'General price list'!C:BA,MATCH("OBJ",'General price list'!$C$20:$BA$20,0),FALSE),"")</f>
        <v>0</v>
      </c>
      <c r="E497" s="2">
        <f t="shared" si="41"/>
        <v>0</v>
      </c>
      <c r="F497" s="2">
        <f t="shared" si="42"/>
        <v>0</v>
      </c>
      <c r="G497" s="2">
        <f t="shared" si="43"/>
        <v>0</v>
      </c>
      <c r="H497" s="2">
        <f t="shared" si="44"/>
        <v>0</v>
      </c>
      <c r="I497" s="2">
        <f t="shared" si="40"/>
        <v>0</v>
      </c>
      <c r="J497">
        <f>IFERROR(VLOOKUP(B497,'General price list'!C:BA,MATCH("CBM",'General price list'!$C$20:$BA$20,0),FALSE)*(G497*C497),0)</f>
        <v>0</v>
      </c>
    </row>
    <row r="498" spans="2:10" ht="15" customHeight="1">
      <c r="B498" t="s">
        <v>5292</v>
      </c>
      <c r="C498" s="2">
        <f>IFERROR(VLOOKUP(B498,'General price list'!C:BA,MATCH("PAL",'General price list'!$C$20:$BA$20,0),FALSE),"")</f>
        <v>30</v>
      </c>
      <c r="D498" s="2">
        <f>IFERROR(VLOOKUP(B498,'General price list'!C:BA,MATCH("OBJ",'General price list'!$C$20:$BA$20,0),FALSE),"")</f>
        <v>0</v>
      </c>
      <c r="E498" s="2">
        <f t="shared" si="41"/>
        <v>0</v>
      </c>
      <c r="F498" s="2">
        <f t="shared" si="42"/>
        <v>0</v>
      </c>
      <c r="G498" s="2">
        <f t="shared" si="43"/>
        <v>0</v>
      </c>
      <c r="H498" s="2">
        <f t="shared" si="44"/>
        <v>0</v>
      </c>
      <c r="I498" s="2">
        <f t="shared" si="40"/>
        <v>0</v>
      </c>
      <c r="J498">
        <f>IFERROR(VLOOKUP(B498,'General price list'!C:BA,MATCH("CBM",'General price list'!$C$20:$BA$20,0),FALSE)*(G498*C498),0)</f>
        <v>0</v>
      </c>
    </row>
    <row r="499" spans="2:10" ht="15" customHeight="1">
      <c r="B499" t="s">
        <v>2550</v>
      </c>
      <c r="C499" s="2">
        <f>IFERROR(VLOOKUP(B499,'General price list'!C:BA,MATCH("PAL",'General price list'!$C$20:$BA$20,0),FALSE),"")</f>
        <v>32</v>
      </c>
      <c r="D499" s="2">
        <f>IFERROR(VLOOKUP(B499,'General price list'!C:BA,MATCH("OBJ",'General price list'!$C$20:$BA$20,0),FALSE),"")</f>
        <v>0</v>
      </c>
      <c r="E499" s="2">
        <f t="shared" si="41"/>
        <v>0</v>
      </c>
      <c r="F499" s="2">
        <f t="shared" si="42"/>
        <v>0</v>
      </c>
      <c r="G499" s="2">
        <f t="shared" si="43"/>
        <v>0</v>
      </c>
      <c r="H499" s="2">
        <f t="shared" si="44"/>
        <v>0</v>
      </c>
      <c r="I499" s="2">
        <f t="shared" si="40"/>
        <v>0</v>
      </c>
      <c r="J499">
        <f>IFERROR(VLOOKUP(B499,'General price list'!C:BA,MATCH("CBM",'General price list'!$C$20:$BA$20,0),FALSE)*(G499*C499),0)</f>
        <v>0</v>
      </c>
    </row>
    <row r="500" spans="2:10" ht="15" customHeight="1">
      <c r="B500" t="s">
        <v>2552</v>
      </c>
      <c r="C500" s="2">
        <f>IFERROR(VLOOKUP(B500,'General price list'!C:BA,MATCH("PAL",'General price list'!$C$20:$BA$20,0),FALSE),"")</f>
        <v>32</v>
      </c>
      <c r="D500" s="2">
        <f>IFERROR(VLOOKUP(B500,'General price list'!C:BA,MATCH("OBJ",'General price list'!$C$20:$BA$20,0),FALSE),"")</f>
        <v>0</v>
      </c>
      <c r="E500" s="2">
        <f t="shared" si="41"/>
        <v>0</v>
      </c>
      <c r="F500" s="2">
        <f t="shared" si="42"/>
        <v>0</v>
      </c>
      <c r="G500" s="2">
        <f t="shared" si="43"/>
        <v>0</v>
      </c>
      <c r="H500" s="2">
        <f t="shared" si="44"/>
        <v>0</v>
      </c>
      <c r="I500" s="2">
        <f t="shared" si="40"/>
        <v>0</v>
      </c>
      <c r="J500">
        <f>IFERROR(VLOOKUP(B500,'General price list'!C:BA,MATCH("CBM",'General price list'!$C$20:$BA$20,0),FALSE)*(G500*C500),0)</f>
        <v>0</v>
      </c>
    </row>
    <row r="501" spans="2:10" ht="15" customHeight="1">
      <c r="B501" t="s">
        <v>1369</v>
      </c>
      <c r="C501" s="2">
        <f>IFERROR(VLOOKUP(B501,'General price list'!C:BA,MATCH("PAL",'General price list'!$C$20:$BA$20,0),FALSE),"")</f>
        <v>30</v>
      </c>
      <c r="D501" s="2">
        <f>IFERROR(VLOOKUP(B501,'General price list'!C:BA,MATCH("OBJ",'General price list'!$C$20:$BA$20,0),FALSE),"")</f>
        <v>0</v>
      </c>
      <c r="E501" s="2">
        <f t="shared" si="41"/>
        <v>0</v>
      </c>
      <c r="F501" s="2">
        <f t="shared" si="42"/>
        <v>0</v>
      </c>
      <c r="G501" s="2">
        <f t="shared" si="43"/>
        <v>0</v>
      </c>
      <c r="H501" s="2">
        <f t="shared" si="44"/>
        <v>0</v>
      </c>
      <c r="I501" s="2">
        <f t="shared" si="40"/>
        <v>0</v>
      </c>
      <c r="J501">
        <f>IFERROR(VLOOKUP(B501,'General price list'!C:BA,MATCH("CBM",'General price list'!$C$20:$BA$20,0),FALSE)*(G501*C501),0)</f>
        <v>0</v>
      </c>
    </row>
    <row r="502" spans="2:10" ht="15" customHeight="1">
      <c r="B502" t="s">
        <v>1371</v>
      </c>
      <c r="C502" s="2" t="str">
        <f>IFERROR(VLOOKUP(B502,'General price list'!C:BA,MATCH("PAL",'General price list'!$C$20:$BA$20,0),FALSE),"")</f>
        <v>54</v>
      </c>
      <c r="D502" s="2">
        <f>IFERROR(VLOOKUP(B502,'General price list'!C:BA,MATCH("OBJ",'General price list'!$C$20:$BA$20,0),FALSE),"")</f>
        <v>0</v>
      </c>
      <c r="E502" s="2">
        <f t="shared" si="41"/>
        <v>0</v>
      </c>
      <c r="F502" s="2">
        <f t="shared" si="42"/>
        <v>0</v>
      </c>
      <c r="G502" s="2">
        <f t="shared" si="43"/>
        <v>0</v>
      </c>
      <c r="H502" s="2">
        <f t="shared" si="44"/>
        <v>0</v>
      </c>
      <c r="I502" s="2">
        <f t="shared" si="40"/>
        <v>0</v>
      </c>
      <c r="J502">
        <f>IFERROR(VLOOKUP(B502,'General price list'!C:BA,MATCH("CBM",'General price list'!$C$20:$BA$20,0),FALSE)*(G502*C502),0)</f>
        <v>0</v>
      </c>
    </row>
    <row r="503" spans="2:10" ht="15" customHeight="1">
      <c r="B503" t="s">
        <v>1373</v>
      </c>
      <c r="C503" s="2">
        <f>IFERROR(VLOOKUP(B503,'General price list'!C:BA,MATCH("PAL",'General price list'!$C$20:$BA$20,0),FALSE),"")</f>
        <v>63</v>
      </c>
      <c r="D503" s="2">
        <f>IFERROR(VLOOKUP(B503,'General price list'!C:BA,MATCH("OBJ",'General price list'!$C$20:$BA$20,0),FALSE),"")</f>
        <v>0</v>
      </c>
      <c r="E503" s="2">
        <f t="shared" si="41"/>
        <v>0</v>
      </c>
      <c r="F503" s="2">
        <f t="shared" si="42"/>
        <v>0</v>
      </c>
      <c r="G503" s="2">
        <f t="shared" si="43"/>
        <v>0</v>
      </c>
      <c r="H503" s="2">
        <f t="shared" si="44"/>
        <v>0</v>
      </c>
      <c r="I503" s="2">
        <f t="shared" si="40"/>
        <v>0</v>
      </c>
      <c r="J503">
        <f>IFERROR(VLOOKUP(B503,'General price list'!C:BA,MATCH("CBM",'General price list'!$C$20:$BA$20,0),FALSE)*(G503*C503),0)</f>
        <v>0</v>
      </c>
    </row>
    <row r="504" spans="2:10" ht="15" customHeight="1">
      <c r="B504" t="s">
        <v>5293</v>
      </c>
      <c r="C504" s="2">
        <f>IFERROR(VLOOKUP(B504,'General price list'!C:BA,MATCH("PAL",'General price list'!$C$20:$BA$20,0),FALSE),"")</f>
        <v>55</v>
      </c>
      <c r="D504" s="2">
        <f>IFERROR(VLOOKUP(B504,'General price list'!C:BA,MATCH("OBJ",'General price list'!$C$20:$BA$20,0),FALSE),"")</f>
        <v>0</v>
      </c>
      <c r="E504" s="2">
        <f t="shared" si="41"/>
        <v>0</v>
      </c>
      <c r="F504" s="2">
        <f t="shared" si="42"/>
        <v>0</v>
      </c>
      <c r="G504" s="2">
        <f t="shared" si="43"/>
        <v>0</v>
      </c>
      <c r="H504" s="2">
        <f t="shared" si="44"/>
        <v>0</v>
      </c>
      <c r="I504" s="2">
        <f t="shared" si="40"/>
        <v>0</v>
      </c>
      <c r="J504">
        <f>IFERROR(VLOOKUP(B504,'General price list'!C:BA,MATCH("CBM",'General price list'!$C$20:$BA$20,0),FALSE)*(G504*C504),0)</f>
        <v>0</v>
      </c>
    </row>
    <row r="505" spans="2:10" ht="15" customHeight="1">
      <c r="B505" t="s">
        <v>2554</v>
      </c>
      <c r="C505" s="2">
        <f>IFERROR(VLOOKUP(B505,'General price list'!C:BA,MATCH("PAL",'General price list'!$C$20:$BA$20,0),FALSE),"")</f>
        <v>54</v>
      </c>
      <c r="D505" s="2">
        <f>IFERROR(VLOOKUP(B505,'General price list'!C:BA,MATCH("OBJ",'General price list'!$C$20:$BA$20,0),FALSE),"")</f>
        <v>0</v>
      </c>
      <c r="E505" s="2">
        <f t="shared" si="41"/>
        <v>0</v>
      </c>
      <c r="F505" s="2">
        <f t="shared" si="42"/>
        <v>0</v>
      </c>
      <c r="G505" s="2">
        <f t="shared" si="43"/>
        <v>0</v>
      </c>
      <c r="H505" s="2">
        <f t="shared" si="44"/>
        <v>0</v>
      </c>
      <c r="I505" s="2">
        <f t="shared" si="40"/>
        <v>0</v>
      </c>
      <c r="J505">
        <f>IFERROR(VLOOKUP(B505,'General price list'!C:BA,MATCH("CBM",'General price list'!$C$20:$BA$20,0),FALSE)*(G505*C505),0)</f>
        <v>0</v>
      </c>
    </row>
    <row r="506" spans="2:10" ht="15" customHeight="1">
      <c r="B506" t="s">
        <v>2555</v>
      </c>
      <c r="C506" s="2" t="str">
        <f>IFERROR(VLOOKUP(B506,'General price list'!C:BA,MATCH("PAL",'General price list'!$C$20:$BA$20,0),FALSE),"")</f>
        <v>32</v>
      </c>
      <c r="D506" s="2">
        <f>IFERROR(VLOOKUP(B506,'General price list'!C:BA,MATCH("OBJ",'General price list'!$C$20:$BA$20,0),FALSE),"")</f>
        <v>0</v>
      </c>
      <c r="E506" s="2">
        <f t="shared" si="41"/>
        <v>0</v>
      </c>
      <c r="F506" s="2">
        <f t="shared" si="42"/>
        <v>0</v>
      </c>
      <c r="G506" s="2">
        <f t="shared" si="43"/>
        <v>0</v>
      </c>
      <c r="H506" s="2">
        <f t="shared" si="44"/>
        <v>0</v>
      </c>
      <c r="I506" s="2">
        <f t="shared" si="40"/>
        <v>0</v>
      </c>
      <c r="J506">
        <f>IFERROR(VLOOKUP(B506,'General price list'!C:BA,MATCH("CBM",'General price list'!$C$20:$BA$20,0),FALSE)*(G506*C506),0)</f>
        <v>0</v>
      </c>
    </row>
    <row r="507" spans="2:10" ht="15" customHeight="1">
      <c r="B507" t="s">
        <v>1379</v>
      </c>
      <c r="C507" s="2">
        <f>IFERROR(VLOOKUP(B507,'General price list'!C:BA,MATCH("PAL",'General price list'!$C$20:$BA$20,0),FALSE),"")</f>
        <v>20</v>
      </c>
      <c r="D507" s="2">
        <f>IFERROR(VLOOKUP(B507,'General price list'!C:BA,MATCH("OBJ",'General price list'!$C$20:$BA$20,0),FALSE),"")</f>
        <v>0</v>
      </c>
      <c r="E507" s="2">
        <f t="shared" si="41"/>
        <v>0</v>
      </c>
      <c r="F507" s="2">
        <f t="shared" si="42"/>
        <v>0</v>
      </c>
      <c r="G507" s="2">
        <f t="shared" si="43"/>
        <v>0</v>
      </c>
      <c r="H507" s="2">
        <f t="shared" si="44"/>
        <v>0</v>
      </c>
      <c r="I507" s="2">
        <f t="shared" si="40"/>
        <v>0</v>
      </c>
      <c r="J507">
        <f>IFERROR(VLOOKUP(B507,'General price list'!C:BA,MATCH("CBM",'General price list'!$C$20:$BA$20,0),FALSE)*(G507*C507),0)</f>
        <v>0</v>
      </c>
    </row>
    <row r="508" spans="2:10" ht="15" customHeight="1">
      <c r="B508" t="s">
        <v>1381</v>
      </c>
      <c r="C508" s="2" t="str">
        <f>IFERROR(VLOOKUP(B508,'General price list'!C:BA,MATCH("PAL",'General price list'!$C$20:$BA$20,0),FALSE),"")</f>
        <v>18</v>
      </c>
      <c r="D508" s="2">
        <f>IFERROR(VLOOKUP(B508,'General price list'!C:BA,MATCH("OBJ",'General price list'!$C$20:$BA$20,0),FALSE),"")</f>
        <v>0</v>
      </c>
      <c r="E508" s="2">
        <f t="shared" si="41"/>
        <v>0</v>
      </c>
      <c r="F508" s="2">
        <f t="shared" si="42"/>
        <v>0</v>
      </c>
      <c r="G508" s="2">
        <f t="shared" si="43"/>
        <v>0</v>
      </c>
      <c r="H508" s="2">
        <f t="shared" si="44"/>
        <v>0</v>
      </c>
      <c r="I508" s="2">
        <f t="shared" si="40"/>
        <v>0</v>
      </c>
      <c r="J508">
        <f>IFERROR(VLOOKUP(B508,'General price list'!C:BA,MATCH("CBM",'General price list'!$C$20:$BA$20,0),FALSE)*(G508*C508),0)</f>
        <v>0</v>
      </c>
    </row>
    <row r="509" spans="2:10" ht="15" customHeight="1">
      <c r="B509" t="s">
        <v>2730</v>
      </c>
      <c r="C509" s="2" t="str">
        <f>IFERROR(VLOOKUP(B509,'General price list'!C:BA,MATCH("PAL",'General price list'!$C$20:$BA$20,0),FALSE),"")</f>
        <v>54</v>
      </c>
      <c r="D509" s="2">
        <f>IFERROR(VLOOKUP(B509,'General price list'!C:BA,MATCH("OBJ",'General price list'!$C$20:$BA$20,0),FALSE),"")</f>
        <v>0</v>
      </c>
      <c r="E509" s="2">
        <f t="shared" si="41"/>
        <v>0</v>
      </c>
      <c r="F509" s="2">
        <f t="shared" si="42"/>
        <v>0</v>
      </c>
      <c r="G509" s="2">
        <f t="shared" si="43"/>
        <v>0</v>
      </c>
      <c r="H509" s="2">
        <f t="shared" si="44"/>
        <v>0</v>
      </c>
      <c r="I509" s="2">
        <f t="shared" si="40"/>
        <v>0</v>
      </c>
      <c r="J509">
        <f>IFERROR(VLOOKUP(B509,'General price list'!C:BA,MATCH("CBM",'General price list'!$C$20:$BA$20,0),FALSE)*(G509*C509),0)</f>
        <v>0</v>
      </c>
    </row>
    <row r="510" spans="2:10" ht="15" customHeight="1">
      <c r="B510" t="s">
        <v>2731</v>
      </c>
      <c r="C510" s="2">
        <f>IFERROR(VLOOKUP(B510,'General price list'!C:BA,MATCH("PAL",'General price list'!$C$20:$BA$20,0),FALSE),"")</f>
        <v>60</v>
      </c>
      <c r="D510" s="2">
        <f>IFERROR(VLOOKUP(B510,'General price list'!C:BA,MATCH("OBJ",'General price list'!$C$20:$BA$20,0),FALSE),"")</f>
        <v>0</v>
      </c>
      <c r="E510" s="2">
        <f t="shared" si="41"/>
        <v>0</v>
      </c>
      <c r="F510" s="2">
        <f t="shared" si="42"/>
        <v>0</v>
      </c>
      <c r="G510" s="2">
        <f t="shared" si="43"/>
        <v>0</v>
      </c>
      <c r="H510" s="2">
        <f t="shared" si="44"/>
        <v>0</v>
      </c>
      <c r="I510" s="2">
        <f t="shared" si="40"/>
        <v>0</v>
      </c>
      <c r="J510">
        <f>IFERROR(VLOOKUP(B510,'General price list'!C:BA,MATCH("CBM",'General price list'!$C$20:$BA$20,0),FALSE)*(G510*C510),0)</f>
        <v>0</v>
      </c>
    </row>
    <row r="511" spans="2:10" ht="15" customHeight="1">
      <c r="B511" t="s">
        <v>5302</v>
      </c>
      <c r="C511" s="2">
        <f>IFERROR(VLOOKUP(B511,'General price list'!C:BA,MATCH("PAL",'General price list'!$C$20:$BA$20,0),FALSE),"")</f>
        <v>55</v>
      </c>
      <c r="D511" s="2">
        <f>IFERROR(VLOOKUP(B511,'General price list'!C:BA,MATCH("OBJ",'General price list'!$C$20:$BA$20,0),FALSE),"")</f>
        <v>0</v>
      </c>
      <c r="E511" s="2">
        <f t="shared" si="41"/>
        <v>0</v>
      </c>
      <c r="F511" s="2">
        <f t="shared" si="42"/>
        <v>0</v>
      </c>
      <c r="G511" s="2">
        <f t="shared" si="43"/>
        <v>0</v>
      </c>
      <c r="H511" s="2">
        <f t="shared" si="44"/>
        <v>0</v>
      </c>
      <c r="I511" s="2">
        <f t="shared" si="40"/>
        <v>0</v>
      </c>
      <c r="J511">
        <f>IFERROR(VLOOKUP(B511,'General price list'!C:BA,MATCH("CBM",'General price list'!$C$20:$BA$20,0),FALSE)*(G511*C511),0)</f>
        <v>0</v>
      </c>
    </row>
    <row r="512" spans="2:10" ht="15" customHeight="1">
      <c r="B512" t="s">
        <v>2732</v>
      </c>
      <c r="C512" s="2" t="str">
        <f>IFERROR(VLOOKUP(B512,'General price list'!C:BA,MATCH("PAL",'General price list'!$C$20:$BA$20,0),FALSE),"")</f>
        <v>32</v>
      </c>
      <c r="D512" s="2">
        <f>IFERROR(VLOOKUP(B512,'General price list'!C:BA,MATCH("OBJ",'General price list'!$C$20:$BA$20,0),FALSE),"")</f>
        <v>0</v>
      </c>
      <c r="E512" s="2">
        <f t="shared" si="41"/>
        <v>0</v>
      </c>
      <c r="F512" s="2">
        <f t="shared" si="42"/>
        <v>0</v>
      </c>
      <c r="G512" s="2">
        <f t="shared" si="43"/>
        <v>0</v>
      </c>
      <c r="H512" s="2">
        <f t="shared" si="44"/>
        <v>0</v>
      </c>
      <c r="I512" s="2">
        <f t="shared" si="40"/>
        <v>0</v>
      </c>
      <c r="J512">
        <f>IFERROR(VLOOKUP(B512,'General price list'!C:BA,MATCH("CBM",'General price list'!$C$20:$BA$20,0),FALSE)*(G512*C512),0)</f>
        <v>0</v>
      </c>
    </row>
    <row r="513" spans="2:10" ht="15" customHeight="1">
      <c r="B513" t="s">
        <v>2733</v>
      </c>
      <c r="C513" s="2">
        <f>IFERROR(VLOOKUP(B513,'General price list'!C:BA,MATCH("PAL",'General price list'!$C$20:$BA$20,0),FALSE),"")</f>
        <v>20</v>
      </c>
      <c r="D513" s="2">
        <f>IFERROR(VLOOKUP(B513,'General price list'!C:BA,MATCH("OBJ",'General price list'!$C$20:$BA$20,0),FALSE),"")</f>
        <v>0</v>
      </c>
      <c r="E513" s="2">
        <f t="shared" si="41"/>
        <v>0</v>
      </c>
      <c r="F513" s="2">
        <f t="shared" si="42"/>
        <v>0</v>
      </c>
      <c r="G513" s="2">
        <f t="shared" si="43"/>
        <v>0</v>
      </c>
      <c r="H513" s="2">
        <f t="shared" si="44"/>
        <v>0</v>
      </c>
      <c r="I513" s="2">
        <f t="shared" si="40"/>
        <v>0</v>
      </c>
      <c r="J513">
        <f>IFERROR(VLOOKUP(B513,'General price list'!C:BA,MATCH("CBM",'General price list'!$C$20:$BA$20,0),FALSE)*(G513*C513),0)</f>
        <v>0</v>
      </c>
    </row>
    <row r="514" spans="2:10" ht="15" customHeight="1">
      <c r="B514" t="s">
        <v>5304</v>
      </c>
      <c r="C514" s="2" t="str">
        <f>IFERROR(VLOOKUP(B514,'General price list'!C:BA,MATCH("PAL",'General price list'!$C$20:$BA$20,0),FALSE),"")</f>
        <v>18</v>
      </c>
      <c r="D514" s="2">
        <f>IFERROR(VLOOKUP(B514,'General price list'!C:BA,MATCH("OBJ",'General price list'!$C$20:$BA$20,0),FALSE),"")</f>
        <v>0</v>
      </c>
      <c r="E514" s="2">
        <f t="shared" si="41"/>
        <v>0</v>
      </c>
      <c r="F514" s="2">
        <f t="shared" si="42"/>
        <v>0</v>
      </c>
      <c r="G514" s="2">
        <f t="shared" si="43"/>
        <v>0</v>
      </c>
      <c r="H514" s="2">
        <f t="shared" si="44"/>
        <v>0</v>
      </c>
      <c r="I514" s="2">
        <f t="shared" si="40"/>
        <v>0</v>
      </c>
      <c r="J514">
        <f>IFERROR(VLOOKUP(B514,'General price list'!C:BA,MATCH("CBM",'General price list'!$C$20:$BA$20,0),FALSE)*(G514*C514),0)</f>
        <v>0</v>
      </c>
    </row>
    <row r="515" spans="2:10" ht="15" customHeight="1">
      <c r="B515" t="s">
        <v>1386</v>
      </c>
      <c r="C515" s="2">
        <f>IFERROR(VLOOKUP(B515,'General price list'!C:BA,MATCH("PAL",'General price list'!$C$20:$BA$20,0),FALSE),"")</f>
        <v>63</v>
      </c>
      <c r="D515" s="2">
        <f>IFERROR(VLOOKUP(B515,'General price list'!C:BA,MATCH("OBJ",'General price list'!$C$20:$BA$20,0),FALSE),"")</f>
        <v>0</v>
      </c>
      <c r="E515" s="2">
        <f t="shared" si="41"/>
        <v>0</v>
      </c>
      <c r="F515" s="2">
        <f t="shared" si="42"/>
        <v>0</v>
      </c>
      <c r="G515" s="2">
        <f t="shared" si="43"/>
        <v>0</v>
      </c>
      <c r="H515" s="2">
        <f t="shared" si="44"/>
        <v>0</v>
      </c>
      <c r="I515" s="2">
        <f t="shared" si="40"/>
        <v>0</v>
      </c>
      <c r="J515">
        <f>IFERROR(VLOOKUP(B515,'General price list'!C:BA,MATCH("CBM",'General price list'!$C$20:$BA$20,0),FALSE)*(G515*C515),0)</f>
        <v>0</v>
      </c>
    </row>
    <row r="516" spans="2:10" ht="15" customHeight="1">
      <c r="B516" t="s">
        <v>2557</v>
      </c>
      <c r="C516" s="2" t="str">
        <f>IFERROR(VLOOKUP(B516,'General price list'!C:BA,MATCH("PAL",'General price list'!$C$20:$BA$20,0),FALSE),"")</f>
        <v>32</v>
      </c>
      <c r="D516" s="2">
        <f>IFERROR(VLOOKUP(B516,'General price list'!C:BA,MATCH("OBJ",'General price list'!$C$20:$BA$20,0),FALSE),"")</f>
        <v>0</v>
      </c>
      <c r="E516" s="2">
        <f t="shared" si="41"/>
        <v>0</v>
      </c>
      <c r="F516" s="2">
        <f t="shared" si="42"/>
        <v>0</v>
      </c>
      <c r="G516" s="2">
        <f t="shared" si="43"/>
        <v>0</v>
      </c>
      <c r="H516" s="2">
        <f t="shared" si="44"/>
        <v>0</v>
      </c>
      <c r="I516" s="2">
        <f t="shared" ref="I516:I579" si="45">IFERROR(IF(D516=0,0,IF(F516=0,(D516*nextVK)+(prvniVK-nextVK),(G516*C516*nextVK)+(F516*PALzKoje))),0)</f>
        <v>0</v>
      </c>
      <c r="J516">
        <f>IFERROR(VLOOKUP(B516,'General price list'!C:BA,MATCH("CBM",'General price list'!$C$20:$BA$20,0),FALSE)*(G516*C516),0)</f>
        <v>0</v>
      </c>
    </row>
    <row r="517" spans="2:10" ht="15" customHeight="1">
      <c r="B517" t="s">
        <v>1388</v>
      </c>
      <c r="C517" s="2" t="str">
        <f>IFERROR(VLOOKUP(B517,'General price list'!C:BA,MATCH("PAL",'General price list'!$C$20:$BA$20,0),FALSE),"")</f>
        <v>18</v>
      </c>
      <c r="D517" s="2">
        <f>IFERROR(VLOOKUP(B517,'General price list'!C:BA,MATCH("OBJ",'General price list'!$C$20:$BA$20,0),FALSE),"")</f>
        <v>0</v>
      </c>
      <c r="E517" s="2">
        <f t="shared" ref="E517:E580" si="46">IFERROR(D517/C517,0)</f>
        <v>0</v>
      </c>
      <c r="F517" s="2">
        <f t="shared" ref="F517:F580" si="47">IFERROR(FLOOR(IF(E517-1&lt;0,0,E517),1),0)</f>
        <v>0</v>
      </c>
      <c r="G517" s="2">
        <f t="shared" ref="G517:G580" si="48">IFERROR(IF(H517&gt;E517,F517-E517,E517-F517),0)</f>
        <v>0</v>
      </c>
      <c r="H517" s="2">
        <f t="shared" ref="H517:H580" si="49">IFERROR(IF(E517=0,0,F517),0)</f>
        <v>0</v>
      </c>
      <c r="I517" s="2">
        <f t="shared" si="45"/>
        <v>0</v>
      </c>
      <c r="J517">
        <f>IFERROR(VLOOKUP(B517,'General price list'!C:BA,MATCH("CBM",'General price list'!$C$20:$BA$20,0),FALSE)*(G517*C517),0)</f>
        <v>0</v>
      </c>
    </row>
    <row r="518" spans="2:10" ht="15" customHeight="1">
      <c r="B518" t="s">
        <v>2734</v>
      </c>
      <c r="C518" s="2">
        <f>IFERROR(VLOOKUP(B518,'General price list'!C:BA,MATCH("PAL",'General price list'!$C$20:$BA$20,0),FALSE),"")</f>
        <v>60</v>
      </c>
      <c r="D518" s="2">
        <f>IFERROR(VLOOKUP(B518,'General price list'!C:BA,MATCH("OBJ",'General price list'!$C$20:$BA$20,0),FALSE),"")</f>
        <v>0</v>
      </c>
      <c r="E518" s="2">
        <f t="shared" si="46"/>
        <v>0</v>
      </c>
      <c r="F518" s="2">
        <f t="shared" si="47"/>
        <v>0</v>
      </c>
      <c r="G518" s="2">
        <f t="shared" si="48"/>
        <v>0</v>
      </c>
      <c r="H518" s="2">
        <f t="shared" si="49"/>
        <v>0</v>
      </c>
      <c r="I518" s="2">
        <f t="shared" si="45"/>
        <v>0</v>
      </c>
      <c r="J518">
        <f>IFERROR(VLOOKUP(B518,'General price list'!C:BA,MATCH("CBM",'General price list'!$C$20:$BA$20,0),FALSE)*(G518*C518),0)</f>
        <v>0</v>
      </c>
    </row>
    <row r="519" spans="2:10" ht="15" customHeight="1">
      <c r="B519" t="s">
        <v>2735</v>
      </c>
      <c r="C519" s="2" t="str">
        <f>IFERROR(VLOOKUP(B519,'General price list'!C:BA,MATCH("PAL",'General price list'!$C$20:$BA$20,0),FALSE),"")</f>
        <v>32</v>
      </c>
      <c r="D519" s="2">
        <f>IFERROR(VLOOKUP(B519,'General price list'!C:BA,MATCH("OBJ",'General price list'!$C$20:$BA$20,0),FALSE),"")</f>
        <v>0</v>
      </c>
      <c r="E519" s="2">
        <f t="shared" si="46"/>
        <v>0</v>
      </c>
      <c r="F519" s="2">
        <f t="shared" si="47"/>
        <v>0</v>
      </c>
      <c r="G519" s="2">
        <f t="shared" si="48"/>
        <v>0</v>
      </c>
      <c r="H519" s="2">
        <f t="shared" si="49"/>
        <v>0</v>
      </c>
      <c r="I519" s="2">
        <f t="shared" si="45"/>
        <v>0</v>
      </c>
      <c r="J519">
        <f>IFERROR(VLOOKUP(B519,'General price list'!C:BA,MATCH("CBM",'General price list'!$C$20:$BA$20,0),FALSE)*(G519*C519),0)</f>
        <v>0</v>
      </c>
    </row>
    <row r="520" spans="2:10" ht="15" customHeight="1">
      <c r="B520" t="s">
        <v>5306</v>
      </c>
      <c r="C520" s="2" t="str">
        <f>IFERROR(VLOOKUP(B520,'General price list'!C:BA,MATCH("PAL",'General price list'!$C$20:$BA$20,0),FALSE),"")</f>
        <v>18</v>
      </c>
      <c r="D520" s="2">
        <f>IFERROR(VLOOKUP(B520,'General price list'!C:BA,MATCH("OBJ",'General price list'!$C$20:$BA$20,0),FALSE),"")</f>
        <v>0</v>
      </c>
      <c r="E520" s="2">
        <f t="shared" si="46"/>
        <v>0</v>
      </c>
      <c r="F520" s="2">
        <f t="shared" si="47"/>
        <v>0</v>
      </c>
      <c r="G520" s="2">
        <f t="shared" si="48"/>
        <v>0</v>
      </c>
      <c r="H520" s="2">
        <f t="shared" si="49"/>
        <v>0</v>
      </c>
      <c r="I520" s="2">
        <f t="shared" si="45"/>
        <v>0</v>
      </c>
      <c r="J520">
        <f>IFERROR(VLOOKUP(B520,'General price list'!C:BA,MATCH("CBM",'General price list'!$C$20:$BA$20,0),FALSE)*(G520*C520),0)</f>
        <v>0</v>
      </c>
    </row>
    <row r="521" spans="2:10" ht="15" customHeight="1">
      <c r="B521" t="s">
        <v>1398</v>
      </c>
      <c r="C521" s="2" t="str">
        <f>IFERROR(VLOOKUP(B521,'General price list'!C:BA,MATCH("PAL",'General price list'!$C$20:$BA$20,0),FALSE),"")</f>
        <v>63</v>
      </c>
      <c r="D521" s="2">
        <f>IFERROR(VLOOKUP(B521,'General price list'!C:BA,MATCH("OBJ",'General price list'!$C$20:$BA$20,0),FALSE),"")</f>
        <v>0</v>
      </c>
      <c r="E521" s="2">
        <f t="shared" si="46"/>
        <v>0</v>
      </c>
      <c r="F521" s="2">
        <f t="shared" si="47"/>
        <v>0</v>
      </c>
      <c r="G521" s="2">
        <f t="shared" si="48"/>
        <v>0</v>
      </c>
      <c r="H521" s="2">
        <f t="shared" si="49"/>
        <v>0</v>
      </c>
      <c r="I521" s="2">
        <f t="shared" si="45"/>
        <v>0</v>
      </c>
      <c r="J521">
        <f>IFERROR(VLOOKUP(B521,'General price list'!C:BA,MATCH("CBM",'General price list'!$C$20:$BA$20,0),FALSE)*(G521*C521),0)</f>
        <v>0</v>
      </c>
    </row>
    <row r="522" spans="2:10" ht="15" customHeight="1">
      <c r="B522" t="s">
        <v>1400</v>
      </c>
      <c r="C522" s="2" t="str">
        <f>IFERROR(VLOOKUP(B522,'General price list'!C:BA,MATCH("PAL",'General price list'!$C$20:$BA$20,0),FALSE),"")</f>
        <v>18</v>
      </c>
      <c r="D522" s="2">
        <f>IFERROR(VLOOKUP(B522,'General price list'!C:BA,MATCH("OBJ",'General price list'!$C$20:$BA$20,0),FALSE),"")</f>
        <v>0</v>
      </c>
      <c r="E522" s="2">
        <f t="shared" si="46"/>
        <v>0</v>
      </c>
      <c r="F522" s="2">
        <f t="shared" si="47"/>
        <v>0</v>
      </c>
      <c r="G522" s="2">
        <f t="shared" si="48"/>
        <v>0</v>
      </c>
      <c r="H522" s="2">
        <f t="shared" si="49"/>
        <v>0</v>
      </c>
      <c r="I522" s="2">
        <f t="shared" si="45"/>
        <v>0</v>
      </c>
      <c r="J522">
        <f>IFERROR(VLOOKUP(B522,'General price list'!C:BA,MATCH("CBM",'General price list'!$C$20:$BA$20,0),FALSE)*(G522*C522),0)</f>
        <v>0</v>
      </c>
    </row>
    <row r="523" spans="2:10" ht="15" customHeight="1">
      <c r="B523" t="s">
        <v>1401</v>
      </c>
      <c r="C523" s="2">
        <f>IFERROR(VLOOKUP(B523,'General price list'!C:BA,MATCH("PAL",'General price list'!$C$20:$BA$20,0),FALSE),"")</f>
        <v>36</v>
      </c>
      <c r="D523" s="2">
        <f>IFERROR(VLOOKUP(B523,'General price list'!C:BA,MATCH("OBJ",'General price list'!$C$20:$BA$20,0),FALSE),"")</f>
        <v>0</v>
      </c>
      <c r="E523" s="2">
        <f t="shared" si="46"/>
        <v>0</v>
      </c>
      <c r="F523" s="2">
        <f t="shared" si="47"/>
        <v>0</v>
      </c>
      <c r="G523" s="2">
        <f t="shared" si="48"/>
        <v>0</v>
      </c>
      <c r="H523" s="2">
        <f t="shared" si="49"/>
        <v>0</v>
      </c>
      <c r="I523" s="2">
        <f t="shared" si="45"/>
        <v>0</v>
      </c>
      <c r="J523">
        <f>IFERROR(VLOOKUP(B523,'General price list'!C:BA,MATCH("CBM",'General price list'!$C$20:$BA$20,0),FALSE)*(G523*C523),0)</f>
        <v>0</v>
      </c>
    </row>
    <row r="524" spans="2:10" ht="15" customHeight="1">
      <c r="B524" t="s">
        <v>5307</v>
      </c>
      <c r="C524" s="2">
        <f>IFERROR(VLOOKUP(B524,'General price list'!C:BA,MATCH("PAL",'General price list'!$C$20:$BA$20,0),FALSE),"")</f>
        <v>36</v>
      </c>
      <c r="D524" s="2">
        <f>IFERROR(VLOOKUP(B524,'General price list'!C:BA,MATCH("OBJ",'General price list'!$C$20:$BA$20,0),FALSE),"")</f>
        <v>0</v>
      </c>
      <c r="E524" s="2">
        <f t="shared" si="46"/>
        <v>0</v>
      </c>
      <c r="F524" s="2">
        <f t="shared" si="47"/>
        <v>0</v>
      </c>
      <c r="G524" s="2">
        <f t="shared" si="48"/>
        <v>0</v>
      </c>
      <c r="H524" s="2">
        <f t="shared" si="49"/>
        <v>0</v>
      </c>
      <c r="I524" s="2">
        <f t="shared" si="45"/>
        <v>0</v>
      </c>
      <c r="J524">
        <f>IFERROR(VLOOKUP(B524,'General price list'!C:BA,MATCH("CBM",'General price list'!$C$20:$BA$20,0),FALSE)*(G524*C524),0)</f>
        <v>0</v>
      </c>
    </row>
    <row r="525" spans="2:10" ht="15" customHeight="1">
      <c r="B525" t="s">
        <v>1402</v>
      </c>
      <c r="C525" s="2">
        <f>IFERROR(VLOOKUP(B525,'General price list'!C:BA,MATCH("PAL",'General price list'!$C$20:$BA$20,0),FALSE),"")</f>
        <v>18</v>
      </c>
      <c r="D525" s="2">
        <f>IFERROR(VLOOKUP(B525,'General price list'!C:BA,MATCH("OBJ",'General price list'!$C$20:$BA$20,0),FALSE),"")</f>
        <v>0</v>
      </c>
      <c r="E525" s="2">
        <f t="shared" si="46"/>
        <v>0</v>
      </c>
      <c r="F525" s="2">
        <f t="shared" si="47"/>
        <v>0</v>
      </c>
      <c r="G525" s="2">
        <f t="shared" si="48"/>
        <v>0</v>
      </c>
      <c r="H525" s="2">
        <f t="shared" si="49"/>
        <v>0</v>
      </c>
      <c r="I525" s="2">
        <f t="shared" si="45"/>
        <v>0</v>
      </c>
      <c r="J525">
        <f>IFERROR(VLOOKUP(B525,'General price list'!C:BA,MATCH("CBM",'General price list'!$C$20:$BA$20,0),FALSE)*(G525*C525),0)</f>
        <v>0</v>
      </c>
    </row>
    <row r="526" spans="2:10" ht="15" customHeight="1">
      <c r="B526" t="s">
        <v>2558</v>
      </c>
      <c r="C526" s="2">
        <f>IFERROR(VLOOKUP(B526,'General price list'!C:BA,MATCH("PAL",'General price list'!$C$20:$BA$20,0),FALSE),"")</f>
        <v>18</v>
      </c>
      <c r="D526" s="2">
        <f>IFERROR(VLOOKUP(B526,'General price list'!C:BA,MATCH("OBJ",'General price list'!$C$20:$BA$20,0),FALSE),"")</f>
        <v>0</v>
      </c>
      <c r="E526" s="2">
        <f t="shared" si="46"/>
        <v>0</v>
      </c>
      <c r="F526" s="2">
        <f t="shared" si="47"/>
        <v>0</v>
      </c>
      <c r="G526" s="2">
        <f t="shared" si="48"/>
        <v>0</v>
      </c>
      <c r="H526" s="2">
        <f t="shared" si="49"/>
        <v>0</v>
      </c>
      <c r="I526" s="2">
        <f t="shared" si="45"/>
        <v>0</v>
      </c>
      <c r="J526">
        <f>IFERROR(VLOOKUP(B526,'General price list'!C:BA,MATCH("CBM",'General price list'!$C$20:$BA$20,0),FALSE)*(G526*C526),0)</f>
        <v>0</v>
      </c>
    </row>
    <row r="527" spans="2:10" ht="15" customHeight="1">
      <c r="B527" t="s">
        <v>1403</v>
      </c>
      <c r="C527" s="2">
        <f>IFERROR(VLOOKUP(B527,'General price list'!C:BA,MATCH("PAL",'General price list'!$C$20:$BA$20,0),FALSE),"")</f>
        <v>18</v>
      </c>
      <c r="D527" s="2">
        <f>IFERROR(VLOOKUP(B527,'General price list'!C:BA,MATCH("OBJ",'General price list'!$C$20:$BA$20,0),FALSE),"")</f>
        <v>0</v>
      </c>
      <c r="E527" s="2">
        <f t="shared" si="46"/>
        <v>0</v>
      </c>
      <c r="F527" s="2">
        <f t="shared" si="47"/>
        <v>0</v>
      </c>
      <c r="G527" s="2">
        <f t="shared" si="48"/>
        <v>0</v>
      </c>
      <c r="H527" s="2">
        <f t="shared" si="49"/>
        <v>0</v>
      </c>
      <c r="I527" s="2">
        <f t="shared" si="45"/>
        <v>0</v>
      </c>
      <c r="J527">
        <f>IFERROR(VLOOKUP(B527,'General price list'!C:BA,MATCH("CBM",'General price list'!$C$20:$BA$20,0),FALSE)*(G527*C527),0)</f>
        <v>0</v>
      </c>
    </row>
    <row r="528" spans="2:10" ht="15" customHeight="1">
      <c r="B528" t="s">
        <v>5314</v>
      </c>
      <c r="C528" s="2" t="str">
        <f>IFERROR(VLOOKUP(B528,'General price list'!C:BA,MATCH("PAL",'General price list'!$C$20:$BA$20,0),FALSE),"")</f>
        <v>63</v>
      </c>
      <c r="D528" s="2">
        <f>IFERROR(VLOOKUP(B528,'General price list'!C:BA,MATCH("OBJ",'General price list'!$C$20:$BA$20,0),FALSE),"")</f>
        <v>0</v>
      </c>
      <c r="E528" s="2">
        <f t="shared" si="46"/>
        <v>0</v>
      </c>
      <c r="F528" s="2">
        <f t="shared" si="47"/>
        <v>0</v>
      </c>
      <c r="G528" s="2">
        <f t="shared" si="48"/>
        <v>0</v>
      </c>
      <c r="H528" s="2">
        <f t="shared" si="49"/>
        <v>0</v>
      </c>
      <c r="I528" s="2">
        <f t="shared" si="45"/>
        <v>0</v>
      </c>
      <c r="J528">
        <f>IFERROR(VLOOKUP(B528,'General price list'!C:BA,MATCH("CBM",'General price list'!$C$20:$BA$20,0),FALSE)*(G528*C528),0)</f>
        <v>0</v>
      </c>
    </row>
    <row r="529" spans="2:10" ht="15" customHeight="1">
      <c r="B529" t="s">
        <v>5315</v>
      </c>
      <c r="C529" s="2" t="str">
        <f>IFERROR(VLOOKUP(B529,'General price list'!C:BA,MATCH("PAL",'General price list'!$C$20:$BA$20,0),FALSE),"")</f>
        <v>18</v>
      </c>
      <c r="D529" s="2">
        <f>IFERROR(VLOOKUP(B529,'General price list'!C:BA,MATCH("OBJ",'General price list'!$C$20:$BA$20,0),FALSE),"")</f>
        <v>0</v>
      </c>
      <c r="E529" s="2">
        <f t="shared" si="46"/>
        <v>0</v>
      </c>
      <c r="F529" s="2">
        <f t="shared" si="47"/>
        <v>0</v>
      </c>
      <c r="G529" s="2">
        <f t="shared" si="48"/>
        <v>0</v>
      </c>
      <c r="H529" s="2">
        <f t="shared" si="49"/>
        <v>0</v>
      </c>
      <c r="I529" s="2">
        <f t="shared" si="45"/>
        <v>0</v>
      </c>
      <c r="J529">
        <f>IFERROR(VLOOKUP(B529,'General price list'!C:BA,MATCH("CBM",'General price list'!$C$20:$BA$20,0),FALSE)*(G529*C529),0)</f>
        <v>0</v>
      </c>
    </row>
    <row r="530" spans="2:10" ht="15" customHeight="1">
      <c r="B530" t="s">
        <v>2736</v>
      </c>
      <c r="C530" s="2">
        <f>IFERROR(VLOOKUP(B530,'General price list'!C:BA,MATCH("PAL",'General price list'!$C$20:$BA$20,0),FALSE),"")</f>
        <v>30</v>
      </c>
      <c r="D530" s="2">
        <f>IFERROR(VLOOKUP(B530,'General price list'!C:BA,MATCH("OBJ",'General price list'!$C$20:$BA$20,0),FALSE),"")</f>
        <v>0</v>
      </c>
      <c r="E530" s="2">
        <f t="shared" si="46"/>
        <v>0</v>
      </c>
      <c r="F530" s="2">
        <f t="shared" si="47"/>
        <v>0</v>
      </c>
      <c r="G530" s="2">
        <f t="shared" si="48"/>
        <v>0</v>
      </c>
      <c r="H530" s="2">
        <f t="shared" si="49"/>
        <v>0</v>
      </c>
      <c r="I530" s="2">
        <f t="shared" si="45"/>
        <v>0</v>
      </c>
      <c r="J530">
        <f>IFERROR(VLOOKUP(B530,'General price list'!C:BA,MATCH("CBM",'General price list'!$C$20:$BA$20,0),FALSE)*(G530*C530),0)</f>
        <v>0</v>
      </c>
    </row>
    <row r="531" spans="2:10" ht="15" customHeight="1">
      <c r="B531" t="s">
        <v>2737</v>
      </c>
      <c r="C531" s="2">
        <f>IFERROR(VLOOKUP(B531,'General price list'!C:BA,MATCH("PAL",'General price list'!$C$20:$BA$20,0),FALSE),"")</f>
        <v>18</v>
      </c>
      <c r="D531" s="2">
        <f>IFERROR(VLOOKUP(B531,'General price list'!C:BA,MATCH("OBJ",'General price list'!$C$20:$BA$20,0),FALSE),"")</f>
        <v>0</v>
      </c>
      <c r="E531" s="2">
        <f t="shared" si="46"/>
        <v>0</v>
      </c>
      <c r="F531" s="2">
        <f t="shared" si="47"/>
        <v>0</v>
      </c>
      <c r="G531" s="2">
        <f t="shared" si="48"/>
        <v>0</v>
      </c>
      <c r="H531" s="2">
        <f t="shared" si="49"/>
        <v>0</v>
      </c>
      <c r="I531" s="2">
        <f t="shared" si="45"/>
        <v>0</v>
      </c>
      <c r="J531">
        <f>IFERROR(VLOOKUP(B531,'General price list'!C:BA,MATCH("CBM",'General price list'!$C$20:$BA$20,0),FALSE)*(G531*C531),0)</f>
        <v>0</v>
      </c>
    </row>
    <row r="532" spans="2:10" ht="15" customHeight="1">
      <c r="B532" t="s">
        <v>2738</v>
      </c>
      <c r="C532" s="2">
        <f>IFERROR(VLOOKUP(B532,'General price list'!C:BA,MATCH("PAL",'General price list'!$C$20:$BA$20,0),FALSE),"")</f>
        <v>18</v>
      </c>
      <c r="D532" s="2">
        <f>IFERROR(VLOOKUP(B532,'General price list'!C:BA,MATCH("OBJ",'General price list'!$C$20:$BA$20,0),FALSE),"")</f>
        <v>0</v>
      </c>
      <c r="E532" s="2">
        <f t="shared" si="46"/>
        <v>0</v>
      </c>
      <c r="F532" s="2">
        <f t="shared" si="47"/>
        <v>0</v>
      </c>
      <c r="G532" s="2">
        <f t="shared" si="48"/>
        <v>0</v>
      </c>
      <c r="H532" s="2">
        <f t="shared" si="49"/>
        <v>0</v>
      </c>
      <c r="I532" s="2">
        <f t="shared" si="45"/>
        <v>0</v>
      </c>
      <c r="J532">
        <f>IFERROR(VLOOKUP(B532,'General price list'!C:BA,MATCH("CBM",'General price list'!$C$20:$BA$20,0),FALSE)*(G532*C532),0)</f>
        <v>0</v>
      </c>
    </row>
    <row r="533" spans="2:10" ht="15" customHeight="1">
      <c r="B533" t="s">
        <v>2739</v>
      </c>
      <c r="C533" s="2" t="str">
        <f>IFERROR(VLOOKUP(B533,'General price list'!C:BA,MATCH("PAL",'General price list'!$C$20:$BA$20,0),FALSE),"")</f>
        <v>20</v>
      </c>
      <c r="D533" s="2">
        <f>IFERROR(VLOOKUP(B533,'General price list'!C:BA,MATCH("OBJ",'General price list'!$C$20:$BA$20,0),FALSE),"")</f>
        <v>0</v>
      </c>
      <c r="E533" s="2">
        <f t="shared" si="46"/>
        <v>0</v>
      </c>
      <c r="F533" s="2">
        <f t="shared" si="47"/>
        <v>0</v>
      </c>
      <c r="G533" s="2">
        <f t="shared" si="48"/>
        <v>0</v>
      </c>
      <c r="H533" s="2">
        <f t="shared" si="49"/>
        <v>0</v>
      </c>
      <c r="I533" s="2">
        <f t="shared" si="45"/>
        <v>0</v>
      </c>
      <c r="J533">
        <f>IFERROR(VLOOKUP(B533,'General price list'!C:BA,MATCH("CBM",'General price list'!$C$20:$BA$20,0),FALSE)*(G533*C533),0)</f>
        <v>0</v>
      </c>
    </row>
    <row r="534" spans="2:10" ht="15" customHeight="1">
      <c r="B534" t="s">
        <v>1407</v>
      </c>
      <c r="C534" s="2">
        <f>IFERROR(VLOOKUP(B534,'General price list'!C:BA,MATCH("PAL",'General price list'!$C$20:$BA$20,0),FALSE),"")</f>
        <v>32</v>
      </c>
      <c r="D534" s="2">
        <f>IFERROR(VLOOKUP(B534,'General price list'!C:BA,MATCH("OBJ",'General price list'!$C$20:$BA$20,0),FALSE),"")</f>
        <v>0</v>
      </c>
      <c r="E534" s="2">
        <f t="shared" si="46"/>
        <v>0</v>
      </c>
      <c r="F534" s="2">
        <f t="shared" si="47"/>
        <v>0</v>
      </c>
      <c r="G534" s="2">
        <f t="shared" si="48"/>
        <v>0</v>
      </c>
      <c r="H534" s="2">
        <f t="shared" si="49"/>
        <v>0</v>
      </c>
      <c r="I534" s="2">
        <f t="shared" si="45"/>
        <v>0</v>
      </c>
      <c r="J534">
        <f>IFERROR(VLOOKUP(B534,'General price list'!C:BA,MATCH("CBM",'General price list'!$C$20:$BA$20,0),FALSE)*(G534*C534),0)</f>
        <v>0</v>
      </c>
    </row>
    <row r="535" spans="2:10" ht="15" customHeight="1">
      <c r="B535" t="s">
        <v>1408</v>
      </c>
      <c r="C535" s="2">
        <f>IFERROR(VLOOKUP(B535,'General price list'!C:BA,MATCH("PAL",'General price list'!$C$20:$BA$20,0),FALSE),"")</f>
        <v>32</v>
      </c>
      <c r="D535" s="2">
        <f>IFERROR(VLOOKUP(B535,'General price list'!C:BA,MATCH("OBJ",'General price list'!$C$20:$BA$20,0),FALSE),"")</f>
        <v>0</v>
      </c>
      <c r="E535" s="2">
        <f t="shared" si="46"/>
        <v>0</v>
      </c>
      <c r="F535" s="2">
        <f t="shared" si="47"/>
        <v>0</v>
      </c>
      <c r="G535" s="2">
        <f t="shared" si="48"/>
        <v>0</v>
      </c>
      <c r="H535" s="2">
        <f t="shared" si="49"/>
        <v>0</v>
      </c>
      <c r="I535" s="2">
        <f t="shared" si="45"/>
        <v>0</v>
      </c>
      <c r="J535">
        <f>IFERROR(VLOOKUP(B535,'General price list'!C:BA,MATCH("CBM",'General price list'!$C$20:$BA$20,0),FALSE)*(G535*C535),0)</f>
        <v>0</v>
      </c>
    </row>
    <row r="536" spans="2:10" ht="15" customHeight="1">
      <c r="B536" t="s">
        <v>1409</v>
      </c>
      <c r="C536" s="2">
        <f>IFERROR(VLOOKUP(B536,'General price list'!C:BA,MATCH("PAL",'General price list'!$C$20:$BA$20,0),FALSE),"")</f>
        <v>32</v>
      </c>
      <c r="D536" s="2">
        <f>IFERROR(VLOOKUP(B536,'General price list'!C:BA,MATCH("OBJ",'General price list'!$C$20:$BA$20,0),FALSE),"")</f>
        <v>0</v>
      </c>
      <c r="E536" s="2">
        <f t="shared" si="46"/>
        <v>0</v>
      </c>
      <c r="F536" s="2">
        <f t="shared" si="47"/>
        <v>0</v>
      </c>
      <c r="G536" s="2">
        <f t="shared" si="48"/>
        <v>0</v>
      </c>
      <c r="H536" s="2">
        <f t="shared" si="49"/>
        <v>0</v>
      </c>
      <c r="I536" s="2">
        <f t="shared" si="45"/>
        <v>0</v>
      </c>
      <c r="J536">
        <f>IFERROR(VLOOKUP(B536,'General price list'!C:BA,MATCH("CBM",'General price list'!$C$20:$BA$20,0),FALSE)*(G536*C536),0)</f>
        <v>0</v>
      </c>
    </row>
    <row r="537" spans="2:10" ht="15" customHeight="1">
      <c r="B537" t="s">
        <v>1411</v>
      </c>
      <c r="C537" s="2">
        <f>IFERROR(VLOOKUP(B537,'General price list'!C:BA,MATCH("PAL",'General price list'!$C$20:$BA$20,0),FALSE),"")</f>
        <v>32</v>
      </c>
      <c r="D537" s="2">
        <f>IFERROR(VLOOKUP(B537,'General price list'!C:BA,MATCH("OBJ",'General price list'!$C$20:$BA$20,0),FALSE),"")</f>
        <v>0</v>
      </c>
      <c r="E537" s="2">
        <f t="shared" si="46"/>
        <v>0</v>
      </c>
      <c r="F537" s="2">
        <f t="shared" si="47"/>
        <v>0</v>
      </c>
      <c r="G537" s="2">
        <f t="shared" si="48"/>
        <v>0</v>
      </c>
      <c r="H537" s="2">
        <f t="shared" si="49"/>
        <v>0</v>
      </c>
      <c r="I537" s="2">
        <f t="shared" si="45"/>
        <v>0</v>
      </c>
      <c r="J537">
        <f>IFERROR(VLOOKUP(B537,'General price list'!C:BA,MATCH("CBM",'General price list'!$C$20:$BA$20,0),FALSE)*(G537*C537),0)</f>
        <v>0</v>
      </c>
    </row>
    <row r="538" spans="2:10" ht="15" customHeight="1">
      <c r="B538" t="s">
        <v>1414</v>
      </c>
      <c r="C538" s="2">
        <f>IFERROR(VLOOKUP(B538,'General price list'!C:BA,MATCH("PAL",'General price list'!$C$20:$BA$20,0),FALSE),"")</f>
        <v>32</v>
      </c>
      <c r="D538" s="2">
        <f>IFERROR(VLOOKUP(B538,'General price list'!C:BA,MATCH("OBJ",'General price list'!$C$20:$BA$20,0),FALSE),"")</f>
        <v>0</v>
      </c>
      <c r="E538" s="2">
        <f t="shared" si="46"/>
        <v>0</v>
      </c>
      <c r="F538" s="2">
        <f t="shared" si="47"/>
        <v>0</v>
      </c>
      <c r="G538" s="2">
        <f t="shared" si="48"/>
        <v>0</v>
      </c>
      <c r="H538" s="2">
        <f t="shared" si="49"/>
        <v>0</v>
      </c>
      <c r="I538" s="2">
        <f t="shared" si="45"/>
        <v>0</v>
      </c>
      <c r="J538">
        <f>IFERROR(VLOOKUP(B538,'General price list'!C:BA,MATCH("CBM",'General price list'!$C$20:$BA$20,0),FALSE)*(G538*C538),0)</f>
        <v>0</v>
      </c>
    </row>
    <row r="539" spans="2:10" ht="15" customHeight="1">
      <c r="B539" t="s">
        <v>1421</v>
      </c>
      <c r="C539" s="2">
        <f>IFERROR(VLOOKUP(B539,'General price list'!C:BA,MATCH("PAL",'General price list'!$C$20:$BA$20,0),FALSE),"")</f>
        <v>32</v>
      </c>
      <c r="D539" s="2">
        <f>IFERROR(VLOOKUP(B539,'General price list'!C:BA,MATCH("OBJ",'General price list'!$C$20:$BA$20,0),FALSE),"")</f>
        <v>0</v>
      </c>
      <c r="E539" s="2">
        <f t="shared" si="46"/>
        <v>0</v>
      </c>
      <c r="F539" s="2">
        <f t="shared" si="47"/>
        <v>0</v>
      </c>
      <c r="G539" s="2">
        <f t="shared" si="48"/>
        <v>0</v>
      </c>
      <c r="H539" s="2">
        <f t="shared" si="49"/>
        <v>0</v>
      </c>
      <c r="I539" s="2">
        <f t="shared" si="45"/>
        <v>0</v>
      </c>
      <c r="J539">
        <f>IFERROR(VLOOKUP(B539,'General price list'!C:BA,MATCH("CBM",'General price list'!$C$20:$BA$20,0),FALSE)*(G539*C539),0)</f>
        <v>0</v>
      </c>
    </row>
    <row r="540" spans="2:10" ht="15" customHeight="1">
      <c r="B540" t="s">
        <v>1426</v>
      </c>
      <c r="C540" s="2">
        <f>IFERROR(VLOOKUP(B540,'General price list'!C:BA,MATCH("PAL",'General price list'!$C$20:$BA$20,0),FALSE),"")</f>
        <v>32</v>
      </c>
      <c r="D540" s="2">
        <f>IFERROR(VLOOKUP(B540,'General price list'!C:BA,MATCH("OBJ",'General price list'!$C$20:$BA$20,0),FALSE),"")</f>
        <v>0</v>
      </c>
      <c r="E540" s="2">
        <f t="shared" si="46"/>
        <v>0</v>
      </c>
      <c r="F540" s="2">
        <f t="shared" si="47"/>
        <v>0</v>
      </c>
      <c r="G540" s="2">
        <f t="shared" si="48"/>
        <v>0</v>
      </c>
      <c r="H540" s="2">
        <f t="shared" si="49"/>
        <v>0</v>
      </c>
      <c r="I540" s="2">
        <f t="shared" si="45"/>
        <v>0</v>
      </c>
      <c r="J540">
        <f>IFERROR(VLOOKUP(B540,'General price list'!C:BA,MATCH("CBM",'General price list'!$C$20:$BA$20,0),FALSE)*(G540*C540),0)</f>
        <v>0</v>
      </c>
    </row>
    <row r="541" spans="2:10" ht="15" customHeight="1">
      <c r="B541" t="s">
        <v>1419</v>
      </c>
      <c r="C541" s="2">
        <f>IFERROR(VLOOKUP(B541,'General price list'!C:BA,MATCH("PAL",'General price list'!$C$20:$BA$20,0),FALSE),"")</f>
        <v>32</v>
      </c>
      <c r="D541" s="2">
        <f>IFERROR(VLOOKUP(B541,'General price list'!C:BA,MATCH("OBJ",'General price list'!$C$20:$BA$20,0),FALSE),"")</f>
        <v>0</v>
      </c>
      <c r="E541" s="2">
        <f t="shared" si="46"/>
        <v>0</v>
      </c>
      <c r="F541" s="2">
        <f t="shared" si="47"/>
        <v>0</v>
      </c>
      <c r="G541" s="2">
        <f t="shared" si="48"/>
        <v>0</v>
      </c>
      <c r="H541" s="2">
        <f t="shared" si="49"/>
        <v>0</v>
      </c>
      <c r="I541" s="2">
        <f t="shared" si="45"/>
        <v>0</v>
      </c>
      <c r="J541">
        <f>IFERROR(VLOOKUP(B541,'General price list'!C:BA,MATCH("CBM",'General price list'!$C$20:$BA$20,0),FALSE)*(G541*C541),0)</f>
        <v>0</v>
      </c>
    </row>
    <row r="542" spans="2:10" ht="15" customHeight="1">
      <c r="B542" t="s">
        <v>1432</v>
      </c>
      <c r="C542" s="2">
        <f>IFERROR(VLOOKUP(B542,'General price list'!C:BA,MATCH("PAL",'General price list'!$C$20:$BA$20,0),FALSE),"")</f>
        <v>24</v>
      </c>
      <c r="D542" s="2">
        <f>IFERROR(VLOOKUP(B542,'General price list'!C:BA,MATCH("OBJ",'General price list'!$C$20:$BA$20,0),FALSE),"")</f>
        <v>0</v>
      </c>
      <c r="E542" s="2">
        <f t="shared" si="46"/>
        <v>0</v>
      </c>
      <c r="F542" s="2">
        <f t="shared" si="47"/>
        <v>0</v>
      </c>
      <c r="G542" s="2">
        <f t="shared" si="48"/>
        <v>0</v>
      </c>
      <c r="H542" s="2">
        <f t="shared" si="49"/>
        <v>0</v>
      </c>
      <c r="I542" s="2">
        <f t="shared" si="45"/>
        <v>0</v>
      </c>
      <c r="J542">
        <f>IFERROR(VLOOKUP(B542,'General price list'!C:BA,MATCH("CBM",'General price list'!$C$20:$BA$20,0),FALSE)*(G542*C542),0)</f>
        <v>0</v>
      </c>
    </row>
    <row r="543" spans="2:10" ht="15" customHeight="1">
      <c r="B543" t="s">
        <v>1433</v>
      </c>
      <c r="C543" s="2">
        <f>IFERROR(VLOOKUP(B543,'General price list'!C:BA,MATCH("PAL",'General price list'!$C$20:$BA$20,0),FALSE),"")</f>
        <v>24</v>
      </c>
      <c r="D543" s="2">
        <f>IFERROR(VLOOKUP(B543,'General price list'!C:BA,MATCH("OBJ",'General price list'!$C$20:$BA$20,0),FALSE),"")</f>
        <v>0</v>
      </c>
      <c r="E543" s="2">
        <f t="shared" si="46"/>
        <v>0</v>
      </c>
      <c r="F543" s="2">
        <f t="shared" si="47"/>
        <v>0</v>
      </c>
      <c r="G543" s="2">
        <f t="shared" si="48"/>
        <v>0</v>
      </c>
      <c r="H543" s="2">
        <f t="shared" si="49"/>
        <v>0</v>
      </c>
      <c r="I543" s="2">
        <f t="shared" si="45"/>
        <v>0</v>
      </c>
      <c r="J543">
        <f>IFERROR(VLOOKUP(B543,'General price list'!C:BA,MATCH("CBM",'General price list'!$C$20:$BA$20,0),FALSE)*(G543*C543),0)</f>
        <v>0</v>
      </c>
    </row>
    <row r="544" spans="2:10" ht="15" customHeight="1">
      <c r="B544" t="s">
        <v>1435</v>
      </c>
      <c r="C544" s="2">
        <f>IFERROR(VLOOKUP(B544,'General price list'!C:BA,MATCH("PAL",'General price list'!$C$20:$BA$20,0),FALSE),"")</f>
        <v>24</v>
      </c>
      <c r="D544" s="2">
        <f>IFERROR(VLOOKUP(B544,'General price list'!C:BA,MATCH("OBJ",'General price list'!$C$20:$BA$20,0),FALSE),"")</f>
        <v>0</v>
      </c>
      <c r="E544" s="2">
        <f t="shared" si="46"/>
        <v>0</v>
      </c>
      <c r="F544" s="2">
        <f t="shared" si="47"/>
        <v>0</v>
      </c>
      <c r="G544" s="2">
        <f t="shared" si="48"/>
        <v>0</v>
      </c>
      <c r="H544" s="2">
        <f t="shared" si="49"/>
        <v>0</v>
      </c>
      <c r="I544" s="2">
        <f t="shared" si="45"/>
        <v>0</v>
      </c>
      <c r="J544">
        <f>IFERROR(VLOOKUP(B544,'General price list'!C:BA,MATCH("CBM",'General price list'!$C$20:$BA$20,0),FALSE)*(G544*C544),0)</f>
        <v>0</v>
      </c>
    </row>
    <row r="545" spans="2:10" ht="15" customHeight="1">
      <c r="B545" t="s">
        <v>1437</v>
      </c>
      <c r="C545" s="2">
        <f>IFERROR(VLOOKUP(B545,'General price list'!C:BA,MATCH("PAL",'General price list'!$C$20:$BA$20,0),FALSE),"")</f>
        <v>24</v>
      </c>
      <c r="D545" s="2">
        <f>IFERROR(VLOOKUP(B545,'General price list'!C:BA,MATCH("OBJ",'General price list'!$C$20:$BA$20,0),FALSE),"")</f>
        <v>0</v>
      </c>
      <c r="E545" s="2">
        <f t="shared" si="46"/>
        <v>0</v>
      </c>
      <c r="F545" s="2">
        <f t="shared" si="47"/>
        <v>0</v>
      </c>
      <c r="G545" s="2">
        <f t="shared" si="48"/>
        <v>0</v>
      </c>
      <c r="H545" s="2">
        <f t="shared" si="49"/>
        <v>0</v>
      </c>
      <c r="I545" s="2">
        <f t="shared" si="45"/>
        <v>0</v>
      </c>
      <c r="J545">
        <f>IFERROR(VLOOKUP(B545,'General price list'!C:BA,MATCH("CBM",'General price list'!$C$20:$BA$20,0),FALSE)*(G545*C545),0)</f>
        <v>0</v>
      </c>
    </row>
    <row r="546" spans="2:10" ht="15" customHeight="1">
      <c r="B546" t="s">
        <v>1439</v>
      </c>
      <c r="C546" s="2">
        <f>IFERROR(VLOOKUP(B546,'General price list'!C:BA,MATCH("PAL",'General price list'!$C$20:$BA$20,0),FALSE),"")</f>
        <v>24</v>
      </c>
      <c r="D546" s="2">
        <f>IFERROR(VLOOKUP(B546,'General price list'!C:BA,MATCH("OBJ",'General price list'!$C$20:$BA$20,0),FALSE),"")</f>
        <v>0</v>
      </c>
      <c r="E546" s="2">
        <f t="shared" si="46"/>
        <v>0</v>
      </c>
      <c r="F546" s="2">
        <f t="shared" si="47"/>
        <v>0</v>
      </c>
      <c r="G546" s="2">
        <f t="shared" si="48"/>
        <v>0</v>
      </c>
      <c r="H546" s="2">
        <f t="shared" si="49"/>
        <v>0</v>
      </c>
      <c r="I546" s="2">
        <f t="shared" si="45"/>
        <v>0</v>
      </c>
      <c r="J546">
        <f>IFERROR(VLOOKUP(B546,'General price list'!C:BA,MATCH("CBM",'General price list'!$C$20:$BA$20,0),FALSE)*(G546*C546),0)</f>
        <v>0</v>
      </c>
    </row>
    <row r="547" spans="2:10" ht="15" customHeight="1">
      <c r="B547" t="s">
        <v>1444</v>
      </c>
      <c r="C547" s="2">
        <f>IFERROR(VLOOKUP(B547,'General price list'!C:BA,MATCH("PAL",'General price list'!$C$20:$BA$20,0),FALSE),"")</f>
        <v>24</v>
      </c>
      <c r="D547" s="2">
        <f>IFERROR(VLOOKUP(B547,'General price list'!C:BA,MATCH("OBJ",'General price list'!$C$20:$BA$20,0),FALSE),"")</f>
        <v>0</v>
      </c>
      <c r="E547" s="2">
        <f t="shared" si="46"/>
        <v>0</v>
      </c>
      <c r="F547" s="2">
        <f t="shared" si="47"/>
        <v>0</v>
      </c>
      <c r="G547" s="2">
        <f t="shared" si="48"/>
        <v>0</v>
      </c>
      <c r="H547" s="2">
        <f t="shared" si="49"/>
        <v>0</v>
      </c>
      <c r="I547" s="2">
        <f t="shared" si="45"/>
        <v>0</v>
      </c>
      <c r="J547">
        <f>IFERROR(VLOOKUP(B547,'General price list'!C:BA,MATCH("CBM",'General price list'!$C$20:$BA$20,0),FALSE)*(G547*C547),0)</f>
        <v>0</v>
      </c>
    </row>
    <row r="548" spans="2:10" ht="15" customHeight="1">
      <c r="B548" t="s">
        <v>1451</v>
      </c>
      <c r="C548" s="2">
        <f>IFERROR(VLOOKUP(B548,'General price list'!C:BA,MATCH("PAL",'General price list'!$C$20:$BA$20,0),FALSE),"")</f>
        <v>28</v>
      </c>
      <c r="D548" s="2">
        <f>IFERROR(VLOOKUP(B548,'General price list'!C:BA,MATCH("OBJ",'General price list'!$C$20:$BA$20,0),FALSE),"")</f>
        <v>0</v>
      </c>
      <c r="E548" s="2">
        <f t="shared" si="46"/>
        <v>0</v>
      </c>
      <c r="F548" s="2">
        <f t="shared" si="47"/>
        <v>0</v>
      </c>
      <c r="G548" s="2">
        <f t="shared" si="48"/>
        <v>0</v>
      </c>
      <c r="H548" s="2">
        <f t="shared" si="49"/>
        <v>0</v>
      </c>
      <c r="I548" s="2">
        <f t="shared" si="45"/>
        <v>0</v>
      </c>
      <c r="J548">
        <f>IFERROR(VLOOKUP(B548,'General price list'!C:BA,MATCH("CBM",'General price list'!$C$20:$BA$20,0),FALSE)*(G548*C548),0)</f>
        <v>0</v>
      </c>
    </row>
    <row r="549" spans="2:10" ht="15" customHeight="1">
      <c r="B549" t="s">
        <v>12728</v>
      </c>
      <c r="C549" s="2">
        <f>IFERROR(VLOOKUP(B549,'General price list'!C:BA,MATCH("PAL",'General price list'!$C$20:$BA$20,0),FALSE),"")</f>
        <v>32</v>
      </c>
      <c r="D549" s="2">
        <f>IFERROR(VLOOKUP(B549,'General price list'!C:BA,MATCH("OBJ",'General price list'!$C$20:$BA$20,0),FALSE),"")</f>
        <v>0</v>
      </c>
      <c r="E549" s="2">
        <f t="shared" si="46"/>
        <v>0</v>
      </c>
      <c r="F549" s="2">
        <f t="shared" si="47"/>
        <v>0</v>
      </c>
      <c r="G549" s="2">
        <f t="shared" si="48"/>
        <v>0</v>
      </c>
      <c r="H549" s="2">
        <f t="shared" si="49"/>
        <v>0</v>
      </c>
      <c r="I549" s="2">
        <f t="shared" si="45"/>
        <v>0</v>
      </c>
      <c r="J549">
        <f>IFERROR(VLOOKUP(B549,'General price list'!C:BA,MATCH("CBM",'General price list'!$C$20:$BA$20,0),FALSE)*(G549*C549),0)</f>
        <v>0</v>
      </c>
    </row>
    <row r="550" spans="2:10" ht="15" customHeight="1">
      <c r="B550" t="s">
        <v>1460</v>
      </c>
      <c r="C550" s="2">
        <f>IFERROR(VLOOKUP(B550,'General price list'!C:BA,MATCH("PAL",'General price list'!$C$20:$BA$20,0),FALSE),"")</f>
        <v>28</v>
      </c>
      <c r="D550" s="2">
        <f>IFERROR(VLOOKUP(B550,'General price list'!C:BA,MATCH("OBJ",'General price list'!$C$20:$BA$20,0),FALSE),"")</f>
        <v>0</v>
      </c>
      <c r="E550" s="2">
        <f t="shared" si="46"/>
        <v>0</v>
      </c>
      <c r="F550" s="2">
        <f t="shared" si="47"/>
        <v>0</v>
      </c>
      <c r="G550" s="2">
        <f t="shared" si="48"/>
        <v>0</v>
      </c>
      <c r="H550" s="2">
        <f t="shared" si="49"/>
        <v>0</v>
      </c>
      <c r="I550" s="2">
        <f t="shared" si="45"/>
        <v>0</v>
      </c>
      <c r="J550">
        <f>IFERROR(VLOOKUP(B550,'General price list'!C:BA,MATCH("CBM",'General price list'!$C$20:$BA$20,0),FALSE)*(G550*C550),0)</f>
        <v>0</v>
      </c>
    </row>
    <row r="551" spans="2:10" ht="15" customHeight="1">
      <c r="B551" t="s">
        <v>1461</v>
      </c>
      <c r="C551" s="2">
        <f>IFERROR(VLOOKUP(B551,'General price list'!C:BA,MATCH("PAL",'General price list'!$C$20:$BA$20,0),FALSE),"")</f>
        <v>28</v>
      </c>
      <c r="D551" s="2">
        <f>IFERROR(VLOOKUP(B551,'General price list'!C:BA,MATCH("OBJ",'General price list'!$C$20:$BA$20,0),FALSE),"")</f>
        <v>0</v>
      </c>
      <c r="E551" s="2">
        <f t="shared" si="46"/>
        <v>0</v>
      </c>
      <c r="F551" s="2">
        <f t="shared" si="47"/>
        <v>0</v>
      </c>
      <c r="G551" s="2">
        <f t="shared" si="48"/>
        <v>0</v>
      </c>
      <c r="H551" s="2">
        <f t="shared" si="49"/>
        <v>0</v>
      </c>
      <c r="I551" s="2">
        <f t="shared" si="45"/>
        <v>0</v>
      </c>
      <c r="J551">
        <f>IFERROR(VLOOKUP(B551,'General price list'!C:BA,MATCH("CBM",'General price list'!$C$20:$BA$20,0),FALSE)*(G551*C551),0)</f>
        <v>0</v>
      </c>
    </row>
    <row r="552" spans="2:10" ht="15" customHeight="1">
      <c r="B552" t="s">
        <v>1472</v>
      </c>
      <c r="C552" s="2">
        <f>IFERROR(VLOOKUP(B552,'General price list'!C:BA,MATCH("PAL",'General price list'!$C$20:$BA$20,0),FALSE),"")</f>
        <v>28</v>
      </c>
      <c r="D552" s="2">
        <f>IFERROR(VLOOKUP(B552,'General price list'!C:BA,MATCH("OBJ",'General price list'!$C$20:$BA$20,0),FALSE),"")</f>
        <v>0</v>
      </c>
      <c r="E552" s="2">
        <f t="shared" si="46"/>
        <v>0</v>
      </c>
      <c r="F552" s="2">
        <f t="shared" si="47"/>
        <v>0</v>
      </c>
      <c r="G552" s="2">
        <f t="shared" si="48"/>
        <v>0</v>
      </c>
      <c r="H552" s="2">
        <f t="shared" si="49"/>
        <v>0</v>
      </c>
      <c r="I552" s="2">
        <f t="shared" si="45"/>
        <v>0</v>
      </c>
      <c r="J552">
        <f>IFERROR(VLOOKUP(B552,'General price list'!C:BA,MATCH("CBM",'General price list'!$C$20:$BA$20,0),FALSE)*(G552*C552),0)</f>
        <v>0</v>
      </c>
    </row>
    <row r="553" spans="2:10" ht="15" customHeight="1">
      <c r="B553" t="s">
        <v>1462</v>
      </c>
      <c r="C553" s="2">
        <f>IFERROR(VLOOKUP(B553,'General price list'!C:BA,MATCH("PAL",'General price list'!$C$20:$BA$20,0),FALSE),"")</f>
        <v>28</v>
      </c>
      <c r="D553" s="2">
        <f>IFERROR(VLOOKUP(B553,'General price list'!C:BA,MATCH("OBJ",'General price list'!$C$20:$BA$20,0),FALSE),"")</f>
        <v>0</v>
      </c>
      <c r="E553" s="2">
        <f t="shared" si="46"/>
        <v>0</v>
      </c>
      <c r="F553" s="2">
        <f t="shared" si="47"/>
        <v>0</v>
      </c>
      <c r="G553" s="2">
        <f t="shared" si="48"/>
        <v>0</v>
      </c>
      <c r="H553" s="2">
        <f t="shared" si="49"/>
        <v>0</v>
      </c>
      <c r="I553" s="2">
        <f t="shared" si="45"/>
        <v>0</v>
      </c>
      <c r="J553">
        <f>IFERROR(VLOOKUP(B553,'General price list'!C:BA,MATCH("CBM",'General price list'!$C$20:$BA$20,0),FALSE)*(G553*C553),0)</f>
        <v>0</v>
      </c>
    </row>
    <row r="554" spans="2:10" ht="15" customHeight="1">
      <c r="B554" t="s">
        <v>1463</v>
      </c>
      <c r="C554" s="2">
        <f>IFERROR(VLOOKUP(B554,'General price list'!C:BA,MATCH("PAL",'General price list'!$C$20:$BA$20,0),FALSE),"")</f>
        <v>28</v>
      </c>
      <c r="D554" s="2">
        <f>IFERROR(VLOOKUP(B554,'General price list'!C:BA,MATCH("OBJ",'General price list'!$C$20:$BA$20,0),FALSE),"")</f>
        <v>0</v>
      </c>
      <c r="E554" s="2">
        <f t="shared" si="46"/>
        <v>0</v>
      </c>
      <c r="F554" s="2">
        <f t="shared" si="47"/>
        <v>0</v>
      </c>
      <c r="G554" s="2">
        <f t="shared" si="48"/>
        <v>0</v>
      </c>
      <c r="H554" s="2">
        <f t="shared" si="49"/>
        <v>0</v>
      </c>
      <c r="I554" s="2">
        <f t="shared" si="45"/>
        <v>0</v>
      </c>
      <c r="J554">
        <f>IFERROR(VLOOKUP(B554,'General price list'!C:BA,MATCH("CBM",'General price list'!$C$20:$BA$20,0),FALSE)*(G554*C554),0)</f>
        <v>0</v>
      </c>
    </row>
    <row r="555" spans="2:10" ht="15" customHeight="1">
      <c r="B555" t="s">
        <v>1464</v>
      </c>
      <c r="C555" s="2">
        <f>IFERROR(VLOOKUP(B555,'General price list'!C:BA,MATCH("PAL",'General price list'!$C$20:$BA$20,0),FALSE),"")</f>
        <v>28</v>
      </c>
      <c r="D555" s="2">
        <f>IFERROR(VLOOKUP(B555,'General price list'!C:BA,MATCH("OBJ",'General price list'!$C$20:$BA$20,0),FALSE),"")</f>
        <v>0</v>
      </c>
      <c r="E555" s="2">
        <f t="shared" si="46"/>
        <v>0</v>
      </c>
      <c r="F555" s="2">
        <f t="shared" si="47"/>
        <v>0</v>
      </c>
      <c r="G555" s="2">
        <f t="shared" si="48"/>
        <v>0</v>
      </c>
      <c r="H555" s="2">
        <f t="shared" si="49"/>
        <v>0</v>
      </c>
      <c r="I555" s="2">
        <f t="shared" si="45"/>
        <v>0</v>
      </c>
      <c r="J555">
        <f>IFERROR(VLOOKUP(B555,'General price list'!C:BA,MATCH("CBM",'General price list'!$C$20:$BA$20,0),FALSE)*(G555*C555),0)</f>
        <v>0</v>
      </c>
    </row>
    <row r="556" spans="2:10" ht="15" customHeight="1">
      <c r="B556" t="s">
        <v>1468</v>
      </c>
      <c r="C556" s="2">
        <f>IFERROR(VLOOKUP(B556,'General price list'!C:BA,MATCH("PAL",'General price list'!$C$20:$BA$20,0),FALSE),"")</f>
        <v>28</v>
      </c>
      <c r="D556" s="2">
        <f>IFERROR(VLOOKUP(B556,'General price list'!C:BA,MATCH("OBJ",'General price list'!$C$20:$BA$20,0),FALSE),"")</f>
        <v>0</v>
      </c>
      <c r="E556" s="2">
        <f t="shared" si="46"/>
        <v>0</v>
      </c>
      <c r="F556" s="2">
        <f t="shared" si="47"/>
        <v>0</v>
      </c>
      <c r="G556" s="2">
        <f t="shared" si="48"/>
        <v>0</v>
      </c>
      <c r="H556" s="2">
        <f t="shared" si="49"/>
        <v>0</v>
      </c>
      <c r="I556" s="2">
        <f t="shared" si="45"/>
        <v>0</v>
      </c>
      <c r="J556">
        <f>IFERROR(VLOOKUP(B556,'General price list'!C:BA,MATCH("CBM",'General price list'!$C$20:$BA$20,0),FALSE)*(G556*C556),0)</f>
        <v>0</v>
      </c>
    </row>
    <row r="557" spans="2:10" ht="15" customHeight="1">
      <c r="B557" t="s">
        <v>1469</v>
      </c>
      <c r="C557" s="2">
        <f>IFERROR(VLOOKUP(B557,'General price list'!C:BA,MATCH("PAL",'General price list'!$C$20:$BA$20,0),FALSE),"")</f>
        <v>28</v>
      </c>
      <c r="D557" s="2">
        <f>IFERROR(VLOOKUP(B557,'General price list'!C:BA,MATCH("OBJ",'General price list'!$C$20:$BA$20,0),FALSE),"")</f>
        <v>0</v>
      </c>
      <c r="E557" s="2">
        <f t="shared" si="46"/>
        <v>0</v>
      </c>
      <c r="F557" s="2">
        <f t="shared" si="47"/>
        <v>0</v>
      </c>
      <c r="G557" s="2">
        <f t="shared" si="48"/>
        <v>0</v>
      </c>
      <c r="H557" s="2">
        <f t="shared" si="49"/>
        <v>0</v>
      </c>
      <c r="I557" s="2">
        <f t="shared" si="45"/>
        <v>0</v>
      </c>
      <c r="J557">
        <f>IFERROR(VLOOKUP(B557,'General price list'!C:BA,MATCH("CBM",'General price list'!$C$20:$BA$20,0),FALSE)*(G557*C557),0)</f>
        <v>0</v>
      </c>
    </row>
    <row r="558" spans="2:10" ht="15" customHeight="1">
      <c r="B558" t="s">
        <v>1470</v>
      </c>
      <c r="C558" s="2">
        <f>IFERROR(VLOOKUP(B558,'General price list'!C:BA,MATCH("PAL",'General price list'!$C$20:$BA$20,0),FALSE),"")</f>
        <v>28</v>
      </c>
      <c r="D558" s="2">
        <f>IFERROR(VLOOKUP(B558,'General price list'!C:BA,MATCH("OBJ",'General price list'!$C$20:$BA$20,0),FALSE),"")</f>
        <v>0</v>
      </c>
      <c r="E558" s="2">
        <f t="shared" si="46"/>
        <v>0</v>
      </c>
      <c r="F558" s="2">
        <f t="shared" si="47"/>
        <v>0</v>
      </c>
      <c r="G558" s="2">
        <f t="shared" si="48"/>
        <v>0</v>
      </c>
      <c r="H558" s="2">
        <f t="shared" si="49"/>
        <v>0</v>
      </c>
      <c r="I558" s="2">
        <f t="shared" si="45"/>
        <v>0</v>
      </c>
      <c r="J558">
        <f>IFERROR(VLOOKUP(B558,'General price list'!C:BA,MATCH("CBM",'General price list'!$C$20:$BA$20,0),FALSE)*(G558*C558),0)</f>
        <v>0</v>
      </c>
    </row>
    <row r="559" spans="2:10" ht="15" customHeight="1">
      <c r="B559" t="s">
        <v>1481</v>
      </c>
      <c r="C559" s="2">
        <f>IFERROR(VLOOKUP(B559,'General price list'!C:BA,MATCH("PAL",'General price list'!$C$20:$BA$20,0),FALSE),"")</f>
        <v>28</v>
      </c>
      <c r="D559" s="2">
        <f>IFERROR(VLOOKUP(B559,'General price list'!C:BA,MATCH("OBJ",'General price list'!$C$20:$BA$20,0),FALSE),"")</f>
        <v>0</v>
      </c>
      <c r="E559" s="2">
        <f t="shared" si="46"/>
        <v>0</v>
      </c>
      <c r="F559" s="2">
        <f t="shared" si="47"/>
        <v>0</v>
      </c>
      <c r="G559" s="2">
        <f t="shared" si="48"/>
        <v>0</v>
      </c>
      <c r="H559" s="2">
        <f t="shared" si="49"/>
        <v>0</v>
      </c>
      <c r="I559" s="2">
        <f t="shared" si="45"/>
        <v>0</v>
      </c>
      <c r="J559">
        <f>IFERROR(VLOOKUP(B559,'General price list'!C:BA,MATCH("CBM",'General price list'!$C$20:$BA$20,0),FALSE)*(G559*C559),0)</f>
        <v>0</v>
      </c>
    </row>
    <row r="560" spans="2:10" ht="15" customHeight="1">
      <c r="B560" t="s">
        <v>1486</v>
      </c>
      <c r="C560" s="2">
        <f>IFERROR(VLOOKUP(B560,'General price list'!C:BA,MATCH("PAL",'General price list'!$C$20:$BA$20,0),FALSE),"")</f>
        <v>16</v>
      </c>
      <c r="D560" s="2">
        <f>IFERROR(VLOOKUP(B560,'General price list'!C:BA,MATCH("OBJ",'General price list'!$C$20:$BA$20,0),FALSE),"")</f>
        <v>0</v>
      </c>
      <c r="E560" s="2">
        <f t="shared" si="46"/>
        <v>0</v>
      </c>
      <c r="F560" s="2">
        <f t="shared" si="47"/>
        <v>0</v>
      </c>
      <c r="G560" s="2">
        <f t="shared" si="48"/>
        <v>0</v>
      </c>
      <c r="H560" s="2">
        <f t="shared" si="49"/>
        <v>0</v>
      </c>
      <c r="I560" s="2">
        <f t="shared" si="45"/>
        <v>0</v>
      </c>
      <c r="J560">
        <f>IFERROR(VLOOKUP(B560,'General price list'!C:BA,MATCH("CBM",'General price list'!$C$20:$BA$20,0),FALSE)*(G560*C560),0)</f>
        <v>0</v>
      </c>
    </row>
    <row r="561" spans="2:10" ht="15" customHeight="1">
      <c r="B561" t="s">
        <v>1487</v>
      </c>
      <c r="C561" s="2">
        <f>IFERROR(VLOOKUP(B561,'General price list'!C:BA,MATCH("PAL",'General price list'!$C$20:$BA$20,0),FALSE),"")</f>
        <v>16</v>
      </c>
      <c r="D561" s="2">
        <f>IFERROR(VLOOKUP(B561,'General price list'!C:BA,MATCH("OBJ",'General price list'!$C$20:$BA$20,0),FALSE),"")</f>
        <v>0</v>
      </c>
      <c r="E561" s="2">
        <f t="shared" si="46"/>
        <v>0</v>
      </c>
      <c r="F561" s="2">
        <f t="shared" si="47"/>
        <v>0</v>
      </c>
      <c r="G561" s="2">
        <f t="shared" si="48"/>
        <v>0</v>
      </c>
      <c r="H561" s="2">
        <f t="shared" si="49"/>
        <v>0</v>
      </c>
      <c r="I561" s="2">
        <f t="shared" si="45"/>
        <v>0</v>
      </c>
      <c r="J561">
        <f>IFERROR(VLOOKUP(B561,'General price list'!C:BA,MATCH("CBM",'General price list'!$C$20:$BA$20,0),FALSE)*(G561*C561),0)</f>
        <v>0</v>
      </c>
    </row>
    <row r="562" spans="2:10" ht="15" customHeight="1">
      <c r="B562" t="s">
        <v>1488</v>
      </c>
      <c r="C562" s="2">
        <f>IFERROR(VLOOKUP(B562,'General price list'!C:BA,MATCH("PAL",'General price list'!$C$20:$BA$20,0),FALSE),"")</f>
        <v>16</v>
      </c>
      <c r="D562" s="2">
        <f>IFERROR(VLOOKUP(B562,'General price list'!C:BA,MATCH("OBJ",'General price list'!$C$20:$BA$20,0),FALSE),"")</f>
        <v>0</v>
      </c>
      <c r="E562" s="2">
        <f t="shared" si="46"/>
        <v>0</v>
      </c>
      <c r="F562" s="2">
        <f t="shared" si="47"/>
        <v>0</v>
      </c>
      <c r="G562" s="2">
        <f t="shared" si="48"/>
        <v>0</v>
      </c>
      <c r="H562" s="2">
        <f t="shared" si="49"/>
        <v>0</v>
      </c>
      <c r="I562" s="2">
        <f t="shared" si="45"/>
        <v>0</v>
      </c>
      <c r="J562">
        <f>IFERROR(VLOOKUP(B562,'General price list'!C:BA,MATCH("CBM",'General price list'!$C$20:$BA$20,0),FALSE)*(G562*C562),0)</f>
        <v>0</v>
      </c>
    </row>
    <row r="563" spans="2:10" ht="15" customHeight="1">
      <c r="B563" t="s">
        <v>1496</v>
      </c>
      <c r="C563" s="2">
        <f>IFERROR(VLOOKUP(B563,'General price list'!C:BA,MATCH("PAL",'General price list'!$C$20:$BA$20,0),FALSE),"")</f>
        <v>14</v>
      </c>
      <c r="D563" s="2">
        <f>IFERROR(VLOOKUP(B563,'General price list'!C:BA,MATCH("OBJ",'General price list'!$C$20:$BA$20,0),FALSE),"")</f>
        <v>0</v>
      </c>
      <c r="E563" s="2">
        <f t="shared" si="46"/>
        <v>0</v>
      </c>
      <c r="F563" s="2">
        <f t="shared" si="47"/>
        <v>0</v>
      </c>
      <c r="G563" s="2">
        <f t="shared" si="48"/>
        <v>0</v>
      </c>
      <c r="H563" s="2">
        <f t="shared" si="49"/>
        <v>0</v>
      </c>
      <c r="I563" s="2">
        <f t="shared" si="45"/>
        <v>0</v>
      </c>
      <c r="J563">
        <f>IFERROR(VLOOKUP(B563,'General price list'!C:BA,MATCH("CBM",'General price list'!$C$20:$BA$20,0),FALSE)*(G563*C563),0)</f>
        <v>0</v>
      </c>
    </row>
    <row r="564" spans="2:10" ht="15" customHeight="1">
      <c r="B564" t="s">
        <v>1497</v>
      </c>
      <c r="C564" s="2">
        <f>IFERROR(VLOOKUP(B564,'General price list'!C:BA,MATCH("PAL",'General price list'!$C$20:$BA$20,0),FALSE),"")</f>
        <v>14</v>
      </c>
      <c r="D564" s="2">
        <f>IFERROR(VLOOKUP(B564,'General price list'!C:BA,MATCH("OBJ",'General price list'!$C$20:$BA$20,0),FALSE),"")</f>
        <v>0</v>
      </c>
      <c r="E564" s="2">
        <f t="shared" si="46"/>
        <v>0</v>
      </c>
      <c r="F564" s="2">
        <f t="shared" si="47"/>
        <v>0</v>
      </c>
      <c r="G564" s="2">
        <f t="shared" si="48"/>
        <v>0</v>
      </c>
      <c r="H564" s="2">
        <f t="shared" si="49"/>
        <v>0</v>
      </c>
      <c r="I564" s="2">
        <f t="shared" si="45"/>
        <v>0</v>
      </c>
      <c r="J564">
        <f>IFERROR(VLOOKUP(B564,'General price list'!C:BA,MATCH("CBM",'General price list'!$C$20:$BA$20,0),FALSE)*(G564*C564),0)</f>
        <v>0</v>
      </c>
    </row>
    <row r="565" spans="2:10" ht="15" customHeight="1">
      <c r="B565" t="s">
        <v>1498</v>
      </c>
      <c r="C565" s="2">
        <f>IFERROR(VLOOKUP(B565,'General price list'!C:BA,MATCH("PAL",'General price list'!$C$20:$BA$20,0),FALSE),"")</f>
        <v>14</v>
      </c>
      <c r="D565" s="2">
        <f>IFERROR(VLOOKUP(B565,'General price list'!C:BA,MATCH("OBJ",'General price list'!$C$20:$BA$20,0),FALSE),"")</f>
        <v>0</v>
      </c>
      <c r="E565" s="2">
        <f t="shared" si="46"/>
        <v>0</v>
      </c>
      <c r="F565" s="2">
        <f t="shared" si="47"/>
        <v>0</v>
      </c>
      <c r="G565" s="2">
        <f t="shared" si="48"/>
        <v>0</v>
      </c>
      <c r="H565" s="2">
        <f t="shared" si="49"/>
        <v>0</v>
      </c>
      <c r="I565" s="2">
        <f t="shared" si="45"/>
        <v>0</v>
      </c>
      <c r="J565">
        <f>IFERROR(VLOOKUP(B565,'General price list'!C:BA,MATCH("CBM",'General price list'!$C$20:$BA$20,0),FALSE)*(G565*C565),0)</f>
        <v>0</v>
      </c>
    </row>
    <row r="566" spans="2:10" ht="15" customHeight="1">
      <c r="B566" t="s">
        <v>1499</v>
      </c>
      <c r="C566" s="2">
        <f>IFERROR(VLOOKUP(B566,'General price list'!C:BA,MATCH("PAL",'General price list'!$C$20:$BA$20,0),FALSE),"")</f>
        <v>14</v>
      </c>
      <c r="D566" s="2">
        <f>IFERROR(VLOOKUP(B566,'General price list'!C:BA,MATCH("OBJ",'General price list'!$C$20:$BA$20,0),FALSE),"")</f>
        <v>0</v>
      </c>
      <c r="E566" s="2">
        <f t="shared" si="46"/>
        <v>0</v>
      </c>
      <c r="F566" s="2">
        <f t="shared" si="47"/>
        <v>0</v>
      </c>
      <c r="G566" s="2">
        <f t="shared" si="48"/>
        <v>0</v>
      </c>
      <c r="H566" s="2">
        <f t="shared" si="49"/>
        <v>0</v>
      </c>
      <c r="I566" s="2">
        <f t="shared" si="45"/>
        <v>0</v>
      </c>
      <c r="J566">
        <f>IFERROR(VLOOKUP(B566,'General price list'!C:BA,MATCH("CBM",'General price list'!$C$20:$BA$20,0),FALSE)*(G566*C566),0)</f>
        <v>0</v>
      </c>
    </row>
    <row r="567" spans="2:10" ht="15" customHeight="1">
      <c r="B567" t="s">
        <v>1500</v>
      </c>
      <c r="C567" s="2">
        <f>IFERROR(VLOOKUP(B567,'General price list'!C:BA,MATCH("PAL",'General price list'!$C$20:$BA$20,0),FALSE),"")</f>
        <v>14</v>
      </c>
      <c r="D567" s="2">
        <f>IFERROR(VLOOKUP(B567,'General price list'!C:BA,MATCH("OBJ",'General price list'!$C$20:$BA$20,0),FALSE),"")</f>
        <v>0</v>
      </c>
      <c r="E567" s="2">
        <f t="shared" si="46"/>
        <v>0</v>
      </c>
      <c r="F567" s="2">
        <f t="shared" si="47"/>
        <v>0</v>
      </c>
      <c r="G567" s="2">
        <f t="shared" si="48"/>
        <v>0</v>
      </c>
      <c r="H567" s="2">
        <f t="shared" si="49"/>
        <v>0</v>
      </c>
      <c r="I567" s="2">
        <f t="shared" si="45"/>
        <v>0</v>
      </c>
      <c r="J567">
        <f>IFERROR(VLOOKUP(B567,'General price list'!C:BA,MATCH("CBM",'General price list'!$C$20:$BA$20,0),FALSE)*(G567*C567),0)</f>
        <v>0</v>
      </c>
    </row>
    <row r="568" spans="2:10" ht="15" customHeight="1">
      <c r="B568" t="s">
        <v>1503</v>
      </c>
      <c r="C568" s="2">
        <f>IFERROR(VLOOKUP(B568,'General price list'!C:BA,MATCH("PAL",'General price list'!$C$20:$BA$20,0),FALSE),"")</f>
        <v>42</v>
      </c>
      <c r="D568" s="2">
        <f>IFERROR(VLOOKUP(B568,'General price list'!C:BA,MATCH("OBJ",'General price list'!$C$20:$BA$20,0),FALSE),"")</f>
        <v>0</v>
      </c>
      <c r="E568" s="2">
        <f t="shared" si="46"/>
        <v>0</v>
      </c>
      <c r="F568" s="2">
        <f t="shared" si="47"/>
        <v>0</v>
      </c>
      <c r="G568" s="2">
        <f t="shared" si="48"/>
        <v>0</v>
      </c>
      <c r="H568" s="2">
        <f t="shared" si="49"/>
        <v>0</v>
      </c>
      <c r="I568" s="2">
        <f t="shared" si="45"/>
        <v>0</v>
      </c>
      <c r="J568">
        <f>IFERROR(VLOOKUP(B568,'General price list'!C:BA,MATCH("CBM",'General price list'!$C$20:$BA$20,0),FALSE)*(G568*C568),0)</f>
        <v>0</v>
      </c>
    </row>
    <row r="569" spans="2:10" ht="15" customHeight="1">
      <c r="B569" t="s">
        <v>5389</v>
      </c>
      <c r="C569" s="2">
        <f>IFERROR(VLOOKUP(B569,'General price list'!C:BA,MATCH("PAL",'General price list'!$C$20:$BA$20,0),FALSE),"")</f>
        <v>42</v>
      </c>
      <c r="D569" s="2">
        <f>IFERROR(VLOOKUP(B569,'General price list'!C:BA,MATCH("OBJ",'General price list'!$C$20:$BA$20,0),FALSE),"")</f>
        <v>0</v>
      </c>
      <c r="E569" s="2">
        <f t="shared" si="46"/>
        <v>0</v>
      </c>
      <c r="F569" s="2">
        <f t="shared" si="47"/>
        <v>0</v>
      </c>
      <c r="G569" s="2">
        <f t="shared" si="48"/>
        <v>0</v>
      </c>
      <c r="H569" s="2">
        <f t="shared" si="49"/>
        <v>0</v>
      </c>
      <c r="I569" s="2">
        <f t="shared" si="45"/>
        <v>0</v>
      </c>
      <c r="J569">
        <f>IFERROR(VLOOKUP(B569,'General price list'!C:BA,MATCH("CBM",'General price list'!$C$20:$BA$20,0),FALSE)*(G569*C569),0)</f>
        <v>0</v>
      </c>
    </row>
    <row r="570" spans="2:10" ht="15" customHeight="1">
      <c r="B570" t="s">
        <v>2560</v>
      </c>
      <c r="C570" s="2">
        <f>IFERROR(VLOOKUP(B570,'General price list'!C:BA,MATCH("PAL",'General price list'!$C$20:$BA$20,0),FALSE),"")</f>
        <v>42</v>
      </c>
      <c r="D570" s="2">
        <f>IFERROR(VLOOKUP(B570,'General price list'!C:BA,MATCH("OBJ",'General price list'!$C$20:$BA$20,0),FALSE),"")</f>
        <v>0</v>
      </c>
      <c r="E570" s="2">
        <f t="shared" si="46"/>
        <v>0</v>
      </c>
      <c r="F570" s="2">
        <f t="shared" si="47"/>
        <v>0</v>
      </c>
      <c r="G570" s="2">
        <f t="shared" si="48"/>
        <v>0</v>
      </c>
      <c r="H570" s="2">
        <f t="shared" si="49"/>
        <v>0</v>
      </c>
      <c r="I570" s="2">
        <f t="shared" si="45"/>
        <v>0</v>
      </c>
      <c r="J570">
        <f>IFERROR(VLOOKUP(B570,'General price list'!C:BA,MATCH("CBM",'General price list'!$C$20:$BA$20,0),FALSE)*(G570*C570),0)</f>
        <v>0</v>
      </c>
    </row>
    <row r="571" spans="2:10" ht="15" customHeight="1">
      <c r="B571" t="s">
        <v>1510</v>
      </c>
      <c r="C571" s="2">
        <f>IFERROR(VLOOKUP(B571,'General price list'!C:BA,MATCH("PAL",'General price list'!$C$20:$BA$20,0),FALSE),"")</f>
        <v>42</v>
      </c>
      <c r="D571" s="2">
        <f>IFERROR(VLOOKUP(B571,'General price list'!C:BA,MATCH("OBJ",'General price list'!$C$20:$BA$20,0),FALSE),"")</f>
        <v>0</v>
      </c>
      <c r="E571" s="2">
        <f t="shared" si="46"/>
        <v>0</v>
      </c>
      <c r="F571" s="2">
        <f t="shared" si="47"/>
        <v>0</v>
      </c>
      <c r="G571" s="2">
        <f t="shared" si="48"/>
        <v>0</v>
      </c>
      <c r="H571" s="2">
        <f t="shared" si="49"/>
        <v>0</v>
      </c>
      <c r="I571" s="2">
        <f t="shared" si="45"/>
        <v>0</v>
      </c>
      <c r="J571">
        <f>IFERROR(VLOOKUP(B571,'General price list'!C:BA,MATCH("CBM",'General price list'!$C$20:$BA$20,0),FALSE)*(G571*C571),0)</f>
        <v>0</v>
      </c>
    </row>
    <row r="572" spans="2:10" ht="15" customHeight="1">
      <c r="B572" t="s">
        <v>1512</v>
      </c>
      <c r="C572" s="2">
        <f>IFERROR(VLOOKUP(B572,'General price list'!C:BA,MATCH("PAL",'General price list'!$C$20:$BA$20,0),FALSE),"")</f>
        <v>42</v>
      </c>
      <c r="D572" s="2">
        <f>IFERROR(VLOOKUP(B572,'General price list'!C:BA,MATCH("OBJ",'General price list'!$C$20:$BA$20,0),FALSE),"")</f>
        <v>0</v>
      </c>
      <c r="E572" s="2">
        <f t="shared" si="46"/>
        <v>0</v>
      </c>
      <c r="F572" s="2">
        <f t="shared" si="47"/>
        <v>0</v>
      </c>
      <c r="G572" s="2">
        <f t="shared" si="48"/>
        <v>0</v>
      </c>
      <c r="H572" s="2">
        <f t="shared" si="49"/>
        <v>0</v>
      </c>
      <c r="I572" s="2">
        <f t="shared" si="45"/>
        <v>0</v>
      </c>
      <c r="J572">
        <f>IFERROR(VLOOKUP(B572,'General price list'!C:BA,MATCH("CBM",'General price list'!$C$20:$BA$20,0),FALSE)*(G572*C572),0)</f>
        <v>0</v>
      </c>
    </row>
    <row r="573" spans="2:10" ht="15" customHeight="1">
      <c r="B573" t="s">
        <v>2465</v>
      </c>
      <c r="C573" s="2">
        <f>IFERROR(VLOOKUP(B573,'General price list'!C:BA,MATCH("PAL",'General price list'!$C$20:$BA$20,0),FALSE),"")</f>
        <v>42</v>
      </c>
      <c r="D573" s="2">
        <f>IFERROR(VLOOKUP(B573,'General price list'!C:BA,MATCH("OBJ",'General price list'!$C$20:$BA$20,0),FALSE),"")</f>
        <v>0</v>
      </c>
      <c r="E573" s="2">
        <f t="shared" si="46"/>
        <v>0</v>
      </c>
      <c r="F573" s="2">
        <f t="shared" si="47"/>
        <v>0</v>
      </c>
      <c r="G573" s="2">
        <f t="shared" si="48"/>
        <v>0</v>
      </c>
      <c r="H573" s="2">
        <f t="shared" si="49"/>
        <v>0</v>
      </c>
      <c r="I573" s="2">
        <f t="shared" si="45"/>
        <v>0</v>
      </c>
      <c r="J573">
        <f>IFERROR(VLOOKUP(B573,'General price list'!C:BA,MATCH("CBM",'General price list'!$C$20:$BA$20,0),FALSE)*(G573*C573),0)</f>
        <v>0</v>
      </c>
    </row>
    <row r="574" spans="2:10" ht="15" customHeight="1">
      <c r="B574" t="s">
        <v>1514</v>
      </c>
      <c r="C574" s="2">
        <f>IFERROR(VLOOKUP(B574,'General price list'!C:BA,MATCH("PAL",'General price list'!$C$20:$BA$20,0),FALSE),"")</f>
        <v>42</v>
      </c>
      <c r="D574" s="2">
        <f>IFERROR(VLOOKUP(B574,'General price list'!C:BA,MATCH("OBJ",'General price list'!$C$20:$BA$20,0),FALSE),"")</f>
        <v>0</v>
      </c>
      <c r="E574" s="2">
        <f t="shared" si="46"/>
        <v>0</v>
      </c>
      <c r="F574" s="2">
        <f t="shared" si="47"/>
        <v>0</v>
      </c>
      <c r="G574" s="2">
        <f t="shared" si="48"/>
        <v>0</v>
      </c>
      <c r="H574" s="2">
        <f t="shared" si="49"/>
        <v>0</v>
      </c>
      <c r="I574" s="2">
        <f t="shared" si="45"/>
        <v>0</v>
      </c>
      <c r="J574">
        <f>IFERROR(VLOOKUP(B574,'General price list'!C:BA,MATCH("CBM",'General price list'!$C$20:$BA$20,0),FALSE)*(G574*C574),0)</f>
        <v>0</v>
      </c>
    </row>
    <row r="575" spans="2:10" ht="15" customHeight="1">
      <c r="B575" t="s">
        <v>1515</v>
      </c>
      <c r="C575" s="2">
        <f>IFERROR(VLOOKUP(B575,'General price list'!C:BA,MATCH("PAL",'General price list'!$C$20:$BA$20,0),FALSE),"")</f>
        <v>42</v>
      </c>
      <c r="D575" s="2">
        <f>IFERROR(VLOOKUP(B575,'General price list'!C:BA,MATCH("OBJ",'General price list'!$C$20:$BA$20,0),FALSE),"")</f>
        <v>0</v>
      </c>
      <c r="E575" s="2">
        <f t="shared" si="46"/>
        <v>0</v>
      </c>
      <c r="F575" s="2">
        <f t="shared" si="47"/>
        <v>0</v>
      </c>
      <c r="G575" s="2">
        <f t="shared" si="48"/>
        <v>0</v>
      </c>
      <c r="H575" s="2">
        <f t="shared" si="49"/>
        <v>0</v>
      </c>
      <c r="I575" s="2">
        <f t="shared" si="45"/>
        <v>0</v>
      </c>
      <c r="J575">
        <f>IFERROR(VLOOKUP(B575,'General price list'!C:BA,MATCH("CBM",'General price list'!$C$20:$BA$20,0),FALSE)*(G575*C575),0)</f>
        <v>0</v>
      </c>
    </row>
    <row r="576" spans="2:10" ht="15" customHeight="1">
      <c r="B576" t="s">
        <v>1520</v>
      </c>
      <c r="C576" s="2">
        <f>IFERROR(VLOOKUP(B576,'General price list'!C:BA,MATCH("PAL",'General price list'!$C$20:$BA$20,0),FALSE),"")</f>
        <v>42</v>
      </c>
      <c r="D576" s="2">
        <f>IFERROR(VLOOKUP(B576,'General price list'!C:BA,MATCH("OBJ",'General price list'!$C$20:$BA$20,0),FALSE),"")</f>
        <v>0</v>
      </c>
      <c r="E576" s="2">
        <f t="shared" si="46"/>
        <v>0</v>
      </c>
      <c r="F576" s="2">
        <f t="shared" si="47"/>
        <v>0</v>
      </c>
      <c r="G576" s="2">
        <f t="shared" si="48"/>
        <v>0</v>
      </c>
      <c r="H576" s="2">
        <f t="shared" si="49"/>
        <v>0</v>
      </c>
      <c r="I576" s="2">
        <f t="shared" si="45"/>
        <v>0</v>
      </c>
      <c r="J576">
        <f>IFERROR(VLOOKUP(B576,'General price list'!C:BA,MATCH("CBM",'General price list'!$C$20:$BA$20,0),FALSE)*(G576*C576),0)</f>
        <v>0</v>
      </c>
    </row>
    <row r="577" spans="2:10" ht="15" customHeight="1">
      <c r="B577" t="s">
        <v>1525</v>
      </c>
      <c r="C577" s="2">
        <f>IFERROR(VLOOKUP(B577,'General price list'!C:BA,MATCH("PAL",'General price list'!$C$20:$BA$20,0),FALSE),"")</f>
        <v>42</v>
      </c>
      <c r="D577" s="2">
        <f>IFERROR(VLOOKUP(B577,'General price list'!C:BA,MATCH("OBJ",'General price list'!$C$20:$BA$20,0),FALSE),"")</f>
        <v>0</v>
      </c>
      <c r="E577" s="2">
        <f t="shared" si="46"/>
        <v>0</v>
      </c>
      <c r="F577" s="2">
        <f t="shared" si="47"/>
        <v>0</v>
      </c>
      <c r="G577" s="2">
        <f t="shared" si="48"/>
        <v>0</v>
      </c>
      <c r="H577" s="2">
        <f t="shared" si="49"/>
        <v>0</v>
      </c>
      <c r="I577" s="2">
        <f t="shared" si="45"/>
        <v>0</v>
      </c>
      <c r="J577">
        <f>IFERROR(VLOOKUP(B577,'General price list'!C:BA,MATCH("CBM",'General price list'!$C$20:$BA$20,0),FALSE)*(G577*C577),0)</f>
        <v>0</v>
      </c>
    </row>
    <row r="578" spans="2:10" ht="15" customHeight="1">
      <c r="B578" t="s">
        <v>2562</v>
      </c>
      <c r="C578" s="2">
        <f>IFERROR(VLOOKUP(B578,'General price list'!C:BA,MATCH("PAL",'General price list'!$C$20:$BA$20,0),FALSE),"")</f>
        <v>42</v>
      </c>
      <c r="D578" s="2">
        <f>IFERROR(VLOOKUP(B578,'General price list'!C:BA,MATCH("OBJ",'General price list'!$C$20:$BA$20,0),FALSE),"")</f>
        <v>0</v>
      </c>
      <c r="E578" s="2">
        <f t="shared" si="46"/>
        <v>0</v>
      </c>
      <c r="F578" s="2">
        <f t="shared" si="47"/>
        <v>0</v>
      </c>
      <c r="G578" s="2">
        <f t="shared" si="48"/>
        <v>0</v>
      </c>
      <c r="H578" s="2">
        <f t="shared" si="49"/>
        <v>0</v>
      </c>
      <c r="I578" s="2">
        <f t="shared" si="45"/>
        <v>0</v>
      </c>
      <c r="J578">
        <f>IFERROR(VLOOKUP(B578,'General price list'!C:BA,MATCH("CBM",'General price list'!$C$20:$BA$20,0),FALSE)*(G578*C578),0)</f>
        <v>0</v>
      </c>
    </row>
    <row r="579" spans="2:10" ht="15" customHeight="1">
      <c r="B579" t="s">
        <v>1530</v>
      </c>
      <c r="C579" s="2">
        <f>IFERROR(VLOOKUP(B579,'General price list'!C:BA,MATCH("PAL",'General price list'!$C$20:$BA$20,0),FALSE),"")</f>
        <v>14</v>
      </c>
      <c r="D579" s="2">
        <f>IFERROR(VLOOKUP(B579,'General price list'!C:BA,MATCH("OBJ",'General price list'!$C$20:$BA$20,0),FALSE),"")</f>
        <v>0</v>
      </c>
      <c r="E579" s="2">
        <f t="shared" si="46"/>
        <v>0</v>
      </c>
      <c r="F579" s="2">
        <f t="shared" si="47"/>
        <v>0</v>
      </c>
      <c r="G579" s="2">
        <f t="shared" si="48"/>
        <v>0</v>
      </c>
      <c r="H579" s="2">
        <f t="shared" si="49"/>
        <v>0</v>
      </c>
      <c r="I579" s="2">
        <f t="shared" si="45"/>
        <v>0</v>
      </c>
      <c r="J579">
        <f>IFERROR(VLOOKUP(B579,'General price list'!C:BA,MATCH("CBM",'General price list'!$C$20:$BA$20,0),FALSE)*(G579*C579),0)</f>
        <v>0</v>
      </c>
    </row>
    <row r="580" spans="2:10" ht="15" customHeight="1">
      <c r="B580" t="s">
        <v>1531</v>
      </c>
      <c r="C580" s="2">
        <f>IFERROR(VLOOKUP(B580,'General price list'!C:BA,MATCH("PAL",'General price list'!$C$20:$BA$20,0),FALSE),"")</f>
        <v>14</v>
      </c>
      <c r="D580" s="2">
        <f>IFERROR(VLOOKUP(B580,'General price list'!C:BA,MATCH("OBJ",'General price list'!$C$20:$BA$20,0),FALSE),"")</f>
        <v>0</v>
      </c>
      <c r="E580" s="2">
        <f t="shared" si="46"/>
        <v>0</v>
      </c>
      <c r="F580" s="2">
        <f t="shared" si="47"/>
        <v>0</v>
      </c>
      <c r="G580" s="2">
        <f t="shared" si="48"/>
        <v>0</v>
      </c>
      <c r="H580" s="2">
        <f t="shared" si="49"/>
        <v>0</v>
      </c>
      <c r="I580" s="2">
        <f t="shared" ref="I580:I643" si="50">IFERROR(IF(D580=0,0,IF(F580=0,(D580*nextVK)+(prvniVK-nextVK),(G580*C580*nextVK)+(F580*PALzKoje))),0)</f>
        <v>0</v>
      </c>
      <c r="J580">
        <f>IFERROR(VLOOKUP(B580,'General price list'!C:BA,MATCH("CBM",'General price list'!$C$20:$BA$20,0),FALSE)*(G580*C580),0)</f>
        <v>0</v>
      </c>
    </row>
    <row r="581" spans="2:10" ht="15" customHeight="1">
      <c r="B581" t="s">
        <v>1533</v>
      </c>
      <c r="C581" s="2">
        <f>IFERROR(VLOOKUP(B581,'General price list'!C:BA,MATCH("PAL",'General price list'!$C$20:$BA$20,0),FALSE),"")</f>
        <v>14</v>
      </c>
      <c r="D581" s="2">
        <f>IFERROR(VLOOKUP(B581,'General price list'!C:BA,MATCH("OBJ",'General price list'!$C$20:$BA$20,0),FALSE),"")</f>
        <v>0</v>
      </c>
      <c r="E581" s="2">
        <f t="shared" ref="E581:E644" si="51">IFERROR(D581/C581,0)</f>
        <v>0</v>
      </c>
      <c r="F581" s="2">
        <f t="shared" ref="F581:F644" si="52">IFERROR(FLOOR(IF(E581-1&lt;0,0,E581),1),0)</f>
        <v>0</v>
      </c>
      <c r="G581" s="2">
        <f t="shared" ref="G581:G644" si="53">IFERROR(IF(H581&gt;E581,F581-E581,E581-F581),0)</f>
        <v>0</v>
      </c>
      <c r="H581" s="2">
        <f t="shared" ref="H581:H644" si="54">IFERROR(IF(E581=0,0,F581),0)</f>
        <v>0</v>
      </c>
      <c r="I581" s="2">
        <f t="shared" si="50"/>
        <v>0</v>
      </c>
      <c r="J581">
        <f>IFERROR(VLOOKUP(B581,'General price list'!C:BA,MATCH("CBM",'General price list'!$C$20:$BA$20,0),FALSE)*(G581*C581),0)</f>
        <v>0</v>
      </c>
    </row>
    <row r="582" spans="2:10" ht="15" customHeight="1">
      <c r="B582" t="s">
        <v>1535</v>
      </c>
      <c r="C582" s="2">
        <f>IFERROR(VLOOKUP(B582,'General price list'!C:BA,MATCH("PAL",'General price list'!$C$20:$BA$20,0),FALSE),"")</f>
        <v>14</v>
      </c>
      <c r="D582" s="2">
        <f>IFERROR(VLOOKUP(B582,'General price list'!C:BA,MATCH("OBJ",'General price list'!$C$20:$BA$20,0),FALSE),"")</f>
        <v>0</v>
      </c>
      <c r="E582" s="2">
        <f t="shared" si="51"/>
        <v>0</v>
      </c>
      <c r="F582" s="2">
        <f t="shared" si="52"/>
        <v>0</v>
      </c>
      <c r="G582" s="2">
        <f t="shared" si="53"/>
        <v>0</v>
      </c>
      <c r="H582" s="2">
        <f t="shared" si="54"/>
        <v>0</v>
      </c>
      <c r="I582" s="2">
        <f t="shared" si="50"/>
        <v>0</v>
      </c>
      <c r="J582">
        <f>IFERROR(VLOOKUP(B582,'General price list'!C:BA,MATCH("CBM",'General price list'!$C$20:$BA$20,0),FALSE)*(G582*C582),0)</f>
        <v>0</v>
      </c>
    </row>
    <row r="583" spans="2:10" ht="15" customHeight="1">
      <c r="B583" t="s">
        <v>1537</v>
      </c>
      <c r="C583" s="2">
        <f>IFERROR(VLOOKUP(B583,'General price list'!C:BA,MATCH("PAL",'General price list'!$C$20:$BA$20,0),FALSE),"")</f>
        <v>36</v>
      </c>
      <c r="D583" s="2">
        <f>IFERROR(VLOOKUP(B583,'General price list'!C:BA,MATCH("OBJ",'General price list'!$C$20:$BA$20,0),FALSE),"")</f>
        <v>0</v>
      </c>
      <c r="E583" s="2">
        <f t="shared" si="51"/>
        <v>0</v>
      </c>
      <c r="F583" s="2">
        <f t="shared" si="52"/>
        <v>0</v>
      </c>
      <c r="G583" s="2">
        <f t="shared" si="53"/>
        <v>0</v>
      </c>
      <c r="H583" s="2">
        <f t="shared" si="54"/>
        <v>0</v>
      </c>
      <c r="I583" s="2">
        <f t="shared" si="50"/>
        <v>0</v>
      </c>
      <c r="J583">
        <f>IFERROR(VLOOKUP(B583,'General price list'!C:BA,MATCH("CBM",'General price list'!$C$20:$BA$20,0),FALSE)*(G583*C583),0)</f>
        <v>0</v>
      </c>
    </row>
    <row r="584" spans="2:10" ht="15" customHeight="1">
      <c r="B584" t="s">
        <v>1538</v>
      </c>
      <c r="C584" s="2">
        <f>IFERROR(VLOOKUP(B584,'General price list'!C:BA,MATCH("PAL",'General price list'!$C$20:$BA$20,0),FALSE),"")</f>
        <v>36</v>
      </c>
      <c r="D584" s="2">
        <f>IFERROR(VLOOKUP(B584,'General price list'!C:BA,MATCH("OBJ",'General price list'!$C$20:$BA$20,0),FALSE),"")</f>
        <v>0</v>
      </c>
      <c r="E584" s="2">
        <f t="shared" si="51"/>
        <v>0</v>
      </c>
      <c r="F584" s="2">
        <f t="shared" si="52"/>
        <v>0</v>
      </c>
      <c r="G584" s="2">
        <f t="shared" si="53"/>
        <v>0</v>
      </c>
      <c r="H584" s="2">
        <f t="shared" si="54"/>
        <v>0</v>
      </c>
      <c r="I584" s="2">
        <f t="shared" si="50"/>
        <v>0</v>
      </c>
      <c r="J584">
        <f>IFERROR(VLOOKUP(B584,'General price list'!C:BA,MATCH("CBM",'General price list'!$C$20:$BA$20,0),FALSE)*(G584*C584),0)</f>
        <v>0</v>
      </c>
    </row>
    <row r="585" spans="2:10" ht="15" customHeight="1">
      <c r="B585" t="s">
        <v>1541</v>
      </c>
      <c r="C585" s="2">
        <f>IFERROR(VLOOKUP(B585,'General price list'!C:BA,MATCH("PAL",'General price list'!$C$20:$BA$20,0),FALSE),"")</f>
        <v>36</v>
      </c>
      <c r="D585" s="2">
        <f>IFERROR(VLOOKUP(B585,'General price list'!C:BA,MATCH("OBJ",'General price list'!$C$20:$BA$20,0),FALSE),"")</f>
        <v>0</v>
      </c>
      <c r="E585" s="2">
        <f t="shared" si="51"/>
        <v>0</v>
      </c>
      <c r="F585" s="2">
        <f t="shared" si="52"/>
        <v>0</v>
      </c>
      <c r="G585" s="2">
        <f t="shared" si="53"/>
        <v>0</v>
      </c>
      <c r="H585" s="2">
        <f t="shared" si="54"/>
        <v>0</v>
      </c>
      <c r="I585" s="2">
        <f t="shared" si="50"/>
        <v>0</v>
      </c>
      <c r="J585">
        <f>IFERROR(VLOOKUP(B585,'General price list'!C:BA,MATCH("CBM",'General price list'!$C$20:$BA$20,0),FALSE)*(G585*C585),0)</f>
        <v>0</v>
      </c>
    </row>
    <row r="586" spans="2:10" ht="15" customHeight="1">
      <c r="B586" t="s">
        <v>1543</v>
      </c>
      <c r="C586" s="2">
        <f>IFERROR(VLOOKUP(B586,'General price list'!C:BA,MATCH("PAL",'General price list'!$C$20:$BA$20,0),FALSE),"")</f>
        <v>36</v>
      </c>
      <c r="D586" s="2">
        <f>IFERROR(VLOOKUP(B586,'General price list'!C:BA,MATCH("OBJ",'General price list'!$C$20:$BA$20,0),FALSE),"")</f>
        <v>0</v>
      </c>
      <c r="E586" s="2">
        <f t="shared" si="51"/>
        <v>0</v>
      </c>
      <c r="F586" s="2">
        <f t="shared" si="52"/>
        <v>0</v>
      </c>
      <c r="G586" s="2">
        <f t="shared" si="53"/>
        <v>0</v>
      </c>
      <c r="H586" s="2">
        <f t="shared" si="54"/>
        <v>0</v>
      </c>
      <c r="I586" s="2">
        <f t="shared" si="50"/>
        <v>0</v>
      </c>
      <c r="J586">
        <f>IFERROR(VLOOKUP(B586,'General price list'!C:BA,MATCH("CBM",'General price list'!$C$20:$BA$20,0),FALSE)*(G586*C586),0)</f>
        <v>0</v>
      </c>
    </row>
    <row r="587" spans="2:10" ht="15" customHeight="1">
      <c r="B587" t="s">
        <v>1545</v>
      </c>
      <c r="C587" s="2">
        <f>IFERROR(VLOOKUP(B587,'General price list'!C:BA,MATCH("PAL",'General price list'!$C$20:$BA$20,0),FALSE),"")</f>
        <v>36</v>
      </c>
      <c r="D587" s="2">
        <f>IFERROR(VLOOKUP(B587,'General price list'!C:BA,MATCH("OBJ",'General price list'!$C$20:$BA$20,0),FALSE),"")</f>
        <v>0</v>
      </c>
      <c r="E587" s="2">
        <f t="shared" si="51"/>
        <v>0</v>
      </c>
      <c r="F587" s="2">
        <f t="shared" si="52"/>
        <v>0</v>
      </c>
      <c r="G587" s="2">
        <f t="shared" si="53"/>
        <v>0</v>
      </c>
      <c r="H587" s="2">
        <f t="shared" si="54"/>
        <v>0</v>
      </c>
      <c r="I587" s="2">
        <f t="shared" si="50"/>
        <v>0</v>
      </c>
      <c r="J587">
        <f>IFERROR(VLOOKUP(B587,'General price list'!C:BA,MATCH("CBM",'General price list'!$C$20:$BA$20,0),FALSE)*(G587*C587),0)</f>
        <v>0</v>
      </c>
    </row>
    <row r="588" spans="2:10" ht="15" customHeight="1">
      <c r="B588" t="s">
        <v>1547</v>
      </c>
      <c r="C588" s="2">
        <f>IFERROR(VLOOKUP(B588,'General price list'!C:BA,MATCH("PAL",'General price list'!$C$20:$BA$20,0),FALSE),"")</f>
        <v>36</v>
      </c>
      <c r="D588" s="2">
        <f>IFERROR(VLOOKUP(B588,'General price list'!C:BA,MATCH("OBJ",'General price list'!$C$20:$BA$20,0),FALSE),"")</f>
        <v>0</v>
      </c>
      <c r="E588" s="2">
        <f t="shared" si="51"/>
        <v>0</v>
      </c>
      <c r="F588" s="2">
        <f t="shared" si="52"/>
        <v>0</v>
      </c>
      <c r="G588" s="2">
        <f t="shared" si="53"/>
        <v>0</v>
      </c>
      <c r="H588" s="2">
        <f t="shared" si="54"/>
        <v>0</v>
      </c>
      <c r="I588" s="2">
        <f t="shared" si="50"/>
        <v>0</v>
      </c>
      <c r="J588">
        <f>IFERROR(VLOOKUP(B588,'General price list'!C:BA,MATCH("CBM",'General price list'!$C$20:$BA$20,0),FALSE)*(G588*C588),0)</f>
        <v>0</v>
      </c>
    </row>
    <row r="589" spans="2:10" ht="15" customHeight="1">
      <c r="B589" t="s">
        <v>1549</v>
      </c>
      <c r="C589" s="2">
        <f>IFERROR(VLOOKUP(B589,'General price list'!C:BA,MATCH("PAL",'General price list'!$C$20:$BA$20,0),FALSE),"")</f>
        <v>24</v>
      </c>
      <c r="D589" s="2">
        <f>IFERROR(VLOOKUP(B589,'General price list'!C:BA,MATCH("OBJ",'General price list'!$C$20:$BA$20,0),FALSE),"")</f>
        <v>0</v>
      </c>
      <c r="E589" s="2">
        <f t="shared" si="51"/>
        <v>0</v>
      </c>
      <c r="F589" s="2">
        <f t="shared" si="52"/>
        <v>0</v>
      </c>
      <c r="G589" s="2">
        <f t="shared" si="53"/>
        <v>0</v>
      </c>
      <c r="H589" s="2">
        <f t="shared" si="54"/>
        <v>0</v>
      </c>
      <c r="I589" s="2">
        <f t="shared" si="50"/>
        <v>0</v>
      </c>
      <c r="J589">
        <f>IFERROR(VLOOKUP(B589,'General price list'!C:BA,MATCH("CBM",'General price list'!$C$20:$BA$20,0),FALSE)*(G589*C589),0)</f>
        <v>0</v>
      </c>
    </row>
    <row r="590" spans="2:10" ht="15" customHeight="1">
      <c r="B590" t="s">
        <v>1550</v>
      </c>
      <c r="C590" s="2">
        <f>IFERROR(VLOOKUP(B590,'General price list'!C:BA,MATCH("PAL",'General price list'!$C$20:$BA$20,0),FALSE),"")</f>
        <v>24</v>
      </c>
      <c r="D590" s="2">
        <f>IFERROR(VLOOKUP(B590,'General price list'!C:BA,MATCH("OBJ",'General price list'!$C$20:$BA$20,0),FALSE),"")</f>
        <v>0</v>
      </c>
      <c r="E590" s="2">
        <f t="shared" si="51"/>
        <v>0</v>
      </c>
      <c r="F590" s="2">
        <f t="shared" si="52"/>
        <v>0</v>
      </c>
      <c r="G590" s="2">
        <f t="shared" si="53"/>
        <v>0</v>
      </c>
      <c r="H590" s="2">
        <f t="shared" si="54"/>
        <v>0</v>
      </c>
      <c r="I590" s="2">
        <f t="shared" si="50"/>
        <v>0</v>
      </c>
      <c r="J590">
        <f>IFERROR(VLOOKUP(B590,'General price list'!C:BA,MATCH("CBM",'General price list'!$C$20:$BA$20,0),FALSE)*(G590*C590),0)</f>
        <v>0</v>
      </c>
    </row>
    <row r="591" spans="2:10" ht="15" customHeight="1">
      <c r="B591" t="s">
        <v>1557</v>
      </c>
      <c r="C591" s="2">
        <f>IFERROR(VLOOKUP(B591,'General price list'!C:BA,MATCH("PAL",'General price list'!$C$20:$BA$20,0),FALSE),"")</f>
        <v>24</v>
      </c>
      <c r="D591" s="2">
        <f>IFERROR(VLOOKUP(B591,'General price list'!C:BA,MATCH("OBJ",'General price list'!$C$20:$BA$20,0),FALSE),"")</f>
        <v>0</v>
      </c>
      <c r="E591" s="2">
        <f t="shared" si="51"/>
        <v>0</v>
      </c>
      <c r="F591" s="2">
        <f t="shared" si="52"/>
        <v>0</v>
      </c>
      <c r="G591" s="2">
        <f t="shared" si="53"/>
        <v>0</v>
      </c>
      <c r="H591" s="2">
        <f t="shared" si="54"/>
        <v>0</v>
      </c>
      <c r="I591" s="2">
        <f t="shared" si="50"/>
        <v>0</v>
      </c>
      <c r="J591">
        <f>IFERROR(VLOOKUP(B591,'General price list'!C:BA,MATCH("CBM",'General price list'!$C$20:$BA$20,0),FALSE)*(G591*C591),0)</f>
        <v>0</v>
      </c>
    </row>
    <row r="592" spans="2:10" ht="15" customHeight="1">
      <c r="B592" t="s">
        <v>1558</v>
      </c>
      <c r="C592" s="2">
        <f>IFERROR(VLOOKUP(B592,'General price list'!C:BA,MATCH("PAL",'General price list'!$C$20:$BA$20,0),FALSE),"")</f>
        <v>24</v>
      </c>
      <c r="D592" s="2">
        <f>IFERROR(VLOOKUP(B592,'General price list'!C:BA,MATCH("OBJ",'General price list'!$C$20:$BA$20,0),FALSE),"")</f>
        <v>0</v>
      </c>
      <c r="E592" s="2">
        <f t="shared" si="51"/>
        <v>0</v>
      </c>
      <c r="F592" s="2">
        <f t="shared" si="52"/>
        <v>0</v>
      </c>
      <c r="G592" s="2">
        <f t="shared" si="53"/>
        <v>0</v>
      </c>
      <c r="H592" s="2">
        <f t="shared" si="54"/>
        <v>0</v>
      </c>
      <c r="I592" s="2">
        <f t="shared" si="50"/>
        <v>0</v>
      </c>
      <c r="J592">
        <f>IFERROR(VLOOKUP(B592,'General price list'!C:BA,MATCH("CBM",'General price list'!$C$20:$BA$20,0),FALSE)*(G592*C592),0)</f>
        <v>0</v>
      </c>
    </row>
    <row r="593" spans="2:10" ht="15" customHeight="1">
      <c r="B593" t="s">
        <v>1563</v>
      </c>
      <c r="C593" s="2">
        <f>IFERROR(VLOOKUP(B593,'General price list'!C:BA,MATCH("PAL",'General price list'!$C$20:$BA$20,0),FALSE),"")</f>
        <v>14</v>
      </c>
      <c r="D593" s="2">
        <f>IFERROR(VLOOKUP(B593,'General price list'!C:BA,MATCH("OBJ",'General price list'!$C$20:$BA$20,0),FALSE),"")</f>
        <v>0</v>
      </c>
      <c r="E593" s="2">
        <f t="shared" si="51"/>
        <v>0</v>
      </c>
      <c r="F593" s="2">
        <f t="shared" si="52"/>
        <v>0</v>
      </c>
      <c r="G593" s="2">
        <f t="shared" si="53"/>
        <v>0</v>
      </c>
      <c r="H593" s="2">
        <f t="shared" si="54"/>
        <v>0</v>
      </c>
      <c r="I593" s="2">
        <f t="shared" si="50"/>
        <v>0</v>
      </c>
      <c r="J593">
        <f>IFERROR(VLOOKUP(B593,'General price list'!C:BA,MATCH("CBM",'General price list'!$C$20:$BA$20,0),FALSE)*(G593*C593),0)</f>
        <v>0</v>
      </c>
    </row>
    <row r="594" spans="2:10" ht="15" customHeight="1">
      <c r="B594" t="s">
        <v>1564</v>
      </c>
      <c r="C594" s="2">
        <f>IFERROR(VLOOKUP(B594,'General price list'!C:BA,MATCH("PAL",'General price list'!$C$20:$BA$20,0),FALSE),"")</f>
        <v>14</v>
      </c>
      <c r="D594" s="2">
        <f>IFERROR(VLOOKUP(B594,'General price list'!C:BA,MATCH("OBJ",'General price list'!$C$20:$BA$20,0),FALSE),"")</f>
        <v>0</v>
      </c>
      <c r="E594" s="2">
        <f t="shared" si="51"/>
        <v>0</v>
      </c>
      <c r="F594" s="2">
        <f t="shared" si="52"/>
        <v>0</v>
      </c>
      <c r="G594" s="2">
        <f t="shared" si="53"/>
        <v>0</v>
      </c>
      <c r="H594" s="2">
        <f t="shared" si="54"/>
        <v>0</v>
      </c>
      <c r="I594" s="2">
        <f t="shared" si="50"/>
        <v>0</v>
      </c>
      <c r="J594">
        <f>IFERROR(VLOOKUP(B594,'General price list'!C:BA,MATCH("CBM",'General price list'!$C$20:$BA$20,0),FALSE)*(G594*C594),0)</f>
        <v>0</v>
      </c>
    </row>
    <row r="595" spans="2:10" ht="15" customHeight="1">
      <c r="B595" t="s">
        <v>1565</v>
      </c>
      <c r="C595" s="2" t="str">
        <f>IFERROR(VLOOKUP(B595,'General price list'!C:BA,MATCH("PAL",'General price list'!$C$20:$BA$20,0),FALSE),"")</f>
        <v>12</v>
      </c>
      <c r="D595" s="2">
        <f>IFERROR(VLOOKUP(B595,'General price list'!C:BA,MATCH("OBJ",'General price list'!$C$20:$BA$20,0),FALSE),"")</f>
        <v>0</v>
      </c>
      <c r="E595" s="2">
        <f t="shared" si="51"/>
        <v>0</v>
      </c>
      <c r="F595" s="2">
        <f t="shared" si="52"/>
        <v>0</v>
      </c>
      <c r="G595" s="2">
        <f t="shared" si="53"/>
        <v>0</v>
      </c>
      <c r="H595" s="2">
        <f t="shared" si="54"/>
        <v>0</v>
      </c>
      <c r="I595" s="2">
        <f t="shared" si="50"/>
        <v>0</v>
      </c>
      <c r="J595">
        <f>IFERROR(VLOOKUP(B595,'General price list'!C:BA,MATCH("CBM",'General price list'!$C$20:$BA$20,0),FALSE)*(G595*C595),0)</f>
        <v>0</v>
      </c>
    </row>
    <row r="596" spans="2:10" ht="15" customHeight="1">
      <c r="B596" t="s">
        <v>1567</v>
      </c>
      <c r="C596" s="2">
        <f>IFERROR(VLOOKUP(B596,'General price list'!C:BA,MATCH("PAL",'General price list'!$C$20:$BA$20,0),FALSE),"")</f>
        <v>14</v>
      </c>
      <c r="D596" s="2">
        <f>IFERROR(VLOOKUP(B596,'General price list'!C:BA,MATCH("OBJ",'General price list'!$C$20:$BA$20,0),FALSE),"")</f>
        <v>0</v>
      </c>
      <c r="E596" s="2">
        <f t="shared" si="51"/>
        <v>0</v>
      </c>
      <c r="F596" s="2">
        <f t="shared" si="52"/>
        <v>0</v>
      </c>
      <c r="G596" s="2">
        <f t="shared" si="53"/>
        <v>0</v>
      </c>
      <c r="H596" s="2">
        <f t="shared" si="54"/>
        <v>0</v>
      </c>
      <c r="I596" s="2">
        <f t="shared" si="50"/>
        <v>0</v>
      </c>
      <c r="J596">
        <f>IFERROR(VLOOKUP(B596,'General price list'!C:BA,MATCH("CBM",'General price list'!$C$20:$BA$20,0),FALSE)*(G596*C596),0)</f>
        <v>0</v>
      </c>
    </row>
    <row r="597" spans="2:10" ht="15" customHeight="1">
      <c r="B597" t="s">
        <v>1569</v>
      </c>
      <c r="C597" s="2">
        <f>IFERROR(VLOOKUP(B597,'General price list'!C:BA,MATCH("PAL",'General price list'!$C$20:$BA$20,0),FALSE),"")</f>
        <v>14</v>
      </c>
      <c r="D597" s="2">
        <f>IFERROR(VLOOKUP(B597,'General price list'!C:BA,MATCH("OBJ",'General price list'!$C$20:$BA$20,0),FALSE),"")</f>
        <v>0</v>
      </c>
      <c r="E597" s="2">
        <f t="shared" si="51"/>
        <v>0</v>
      </c>
      <c r="F597" s="2">
        <f t="shared" si="52"/>
        <v>0</v>
      </c>
      <c r="G597" s="2">
        <f t="shared" si="53"/>
        <v>0</v>
      </c>
      <c r="H597" s="2">
        <f t="shared" si="54"/>
        <v>0</v>
      </c>
      <c r="I597" s="2">
        <f t="shared" si="50"/>
        <v>0</v>
      </c>
      <c r="J597">
        <f>IFERROR(VLOOKUP(B597,'General price list'!C:BA,MATCH("CBM",'General price list'!$C$20:$BA$20,0),FALSE)*(G597*C597),0)</f>
        <v>0</v>
      </c>
    </row>
    <row r="598" spans="2:10" ht="15" customHeight="1">
      <c r="B598" t="s">
        <v>2564</v>
      </c>
      <c r="C598" s="2" t="str">
        <f>IFERROR(VLOOKUP(B598,'General price list'!C:BA,MATCH("PAL",'General price list'!$C$20:$BA$20,0),FALSE),"")</f>
        <v>84</v>
      </c>
      <c r="D598" s="2">
        <f>IFERROR(VLOOKUP(B598,'General price list'!C:BA,MATCH("OBJ",'General price list'!$C$20:$BA$20,0),FALSE),"")</f>
        <v>0</v>
      </c>
      <c r="E598" s="2">
        <f t="shared" si="51"/>
        <v>0</v>
      </c>
      <c r="F598" s="2">
        <f t="shared" si="52"/>
        <v>0</v>
      </c>
      <c r="G598" s="2">
        <f t="shared" si="53"/>
        <v>0</v>
      </c>
      <c r="H598" s="2">
        <f t="shared" si="54"/>
        <v>0</v>
      </c>
      <c r="I598" s="2">
        <f t="shared" si="50"/>
        <v>0</v>
      </c>
      <c r="J598">
        <f>IFERROR(VLOOKUP(B598,'General price list'!C:BA,MATCH("CBM",'General price list'!$C$20:$BA$20,0),FALSE)*(G598*C598),0)</f>
        <v>0</v>
      </c>
    </row>
    <row r="599" spans="2:10" ht="15" customHeight="1">
      <c r="B599" t="s">
        <v>5428</v>
      </c>
      <c r="C599" s="2" t="str">
        <f>IFERROR(VLOOKUP(B599,'General price list'!C:BA,MATCH("PAL",'General price list'!$C$20:$BA$20,0),FALSE),"")</f>
        <v>84</v>
      </c>
      <c r="D599" s="2">
        <f>IFERROR(VLOOKUP(B599,'General price list'!C:BA,MATCH("OBJ",'General price list'!$C$20:$BA$20,0),FALSE),"")</f>
        <v>0</v>
      </c>
      <c r="E599" s="2">
        <f t="shared" si="51"/>
        <v>0</v>
      </c>
      <c r="F599" s="2">
        <f t="shared" si="52"/>
        <v>0</v>
      </c>
      <c r="G599" s="2">
        <f t="shared" si="53"/>
        <v>0</v>
      </c>
      <c r="H599" s="2">
        <f t="shared" si="54"/>
        <v>0</v>
      </c>
      <c r="I599" s="2">
        <f t="shared" si="50"/>
        <v>0</v>
      </c>
      <c r="J599">
        <f>IFERROR(VLOOKUP(B599,'General price list'!C:BA,MATCH("CBM",'General price list'!$C$20:$BA$20,0),FALSE)*(G599*C599),0)</f>
        <v>0</v>
      </c>
    </row>
    <row r="600" spans="2:10" ht="15" customHeight="1">
      <c r="B600" t="s">
        <v>1571</v>
      </c>
      <c r="C600" s="2" t="str">
        <f>IFERROR(VLOOKUP(B600,'General price list'!C:BA,MATCH("PAL",'General price list'!$C$20:$BA$20,0),FALSE),"")</f>
        <v>84</v>
      </c>
      <c r="D600" s="2">
        <f>IFERROR(VLOOKUP(B600,'General price list'!C:BA,MATCH("OBJ",'General price list'!$C$20:$BA$20,0),FALSE),"")</f>
        <v>0</v>
      </c>
      <c r="E600" s="2">
        <f t="shared" si="51"/>
        <v>0</v>
      </c>
      <c r="F600" s="2">
        <f t="shared" si="52"/>
        <v>0</v>
      </c>
      <c r="G600" s="2">
        <f t="shared" si="53"/>
        <v>0</v>
      </c>
      <c r="H600" s="2">
        <f t="shared" si="54"/>
        <v>0</v>
      </c>
      <c r="I600" s="2">
        <f t="shared" si="50"/>
        <v>0</v>
      </c>
      <c r="J600">
        <f>IFERROR(VLOOKUP(B600,'General price list'!C:BA,MATCH("CBM",'General price list'!$C$20:$BA$20,0),FALSE)*(G600*C600),0)</f>
        <v>0</v>
      </c>
    </row>
    <row r="601" spans="2:10" ht="15" customHeight="1">
      <c r="B601" t="s">
        <v>1573</v>
      </c>
      <c r="C601" s="2" t="str">
        <f>IFERROR(VLOOKUP(B601,'General price list'!C:BA,MATCH("PAL",'General price list'!$C$20:$BA$20,0),FALSE),"")</f>
        <v>84</v>
      </c>
      <c r="D601" s="2">
        <f>IFERROR(VLOOKUP(B601,'General price list'!C:BA,MATCH("OBJ",'General price list'!$C$20:$BA$20,0),FALSE),"")</f>
        <v>0</v>
      </c>
      <c r="E601" s="2">
        <f t="shared" si="51"/>
        <v>0</v>
      </c>
      <c r="F601" s="2">
        <f t="shared" si="52"/>
        <v>0</v>
      </c>
      <c r="G601" s="2">
        <f t="shared" si="53"/>
        <v>0</v>
      </c>
      <c r="H601" s="2">
        <f t="shared" si="54"/>
        <v>0</v>
      </c>
      <c r="I601" s="2">
        <f t="shared" si="50"/>
        <v>0</v>
      </c>
      <c r="J601">
        <f>IFERROR(VLOOKUP(B601,'General price list'!C:BA,MATCH("CBM",'General price list'!$C$20:$BA$20,0),FALSE)*(G601*C601),0)</f>
        <v>0</v>
      </c>
    </row>
    <row r="602" spans="2:10" ht="15" customHeight="1">
      <c r="B602" t="s">
        <v>1576</v>
      </c>
      <c r="C602" s="2" t="str">
        <f>IFERROR(VLOOKUP(B602,'General price list'!C:BA,MATCH("PAL",'General price list'!$C$20:$BA$20,0),FALSE),"")</f>
        <v>84</v>
      </c>
      <c r="D602" s="2">
        <f>IFERROR(VLOOKUP(B602,'General price list'!C:BA,MATCH("OBJ",'General price list'!$C$20:$BA$20,0),FALSE),"")</f>
        <v>0</v>
      </c>
      <c r="E602" s="2">
        <f t="shared" si="51"/>
        <v>0</v>
      </c>
      <c r="F602" s="2">
        <f t="shared" si="52"/>
        <v>0</v>
      </c>
      <c r="G602" s="2">
        <f t="shared" si="53"/>
        <v>0</v>
      </c>
      <c r="H602" s="2">
        <f t="shared" si="54"/>
        <v>0</v>
      </c>
      <c r="I602" s="2">
        <f t="shared" si="50"/>
        <v>0</v>
      </c>
      <c r="J602">
        <f>IFERROR(VLOOKUP(B602,'General price list'!C:BA,MATCH("CBM",'General price list'!$C$20:$BA$20,0),FALSE)*(G602*C602),0)</f>
        <v>0</v>
      </c>
    </row>
    <row r="603" spans="2:10" ht="15" customHeight="1">
      <c r="B603" t="s">
        <v>1575</v>
      </c>
      <c r="C603" s="2" t="str">
        <f>IFERROR(VLOOKUP(B603,'General price list'!C:BA,MATCH("PAL",'General price list'!$C$20:$BA$20,0),FALSE),"")</f>
        <v>84</v>
      </c>
      <c r="D603" s="2">
        <f>IFERROR(VLOOKUP(B603,'General price list'!C:BA,MATCH("OBJ",'General price list'!$C$20:$BA$20,0),FALSE),"")</f>
        <v>0</v>
      </c>
      <c r="E603" s="2">
        <f t="shared" si="51"/>
        <v>0</v>
      </c>
      <c r="F603" s="2">
        <f t="shared" si="52"/>
        <v>0</v>
      </c>
      <c r="G603" s="2">
        <f t="shared" si="53"/>
        <v>0</v>
      </c>
      <c r="H603" s="2">
        <f t="shared" si="54"/>
        <v>0</v>
      </c>
      <c r="I603" s="2">
        <f t="shared" si="50"/>
        <v>0</v>
      </c>
      <c r="J603">
        <f>IFERROR(VLOOKUP(B603,'General price list'!C:BA,MATCH("CBM",'General price list'!$C$20:$BA$20,0),FALSE)*(G603*C603),0)</f>
        <v>0</v>
      </c>
    </row>
    <row r="604" spans="2:10" ht="15" customHeight="1">
      <c r="B604" t="s">
        <v>1578</v>
      </c>
      <c r="C604" s="2">
        <f>IFERROR(VLOOKUP(B604,'General price list'!C:BA,MATCH("PAL",'General price list'!$C$20:$BA$20,0),FALSE),"")</f>
        <v>42</v>
      </c>
      <c r="D604" s="2">
        <f>IFERROR(VLOOKUP(B604,'General price list'!C:BA,MATCH("OBJ",'General price list'!$C$20:$BA$20,0),FALSE),"")</f>
        <v>0</v>
      </c>
      <c r="E604" s="2">
        <f t="shared" si="51"/>
        <v>0</v>
      </c>
      <c r="F604" s="2">
        <f t="shared" si="52"/>
        <v>0</v>
      </c>
      <c r="G604" s="2">
        <f t="shared" si="53"/>
        <v>0</v>
      </c>
      <c r="H604" s="2">
        <f t="shared" si="54"/>
        <v>0</v>
      </c>
      <c r="I604" s="2">
        <f t="shared" si="50"/>
        <v>0</v>
      </c>
      <c r="J604">
        <f>IFERROR(VLOOKUP(B604,'General price list'!C:BA,MATCH("CBM",'General price list'!$C$20:$BA$20,0),FALSE)*(G604*C604),0)</f>
        <v>0</v>
      </c>
    </row>
    <row r="605" spans="2:10" ht="15" customHeight="1">
      <c r="B605" t="s">
        <v>2566</v>
      </c>
      <c r="C605" s="2">
        <f>IFERROR(VLOOKUP(B605,'General price list'!C:BA,MATCH("PAL",'General price list'!$C$20:$BA$20,0),FALSE),"")</f>
        <v>42</v>
      </c>
      <c r="D605" s="2">
        <f>IFERROR(VLOOKUP(B605,'General price list'!C:BA,MATCH("OBJ",'General price list'!$C$20:$BA$20,0),FALSE),"")</f>
        <v>0</v>
      </c>
      <c r="E605" s="2">
        <f t="shared" si="51"/>
        <v>0</v>
      </c>
      <c r="F605" s="2">
        <f t="shared" si="52"/>
        <v>0</v>
      </c>
      <c r="G605" s="2">
        <f t="shared" si="53"/>
        <v>0</v>
      </c>
      <c r="H605" s="2">
        <f t="shared" si="54"/>
        <v>0</v>
      </c>
      <c r="I605" s="2">
        <f t="shared" si="50"/>
        <v>0</v>
      </c>
      <c r="J605">
        <f>IFERROR(VLOOKUP(B605,'General price list'!C:BA,MATCH("CBM",'General price list'!$C$20:$BA$20,0),FALSE)*(G605*C605),0)</f>
        <v>0</v>
      </c>
    </row>
    <row r="606" spans="2:10" ht="15" customHeight="1">
      <c r="B606" t="s">
        <v>2567</v>
      </c>
      <c r="C606" s="2">
        <f>IFERROR(VLOOKUP(B606,'General price list'!C:BA,MATCH("PAL",'General price list'!$C$20:$BA$20,0),FALSE),"")</f>
        <v>24</v>
      </c>
      <c r="D606" s="2">
        <f>IFERROR(VLOOKUP(B606,'General price list'!C:BA,MATCH("OBJ",'General price list'!$C$20:$BA$20,0),FALSE),"")</f>
        <v>0</v>
      </c>
      <c r="E606" s="2">
        <f t="shared" si="51"/>
        <v>0</v>
      </c>
      <c r="F606" s="2">
        <f t="shared" si="52"/>
        <v>0</v>
      </c>
      <c r="G606" s="2">
        <f t="shared" si="53"/>
        <v>0</v>
      </c>
      <c r="H606" s="2">
        <f t="shared" si="54"/>
        <v>0</v>
      </c>
      <c r="I606" s="2">
        <f t="shared" si="50"/>
        <v>0</v>
      </c>
      <c r="J606">
        <f>IFERROR(VLOOKUP(B606,'General price list'!C:BA,MATCH("CBM",'General price list'!$C$20:$BA$20,0),FALSE)*(G606*C606),0)</f>
        <v>0</v>
      </c>
    </row>
    <row r="607" spans="2:10" ht="15" customHeight="1">
      <c r="B607" t="s">
        <v>1580</v>
      </c>
      <c r="C607" s="2">
        <f>IFERROR(VLOOKUP(B607,'General price list'!C:BA,MATCH("PAL",'General price list'!$C$20:$BA$20,0),FALSE),"")</f>
        <v>14</v>
      </c>
      <c r="D607" s="2">
        <f>IFERROR(VLOOKUP(B607,'General price list'!C:BA,MATCH("OBJ",'General price list'!$C$20:$BA$20,0),FALSE),"")</f>
        <v>0</v>
      </c>
      <c r="E607" s="2">
        <f t="shared" si="51"/>
        <v>0</v>
      </c>
      <c r="F607" s="2">
        <f t="shared" si="52"/>
        <v>0</v>
      </c>
      <c r="G607" s="2">
        <f t="shared" si="53"/>
        <v>0</v>
      </c>
      <c r="H607" s="2">
        <f t="shared" si="54"/>
        <v>0</v>
      </c>
      <c r="I607" s="2">
        <f t="shared" si="50"/>
        <v>0</v>
      </c>
      <c r="J607">
        <f>IFERROR(VLOOKUP(B607,'General price list'!C:BA,MATCH("CBM",'General price list'!$C$20:$BA$20,0),FALSE)*(G607*C607),0)</f>
        <v>0</v>
      </c>
    </row>
    <row r="608" spans="2:10" ht="15" customHeight="1">
      <c r="B608" t="s">
        <v>2569</v>
      </c>
      <c r="C608" s="2">
        <f>IFERROR(VLOOKUP(B608,'General price list'!C:BA,MATCH("PAL",'General price list'!$C$20:$BA$20,0),FALSE),"")</f>
        <v>24</v>
      </c>
      <c r="D608" s="2">
        <f>IFERROR(VLOOKUP(B608,'General price list'!C:BA,MATCH("OBJ",'General price list'!$C$20:$BA$20,0),FALSE),"")</f>
        <v>0</v>
      </c>
      <c r="E608" s="2">
        <f t="shared" si="51"/>
        <v>0</v>
      </c>
      <c r="F608" s="2">
        <f t="shared" si="52"/>
        <v>0</v>
      </c>
      <c r="G608" s="2">
        <f t="shared" si="53"/>
        <v>0</v>
      </c>
      <c r="H608" s="2">
        <f t="shared" si="54"/>
        <v>0</v>
      </c>
      <c r="I608" s="2">
        <f t="shared" si="50"/>
        <v>0</v>
      </c>
      <c r="J608">
        <f>IFERROR(VLOOKUP(B608,'General price list'!C:BA,MATCH("CBM",'General price list'!$C$20:$BA$20,0),FALSE)*(G608*C608),0)</f>
        <v>0</v>
      </c>
    </row>
    <row r="609" spans="2:10" ht="15" customHeight="1">
      <c r="B609" t="s">
        <v>2740</v>
      </c>
      <c r="C609" s="2" t="str">
        <f>IFERROR(VLOOKUP(B609,'General price list'!C:BA,MATCH("PAL",'General price list'!$C$20:$BA$20,0),FALSE),"")</f>
        <v>84</v>
      </c>
      <c r="D609" s="2">
        <f>IFERROR(VLOOKUP(B609,'General price list'!C:BA,MATCH("OBJ",'General price list'!$C$20:$BA$20,0),FALSE),"")</f>
        <v>0</v>
      </c>
      <c r="E609" s="2">
        <f t="shared" si="51"/>
        <v>0</v>
      </c>
      <c r="F609" s="2">
        <f t="shared" si="52"/>
        <v>0</v>
      </c>
      <c r="G609" s="2">
        <f t="shared" si="53"/>
        <v>0</v>
      </c>
      <c r="H609" s="2">
        <f t="shared" si="54"/>
        <v>0</v>
      </c>
      <c r="I609" s="2">
        <f t="shared" si="50"/>
        <v>0</v>
      </c>
      <c r="J609">
        <f>IFERROR(VLOOKUP(B609,'General price list'!C:BA,MATCH("CBM",'General price list'!$C$20:$BA$20,0),FALSE)*(G609*C609),0)</f>
        <v>0</v>
      </c>
    </row>
    <row r="610" spans="2:10" ht="15" customHeight="1">
      <c r="B610" t="s">
        <v>5439</v>
      </c>
      <c r="C610" s="2" t="str">
        <f>IFERROR(VLOOKUP(B610,'General price list'!C:BA,MATCH("PAL",'General price list'!$C$20:$BA$20,0),FALSE),"")</f>
        <v>84</v>
      </c>
      <c r="D610" s="2">
        <f>IFERROR(VLOOKUP(B610,'General price list'!C:BA,MATCH("OBJ",'General price list'!$C$20:$BA$20,0),FALSE),"")</f>
        <v>0</v>
      </c>
      <c r="E610" s="2">
        <f t="shared" si="51"/>
        <v>0</v>
      </c>
      <c r="F610" s="2">
        <f t="shared" si="52"/>
        <v>0</v>
      </c>
      <c r="G610" s="2">
        <f t="shared" si="53"/>
        <v>0</v>
      </c>
      <c r="H610" s="2">
        <f t="shared" si="54"/>
        <v>0</v>
      </c>
      <c r="I610" s="2">
        <f t="shared" si="50"/>
        <v>0</v>
      </c>
      <c r="J610">
        <f>IFERROR(VLOOKUP(B610,'General price list'!C:BA,MATCH("CBM",'General price list'!$C$20:$BA$20,0),FALSE)*(G610*C610),0)</f>
        <v>0</v>
      </c>
    </row>
    <row r="611" spans="2:10" ht="15" customHeight="1">
      <c r="B611" t="s">
        <v>2741</v>
      </c>
      <c r="C611" s="2" t="str">
        <f>IFERROR(VLOOKUP(B611,'General price list'!C:BA,MATCH("PAL",'General price list'!$C$20:$BA$20,0),FALSE),"")</f>
        <v>84</v>
      </c>
      <c r="D611" s="2">
        <f>IFERROR(VLOOKUP(B611,'General price list'!C:BA,MATCH("OBJ",'General price list'!$C$20:$BA$20,0),FALSE),"")</f>
        <v>0</v>
      </c>
      <c r="E611" s="2">
        <f t="shared" si="51"/>
        <v>0</v>
      </c>
      <c r="F611" s="2">
        <f t="shared" si="52"/>
        <v>0</v>
      </c>
      <c r="G611" s="2">
        <f t="shared" si="53"/>
        <v>0</v>
      </c>
      <c r="H611" s="2">
        <f t="shared" si="54"/>
        <v>0</v>
      </c>
      <c r="I611" s="2">
        <f t="shared" si="50"/>
        <v>0</v>
      </c>
      <c r="J611">
        <f>IFERROR(VLOOKUP(B611,'General price list'!C:BA,MATCH("CBM",'General price list'!$C$20:$BA$20,0),FALSE)*(G611*C611),0)</f>
        <v>0</v>
      </c>
    </row>
    <row r="612" spans="2:10" ht="15" customHeight="1">
      <c r="B612" t="s">
        <v>2742</v>
      </c>
      <c r="C612" s="2" t="str">
        <f>IFERROR(VLOOKUP(B612,'General price list'!C:BA,MATCH("PAL",'General price list'!$C$20:$BA$20,0),FALSE),"")</f>
        <v>84</v>
      </c>
      <c r="D612" s="2">
        <f>IFERROR(VLOOKUP(B612,'General price list'!C:BA,MATCH("OBJ",'General price list'!$C$20:$BA$20,0),FALSE),"")</f>
        <v>0</v>
      </c>
      <c r="E612" s="2">
        <f t="shared" si="51"/>
        <v>0</v>
      </c>
      <c r="F612" s="2">
        <f t="shared" si="52"/>
        <v>0</v>
      </c>
      <c r="G612" s="2">
        <f t="shared" si="53"/>
        <v>0</v>
      </c>
      <c r="H612" s="2">
        <f t="shared" si="54"/>
        <v>0</v>
      </c>
      <c r="I612" s="2">
        <f t="shared" si="50"/>
        <v>0</v>
      </c>
      <c r="J612">
        <f>IFERROR(VLOOKUP(B612,'General price list'!C:BA,MATCH("CBM",'General price list'!$C$20:$BA$20,0),FALSE)*(G612*C612),0)</f>
        <v>0</v>
      </c>
    </row>
    <row r="613" spans="2:10" ht="15" customHeight="1">
      <c r="B613" t="s">
        <v>2743</v>
      </c>
      <c r="C613" s="2" t="str">
        <f>IFERROR(VLOOKUP(B613,'General price list'!C:BA,MATCH("PAL",'General price list'!$C$20:$BA$20,0),FALSE),"")</f>
        <v>84</v>
      </c>
      <c r="D613" s="2">
        <f>IFERROR(VLOOKUP(B613,'General price list'!C:BA,MATCH("OBJ",'General price list'!$C$20:$BA$20,0),FALSE),"")</f>
        <v>0</v>
      </c>
      <c r="E613" s="2">
        <f t="shared" si="51"/>
        <v>0</v>
      </c>
      <c r="F613" s="2">
        <f t="shared" si="52"/>
        <v>0</v>
      </c>
      <c r="G613" s="2">
        <f t="shared" si="53"/>
        <v>0</v>
      </c>
      <c r="H613" s="2">
        <f t="shared" si="54"/>
        <v>0</v>
      </c>
      <c r="I613" s="2">
        <f t="shared" si="50"/>
        <v>0</v>
      </c>
      <c r="J613">
        <f>IFERROR(VLOOKUP(B613,'General price list'!C:BA,MATCH("CBM",'General price list'!$C$20:$BA$20,0),FALSE)*(G613*C613),0)</f>
        <v>0</v>
      </c>
    </row>
    <row r="614" spans="2:10" ht="15" customHeight="1">
      <c r="B614" t="s">
        <v>2744</v>
      </c>
      <c r="C614" s="2" t="str">
        <f>IFERROR(VLOOKUP(B614,'General price list'!C:BA,MATCH("PAL",'General price list'!$C$20:$BA$20,0),FALSE),"")</f>
        <v>84</v>
      </c>
      <c r="D614" s="2">
        <f>IFERROR(VLOOKUP(B614,'General price list'!C:BA,MATCH("OBJ",'General price list'!$C$20:$BA$20,0),FALSE),"")</f>
        <v>0</v>
      </c>
      <c r="E614" s="2">
        <f t="shared" si="51"/>
        <v>0</v>
      </c>
      <c r="F614" s="2">
        <f t="shared" si="52"/>
        <v>0</v>
      </c>
      <c r="G614" s="2">
        <f t="shared" si="53"/>
        <v>0</v>
      </c>
      <c r="H614" s="2">
        <f t="shared" si="54"/>
        <v>0</v>
      </c>
      <c r="I614" s="2">
        <f t="shared" si="50"/>
        <v>0</v>
      </c>
      <c r="J614">
        <f>IFERROR(VLOOKUP(B614,'General price list'!C:BA,MATCH("CBM",'General price list'!$C$20:$BA$20,0),FALSE)*(G614*C614),0)</f>
        <v>0</v>
      </c>
    </row>
    <row r="615" spans="2:10" ht="15" customHeight="1">
      <c r="B615" t="s">
        <v>2746</v>
      </c>
      <c r="C615" s="2">
        <f>IFERROR(VLOOKUP(B615,'General price list'!C:BA,MATCH("PAL",'General price list'!$C$20:$BA$20,0),FALSE),"")</f>
        <v>42</v>
      </c>
      <c r="D615" s="2">
        <f>IFERROR(VLOOKUP(B615,'General price list'!C:BA,MATCH("OBJ",'General price list'!$C$20:$BA$20,0),FALSE),"")</f>
        <v>0</v>
      </c>
      <c r="E615" s="2">
        <f t="shared" si="51"/>
        <v>0</v>
      </c>
      <c r="F615" s="2">
        <f t="shared" si="52"/>
        <v>0</v>
      </c>
      <c r="G615" s="2">
        <f t="shared" si="53"/>
        <v>0</v>
      </c>
      <c r="H615" s="2">
        <f t="shared" si="54"/>
        <v>0</v>
      </c>
      <c r="I615" s="2">
        <f t="shared" si="50"/>
        <v>0</v>
      </c>
      <c r="J615">
        <f>IFERROR(VLOOKUP(B615,'General price list'!C:BA,MATCH("CBM",'General price list'!$C$20:$BA$20,0),FALSE)*(G615*C615),0)</f>
        <v>0</v>
      </c>
    </row>
    <row r="616" spans="2:10" ht="15" customHeight="1">
      <c r="B616" t="s">
        <v>2748</v>
      </c>
      <c r="C616" s="2">
        <f>IFERROR(VLOOKUP(B616,'General price list'!C:BA,MATCH("PAL",'General price list'!$C$20:$BA$20,0),FALSE),"")</f>
        <v>24</v>
      </c>
      <c r="D616" s="2">
        <f>IFERROR(VLOOKUP(B616,'General price list'!C:BA,MATCH("OBJ",'General price list'!$C$20:$BA$20,0),FALSE),"")</f>
        <v>0</v>
      </c>
      <c r="E616" s="2">
        <f t="shared" si="51"/>
        <v>0</v>
      </c>
      <c r="F616" s="2">
        <f t="shared" si="52"/>
        <v>0</v>
      </c>
      <c r="G616" s="2">
        <f t="shared" si="53"/>
        <v>0</v>
      </c>
      <c r="H616" s="2">
        <f t="shared" si="54"/>
        <v>0</v>
      </c>
      <c r="I616" s="2">
        <f t="shared" si="50"/>
        <v>0</v>
      </c>
      <c r="J616">
        <f>IFERROR(VLOOKUP(B616,'General price list'!C:BA,MATCH("CBM",'General price list'!$C$20:$BA$20,0),FALSE)*(G616*C616),0)</f>
        <v>0</v>
      </c>
    </row>
    <row r="617" spans="2:10" ht="15" customHeight="1">
      <c r="B617" t="s">
        <v>2749</v>
      </c>
      <c r="C617" s="2">
        <f>IFERROR(VLOOKUP(B617,'General price list'!C:BA,MATCH("PAL",'General price list'!$C$20:$BA$20,0),FALSE),"")</f>
        <v>14</v>
      </c>
      <c r="D617" s="2">
        <f>IFERROR(VLOOKUP(B617,'General price list'!C:BA,MATCH("OBJ",'General price list'!$C$20:$BA$20,0),FALSE),"")</f>
        <v>0</v>
      </c>
      <c r="E617" s="2">
        <f t="shared" si="51"/>
        <v>0</v>
      </c>
      <c r="F617" s="2">
        <f t="shared" si="52"/>
        <v>0</v>
      </c>
      <c r="G617" s="2">
        <f t="shared" si="53"/>
        <v>0</v>
      </c>
      <c r="H617" s="2">
        <f t="shared" si="54"/>
        <v>0</v>
      </c>
      <c r="I617" s="2">
        <f t="shared" si="50"/>
        <v>0</v>
      </c>
      <c r="J617">
        <f>IFERROR(VLOOKUP(B617,'General price list'!C:BA,MATCH("CBM",'General price list'!$C$20:$BA$20,0),FALSE)*(G617*C617),0)</f>
        <v>0</v>
      </c>
    </row>
    <row r="618" spans="2:10" ht="15" customHeight="1">
      <c r="B618" t="s">
        <v>2750</v>
      </c>
      <c r="C618" s="2">
        <f>IFERROR(VLOOKUP(B618,'General price list'!C:BA,MATCH("PAL",'General price list'!$C$20:$BA$20,0),FALSE),"")</f>
        <v>24</v>
      </c>
      <c r="D618" s="2">
        <f>IFERROR(VLOOKUP(B618,'General price list'!C:BA,MATCH("OBJ",'General price list'!$C$20:$BA$20,0),FALSE),"")</f>
        <v>0</v>
      </c>
      <c r="E618" s="2">
        <f t="shared" si="51"/>
        <v>0</v>
      </c>
      <c r="F618" s="2">
        <f t="shared" si="52"/>
        <v>0</v>
      </c>
      <c r="G618" s="2">
        <f t="shared" si="53"/>
        <v>0</v>
      </c>
      <c r="H618" s="2">
        <f t="shared" si="54"/>
        <v>0</v>
      </c>
      <c r="I618" s="2">
        <f t="shared" si="50"/>
        <v>0</v>
      </c>
      <c r="J618">
        <f>IFERROR(VLOOKUP(B618,'General price list'!C:BA,MATCH("CBM",'General price list'!$C$20:$BA$20,0),FALSE)*(G618*C618),0)</f>
        <v>0</v>
      </c>
    </row>
    <row r="619" spans="2:10" ht="15" customHeight="1">
      <c r="B619" t="s">
        <v>1590</v>
      </c>
      <c r="C619" s="2">
        <f>IFERROR(VLOOKUP(B619,'General price list'!C:BA,MATCH("PAL",'General price list'!$C$20:$BA$20,0),FALSE),"")</f>
        <v>42</v>
      </c>
      <c r="D619" s="2">
        <f>IFERROR(VLOOKUP(B619,'General price list'!C:BA,MATCH("OBJ",'General price list'!$C$20:$BA$20,0),FALSE),"")</f>
        <v>0</v>
      </c>
      <c r="E619" s="2">
        <f t="shared" si="51"/>
        <v>0</v>
      </c>
      <c r="F619" s="2">
        <f t="shared" si="52"/>
        <v>0</v>
      </c>
      <c r="G619" s="2">
        <f t="shared" si="53"/>
        <v>0</v>
      </c>
      <c r="H619" s="2">
        <f t="shared" si="54"/>
        <v>0</v>
      </c>
      <c r="I619" s="2">
        <f t="shared" si="50"/>
        <v>0</v>
      </c>
      <c r="J619">
        <f>IFERROR(VLOOKUP(B619,'General price list'!C:BA,MATCH("CBM",'General price list'!$C$20:$BA$20,0),FALSE)*(G619*C619),0)</f>
        <v>0</v>
      </c>
    </row>
    <row r="620" spans="2:10" ht="15" customHeight="1">
      <c r="B620" t="s">
        <v>1592</v>
      </c>
      <c r="C620" s="2">
        <f>IFERROR(VLOOKUP(B620,'General price list'!C:BA,MATCH("PAL",'General price list'!$C$20:$BA$20,0),FALSE),"")</f>
        <v>42</v>
      </c>
      <c r="D620" s="2">
        <f>IFERROR(VLOOKUP(B620,'General price list'!C:BA,MATCH("OBJ",'General price list'!$C$20:$BA$20,0),FALSE),"")</f>
        <v>0</v>
      </c>
      <c r="E620" s="2">
        <f t="shared" si="51"/>
        <v>0</v>
      </c>
      <c r="F620" s="2">
        <f t="shared" si="52"/>
        <v>0</v>
      </c>
      <c r="G620" s="2">
        <f t="shared" si="53"/>
        <v>0</v>
      </c>
      <c r="H620" s="2">
        <f t="shared" si="54"/>
        <v>0</v>
      </c>
      <c r="I620" s="2">
        <f t="shared" si="50"/>
        <v>0</v>
      </c>
      <c r="J620">
        <f>IFERROR(VLOOKUP(B620,'General price list'!C:BA,MATCH("CBM",'General price list'!$C$20:$BA$20,0),FALSE)*(G620*C620),0)</f>
        <v>0</v>
      </c>
    </row>
    <row r="621" spans="2:10" ht="15" customHeight="1">
      <c r="B621" t="s">
        <v>5441</v>
      </c>
      <c r="C621" s="2">
        <f>IFERROR(VLOOKUP(B621,'General price list'!C:BA,MATCH("PAL",'General price list'!$C$20:$BA$20,0),FALSE),"")</f>
        <v>42</v>
      </c>
      <c r="D621" s="2">
        <f>IFERROR(VLOOKUP(B621,'General price list'!C:BA,MATCH("OBJ",'General price list'!$C$20:$BA$20,0),FALSE),"")</f>
        <v>0</v>
      </c>
      <c r="E621" s="2">
        <f t="shared" si="51"/>
        <v>0</v>
      </c>
      <c r="F621" s="2">
        <f t="shared" si="52"/>
        <v>0</v>
      </c>
      <c r="G621" s="2">
        <f t="shared" si="53"/>
        <v>0</v>
      </c>
      <c r="H621" s="2">
        <f t="shared" si="54"/>
        <v>0</v>
      </c>
      <c r="I621" s="2">
        <f t="shared" si="50"/>
        <v>0</v>
      </c>
      <c r="J621">
        <f>IFERROR(VLOOKUP(B621,'General price list'!C:BA,MATCH("CBM",'General price list'!$C$20:$BA$20,0),FALSE)*(G621*C621),0)</f>
        <v>0</v>
      </c>
    </row>
    <row r="622" spans="2:10" ht="15" customHeight="1">
      <c r="B622" t="s">
        <v>1594</v>
      </c>
      <c r="C622" s="2">
        <f>IFERROR(VLOOKUP(B622,'General price list'!C:BA,MATCH("PAL",'General price list'!$C$20:$BA$20,0),FALSE),"")</f>
        <v>42</v>
      </c>
      <c r="D622" s="2">
        <f>IFERROR(VLOOKUP(B622,'General price list'!C:BA,MATCH("OBJ",'General price list'!$C$20:$BA$20,0),FALSE),"")</f>
        <v>0</v>
      </c>
      <c r="E622" s="2">
        <f t="shared" si="51"/>
        <v>0</v>
      </c>
      <c r="F622" s="2">
        <f t="shared" si="52"/>
        <v>0</v>
      </c>
      <c r="G622" s="2">
        <f t="shared" si="53"/>
        <v>0</v>
      </c>
      <c r="H622" s="2">
        <f t="shared" si="54"/>
        <v>0</v>
      </c>
      <c r="I622" s="2">
        <f t="shared" si="50"/>
        <v>0</v>
      </c>
      <c r="J622">
        <f>IFERROR(VLOOKUP(B622,'General price list'!C:BA,MATCH("CBM",'General price list'!$C$20:$BA$20,0),FALSE)*(G622*C622),0)</f>
        <v>0</v>
      </c>
    </row>
    <row r="623" spans="2:10" ht="15" customHeight="1">
      <c r="B623" t="s">
        <v>5443</v>
      </c>
      <c r="C623" s="2">
        <f>IFERROR(VLOOKUP(B623,'General price list'!C:BA,MATCH("PAL",'General price list'!$C$20:$BA$20,0),FALSE),"")</f>
        <v>42</v>
      </c>
      <c r="D623" s="2">
        <f>IFERROR(VLOOKUP(B623,'General price list'!C:BA,MATCH("OBJ",'General price list'!$C$20:$BA$20,0),FALSE),"")</f>
        <v>0</v>
      </c>
      <c r="E623" s="2">
        <f t="shared" si="51"/>
        <v>0</v>
      </c>
      <c r="F623" s="2">
        <f t="shared" si="52"/>
        <v>0</v>
      </c>
      <c r="G623" s="2">
        <f t="shared" si="53"/>
        <v>0</v>
      </c>
      <c r="H623" s="2">
        <f t="shared" si="54"/>
        <v>0</v>
      </c>
      <c r="I623" s="2">
        <f t="shared" si="50"/>
        <v>0</v>
      </c>
      <c r="J623">
        <f>IFERROR(VLOOKUP(B623,'General price list'!C:BA,MATCH("CBM",'General price list'!$C$20:$BA$20,0),FALSE)*(G623*C623),0)</f>
        <v>0</v>
      </c>
    </row>
    <row r="624" spans="2:10" ht="15" customHeight="1">
      <c r="B624" t="s">
        <v>1595</v>
      </c>
      <c r="C624" s="2">
        <f>IFERROR(VLOOKUP(B624,'General price list'!C:BA,MATCH("PAL",'General price list'!$C$20:$BA$20,0),FALSE),"")</f>
        <v>42</v>
      </c>
      <c r="D624" s="2">
        <f>IFERROR(VLOOKUP(B624,'General price list'!C:BA,MATCH("OBJ",'General price list'!$C$20:$BA$20,0),FALSE),"")</f>
        <v>0</v>
      </c>
      <c r="E624" s="2">
        <f t="shared" si="51"/>
        <v>0</v>
      </c>
      <c r="F624" s="2">
        <f t="shared" si="52"/>
        <v>0</v>
      </c>
      <c r="G624" s="2">
        <f t="shared" si="53"/>
        <v>0</v>
      </c>
      <c r="H624" s="2">
        <f t="shared" si="54"/>
        <v>0</v>
      </c>
      <c r="I624" s="2">
        <f t="shared" si="50"/>
        <v>0</v>
      </c>
      <c r="J624">
        <f>IFERROR(VLOOKUP(B624,'General price list'!C:BA,MATCH("CBM",'General price list'!$C$20:$BA$20,0),FALSE)*(G624*C624),0)</f>
        <v>0</v>
      </c>
    </row>
    <row r="625" spans="2:10" ht="15" customHeight="1">
      <c r="B625" t="s">
        <v>1597</v>
      </c>
      <c r="C625" s="2">
        <f>IFERROR(VLOOKUP(B625,'General price list'!C:BA,MATCH("PAL",'General price list'!$C$20:$BA$20,0),FALSE),"")</f>
        <v>42</v>
      </c>
      <c r="D625" s="2">
        <f>IFERROR(VLOOKUP(B625,'General price list'!C:BA,MATCH("OBJ",'General price list'!$C$20:$BA$20,0),FALSE),"")</f>
        <v>0</v>
      </c>
      <c r="E625" s="2">
        <f t="shared" si="51"/>
        <v>0</v>
      </c>
      <c r="F625" s="2">
        <f t="shared" si="52"/>
        <v>0</v>
      </c>
      <c r="G625" s="2">
        <f t="shared" si="53"/>
        <v>0</v>
      </c>
      <c r="H625" s="2">
        <f t="shared" si="54"/>
        <v>0</v>
      </c>
      <c r="I625" s="2">
        <f t="shared" si="50"/>
        <v>0</v>
      </c>
      <c r="J625">
        <f>IFERROR(VLOOKUP(B625,'General price list'!C:BA,MATCH("CBM",'General price list'!$C$20:$BA$20,0),FALSE)*(G625*C625),0)</f>
        <v>0</v>
      </c>
    </row>
    <row r="626" spans="2:10" ht="15" customHeight="1">
      <c r="B626" t="s">
        <v>1600</v>
      </c>
      <c r="C626" s="2">
        <f>IFERROR(VLOOKUP(B626,'General price list'!C:BA,MATCH("PAL",'General price list'!$C$20:$BA$20,0),FALSE),"")</f>
        <v>24</v>
      </c>
      <c r="D626" s="2">
        <f>IFERROR(VLOOKUP(B626,'General price list'!C:BA,MATCH("OBJ",'General price list'!$C$20:$BA$20,0),FALSE),"")</f>
        <v>0</v>
      </c>
      <c r="E626" s="2">
        <f t="shared" si="51"/>
        <v>0</v>
      </c>
      <c r="F626" s="2">
        <f t="shared" si="52"/>
        <v>0</v>
      </c>
      <c r="G626" s="2">
        <f t="shared" si="53"/>
        <v>0</v>
      </c>
      <c r="H626" s="2">
        <f t="shared" si="54"/>
        <v>0</v>
      </c>
      <c r="I626" s="2">
        <f t="shared" si="50"/>
        <v>0</v>
      </c>
      <c r="J626">
        <f>IFERROR(VLOOKUP(B626,'General price list'!C:BA,MATCH("CBM",'General price list'!$C$20:$BA$20,0),FALSE)*(G626*C626),0)</f>
        <v>0</v>
      </c>
    </row>
    <row r="627" spans="2:10" ht="15" customHeight="1">
      <c r="B627" t="s">
        <v>2571</v>
      </c>
      <c r="C627" s="2">
        <f>IFERROR(VLOOKUP(B627,'General price list'!C:BA,MATCH("PAL",'General price list'!$C$20:$BA$20,0),FALSE),"")</f>
        <v>12</v>
      </c>
      <c r="D627" s="2">
        <f>IFERROR(VLOOKUP(B627,'General price list'!C:BA,MATCH("OBJ",'General price list'!$C$20:$BA$20,0),FALSE),"")</f>
        <v>0</v>
      </c>
      <c r="E627" s="2">
        <f t="shared" si="51"/>
        <v>0</v>
      </c>
      <c r="F627" s="2">
        <f t="shared" si="52"/>
        <v>0</v>
      </c>
      <c r="G627" s="2">
        <f t="shared" si="53"/>
        <v>0</v>
      </c>
      <c r="H627" s="2">
        <f t="shared" si="54"/>
        <v>0</v>
      </c>
      <c r="I627" s="2">
        <f t="shared" si="50"/>
        <v>0</v>
      </c>
      <c r="J627">
        <f>IFERROR(VLOOKUP(B627,'General price list'!C:BA,MATCH("CBM",'General price list'!$C$20:$BA$20,0),FALSE)*(G627*C627),0)</f>
        <v>0</v>
      </c>
    </row>
    <row r="628" spans="2:10" ht="15" customHeight="1">
      <c r="B628" t="s">
        <v>1601</v>
      </c>
      <c r="C628" s="2">
        <f>IFERROR(VLOOKUP(B628,'General price list'!C:BA,MATCH("PAL",'General price list'!$C$20:$BA$20,0),FALSE),"")</f>
        <v>12</v>
      </c>
      <c r="D628" s="2">
        <f>IFERROR(VLOOKUP(B628,'General price list'!C:BA,MATCH("OBJ",'General price list'!$C$20:$BA$20,0),FALSE),"")</f>
        <v>0</v>
      </c>
      <c r="E628" s="2">
        <f t="shared" si="51"/>
        <v>0</v>
      </c>
      <c r="F628" s="2">
        <f t="shared" si="52"/>
        <v>0</v>
      </c>
      <c r="G628" s="2">
        <f t="shared" si="53"/>
        <v>0</v>
      </c>
      <c r="H628" s="2">
        <f t="shared" si="54"/>
        <v>0</v>
      </c>
      <c r="I628" s="2">
        <f t="shared" si="50"/>
        <v>0</v>
      </c>
      <c r="J628">
        <f>IFERROR(VLOOKUP(B628,'General price list'!C:BA,MATCH("CBM",'General price list'!$C$20:$BA$20,0),FALSE)*(G628*C628),0)</f>
        <v>0</v>
      </c>
    </row>
    <row r="629" spans="2:10" ht="15" customHeight="1">
      <c r="B629" t="s">
        <v>1602</v>
      </c>
      <c r="C629" s="2">
        <f>IFERROR(VLOOKUP(B629,'General price list'!C:BA,MATCH("PAL",'General price list'!$C$20:$BA$20,0),FALSE),"")</f>
        <v>28</v>
      </c>
      <c r="D629" s="2">
        <f>IFERROR(VLOOKUP(B629,'General price list'!C:BA,MATCH("OBJ",'General price list'!$C$20:$BA$20,0),FALSE),"")</f>
        <v>0</v>
      </c>
      <c r="E629" s="2">
        <f t="shared" si="51"/>
        <v>0</v>
      </c>
      <c r="F629" s="2">
        <f t="shared" si="52"/>
        <v>0</v>
      </c>
      <c r="G629" s="2">
        <f t="shared" si="53"/>
        <v>0</v>
      </c>
      <c r="H629" s="2">
        <f t="shared" si="54"/>
        <v>0</v>
      </c>
      <c r="I629" s="2">
        <f t="shared" si="50"/>
        <v>0</v>
      </c>
      <c r="J629">
        <f>IFERROR(VLOOKUP(B629,'General price list'!C:BA,MATCH("CBM",'General price list'!$C$20:$BA$20,0),FALSE)*(G629*C629),0)</f>
        <v>0</v>
      </c>
    </row>
    <row r="630" spans="2:10" ht="15" customHeight="1">
      <c r="B630" t="s">
        <v>1604</v>
      </c>
      <c r="C630" s="2">
        <f>IFERROR(VLOOKUP(B630,'General price list'!C:BA,MATCH("PAL",'General price list'!$C$20:$BA$20,0),FALSE),"")</f>
        <v>28</v>
      </c>
      <c r="D630" s="2">
        <f>IFERROR(VLOOKUP(B630,'General price list'!C:BA,MATCH("OBJ",'General price list'!$C$20:$BA$20,0),FALSE),"")</f>
        <v>0</v>
      </c>
      <c r="E630" s="2">
        <f t="shared" si="51"/>
        <v>0</v>
      </c>
      <c r="F630" s="2">
        <f t="shared" si="52"/>
        <v>0</v>
      </c>
      <c r="G630" s="2">
        <f t="shared" si="53"/>
        <v>0</v>
      </c>
      <c r="H630" s="2">
        <f t="shared" si="54"/>
        <v>0</v>
      </c>
      <c r="I630" s="2">
        <f t="shared" si="50"/>
        <v>0</v>
      </c>
      <c r="J630">
        <f>IFERROR(VLOOKUP(B630,'General price list'!C:BA,MATCH("CBM",'General price list'!$C$20:$BA$20,0),FALSE)*(G630*C630),0)</f>
        <v>0</v>
      </c>
    </row>
    <row r="631" spans="2:10" ht="15" customHeight="1">
      <c r="B631" t="s">
        <v>12018</v>
      </c>
      <c r="C631" s="2">
        <f>IFERROR(VLOOKUP(B631,'General price list'!C:BA,MATCH("PAL",'General price list'!$C$20:$BA$20,0),FALSE),"")</f>
        <v>14</v>
      </c>
      <c r="D631" s="2">
        <f>IFERROR(VLOOKUP(B631,'General price list'!C:BA,MATCH("OBJ",'General price list'!$C$20:$BA$20,0),FALSE),"")</f>
        <v>0</v>
      </c>
      <c r="E631" s="2">
        <f t="shared" si="51"/>
        <v>0</v>
      </c>
      <c r="F631" s="2">
        <f t="shared" si="52"/>
        <v>0</v>
      </c>
      <c r="G631" s="2">
        <f t="shared" si="53"/>
        <v>0</v>
      </c>
      <c r="H631" s="2">
        <f t="shared" si="54"/>
        <v>0</v>
      </c>
      <c r="I631" s="2">
        <f t="shared" si="50"/>
        <v>0</v>
      </c>
      <c r="J631">
        <f>IFERROR(VLOOKUP(B631,'General price list'!C:BA,MATCH("CBM",'General price list'!$C$20:$BA$20,0),FALSE)*(G631*C631),0)</f>
        <v>0</v>
      </c>
    </row>
    <row r="632" spans="2:10" ht="15" customHeight="1">
      <c r="B632" t="s">
        <v>1605</v>
      </c>
      <c r="C632" s="2">
        <f>IFERROR(VLOOKUP(B632,'General price list'!C:BA,MATCH("PAL",'General price list'!$C$20:$BA$20,0),FALSE),"")</f>
        <v>18</v>
      </c>
      <c r="D632" s="2">
        <f>IFERROR(VLOOKUP(B632,'General price list'!C:BA,MATCH("OBJ",'General price list'!$C$20:$BA$20,0),FALSE),"")</f>
        <v>0</v>
      </c>
      <c r="E632" s="2">
        <f t="shared" si="51"/>
        <v>0</v>
      </c>
      <c r="F632" s="2">
        <f t="shared" si="52"/>
        <v>0</v>
      </c>
      <c r="G632" s="2">
        <f t="shared" si="53"/>
        <v>0</v>
      </c>
      <c r="H632" s="2">
        <f t="shared" si="54"/>
        <v>0</v>
      </c>
      <c r="I632" s="2">
        <f t="shared" si="50"/>
        <v>0</v>
      </c>
      <c r="J632">
        <f>IFERROR(VLOOKUP(B632,'General price list'!C:BA,MATCH("CBM",'General price list'!$C$20:$BA$20,0),FALSE)*(G632*C632),0)</f>
        <v>0</v>
      </c>
    </row>
    <row r="633" spans="2:10" ht="15" customHeight="1">
      <c r="B633" t="s">
        <v>1606</v>
      </c>
      <c r="C633" s="2">
        <f>IFERROR(VLOOKUP(B633,'General price list'!C:BA,MATCH("PAL",'General price list'!$C$20:$BA$20,0),FALSE),"")</f>
        <v>18</v>
      </c>
      <c r="D633" s="2">
        <f>IFERROR(VLOOKUP(B633,'General price list'!C:BA,MATCH("OBJ",'General price list'!$C$20:$BA$20,0),FALSE),"")</f>
        <v>0</v>
      </c>
      <c r="E633" s="2">
        <f t="shared" si="51"/>
        <v>0</v>
      </c>
      <c r="F633" s="2">
        <f t="shared" si="52"/>
        <v>0</v>
      </c>
      <c r="G633" s="2">
        <f t="shared" si="53"/>
        <v>0</v>
      </c>
      <c r="H633" s="2">
        <f t="shared" si="54"/>
        <v>0</v>
      </c>
      <c r="I633" s="2">
        <f t="shared" si="50"/>
        <v>0</v>
      </c>
      <c r="J633">
        <f>IFERROR(VLOOKUP(B633,'General price list'!C:BA,MATCH("CBM",'General price list'!$C$20:$BA$20,0),FALSE)*(G633*C633),0)</f>
        <v>0</v>
      </c>
    </row>
    <row r="634" spans="2:10" ht="15" customHeight="1">
      <c r="B634" t="s">
        <v>1607</v>
      </c>
      <c r="C634" s="2">
        <f>IFERROR(VLOOKUP(B634,'General price list'!C:BA,MATCH("PAL",'General price list'!$C$20:$BA$20,0),FALSE),"")</f>
        <v>18</v>
      </c>
      <c r="D634" s="2">
        <f>IFERROR(VLOOKUP(B634,'General price list'!C:BA,MATCH("OBJ",'General price list'!$C$20:$BA$20,0),FALSE),"")</f>
        <v>0</v>
      </c>
      <c r="E634" s="2">
        <f t="shared" si="51"/>
        <v>0</v>
      </c>
      <c r="F634" s="2">
        <f t="shared" si="52"/>
        <v>0</v>
      </c>
      <c r="G634" s="2">
        <f t="shared" si="53"/>
        <v>0</v>
      </c>
      <c r="H634" s="2">
        <f t="shared" si="54"/>
        <v>0</v>
      </c>
      <c r="I634" s="2">
        <f t="shared" si="50"/>
        <v>0</v>
      </c>
      <c r="J634">
        <f>IFERROR(VLOOKUP(B634,'General price list'!C:BA,MATCH("CBM",'General price list'!$C$20:$BA$20,0),FALSE)*(G634*C634),0)</f>
        <v>0</v>
      </c>
    </row>
    <row r="635" spans="2:10" ht="15" customHeight="1">
      <c r="B635" t="s">
        <v>1608</v>
      </c>
      <c r="C635" s="2">
        <f>IFERROR(VLOOKUP(B635,'General price list'!C:BA,MATCH("PAL",'General price list'!$C$20:$BA$20,0),FALSE),"")</f>
        <v>18</v>
      </c>
      <c r="D635" s="2">
        <f>IFERROR(VLOOKUP(B635,'General price list'!C:BA,MATCH("OBJ",'General price list'!$C$20:$BA$20,0),FALSE),"")</f>
        <v>0</v>
      </c>
      <c r="E635" s="2">
        <f t="shared" si="51"/>
        <v>0</v>
      </c>
      <c r="F635" s="2">
        <f t="shared" si="52"/>
        <v>0</v>
      </c>
      <c r="G635" s="2">
        <f t="shared" si="53"/>
        <v>0</v>
      </c>
      <c r="H635" s="2">
        <f t="shared" si="54"/>
        <v>0</v>
      </c>
      <c r="I635" s="2">
        <f t="shared" si="50"/>
        <v>0</v>
      </c>
      <c r="J635">
        <f>IFERROR(VLOOKUP(B635,'General price list'!C:BA,MATCH("CBM",'General price list'!$C$20:$BA$20,0),FALSE)*(G635*C635),0)</f>
        <v>0</v>
      </c>
    </row>
    <row r="636" spans="2:10" ht="15" customHeight="1">
      <c r="B636" t="s">
        <v>1609</v>
      </c>
      <c r="C636" s="2">
        <f>IFERROR(VLOOKUP(B636,'General price list'!C:BA,MATCH("PAL",'General price list'!$C$20:$BA$20,0),FALSE),"")</f>
        <v>7</v>
      </c>
      <c r="D636" s="2">
        <f>IFERROR(VLOOKUP(B636,'General price list'!C:BA,MATCH("OBJ",'General price list'!$C$20:$BA$20,0),FALSE),"")</f>
        <v>0</v>
      </c>
      <c r="E636" s="2">
        <f t="shared" si="51"/>
        <v>0</v>
      </c>
      <c r="F636" s="2">
        <f t="shared" si="52"/>
        <v>0</v>
      </c>
      <c r="G636" s="2">
        <f t="shared" si="53"/>
        <v>0</v>
      </c>
      <c r="H636" s="2">
        <f t="shared" si="54"/>
        <v>0</v>
      </c>
      <c r="I636" s="2">
        <f t="shared" si="50"/>
        <v>0</v>
      </c>
      <c r="J636">
        <f>IFERROR(VLOOKUP(B636,'General price list'!C:BA,MATCH("CBM",'General price list'!$C$20:$BA$20,0),FALSE)*(G636*C636),0)</f>
        <v>0</v>
      </c>
    </row>
    <row r="637" spans="2:10" ht="15" customHeight="1">
      <c r="B637" t="s">
        <v>2751</v>
      </c>
      <c r="C637" s="2">
        <f>IFERROR(VLOOKUP(B637,'General price list'!C:BA,MATCH("PAL",'General price list'!$C$20:$BA$20,0),FALSE),"")</f>
        <v>36</v>
      </c>
      <c r="D637" s="2">
        <f>IFERROR(VLOOKUP(B637,'General price list'!C:BA,MATCH("OBJ",'General price list'!$C$20:$BA$20,0),FALSE),"")</f>
        <v>0</v>
      </c>
      <c r="E637" s="2">
        <f t="shared" si="51"/>
        <v>0</v>
      </c>
      <c r="F637" s="2">
        <f t="shared" si="52"/>
        <v>0</v>
      </c>
      <c r="G637" s="2">
        <f t="shared" si="53"/>
        <v>0</v>
      </c>
      <c r="H637" s="2">
        <f t="shared" si="54"/>
        <v>0</v>
      </c>
      <c r="I637" s="2">
        <f t="shared" si="50"/>
        <v>0</v>
      </c>
      <c r="J637">
        <f>IFERROR(VLOOKUP(B637,'General price list'!C:BA,MATCH("CBM",'General price list'!$C$20:$BA$20,0),FALSE)*(G637*C637),0)</f>
        <v>0</v>
      </c>
    </row>
    <row r="638" spans="2:10" ht="15" customHeight="1">
      <c r="B638" t="s">
        <v>2752</v>
      </c>
      <c r="C638" s="2">
        <f>IFERROR(VLOOKUP(B638,'General price list'!C:BA,MATCH("PAL",'General price list'!$C$20:$BA$20,0),FALSE),"")</f>
        <v>36</v>
      </c>
      <c r="D638" s="2">
        <f>IFERROR(VLOOKUP(B638,'General price list'!C:BA,MATCH("OBJ",'General price list'!$C$20:$BA$20,0),FALSE),"")</f>
        <v>0</v>
      </c>
      <c r="E638" s="2">
        <f t="shared" si="51"/>
        <v>0</v>
      </c>
      <c r="F638" s="2">
        <f t="shared" si="52"/>
        <v>0</v>
      </c>
      <c r="G638" s="2">
        <f t="shared" si="53"/>
        <v>0</v>
      </c>
      <c r="H638" s="2">
        <f t="shared" si="54"/>
        <v>0</v>
      </c>
      <c r="I638" s="2">
        <f t="shared" si="50"/>
        <v>0</v>
      </c>
      <c r="J638">
        <f>IFERROR(VLOOKUP(B638,'General price list'!C:BA,MATCH("CBM",'General price list'!$C$20:$BA$20,0),FALSE)*(G638*C638),0)</f>
        <v>0</v>
      </c>
    </row>
    <row r="639" spans="2:10" ht="15" customHeight="1">
      <c r="B639" t="s">
        <v>2753</v>
      </c>
      <c r="C639" s="2">
        <f>IFERROR(VLOOKUP(B639,'General price list'!C:BA,MATCH("PAL",'General price list'!$C$20:$BA$20,0),FALSE),"")</f>
        <v>36</v>
      </c>
      <c r="D639" s="2">
        <f>IFERROR(VLOOKUP(B639,'General price list'!C:BA,MATCH("OBJ",'General price list'!$C$20:$BA$20,0),FALSE),"")</f>
        <v>0</v>
      </c>
      <c r="E639" s="2">
        <f t="shared" si="51"/>
        <v>0</v>
      </c>
      <c r="F639" s="2">
        <f t="shared" si="52"/>
        <v>0</v>
      </c>
      <c r="G639" s="2">
        <f t="shared" si="53"/>
        <v>0</v>
      </c>
      <c r="H639" s="2">
        <f t="shared" si="54"/>
        <v>0</v>
      </c>
      <c r="I639" s="2">
        <f t="shared" si="50"/>
        <v>0</v>
      </c>
      <c r="J639">
        <f>IFERROR(VLOOKUP(B639,'General price list'!C:BA,MATCH("CBM",'General price list'!$C$20:$BA$20,0),FALSE)*(G639*C639),0)</f>
        <v>0</v>
      </c>
    </row>
    <row r="640" spans="2:10" ht="15" customHeight="1">
      <c r="B640" t="s">
        <v>2754</v>
      </c>
      <c r="C640" s="2">
        <f>IFERROR(VLOOKUP(B640,'General price list'!C:BA,MATCH("PAL",'General price list'!$C$20:$BA$20,0),FALSE),"")</f>
        <v>36</v>
      </c>
      <c r="D640" s="2">
        <f>IFERROR(VLOOKUP(B640,'General price list'!C:BA,MATCH("OBJ",'General price list'!$C$20:$BA$20,0),FALSE),"")</f>
        <v>0</v>
      </c>
      <c r="E640" s="2">
        <f t="shared" si="51"/>
        <v>0</v>
      </c>
      <c r="F640" s="2">
        <f t="shared" si="52"/>
        <v>0</v>
      </c>
      <c r="G640" s="2">
        <f t="shared" si="53"/>
        <v>0</v>
      </c>
      <c r="H640" s="2">
        <f t="shared" si="54"/>
        <v>0</v>
      </c>
      <c r="I640" s="2">
        <f t="shared" si="50"/>
        <v>0</v>
      </c>
      <c r="J640">
        <f>IFERROR(VLOOKUP(B640,'General price list'!C:BA,MATCH("CBM",'General price list'!$C$20:$BA$20,0),FALSE)*(G640*C640),0)</f>
        <v>0</v>
      </c>
    </row>
    <row r="641" spans="2:10" ht="15" customHeight="1">
      <c r="B641" t="s">
        <v>2755</v>
      </c>
      <c r="C641" s="2">
        <f>IFERROR(VLOOKUP(B641,'General price list'!C:BA,MATCH("PAL",'General price list'!$C$20:$BA$20,0),FALSE),"")</f>
        <v>36</v>
      </c>
      <c r="D641" s="2">
        <f>IFERROR(VLOOKUP(B641,'General price list'!C:BA,MATCH("OBJ",'General price list'!$C$20:$BA$20,0),FALSE),"")</f>
        <v>0</v>
      </c>
      <c r="E641" s="2">
        <f t="shared" si="51"/>
        <v>0</v>
      </c>
      <c r="F641" s="2">
        <f t="shared" si="52"/>
        <v>0</v>
      </c>
      <c r="G641" s="2">
        <f t="shared" si="53"/>
        <v>0</v>
      </c>
      <c r="H641" s="2">
        <f t="shared" si="54"/>
        <v>0</v>
      </c>
      <c r="I641" s="2">
        <f t="shared" si="50"/>
        <v>0</v>
      </c>
      <c r="J641">
        <f>IFERROR(VLOOKUP(B641,'General price list'!C:BA,MATCH("CBM",'General price list'!$C$20:$BA$20,0),FALSE)*(G641*C641),0)</f>
        <v>0</v>
      </c>
    </row>
    <row r="642" spans="2:10" ht="15" customHeight="1">
      <c r="B642" t="s">
        <v>5456</v>
      </c>
      <c r="C642" s="2">
        <f>IFERROR(VLOOKUP(B642,'General price list'!C:BA,MATCH("PAL",'General price list'!$C$20:$BA$20,0),FALSE),"")</f>
        <v>24</v>
      </c>
      <c r="D642" s="2">
        <f>IFERROR(VLOOKUP(B642,'General price list'!C:BA,MATCH("OBJ",'General price list'!$C$20:$BA$20,0),FALSE),"")</f>
        <v>0</v>
      </c>
      <c r="E642" s="2">
        <f t="shared" si="51"/>
        <v>0</v>
      </c>
      <c r="F642" s="2">
        <f t="shared" si="52"/>
        <v>0</v>
      </c>
      <c r="G642" s="2">
        <f t="shared" si="53"/>
        <v>0</v>
      </c>
      <c r="H642" s="2">
        <f t="shared" si="54"/>
        <v>0</v>
      </c>
      <c r="I642" s="2">
        <f t="shared" si="50"/>
        <v>0</v>
      </c>
      <c r="J642">
        <f>IFERROR(VLOOKUP(B642,'General price list'!C:BA,MATCH("CBM",'General price list'!$C$20:$BA$20,0),FALSE)*(G642*C642),0)</f>
        <v>0</v>
      </c>
    </row>
    <row r="643" spans="2:10" ht="15" customHeight="1">
      <c r="B643" t="s">
        <v>2756</v>
      </c>
      <c r="C643" s="2">
        <f>IFERROR(VLOOKUP(B643,'General price list'!C:BA,MATCH("PAL",'General price list'!$C$20:$BA$20,0),FALSE),"")</f>
        <v>12</v>
      </c>
      <c r="D643" s="2">
        <f>IFERROR(VLOOKUP(B643,'General price list'!C:BA,MATCH("OBJ",'General price list'!$C$20:$BA$20,0),FALSE),"")</f>
        <v>0</v>
      </c>
      <c r="E643" s="2">
        <f t="shared" si="51"/>
        <v>0</v>
      </c>
      <c r="F643" s="2">
        <f t="shared" si="52"/>
        <v>0</v>
      </c>
      <c r="G643" s="2">
        <f t="shared" si="53"/>
        <v>0</v>
      </c>
      <c r="H643" s="2">
        <f t="shared" si="54"/>
        <v>0</v>
      </c>
      <c r="I643" s="2">
        <f t="shared" si="50"/>
        <v>0</v>
      </c>
      <c r="J643">
        <f>IFERROR(VLOOKUP(B643,'General price list'!C:BA,MATCH("CBM",'General price list'!$C$20:$BA$20,0),FALSE)*(G643*C643),0)</f>
        <v>0</v>
      </c>
    </row>
    <row r="644" spans="2:10" ht="15" customHeight="1">
      <c r="B644" t="s">
        <v>2652</v>
      </c>
      <c r="C644" s="2">
        <f>IFERROR(VLOOKUP(B644,'General price list'!C:BA,MATCH("PAL",'General price list'!$C$20:$BA$20,0),FALSE),"")</f>
        <v>12</v>
      </c>
      <c r="D644" s="2">
        <f>IFERROR(VLOOKUP(B644,'General price list'!C:BA,MATCH("OBJ",'General price list'!$C$20:$BA$20,0),FALSE),"")</f>
        <v>0</v>
      </c>
      <c r="E644" s="2">
        <f t="shared" si="51"/>
        <v>0</v>
      </c>
      <c r="F644" s="2">
        <f t="shared" si="52"/>
        <v>0</v>
      </c>
      <c r="G644" s="2">
        <f t="shared" si="53"/>
        <v>0</v>
      </c>
      <c r="H644" s="2">
        <f t="shared" si="54"/>
        <v>0</v>
      </c>
      <c r="I644" s="2">
        <f t="shared" ref="I644:I707" si="55">IFERROR(IF(D644=0,0,IF(F644=0,(D644*nextVK)+(prvniVK-nextVK),(G644*C644*nextVK)+(F644*PALzKoje))),0)</f>
        <v>0</v>
      </c>
      <c r="J644">
        <f>IFERROR(VLOOKUP(B644,'General price list'!C:BA,MATCH("CBM",'General price list'!$C$20:$BA$20,0),FALSE)*(G644*C644),0)</f>
        <v>0</v>
      </c>
    </row>
    <row r="645" spans="2:10" ht="15" customHeight="1">
      <c r="B645" t="s">
        <v>2757</v>
      </c>
      <c r="C645" s="2">
        <f>IFERROR(VLOOKUP(B645,'General price list'!C:BA,MATCH("PAL",'General price list'!$C$20:$BA$20,0),FALSE),"")</f>
        <v>24</v>
      </c>
      <c r="D645" s="2">
        <f>IFERROR(VLOOKUP(B645,'General price list'!C:BA,MATCH("OBJ",'General price list'!$C$20:$BA$20,0),FALSE),"")</f>
        <v>0</v>
      </c>
      <c r="E645" s="2">
        <f t="shared" ref="E645:E708" si="56">IFERROR(D645/C645,0)</f>
        <v>0</v>
      </c>
      <c r="F645" s="2">
        <f t="shared" ref="F645:F708" si="57">IFERROR(FLOOR(IF(E645-1&lt;0,0,E645),1),0)</f>
        <v>0</v>
      </c>
      <c r="G645" s="2">
        <f t="shared" ref="G645:G708" si="58">IFERROR(IF(H645&gt;E645,F645-E645,E645-F645),0)</f>
        <v>0</v>
      </c>
      <c r="H645" s="2">
        <f t="shared" ref="H645:H708" si="59">IFERROR(IF(E645=0,0,F645),0)</f>
        <v>0</v>
      </c>
      <c r="I645" s="2">
        <f t="shared" si="55"/>
        <v>0</v>
      </c>
      <c r="J645">
        <f>IFERROR(VLOOKUP(B645,'General price list'!C:BA,MATCH("CBM",'General price list'!$C$20:$BA$20,0),FALSE)*(G645*C645),0)</f>
        <v>0</v>
      </c>
    </row>
    <row r="646" spans="2:10" ht="15" customHeight="1">
      <c r="B646" t="s">
        <v>2758</v>
      </c>
      <c r="C646" s="2">
        <f>IFERROR(VLOOKUP(B646,'General price list'!C:BA,MATCH("PAL",'General price list'!$C$20:$BA$20,0),FALSE),"")</f>
        <v>24</v>
      </c>
      <c r="D646" s="2">
        <f>IFERROR(VLOOKUP(B646,'General price list'!C:BA,MATCH("OBJ",'General price list'!$C$20:$BA$20,0),FALSE),"")</f>
        <v>0</v>
      </c>
      <c r="E646" s="2">
        <f t="shared" si="56"/>
        <v>0</v>
      </c>
      <c r="F646" s="2">
        <f t="shared" si="57"/>
        <v>0</v>
      </c>
      <c r="G646" s="2">
        <f t="shared" si="58"/>
        <v>0</v>
      </c>
      <c r="H646" s="2">
        <f t="shared" si="59"/>
        <v>0</v>
      </c>
      <c r="I646" s="2">
        <f t="shared" si="55"/>
        <v>0</v>
      </c>
      <c r="J646">
        <f>IFERROR(VLOOKUP(B646,'General price list'!C:BA,MATCH("CBM",'General price list'!$C$20:$BA$20,0),FALSE)*(G646*C646),0)</f>
        <v>0</v>
      </c>
    </row>
    <row r="647" spans="2:10" ht="15" customHeight="1">
      <c r="B647" t="s">
        <v>2759</v>
      </c>
      <c r="C647" s="2">
        <f>IFERROR(VLOOKUP(B647,'General price list'!C:BA,MATCH("PAL",'General price list'!$C$20:$BA$20,0),FALSE),"")</f>
        <v>21</v>
      </c>
      <c r="D647" s="2">
        <f>IFERROR(VLOOKUP(B647,'General price list'!C:BA,MATCH("OBJ",'General price list'!$C$20:$BA$20,0),FALSE),"")</f>
        <v>0</v>
      </c>
      <c r="E647" s="2">
        <f t="shared" si="56"/>
        <v>0</v>
      </c>
      <c r="F647" s="2">
        <f t="shared" si="57"/>
        <v>0</v>
      </c>
      <c r="G647" s="2">
        <f t="shared" si="58"/>
        <v>0</v>
      </c>
      <c r="H647" s="2">
        <f t="shared" si="59"/>
        <v>0</v>
      </c>
      <c r="I647" s="2">
        <f t="shared" si="55"/>
        <v>0</v>
      </c>
      <c r="J647">
        <f>IFERROR(VLOOKUP(B647,'General price list'!C:BA,MATCH("CBM",'General price list'!$C$20:$BA$20,0),FALSE)*(G647*C647),0)</f>
        <v>0</v>
      </c>
    </row>
    <row r="648" spans="2:10" ht="15" customHeight="1">
      <c r="B648" t="s">
        <v>2760</v>
      </c>
      <c r="C648" s="2">
        <f>IFERROR(VLOOKUP(B648,'General price list'!C:BA,MATCH("PAL",'General price list'!$C$20:$BA$20,0),FALSE),"")</f>
        <v>21</v>
      </c>
      <c r="D648" s="2">
        <f>IFERROR(VLOOKUP(B648,'General price list'!C:BA,MATCH("OBJ",'General price list'!$C$20:$BA$20,0),FALSE),"")</f>
        <v>0</v>
      </c>
      <c r="E648" s="2">
        <f t="shared" si="56"/>
        <v>0</v>
      </c>
      <c r="F648" s="2">
        <f t="shared" si="57"/>
        <v>0</v>
      </c>
      <c r="G648" s="2">
        <f t="shared" si="58"/>
        <v>0</v>
      </c>
      <c r="H648" s="2">
        <f t="shared" si="59"/>
        <v>0</v>
      </c>
      <c r="I648" s="2">
        <f t="shared" si="55"/>
        <v>0</v>
      </c>
      <c r="J648">
        <f>IFERROR(VLOOKUP(B648,'General price list'!C:BA,MATCH("CBM",'General price list'!$C$20:$BA$20,0),FALSE)*(G648*C648),0)</f>
        <v>0</v>
      </c>
    </row>
    <row r="649" spans="2:10" ht="15" customHeight="1">
      <c r="B649" t="s">
        <v>5457</v>
      </c>
      <c r="C649" s="2">
        <f>IFERROR(VLOOKUP(B649,'General price list'!C:BA,MATCH("PAL",'General price list'!$C$20:$BA$20,0),FALSE),"")</f>
        <v>21</v>
      </c>
      <c r="D649" s="2">
        <f>IFERROR(VLOOKUP(B649,'General price list'!C:BA,MATCH("OBJ",'General price list'!$C$20:$BA$20,0),FALSE),"")</f>
        <v>0</v>
      </c>
      <c r="E649" s="2">
        <f t="shared" si="56"/>
        <v>0</v>
      </c>
      <c r="F649" s="2">
        <f t="shared" si="57"/>
        <v>0</v>
      </c>
      <c r="G649" s="2">
        <f t="shared" si="58"/>
        <v>0</v>
      </c>
      <c r="H649" s="2">
        <f t="shared" si="59"/>
        <v>0</v>
      </c>
      <c r="I649" s="2">
        <f t="shared" si="55"/>
        <v>0</v>
      </c>
      <c r="J649">
        <f>IFERROR(VLOOKUP(B649,'General price list'!C:BA,MATCH("CBM",'General price list'!$C$20:$BA$20,0),FALSE)*(G649*C649),0)</f>
        <v>0</v>
      </c>
    </row>
    <row r="650" spans="2:10" ht="15" customHeight="1">
      <c r="B650" t="s">
        <v>2653</v>
      </c>
      <c r="C650" s="2">
        <f>IFERROR(VLOOKUP(B650,'General price list'!C:BA,MATCH("PAL",'General price list'!$C$20:$BA$20,0),FALSE),"")</f>
        <v>14</v>
      </c>
      <c r="D650" s="2">
        <f>IFERROR(VLOOKUP(B650,'General price list'!C:BA,MATCH("OBJ",'General price list'!$C$20:$BA$20,0),FALSE),"")</f>
        <v>0</v>
      </c>
      <c r="E650" s="2">
        <f t="shared" si="56"/>
        <v>0</v>
      </c>
      <c r="F650" s="2">
        <f t="shared" si="57"/>
        <v>0</v>
      </c>
      <c r="G650" s="2">
        <f t="shared" si="58"/>
        <v>0</v>
      </c>
      <c r="H650" s="2">
        <f t="shared" si="59"/>
        <v>0</v>
      </c>
      <c r="I650" s="2">
        <f t="shared" si="55"/>
        <v>0</v>
      </c>
      <c r="J650">
        <f>IFERROR(VLOOKUP(B650,'General price list'!C:BA,MATCH("CBM",'General price list'!$C$20:$BA$20,0),FALSE)*(G650*C650),0)</f>
        <v>0</v>
      </c>
    </row>
    <row r="651" spans="2:10" ht="15" customHeight="1">
      <c r="B651" t="s">
        <v>1611</v>
      </c>
      <c r="C651" s="2">
        <f>IFERROR(VLOOKUP(B651,'General price list'!C:BA,MATCH("PAL",'General price list'!$C$20:$BA$20,0),FALSE),"")</f>
        <v>25</v>
      </c>
      <c r="D651" s="2">
        <f>IFERROR(VLOOKUP(B651,'General price list'!C:BA,MATCH("OBJ",'General price list'!$C$20:$BA$20,0),FALSE),"")</f>
        <v>0</v>
      </c>
      <c r="E651" s="2">
        <f t="shared" si="56"/>
        <v>0</v>
      </c>
      <c r="F651" s="2">
        <f t="shared" si="57"/>
        <v>0</v>
      </c>
      <c r="G651" s="2">
        <f t="shared" si="58"/>
        <v>0</v>
      </c>
      <c r="H651" s="2">
        <f t="shared" si="59"/>
        <v>0</v>
      </c>
      <c r="I651" s="2">
        <f t="shared" si="55"/>
        <v>0</v>
      </c>
      <c r="J651">
        <f>IFERROR(VLOOKUP(B651,'General price list'!C:BA,MATCH("CBM",'General price list'!$C$20:$BA$20,0),FALSE)*(G651*C651),0)</f>
        <v>0</v>
      </c>
    </row>
    <row r="652" spans="2:10" ht="15" customHeight="1">
      <c r="B652" t="s">
        <v>1613</v>
      </c>
      <c r="C652" s="2">
        <f>IFERROR(VLOOKUP(B652,'General price list'!C:BA,MATCH("PAL",'General price list'!$C$20:$BA$20,0),FALSE),"")</f>
        <v>25</v>
      </c>
      <c r="D652" s="2">
        <f>IFERROR(VLOOKUP(B652,'General price list'!C:BA,MATCH("OBJ",'General price list'!$C$20:$BA$20,0),FALSE),"")</f>
        <v>0</v>
      </c>
      <c r="E652" s="2">
        <f t="shared" si="56"/>
        <v>0</v>
      </c>
      <c r="F652" s="2">
        <f t="shared" si="57"/>
        <v>0</v>
      </c>
      <c r="G652" s="2">
        <f t="shared" si="58"/>
        <v>0</v>
      </c>
      <c r="H652" s="2">
        <f t="shared" si="59"/>
        <v>0</v>
      </c>
      <c r="I652" s="2">
        <f t="shared" si="55"/>
        <v>0</v>
      </c>
      <c r="J652">
        <f>IFERROR(VLOOKUP(B652,'General price list'!C:BA,MATCH("CBM",'General price list'!$C$20:$BA$20,0),FALSE)*(G652*C652),0)</f>
        <v>0</v>
      </c>
    </row>
    <row r="653" spans="2:10" ht="15" customHeight="1">
      <c r="B653" t="s">
        <v>2574</v>
      </c>
      <c r="C653" s="2">
        <f>IFERROR(VLOOKUP(B653,'General price list'!C:BA,MATCH("PAL",'General price list'!$C$20:$BA$20,0),FALSE),"")</f>
        <v>30</v>
      </c>
      <c r="D653" s="2">
        <f>IFERROR(VLOOKUP(B653,'General price list'!C:BA,MATCH("OBJ",'General price list'!$C$20:$BA$20,0),FALSE),"")</f>
        <v>0</v>
      </c>
      <c r="E653" s="2">
        <f t="shared" si="56"/>
        <v>0</v>
      </c>
      <c r="F653" s="2">
        <f t="shared" si="57"/>
        <v>0</v>
      </c>
      <c r="G653" s="2">
        <f t="shared" si="58"/>
        <v>0</v>
      </c>
      <c r="H653" s="2">
        <f t="shared" si="59"/>
        <v>0</v>
      </c>
      <c r="I653" s="2">
        <f t="shared" si="55"/>
        <v>0</v>
      </c>
      <c r="J653">
        <f>IFERROR(VLOOKUP(B653,'General price list'!C:BA,MATCH("CBM",'General price list'!$C$20:$BA$20,0),FALSE)*(G653*C653),0)</f>
        <v>0</v>
      </c>
    </row>
    <row r="654" spans="2:10" ht="15" customHeight="1">
      <c r="B654" t="s">
        <v>2576</v>
      </c>
      <c r="C654" s="2">
        <f>IFERROR(VLOOKUP(B654,'General price list'!C:BA,MATCH("PAL",'General price list'!$C$20:$BA$20,0),FALSE),"")</f>
        <v>30</v>
      </c>
      <c r="D654" s="2">
        <f>IFERROR(VLOOKUP(B654,'General price list'!C:BA,MATCH("OBJ",'General price list'!$C$20:$BA$20,0),FALSE),"")</f>
        <v>0</v>
      </c>
      <c r="E654" s="2">
        <f t="shared" si="56"/>
        <v>0</v>
      </c>
      <c r="F654" s="2">
        <f t="shared" si="57"/>
        <v>0</v>
      </c>
      <c r="G654" s="2">
        <f t="shared" si="58"/>
        <v>0</v>
      </c>
      <c r="H654" s="2">
        <f t="shared" si="59"/>
        <v>0</v>
      </c>
      <c r="I654" s="2">
        <f t="shared" si="55"/>
        <v>0</v>
      </c>
      <c r="J654">
        <f>IFERROR(VLOOKUP(B654,'General price list'!C:BA,MATCH("CBM",'General price list'!$C$20:$BA$20,0),FALSE)*(G654*C654),0)</f>
        <v>0</v>
      </c>
    </row>
    <row r="655" spans="2:10" ht="15" customHeight="1">
      <c r="B655" t="s">
        <v>2577</v>
      </c>
      <c r="C655" s="2">
        <f>IFERROR(VLOOKUP(B655,'General price list'!C:BA,MATCH("PAL",'General price list'!$C$20:$BA$20,0),FALSE),"")</f>
        <v>30</v>
      </c>
      <c r="D655" s="2">
        <f>IFERROR(VLOOKUP(B655,'General price list'!C:BA,MATCH("OBJ",'General price list'!$C$20:$BA$20,0),FALSE),"")</f>
        <v>0</v>
      </c>
      <c r="E655" s="2">
        <f t="shared" si="56"/>
        <v>0</v>
      </c>
      <c r="F655" s="2">
        <f t="shared" si="57"/>
        <v>0</v>
      </c>
      <c r="G655" s="2">
        <f t="shared" si="58"/>
        <v>0</v>
      </c>
      <c r="H655" s="2">
        <f t="shared" si="59"/>
        <v>0</v>
      </c>
      <c r="I655" s="2">
        <f t="shared" si="55"/>
        <v>0</v>
      </c>
      <c r="J655">
        <f>IFERROR(VLOOKUP(B655,'General price list'!C:BA,MATCH("CBM",'General price list'!$C$20:$BA$20,0),FALSE)*(G655*C655),0)</f>
        <v>0</v>
      </c>
    </row>
    <row r="656" spans="2:10" ht="15" customHeight="1">
      <c r="B656" t="s">
        <v>1615</v>
      </c>
      <c r="C656" s="2">
        <f>IFERROR(VLOOKUP(B656,'General price list'!C:BA,MATCH("PAL",'General price list'!$C$20:$BA$20,0),FALSE),"")</f>
        <v>20</v>
      </c>
      <c r="D656" s="2">
        <f>IFERROR(VLOOKUP(B656,'General price list'!C:BA,MATCH("OBJ",'General price list'!$C$20:$BA$20,0),FALSE),"")</f>
        <v>0</v>
      </c>
      <c r="E656" s="2">
        <f t="shared" si="56"/>
        <v>0</v>
      </c>
      <c r="F656" s="2">
        <f t="shared" si="57"/>
        <v>0</v>
      </c>
      <c r="G656" s="2">
        <f t="shared" si="58"/>
        <v>0</v>
      </c>
      <c r="H656" s="2">
        <f t="shared" si="59"/>
        <v>0</v>
      </c>
      <c r="I656" s="2">
        <f t="shared" si="55"/>
        <v>0</v>
      </c>
      <c r="J656">
        <f>IFERROR(VLOOKUP(B656,'General price list'!C:BA,MATCH("CBM",'General price list'!$C$20:$BA$20,0),FALSE)*(G656*C656),0)</f>
        <v>0</v>
      </c>
    </row>
    <row r="657" spans="2:10" ht="15" customHeight="1">
      <c r="B657" t="s">
        <v>2578</v>
      </c>
      <c r="C657" s="2">
        <f>IFERROR(VLOOKUP(B657,'General price list'!C:BA,MATCH("PAL",'General price list'!$C$20:$BA$20,0),FALSE),"")</f>
        <v>20</v>
      </c>
      <c r="D657" s="2">
        <f>IFERROR(VLOOKUP(B657,'General price list'!C:BA,MATCH("OBJ",'General price list'!$C$20:$BA$20,0),FALSE),"")</f>
        <v>0</v>
      </c>
      <c r="E657" s="2">
        <f t="shared" si="56"/>
        <v>0</v>
      </c>
      <c r="F657" s="2">
        <f t="shared" si="57"/>
        <v>0</v>
      </c>
      <c r="G657" s="2">
        <f t="shared" si="58"/>
        <v>0</v>
      </c>
      <c r="H657" s="2">
        <f t="shared" si="59"/>
        <v>0</v>
      </c>
      <c r="I657" s="2">
        <f t="shared" si="55"/>
        <v>0</v>
      </c>
      <c r="J657">
        <f>IFERROR(VLOOKUP(B657,'General price list'!C:BA,MATCH("CBM",'General price list'!$C$20:$BA$20,0),FALSE)*(G657*C657),0)</f>
        <v>0</v>
      </c>
    </row>
    <row r="658" spans="2:10" ht="15" customHeight="1">
      <c r="B658" t="s">
        <v>2580</v>
      </c>
      <c r="C658" s="2">
        <f>IFERROR(VLOOKUP(B658,'General price list'!C:BA,MATCH("PAL",'General price list'!$C$20:$BA$20,0),FALSE),"")</f>
        <v>20</v>
      </c>
      <c r="D658" s="2">
        <f>IFERROR(VLOOKUP(B658,'General price list'!C:BA,MATCH("OBJ",'General price list'!$C$20:$BA$20,0),FALSE),"")</f>
        <v>0</v>
      </c>
      <c r="E658" s="2">
        <f t="shared" si="56"/>
        <v>0</v>
      </c>
      <c r="F658" s="2">
        <f t="shared" si="57"/>
        <v>0</v>
      </c>
      <c r="G658" s="2">
        <f t="shared" si="58"/>
        <v>0</v>
      </c>
      <c r="H658" s="2">
        <f t="shared" si="59"/>
        <v>0</v>
      </c>
      <c r="I658" s="2">
        <f t="shared" si="55"/>
        <v>0</v>
      </c>
      <c r="J658">
        <f>IFERROR(VLOOKUP(B658,'General price list'!C:BA,MATCH("CBM",'General price list'!$C$20:$BA$20,0),FALSE)*(G658*C658),0)</f>
        <v>0</v>
      </c>
    </row>
    <row r="659" spans="2:10" ht="15" customHeight="1">
      <c r="B659" t="s">
        <v>2582</v>
      </c>
      <c r="C659" s="2">
        <f>IFERROR(VLOOKUP(B659,'General price list'!C:BA,MATCH("PAL",'General price list'!$C$20:$BA$20,0),FALSE),"")</f>
        <v>15</v>
      </c>
      <c r="D659" s="2">
        <f>IFERROR(VLOOKUP(B659,'General price list'!C:BA,MATCH("OBJ",'General price list'!$C$20:$BA$20,0),FALSE),"")</f>
        <v>0</v>
      </c>
      <c r="E659" s="2">
        <f t="shared" si="56"/>
        <v>0</v>
      </c>
      <c r="F659" s="2">
        <f t="shared" si="57"/>
        <v>0</v>
      </c>
      <c r="G659" s="2">
        <f t="shared" si="58"/>
        <v>0</v>
      </c>
      <c r="H659" s="2">
        <f t="shared" si="59"/>
        <v>0</v>
      </c>
      <c r="I659" s="2">
        <f t="shared" si="55"/>
        <v>0</v>
      </c>
      <c r="J659">
        <f>IFERROR(VLOOKUP(B659,'General price list'!C:BA,MATCH("CBM",'General price list'!$C$20:$BA$20,0),FALSE)*(G659*C659),0)</f>
        <v>0</v>
      </c>
    </row>
    <row r="660" spans="2:10" ht="15" customHeight="1">
      <c r="B660" t="s">
        <v>2583</v>
      </c>
      <c r="C660" s="2">
        <f>IFERROR(VLOOKUP(B660,'General price list'!C:BA,MATCH("PAL",'General price list'!$C$20:$BA$20,0),FALSE),"")</f>
        <v>15</v>
      </c>
      <c r="D660" s="2">
        <f>IFERROR(VLOOKUP(B660,'General price list'!C:BA,MATCH("OBJ",'General price list'!$C$20:$BA$20,0),FALSE),"")</f>
        <v>0</v>
      </c>
      <c r="E660" s="2">
        <f t="shared" si="56"/>
        <v>0</v>
      </c>
      <c r="F660" s="2">
        <f t="shared" si="57"/>
        <v>0</v>
      </c>
      <c r="G660" s="2">
        <f t="shared" si="58"/>
        <v>0</v>
      </c>
      <c r="H660" s="2">
        <f t="shared" si="59"/>
        <v>0</v>
      </c>
      <c r="I660" s="2">
        <f t="shared" si="55"/>
        <v>0</v>
      </c>
      <c r="J660">
        <f>IFERROR(VLOOKUP(B660,'General price list'!C:BA,MATCH("CBM",'General price list'!$C$20:$BA$20,0),FALSE)*(G660*C660),0)</f>
        <v>0</v>
      </c>
    </row>
    <row r="661" spans="2:10" ht="15" customHeight="1">
      <c r="B661" t="s">
        <v>1618</v>
      </c>
      <c r="C661" s="2">
        <f>IFERROR(VLOOKUP(B661,'General price list'!C:BA,MATCH("PAL",'General price list'!$C$20:$BA$20,0),FALSE),"")</f>
        <v>15</v>
      </c>
      <c r="D661" s="2">
        <f>IFERROR(VLOOKUP(B661,'General price list'!C:BA,MATCH("OBJ",'General price list'!$C$20:$BA$20,0),FALSE),"")</f>
        <v>0</v>
      </c>
      <c r="E661" s="2">
        <f t="shared" si="56"/>
        <v>0</v>
      </c>
      <c r="F661" s="2">
        <f t="shared" si="57"/>
        <v>0</v>
      </c>
      <c r="G661" s="2">
        <f t="shared" si="58"/>
        <v>0</v>
      </c>
      <c r="H661" s="2">
        <f t="shared" si="59"/>
        <v>0</v>
      </c>
      <c r="I661" s="2">
        <f t="shared" si="55"/>
        <v>0</v>
      </c>
      <c r="J661">
        <f>IFERROR(VLOOKUP(B661,'General price list'!C:BA,MATCH("CBM",'General price list'!$C$20:$BA$20,0),FALSE)*(G661*C661),0)</f>
        <v>0</v>
      </c>
    </row>
    <row r="662" spans="2:10" ht="15" customHeight="1">
      <c r="B662" t="s">
        <v>1624</v>
      </c>
      <c r="C662" s="2">
        <f>IFERROR(VLOOKUP(B662,'General price list'!C:BA,MATCH("PAL",'General price list'!$C$20:$BA$20,0),FALSE),"")</f>
        <v>20</v>
      </c>
      <c r="D662" s="2">
        <f>IFERROR(VLOOKUP(B662,'General price list'!C:BA,MATCH("OBJ",'General price list'!$C$20:$BA$20,0),FALSE),"")</f>
        <v>0</v>
      </c>
      <c r="E662" s="2">
        <f t="shared" si="56"/>
        <v>0</v>
      </c>
      <c r="F662" s="2">
        <f t="shared" si="57"/>
        <v>0</v>
      </c>
      <c r="G662" s="2">
        <f t="shared" si="58"/>
        <v>0</v>
      </c>
      <c r="H662" s="2">
        <f t="shared" si="59"/>
        <v>0</v>
      </c>
      <c r="I662" s="2">
        <f t="shared" si="55"/>
        <v>0</v>
      </c>
      <c r="J662">
        <f>IFERROR(VLOOKUP(B662,'General price list'!C:BA,MATCH("CBM",'General price list'!$C$20:$BA$20,0),FALSE)*(G662*C662),0)</f>
        <v>0</v>
      </c>
    </row>
    <row r="663" spans="2:10" ht="15" customHeight="1">
      <c r="B663" t="s">
        <v>1626</v>
      </c>
      <c r="C663" s="2">
        <f>IFERROR(VLOOKUP(B663,'General price list'!C:BA,MATCH("PAL",'General price list'!$C$20:$BA$20,0),FALSE),"")</f>
        <v>20</v>
      </c>
      <c r="D663" s="2">
        <f>IFERROR(VLOOKUP(B663,'General price list'!C:BA,MATCH("OBJ",'General price list'!$C$20:$BA$20,0),FALSE),"")</f>
        <v>0</v>
      </c>
      <c r="E663" s="2">
        <f t="shared" si="56"/>
        <v>0</v>
      </c>
      <c r="F663" s="2">
        <f t="shared" si="57"/>
        <v>0</v>
      </c>
      <c r="G663" s="2">
        <f t="shared" si="58"/>
        <v>0</v>
      </c>
      <c r="H663" s="2">
        <f t="shared" si="59"/>
        <v>0</v>
      </c>
      <c r="I663" s="2">
        <f t="shared" si="55"/>
        <v>0</v>
      </c>
      <c r="J663">
        <f>IFERROR(VLOOKUP(B663,'General price list'!C:BA,MATCH("CBM",'General price list'!$C$20:$BA$20,0),FALSE)*(G663*C663),0)</f>
        <v>0</v>
      </c>
    </row>
    <row r="664" spans="2:10" ht="15" customHeight="1">
      <c r="B664" t="s">
        <v>1628</v>
      </c>
      <c r="C664" s="2">
        <f>IFERROR(VLOOKUP(B664,'General price list'!C:BA,MATCH("PAL",'General price list'!$C$20:$BA$20,0),FALSE),"")</f>
        <v>10</v>
      </c>
      <c r="D664" s="2">
        <f>IFERROR(VLOOKUP(B664,'General price list'!C:BA,MATCH("OBJ",'General price list'!$C$20:$BA$20,0),FALSE),"")</f>
        <v>0</v>
      </c>
      <c r="E664" s="2">
        <f t="shared" si="56"/>
        <v>0</v>
      </c>
      <c r="F664" s="2">
        <f t="shared" si="57"/>
        <v>0</v>
      </c>
      <c r="G664" s="2">
        <f t="shared" si="58"/>
        <v>0</v>
      </c>
      <c r="H664" s="2">
        <f t="shared" si="59"/>
        <v>0</v>
      </c>
      <c r="I664" s="2">
        <f t="shared" si="55"/>
        <v>0</v>
      </c>
      <c r="J664">
        <f>IFERROR(VLOOKUP(B664,'General price list'!C:BA,MATCH("CBM",'General price list'!$C$20:$BA$20,0),FALSE)*(G664*C664),0)</f>
        <v>0</v>
      </c>
    </row>
    <row r="665" spans="2:10" ht="15" customHeight="1">
      <c r="B665" t="s">
        <v>2584</v>
      </c>
      <c r="C665" s="2">
        <f>IFERROR(VLOOKUP(B665,'General price list'!C:BA,MATCH("PAL",'General price list'!$C$20:$BA$20,0),FALSE),"")</f>
        <v>15</v>
      </c>
      <c r="D665" s="2">
        <f>IFERROR(VLOOKUP(B665,'General price list'!C:BA,MATCH("OBJ",'General price list'!$C$20:$BA$20,0),FALSE),"")</f>
        <v>0</v>
      </c>
      <c r="E665" s="2">
        <f t="shared" si="56"/>
        <v>0</v>
      </c>
      <c r="F665" s="2">
        <f t="shared" si="57"/>
        <v>0</v>
      </c>
      <c r="G665" s="2">
        <f t="shared" si="58"/>
        <v>0</v>
      </c>
      <c r="H665" s="2">
        <f t="shared" si="59"/>
        <v>0</v>
      </c>
      <c r="I665" s="2">
        <f t="shared" si="55"/>
        <v>0</v>
      </c>
      <c r="J665">
        <f>IFERROR(VLOOKUP(B665,'General price list'!C:BA,MATCH("CBM",'General price list'!$C$20:$BA$20,0),FALSE)*(G665*C665),0)</f>
        <v>0</v>
      </c>
    </row>
    <row r="666" spans="2:10" ht="15" customHeight="1">
      <c r="B666" t="s">
        <v>2762</v>
      </c>
      <c r="C666" s="2">
        <f>IFERROR(VLOOKUP(B666,'General price list'!C:BA,MATCH("PAL",'General price list'!$C$20:$BA$20,0),FALSE),"")</f>
        <v>20</v>
      </c>
      <c r="D666" s="2">
        <f>IFERROR(VLOOKUP(B666,'General price list'!C:BA,MATCH("OBJ",'General price list'!$C$20:$BA$20,0),FALSE),"")</f>
        <v>0</v>
      </c>
      <c r="E666" s="2">
        <f t="shared" si="56"/>
        <v>0</v>
      </c>
      <c r="F666" s="2">
        <f t="shared" si="57"/>
        <v>0</v>
      </c>
      <c r="G666" s="2">
        <f t="shared" si="58"/>
        <v>0</v>
      </c>
      <c r="H666" s="2">
        <f t="shared" si="59"/>
        <v>0</v>
      </c>
      <c r="I666" s="2">
        <f t="shared" si="55"/>
        <v>0</v>
      </c>
      <c r="J666">
        <f>IFERROR(VLOOKUP(B666,'General price list'!C:BA,MATCH("CBM",'General price list'!$C$20:$BA$20,0),FALSE)*(G666*C666),0)</f>
        <v>0</v>
      </c>
    </row>
    <row r="667" spans="2:10" ht="15" customHeight="1">
      <c r="B667" t="s">
        <v>2763</v>
      </c>
      <c r="C667" s="2">
        <f>IFERROR(VLOOKUP(B667,'General price list'!C:BA,MATCH("PAL",'General price list'!$C$20:$BA$20,0),FALSE),"")</f>
        <v>20</v>
      </c>
      <c r="D667" s="2">
        <f>IFERROR(VLOOKUP(B667,'General price list'!C:BA,MATCH("OBJ",'General price list'!$C$20:$BA$20,0),FALSE),"")</f>
        <v>0</v>
      </c>
      <c r="E667" s="2">
        <f t="shared" si="56"/>
        <v>0</v>
      </c>
      <c r="F667" s="2">
        <f t="shared" si="57"/>
        <v>0</v>
      </c>
      <c r="G667" s="2">
        <f t="shared" si="58"/>
        <v>0</v>
      </c>
      <c r="H667" s="2">
        <f t="shared" si="59"/>
        <v>0</v>
      </c>
      <c r="I667" s="2">
        <f t="shared" si="55"/>
        <v>0</v>
      </c>
      <c r="J667">
        <f>IFERROR(VLOOKUP(B667,'General price list'!C:BA,MATCH("CBM",'General price list'!$C$20:$BA$20,0),FALSE)*(G667*C667),0)</f>
        <v>0</v>
      </c>
    </row>
    <row r="668" spans="2:10" ht="15" customHeight="1">
      <c r="B668" t="s">
        <v>2764</v>
      </c>
      <c r="C668" s="2">
        <f>IFERROR(VLOOKUP(B668,'General price list'!C:BA,MATCH("PAL",'General price list'!$C$20:$BA$20,0),FALSE),"")</f>
        <v>24</v>
      </c>
      <c r="D668" s="2">
        <f>IFERROR(VLOOKUP(B668,'General price list'!C:BA,MATCH("OBJ",'General price list'!$C$20:$BA$20,0),FALSE),"")</f>
        <v>0</v>
      </c>
      <c r="E668" s="2">
        <f t="shared" si="56"/>
        <v>0</v>
      </c>
      <c r="F668" s="2">
        <f t="shared" si="57"/>
        <v>0</v>
      </c>
      <c r="G668" s="2">
        <f t="shared" si="58"/>
        <v>0</v>
      </c>
      <c r="H668" s="2">
        <f t="shared" si="59"/>
        <v>0</v>
      </c>
      <c r="I668" s="2">
        <f t="shared" si="55"/>
        <v>0</v>
      </c>
      <c r="J668">
        <f>IFERROR(VLOOKUP(B668,'General price list'!C:BA,MATCH("CBM",'General price list'!$C$20:$BA$20,0),FALSE)*(G668*C668),0)</f>
        <v>0</v>
      </c>
    </row>
    <row r="669" spans="2:10" ht="15" customHeight="1">
      <c r="B669" t="s">
        <v>2765</v>
      </c>
      <c r="C669" s="2">
        <f>IFERROR(VLOOKUP(B669,'General price list'!C:BA,MATCH("PAL",'General price list'!$C$20:$BA$20,0),FALSE),"")</f>
        <v>15</v>
      </c>
      <c r="D669" s="2">
        <f>IFERROR(VLOOKUP(B669,'General price list'!C:BA,MATCH("OBJ",'General price list'!$C$20:$BA$20,0),FALSE),"")</f>
        <v>0</v>
      </c>
      <c r="E669" s="2">
        <f t="shared" si="56"/>
        <v>0</v>
      </c>
      <c r="F669" s="2">
        <f t="shared" si="57"/>
        <v>0</v>
      </c>
      <c r="G669" s="2">
        <f t="shared" si="58"/>
        <v>0</v>
      </c>
      <c r="H669" s="2">
        <f t="shared" si="59"/>
        <v>0</v>
      </c>
      <c r="I669" s="2">
        <f t="shared" si="55"/>
        <v>0</v>
      </c>
      <c r="J669">
        <f>IFERROR(VLOOKUP(B669,'General price list'!C:BA,MATCH("CBM",'General price list'!$C$20:$BA$20,0),FALSE)*(G669*C669),0)</f>
        <v>0</v>
      </c>
    </row>
    <row r="670" spans="2:10" ht="15" customHeight="1">
      <c r="B670" t="s">
        <v>1630</v>
      </c>
      <c r="C670" s="2">
        <f>IFERROR(VLOOKUP(B670,'General price list'!C:BA,MATCH("PAL",'General price list'!$C$20:$BA$20,0),FALSE),"")</f>
        <v>20</v>
      </c>
      <c r="D670" s="2">
        <f>IFERROR(VLOOKUP(B670,'General price list'!C:BA,MATCH("OBJ",'General price list'!$C$20:$BA$20,0),FALSE),"")</f>
        <v>0</v>
      </c>
      <c r="E670" s="2">
        <f t="shared" si="56"/>
        <v>0</v>
      </c>
      <c r="F670" s="2">
        <f t="shared" si="57"/>
        <v>0</v>
      </c>
      <c r="G670" s="2">
        <f t="shared" si="58"/>
        <v>0</v>
      </c>
      <c r="H670" s="2">
        <f t="shared" si="59"/>
        <v>0</v>
      </c>
      <c r="I670" s="2">
        <f t="shared" si="55"/>
        <v>0</v>
      </c>
      <c r="J670">
        <f>IFERROR(VLOOKUP(B670,'General price list'!C:BA,MATCH("CBM",'General price list'!$C$20:$BA$20,0),FALSE)*(G670*C670),0)</f>
        <v>0</v>
      </c>
    </row>
    <row r="671" spans="2:10" ht="15" customHeight="1">
      <c r="B671" t="s">
        <v>1636</v>
      </c>
      <c r="C671" s="2" t="str">
        <f>IFERROR(VLOOKUP(B671,'General price list'!C:BA,MATCH("PAL",'General price list'!$C$20:$BA$20,0),FALSE),"")</f>
        <v>16</v>
      </c>
      <c r="D671" s="2">
        <f>IFERROR(VLOOKUP(B671,'General price list'!C:BA,MATCH("OBJ",'General price list'!$C$20:$BA$20,0),FALSE),"")</f>
        <v>0</v>
      </c>
      <c r="E671" s="2">
        <f t="shared" si="56"/>
        <v>0</v>
      </c>
      <c r="F671" s="2">
        <f t="shared" si="57"/>
        <v>0</v>
      </c>
      <c r="G671" s="2">
        <f t="shared" si="58"/>
        <v>0</v>
      </c>
      <c r="H671" s="2">
        <f t="shared" si="59"/>
        <v>0</v>
      </c>
      <c r="I671" s="2">
        <f t="shared" si="55"/>
        <v>0</v>
      </c>
      <c r="J671">
        <f>IFERROR(VLOOKUP(B671,'General price list'!C:BA,MATCH("CBM",'General price list'!$C$20:$BA$20,0),FALSE)*(G671*C671),0)</f>
        <v>0</v>
      </c>
    </row>
    <row r="672" spans="2:10" ht="15" customHeight="1">
      <c r="B672" t="s">
        <v>1638</v>
      </c>
      <c r="C672" s="2">
        <f>IFERROR(VLOOKUP(B672,'General price list'!C:BA,MATCH("PAL",'General price list'!$C$20:$BA$20,0),FALSE),"")</f>
        <v>8</v>
      </c>
      <c r="D672" s="2">
        <f>IFERROR(VLOOKUP(B672,'General price list'!C:BA,MATCH("OBJ",'General price list'!$C$20:$BA$20,0),FALSE),"")</f>
        <v>0</v>
      </c>
      <c r="E672" s="2">
        <f t="shared" si="56"/>
        <v>0</v>
      </c>
      <c r="F672" s="2">
        <f t="shared" si="57"/>
        <v>0</v>
      </c>
      <c r="G672" s="2">
        <f t="shared" si="58"/>
        <v>0</v>
      </c>
      <c r="H672" s="2">
        <f t="shared" si="59"/>
        <v>0</v>
      </c>
      <c r="I672" s="2">
        <f t="shared" si="55"/>
        <v>0</v>
      </c>
      <c r="J672">
        <f>IFERROR(VLOOKUP(B672,'General price list'!C:BA,MATCH("CBM",'General price list'!$C$20:$BA$20,0),FALSE)*(G672*C672),0)</f>
        <v>0</v>
      </c>
    </row>
    <row r="673" spans="2:10" ht="15" customHeight="1">
      <c r="B673" t="s">
        <v>1640</v>
      </c>
      <c r="C673" s="2" t="str">
        <f>IFERROR(VLOOKUP(B673,'General price list'!C:BA,MATCH("PAL",'General price list'!$C$20:$BA$20,0),FALSE),"")</f>
        <v>24</v>
      </c>
      <c r="D673" s="2">
        <f>IFERROR(VLOOKUP(B673,'General price list'!C:BA,MATCH("OBJ",'General price list'!$C$20:$BA$20,0),FALSE),"")</f>
        <v>0</v>
      </c>
      <c r="E673" s="2">
        <f t="shared" si="56"/>
        <v>0</v>
      </c>
      <c r="F673" s="2">
        <f t="shared" si="57"/>
        <v>0</v>
      </c>
      <c r="G673" s="2">
        <f t="shared" si="58"/>
        <v>0</v>
      </c>
      <c r="H673" s="2">
        <f t="shared" si="59"/>
        <v>0</v>
      </c>
      <c r="I673" s="2">
        <f t="shared" si="55"/>
        <v>0</v>
      </c>
      <c r="J673">
        <f>IFERROR(VLOOKUP(B673,'General price list'!C:BA,MATCH("CBM",'General price list'!$C$20:$BA$20,0),FALSE)*(G673*C673),0)</f>
        <v>0</v>
      </c>
    </row>
    <row r="674" spans="2:10" ht="15" customHeight="1">
      <c r="B674" t="s">
        <v>2586</v>
      </c>
      <c r="C674" s="2">
        <f>IFERROR(VLOOKUP(B674,'General price list'!C:BA,MATCH("PAL",'General price list'!$C$20:$BA$20,0),FALSE),"")</f>
        <v>8</v>
      </c>
      <c r="D674" s="2">
        <f>IFERROR(VLOOKUP(B674,'General price list'!C:BA,MATCH("OBJ",'General price list'!$C$20:$BA$20,0),FALSE),"")</f>
        <v>0</v>
      </c>
      <c r="E674" s="2">
        <f t="shared" si="56"/>
        <v>0</v>
      </c>
      <c r="F674" s="2">
        <f t="shared" si="57"/>
        <v>0</v>
      </c>
      <c r="G674" s="2">
        <f t="shared" si="58"/>
        <v>0</v>
      </c>
      <c r="H674" s="2">
        <f t="shared" si="59"/>
        <v>0</v>
      </c>
      <c r="I674" s="2">
        <f t="shared" si="55"/>
        <v>0</v>
      </c>
      <c r="J674">
        <f>IFERROR(VLOOKUP(B674,'General price list'!C:BA,MATCH("CBM",'General price list'!$C$20:$BA$20,0),FALSE)*(G674*C674),0)</f>
        <v>0</v>
      </c>
    </row>
    <row r="675" spans="2:10" ht="15" customHeight="1">
      <c r="B675" t="s">
        <v>2587</v>
      </c>
      <c r="C675" s="2">
        <f>IFERROR(VLOOKUP(B675,'General price list'!C:BA,MATCH("PAL",'General price list'!$C$20:$BA$20,0),FALSE),"")</f>
        <v>8</v>
      </c>
      <c r="D675" s="2">
        <f>IFERROR(VLOOKUP(B675,'General price list'!C:BA,MATCH("OBJ",'General price list'!$C$20:$BA$20,0),FALSE),"")</f>
        <v>0</v>
      </c>
      <c r="E675" s="2">
        <f t="shared" si="56"/>
        <v>0</v>
      </c>
      <c r="F675" s="2">
        <f t="shared" si="57"/>
        <v>0</v>
      </c>
      <c r="G675" s="2">
        <f t="shared" si="58"/>
        <v>0</v>
      </c>
      <c r="H675" s="2">
        <f t="shared" si="59"/>
        <v>0</v>
      </c>
      <c r="I675" s="2">
        <f t="shared" si="55"/>
        <v>0</v>
      </c>
      <c r="J675">
        <f>IFERROR(VLOOKUP(B675,'General price list'!C:BA,MATCH("CBM",'General price list'!$C$20:$BA$20,0),FALSE)*(G675*C675),0)</f>
        <v>0</v>
      </c>
    </row>
    <row r="676" spans="2:10" ht="15" customHeight="1">
      <c r="B676" t="s">
        <v>1650</v>
      </c>
      <c r="C676" s="2">
        <f>IFERROR(VLOOKUP(B676,'General price list'!C:BA,MATCH("PAL",'General price list'!$C$20:$BA$20,0),FALSE),"")</f>
        <v>16</v>
      </c>
      <c r="D676" s="2">
        <f>IFERROR(VLOOKUP(B676,'General price list'!C:BA,MATCH("OBJ",'General price list'!$C$20:$BA$20,0),FALSE),"")</f>
        <v>0</v>
      </c>
      <c r="E676" s="2">
        <f t="shared" si="56"/>
        <v>0</v>
      </c>
      <c r="F676" s="2">
        <f t="shared" si="57"/>
        <v>0</v>
      </c>
      <c r="G676" s="2">
        <f t="shared" si="58"/>
        <v>0</v>
      </c>
      <c r="H676" s="2">
        <f t="shared" si="59"/>
        <v>0</v>
      </c>
      <c r="I676" s="2">
        <f t="shared" si="55"/>
        <v>0</v>
      </c>
      <c r="J676">
        <f>IFERROR(VLOOKUP(B676,'General price list'!C:BA,MATCH("CBM",'General price list'!$C$20:$BA$20,0),FALSE)*(G676*C676),0)</f>
        <v>0</v>
      </c>
    </row>
    <row r="677" spans="2:10" ht="15" customHeight="1">
      <c r="B677" t="s">
        <v>1652</v>
      </c>
      <c r="C677" s="2">
        <f>IFERROR(VLOOKUP(B677,'General price list'!C:BA,MATCH("PAL",'General price list'!$C$20:$BA$20,0),FALSE),"")</f>
        <v>14</v>
      </c>
      <c r="D677" s="2">
        <f>IFERROR(VLOOKUP(B677,'General price list'!C:BA,MATCH("OBJ",'General price list'!$C$20:$BA$20,0),FALSE),"")</f>
        <v>0</v>
      </c>
      <c r="E677" s="2">
        <f t="shared" si="56"/>
        <v>0</v>
      </c>
      <c r="F677" s="2">
        <f t="shared" si="57"/>
        <v>0</v>
      </c>
      <c r="G677" s="2">
        <f t="shared" si="58"/>
        <v>0</v>
      </c>
      <c r="H677" s="2">
        <f t="shared" si="59"/>
        <v>0</v>
      </c>
      <c r="I677" s="2">
        <f t="shared" si="55"/>
        <v>0</v>
      </c>
      <c r="J677">
        <f>IFERROR(VLOOKUP(B677,'General price list'!C:BA,MATCH("CBM",'General price list'!$C$20:$BA$20,0),FALSE)*(G677*C677),0)</f>
        <v>0</v>
      </c>
    </row>
    <row r="678" spans="2:10" ht="15" customHeight="1">
      <c r="B678" t="s">
        <v>1667</v>
      </c>
      <c r="C678" s="2">
        <f>IFERROR(VLOOKUP(B678,'General price list'!C:BA,MATCH("PAL",'General price list'!$C$20:$BA$20,0),FALSE),"")</f>
        <v>16</v>
      </c>
      <c r="D678" s="2">
        <f>IFERROR(VLOOKUP(B678,'General price list'!C:BA,MATCH("OBJ",'General price list'!$C$20:$BA$20,0),FALSE),"")</f>
        <v>0</v>
      </c>
      <c r="E678" s="2">
        <f t="shared" si="56"/>
        <v>0</v>
      </c>
      <c r="F678" s="2">
        <f t="shared" si="57"/>
        <v>0</v>
      </c>
      <c r="G678" s="2">
        <f t="shared" si="58"/>
        <v>0</v>
      </c>
      <c r="H678" s="2">
        <f t="shared" si="59"/>
        <v>0</v>
      </c>
      <c r="I678" s="2">
        <f t="shared" si="55"/>
        <v>0</v>
      </c>
      <c r="J678">
        <f>IFERROR(VLOOKUP(B678,'General price list'!C:BA,MATCH("CBM",'General price list'!$C$20:$BA$20,0),FALSE)*(G678*C678),0)</f>
        <v>0</v>
      </c>
    </row>
    <row r="679" spans="2:10" ht="15" customHeight="1">
      <c r="B679" t="s">
        <v>1669</v>
      </c>
      <c r="C679" s="2">
        <f>IFERROR(VLOOKUP(B679,'General price list'!C:BA,MATCH("PAL",'General price list'!$C$20:$BA$20,0),FALSE),"")</f>
        <v>16</v>
      </c>
      <c r="D679" s="2">
        <f>IFERROR(VLOOKUP(B679,'General price list'!C:BA,MATCH("OBJ",'General price list'!$C$20:$BA$20,0),FALSE),"")</f>
        <v>0</v>
      </c>
      <c r="E679" s="2">
        <f t="shared" si="56"/>
        <v>0</v>
      </c>
      <c r="F679" s="2">
        <f t="shared" si="57"/>
        <v>0</v>
      </c>
      <c r="G679" s="2">
        <f t="shared" si="58"/>
        <v>0</v>
      </c>
      <c r="H679" s="2">
        <f t="shared" si="59"/>
        <v>0</v>
      </c>
      <c r="I679" s="2">
        <f t="shared" si="55"/>
        <v>0</v>
      </c>
      <c r="J679">
        <f>IFERROR(VLOOKUP(B679,'General price list'!C:BA,MATCH("CBM",'General price list'!$C$20:$BA$20,0),FALSE)*(G679*C679),0)</f>
        <v>0</v>
      </c>
    </row>
    <row r="680" spans="2:10" ht="15" customHeight="1">
      <c r="B680" t="s">
        <v>1671</v>
      </c>
      <c r="C680" s="2">
        <f>IFERROR(VLOOKUP(B680,'General price list'!C:BA,MATCH("PAL",'General price list'!$C$20:$BA$20,0),FALSE),"")</f>
        <v>16</v>
      </c>
      <c r="D680" s="2">
        <f>IFERROR(VLOOKUP(B680,'General price list'!C:BA,MATCH("OBJ",'General price list'!$C$20:$BA$20,0),FALSE),"")</f>
        <v>0</v>
      </c>
      <c r="E680" s="2">
        <f t="shared" si="56"/>
        <v>0</v>
      </c>
      <c r="F680" s="2">
        <f t="shared" si="57"/>
        <v>0</v>
      </c>
      <c r="G680" s="2">
        <f t="shared" si="58"/>
        <v>0</v>
      </c>
      <c r="H680" s="2">
        <f t="shared" si="59"/>
        <v>0</v>
      </c>
      <c r="I680" s="2">
        <f t="shared" si="55"/>
        <v>0</v>
      </c>
      <c r="J680">
        <f>IFERROR(VLOOKUP(B680,'General price list'!C:BA,MATCH("CBM",'General price list'!$C$20:$BA$20,0),FALSE)*(G680*C680),0)</f>
        <v>0</v>
      </c>
    </row>
    <row r="681" spans="2:10" ht="15" customHeight="1">
      <c r="B681" t="s">
        <v>1678</v>
      </c>
      <c r="C681" s="2">
        <f>IFERROR(VLOOKUP(B681,'General price list'!C:BA,MATCH("PAL",'General price list'!$C$20:$BA$20,0),FALSE),"")</f>
        <v>36</v>
      </c>
      <c r="D681" s="2">
        <f>IFERROR(VLOOKUP(B681,'General price list'!C:BA,MATCH("OBJ",'General price list'!$C$20:$BA$20,0),FALSE),"")</f>
        <v>0</v>
      </c>
      <c r="E681" s="2">
        <f t="shared" si="56"/>
        <v>0</v>
      </c>
      <c r="F681" s="2">
        <f t="shared" si="57"/>
        <v>0</v>
      </c>
      <c r="G681" s="2">
        <f t="shared" si="58"/>
        <v>0</v>
      </c>
      <c r="H681" s="2">
        <f t="shared" si="59"/>
        <v>0</v>
      </c>
      <c r="I681" s="2">
        <f t="shared" si="55"/>
        <v>0</v>
      </c>
      <c r="J681">
        <f>IFERROR(VLOOKUP(B681,'General price list'!C:BA,MATCH("CBM",'General price list'!$C$20:$BA$20,0),FALSE)*(G681*C681),0)</f>
        <v>0</v>
      </c>
    </row>
    <row r="682" spans="2:10" ht="15" customHeight="1">
      <c r="B682" t="s">
        <v>1679</v>
      </c>
      <c r="C682" s="2">
        <f>IFERROR(VLOOKUP(B682,'General price list'!C:BA,MATCH("PAL",'General price list'!$C$20:$BA$20,0),FALSE),"")</f>
        <v>36</v>
      </c>
      <c r="D682" s="2">
        <f>IFERROR(VLOOKUP(B682,'General price list'!C:BA,MATCH("OBJ",'General price list'!$C$20:$BA$20,0),FALSE),"")</f>
        <v>0</v>
      </c>
      <c r="E682" s="2">
        <f t="shared" si="56"/>
        <v>0</v>
      </c>
      <c r="F682" s="2">
        <f t="shared" si="57"/>
        <v>0</v>
      </c>
      <c r="G682" s="2">
        <f t="shared" si="58"/>
        <v>0</v>
      </c>
      <c r="H682" s="2">
        <f t="shared" si="59"/>
        <v>0</v>
      </c>
      <c r="I682" s="2">
        <f t="shared" si="55"/>
        <v>0</v>
      </c>
      <c r="J682">
        <f>IFERROR(VLOOKUP(B682,'General price list'!C:BA,MATCH("CBM",'General price list'!$C$20:$BA$20,0),FALSE)*(G682*C682),0)</f>
        <v>0</v>
      </c>
    </row>
    <row r="683" spans="2:10" ht="15" customHeight="1">
      <c r="B683" t="s">
        <v>1680</v>
      </c>
      <c r="C683" s="2">
        <f>IFERROR(VLOOKUP(B683,'General price list'!C:BA,MATCH("PAL",'General price list'!$C$20:$BA$20,0),FALSE),"")</f>
        <v>36</v>
      </c>
      <c r="D683" s="2">
        <f>IFERROR(VLOOKUP(B683,'General price list'!C:BA,MATCH("OBJ",'General price list'!$C$20:$BA$20,0),FALSE),"")</f>
        <v>0</v>
      </c>
      <c r="E683" s="2">
        <f t="shared" si="56"/>
        <v>0</v>
      </c>
      <c r="F683" s="2">
        <f t="shared" si="57"/>
        <v>0</v>
      </c>
      <c r="G683" s="2">
        <f t="shared" si="58"/>
        <v>0</v>
      </c>
      <c r="H683" s="2">
        <f t="shared" si="59"/>
        <v>0</v>
      </c>
      <c r="I683" s="2">
        <f t="shared" si="55"/>
        <v>0</v>
      </c>
      <c r="J683">
        <f>IFERROR(VLOOKUP(B683,'General price list'!C:BA,MATCH("CBM",'General price list'!$C$20:$BA$20,0),FALSE)*(G683*C683),0)</f>
        <v>0</v>
      </c>
    </row>
    <row r="684" spans="2:10" ht="15" customHeight="1">
      <c r="B684" t="s">
        <v>2588</v>
      </c>
      <c r="C684" s="2">
        <f>IFERROR(VLOOKUP(B684,'General price list'!C:BA,MATCH("PAL",'General price list'!$C$20:$BA$20,0),FALSE),"")</f>
        <v>15</v>
      </c>
      <c r="D684" s="2">
        <f>IFERROR(VLOOKUP(B684,'General price list'!C:BA,MATCH("OBJ",'General price list'!$C$20:$BA$20,0),FALSE),"")</f>
        <v>0</v>
      </c>
      <c r="E684" s="2">
        <f t="shared" si="56"/>
        <v>0</v>
      </c>
      <c r="F684" s="2">
        <f t="shared" si="57"/>
        <v>0</v>
      </c>
      <c r="G684" s="2">
        <f t="shared" si="58"/>
        <v>0</v>
      </c>
      <c r="H684" s="2">
        <f t="shared" si="59"/>
        <v>0</v>
      </c>
      <c r="I684" s="2">
        <f t="shared" si="55"/>
        <v>0</v>
      </c>
      <c r="J684">
        <f>IFERROR(VLOOKUP(B684,'General price list'!C:BA,MATCH("CBM",'General price list'!$C$20:$BA$20,0),FALSE)*(G684*C684),0)</f>
        <v>0</v>
      </c>
    </row>
    <row r="685" spans="2:10" ht="15" customHeight="1">
      <c r="B685" t="s">
        <v>2589</v>
      </c>
      <c r="C685" s="2">
        <f>IFERROR(VLOOKUP(B685,'General price list'!C:BA,MATCH("PAL",'General price list'!$C$20:$BA$20,0),FALSE),"")</f>
        <v>15</v>
      </c>
      <c r="D685" s="2">
        <f>IFERROR(VLOOKUP(B685,'General price list'!C:BA,MATCH("OBJ",'General price list'!$C$20:$BA$20,0),FALSE),"")</f>
        <v>0</v>
      </c>
      <c r="E685" s="2">
        <f t="shared" si="56"/>
        <v>0</v>
      </c>
      <c r="F685" s="2">
        <f t="shared" si="57"/>
        <v>0</v>
      </c>
      <c r="G685" s="2">
        <f t="shared" si="58"/>
        <v>0</v>
      </c>
      <c r="H685" s="2">
        <f t="shared" si="59"/>
        <v>0</v>
      </c>
      <c r="I685" s="2">
        <f t="shared" si="55"/>
        <v>0</v>
      </c>
      <c r="J685">
        <f>IFERROR(VLOOKUP(B685,'General price list'!C:BA,MATCH("CBM",'General price list'!$C$20:$BA$20,0),FALSE)*(G685*C685),0)</f>
        <v>0</v>
      </c>
    </row>
    <row r="686" spans="2:10" ht="15" customHeight="1">
      <c r="B686" t="s">
        <v>2591</v>
      </c>
      <c r="C686" s="2">
        <f>IFERROR(VLOOKUP(B686,'General price list'!C:BA,MATCH("PAL",'General price list'!$C$20:$BA$20,0),FALSE),"")</f>
        <v>15</v>
      </c>
      <c r="D686" s="2">
        <f>IFERROR(VLOOKUP(B686,'General price list'!C:BA,MATCH("OBJ",'General price list'!$C$20:$BA$20,0),FALSE),"")</f>
        <v>0</v>
      </c>
      <c r="E686" s="2">
        <f t="shared" si="56"/>
        <v>0</v>
      </c>
      <c r="F686" s="2">
        <f t="shared" si="57"/>
        <v>0</v>
      </c>
      <c r="G686" s="2">
        <f t="shared" si="58"/>
        <v>0</v>
      </c>
      <c r="H686" s="2">
        <f t="shared" si="59"/>
        <v>0</v>
      </c>
      <c r="I686" s="2">
        <f t="shared" si="55"/>
        <v>0</v>
      </c>
      <c r="J686">
        <f>IFERROR(VLOOKUP(B686,'General price list'!C:BA,MATCH("CBM",'General price list'!$C$20:$BA$20,0),FALSE)*(G686*C686),0)</f>
        <v>0</v>
      </c>
    </row>
    <row r="687" spans="2:10" ht="15" customHeight="1">
      <c r="B687" t="s">
        <v>2592</v>
      </c>
      <c r="C687" s="2">
        <f>IFERROR(VLOOKUP(B687,'General price list'!C:BA,MATCH("PAL",'General price list'!$C$20:$BA$20,0),FALSE),"")</f>
        <v>15</v>
      </c>
      <c r="D687" s="2">
        <f>IFERROR(VLOOKUP(B687,'General price list'!C:BA,MATCH("OBJ",'General price list'!$C$20:$BA$20,0),FALSE),"")</f>
        <v>0</v>
      </c>
      <c r="E687" s="2">
        <f t="shared" si="56"/>
        <v>0</v>
      </c>
      <c r="F687" s="2">
        <f t="shared" si="57"/>
        <v>0</v>
      </c>
      <c r="G687" s="2">
        <f t="shared" si="58"/>
        <v>0</v>
      </c>
      <c r="H687" s="2">
        <f t="shared" si="59"/>
        <v>0</v>
      </c>
      <c r="I687" s="2">
        <f t="shared" si="55"/>
        <v>0</v>
      </c>
      <c r="J687">
        <f>IFERROR(VLOOKUP(B687,'General price list'!C:BA,MATCH("CBM",'General price list'!$C$20:$BA$20,0),FALSE)*(G687*C687),0)</f>
        <v>0</v>
      </c>
    </row>
    <row r="688" spans="2:10" ht="15" customHeight="1">
      <c r="B688" t="s">
        <v>2593</v>
      </c>
      <c r="C688" s="2">
        <f>IFERROR(VLOOKUP(B688,'General price list'!C:BA,MATCH("PAL",'General price list'!$C$20:$BA$20,0),FALSE),"")</f>
        <v>16</v>
      </c>
      <c r="D688" s="2">
        <f>IFERROR(VLOOKUP(B688,'General price list'!C:BA,MATCH("OBJ",'General price list'!$C$20:$BA$20,0),FALSE),"")</f>
        <v>0</v>
      </c>
      <c r="E688" s="2">
        <f t="shared" si="56"/>
        <v>0</v>
      </c>
      <c r="F688" s="2">
        <f t="shared" si="57"/>
        <v>0</v>
      </c>
      <c r="G688" s="2">
        <f t="shared" si="58"/>
        <v>0</v>
      </c>
      <c r="H688" s="2">
        <f t="shared" si="59"/>
        <v>0</v>
      </c>
      <c r="I688" s="2">
        <f t="shared" si="55"/>
        <v>0</v>
      </c>
      <c r="J688">
        <f>IFERROR(VLOOKUP(B688,'General price list'!C:BA,MATCH("CBM",'General price list'!$C$20:$BA$20,0),FALSE)*(G688*C688),0)</f>
        <v>0</v>
      </c>
    </row>
    <row r="689" spans="2:10" ht="15" customHeight="1">
      <c r="B689" t="s">
        <v>1688</v>
      </c>
      <c r="C689" s="2">
        <f>IFERROR(VLOOKUP(B689,'General price list'!C:BA,MATCH("PAL",'General price list'!$C$20:$BA$20,0),FALSE),"")</f>
        <v>16</v>
      </c>
      <c r="D689" s="2">
        <f>IFERROR(VLOOKUP(B689,'General price list'!C:BA,MATCH("OBJ",'General price list'!$C$20:$BA$20,0),FALSE),"")</f>
        <v>0</v>
      </c>
      <c r="E689" s="2">
        <f t="shared" si="56"/>
        <v>0</v>
      </c>
      <c r="F689" s="2">
        <f t="shared" si="57"/>
        <v>0</v>
      </c>
      <c r="G689" s="2">
        <f t="shared" si="58"/>
        <v>0</v>
      </c>
      <c r="H689" s="2">
        <f t="shared" si="59"/>
        <v>0</v>
      </c>
      <c r="I689" s="2">
        <f t="shared" si="55"/>
        <v>0</v>
      </c>
      <c r="J689">
        <f>IFERROR(VLOOKUP(B689,'General price list'!C:BA,MATCH("CBM",'General price list'!$C$20:$BA$20,0),FALSE)*(G689*C689),0)</f>
        <v>0</v>
      </c>
    </row>
    <row r="690" spans="2:10" ht="15" customHeight="1">
      <c r="B690" t="s">
        <v>1690</v>
      </c>
      <c r="C690" s="2">
        <f>IFERROR(VLOOKUP(B690,'General price list'!C:BA,MATCH("PAL",'General price list'!$C$20:$BA$20,0),FALSE),"")</f>
        <v>24</v>
      </c>
      <c r="D690" s="2">
        <f>IFERROR(VLOOKUP(B690,'General price list'!C:BA,MATCH("OBJ",'General price list'!$C$20:$BA$20,0),FALSE),"")</f>
        <v>0</v>
      </c>
      <c r="E690" s="2">
        <f t="shared" si="56"/>
        <v>0</v>
      </c>
      <c r="F690" s="2">
        <f t="shared" si="57"/>
        <v>0</v>
      </c>
      <c r="G690" s="2">
        <f t="shared" si="58"/>
        <v>0</v>
      </c>
      <c r="H690" s="2">
        <f t="shared" si="59"/>
        <v>0</v>
      </c>
      <c r="I690" s="2">
        <f t="shared" si="55"/>
        <v>0</v>
      </c>
      <c r="J690">
        <f>IFERROR(VLOOKUP(B690,'General price list'!C:BA,MATCH("CBM",'General price list'!$C$20:$BA$20,0),FALSE)*(G690*C690),0)</f>
        <v>0</v>
      </c>
    </row>
    <row r="691" spans="2:10" ht="15" customHeight="1">
      <c r="B691" t="s">
        <v>1692</v>
      </c>
      <c r="C691" s="2">
        <f>IFERROR(VLOOKUP(B691,'General price list'!C:BA,MATCH("PAL",'General price list'!$C$20:$BA$20,0),FALSE),"")</f>
        <v>24</v>
      </c>
      <c r="D691" s="2">
        <f>IFERROR(VLOOKUP(B691,'General price list'!C:BA,MATCH("OBJ",'General price list'!$C$20:$BA$20,0),FALSE),"")</f>
        <v>0</v>
      </c>
      <c r="E691" s="2">
        <f t="shared" si="56"/>
        <v>0</v>
      </c>
      <c r="F691" s="2">
        <f t="shared" si="57"/>
        <v>0</v>
      </c>
      <c r="G691" s="2">
        <f t="shared" si="58"/>
        <v>0</v>
      </c>
      <c r="H691" s="2">
        <f t="shared" si="59"/>
        <v>0</v>
      </c>
      <c r="I691" s="2">
        <f t="shared" si="55"/>
        <v>0</v>
      </c>
      <c r="J691">
        <f>IFERROR(VLOOKUP(B691,'General price list'!C:BA,MATCH("CBM",'General price list'!$C$20:$BA$20,0),FALSE)*(G691*C691),0)</f>
        <v>0</v>
      </c>
    </row>
    <row r="692" spans="2:10" ht="15" customHeight="1">
      <c r="B692" t="s">
        <v>1694</v>
      </c>
      <c r="C692" s="2">
        <f>IFERROR(VLOOKUP(B692,'General price list'!C:BA,MATCH("PAL",'General price list'!$C$20:$BA$20,0),FALSE),"")</f>
        <v>30</v>
      </c>
      <c r="D692" s="2">
        <f>IFERROR(VLOOKUP(B692,'General price list'!C:BA,MATCH("OBJ",'General price list'!$C$20:$BA$20,0),FALSE),"")</f>
        <v>0</v>
      </c>
      <c r="E692" s="2">
        <f t="shared" si="56"/>
        <v>0</v>
      </c>
      <c r="F692" s="2">
        <f t="shared" si="57"/>
        <v>0</v>
      </c>
      <c r="G692" s="2">
        <f t="shared" si="58"/>
        <v>0</v>
      </c>
      <c r="H692" s="2">
        <f t="shared" si="59"/>
        <v>0</v>
      </c>
      <c r="I692" s="2">
        <f t="shared" si="55"/>
        <v>0</v>
      </c>
      <c r="J692">
        <f>IFERROR(VLOOKUP(B692,'General price list'!C:BA,MATCH("CBM",'General price list'!$C$20:$BA$20,0),FALSE)*(G692*C692),0)</f>
        <v>0</v>
      </c>
    </row>
    <row r="693" spans="2:10" ht="15" customHeight="1">
      <c r="B693" t="s">
        <v>1696</v>
      </c>
      <c r="C693" s="2">
        <f>IFERROR(VLOOKUP(B693,'General price list'!C:BA,MATCH("PAL",'General price list'!$C$20:$BA$20,0),FALSE),"")</f>
        <v>30</v>
      </c>
      <c r="D693" s="2">
        <f>IFERROR(VLOOKUP(B693,'General price list'!C:BA,MATCH("OBJ",'General price list'!$C$20:$BA$20,0),FALSE),"")</f>
        <v>0</v>
      </c>
      <c r="E693" s="2">
        <f t="shared" si="56"/>
        <v>0</v>
      </c>
      <c r="F693" s="2">
        <f t="shared" si="57"/>
        <v>0</v>
      </c>
      <c r="G693" s="2">
        <f t="shared" si="58"/>
        <v>0</v>
      </c>
      <c r="H693" s="2">
        <f t="shared" si="59"/>
        <v>0</v>
      </c>
      <c r="I693" s="2">
        <f t="shared" si="55"/>
        <v>0</v>
      </c>
      <c r="J693">
        <f>IFERROR(VLOOKUP(B693,'General price list'!C:BA,MATCH("CBM",'General price list'!$C$20:$BA$20,0),FALSE)*(G693*C693),0)</f>
        <v>0</v>
      </c>
    </row>
    <row r="694" spans="2:10" ht="15" customHeight="1">
      <c r="B694" t="s">
        <v>5488</v>
      </c>
      <c r="C694" s="2">
        <f>IFERROR(VLOOKUP(B694,'General price list'!C:BA,MATCH("PAL",'General price list'!$C$20:$BA$20,0),FALSE),"")</f>
        <v>60</v>
      </c>
      <c r="D694" s="2">
        <f>IFERROR(VLOOKUP(B694,'General price list'!C:BA,MATCH("OBJ",'General price list'!$C$20:$BA$20,0),FALSE),"")</f>
        <v>0</v>
      </c>
      <c r="E694" s="2">
        <f t="shared" si="56"/>
        <v>0</v>
      </c>
      <c r="F694" s="2">
        <f t="shared" si="57"/>
        <v>0</v>
      </c>
      <c r="G694" s="2">
        <f t="shared" si="58"/>
        <v>0</v>
      </c>
      <c r="H694" s="2">
        <f t="shared" si="59"/>
        <v>0</v>
      </c>
      <c r="I694" s="2">
        <f t="shared" si="55"/>
        <v>0</v>
      </c>
      <c r="J694">
        <f>IFERROR(VLOOKUP(B694,'General price list'!C:BA,MATCH("CBM",'General price list'!$C$20:$BA$20,0),FALSE)*(G694*C694),0)</f>
        <v>0</v>
      </c>
    </row>
    <row r="695" spans="2:10" ht="15" customHeight="1">
      <c r="B695" t="s">
        <v>5490</v>
      </c>
      <c r="C695" s="2">
        <f>IFERROR(VLOOKUP(B695,'General price list'!C:BA,MATCH("PAL",'General price list'!$C$20:$BA$20,0),FALSE),"")</f>
        <v>60</v>
      </c>
      <c r="D695" s="2">
        <f>IFERROR(VLOOKUP(B695,'General price list'!C:BA,MATCH("OBJ",'General price list'!$C$20:$BA$20,0),FALSE),"")</f>
        <v>0</v>
      </c>
      <c r="E695" s="2">
        <f t="shared" si="56"/>
        <v>0</v>
      </c>
      <c r="F695" s="2">
        <f t="shared" si="57"/>
        <v>0</v>
      </c>
      <c r="G695" s="2">
        <f t="shared" si="58"/>
        <v>0</v>
      </c>
      <c r="H695" s="2">
        <f t="shared" si="59"/>
        <v>0</v>
      </c>
      <c r="I695" s="2">
        <f t="shared" si="55"/>
        <v>0</v>
      </c>
      <c r="J695">
        <f>IFERROR(VLOOKUP(B695,'General price list'!C:BA,MATCH("CBM",'General price list'!$C$20:$BA$20,0),FALSE)*(G695*C695),0)</f>
        <v>0</v>
      </c>
    </row>
    <row r="696" spans="2:10" ht="15" customHeight="1">
      <c r="B696" t="s">
        <v>1698</v>
      </c>
      <c r="C696" s="2">
        <f>IFERROR(VLOOKUP(B696,'General price list'!C:BA,MATCH("PAL",'General price list'!$C$20:$BA$20,0),FALSE),"")</f>
        <v>63</v>
      </c>
      <c r="D696" s="2">
        <f>IFERROR(VLOOKUP(B696,'General price list'!C:BA,MATCH("OBJ",'General price list'!$C$20:$BA$20,0),FALSE),"")</f>
        <v>0</v>
      </c>
      <c r="E696" s="2">
        <f t="shared" si="56"/>
        <v>0</v>
      </c>
      <c r="F696" s="2">
        <f t="shared" si="57"/>
        <v>0</v>
      </c>
      <c r="G696" s="2">
        <f t="shared" si="58"/>
        <v>0</v>
      </c>
      <c r="H696" s="2">
        <f t="shared" si="59"/>
        <v>0</v>
      </c>
      <c r="I696" s="2">
        <f t="shared" si="55"/>
        <v>0</v>
      </c>
      <c r="J696">
        <f>IFERROR(VLOOKUP(B696,'General price list'!C:BA,MATCH("CBM",'General price list'!$C$20:$BA$20,0),FALSE)*(G696*C696),0)</f>
        <v>0</v>
      </c>
    </row>
    <row r="697" spans="2:10" ht="15" customHeight="1">
      <c r="B697" t="s">
        <v>2594</v>
      </c>
      <c r="C697" s="2">
        <f>IFERROR(VLOOKUP(B697,'General price list'!C:BA,MATCH("PAL",'General price list'!$C$20:$BA$20,0),FALSE),"")</f>
        <v>32</v>
      </c>
      <c r="D697" s="2">
        <f>IFERROR(VLOOKUP(B697,'General price list'!C:BA,MATCH("OBJ",'General price list'!$C$20:$BA$20,0),FALSE),"")</f>
        <v>0</v>
      </c>
      <c r="E697" s="2">
        <f t="shared" si="56"/>
        <v>0</v>
      </c>
      <c r="F697" s="2">
        <f t="shared" si="57"/>
        <v>0</v>
      </c>
      <c r="G697" s="2">
        <f t="shared" si="58"/>
        <v>0</v>
      </c>
      <c r="H697" s="2">
        <f t="shared" si="59"/>
        <v>0</v>
      </c>
      <c r="I697" s="2">
        <f t="shared" si="55"/>
        <v>0</v>
      </c>
      <c r="J697">
        <f>IFERROR(VLOOKUP(B697,'General price list'!C:BA,MATCH("CBM",'General price list'!$C$20:$BA$20,0),FALSE)*(G697*C697),0)</f>
        <v>0</v>
      </c>
    </row>
    <row r="698" spans="2:10" ht="15" customHeight="1">
      <c r="B698" t="s">
        <v>5491</v>
      </c>
      <c r="C698" s="2">
        <f>IFERROR(VLOOKUP(B698,'General price list'!C:BA,MATCH("PAL",'General price list'!$C$20:$BA$20,0),FALSE),"")</f>
        <v>32</v>
      </c>
      <c r="D698" s="2">
        <f>IFERROR(VLOOKUP(B698,'General price list'!C:BA,MATCH("OBJ",'General price list'!$C$20:$BA$20,0),FALSE),"")</f>
        <v>0</v>
      </c>
      <c r="E698" s="2">
        <f t="shared" si="56"/>
        <v>0</v>
      </c>
      <c r="F698" s="2">
        <f t="shared" si="57"/>
        <v>0</v>
      </c>
      <c r="G698" s="2">
        <f t="shared" si="58"/>
        <v>0</v>
      </c>
      <c r="H698" s="2">
        <f t="shared" si="59"/>
        <v>0</v>
      </c>
      <c r="I698" s="2">
        <f t="shared" si="55"/>
        <v>0</v>
      </c>
      <c r="J698">
        <f>IFERROR(VLOOKUP(B698,'General price list'!C:BA,MATCH("CBM",'General price list'!$C$20:$BA$20,0),FALSE)*(G698*C698),0)</f>
        <v>0</v>
      </c>
    </row>
    <row r="699" spans="2:10" ht="15" customHeight="1">
      <c r="B699" t="s">
        <v>5493</v>
      </c>
      <c r="C699" s="2">
        <f>IFERROR(VLOOKUP(B699,'General price list'!C:BA,MATCH("PAL",'General price list'!$C$20:$BA$20,0),FALSE),"")</f>
        <v>32</v>
      </c>
      <c r="D699" s="2">
        <f>IFERROR(VLOOKUP(B699,'General price list'!C:BA,MATCH("OBJ",'General price list'!$C$20:$BA$20,0),FALSE),"")</f>
        <v>0</v>
      </c>
      <c r="E699" s="2">
        <f t="shared" si="56"/>
        <v>0</v>
      </c>
      <c r="F699" s="2">
        <f t="shared" si="57"/>
        <v>0</v>
      </c>
      <c r="G699" s="2">
        <f t="shared" si="58"/>
        <v>0</v>
      </c>
      <c r="H699" s="2">
        <f t="shared" si="59"/>
        <v>0</v>
      </c>
      <c r="I699" s="2">
        <f t="shared" si="55"/>
        <v>0</v>
      </c>
      <c r="J699">
        <f>IFERROR(VLOOKUP(B699,'General price list'!C:BA,MATCH("CBM",'General price list'!$C$20:$BA$20,0),FALSE)*(G699*C699),0)</f>
        <v>0</v>
      </c>
    </row>
    <row r="700" spans="2:10" ht="15" customHeight="1">
      <c r="B700" t="s">
        <v>1700</v>
      </c>
      <c r="C700" s="2">
        <f>IFERROR(VLOOKUP(B700,'General price list'!C:BA,MATCH("PAL",'General price list'!$C$20:$BA$20,0),FALSE),"")</f>
        <v>32</v>
      </c>
      <c r="D700" s="2">
        <f>IFERROR(VLOOKUP(B700,'General price list'!C:BA,MATCH("OBJ",'General price list'!$C$20:$BA$20,0),FALSE),"")</f>
        <v>0</v>
      </c>
      <c r="E700" s="2">
        <f t="shared" si="56"/>
        <v>0</v>
      </c>
      <c r="F700" s="2">
        <f t="shared" si="57"/>
        <v>0</v>
      </c>
      <c r="G700" s="2">
        <f t="shared" si="58"/>
        <v>0</v>
      </c>
      <c r="H700" s="2">
        <f t="shared" si="59"/>
        <v>0</v>
      </c>
      <c r="I700" s="2">
        <f t="shared" si="55"/>
        <v>0</v>
      </c>
      <c r="J700">
        <f>IFERROR(VLOOKUP(B700,'General price list'!C:BA,MATCH("CBM",'General price list'!$C$20:$BA$20,0),FALSE)*(G700*C700),0)</f>
        <v>0</v>
      </c>
    </row>
    <row r="701" spans="2:10" ht="15" customHeight="1">
      <c r="B701" t="s">
        <v>1706</v>
      </c>
      <c r="C701" s="2">
        <f>IFERROR(VLOOKUP(B701,'General price list'!C:BA,MATCH("PAL",'General price list'!$C$20:$BA$20,0),FALSE),"")</f>
        <v>24</v>
      </c>
      <c r="D701" s="2">
        <f>IFERROR(VLOOKUP(B701,'General price list'!C:BA,MATCH("OBJ",'General price list'!$C$20:$BA$20,0),FALSE),"")</f>
        <v>0</v>
      </c>
      <c r="E701" s="2">
        <f t="shared" si="56"/>
        <v>0</v>
      </c>
      <c r="F701" s="2">
        <f t="shared" si="57"/>
        <v>0</v>
      </c>
      <c r="G701" s="2">
        <f t="shared" si="58"/>
        <v>0</v>
      </c>
      <c r="H701" s="2">
        <f t="shared" si="59"/>
        <v>0</v>
      </c>
      <c r="I701" s="2">
        <f t="shared" si="55"/>
        <v>0</v>
      </c>
      <c r="J701">
        <f>IFERROR(VLOOKUP(B701,'General price list'!C:BA,MATCH("CBM",'General price list'!$C$20:$BA$20,0),FALSE)*(G701*C701),0)</f>
        <v>0</v>
      </c>
    </row>
    <row r="702" spans="2:10" ht="15" customHeight="1">
      <c r="B702" t="s">
        <v>2596</v>
      </c>
      <c r="C702" s="2">
        <f>IFERROR(VLOOKUP(B702,'General price list'!C:BA,MATCH("PAL",'General price list'!$C$20:$BA$20,0),FALSE),"")</f>
        <v>21</v>
      </c>
      <c r="D702" s="2">
        <f>IFERROR(VLOOKUP(B702,'General price list'!C:BA,MATCH("OBJ",'General price list'!$C$20:$BA$20,0),FALSE),"")</f>
        <v>0</v>
      </c>
      <c r="E702" s="2">
        <f t="shared" si="56"/>
        <v>0</v>
      </c>
      <c r="F702" s="2">
        <f t="shared" si="57"/>
        <v>0</v>
      </c>
      <c r="G702" s="2">
        <f t="shared" si="58"/>
        <v>0</v>
      </c>
      <c r="H702" s="2">
        <f t="shared" si="59"/>
        <v>0</v>
      </c>
      <c r="I702" s="2">
        <f t="shared" si="55"/>
        <v>0</v>
      </c>
      <c r="J702">
        <f>IFERROR(VLOOKUP(B702,'General price list'!C:BA,MATCH("CBM",'General price list'!$C$20:$BA$20,0),FALSE)*(G702*C702),0)</f>
        <v>0</v>
      </c>
    </row>
    <row r="703" spans="2:10" ht="15" customHeight="1">
      <c r="B703" t="s">
        <v>2598</v>
      </c>
      <c r="C703" s="2">
        <f>IFERROR(VLOOKUP(B703,'General price list'!C:BA,MATCH("PAL",'General price list'!$C$20:$BA$20,0),FALSE),"")</f>
        <v>32</v>
      </c>
      <c r="D703" s="2">
        <f>IFERROR(VLOOKUP(B703,'General price list'!C:BA,MATCH("OBJ",'General price list'!$C$20:$BA$20,0),FALSE),"")</f>
        <v>0</v>
      </c>
      <c r="E703" s="2">
        <f t="shared" si="56"/>
        <v>0</v>
      </c>
      <c r="F703" s="2">
        <f t="shared" si="57"/>
        <v>0</v>
      </c>
      <c r="G703" s="2">
        <f t="shared" si="58"/>
        <v>0</v>
      </c>
      <c r="H703" s="2">
        <f t="shared" si="59"/>
        <v>0</v>
      </c>
      <c r="I703" s="2">
        <f t="shared" si="55"/>
        <v>0</v>
      </c>
      <c r="J703">
        <f>IFERROR(VLOOKUP(B703,'General price list'!C:BA,MATCH("CBM",'General price list'!$C$20:$BA$20,0),FALSE)*(G703*C703),0)</f>
        <v>0</v>
      </c>
    </row>
    <row r="704" spans="2:10" ht="15" customHeight="1">
      <c r="B704" t="s">
        <v>2600</v>
      </c>
      <c r="C704" s="2">
        <f>IFERROR(VLOOKUP(B704,'General price list'!C:BA,MATCH("PAL",'General price list'!$C$20:$BA$20,0),FALSE),"")</f>
        <v>18</v>
      </c>
      <c r="D704" s="2">
        <f>IFERROR(VLOOKUP(B704,'General price list'!C:BA,MATCH("OBJ",'General price list'!$C$20:$BA$20,0),FALSE),"")</f>
        <v>0</v>
      </c>
      <c r="E704" s="2">
        <f t="shared" si="56"/>
        <v>0</v>
      </c>
      <c r="F704" s="2">
        <f t="shared" si="57"/>
        <v>0</v>
      </c>
      <c r="G704" s="2">
        <f t="shared" si="58"/>
        <v>0</v>
      </c>
      <c r="H704" s="2">
        <f t="shared" si="59"/>
        <v>0</v>
      </c>
      <c r="I704" s="2">
        <f t="shared" si="55"/>
        <v>0</v>
      </c>
      <c r="J704">
        <f>IFERROR(VLOOKUP(B704,'General price list'!C:BA,MATCH("CBM",'General price list'!$C$20:$BA$20,0),FALSE)*(G704*C704),0)</f>
        <v>0</v>
      </c>
    </row>
    <row r="705" spans="2:10" ht="15" customHeight="1">
      <c r="B705" t="s">
        <v>5511</v>
      </c>
      <c r="C705" s="2">
        <f>IFERROR(VLOOKUP(B705,'General price list'!C:BA,MATCH("PAL",'General price list'!$C$20:$BA$20,0),FALSE),"")</f>
        <v>60</v>
      </c>
      <c r="D705" s="2">
        <f>IFERROR(VLOOKUP(B705,'General price list'!C:BA,MATCH("OBJ",'General price list'!$C$20:$BA$20,0),FALSE),"")</f>
        <v>0</v>
      </c>
      <c r="E705" s="2">
        <f t="shared" si="56"/>
        <v>0</v>
      </c>
      <c r="F705" s="2">
        <f t="shared" si="57"/>
        <v>0</v>
      </c>
      <c r="G705" s="2">
        <f t="shared" si="58"/>
        <v>0</v>
      </c>
      <c r="H705" s="2">
        <f t="shared" si="59"/>
        <v>0</v>
      </c>
      <c r="I705" s="2">
        <f t="shared" si="55"/>
        <v>0</v>
      </c>
      <c r="J705">
        <f>IFERROR(VLOOKUP(B705,'General price list'!C:BA,MATCH("CBM",'General price list'!$C$20:$BA$20,0),FALSE)*(G705*C705),0)</f>
        <v>0</v>
      </c>
    </row>
    <row r="706" spans="2:10" ht="15" customHeight="1">
      <c r="B706" t="s">
        <v>5512</v>
      </c>
      <c r="C706" s="2">
        <f>IFERROR(VLOOKUP(B706,'General price list'!C:BA,MATCH("PAL",'General price list'!$C$20:$BA$20,0),FALSE),"")</f>
        <v>60</v>
      </c>
      <c r="D706" s="2">
        <f>IFERROR(VLOOKUP(B706,'General price list'!C:BA,MATCH("OBJ",'General price list'!$C$20:$BA$20,0),FALSE),"")</f>
        <v>0</v>
      </c>
      <c r="E706" s="2">
        <f t="shared" si="56"/>
        <v>0</v>
      </c>
      <c r="F706" s="2">
        <f t="shared" si="57"/>
        <v>0</v>
      </c>
      <c r="G706" s="2">
        <f t="shared" si="58"/>
        <v>0</v>
      </c>
      <c r="H706" s="2">
        <f t="shared" si="59"/>
        <v>0</v>
      </c>
      <c r="I706" s="2">
        <f t="shared" si="55"/>
        <v>0</v>
      </c>
      <c r="J706">
        <f>IFERROR(VLOOKUP(B706,'General price list'!C:BA,MATCH("CBM",'General price list'!$C$20:$BA$20,0),FALSE)*(G706*C706),0)</f>
        <v>0</v>
      </c>
    </row>
    <row r="707" spans="2:10" ht="15" customHeight="1">
      <c r="B707" t="s">
        <v>5513</v>
      </c>
      <c r="C707" s="2">
        <f>IFERROR(VLOOKUP(B707,'General price list'!C:BA,MATCH("PAL",'General price list'!$C$20:$BA$20,0),FALSE),"")</f>
        <v>63</v>
      </c>
      <c r="D707" s="2">
        <f>IFERROR(VLOOKUP(B707,'General price list'!C:BA,MATCH("OBJ",'General price list'!$C$20:$BA$20,0),FALSE),"")</f>
        <v>0</v>
      </c>
      <c r="E707" s="2">
        <f t="shared" si="56"/>
        <v>0</v>
      </c>
      <c r="F707" s="2">
        <f t="shared" si="57"/>
        <v>0</v>
      </c>
      <c r="G707" s="2">
        <f t="shared" si="58"/>
        <v>0</v>
      </c>
      <c r="H707" s="2">
        <f t="shared" si="59"/>
        <v>0</v>
      </c>
      <c r="I707" s="2">
        <f t="shared" si="55"/>
        <v>0</v>
      </c>
      <c r="J707">
        <f>IFERROR(VLOOKUP(B707,'General price list'!C:BA,MATCH("CBM",'General price list'!$C$20:$BA$20,0),FALSE)*(G707*C707),0)</f>
        <v>0</v>
      </c>
    </row>
    <row r="708" spans="2:10" ht="15" customHeight="1">
      <c r="B708" t="s">
        <v>2766</v>
      </c>
      <c r="C708" s="2">
        <f>IFERROR(VLOOKUP(B708,'General price list'!C:BA,MATCH("PAL",'General price list'!$C$20:$BA$20,0),FALSE),"")</f>
        <v>32</v>
      </c>
      <c r="D708" s="2">
        <f>IFERROR(VLOOKUP(B708,'General price list'!C:BA,MATCH("OBJ",'General price list'!$C$20:$BA$20,0),FALSE),"")</f>
        <v>0</v>
      </c>
      <c r="E708" s="2">
        <f t="shared" si="56"/>
        <v>0</v>
      </c>
      <c r="F708" s="2">
        <f t="shared" si="57"/>
        <v>0</v>
      </c>
      <c r="G708" s="2">
        <f t="shared" si="58"/>
        <v>0</v>
      </c>
      <c r="H708" s="2">
        <f t="shared" si="59"/>
        <v>0</v>
      </c>
      <c r="I708" s="2">
        <f t="shared" ref="I708:I771" si="60">IFERROR(IF(D708=0,0,IF(F708=0,(D708*nextVK)+(prvniVK-nextVK),(G708*C708*nextVK)+(F708*PALzKoje))),0)</f>
        <v>0</v>
      </c>
      <c r="J708">
        <f>IFERROR(VLOOKUP(B708,'General price list'!C:BA,MATCH("CBM",'General price list'!$C$20:$BA$20,0),FALSE)*(G708*C708),0)</f>
        <v>0</v>
      </c>
    </row>
    <row r="709" spans="2:10" ht="15" customHeight="1">
      <c r="B709" t="s">
        <v>5514</v>
      </c>
      <c r="C709" s="2">
        <f>IFERROR(VLOOKUP(B709,'General price list'!C:BA,MATCH("PAL",'General price list'!$C$20:$BA$20,0),FALSE),"")</f>
        <v>32</v>
      </c>
      <c r="D709" s="2">
        <f>IFERROR(VLOOKUP(B709,'General price list'!C:BA,MATCH("OBJ",'General price list'!$C$20:$BA$20,0),FALSE),"")</f>
        <v>0</v>
      </c>
      <c r="E709" s="2">
        <f t="shared" ref="E709:E772" si="61">IFERROR(D709/C709,0)</f>
        <v>0</v>
      </c>
      <c r="F709" s="2">
        <f t="shared" ref="F709:F772" si="62">IFERROR(FLOOR(IF(E709-1&lt;0,0,E709),1),0)</f>
        <v>0</v>
      </c>
      <c r="G709" s="2">
        <f t="shared" ref="G709:G772" si="63">IFERROR(IF(H709&gt;E709,F709-E709,E709-F709),0)</f>
        <v>0</v>
      </c>
      <c r="H709" s="2">
        <f t="shared" ref="H709:H772" si="64">IFERROR(IF(E709=0,0,F709),0)</f>
        <v>0</v>
      </c>
      <c r="I709" s="2">
        <f t="shared" si="60"/>
        <v>0</v>
      </c>
      <c r="J709">
        <f>IFERROR(VLOOKUP(B709,'General price list'!C:BA,MATCH("CBM",'General price list'!$C$20:$BA$20,0),FALSE)*(G709*C709),0)</f>
        <v>0</v>
      </c>
    </row>
    <row r="710" spans="2:10" ht="15" customHeight="1">
      <c r="B710" t="s">
        <v>5515</v>
      </c>
      <c r="C710" s="2">
        <f>IFERROR(VLOOKUP(B710,'General price list'!C:BA,MATCH("PAL",'General price list'!$C$20:$BA$20,0),FALSE),"")</f>
        <v>32</v>
      </c>
      <c r="D710" s="2">
        <f>IFERROR(VLOOKUP(B710,'General price list'!C:BA,MATCH("OBJ",'General price list'!$C$20:$BA$20,0),FALSE),"")</f>
        <v>0</v>
      </c>
      <c r="E710" s="2">
        <f t="shared" si="61"/>
        <v>0</v>
      </c>
      <c r="F710" s="2">
        <f t="shared" si="62"/>
        <v>0</v>
      </c>
      <c r="G710" s="2">
        <f t="shared" si="63"/>
        <v>0</v>
      </c>
      <c r="H710" s="2">
        <f t="shared" si="64"/>
        <v>0</v>
      </c>
      <c r="I710" s="2">
        <f t="shared" si="60"/>
        <v>0</v>
      </c>
      <c r="J710">
        <f>IFERROR(VLOOKUP(B710,'General price list'!C:BA,MATCH("CBM",'General price list'!$C$20:$BA$20,0),FALSE)*(G710*C710),0)</f>
        <v>0</v>
      </c>
    </row>
    <row r="711" spans="2:10" ht="15" customHeight="1">
      <c r="B711" t="s">
        <v>5516</v>
      </c>
      <c r="C711" s="2">
        <f>IFERROR(VLOOKUP(B711,'General price list'!C:BA,MATCH("PAL",'General price list'!$C$20:$BA$20,0),FALSE),"")</f>
        <v>32</v>
      </c>
      <c r="D711" s="2">
        <f>IFERROR(VLOOKUP(B711,'General price list'!C:BA,MATCH("OBJ",'General price list'!$C$20:$BA$20,0),FALSE),"")</f>
        <v>0</v>
      </c>
      <c r="E711" s="2">
        <f t="shared" si="61"/>
        <v>0</v>
      </c>
      <c r="F711" s="2">
        <f t="shared" si="62"/>
        <v>0</v>
      </c>
      <c r="G711" s="2">
        <f t="shared" si="63"/>
        <v>0</v>
      </c>
      <c r="H711" s="2">
        <f t="shared" si="64"/>
        <v>0</v>
      </c>
      <c r="I711" s="2">
        <f t="shared" si="60"/>
        <v>0</v>
      </c>
      <c r="J711">
        <f>IFERROR(VLOOKUP(B711,'General price list'!C:BA,MATCH("CBM",'General price list'!$C$20:$BA$20,0),FALSE)*(G711*C711),0)</f>
        <v>0</v>
      </c>
    </row>
    <row r="712" spans="2:10" ht="15" customHeight="1">
      <c r="B712" t="s">
        <v>2767</v>
      </c>
      <c r="C712" s="2">
        <f>IFERROR(VLOOKUP(B712,'General price list'!C:BA,MATCH("PAL",'General price list'!$C$20:$BA$20,0),FALSE),"")</f>
        <v>24</v>
      </c>
      <c r="D712" s="2">
        <f>IFERROR(VLOOKUP(B712,'General price list'!C:BA,MATCH("OBJ",'General price list'!$C$20:$BA$20,0),FALSE),"")</f>
        <v>0</v>
      </c>
      <c r="E712" s="2">
        <f t="shared" si="61"/>
        <v>0</v>
      </c>
      <c r="F712" s="2">
        <f t="shared" si="62"/>
        <v>0</v>
      </c>
      <c r="G712" s="2">
        <f t="shared" si="63"/>
        <v>0</v>
      </c>
      <c r="H712" s="2">
        <f t="shared" si="64"/>
        <v>0</v>
      </c>
      <c r="I712" s="2">
        <f t="shared" si="60"/>
        <v>0</v>
      </c>
      <c r="J712">
        <f>IFERROR(VLOOKUP(B712,'General price list'!C:BA,MATCH("CBM",'General price list'!$C$20:$BA$20,0),FALSE)*(G712*C712),0)</f>
        <v>0</v>
      </c>
    </row>
    <row r="713" spans="2:10" ht="15" customHeight="1">
      <c r="B713" t="s">
        <v>2768</v>
      </c>
      <c r="C713" s="2">
        <f>IFERROR(VLOOKUP(B713,'General price list'!C:BA,MATCH("PAL",'General price list'!$C$20:$BA$20,0),FALSE),"")</f>
        <v>21</v>
      </c>
      <c r="D713" s="2">
        <f>IFERROR(VLOOKUP(B713,'General price list'!C:BA,MATCH("OBJ",'General price list'!$C$20:$BA$20,0),FALSE),"")</f>
        <v>0</v>
      </c>
      <c r="E713" s="2">
        <f t="shared" si="61"/>
        <v>0</v>
      </c>
      <c r="F713" s="2">
        <f t="shared" si="62"/>
        <v>0</v>
      </c>
      <c r="G713" s="2">
        <f t="shared" si="63"/>
        <v>0</v>
      </c>
      <c r="H713" s="2">
        <f t="shared" si="64"/>
        <v>0</v>
      </c>
      <c r="I713" s="2">
        <f t="shared" si="60"/>
        <v>0</v>
      </c>
      <c r="J713">
        <f>IFERROR(VLOOKUP(B713,'General price list'!C:BA,MATCH("CBM",'General price list'!$C$20:$BA$20,0),FALSE)*(G713*C713),0)</f>
        <v>0</v>
      </c>
    </row>
    <row r="714" spans="2:10" ht="15" customHeight="1">
      <c r="B714" t="s">
        <v>2769</v>
      </c>
      <c r="C714" s="2">
        <f>IFERROR(VLOOKUP(B714,'General price list'!C:BA,MATCH("PAL",'General price list'!$C$20:$BA$20,0),FALSE),"")</f>
        <v>32</v>
      </c>
      <c r="D714" s="2">
        <f>IFERROR(VLOOKUP(B714,'General price list'!C:BA,MATCH("OBJ",'General price list'!$C$20:$BA$20,0),FALSE),"")</f>
        <v>0</v>
      </c>
      <c r="E714" s="2">
        <f t="shared" si="61"/>
        <v>0</v>
      </c>
      <c r="F714" s="2">
        <f t="shared" si="62"/>
        <v>0</v>
      </c>
      <c r="G714" s="2">
        <f t="shared" si="63"/>
        <v>0</v>
      </c>
      <c r="H714" s="2">
        <f t="shared" si="64"/>
        <v>0</v>
      </c>
      <c r="I714" s="2">
        <f t="shared" si="60"/>
        <v>0</v>
      </c>
      <c r="J714">
        <f>IFERROR(VLOOKUP(B714,'General price list'!C:BA,MATCH("CBM",'General price list'!$C$20:$BA$20,0),FALSE)*(G714*C714),0)</f>
        <v>0</v>
      </c>
    </row>
    <row r="715" spans="2:10" ht="15" customHeight="1">
      <c r="B715" t="s">
        <v>2770</v>
      </c>
      <c r="C715" s="2">
        <f>IFERROR(VLOOKUP(B715,'General price list'!C:BA,MATCH("PAL",'General price list'!$C$20:$BA$20,0),FALSE),"")</f>
        <v>18</v>
      </c>
      <c r="D715" s="2">
        <f>IFERROR(VLOOKUP(B715,'General price list'!C:BA,MATCH("OBJ",'General price list'!$C$20:$BA$20,0),FALSE),"")</f>
        <v>0</v>
      </c>
      <c r="E715" s="2">
        <f t="shared" si="61"/>
        <v>0</v>
      </c>
      <c r="F715" s="2">
        <f t="shared" si="62"/>
        <v>0</v>
      </c>
      <c r="G715" s="2">
        <f t="shared" si="63"/>
        <v>0</v>
      </c>
      <c r="H715" s="2">
        <f t="shared" si="64"/>
        <v>0</v>
      </c>
      <c r="I715" s="2">
        <f t="shared" si="60"/>
        <v>0</v>
      </c>
      <c r="J715">
        <f>IFERROR(VLOOKUP(B715,'General price list'!C:BA,MATCH("CBM",'General price list'!$C$20:$BA$20,0),FALSE)*(G715*C715),0)</f>
        <v>0</v>
      </c>
    </row>
    <row r="716" spans="2:10" ht="15" customHeight="1">
      <c r="B716" t="s">
        <v>2602</v>
      </c>
      <c r="C716" s="2">
        <f>IFERROR(VLOOKUP(B716,'General price list'!C:BA,MATCH("PAL",'General price list'!$C$20:$BA$20,0),FALSE),"")</f>
        <v>32</v>
      </c>
      <c r="D716" s="2">
        <f>IFERROR(VLOOKUP(B716,'General price list'!C:BA,MATCH("OBJ",'General price list'!$C$20:$BA$20,0),FALSE),"")</f>
        <v>0</v>
      </c>
      <c r="E716" s="2">
        <f t="shared" si="61"/>
        <v>0</v>
      </c>
      <c r="F716" s="2">
        <f t="shared" si="62"/>
        <v>0</v>
      </c>
      <c r="G716" s="2">
        <f t="shared" si="63"/>
        <v>0</v>
      </c>
      <c r="H716" s="2">
        <f t="shared" si="64"/>
        <v>0</v>
      </c>
      <c r="I716" s="2">
        <f t="shared" si="60"/>
        <v>0</v>
      </c>
      <c r="J716">
        <f>IFERROR(VLOOKUP(B716,'General price list'!C:BA,MATCH("CBM",'General price list'!$C$20:$BA$20,0),FALSE)*(G716*C716),0)</f>
        <v>0</v>
      </c>
    </row>
    <row r="717" spans="2:10" ht="15" customHeight="1">
      <c r="B717" t="s">
        <v>2603</v>
      </c>
      <c r="C717" s="2">
        <f>IFERROR(VLOOKUP(B717,'General price list'!C:BA,MATCH("PAL",'General price list'!$C$20:$BA$20,0),FALSE),"")</f>
        <v>32</v>
      </c>
      <c r="D717" s="2">
        <f>IFERROR(VLOOKUP(B717,'General price list'!C:BA,MATCH("OBJ",'General price list'!$C$20:$BA$20,0),FALSE),"")</f>
        <v>0</v>
      </c>
      <c r="E717" s="2">
        <f t="shared" si="61"/>
        <v>0</v>
      </c>
      <c r="F717" s="2">
        <f t="shared" si="62"/>
        <v>0</v>
      </c>
      <c r="G717" s="2">
        <f t="shared" si="63"/>
        <v>0</v>
      </c>
      <c r="H717" s="2">
        <f t="shared" si="64"/>
        <v>0</v>
      </c>
      <c r="I717" s="2">
        <f t="shared" si="60"/>
        <v>0</v>
      </c>
      <c r="J717">
        <f>IFERROR(VLOOKUP(B717,'General price list'!C:BA,MATCH("CBM",'General price list'!$C$20:$BA$20,0),FALSE)*(G717*C717),0)</f>
        <v>0</v>
      </c>
    </row>
    <row r="718" spans="2:10" ht="15" customHeight="1">
      <c r="B718" t="s">
        <v>1707</v>
      </c>
      <c r="C718" s="2">
        <f>IFERROR(VLOOKUP(B718,'General price list'!C:BA,MATCH("PAL",'General price list'!$C$20:$BA$20,0),FALSE),"")</f>
        <v>32</v>
      </c>
      <c r="D718" s="2">
        <f>IFERROR(VLOOKUP(B718,'General price list'!C:BA,MATCH("OBJ",'General price list'!$C$20:$BA$20,0),FALSE),"")</f>
        <v>0</v>
      </c>
      <c r="E718" s="2">
        <f t="shared" si="61"/>
        <v>0</v>
      </c>
      <c r="F718" s="2">
        <f t="shared" si="62"/>
        <v>0</v>
      </c>
      <c r="G718" s="2">
        <f t="shared" si="63"/>
        <v>0</v>
      </c>
      <c r="H718" s="2">
        <f t="shared" si="64"/>
        <v>0</v>
      </c>
      <c r="I718" s="2">
        <f t="shared" si="60"/>
        <v>0</v>
      </c>
      <c r="J718">
        <f>IFERROR(VLOOKUP(B718,'General price list'!C:BA,MATCH("CBM",'General price list'!$C$20:$BA$20,0),FALSE)*(G718*C718),0)</f>
        <v>0</v>
      </c>
    </row>
    <row r="719" spans="2:10" ht="15" customHeight="1">
      <c r="B719" t="s">
        <v>1708</v>
      </c>
      <c r="C719" s="2">
        <f>IFERROR(VLOOKUP(B719,'General price list'!C:BA,MATCH("PAL",'General price list'!$C$20:$BA$20,0),FALSE),"")</f>
        <v>24</v>
      </c>
      <c r="D719" s="2">
        <f>IFERROR(VLOOKUP(B719,'General price list'!C:BA,MATCH("OBJ",'General price list'!$C$20:$BA$20,0),FALSE),"")</f>
        <v>0</v>
      </c>
      <c r="E719" s="2">
        <f t="shared" si="61"/>
        <v>0</v>
      </c>
      <c r="F719" s="2">
        <f t="shared" si="62"/>
        <v>0</v>
      </c>
      <c r="G719" s="2">
        <f t="shared" si="63"/>
        <v>0</v>
      </c>
      <c r="H719" s="2">
        <f t="shared" si="64"/>
        <v>0</v>
      </c>
      <c r="I719" s="2">
        <f t="shared" si="60"/>
        <v>0</v>
      </c>
      <c r="J719">
        <f>IFERROR(VLOOKUP(B719,'General price list'!C:BA,MATCH("CBM",'General price list'!$C$20:$BA$20,0),FALSE)*(G719*C719),0)</f>
        <v>0</v>
      </c>
    </row>
    <row r="720" spans="2:10" ht="15" customHeight="1">
      <c r="B720" t="s">
        <v>2605</v>
      </c>
      <c r="C720" s="2">
        <f>IFERROR(VLOOKUP(B720,'General price list'!C:BA,MATCH("PAL",'General price list'!$C$20:$BA$20,0),FALSE),"")</f>
        <v>21</v>
      </c>
      <c r="D720" s="2">
        <f>IFERROR(VLOOKUP(B720,'General price list'!C:BA,MATCH("OBJ",'General price list'!$C$20:$BA$20,0),FALSE),"")</f>
        <v>0</v>
      </c>
      <c r="E720" s="2">
        <f t="shared" si="61"/>
        <v>0</v>
      </c>
      <c r="F720" s="2">
        <f t="shared" si="62"/>
        <v>0</v>
      </c>
      <c r="G720" s="2">
        <f t="shared" si="63"/>
        <v>0</v>
      </c>
      <c r="H720" s="2">
        <f t="shared" si="64"/>
        <v>0</v>
      </c>
      <c r="I720" s="2">
        <f t="shared" si="60"/>
        <v>0</v>
      </c>
      <c r="J720">
        <f>IFERROR(VLOOKUP(B720,'General price list'!C:BA,MATCH("CBM",'General price list'!$C$20:$BA$20,0),FALSE)*(G720*C720),0)</f>
        <v>0</v>
      </c>
    </row>
    <row r="721" spans="2:10" ht="15" customHeight="1">
      <c r="B721" t="s">
        <v>2606</v>
      </c>
      <c r="C721" s="2">
        <f>IFERROR(VLOOKUP(B721,'General price list'!C:BA,MATCH("PAL",'General price list'!$C$20:$BA$20,0),FALSE),"")</f>
        <v>32</v>
      </c>
      <c r="D721" s="2">
        <f>IFERROR(VLOOKUP(B721,'General price list'!C:BA,MATCH("OBJ",'General price list'!$C$20:$BA$20,0),FALSE),"")</f>
        <v>0</v>
      </c>
      <c r="E721" s="2">
        <f t="shared" si="61"/>
        <v>0</v>
      </c>
      <c r="F721" s="2">
        <f t="shared" si="62"/>
        <v>0</v>
      </c>
      <c r="G721" s="2">
        <f t="shared" si="63"/>
        <v>0</v>
      </c>
      <c r="H721" s="2">
        <f t="shared" si="64"/>
        <v>0</v>
      </c>
      <c r="I721" s="2">
        <f t="shared" si="60"/>
        <v>0</v>
      </c>
      <c r="J721">
        <f>IFERROR(VLOOKUP(B721,'General price list'!C:BA,MATCH("CBM",'General price list'!$C$20:$BA$20,0),FALSE)*(G721*C721),0)</f>
        <v>0</v>
      </c>
    </row>
    <row r="722" spans="2:10" ht="15" customHeight="1">
      <c r="B722" t="s">
        <v>2607</v>
      </c>
      <c r="C722" s="2">
        <f>IFERROR(VLOOKUP(B722,'General price list'!C:BA,MATCH("PAL",'General price list'!$C$20:$BA$20,0),FALSE),"")</f>
        <v>18</v>
      </c>
      <c r="D722" s="2">
        <f>IFERROR(VLOOKUP(B722,'General price list'!C:BA,MATCH("OBJ",'General price list'!$C$20:$BA$20,0),FALSE),"")</f>
        <v>0</v>
      </c>
      <c r="E722" s="2">
        <f t="shared" si="61"/>
        <v>0</v>
      </c>
      <c r="F722" s="2">
        <f t="shared" si="62"/>
        <v>0</v>
      </c>
      <c r="G722" s="2">
        <f t="shared" si="63"/>
        <v>0</v>
      </c>
      <c r="H722" s="2">
        <f t="shared" si="64"/>
        <v>0</v>
      </c>
      <c r="I722" s="2">
        <f t="shared" si="60"/>
        <v>0</v>
      </c>
      <c r="J722">
        <f>IFERROR(VLOOKUP(B722,'General price list'!C:BA,MATCH("CBM",'General price list'!$C$20:$BA$20,0),FALSE)*(G722*C722),0)</f>
        <v>0</v>
      </c>
    </row>
    <row r="723" spans="2:10" ht="15" customHeight="1">
      <c r="B723" t="s">
        <v>2771</v>
      </c>
      <c r="C723" s="2">
        <f>IFERROR(VLOOKUP(B723,'General price list'!C:BA,MATCH("PAL",'General price list'!$C$20:$BA$20,0),FALSE),"")</f>
        <v>32</v>
      </c>
      <c r="D723" s="2">
        <f>IFERROR(VLOOKUP(B723,'General price list'!C:BA,MATCH("OBJ",'General price list'!$C$20:$BA$20,0),FALSE),"")</f>
        <v>0</v>
      </c>
      <c r="E723" s="2">
        <f t="shared" si="61"/>
        <v>0</v>
      </c>
      <c r="F723" s="2">
        <f t="shared" si="62"/>
        <v>0</v>
      </c>
      <c r="G723" s="2">
        <f t="shared" si="63"/>
        <v>0</v>
      </c>
      <c r="H723" s="2">
        <f t="shared" si="64"/>
        <v>0</v>
      </c>
      <c r="I723" s="2">
        <f t="shared" si="60"/>
        <v>0</v>
      </c>
      <c r="J723">
        <f>IFERROR(VLOOKUP(B723,'General price list'!C:BA,MATCH("CBM",'General price list'!$C$20:$BA$20,0),FALSE)*(G723*C723),0)</f>
        <v>0</v>
      </c>
    </row>
    <row r="724" spans="2:10" ht="15" customHeight="1">
      <c r="B724" t="s">
        <v>2772</v>
      </c>
      <c r="C724" s="2">
        <f>IFERROR(VLOOKUP(B724,'General price list'!C:BA,MATCH("PAL",'General price list'!$C$20:$BA$20,0),FALSE),"")</f>
        <v>32</v>
      </c>
      <c r="D724" s="2">
        <f>IFERROR(VLOOKUP(B724,'General price list'!C:BA,MATCH("OBJ",'General price list'!$C$20:$BA$20,0),FALSE),"")</f>
        <v>0</v>
      </c>
      <c r="E724" s="2">
        <f t="shared" si="61"/>
        <v>0</v>
      </c>
      <c r="F724" s="2">
        <f t="shared" si="62"/>
        <v>0</v>
      </c>
      <c r="G724" s="2">
        <f t="shared" si="63"/>
        <v>0</v>
      </c>
      <c r="H724" s="2">
        <f t="shared" si="64"/>
        <v>0</v>
      </c>
      <c r="I724" s="2">
        <f t="shared" si="60"/>
        <v>0</v>
      </c>
      <c r="J724">
        <f>IFERROR(VLOOKUP(B724,'General price list'!C:BA,MATCH("CBM",'General price list'!$C$20:$BA$20,0),FALSE)*(G724*C724),0)</f>
        <v>0</v>
      </c>
    </row>
    <row r="725" spans="2:10" ht="15" customHeight="1">
      <c r="B725" t="s">
        <v>2654</v>
      </c>
      <c r="C725" s="2">
        <f>IFERROR(VLOOKUP(B725,'General price list'!C:BA,MATCH("PAL",'General price list'!$C$20:$BA$20,0),FALSE),"")</f>
        <v>32</v>
      </c>
      <c r="D725" s="2">
        <f>IFERROR(VLOOKUP(B725,'General price list'!C:BA,MATCH("OBJ",'General price list'!$C$20:$BA$20,0),FALSE),"")</f>
        <v>0</v>
      </c>
      <c r="E725" s="2">
        <f t="shared" si="61"/>
        <v>0</v>
      </c>
      <c r="F725" s="2">
        <f t="shared" si="62"/>
        <v>0</v>
      </c>
      <c r="G725" s="2">
        <f t="shared" si="63"/>
        <v>0</v>
      </c>
      <c r="H725" s="2">
        <f t="shared" si="64"/>
        <v>0</v>
      </c>
      <c r="I725" s="2">
        <f t="shared" si="60"/>
        <v>0</v>
      </c>
      <c r="J725">
        <f>IFERROR(VLOOKUP(B725,'General price list'!C:BA,MATCH("CBM",'General price list'!$C$20:$BA$20,0),FALSE)*(G725*C725),0)</f>
        <v>0</v>
      </c>
    </row>
    <row r="726" spans="2:10" ht="15" customHeight="1">
      <c r="B726" t="s">
        <v>2773</v>
      </c>
      <c r="C726" s="2">
        <f>IFERROR(VLOOKUP(B726,'General price list'!C:BA,MATCH("PAL",'General price list'!$C$20:$BA$20,0),FALSE),"")</f>
        <v>24</v>
      </c>
      <c r="D726" s="2">
        <f>IFERROR(VLOOKUP(B726,'General price list'!C:BA,MATCH("OBJ",'General price list'!$C$20:$BA$20,0),FALSE),"")</f>
        <v>0</v>
      </c>
      <c r="E726" s="2">
        <f t="shared" si="61"/>
        <v>0</v>
      </c>
      <c r="F726" s="2">
        <f t="shared" si="62"/>
        <v>0</v>
      </c>
      <c r="G726" s="2">
        <f t="shared" si="63"/>
        <v>0</v>
      </c>
      <c r="H726" s="2">
        <f t="shared" si="64"/>
        <v>0</v>
      </c>
      <c r="I726" s="2">
        <f t="shared" si="60"/>
        <v>0</v>
      </c>
      <c r="J726">
        <f>IFERROR(VLOOKUP(B726,'General price list'!C:BA,MATCH("CBM",'General price list'!$C$20:$BA$20,0),FALSE)*(G726*C726),0)</f>
        <v>0</v>
      </c>
    </row>
    <row r="727" spans="2:10" ht="15" customHeight="1">
      <c r="B727" t="s">
        <v>2774</v>
      </c>
      <c r="C727" s="2">
        <f>IFERROR(VLOOKUP(B727,'General price list'!C:BA,MATCH("PAL",'General price list'!$C$20:$BA$20,0),FALSE),"")</f>
        <v>21</v>
      </c>
      <c r="D727" s="2">
        <f>IFERROR(VLOOKUP(B727,'General price list'!C:BA,MATCH("OBJ",'General price list'!$C$20:$BA$20,0),FALSE),"")</f>
        <v>0</v>
      </c>
      <c r="E727" s="2">
        <f t="shared" si="61"/>
        <v>0</v>
      </c>
      <c r="F727" s="2">
        <f t="shared" si="62"/>
        <v>0</v>
      </c>
      <c r="G727" s="2">
        <f t="shared" si="63"/>
        <v>0</v>
      </c>
      <c r="H727" s="2">
        <f t="shared" si="64"/>
        <v>0</v>
      </c>
      <c r="I727" s="2">
        <f t="shared" si="60"/>
        <v>0</v>
      </c>
      <c r="J727">
        <f>IFERROR(VLOOKUP(B727,'General price list'!C:BA,MATCH("CBM",'General price list'!$C$20:$BA$20,0),FALSE)*(G727*C727),0)</f>
        <v>0</v>
      </c>
    </row>
    <row r="728" spans="2:10" ht="15" customHeight="1">
      <c r="B728" t="s">
        <v>2775</v>
      </c>
      <c r="C728" s="2">
        <f>IFERROR(VLOOKUP(B728,'General price list'!C:BA,MATCH("PAL",'General price list'!$C$20:$BA$20,0),FALSE),"")</f>
        <v>32</v>
      </c>
      <c r="D728" s="2">
        <f>IFERROR(VLOOKUP(B728,'General price list'!C:BA,MATCH("OBJ",'General price list'!$C$20:$BA$20,0),FALSE),"")</f>
        <v>0</v>
      </c>
      <c r="E728" s="2">
        <f t="shared" si="61"/>
        <v>0</v>
      </c>
      <c r="F728" s="2">
        <f t="shared" si="62"/>
        <v>0</v>
      </c>
      <c r="G728" s="2">
        <f t="shared" si="63"/>
        <v>0</v>
      </c>
      <c r="H728" s="2">
        <f t="shared" si="64"/>
        <v>0</v>
      </c>
      <c r="I728" s="2">
        <f t="shared" si="60"/>
        <v>0</v>
      </c>
      <c r="J728">
        <f>IFERROR(VLOOKUP(B728,'General price list'!C:BA,MATCH("CBM",'General price list'!$C$20:$BA$20,0),FALSE)*(G728*C728),0)</f>
        <v>0</v>
      </c>
    </row>
    <row r="729" spans="2:10" ht="15" customHeight="1">
      <c r="B729" t="s">
        <v>2776</v>
      </c>
      <c r="C729" s="2">
        <f>IFERROR(VLOOKUP(B729,'General price list'!C:BA,MATCH("PAL",'General price list'!$C$20:$BA$20,0),FALSE),"")</f>
        <v>18</v>
      </c>
      <c r="D729" s="2">
        <f>IFERROR(VLOOKUP(B729,'General price list'!C:BA,MATCH("OBJ",'General price list'!$C$20:$BA$20,0),FALSE),"")</f>
        <v>0</v>
      </c>
      <c r="E729" s="2">
        <f t="shared" si="61"/>
        <v>0</v>
      </c>
      <c r="F729" s="2">
        <f t="shared" si="62"/>
        <v>0</v>
      </c>
      <c r="G729" s="2">
        <f t="shared" si="63"/>
        <v>0</v>
      </c>
      <c r="H729" s="2">
        <f t="shared" si="64"/>
        <v>0</v>
      </c>
      <c r="I729" s="2">
        <f t="shared" si="60"/>
        <v>0</v>
      </c>
      <c r="J729">
        <f>IFERROR(VLOOKUP(B729,'General price list'!C:BA,MATCH("CBM",'General price list'!$C$20:$BA$20,0),FALSE)*(G729*C729),0)</f>
        <v>0</v>
      </c>
    </row>
    <row r="730" spans="2:10" ht="15" customHeight="1">
      <c r="B730" t="s">
        <v>1711</v>
      </c>
      <c r="C730" s="2">
        <f>IFERROR(VLOOKUP(B730,'General price list'!C:BA,MATCH("PAL",'General price list'!$C$20:$BA$20,0),FALSE),"")</f>
        <v>24</v>
      </c>
      <c r="D730" s="2">
        <f>IFERROR(VLOOKUP(B730,'General price list'!C:BA,MATCH("OBJ",'General price list'!$C$20:$BA$20,0),FALSE),"")</f>
        <v>0</v>
      </c>
      <c r="E730" s="2">
        <f t="shared" si="61"/>
        <v>0</v>
      </c>
      <c r="F730" s="2">
        <f t="shared" si="62"/>
        <v>0</v>
      </c>
      <c r="G730" s="2">
        <f t="shared" si="63"/>
        <v>0</v>
      </c>
      <c r="H730" s="2">
        <f t="shared" si="64"/>
        <v>0</v>
      </c>
      <c r="I730" s="2">
        <f t="shared" si="60"/>
        <v>0</v>
      </c>
      <c r="J730">
        <f>IFERROR(VLOOKUP(B730,'General price list'!C:BA,MATCH("CBM",'General price list'!$C$20:$BA$20,0),FALSE)*(G730*C730),0)</f>
        <v>0</v>
      </c>
    </row>
    <row r="731" spans="2:10" ht="15" customHeight="1">
      <c r="B731" t="s">
        <v>2608</v>
      </c>
      <c r="C731" s="2">
        <f>IFERROR(VLOOKUP(B731,'General price list'!C:BA,MATCH("PAL",'General price list'!$C$20:$BA$20,0),FALSE),"")</f>
        <v>12</v>
      </c>
      <c r="D731" s="2">
        <f>IFERROR(VLOOKUP(B731,'General price list'!C:BA,MATCH("OBJ",'General price list'!$C$20:$BA$20,0),FALSE),"")</f>
        <v>0</v>
      </c>
      <c r="E731" s="2">
        <f t="shared" si="61"/>
        <v>0</v>
      </c>
      <c r="F731" s="2">
        <f t="shared" si="62"/>
        <v>0</v>
      </c>
      <c r="G731" s="2">
        <f t="shared" si="63"/>
        <v>0</v>
      </c>
      <c r="H731" s="2">
        <f t="shared" si="64"/>
        <v>0</v>
      </c>
      <c r="I731" s="2">
        <f t="shared" si="60"/>
        <v>0</v>
      </c>
      <c r="J731">
        <f>IFERROR(VLOOKUP(B731,'General price list'!C:BA,MATCH("CBM",'General price list'!$C$20:$BA$20,0),FALSE)*(G731*C731),0)</f>
        <v>0</v>
      </c>
    </row>
    <row r="732" spans="2:10" ht="15" customHeight="1">
      <c r="B732" t="s">
        <v>1712</v>
      </c>
      <c r="C732" s="2">
        <f>IFERROR(VLOOKUP(B732,'General price list'!C:BA,MATCH("PAL",'General price list'!$C$20:$BA$20,0),FALSE),"")</f>
        <v>24</v>
      </c>
      <c r="D732" s="2">
        <f>IFERROR(VLOOKUP(B732,'General price list'!C:BA,MATCH("OBJ",'General price list'!$C$20:$BA$20,0),FALSE),"")</f>
        <v>0</v>
      </c>
      <c r="E732" s="2">
        <f t="shared" si="61"/>
        <v>0</v>
      </c>
      <c r="F732" s="2">
        <f t="shared" si="62"/>
        <v>0</v>
      </c>
      <c r="G732" s="2">
        <f t="shared" si="63"/>
        <v>0</v>
      </c>
      <c r="H732" s="2">
        <f t="shared" si="64"/>
        <v>0</v>
      </c>
      <c r="I732" s="2">
        <f t="shared" si="60"/>
        <v>0</v>
      </c>
      <c r="J732">
        <f>IFERROR(VLOOKUP(B732,'General price list'!C:BA,MATCH("CBM",'General price list'!$C$20:$BA$20,0),FALSE)*(G732*C732),0)</f>
        <v>0</v>
      </c>
    </row>
    <row r="733" spans="2:10" ht="15" customHeight="1">
      <c r="B733" t="s">
        <v>2610</v>
      </c>
      <c r="C733" s="2">
        <f>IFERROR(VLOOKUP(B733,'General price list'!C:BA,MATCH("PAL",'General price list'!$C$20:$BA$20,0),FALSE),"")</f>
        <v>12</v>
      </c>
      <c r="D733" s="2">
        <f>IFERROR(VLOOKUP(B733,'General price list'!C:BA,MATCH("OBJ",'General price list'!$C$20:$BA$20,0),FALSE),"")</f>
        <v>0</v>
      </c>
      <c r="E733" s="2">
        <f t="shared" si="61"/>
        <v>0</v>
      </c>
      <c r="F733" s="2">
        <f t="shared" si="62"/>
        <v>0</v>
      </c>
      <c r="G733" s="2">
        <f t="shared" si="63"/>
        <v>0</v>
      </c>
      <c r="H733" s="2">
        <f t="shared" si="64"/>
        <v>0</v>
      </c>
      <c r="I733" s="2">
        <f t="shared" si="60"/>
        <v>0</v>
      </c>
      <c r="J733">
        <f>IFERROR(VLOOKUP(B733,'General price list'!C:BA,MATCH("CBM",'General price list'!$C$20:$BA$20,0),FALSE)*(G733*C733),0)</f>
        <v>0</v>
      </c>
    </row>
    <row r="734" spans="2:10" ht="15" customHeight="1">
      <c r="B734" t="s">
        <v>2612</v>
      </c>
      <c r="C734" s="2">
        <f>IFERROR(VLOOKUP(B734,'General price list'!C:BA,MATCH("PAL",'General price list'!$C$20:$BA$20,0),FALSE),"")</f>
        <v>12</v>
      </c>
      <c r="D734" s="2">
        <f>IFERROR(VLOOKUP(B734,'General price list'!C:BA,MATCH("OBJ",'General price list'!$C$20:$BA$20,0),FALSE),"")</f>
        <v>0</v>
      </c>
      <c r="E734" s="2">
        <f t="shared" si="61"/>
        <v>0</v>
      </c>
      <c r="F734" s="2">
        <f t="shared" si="62"/>
        <v>0</v>
      </c>
      <c r="G734" s="2">
        <f t="shared" si="63"/>
        <v>0</v>
      </c>
      <c r="H734" s="2">
        <f t="shared" si="64"/>
        <v>0</v>
      </c>
      <c r="I734" s="2">
        <f t="shared" si="60"/>
        <v>0</v>
      </c>
      <c r="J734">
        <f>IFERROR(VLOOKUP(B734,'General price list'!C:BA,MATCH("CBM",'General price list'!$C$20:$BA$20,0),FALSE)*(G734*C734),0)</f>
        <v>0</v>
      </c>
    </row>
    <row r="735" spans="2:10" ht="15" customHeight="1">
      <c r="B735" t="s">
        <v>1714</v>
      </c>
      <c r="C735" s="2">
        <f>IFERROR(VLOOKUP(B735,'General price list'!C:BA,MATCH("PAL",'General price list'!$C$20:$BA$20,0),FALSE),"")</f>
        <v>8</v>
      </c>
      <c r="D735" s="2">
        <f>IFERROR(VLOOKUP(B735,'General price list'!C:BA,MATCH("OBJ",'General price list'!$C$20:$BA$20,0),FALSE),"")</f>
        <v>0</v>
      </c>
      <c r="E735" s="2">
        <f t="shared" si="61"/>
        <v>0</v>
      </c>
      <c r="F735" s="2">
        <f t="shared" si="62"/>
        <v>0</v>
      </c>
      <c r="G735" s="2">
        <f t="shared" si="63"/>
        <v>0</v>
      </c>
      <c r="H735" s="2">
        <f t="shared" si="64"/>
        <v>0</v>
      </c>
      <c r="I735" s="2">
        <f t="shared" si="60"/>
        <v>0</v>
      </c>
      <c r="J735">
        <f>IFERROR(VLOOKUP(B735,'General price list'!C:BA,MATCH("CBM",'General price list'!$C$20:$BA$20,0),FALSE)*(G735*C735),0)</f>
        <v>0</v>
      </c>
    </row>
    <row r="736" spans="2:10" ht="15" customHeight="1">
      <c r="B736" t="s">
        <v>2777</v>
      </c>
      <c r="C736" s="2">
        <f>IFERROR(VLOOKUP(B736,'General price list'!C:BA,MATCH("PAL",'General price list'!$C$20:$BA$20,0),FALSE),"")</f>
        <v>24</v>
      </c>
      <c r="D736" s="2">
        <f>IFERROR(VLOOKUP(B736,'General price list'!C:BA,MATCH("OBJ",'General price list'!$C$20:$BA$20,0),FALSE),"")</f>
        <v>0</v>
      </c>
      <c r="E736" s="2">
        <f t="shared" si="61"/>
        <v>0</v>
      </c>
      <c r="F736" s="2">
        <f t="shared" si="62"/>
        <v>0</v>
      </c>
      <c r="G736" s="2">
        <f t="shared" si="63"/>
        <v>0</v>
      </c>
      <c r="H736" s="2">
        <f t="shared" si="64"/>
        <v>0</v>
      </c>
      <c r="I736" s="2">
        <f t="shared" si="60"/>
        <v>0</v>
      </c>
      <c r="J736">
        <f>IFERROR(VLOOKUP(B736,'General price list'!C:BA,MATCH("CBM",'General price list'!$C$20:$BA$20,0),FALSE)*(G736*C736),0)</f>
        <v>0</v>
      </c>
    </row>
    <row r="737" spans="2:10" ht="15" customHeight="1">
      <c r="B737" t="s">
        <v>2778</v>
      </c>
      <c r="C737" s="2">
        <f>IFERROR(VLOOKUP(B737,'General price list'!C:BA,MATCH("PAL",'General price list'!$C$20:$BA$20,0),FALSE),"")</f>
        <v>12</v>
      </c>
      <c r="D737" s="2">
        <f>IFERROR(VLOOKUP(B737,'General price list'!C:BA,MATCH("OBJ",'General price list'!$C$20:$BA$20,0),FALSE),"")</f>
        <v>0</v>
      </c>
      <c r="E737" s="2">
        <f t="shared" si="61"/>
        <v>0</v>
      </c>
      <c r="F737" s="2">
        <f t="shared" si="62"/>
        <v>0</v>
      </c>
      <c r="G737" s="2">
        <f t="shared" si="63"/>
        <v>0</v>
      </c>
      <c r="H737" s="2">
        <f t="shared" si="64"/>
        <v>0</v>
      </c>
      <c r="I737" s="2">
        <f t="shared" si="60"/>
        <v>0</v>
      </c>
      <c r="J737">
        <f>IFERROR(VLOOKUP(B737,'General price list'!C:BA,MATCH("CBM",'General price list'!$C$20:$BA$20,0),FALSE)*(G737*C737),0)</f>
        <v>0</v>
      </c>
    </row>
    <row r="738" spans="2:10" ht="15" customHeight="1">
      <c r="B738" t="s">
        <v>5525</v>
      </c>
      <c r="C738" s="2">
        <f>IFERROR(VLOOKUP(B738,'General price list'!C:BA,MATCH("PAL",'General price list'!$C$20:$BA$20,0),FALSE),"")</f>
        <v>24</v>
      </c>
      <c r="D738" s="2">
        <f>IFERROR(VLOOKUP(B738,'General price list'!C:BA,MATCH("OBJ",'General price list'!$C$20:$BA$20,0),FALSE),"")</f>
        <v>0</v>
      </c>
      <c r="E738" s="2">
        <f t="shared" si="61"/>
        <v>0</v>
      </c>
      <c r="F738" s="2">
        <f t="shared" si="62"/>
        <v>0</v>
      </c>
      <c r="G738" s="2">
        <f t="shared" si="63"/>
        <v>0</v>
      </c>
      <c r="H738" s="2">
        <f t="shared" si="64"/>
        <v>0</v>
      </c>
      <c r="I738" s="2">
        <f t="shared" si="60"/>
        <v>0</v>
      </c>
      <c r="J738">
        <f>IFERROR(VLOOKUP(B738,'General price list'!C:BA,MATCH("CBM",'General price list'!$C$20:$BA$20,0),FALSE)*(G738*C738),0)</f>
        <v>0</v>
      </c>
    </row>
    <row r="739" spans="2:10" ht="15" customHeight="1">
      <c r="B739" t="s">
        <v>2779</v>
      </c>
      <c r="C739" s="2">
        <f>IFERROR(VLOOKUP(B739,'General price list'!C:BA,MATCH("PAL",'General price list'!$C$20:$BA$20,0),FALSE),"")</f>
        <v>12</v>
      </c>
      <c r="D739" s="2">
        <f>IFERROR(VLOOKUP(B739,'General price list'!C:BA,MATCH("OBJ",'General price list'!$C$20:$BA$20,0),FALSE),"")</f>
        <v>0</v>
      </c>
      <c r="E739" s="2">
        <f t="shared" si="61"/>
        <v>0</v>
      </c>
      <c r="F739" s="2">
        <f t="shared" si="62"/>
        <v>0</v>
      </c>
      <c r="G739" s="2">
        <f t="shared" si="63"/>
        <v>0</v>
      </c>
      <c r="H739" s="2">
        <f t="shared" si="64"/>
        <v>0</v>
      </c>
      <c r="I739" s="2">
        <f t="shared" si="60"/>
        <v>0</v>
      </c>
      <c r="J739">
        <f>IFERROR(VLOOKUP(B739,'General price list'!C:BA,MATCH("CBM",'General price list'!$C$20:$BA$20,0),FALSE)*(G739*C739),0)</f>
        <v>0</v>
      </c>
    </row>
    <row r="740" spans="2:10" ht="15" customHeight="1">
      <c r="B740" t="s">
        <v>2780</v>
      </c>
      <c r="C740" s="2">
        <f>IFERROR(VLOOKUP(B740,'General price list'!C:BA,MATCH("PAL",'General price list'!$C$20:$BA$20,0),FALSE),"")</f>
        <v>12</v>
      </c>
      <c r="D740" s="2">
        <f>IFERROR(VLOOKUP(B740,'General price list'!C:BA,MATCH("OBJ",'General price list'!$C$20:$BA$20,0),FALSE),"")</f>
        <v>0</v>
      </c>
      <c r="E740" s="2">
        <f t="shared" si="61"/>
        <v>0</v>
      </c>
      <c r="F740" s="2">
        <f t="shared" si="62"/>
        <v>0</v>
      </c>
      <c r="G740" s="2">
        <f t="shared" si="63"/>
        <v>0</v>
      </c>
      <c r="H740" s="2">
        <f t="shared" si="64"/>
        <v>0</v>
      </c>
      <c r="I740" s="2">
        <f t="shared" si="60"/>
        <v>0</v>
      </c>
      <c r="J740">
        <f>IFERROR(VLOOKUP(B740,'General price list'!C:BA,MATCH("CBM",'General price list'!$C$20:$BA$20,0),FALSE)*(G740*C740),0)</f>
        <v>0</v>
      </c>
    </row>
    <row r="741" spans="2:10" ht="15" customHeight="1">
      <c r="B741" t="s">
        <v>5529</v>
      </c>
      <c r="C741" s="2">
        <f>IFERROR(VLOOKUP(B741,'General price list'!C:BA,MATCH("PAL",'General price list'!$C$20:$BA$20,0),FALSE),"")</f>
        <v>8</v>
      </c>
      <c r="D741" s="2">
        <f>IFERROR(VLOOKUP(B741,'General price list'!C:BA,MATCH("OBJ",'General price list'!$C$20:$BA$20,0),FALSE),"")</f>
        <v>0</v>
      </c>
      <c r="E741" s="2">
        <f t="shared" si="61"/>
        <v>0</v>
      </c>
      <c r="F741" s="2">
        <f t="shared" si="62"/>
        <v>0</v>
      </c>
      <c r="G741" s="2">
        <f t="shared" si="63"/>
        <v>0</v>
      </c>
      <c r="H741" s="2">
        <f t="shared" si="64"/>
        <v>0</v>
      </c>
      <c r="I741" s="2">
        <f t="shared" si="60"/>
        <v>0</v>
      </c>
      <c r="J741">
        <f>IFERROR(VLOOKUP(B741,'General price list'!C:BA,MATCH("CBM",'General price list'!$C$20:$BA$20,0),FALSE)*(G741*C741),0)</f>
        <v>0</v>
      </c>
    </row>
    <row r="742" spans="2:10" ht="15" customHeight="1">
      <c r="B742" t="s">
        <v>1642</v>
      </c>
      <c r="C742" s="2">
        <f>IFERROR(VLOOKUP(B742,'General price list'!C:BA,MATCH("PAL",'General price list'!$C$20:$BA$20,0),FALSE),"")</f>
        <v>12</v>
      </c>
      <c r="D742" s="2">
        <f>IFERROR(VLOOKUP(B742,'General price list'!C:BA,MATCH("OBJ",'General price list'!$C$20:$BA$20,0),FALSE),"")</f>
        <v>0</v>
      </c>
      <c r="E742" s="2">
        <f t="shared" si="61"/>
        <v>0</v>
      </c>
      <c r="F742" s="2">
        <f t="shared" si="62"/>
        <v>0</v>
      </c>
      <c r="G742" s="2">
        <f t="shared" si="63"/>
        <v>0</v>
      </c>
      <c r="H742" s="2">
        <f t="shared" si="64"/>
        <v>0</v>
      </c>
      <c r="I742" s="2">
        <f t="shared" si="60"/>
        <v>0</v>
      </c>
      <c r="J742">
        <f>IFERROR(VLOOKUP(B742,'General price list'!C:BA,MATCH("CBM",'General price list'!$C$20:$BA$20,0),FALSE)*(G742*C742),0)</f>
        <v>0</v>
      </c>
    </row>
    <row r="743" spans="2:10" ht="15" customHeight="1">
      <c r="B743" t="s">
        <v>1644</v>
      </c>
      <c r="C743" s="2">
        <f>IFERROR(VLOOKUP(B743,'General price list'!C:BA,MATCH("PAL",'General price list'!$C$20:$BA$20,0),FALSE),"")</f>
        <v>28</v>
      </c>
      <c r="D743" s="2">
        <f>IFERROR(VLOOKUP(B743,'General price list'!C:BA,MATCH("OBJ",'General price list'!$C$20:$BA$20,0),FALSE),"")</f>
        <v>0</v>
      </c>
      <c r="E743" s="2">
        <f t="shared" si="61"/>
        <v>0</v>
      </c>
      <c r="F743" s="2">
        <f t="shared" si="62"/>
        <v>0</v>
      </c>
      <c r="G743" s="2">
        <f t="shared" si="63"/>
        <v>0</v>
      </c>
      <c r="H743" s="2">
        <f t="shared" si="64"/>
        <v>0</v>
      </c>
      <c r="I743" s="2">
        <f t="shared" si="60"/>
        <v>0</v>
      </c>
      <c r="J743">
        <f>IFERROR(VLOOKUP(B743,'General price list'!C:BA,MATCH("CBM",'General price list'!$C$20:$BA$20,0),FALSE)*(G743*C743),0)</f>
        <v>0</v>
      </c>
    </row>
    <row r="744" spans="2:10" ht="15" customHeight="1">
      <c r="B744" t="s">
        <v>1646</v>
      </c>
      <c r="C744" s="2">
        <f>IFERROR(VLOOKUP(B744,'General price list'!C:BA,MATCH("PAL",'General price list'!$C$20:$BA$20,0),FALSE),"")</f>
        <v>15</v>
      </c>
      <c r="D744" s="2">
        <f>IFERROR(VLOOKUP(B744,'General price list'!C:BA,MATCH("OBJ",'General price list'!$C$20:$BA$20,0),FALSE),"")</f>
        <v>0</v>
      </c>
      <c r="E744" s="2">
        <f t="shared" si="61"/>
        <v>0</v>
      </c>
      <c r="F744" s="2">
        <f t="shared" si="62"/>
        <v>0</v>
      </c>
      <c r="G744" s="2">
        <f t="shared" si="63"/>
        <v>0</v>
      </c>
      <c r="H744" s="2">
        <f t="shared" si="64"/>
        <v>0</v>
      </c>
      <c r="I744" s="2">
        <f t="shared" si="60"/>
        <v>0</v>
      </c>
      <c r="J744">
        <f>IFERROR(VLOOKUP(B744,'General price list'!C:BA,MATCH("CBM",'General price list'!$C$20:$BA$20,0),FALSE)*(G744*C744),0)</f>
        <v>0</v>
      </c>
    </row>
    <row r="745" spans="2:10" ht="15" customHeight="1">
      <c r="B745" t="s">
        <v>1657</v>
      </c>
      <c r="C745" s="2">
        <f>IFERROR(VLOOKUP(B745,'General price list'!C:BA,MATCH("PAL",'General price list'!$C$20:$BA$20,0),FALSE),"")</f>
        <v>24</v>
      </c>
      <c r="D745" s="2">
        <f>IFERROR(VLOOKUP(B745,'General price list'!C:BA,MATCH("OBJ",'General price list'!$C$20:$BA$20,0),FALSE),"")</f>
        <v>0</v>
      </c>
      <c r="E745" s="2">
        <f t="shared" si="61"/>
        <v>0</v>
      </c>
      <c r="F745" s="2">
        <f t="shared" si="62"/>
        <v>0</v>
      </c>
      <c r="G745" s="2">
        <f t="shared" si="63"/>
        <v>0</v>
      </c>
      <c r="H745" s="2">
        <f t="shared" si="64"/>
        <v>0</v>
      </c>
      <c r="I745" s="2">
        <f t="shared" si="60"/>
        <v>0</v>
      </c>
      <c r="J745">
        <f>IFERROR(VLOOKUP(B745,'General price list'!C:BA,MATCH("CBM",'General price list'!$C$20:$BA$20,0),FALSE)*(G745*C745),0)</f>
        <v>0</v>
      </c>
    </row>
    <row r="746" spans="2:10" ht="15" customHeight="1">
      <c r="B746" t="s">
        <v>1659</v>
      </c>
      <c r="C746" s="2">
        <f>IFERROR(VLOOKUP(B746,'General price list'!C:BA,MATCH("PAL",'General price list'!$C$20:$BA$20,0),FALSE),"")</f>
        <v>30</v>
      </c>
      <c r="D746" s="2">
        <f>IFERROR(VLOOKUP(B746,'General price list'!C:BA,MATCH("OBJ",'General price list'!$C$20:$BA$20,0),FALSE),"")</f>
        <v>0</v>
      </c>
      <c r="E746" s="2">
        <f t="shared" si="61"/>
        <v>0</v>
      </c>
      <c r="F746" s="2">
        <f t="shared" si="62"/>
        <v>0</v>
      </c>
      <c r="G746" s="2">
        <f t="shared" si="63"/>
        <v>0</v>
      </c>
      <c r="H746" s="2">
        <f t="shared" si="64"/>
        <v>0</v>
      </c>
      <c r="I746" s="2">
        <f t="shared" si="60"/>
        <v>0</v>
      </c>
      <c r="J746">
        <f>IFERROR(VLOOKUP(B746,'General price list'!C:BA,MATCH("CBM",'General price list'!$C$20:$BA$20,0),FALSE)*(G746*C746),0)</f>
        <v>0</v>
      </c>
    </row>
    <row r="747" spans="2:10" ht="15" customHeight="1">
      <c r="B747" t="s">
        <v>1661</v>
      </c>
      <c r="C747" s="2">
        <f>IFERROR(VLOOKUP(B747,'General price list'!C:BA,MATCH("PAL",'General price list'!$C$20:$BA$20,0),FALSE),"")</f>
        <v>30</v>
      </c>
      <c r="D747" s="2">
        <f>IFERROR(VLOOKUP(B747,'General price list'!C:BA,MATCH("OBJ",'General price list'!$C$20:$BA$20,0),FALSE),"")</f>
        <v>0</v>
      </c>
      <c r="E747" s="2">
        <f t="shared" si="61"/>
        <v>0</v>
      </c>
      <c r="F747" s="2">
        <f t="shared" si="62"/>
        <v>0</v>
      </c>
      <c r="G747" s="2">
        <f t="shared" si="63"/>
        <v>0</v>
      </c>
      <c r="H747" s="2">
        <f t="shared" si="64"/>
        <v>0</v>
      </c>
      <c r="I747" s="2">
        <f t="shared" si="60"/>
        <v>0</v>
      </c>
      <c r="J747">
        <f>IFERROR(VLOOKUP(B747,'General price list'!C:BA,MATCH("CBM",'General price list'!$C$20:$BA$20,0),FALSE)*(G747*C747),0)</f>
        <v>0</v>
      </c>
    </row>
    <row r="748" spans="2:10" ht="15" customHeight="1">
      <c r="B748" t="s">
        <v>1665</v>
      </c>
      <c r="C748" s="2">
        <f>IFERROR(VLOOKUP(B748,'General price list'!C:BA,MATCH("PAL",'General price list'!$C$20:$BA$20,0),FALSE),"")</f>
        <v>10</v>
      </c>
      <c r="D748" s="2">
        <f>IFERROR(VLOOKUP(B748,'General price list'!C:BA,MATCH("OBJ",'General price list'!$C$20:$BA$20,0),FALSE),"")</f>
        <v>0</v>
      </c>
      <c r="E748" s="2">
        <f t="shared" si="61"/>
        <v>0</v>
      </c>
      <c r="F748" s="2">
        <f t="shared" si="62"/>
        <v>0</v>
      </c>
      <c r="G748" s="2">
        <f t="shared" si="63"/>
        <v>0</v>
      </c>
      <c r="H748" s="2">
        <f t="shared" si="64"/>
        <v>0</v>
      </c>
      <c r="I748" s="2">
        <f t="shared" si="60"/>
        <v>0</v>
      </c>
      <c r="J748">
        <f>IFERROR(VLOOKUP(B748,'General price list'!C:BA,MATCH("CBM",'General price list'!$C$20:$BA$20,0),FALSE)*(G748*C748),0)</f>
        <v>0</v>
      </c>
    </row>
    <row r="749" spans="2:10" ht="15" customHeight="1">
      <c r="B749" t="s">
        <v>1666</v>
      </c>
      <c r="C749" s="2">
        <f>IFERROR(VLOOKUP(B749,'General price list'!C:BA,MATCH("PAL",'General price list'!$C$20:$BA$20,0),FALSE),"")</f>
        <v>10</v>
      </c>
      <c r="D749" s="2">
        <f>IFERROR(VLOOKUP(B749,'General price list'!C:BA,MATCH("OBJ",'General price list'!$C$20:$BA$20,0),FALSE),"")</f>
        <v>0</v>
      </c>
      <c r="E749" s="2">
        <f t="shared" si="61"/>
        <v>0</v>
      </c>
      <c r="F749" s="2">
        <f t="shared" si="62"/>
        <v>0</v>
      </c>
      <c r="G749" s="2">
        <f t="shared" si="63"/>
        <v>0</v>
      </c>
      <c r="H749" s="2">
        <f t="shared" si="64"/>
        <v>0</v>
      </c>
      <c r="I749" s="2">
        <f t="shared" si="60"/>
        <v>0</v>
      </c>
      <c r="J749">
        <f>IFERROR(VLOOKUP(B749,'General price list'!C:BA,MATCH("CBM",'General price list'!$C$20:$BA$20,0),FALSE)*(G749*C749),0)</f>
        <v>0</v>
      </c>
    </row>
    <row r="750" spans="2:10" ht="15" customHeight="1">
      <c r="B750" t="s">
        <v>1672</v>
      </c>
      <c r="C750" s="2">
        <f>IFERROR(VLOOKUP(B750,'General price list'!C:BA,MATCH("PAL",'General price list'!$C$20:$BA$20,0),FALSE),"")</f>
        <v>24</v>
      </c>
      <c r="D750" s="2">
        <f>IFERROR(VLOOKUP(B750,'General price list'!C:BA,MATCH("OBJ",'General price list'!$C$20:$BA$20,0),FALSE),"")</f>
        <v>0</v>
      </c>
      <c r="E750" s="2">
        <f t="shared" si="61"/>
        <v>0</v>
      </c>
      <c r="F750" s="2">
        <f t="shared" si="62"/>
        <v>0</v>
      </c>
      <c r="G750" s="2">
        <f t="shared" si="63"/>
        <v>0</v>
      </c>
      <c r="H750" s="2">
        <f t="shared" si="64"/>
        <v>0</v>
      </c>
      <c r="I750" s="2">
        <f t="shared" si="60"/>
        <v>0</v>
      </c>
      <c r="J750">
        <f>IFERROR(VLOOKUP(B750,'General price list'!C:BA,MATCH("CBM",'General price list'!$C$20:$BA$20,0),FALSE)*(G750*C750),0)</f>
        <v>0</v>
      </c>
    </row>
    <row r="751" spans="2:10" ht="15" customHeight="1">
      <c r="B751" t="s">
        <v>1674</v>
      </c>
      <c r="C751" s="2">
        <f>IFERROR(VLOOKUP(B751,'General price list'!C:BA,MATCH("PAL",'General price list'!$C$20:$BA$20,0),FALSE),"")</f>
        <v>21</v>
      </c>
      <c r="D751" s="2">
        <f>IFERROR(VLOOKUP(B751,'General price list'!C:BA,MATCH("OBJ",'General price list'!$C$20:$BA$20,0),FALSE),"")</f>
        <v>0</v>
      </c>
      <c r="E751" s="2">
        <f t="shared" si="61"/>
        <v>0</v>
      </c>
      <c r="F751" s="2">
        <f t="shared" si="62"/>
        <v>0</v>
      </c>
      <c r="G751" s="2">
        <f t="shared" si="63"/>
        <v>0</v>
      </c>
      <c r="H751" s="2">
        <f t="shared" si="64"/>
        <v>0</v>
      </c>
      <c r="I751" s="2">
        <f t="shared" si="60"/>
        <v>0</v>
      </c>
      <c r="J751">
        <f>IFERROR(VLOOKUP(B751,'General price list'!C:BA,MATCH("CBM",'General price list'!$C$20:$BA$20,0),FALSE)*(G751*C751),0)</f>
        <v>0</v>
      </c>
    </row>
    <row r="752" spans="2:10" ht="15" customHeight="1">
      <c r="B752" t="s">
        <v>2614</v>
      </c>
      <c r="C752" s="2">
        <f>IFERROR(VLOOKUP(B752,'General price list'!C:BA,MATCH("PAL",'General price list'!$C$20:$BA$20,0),FALSE),"")</f>
        <v>18</v>
      </c>
      <c r="D752" s="2">
        <f>IFERROR(VLOOKUP(B752,'General price list'!C:BA,MATCH("OBJ",'General price list'!$C$20:$BA$20,0),FALSE),"")</f>
        <v>0</v>
      </c>
      <c r="E752" s="2">
        <f t="shared" si="61"/>
        <v>0</v>
      </c>
      <c r="F752" s="2">
        <f t="shared" si="62"/>
        <v>0</v>
      </c>
      <c r="G752" s="2">
        <f t="shared" si="63"/>
        <v>0</v>
      </c>
      <c r="H752" s="2">
        <f t="shared" si="64"/>
        <v>0</v>
      </c>
      <c r="I752" s="2">
        <f t="shared" si="60"/>
        <v>0</v>
      </c>
      <c r="J752">
        <f>IFERROR(VLOOKUP(B752,'General price list'!C:BA,MATCH("CBM",'General price list'!$C$20:$BA$20,0),FALSE)*(G752*C752),0)</f>
        <v>0</v>
      </c>
    </row>
    <row r="753" spans="2:10" ht="15" customHeight="1">
      <c r="B753" t="s">
        <v>1681</v>
      </c>
      <c r="C753" s="2">
        <f>IFERROR(VLOOKUP(B753,'General price list'!C:BA,MATCH("PAL",'General price list'!$C$20:$BA$20,0),FALSE),"")</f>
        <v>20</v>
      </c>
      <c r="D753" s="2">
        <f>IFERROR(VLOOKUP(B753,'General price list'!C:BA,MATCH("OBJ",'General price list'!$C$20:$BA$20,0),FALSE),"")</f>
        <v>0</v>
      </c>
      <c r="E753" s="2">
        <f t="shared" si="61"/>
        <v>0</v>
      </c>
      <c r="F753" s="2">
        <f t="shared" si="62"/>
        <v>0</v>
      </c>
      <c r="G753" s="2">
        <f t="shared" si="63"/>
        <v>0</v>
      </c>
      <c r="H753" s="2">
        <f t="shared" si="64"/>
        <v>0</v>
      </c>
      <c r="I753" s="2">
        <f t="shared" si="60"/>
        <v>0</v>
      </c>
      <c r="J753">
        <f>IFERROR(VLOOKUP(B753,'General price list'!C:BA,MATCH("CBM",'General price list'!$C$20:$BA$20,0),FALSE)*(G753*C753),0)</f>
        <v>0</v>
      </c>
    </row>
    <row r="754" spans="2:10" ht="15" customHeight="1">
      <c r="B754" t="s">
        <v>2616</v>
      </c>
      <c r="C754" s="2">
        <f>IFERROR(VLOOKUP(B754,'General price list'!C:BA,MATCH("PAL",'General price list'!$C$20:$BA$20,0),FALSE),"")</f>
        <v>30</v>
      </c>
      <c r="D754" s="2">
        <f>IFERROR(VLOOKUP(B754,'General price list'!C:BA,MATCH("OBJ",'General price list'!$C$20:$BA$20,0),FALSE),"")</f>
        <v>0</v>
      </c>
      <c r="E754" s="2">
        <f t="shared" si="61"/>
        <v>0</v>
      </c>
      <c r="F754" s="2">
        <f t="shared" si="62"/>
        <v>0</v>
      </c>
      <c r="G754" s="2">
        <f t="shared" si="63"/>
        <v>0</v>
      </c>
      <c r="H754" s="2">
        <f t="shared" si="64"/>
        <v>0</v>
      </c>
      <c r="I754" s="2">
        <f t="shared" si="60"/>
        <v>0</v>
      </c>
      <c r="J754">
        <f>IFERROR(VLOOKUP(B754,'General price list'!C:BA,MATCH("CBM",'General price list'!$C$20:$BA$20,0),FALSE)*(G754*C754),0)</f>
        <v>0</v>
      </c>
    </row>
    <row r="755" spans="2:10" ht="15" customHeight="1">
      <c r="B755" t="s">
        <v>2618</v>
      </c>
      <c r="C755" s="2">
        <f>IFERROR(VLOOKUP(B755,'General price list'!C:BA,MATCH("PAL",'General price list'!$C$20:$BA$20,0),FALSE),"")</f>
        <v>30</v>
      </c>
      <c r="D755" s="2">
        <f>IFERROR(VLOOKUP(B755,'General price list'!C:BA,MATCH("OBJ",'General price list'!$C$20:$BA$20,0),FALSE),"")</f>
        <v>0</v>
      </c>
      <c r="E755" s="2">
        <f t="shared" si="61"/>
        <v>0</v>
      </c>
      <c r="F755" s="2">
        <f t="shared" si="62"/>
        <v>0</v>
      </c>
      <c r="G755" s="2">
        <f t="shared" si="63"/>
        <v>0</v>
      </c>
      <c r="H755" s="2">
        <f t="shared" si="64"/>
        <v>0</v>
      </c>
      <c r="I755" s="2">
        <f t="shared" si="60"/>
        <v>0</v>
      </c>
      <c r="J755">
        <f>IFERROR(VLOOKUP(B755,'General price list'!C:BA,MATCH("CBM",'General price list'!$C$20:$BA$20,0),FALSE)*(G755*C755),0)</f>
        <v>0</v>
      </c>
    </row>
    <row r="756" spans="2:10" ht="15" customHeight="1">
      <c r="B756" t="s">
        <v>1716</v>
      </c>
      <c r="C756" s="2">
        <f>IFERROR(VLOOKUP(B756,'General price list'!C:BA,MATCH("PAL",'General price list'!$C$20:$BA$20,0),FALSE),"")</f>
        <v>24</v>
      </c>
      <c r="D756" s="2">
        <f>IFERROR(VLOOKUP(B756,'General price list'!C:BA,MATCH("OBJ",'General price list'!$C$20:$BA$20,0),FALSE),"")</f>
        <v>0</v>
      </c>
      <c r="E756" s="2">
        <f t="shared" si="61"/>
        <v>0</v>
      </c>
      <c r="F756" s="2">
        <f t="shared" si="62"/>
        <v>0</v>
      </c>
      <c r="G756" s="2">
        <f t="shared" si="63"/>
        <v>0</v>
      </c>
      <c r="H756" s="2">
        <f t="shared" si="64"/>
        <v>0</v>
      </c>
      <c r="I756" s="2">
        <f t="shared" si="60"/>
        <v>0</v>
      </c>
      <c r="J756">
        <f>IFERROR(VLOOKUP(B756,'General price list'!C:BA,MATCH("CBM",'General price list'!$C$20:$BA$20,0),FALSE)*(G756*C756),0)</f>
        <v>0</v>
      </c>
    </row>
    <row r="757" spans="2:10" ht="15" customHeight="1">
      <c r="B757" t="s">
        <v>1717</v>
      </c>
      <c r="C757" s="2">
        <f>IFERROR(VLOOKUP(B757,'General price list'!C:BA,MATCH("PAL",'General price list'!$C$20:$BA$20,0),FALSE),"")</f>
        <v>10</v>
      </c>
      <c r="D757" s="2">
        <f>IFERROR(VLOOKUP(B757,'General price list'!C:BA,MATCH("OBJ",'General price list'!$C$20:$BA$20,0),FALSE),"")</f>
        <v>0</v>
      </c>
      <c r="E757" s="2">
        <f t="shared" si="61"/>
        <v>0</v>
      </c>
      <c r="F757" s="2">
        <f t="shared" si="62"/>
        <v>0</v>
      </c>
      <c r="G757" s="2">
        <f t="shared" si="63"/>
        <v>0</v>
      </c>
      <c r="H757" s="2">
        <f t="shared" si="64"/>
        <v>0</v>
      </c>
      <c r="I757" s="2">
        <f t="shared" si="60"/>
        <v>0</v>
      </c>
      <c r="J757">
        <f>IFERROR(VLOOKUP(B757,'General price list'!C:BA,MATCH("CBM",'General price list'!$C$20:$BA$20,0),FALSE)*(G757*C757),0)</f>
        <v>0</v>
      </c>
    </row>
    <row r="758" spans="2:10" ht="15" customHeight="1">
      <c r="B758" t="s">
        <v>1720</v>
      </c>
      <c r="C758" s="2" t="str">
        <f>IFERROR(VLOOKUP(B758,'General price list'!C:BA,MATCH("PAL",'General price list'!$C$20:$BA$20,0),FALSE),"")</f>
        <v>15</v>
      </c>
      <c r="D758" s="2">
        <f>IFERROR(VLOOKUP(B758,'General price list'!C:BA,MATCH("OBJ",'General price list'!$C$20:$BA$20,0),FALSE),"")</f>
        <v>0</v>
      </c>
      <c r="E758" s="2">
        <f t="shared" si="61"/>
        <v>0</v>
      </c>
      <c r="F758" s="2">
        <f t="shared" si="62"/>
        <v>0</v>
      </c>
      <c r="G758" s="2">
        <f t="shared" si="63"/>
        <v>0</v>
      </c>
      <c r="H758" s="2">
        <f t="shared" si="64"/>
        <v>0</v>
      </c>
      <c r="I758" s="2">
        <f t="shared" si="60"/>
        <v>0</v>
      </c>
      <c r="J758">
        <f>IFERROR(VLOOKUP(B758,'General price list'!C:BA,MATCH("CBM",'General price list'!$C$20:$BA$20,0),FALSE)*(G758*C758),0)</f>
        <v>0</v>
      </c>
    </row>
    <row r="759" spans="2:10" ht="15" customHeight="1">
      <c r="B759" t="s">
        <v>1722</v>
      </c>
      <c r="C759" s="2" t="str">
        <f>IFERROR(VLOOKUP(B759,'General price list'!C:BA,MATCH("PAL",'General price list'!$C$20:$BA$20,0),FALSE),"")</f>
        <v>15</v>
      </c>
      <c r="D759" s="2">
        <f>IFERROR(VLOOKUP(B759,'General price list'!C:BA,MATCH("OBJ",'General price list'!$C$20:$BA$20,0),FALSE),"")</f>
        <v>0</v>
      </c>
      <c r="E759" s="2">
        <f t="shared" si="61"/>
        <v>0</v>
      </c>
      <c r="F759" s="2">
        <f t="shared" si="62"/>
        <v>0</v>
      </c>
      <c r="G759" s="2">
        <f t="shared" si="63"/>
        <v>0</v>
      </c>
      <c r="H759" s="2">
        <f t="shared" si="64"/>
        <v>0</v>
      </c>
      <c r="I759" s="2">
        <f t="shared" si="60"/>
        <v>0</v>
      </c>
      <c r="J759">
        <f>IFERROR(VLOOKUP(B759,'General price list'!C:BA,MATCH("CBM",'General price list'!$C$20:$BA$20,0),FALSE)*(G759*C759),0)</f>
        <v>0</v>
      </c>
    </row>
    <row r="760" spans="2:10" ht="15" customHeight="1">
      <c r="B760" t="s">
        <v>2619</v>
      </c>
      <c r="C760" s="2">
        <f>IFERROR(VLOOKUP(B760,'General price list'!C:BA,MATCH("PAL",'General price list'!$C$20:$BA$20,0),FALSE),"")</f>
        <v>6</v>
      </c>
      <c r="D760" s="2">
        <f>IFERROR(VLOOKUP(B760,'General price list'!C:BA,MATCH("OBJ",'General price list'!$C$20:$BA$20,0),FALSE),"")</f>
        <v>0</v>
      </c>
      <c r="E760" s="2">
        <f t="shared" si="61"/>
        <v>0</v>
      </c>
      <c r="F760" s="2">
        <f t="shared" si="62"/>
        <v>0</v>
      </c>
      <c r="G760" s="2">
        <f t="shared" si="63"/>
        <v>0</v>
      </c>
      <c r="H760" s="2">
        <f t="shared" si="64"/>
        <v>0</v>
      </c>
      <c r="I760" s="2">
        <f t="shared" si="60"/>
        <v>0</v>
      </c>
      <c r="J760">
        <f>IFERROR(VLOOKUP(B760,'General price list'!C:BA,MATCH("CBM",'General price list'!$C$20:$BA$20,0),FALSE)*(G760*C760),0)</f>
        <v>0</v>
      </c>
    </row>
    <row r="761" spans="2:10" ht="15" customHeight="1">
      <c r="B761" t="s">
        <v>1724</v>
      </c>
      <c r="C761" s="2">
        <f>IFERROR(VLOOKUP(B761,'General price list'!C:BA,MATCH("PAL",'General price list'!$C$20:$BA$20,0),FALSE),"")</f>
        <v>6</v>
      </c>
      <c r="D761" s="2">
        <f>IFERROR(VLOOKUP(B761,'General price list'!C:BA,MATCH("OBJ",'General price list'!$C$20:$BA$20,0),FALSE),"")</f>
        <v>0</v>
      </c>
      <c r="E761" s="2">
        <f t="shared" si="61"/>
        <v>0</v>
      </c>
      <c r="F761" s="2">
        <f t="shared" si="62"/>
        <v>0</v>
      </c>
      <c r="G761" s="2">
        <f t="shared" si="63"/>
        <v>0</v>
      </c>
      <c r="H761" s="2">
        <f t="shared" si="64"/>
        <v>0</v>
      </c>
      <c r="I761" s="2">
        <f t="shared" si="60"/>
        <v>0</v>
      </c>
      <c r="J761">
        <f>IFERROR(VLOOKUP(B761,'General price list'!C:BA,MATCH("CBM",'General price list'!$C$20:$BA$20,0),FALSE)*(G761*C761),0)</f>
        <v>0</v>
      </c>
    </row>
    <row r="762" spans="2:10" ht="15" customHeight="1">
      <c r="B762" t="s">
        <v>2781</v>
      </c>
      <c r="C762" s="2">
        <f>IFERROR(VLOOKUP(B762,'General price list'!C:BA,MATCH("PAL",'General price list'!$C$20:$BA$20,0),FALSE),"")</f>
        <v>36</v>
      </c>
      <c r="D762" s="2">
        <f>IFERROR(VLOOKUP(B762,'General price list'!C:BA,MATCH("OBJ",'General price list'!$C$20:$BA$20,0),FALSE),"")</f>
        <v>0</v>
      </c>
      <c r="E762" s="2">
        <f t="shared" si="61"/>
        <v>0</v>
      </c>
      <c r="F762" s="2">
        <f t="shared" si="62"/>
        <v>0</v>
      </c>
      <c r="G762" s="2">
        <f t="shared" si="63"/>
        <v>0</v>
      </c>
      <c r="H762" s="2">
        <f t="shared" si="64"/>
        <v>0</v>
      </c>
      <c r="I762" s="2">
        <f t="shared" si="60"/>
        <v>0</v>
      </c>
      <c r="J762">
        <f>IFERROR(VLOOKUP(B762,'General price list'!C:BA,MATCH("CBM",'General price list'!$C$20:$BA$20,0),FALSE)*(G762*C762),0)</f>
        <v>0</v>
      </c>
    </row>
    <row r="763" spans="2:10" ht="15" customHeight="1">
      <c r="B763" t="s">
        <v>2782</v>
      </c>
      <c r="C763" s="2">
        <f>IFERROR(VLOOKUP(B763,'General price list'!C:BA,MATCH("PAL",'General price list'!$C$20:$BA$20,0),FALSE),"")</f>
        <v>36</v>
      </c>
      <c r="D763" s="2">
        <f>IFERROR(VLOOKUP(B763,'General price list'!C:BA,MATCH("OBJ",'General price list'!$C$20:$BA$20,0),FALSE),"")</f>
        <v>0</v>
      </c>
      <c r="E763" s="2">
        <f t="shared" si="61"/>
        <v>0</v>
      </c>
      <c r="F763" s="2">
        <f t="shared" si="62"/>
        <v>0</v>
      </c>
      <c r="G763" s="2">
        <f t="shared" si="63"/>
        <v>0</v>
      </c>
      <c r="H763" s="2">
        <f t="shared" si="64"/>
        <v>0</v>
      </c>
      <c r="I763" s="2">
        <f t="shared" si="60"/>
        <v>0</v>
      </c>
      <c r="J763">
        <f>IFERROR(VLOOKUP(B763,'General price list'!C:BA,MATCH("CBM",'General price list'!$C$20:$BA$20,0),FALSE)*(G763*C763),0)</f>
        <v>0</v>
      </c>
    </row>
    <row r="764" spans="2:10" ht="15" customHeight="1">
      <c r="B764" t="s">
        <v>2783</v>
      </c>
      <c r="C764" s="2">
        <f>IFERROR(VLOOKUP(B764,'General price list'!C:BA,MATCH("PAL",'General price list'!$C$20:$BA$20,0),FALSE),"")</f>
        <v>24</v>
      </c>
      <c r="D764" s="2">
        <f>IFERROR(VLOOKUP(B764,'General price list'!C:BA,MATCH("OBJ",'General price list'!$C$20:$BA$20,0),FALSE),"")</f>
        <v>0</v>
      </c>
      <c r="E764" s="2">
        <f t="shared" si="61"/>
        <v>0</v>
      </c>
      <c r="F764" s="2">
        <f t="shared" si="62"/>
        <v>0</v>
      </c>
      <c r="G764" s="2">
        <f t="shared" si="63"/>
        <v>0</v>
      </c>
      <c r="H764" s="2">
        <f t="shared" si="64"/>
        <v>0</v>
      </c>
      <c r="I764" s="2">
        <f t="shared" si="60"/>
        <v>0</v>
      </c>
      <c r="J764">
        <f>IFERROR(VLOOKUP(B764,'General price list'!C:BA,MATCH("CBM",'General price list'!$C$20:$BA$20,0),FALSE)*(G764*C764),0)</f>
        <v>0</v>
      </c>
    </row>
    <row r="765" spans="2:10" ht="15" customHeight="1">
      <c r="B765" t="s">
        <v>5537</v>
      </c>
      <c r="C765" s="2">
        <f>IFERROR(VLOOKUP(B765,'General price list'!C:BA,MATCH("PAL",'General price list'!$C$20:$BA$20,0),FALSE),"")</f>
        <v>10</v>
      </c>
      <c r="D765" s="2">
        <f>IFERROR(VLOOKUP(B765,'General price list'!C:BA,MATCH("OBJ",'General price list'!$C$20:$BA$20,0),FALSE),"")</f>
        <v>0</v>
      </c>
      <c r="E765" s="2">
        <f t="shared" si="61"/>
        <v>0</v>
      </c>
      <c r="F765" s="2">
        <f t="shared" si="62"/>
        <v>0</v>
      </c>
      <c r="G765" s="2">
        <f t="shared" si="63"/>
        <v>0</v>
      </c>
      <c r="H765" s="2">
        <f t="shared" si="64"/>
        <v>0</v>
      </c>
      <c r="I765" s="2">
        <f t="shared" si="60"/>
        <v>0</v>
      </c>
      <c r="J765">
        <f>IFERROR(VLOOKUP(B765,'General price list'!C:BA,MATCH("CBM",'General price list'!$C$20:$BA$20,0),FALSE)*(G765*C765),0)</f>
        <v>0</v>
      </c>
    </row>
    <row r="766" spans="2:10" ht="15" customHeight="1">
      <c r="B766" t="s">
        <v>2655</v>
      </c>
      <c r="C766" s="2" t="str">
        <f>IFERROR(VLOOKUP(B766,'General price list'!C:BA,MATCH("PAL",'General price list'!$C$20:$BA$20,0),FALSE),"")</f>
        <v>15</v>
      </c>
      <c r="D766" s="2">
        <f>IFERROR(VLOOKUP(B766,'General price list'!C:BA,MATCH("OBJ",'General price list'!$C$20:$BA$20,0),FALSE),"")</f>
        <v>0</v>
      </c>
      <c r="E766" s="2">
        <f t="shared" si="61"/>
        <v>0</v>
      </c>
      <c r="F766" s="2">
        <f t="shared" si="62"/>
        <v>0</v>
      </c>
      <c r="G766" s="2">
        <f t="shared" si="63"/>
        <v>0</v>
      </c>
      <c r="H766" s="2">
        <f t="shared" si="64"/>
        <v>0</v>
      </c>
      <c r="I766" s="2">
        <f t="shared" si="60"/>
        <v>0</v>
      </c>
      <c r="J766">
        <f>IFERROR(VLOOKUP(B766,'General price list'!C:BA,MATCH("CBM",'General price list'!$C$20:$BA$20,0),FALSE)*(G766*C766),0)</f>
        <v>0</v>
      </c>
    </row>
    <row r="767" spans="2:10" ht="15" customHeight="1">
      <c r="B767" t="s">
        <v>2784</v>
      </c>
      <c r="C767" s="2" t="str">
        <f>IFERROR(VLOOKUP(B767,'General price list'!C:BA,MATCH("PAL",'General price list'!$C$20:$BA$20,0),FALSE),"")</f>
        <v>12</v>
      </c>
      <c r="D767" s="2">
        <f>IFERROR(VLOOKUP(B767,'General price list'!C:BA,MATCH("OBJ",'General price list'!$C$20:$BA$20,0),FALSE),"")</f>
        <v>0</v>
      </c>
      <c r="E767" s="2">
        <f t="shared" si="61"/>
        <v>0</v>
      </c>
      <c r="F767" s="2">
        <f t="shared" si="62"/>
        <v>0</v>
      </c>
      <c r="G767" s="2">
        <f t="shared" si="63"/>
        <v>0</v>
      </c>
      <c r="H767" s="2">
        <f t="shared" si="64"/>
        <v>0</v>
      </c>
      <c r="I767" s="2">
        <f t="shared" si="60"/>
        <v>0</v>
      </c>
      <c r="J767">
        <f>IFERROR(VLOOKUP(B767,'General price list'!C:BA,MATCH("CBM",'General price list'!$C$20:$BA$20,0),FALSE)*(G767*C767),0)</f>
        <v>0</v>
      </c>
    </row>
    <row r="768" spans="2:10" ht="15" customHeight="1">
      <c r="B768" t="s">
        <v>2785</v>
      </c>
      <c r="C768" s="2" t="str">
        <f>IFERROR(VLOOKUP(B768,'General price list'!C:BA,MATCH("PAL",'General price list'!$C$20:$BA$20,0),FALSE),"")</f>
        <v>12</v>
      </c>
      <c r="D768" s="2">
        <f>IFERROR(VLOOKUP(B768,'General price list'!C:BA,MATCH("OBJ",'General price list'!$C$20:$BA$20,0),FALSE),"")</f>
        <v>0</v>
      </c>
      <c r="E768" s="2">
        <f t="shared" si="61"/>
        <v>0</v>
      </c>
      <c r="F768" s="2">
        <f t="shared" si="62"/>
        <v>0</v>
      </c>
      <c r="G768" s="2">
        <f t="shared" si="63"/>
        <v>0</v>
      </c>
      <c r="H768" s="2">
        <f t="shared" si="64"/>
        <v>0</v>
      </c>
      <c r="I768" s="2">
        <f t="shared" si="60"/>
        <v>0</v>
      </c>
      <c r="J768">
        <f>IFERROR(VLOOKUP(B768,'General price list'!C:BA,MATCH("CBM",'General price list'!$C$20:$BA$20,0),FALSE)*(G768*C768),0)</f>
        <v>0</v>
      </c>
    </row>
    <row r="769" spans="2:10" ht="15" customHeight="1">
      <c r="B769" t="s">
        <v>1732</v>
      </c>
      <c r="C769" s="2">
        <f>IFERROR(VLOOKUP(B769,'General price list'!C:BA,MATCH("PAL",'General price list'!$C$20:$BA$20,0),FALSE),"")</f>
        <v>20</v>
      </c>
      <c r="D769" s="2">
        <f>IFERROR(VLOOKUP(B769,'General price list'!C:BA,MATCH("OBJ",'General price list'!$C$20:$BA$20,0),FALSE),"")</f>
        <v>0</v>
      </c>
      <c r="E769" s="2">
        <f t="shared" si="61"/>
        <v>0</v>
      </c>
      <c r="F769" s="2">
        <f t="shared" si="62"/>
        <v>0</v>
      </c>
      <c r="G769" s="2">
        <f t="shared" si="63"/>
        <v>0</v>
      </c>
      <c r="H769" s="2">
        <f t="shared" si="64"/>
        <v>0</v>
      </c>
      <c r="I769" s="2">
        <f t="shared" si="60"/>
        <v>0</v>
      </c>
      <c r="J769">
        <f>IFERROR(VLOOKUP(B769,'General price list'!C:BA,MATCH("CBM",'General price list'!$C$20:$BA$20,0),FALSE)*(G769*C769),0)</f>
        <v>0</v>
      </c>
    </row>
    <row r="770" spans="2:10" ht="15" customHeight="1">
      <c r="B770" t="s">
        <v>1737</v>
      </c>
      <c r="C770" s="2">
        <f>IFERROR(VLOOKUP(B770,'General price list'!C:BA,MATCH("PAL",'General price list'!$C$20:$BA$20,0),FALSE),"")</f>
        <v>6</v>
      </c>
      <c r="D770" s="2">
        <f>IFERROR(VLOOKUP(B770,'General price list'!C:BA,MATCH("OBJ",'General price list'!$C$20:$BA$20,0),FALSE),"")</f>
        <v>0</v>
      </c>
      <c r="E770" s="2">
        <f t="shared" si="61"/>
        <v>0</v>
      </c>
      <c r="F770" s="2">
        <f t="shared" si="62"/>
        <v>0</v>
      </c>
      <c r="G770" s="2">
        <f t="shared" si="63"/>
        <v>0</v>
      </c>
      <c r="H770" s="2">
        <f t="shared" si="64"/>
        <v>0</v>
      </c>
      <c r="I770" s="2">
        <f t="shared" si="60"/>
        <v>0</v>
      </c>
      <c r="J770">
        <f>IFERROR(VLOOKUP(B770,'General price list'!C:BA,MATCH("CBM",'General price list'!$C$20:$BA$20,0),FALSE)*(G770*C770),0)</f>
        <v>0</v>
      </c>
    </row>
    <row r="771" spans="2:10" ht="15" customHeight="1">
      <c r="B771" t="s">
        <v>1746</v>
      </c>
      <c r="C771" s="2">
        <f>IFERROR(VLOOKUP(B771,'General price list'!C:BA,MATCH("PAL",'General price list'!$C$20:$BA$20,0),FALSE),"")</f>
        <v>40</v>
      </c>
      <c r="D771" s="2">
        <f>IFERROR(VLOOKUP(B771,'General price list'!C:BA,MATCH("OBJ",'General price list'!$C$20:$BA$20,0),FALSE),"")</f>
        <v>0</v>
      </c>
      <c r="E771" s="2">
        <f t="shared" si="61"/>
        <v>0</v>
      </c>
      <c r="F771" s="2">
        <f t="shared" si="62"/>
        <v>0</v>
      </c>
      <c r="G771" s="2">
        <f t="shared" si="63"/>
        <v>0</v>
      </c>
      <c r="H771" s="2">
        <f t="shared" si="64"/>
        <v>0</v>
      </c>
      <c r="I771" s="2">
        <f t="shared" si="60"/>
        <v>0</v>
      </c>
      <c r="J771">
        <f>IFERROR(VLOOKUP(B771,'General price list'!C:BA,MATCH("CBM",'General price list'!$C$20:$BA$20,0),FALSE)*(G771*C771),0)</f>
        <v>0</v>
      </c>
    </row>
    <row r="772" spans="2:10" ht="15" customHeight="1">
      <c r="B772" t="s">
        <v>1754</v>
      </c>
      <c r="C772" s="2">
        <f>IFERROR(VLOOKUP(B772,'General price list'!C:BA,MATCH("PAL",'General price list'!$C$20:$BA$20,0),FALSE),"")</f>
        <v>40</v>
      </c>
      <c r="D772" s="2">
        <f>IFERROR(VLOOKUP(B772,'General price list'!C:BA,MATCH("OBJ",'General price list'!$C$20:$BA$20,0),FALSE),"")</f>
        <v>0</v>
      </c>
      <c r="E772" s="2">
        <f t="shared" si="61"/>
        <v>0</v>
      </c>
      <c r="F772" s="2">
        <f t="shared" si="62"/>
        <v>0</v>
      </c>
      <c r="G772" s="2">
        <f t="shared" si="63"/>
        <v>0</v>
      </c>
      <c r="H772" s="2">
        <f t="shared" si="64"/>
        <v>0</v>
      </c>
      <c r="I772" s="2">
        <f t="shared" ref="I772:I835" si="65">IFERROR(IF(D772=0,0,IF(F772=0,(D772*nextVK)+(prvniVK-nextVK),(G772*C772*nextVK)+(F772*PALzKoje))),0)</f>
        <v>0</v>
      </c>
      <c r="J772">
        <f>IFERROR(VLOOKUP(B772,'General price list'!C:BA,MATCH("CBM",'General price list'!$C$20:$BA$20,0),FALSE)*(G772*C772),0)</f>
        <v>0</v>
      </c>
    </row>
    <row r="773" spans="2:10" ht="15" customHeight="1">
      <c r="B773" t="s">
        <v>1757</v>
      </c>
      <c r="C773" s="2">
        <f>IFERROR(VLOOKUP(B773,'General price list'!C:BA,MATCH("PAL",'General price list'!$C$20:$BA$20,0),FALSE),"")</f>
        <v>40</v>
      </c>
      <c r="D773" s="2">
        <f>IFERROR(VLOOKUP(B773,'General price list'!C:BA,MATCH("OBJ",'General price list'!$C$20:$BA$20,0),FALSE),"")</f>
        <v>0</v>
      </c>
      <c r="E773" s="2">
        <f t="shared" ref="E773:E836" si="66">IFERROR(D773/C773,0)</f>
        <v>0</v>
      </c>
      <c r="F773" s="2">
        <f t="shared" ref="F773:F836" si="67">IFERROR(FLOOR(IF(E773-1&lt;0,0,E773),1),0)</f>
        <v>0</v>
      </c>
      <c r="G773" s="2">
        <f t="shared" ref="G773:G836" si="68">IFERROR(IF(H773&gt;E773,F773-E773,E773-F773),0)</f>
        <v>0</v>
      </c>
      <c r="H773" s="2">
        <f t="shared" ref="H773:H836" si="69">IFERROR(IF(E773=0,0,F773),0)</f>
        <v>0</v>
      </c>
      <c r="I773" s="2">
        <f t="shared" si="65"/>
        <v>0</v>
      </c>
      <c r="J773">
        <f>IFERROR(VLOOKUP(B773,'General price list'!C:BA,MATCH("CBM",'General price list'!$C$20:$BA$20,0),FALSE)*(G773*C773),0)</f>
        <v>0</v>
      </c>
    </row>
    <row r="774" spans="2:10" ht="15" customHeight="1">
      <c r="B774" t="s">
        <v>1761</v>
      </c>
      <c r="C774" s="2">
        <f>IFERROR(VLOOKUP(B774,'General price list'!C:BA,MATCH("PAL",'General price list'!$C$20:$BA$20,0),FALSE),"")</f>
        <v>20</v>
      </c>
      <c r="D774" s="2">
        <f>IFERROR(VLOOKUP(B774,'General price list'!C:BA,MATCH("OBJ",'General price list'!$C$20:$BA$20,0),FALSE),"")</f>
        <v>0</v>
      </c>
      <c r="E774" s="2">
        <f t="shared" si="66"/>
        <v>0</v>
      </c>
      <c r="F774" s="2">
        <f t="shared" si="67"/>
        <v>0</v>
      </c>
      <c r="G774" s="2">
        <f t="shared" si="68"/>
        <v>0</v>
      </c>
      <c r="H774" s="2">
        <f t="shared" si="69"/>
        <v>0</v>
      </c>
      <c r="I774" s="2">
        <f t="shared" si="65"/>
        <v>0</v>
      </c>
      <c r="J774">
        <f>IFERROR(VLOOKUP(B774,'General price list'!C:BA,MATCH("CBM",'General price list'!$C$20:$BA$20,0),FALSE)*(G774*C774),0)</f>
        <v>0</v>
      </c>
    </row>
    <row r="775" spans="2:10" ht="15" customHeight="1">
      <c r="B775" t="s">
        <v>2622</v>
      </c>
      <c r="C775" s="2">
        <f>IFERROR(VLOOKUP(B775,'General price list'!C:BA,MATCH("PAL",'General price list'!$C$20:$BA$20,0),FALSE),"")</f>
        <v>20</v>
      </c>
      <c r="D775" s="2">
        <f>IFERROR(VLOOKUP(B775,'General price list'!C:BA,MATCH("OBJ",'General price list'!$C$20:$BA$20,0),FALSE),"")</f>
        <v>0</v>
      </c>
      <c r="E775" s="2">
        <f t="shared" si="66"/>
        <v>0</v>
      </c>
      <c r="F775" s="2">
        <f t="shared" si="67"/>
        <v>0</v>
      </c>
      <c r="G775" s="2">
        <f t="shared" si="68"/>
        <v>0</v>
      </c>
      <c r="H775" s="2">
        <f t="shared" si="69"/>
        <v>0</v>
      </c>
      <c r="I775" s="2">
        <f t="shared" si="65"/>
        <v>0</v>
      </c>
      <c r="J775">
        <f>IFERROR(VLOOKUP(B775,'General price list'!C:BA,MATCH("CBM",'General price list'!$C$20:$BA$20,0),FALSE)*(G775*C775),0)</f>
        <v>0</v>
      </c>
    </row>
    <row r="776" spans="2:10" ht="15" customHeight="1">
      <c r="B776" t="s">
        <v>1762</v>
      </c>
      <c r="C776" s="2">
        <f>IFERROR(VLOOKUP(B776,'General price list'!C:BA,MATCH("PAL",'General price list'!$C$20:$BA$20,0),FALSE),"")</f>
        <v>20</v>
      </c>
      <c r="D776" s="2">
        <f>IFERROR(VLOOKUP(B776,'General price list'!C:BA,MATCH("OBJ",'General price list'!$C$20:$BA$20,0),FALSE),"")</f>
        <v>0</v>
      </c>
      <c r="E776" s="2">
        <f t="shared" si="66"/>
        <v>0</v>
      </c>
      <c r="F776" s="2">
        <f t="shared" si="67"/>
        <v>0</v>
      </c>
      <c r="G776" s="2">
        <f t="shared" si="68"/>
        <v>0</v>
      </c>
      <c r="H776" s="2">
        <f t="shared" si="69"/>
        <v>0</v>
      </c>
      <c r="I776" s="2">
        <f t="shared" si="65"/>
        <v>0</v>
      </c>
      <c r="J776">
        <f>IFERROR(VLOOKUP(B776,'General price list'!C:BA,MATCH("CBM",'General price list'!$C$20:$BA$20,0),FALSE)*(G776*C776),0)</f>
        <v>0</v>
      </c>
    </row>
    <row r="777" spans="2:10" ht="15" customHeight="1">
      <c r="B777" t="s">
        <v>1763</v>
      </c>
      <c r="C777" s="2">
        <f>IFERROR(VLOOKUP(B777,'General price list'!C:BA,MATCH("PAL",'General price list'!$C$20:$BA$20,0),FALSE),"")</f>
        <v>20</v>
      </c>
      <c r="D777" s="2">
        <f>IFERROR(VLOOKUP(B777,'General price list'!C:BA,MATCH("OBJ",'General price list'!$C$20:$BA$20,0),FALSE),"")</f>
        <v>0</v>
      </c>
      <c r="E777" s="2">
        <f t="shared" si="66"/>
        <v>0</v>
      </c>
      <c r="F777" s="2">
        <f t="shared" si="67"/>
        <v>0</v>
      </c>
      <c r="G777" s="2">
        <f t="shared" si="68"/>
        <v>0</v>
      </c>
      <c r="H777" s="2">
        <f t="shared" si="69"/>
        <v>0</v>
      </c>
      <c r="I777" s="2">
        <f t="shared" si="65"/>
        <v>0</v>
      </c>
      <c r="J777">
        <f>IFERROR(VLOOKUP(B777,'General price list'!C:BA,MATCH("CBM",'General price list'!$C$20:$BA$20,0),FALSE)*(G777*C777),0)</f>
        <v>0</v>
      </c>
    </row>
    <row r="778" spans="2:10" ht="15" customHeight="1">
      <c r="B778" t="s">
        <v>2626</v>
      </c>
      <c r="C778" s="2">
        <f>IFERROR(VLOOKUP(B778,'General price list'!C:BA,MATCH("PAL",'General price list'!$C$20:$BA$20,0),FALSE),"")</f>
        <v>20</v>
      </c>
      <c r="D778" s="2">
        <f>IFERROR(VLOOKUP(B778,'General price list'!C:BA,MATCH("OBJ",'General price list'!$C$20:$BA$20,0),FALSE),"")</f>
        <v>0</v>
      </c>
      <c r="E778" s="2">
        <f t="shared" si="66"/>
        <v>0</v>
      </c>
      <c r="F778" s="2">
        <f t="shared" si="67"/>
        <v>0</v>
      </c>
      <c r="G778" s="2">
        <f t="shared" si="68"/>
        <v>0</v>
      </c>
      <c r="H778" s="2">
        <f t="shared" si="69"/>
        <v>0</v>
      </c>
      <c r="I778" s="2">
        <f t="shared" si="65"/>
        <v>0</v>
      </c>
      <c r="J778">
        <f>IFERROR(VLOOKUP(B778,'General price list'!C:BA,MATCH("CBM",'General price list'!$C$20:$BA$20,0),FALSE)*(G778*C778),0)</f>
        <v>0</v>
      </c>
    </row>
    <row r="779" spans="2:10" ht="15" customHeight="1">
      <c r="B779" t="s">
        <v>1769</v>
      </c>
      <c r="C779" s="2">
        <f>IFERROR(VLOOKUP(B779,'General price list'!C:BA,MATCH("PAL",'General price list'!$C$20:$BA$20,0),FALSE),"")</f>
        <v>20</v>
      </c>
      <c r="D779" s="2">
        <f>IFERROR(VLOOKUP(B779,'General price list'!C:BA,MATCH("OBJ",'General price list'!$C$20:$BA$20,0),FALSE),"")</f>
        <v>0</v>
      </c>
      <c r="E779" s="2">
        <f t="shared" si="66"/>
        <v>0</v>
      </c>
      <c r="F779" s="2">
        <f t="shared" si="67"/>
        <v>0</v>
      </c>
      <c r="G779" s="2">
        <f t="shared" si="68"/>
        <v>0</v>
      </c>
      <c r="H779" s="2">
        <f t="shared" si="69"/>
        <v>0</v>
      </c>
      <c r="I779" s="2">
        <f t="shared" si="65"/>
        <v>0</v>
      </c>
      <c r="J779">
        <f>IFERROR(VLOOKUP(B779,'General price list'!C:BA,MATCH("CBM",'General price list'!$C$20:$BA$20,0),FALSE)*(G779*C779),0)</f>
        <v>0</v>
      </c>
    </row>
    <row r="780" spans="2:10" ht="15" customHeight="1">
      <c r="B780" t="s">
        <v>1773</v>
      </c>
      <c r="C780" s="2">
        <f>IFERROR(VLOOKUP(B780,'General price list'!C:BA,MATCH("PAL",'General price list'!$C$20:$BA$20,0),FALSE),"")</f>
        <v>20</v>
      </c>
      <c r="D780" s="2">
        <f>IFERROR(VLOOKUP(B780,'General price list'!C:BA,MATCH("OBJ",'General price list'!$C$20:$BA$20,0),FALSE),"")</f>
        <v>0</v>
      </c>
      <c r="E780" s="2">
        <f t="shared" si="66"/>
        <v>0</v>
      </c>
      <c r="F780" s="2">
        <f t="shared" si="67"/>
        <v>0</v>
      </c>
      <c r="G780" s="2">
        <f t="shared" si="68"/>
        <v>0</v>
      </c>
      <c r="H780" s="2">
        <f t="shared" si="69"/>
        <v>0</v>
      </c>
      <c r="I780" s="2">
        <f t="shared" si="65"/>
        <v>0</v>
      </c>
      <c r="J780">
        <f>IFERROR(VLOOKUP(B780,'General price list'!C:BA,MATCH("CBM",'General price list'!$C$20:$BA$20,0),FALSE)*(G780*C780),0)</f>
        <v>0</v>
      </c>
    </row>
    <row r="781" spans="2:10" ht="15" customHeight="1">
      <c r="B781" t="s">
        <v>1775</v>
      </c>
      <c r="C781" s="2">
        <f>IFERROR(VLOOKUP(B781,'General price list'!C:BA,MATCH("PAL",'General price list'!$C$20:$BA$20,0),FALSE),"")</f>
        <v>20</v>
      </c>
      <c r="D781" s="2">
        <f>IFERROR(VLOOKUP(B781,'General price list'!C:BA,MATCH("OBJ",'General price list'!$C$20:$BA$20,0),FALSE),"")</f>
        <v>0</v>
      </c>
      <c r="E781" s="2">
        <f t="shared" si="66"/>
        <v>0</v>
      </c>
      <c r="F781" s="2">
        <f t="shared" si="67"/>
        <v>0</v>
      </c>
      <c r="G781" s="2">
        <f t="shared" si="68"/>
        <v>0</v>
      </c>
      <c r="H781" s="2">
        <f t="shared" si="69"/>
        <v>0</v>
      </c>
      <c r="I781" s="2">
        <f t="shared" si="65"/>
        <v>0</v>
      </c>
      <c r="J781">
        <f>IFERROR(VLOOKUP(B781,'General price list'!C:BA,MATCH("CBM",'General price list'!$C$20:$BA$20,0),FALSE)*(G781*C781),0)</f>
        <v>0</v>
      </c>
    </row>
    <row r="782" spans="2:10" ht="15" customHeight="1">
      <c r="B782" t="s">
        <v>1778</v>
      </c>
      <c r="C782" s="2">
        <f>IFERROR(VLOOKUP(B782,'General price list'!C:BA,MATCH("PAL",'General price list'!$C$20:$BA$20,0),FALSE),"")</f>
        <v>20</v>
      </c>
      <c r="D782" s="2">
        <f>IFERROR(VLOOKUP(B782,'General price list'!C:BA,MATCH("OBJ",'General price list'!$C$20:$BA$20,0),FALSE),"")</f>
        <v>0</v>
      </c>
      <c r="E782" s="2">
        <f t="shared" si="66"/>
        <v>0</v>
      </c>
      <c r="F782" s="2">
        <f t="shared" si="67"/>
        <v>0</v>
      </c>
      <c r="G782" s="2">
        <f t="shared" si="68"/>
        <v>0</v>
      </c>
      <c r="H782" s="2">
        <f t="shared" si="69"/>
        <v>0</v>
      </c>
      <c r="I782" s="2">
        <f t="shared" si="65"/>
        <v>0</v>
      </c>
      <c r="J782">
        <f>IFERROR(VLOOKUP(B782,'General price list'!C:BA,MATCH("CBM",'General price list'!$C$20:$BA$20,0),FALSE)*(G782*C782),0)</f>
        <v>0</v>
      </c>
    </row>
    <row r="783" spans="2:10" ht="15" customHeight="1">
      <c r="B783" t="s">
        <v>1780</v>
      </c>
      <c r="C783" s="2">
        <f>IFERROR(VLOOKUP(B783,'General price list'!C:BA,MATCH("PAL",'General price list'!$C$20:$BA$20,0),FALSE),"")</f>
        <v>20</v>
      </c>
      <c r="D783" s="2">
        <f>IFERROR(VLOOKUP(B783,'General price list'!C:BA,MATCH("OBJ",'General price list'!$C$20:$BA$20,0),FALSE),"")</f>
        <v>0</v>
      </c>
      <c r="E783" s="2">
        <f t="shared" si="66"/>
        <v>0</v>
      </c>
      <c r="F783" s="2">
        <f t="shared" si="67"/>
        <v>0</v>
      </c>
      <c r="G783" s="2">
        <f t="shared" si="68"/>
        <v>0</v>
      </c>
      <c r="H783" s="2">
        <f t="shared" si="69"/>
        <v>0</v>
      </c>
      <c r="I783" s="2">
        <f t="shared" si="65"/>
        <v>0</v>
      </c>
      <c r="J783">
        <f>IFERROR(VLOOKUP(B783,'General price list'!C:BA,MATCH("CBM",'General price list'!$C$20:$BA$20,0),FALSE)*(G783*C783),0)</f>
        <v>0</v>
      </c>
    </row>
    <row r="784" spans="2:10" ht="15" customHeight="1">
      <c r="B784" t="s">
        <v>1782</v>
      </c>
      <c r="C784" s="2">
        <f>IFERROR(VLOOKUP(B784,'General price list'!C:BA,MATCH("PAL",'General price list'!$C$20:$BA$20,0),FALSE),"")</f>
        <v>20</v>
      </c>
      <c r="D784" s="2">
        <f>IFERROR(VLOOKUP(B784,'General price list'!C:BA,MATCH("OBJ",'General price list'!$C$20:$BA$20,0),FALSE),"")</f>
        <v>0</v>
      </c>
      <c r="E784" s="2">
        <f t="shared" si="66"/>
        <v>0</v>
      </c>
      <c r="F784" s="2">
        <f t="shared" si="67"/>
        <v>0</v>
      </c>
      <c r="G784" s="2">
        <f t="shared" si="68"/>
        <v>0</v>
      </c>
      <c r="H784" s="2">
        <f t="shared" si="69"/>
        <v>0</v>
      </c>
      <c r="I784" s="2">
        <f t="shared" si="65"/>
        <v>0</v>
      </c>
      <c r="J784">
        <f>IFERROR(VLOOKUP(B784,'General price list'!C:BA,MATCH("CBM",'General price list'!$C$20:$BA$20,0),FALSE)*(G784*C784),0)</f>
        <v>0</v>
      </c>
    </row>
    <row r="785" spans="2:10" ht="15" customHeight="1">
      <c r="B785" t="s">
        <v>1784</v>
      </c>
      <c r="C785" s="2">
        <f>IFERROR(VLOOKUP(B785,'General price list'!C:BA,MATCH("PAL",'General price list'!$C$20:$BA$20,0),FALSE),"")</f>
        <v>20</v>
      </c>
      <c r="D785" s="2">
        <f>IFERROR(VLOOKUP(B785,'General price list'!C:BA,MATCH("OBJ",'General price list'!$C$20:$BA$20,0),FALSE),"")</f>
        <v>0</v>
      </c>
      <c r="E785" s="2">
        <f t="shared" si="66"/>
        <v>0</v>
      </c>
      <c r="F785" s="2">
        <f t="shared" si="67"/>
        <v>0</v>
      </c>
      <c r="G785" s="2">
        <f t="shared" si="68"/>
        <v>0</v>
      </c>
      <c r="H785" s="2">
        <f t="shared" si="69"/>
        <v>0</v>
      </c>
      <c r="I785" s="2">
        <f t="shared" si="65"/>
        <v>0</v>
      </c>
      <c r="J785">
        <f>IFERROR(VLOOKUP(B785,'General price list'!C:BA,MATCH("CBM",'General price list'!$C$20:$BA$20,0),FALSE)*(G785*C785),0)</f>
        <v>0</v>
      </c>
    </row>
    <row r="786" spans="2:10" ht="15" customHeight="1">
      <c r="B786" t="s">
        <v>1788</v>
      </c>
      <c r="C786" s="2">
        <f>IFERROR(VLOOKUP(B786,'General price list'!C:BA,MATCH("PAL",'General price list'!$C$20:$BA$20,0),FALSE),"")</f>
        <v>20</v>
      </c>
      <c r="D786" s="2">
        <f>IFERROR(VLOOKUP(B786,'General price list'!C:BA,MATCH("OBJ",'General price list'!$C$20:$BA$20,0),FALSE),"")</f>
        <v>0</v>
      </c>
      <c r="E786" s="2">
        <f t="shared" si="66"/>
        <v>0</v>
      </c>
      <c r="F786" s="2">
        <f t="shared" si="67"/>
        <v>0</v>
      </c>
      <c r="G786" s="2">
        <f t="shared" si="68"/>
        <v>0</v>
      </c>
      <c r="H786" s="2">
        <f t="shared" si="69"/>
        <v>0</v>
      </c>
      <c r="I786" s="2">
        <f t="shared" si="65"/>
        <v>0</v>
      </c>
      <c r="J786">
        <f>IFERROR(VLOOKUP(B786,'General price list'!C:BA,MATCH("CBM",'General price list'!$C$20:$BA$20,0),FALSE)*(G786*C786),0)</f>
        <v>0</v>
      </c>
    </row>
    <row r="787" spans="2:10" ht="15" customHeight="1">
      <c r="B787" t="s">
        <v>1790</v>
      </c>
      <c r="C787" s="2" t="str">
        <f>IFERROR(VLOOKUP(B787,'General price list'!C:BA,MATCH("PAL",'General price list'!$C$20:$BA$20,0),FALSE),"")</f>
        <v>28</v>
      </c>
      <c r="D787" s="2">
        <f>IFERROR(VLOOKUP(B787,'General price list'!C:BA,MATCH("OBJ",'General price list'!$C$20:$BA$20,0),FALSE),"")</f>
        <v>0</v>
      </c>
      <c r="E787" s="2">
        <f t="shared" si="66"/>
        <v>0</v>
      </c>
      <c r="F787" s="2">
        <f t="shared" si="67"/>
        <v>0</v>
      </c>
      <c r="G787" s="2">
        <f t="shared" si="68"/>
        <v>0</v>
      </c>
      <c r="H787" s="2">
        <f t="shared" si="69"/>
        <v>0</v>
      </c>
      <c r="I787" s="2">
        <f t="shared" si="65"/>
        <v>0</v>
      </c>
      <c r="J787">
        <f>IFERROR(VLOOKUP(B787,'General price list'!C:BA,MATCH("CBM",'General price list'!$C$20:$BA$20,0),FALSE)*(G787*C787),0)</f>
        <v>0</v>
      </c>
    </row>
    <row r="788" spans="2:10" ht="15" customHeight="1">
      <c r="B788" t="s">
        <v>1793</v>
      </c>
      <c r="C788" s="2" t="str">
        <f>IFERROR(VLOOKUP(B788,'General price list'!C:BA,MATCH("PAL",'General price list'!$C$20:$BA$20,0),FALSE),"")</f>
        <v>28</v>
      </c>
      <c r="D788" s="2">
        <f>IFERROR(VLOOKUP(B788,'General price list'!C:BA,MATCH("OBJ",'General price list'!$C$20:$BA$20,0),FALSE),"")</f>
        <v>0</v>
      </c>
      <c r="E788" s="2">
        <f t="shared" si="66"/>
        <v>0</v>
      </c>
      <c r="F788" s="2">
        <f t="shared" si="67"/>
        <v>0</v>
      </c>
      <c r="G788" s="2">
        <f t="shared" si="68"/>
        <v>0</v>
      </c>
      <c r="H788" s="2">
        <f t="shared" si="69"/>
        <v>0</v>
      </c>
      <c r="I788" s="2">
        <f t="shared" si="65"/>
        <v>0</v>
      </c>
      <c r="J788">
        <f>IFERROR(VLOOKUP(B788,'General price list'!C:BA,MATCH("CBM",'General price list'!$C$20:$BA$20,0),FALSE)*(G788*C788),0)</f>
        <v>0</v>
      </c>
    </row>
    <row r="789" spans="2:10" ht="15" customHeight="1">
      <c r="B789" t="s">
        <v>1808</v>
      </c>
      <c r="C789" s="2">
        <f>IFERROR(VLOOKUP(B789,'General price list'!C:BA,MATCH("PAL",'General price list'!$C$20:$BA$20,0),FALSE),"")</f>
        <v>42</v>
      </c>
      <c r="D789" s="2">
        <f>IFERROR(VLOOKUP(B789,'General price list'!C:BA,MATCH("OBJ",'General price list'!$C$20:$BA$20,0),FALSE),"")</f>
        <v>0</v>
      </c>
      <c r="E789" s="2">
        <f t="shared" si="66"/>
        <v>0</v>
      </c>
      <c r="F789" s="2">
        <f t="shared" si="67"/>
        <v>0</v>
      </c>
      <c r="G789" s="2">
        <f t="shared" si="68"/>
        <v>0</v>
      </c>
      <c r="H789" s="2">
        <f t="shared" si="69"/>
        <v>0</v>
      </c>
      <c r="I789" s="2">
        <f t="shared" si="65"/>
        <v>0</v>
      </c>
      <c r="J789">
        <f>IFERROR(VLOOKUP(B789,'General price list'!C:BA,MATCH("CBM",'General price list'!$C$20:$BA$20,0),FALSE)*(G789*C789),0)</f>
        <v>0</v>
      </c>
    </row>
    <row r="790" spans="2:10" ht="15" customHeight="1">
      <c r="B790" t="s">
        <v>1813</v>
      </c>
      <c r="C790" s="2">
        <f>IFERROR(VLOOKUP(B790,'General price list'!C:BA,MATCH("PAL",'General price list'!$C$20:$BA$20,0),FALSE),"")</f>
        <v>28</v>
      </c>
      <c r="D790" s="2">
        <f>IFERROR(VLOOKUP(B790,'General price list'!C:BA,MATCH("OBJ",'General price list'!$C$20:$BA$20,0),FALSE),"")</f>
        <v>0</v>
      </c>
      <c r="E790" s="2">
        <f t="shared" si="66"/>
        <v>0</v>
      </c>
      <c r="F790" s="2">
        <f t="shared" si="67"/>
        <v>0</v>
      </c>
      <c r="G790" s="2">
        <f t="shared" si="68"/>
        <v>0</v>
      </c>
      <c r="H790" s="2">
        <f t="shared" si="69"/>
        <v>0</v>
      </c>
      <c r="I790" s="2">
        <f t="shared" si="65"/>
        <v>0</v>
      </c>
      <c r="J790">
        <f>IFERROR(VLOOKUP(B790,'General price list'!C:BA,MATCH("CBM",'General price list'!$C$20:$BA$20,0),FALSE)*(G790*C790),0)</f>
        <v>0</v>
      </c>
    </row>
    <row r="791" spans="2:10" ht="15" customHeight="1">
      <c r="B791" t="s">
        <v>1816</v>
      </c>
      <c r="C791" s="2">
        <f>IFERROR(VLOOKUP(B791,'General price list'!C:BA,MATCH("PAL",'General price list'!$C$20:$BA$20,0),FALSE),"")</f>
        <v>28</v>
      </c>
      <c r="D791" s="2">
        <f>IFERROR(VLOOKUP(B791,'General price list'!C:BA,MATCH("OBJ",'General price list'!$C$20:$BA$20,0),FALSE),"")</f>
        <v>0</v>
      </c>
      <c r="E791" s="2">
        <f t="shared" si="66"/>
        <v>0</v>
      </c>
      <c r="F791" s="2">
        <f t="shared" si="67"/>
        <v>0</v>
      </c>
      <c r="G791" s="2">
        <f t="shared" si="68"/>
        <v>0</v>
      </c>
      <c r="H791" s="2">
        <f t="shared" si="69"/>
        <v>0</v>
      </c>
      <c r="I791" s="2">
        <f t="shared" si="65"/>
        <v>0</v>
      </c>
      <c r="J791">
        <f>IFERROR(VLOOKUP(B791,'General price list'!C:BA,MATCH("CBM",'General price list'!$C$20:$BA$20,0),FALSE)*(G791*C791),0)</f>
        <v>0</v>
      </c>
    </row>
    <row r="792" spans="2:10" ht="15" customHeight="1">
      <c r="B792" t="s">
        <v>1818</v>
      </c>
      <c r="C792" s="2">
        <f>IFERROR(VLOOKUP(B792,'General price list'!C:BA,MATCH("PAL",'General price list'!$C$20:$BA$20,0),FALSE),"")</f>
        <v>28</v>
      </c>
      <c r="D792" s="2">
        <f>IFERROR(VLOOKUP(B792,'General price list'!C:BA,MATCH("OBJ",'General price list'!$C$20:$BA$20,0),FALSE),"")</f>
        <v>0</v>
      </c>
      <c r="E792" s="2">
        <f t="shared" si="66"/>
        <v>0</v>
      </c>
      <c r="F792" s="2">
        <f t="shared" si="67"/>
        <v>0</v>
      </c>
      <c r="G792" s="2">
        <f t="shared" si="68"/>
        <v>0</v>
      </c>
      <c r="H792" s="2">
        <f t="shared" si="69"/>
        <v>0</v>
      </c>
      <c r="I792" s="2">
        <f t="shared" si="65"/>
        <v>0</v>
      </c>
      <c r="J792">
        <f>IFERROR(VLOOKUP(B792,'General price list'!C:BA,MATCH("CBM",'General price list'!$C$20:$BA$20,0),FALSE)*(G792*C792),0)</f>
        <v>0</v>
      </c>
    </row>
    <row r="793" spans="2:10" ht="15" customHeight="1">
      <c r="B793" t="s">
        <v>1821</v>
      </c>
      <c r="C793" s="2">
        <f>IFERROR(VLOOKUP(B793,'General price list'!C:BA,MATCH("PAL",'General price list'!$C$20:$BA$20,0),FALSE),"")</f>
        <v>28</v>
      </c>
      <c r="D793" s="2">
        <f>IFERROR(VLOOKUP(B793,'General price list'!C:BA,MATCH("OBJ",'General price list'!$C$20:$BA$20,0),FALSE),"")</f>
        <v>0</v>
      </c>
      <c r="E793" s="2">
        <f t="shared" si="66"/>
        <v>0</v>
      </c>
      <c r="F793" s="2">
        <f t="shared" si="67"/>
        <v>0</v>
      </c>
      <c r="G793" s="2">
        <f t="shared" si="68"/>
        <v>0</v>
      </c>
      <c r="H793" s="2">
        <f t="shared" si="69"/>
        <v>0</v>
      </c>
      <c r="I793" s="2">
        <f t="shared" si="65"/>
        <v>0</v>
      </c>
      <c r="J793">
        <f>IFERROR(VLOOKUP(B793,'General price list'!C:BA,MATCH("CBM",'General price list'!$C$20:$BA$20,0),FALSE)*(G793*C793),0)</f>
        <v>0</v>
      </c>
    </row>
    <row r="794" spans="2:10" ht="15" customHeight="1">
      <c r="B794" t="s">
        <v>1823</v>
      </c>
      <c r="C794" s="2">
        <f>IFERROR(VLOOKUP(B794,'General price list'!C:BA,MATCH("PAL",'General price list'!$C$20:$BA$20,0),FALSE),"")</f>
        <v>28</v>
      </c>
      <c r="D794" s="2">
        <f>IFERROR(VLOOKUP(B794,'General price list'!C:BA,MATCH("OBJ",'General price list'!$C$20:$BA$20,0),FALSE),"")</f>
        <v>0</v>
      </c>
      <c r="E794" s="2">
        <f t="shared" si="66"/>
        <v>0</v>
      </c>
      <c r="F794" s="2">
        <f t="shared" si="67"/>
        <v>0</v>
      </c>
      <c r="G794" s="2">
        <f t="shared" si="68"/>
        <v>0</v>
      </c>
      <c r="H794" s="2">
        <f t="shared" si="69"/>
        <v>0</v>
      </c>
      <c r="I794" s="2">
        <f t="shared" si="65"/>
        <v>0</v>
      </c>
      <c r="J794">
        <f>IFERROR(VLOOKUP(B794,'General price list'!C:BA,MATCH("CBM",'General price list'!$C$20:$BA$20,0),FALSE)*(G794*C794),0)</f>
        <v>0</v>
      </c>
    </row>
    <row r="795" spans="2:10" ht="15" customHeight="1">
      <c r="B795" t="s">
        <v>1827</v>
      </c>
      <c r="C795" s="2">
        <f>IFERROR(VLOOKUP(B795,'General price list'!C:BA,MATCH("PAL",'General price list'!$C$20:$BA$20,0),FALSE),"")</f>
        <v>28</v>
      </c>
      <c r="D795" s="2">
        <f>IFERROR(VLOOKUP(B795,'General price list'!C:BA,MATCH("OBJ",'General price list'!$C$20:$BA$20,0),FALSE),"")</f>
        <v>0</v>
      </c>
      <c r="E795" s="2">
        <f t="shared" si="66"/>
        <v>0</v>
      </c>
      <c r="F795" s="2">
        <f t="shared" si="67"/>
        <v>0</v>
      </c>
      <c r="G795" s="2">
        <f t="shared" si="68"/>
        <v>0</v>
      </c>
      <c r="H795" s="2">
        <f t="shared" si="69"/>
        <v>0</v>
      </c>
      <c r="I795" s="2">
        <f t="shared" si="65"/>
        <v>0</v>
      </c>
      <c r="J795">
        <f>IFERROR(VLOOKUP(B795,'General price list'!C:BA,MATCH("CBM",'General price list'!$C$20:$BA$20,0),FALSE)*(G795*C795),0)</f>
        <v>0</v>
      </c>
    </row>
    <row r="796" spans="2:10" ht="15" customHeight="1">
      <c r="B796" t="s">
        <v>1831</v>
      </c>
      <c r="C796" s="2">
        <f>IFERROR(VLOOKUP(B796,'General price list'!C:BA,MATCH("PAL",'General price list'!$C$20:$BA$20,0),FALSE),"")</f>
        <v>28</v>
      </c>
      <c r="D796" s="2">
        <f>IFERROR(VLOOKUP(B796,'General price list'!C:BA,MATCH("OBJ",'General price list'!$C$20:$BA$20,0),FALSE),"")</f>
        <v>0</v>
      </c>
      <c r="E796" s="2">
        <f t="shared" si="66"/>
        <v>0</v>
      </c>
      <c r="F796" s="2">
        <f t="shared" si="67"/>
        <v>0</v>
      </c>
      <c r="G796" s="2">
        <f t="shared" si="68"/>
        <v>0</v>
      </c>
      <c r="H796" s="2">
        <f t="shared" si="69"/>
        <v>0</v>
      </c>
      <c r="I796" s="2">
        <f t="shared" si="65"/>
        <v>0</v>
      </c>
      <c r="J796">
        <f>IFERROR(VLOOKUP(B796,'General price list'!C:BA,MATCH("CBM",'General price list'!$C$20:$BA$20,0),FALSE)*(G796*C796),0)</f>
        <v>0</v>
      </c>
    </row>
    <row r="797" spans="2:10" ht="15" customHeight="1">
      <c r="B797" t="s">
        <v>1833</v>
      </c>
      <c r="C797" s="2">
        <f>IFERROR(VLOOKUP(B797,'General price list'!C:BA,MATCH("PAL",'General price list'!$C$20:$BA$20,0),FALSE),"")</f>
        <v>28</v>
      </c>
      <c r="D797" s="2">
        <f>IFERROR(VLOOKUP(B797,'General price list'!C:BA,MATCH("OBJ",'General price list'!$C$20:$BA$20,0),FALSE),"")</f>
        <v>0</v>
      </c>
      <c r="E797" s="2">
        <f t="shared" si="66"/>
        <v>0</v>
      </c>
      <c r="F797" s="2">
        <f t="shared" si="67"/>
        <v>0</v>
      </c>
      <c r="G797" s="2">
        <f t="shared" si="68"/>
        <v>0</v>
      </c>
      <c r="H797" s="2">
        <f t="shared" si="69"/>
        <v>0</v>
      </c>
      <c r="I797" s="2">
        <f t="shared" si="65"/>
        <v>0</v>
      </c>
      <c r="J797">
        <f>IFERROR(VLOOKUP(B797,'General price list'!C:BA,MATCH("CBM",'General price list'!$C$20:$BA$20,0),FALSE)*(G797*C797),0)</f>
        <v>0</v>
      </c>
    </row>
    <row r="798" spans="2:10" ht="15" customHeight="1">
      <c r="B798" t="s">
        <v>1835</v>
      </c>
      <c r="C798" s="2">
        <f>IFERROR(VLOOKUP(B798,'General price list'!C:BA,MATCH("PAL",'General price list'!$C$20:$BA$20,0),FALSE),"")</f>
        <v>28</v>
      </c>
      <c r="D798" s="2">
        <f>IFERROR(VLOOKUP(B798,'General price list'!C:BA,MATCH("OBJ",'General price list'!$C$20:$BA$20,0),FALSE),"")</f>
        <v>0</v>
      </c>
      <c r="E798" s="2">
        <f t="shared" si="66"/>
        <v>0</v>
      </c>
      <c r="F798" s="2">
        <f t="shared" si="67"/>
        <v>0</v>
      </c>
      <c r="G798" s="2">
        <f t="shared" si="68"/>
        <v>0</v>
      </c>
      <c r="H798" s="2">
        <f t="shared" si="69"/>
        <v>0</v>
      </c>
      <c r="I798" s="2">
        <f t="shared" si="65"/>
        <v>0</v>
      </c>
      <c r="J798">
        <f>IFERROR(VLOOKUP(B798,'General price list'!C:BA,MATCH("CBM",'General price list'!$C$20:$BA$20,0),FALSE)*(G798*C798),0)</f>
        <v>0</v>
      </c>
    </row>
    <row r="799" spans="2:10" ht="15" customHeight="1">
      <c r="B799" t="s">
        <v>1838</v>
      </c>
      <c r="C799" s="2">
        <f>IFERROR(VLOOKUP(B799,'General price list'!C:BA,MATCH("PAL",'General price list'!$C$20:$BA$20,0),FALSE),"")</f>
        <v>28</v>
      </c>
      <c r="D799" s="2">
        <f>IFERROR(VLOOKUP(B799,'General price list'!C:BA,MATCH("OBJ",'General price list'!$C$20:$BA$20,0),FALSE),"")</f>
        <v>0</v>
      </c>
      <c r="E799" s="2">
        <f t="shared" si="66"/>
        <v>0</v>
      </c>
      <c r="F799" s="2">
        <f t="shared" si="67"/>
        <v>0</v>
      </c>
      <c r="G799" s="2">
        <f t="shared" si="68"/>
        <v>0</v>
      </c>
      <c r="H799" s="2">
        <f t="shared" si="69"/>
        <v>0</v>
      </c>
      <c r="I799" s="2">
        <f t="shared" si="65"/>
        <v>0</v>
      </c>
      <c r="J799">
        <f>IFERROR(VLOOKUP(B799,'General price list'!C:BA,MATCH("CBM",'General price list'!$C$20:$BA$20,0),FALSE)*(G799*C799),0)</f>
        <v>0</v>
      </c>
    </row>
    <row r="800" spans="2:10" ht="15" customHeight="1">
      <c r="B800" t="s">
        <v>1862</v>
      </c>
      <c r="C800" s="2">
        <f>IFERROR(VLOOKUP(B800,'General price list'!C:BA,MATCH("PAL",'General price list'!$C$20:$BA$20,0),FALSE),"")</f>
        <v>28</v>
      </c>
      <c r="D800" s="2">
        <f>IFERROR(VLOOKUP(B800,'General price list'!C:BA,MATCH("OBJ",'General price list'!$C$20:$BA$20,0),FALSE),"")</f>
        <v>0</v>
      </c>
      <c r="E800" s="2">
        <f t="shared" si="66"/>
        <v>0</v>
      </c>
      <c r="F800" s="2">
        <f t="shared" si="67"/>
        <v>0</v>
      </c>
      <c r="G800" s="2">
        <f t="shared" si="68"/>
        <v>0</v>
      </c>
      <c r="H800" s="2">
        <f t="shared" si="69"/>
        <v>0</v>
      </c>
      <c r="I800" s="2">
        <f t="shared" si="65"/>
        <v>0</v>
      </c>
      <c r="J800">
        <f>IFERROR(VLOOKUP(B800,'General price list'!C:BA,MATCH("CBM",'General price list'!$C$20:$BA$20,0),FALSE)*(G800*C800),0)</f>
        <v>0</v>
      </c>
    </row>
    <row r="801" spans="2:10" ht="15" customHeight="1">
      <c r="B801" t="s">
        <v>1870</v>
      </c>
      <c r="C801" s="2">
        <f>IFERROR(VLOOKUP(B801,'General price list'!C:BA,MATCH("PAL",'General price list'!$C$20:$BA$20,0),FALSE),"")</f>
        <v>28</v>
      </c>
      <c r="D801" s="2">
        <f>IFERROR(VLOOKUP(B801,'General price list'!C:BA,MATCH("OBJ",'General price list'!$C$20:$BA$20,0),FALSE),"")</f>
        <v>0</v>
      </c>
      <c r="E801" s="2">
        <f t="shared" si="66"/>
        <v>0</v>
      </c>
      <c r="F801" s="2">
        <f t="shared" si="67"/>
        <v>0</v>
      </c>
      <c r="G801" s="2">
        <f t="shared" si="68"/>
        <v>0</v>
      </c>
      <c r="H801" s="2">
        <f t="shared" si="69"/>
        <v>0</v>
      </c>
      <c r="I801" s="2">
        <f t="shared" si="65"/>
        <v>0</v>
      </c>
      <c r="J801">
        <f>IFERROR(VLOOKUP(B801,'General price list'!C:BA,MATCH("CBM",'General price list'!$C$20:$BA$20,0),FALSE)*(G801*C801),0)</f>
        <v>0</v>
      </c>
    </row>
    <row r="802" spans="2:10" ht="15" customHeight="1">
      <c r="B802" t="s">
        <v>1872</v>
      </c>
      <c r="C802" s="2">
        <f>IFERROR(VLOOKUP(B802,'General price list'!C:BA,MATCH("PAL",'General price list'!$C$20:$BA$20,0),FALSE),"")</f>
        <v>28</v>
      </c>
      <c r="D802" s="2">
        <f>IFERROR(VLOOKUP(B802,'General price list'!C:BA,MATCH("OBJ",'General price list'!$C$20:$BA$20,0),FALSE),"")</f>
        <v>0</v>
      </c>
      <c r="E802" s="2">
        <f t="shared" si="66"/>
        <v>0</v>
      </c>
      <c r="F802" s="2">
        <f t="shared" si="67"/>
        <v>0</v>
      </c>
      <c r="G802" s="2">
        <f t="shared" si="68"/>
        <v>0</v>
      </c>
      <c r="H802" s="2">
        <f t="shared" si="69"/>
        <v>0</v>
      </c>
      <c r="I802" s="2">
        <f t="shared" si="65"/>
        <v>0</v>
      </c>
      <c r="J802">
        <f>IFERROR(VLOOKUP(B802,'General price list'!C:BA,MATCH("CBM",'General price list'!$C$20:$BA$20,0),FALSE)*(G802*C802),0)</f>
        <v>0</v>
      </c>
    </row>
    <row r="803" spans="2:10" ht="15" customHeight="1">
      <c r="B803" t="s">
        <v>1874</v>
      </c>
      <c r="C803" s="2">
        <f>IFERROR(VLOOKUP(B803,'General price list'!C:BA,MATCH("PAL",'General price list'!$C$20:$BA$20,0),FALSE),"")</f>
        <v>28</v>
      </c>
      <c r="D803" s="2">
        <f>IFERROR(VLOOKUP(B803,'General price list'!C:BA,MATCH("OBJ",'General price list'!$C$20:$BA$20,0),FALSE),"")</f>
        <v>0</v>
      </c>
      <c r="E803" s="2">
        <f t="shared" si="66"/>
        <v>0</v>
      </c>
      <c r="F803" s="2">
        <f t="shared" si="67"/>
        <v>0</v>
      </c>
      <c r="G803" s="2">
        <f t="shared" si="68"/>
        <v>0</v>
      </c>
      <c r="H803" s="2">
        <f t="shared" si="69"/>
        <v>0</v>
      </c>
      <c r="I803" s="2">
        <f t="shared" si="65"/>
        <v>0</v>
      </c>
      <c r="J803">
        <f>IFERROR(VLOOKUP(B803,'General price list'!C:BA,MATCH("CBM",'General price list'!$C$20:$BA$20,0),FALSE)*(G803*C803),0)</f>
        <v>0</v>
      </c>
    </row>
    <row r="804" spans="2:10" ht="15" customHeight="1">
      <c r="B804" t="s">
        <v>1876</v>
      </c>
      <c r="C804" s="2">
        <f>IFERROR(VLOOKUP(B804,'General price list'!C:BA,MATCH("PAL",'General price list'!$C$20:$BA$20,0),FALSE),"")</f>
        <v>28</v>
      </c>
      <c r="D804" s="2">
        <f>IFERROR(VLOOKUP(B804,'General price list'!C:BA,MATCH("OBJ",'General price list'!$C$20:$BA$20,0),FALSE),"")</f>
        <v>0</v>
      </c>
      <c r="E804" s="2">
        <f t="shared" si="66"/>
        <v>0</v>
      </c>
      <c r="F804" s="2">
        <f t="shared" si="67"/>
        <v>0</v>
      </c>
      <c r="G804" s="2">
        <f t="shared" si="68"/>
        <v>0</v>
      </c>
      <c r="H804" s="2">
        <f t="shared" si="69"/>
        <v>0</v>
      </c>
      <c r="I804" s="2">
        <f t="shared" si="65"/>
        <v>0</v>
      </c>
      <c r="J804">
        <f>IFERROR(VLOOKUP(B804,'General price list'!C:BA,MATCH("CBM",'General price list'!$C$20:$BA$20,0),FALSE)*(G804*C804),0)</f>
        <v>0</v>
      </c>
    </row>
    <row r="805" spans="2:10" ht="15" customHeight="1">
      <c r="B805" t="s">
        <v>1881</v>
      </c>
      <c r="C805" s="2">
        <f>IFERROR(VLOOKUP(B805,'General price list'!C:BA,MATCH("PAL",'General price list'!$C$20:$BA$20,0),FALSE),"")</f>
        <v>28</v>
      </c>
      <c r="D805" s="2">
        <f>IFERROR(VLOOKUP(B805,'General price list'!C:BA,MATCH("OBJ",'General price list'!$C$20:$BA$20,0),FALSE),"")</f>
        <v>0</v>
      </c>
      <c r="E805" s="2">
        <f t="shared" si="66"/>
        <v>0</v>
      </c>
      <c r="F805" s="2">
        <f t="shared" si="67"/>
        <v>0</v>
      </c>
      <c r="G805" s="2">
        <f t="shared" si="68"/>
        <v>0</v>
      </c>
      <c r="H805" s="2">
        <f t="shared" si="69"/>
        <v>0</v>
      </c>
      <c r="I805" s="2">
        <f t="shared" si="65"/>
        <v>0</v>
      </c>
      <c r="J805">
        <f>IFERROR(VLOOKUP(B805,'General price list'!C:BA,MATCH("CBM",'General price list'!$C$20:$BA$20,0),FALSE)*(G805*C805),0)</f>
        <v>0</v>
      </c>
    </row>
    <row r="806" spans="2:10" ht="15" customHeight="1">
      <c r="B806" t="s">
        <v>1883</v>
      </c>
      <c r="C806" s="2">
        <f>IFERROR(VLOOKUP(B806,'General price list'!C:BA,MATCH("PAL",'General price list'!$C$20:$BA$20,0),FALSE),"")</f>
        <v>28</v>
      </c>
      <c r="D806" s="2">
        <f>IFERROR(VLOOKUP(B806,'General price list'!C:BA,MATCH("OBJ",'General price list'!$C$20:$BA$20,0),FALSE),"")</f>
        <v>0</v>
      </c>
      <c r="E806" s="2">
        <f t="shared" si="66"/>
        <v>0</v>
      </c>
      <c r="F806" s="2">
        <f t="shared" si="67"/>
        <v>0</v>
      </c>
      <c r="G806" s="2">
        <f t="shared" si="68"/>
        <v>0</v>
      </c>
      <c r="H806" s="2">
        <f t="shared" si="69"/>
        <v>0</v>
      </c>
      <c r="I806" s="2">
        <f t="shared" si="65"/>
        <v>0</v>
      </c>
      <c r="J806">
        <f>IFERROR(VLOOKUP(B806,'General price list'!C:BA,MATCH("CBM",'General price list'!$C$20:$BA$20,0),FALSE)*(G806*C806),0)</f>
        <v>0</v>
      </c>
    </row>
    <row r="807" spans="2:10" ht="15" customHeight="1">
      <c r="B807" t="s">
        <v>1887</v>
      </c>
      <c r="C807" s="2">
        <f>IFERROR(VLOOKUP(B807,'General price list'!C:BA,MATCH("PAL",'General price list'!$C$20:$BA$20,0),FALSE),"")</f>
        <v>28</v>
      </c>
      <c r="D807" s="2">
        <f>IFERROR(VLOOKUP(B807,'General price list'!C:BA,MATCH("OBJ",'General price list'!$C$20:$BA$20,0),FALSE),"")</f>
        <v>0</v>
      </c>
      <c r="E807" s="2">
        <f t="shared" si="66"/>
        <v>0</v>
      </c>
      <c r="F807" s="2">
        <f t="shared" si="67"/>
        <v>0</v>
      </c>
      <c r="G807" s="2">
        <f t="shared" si="68"/>
        <v>0</v>
      </c>
      <c r="H807" s="2">
        <f t="shared" si="69"/>
        <v>0</v>
      </c>
      <c r="I807" s="2">
        <f t="shared" si="65"/>
        <v>0</v>
      </c>
      <c r="J807">
        <f>IFERROR(VLOOKUP(B807,'General price list'!C:BA,MATCH("CBM",'General price list'!$C$20:$BA$20,0),FALSE)*(G807*C807),0)</f>
        <v>0</v>
      </c>
    </row>
    <row r="808" spans="2:10" ht="15" customHeight="1">
      <c r="B808" t="s">
        <v>1889</v>
      </c>
      <c r="C808" s="2">
        <f>IFERROR(VLOOKUP(B808,'General price list'!C:BA,MATCH("PAL",'General price list'!$C$20:$BA$20,0),FALSE),"")</f>
        <v>28</v>
      </c>
      <c r="D808" s="2">
        <f>IFERROR(VLOOKUP(B808,'General price list'!C:BA,MATCH("OBJ",'General price list'!$C$20:$BA$20,0),FALSE),"")</f>
        <v>0</v>
      </c>
      <c r="E808" s="2">
        <f t="shared" si="66"/>
        <v>0</v>
      </c>
      <c r="F808" s="2">
        <f t="shared" si="67"/>
        <v>0</v>
      </c>
      <c r="G808" s="2">
        <f t="shared" si="68"/>
        <v>0</v>
      </c>
      <c r="H808" s="2">
        <f t="shared" si="69"/>
        <v>0</v>
      </c>
      <c r="I808" s="2">
        <f t="shared" si="65"/>
        <v>0</v>
      </c>
      <c r="J808">
        <f>IFERROR(VLOOKUP(B808,'General price list'!C:BA,MATCH("CBM",'General price list'!$C$20:$BA$20,0),FALSE)*(G808*C808),0)</f>
        <v>0</v>
      </c>
    </row>
    <row r="809" spans="2:10" ht="15" customHeight="1">
      <c r="B809" t="s">
        <v>1894</v>
      </c>
      <c r="C809" s="2">
        <f>IFERROR(VLOOKUP(B809,'General price list'!C:BA,MATCH("PAL",'General price list'!$C$20:$BA$20,0),FALSE),"")</f>
        <v>28</v>
      </c>
      <c r="D809" s="2">
        <f>IFERROR(VLOOKUP(B809,'General price list'!C:BA,MATCH("OBJ",'General price list'!$C$20:$BA$20,0),FALSE),"")</f>
        <v>0</v>
      </c>
      <c r="E809" s="2">
        <f t="shared" si="66"/>
        <v>0</v>
      </c>
      <c r="F809" s="2">
        <f t="shared" si="67"/>
        <v>0</v>
      </c>
      <c r="G809" s="2">
        <f t="shared" si="68"/>
        <v>0</v>
      </c>
      <c r="H809" s="2">
        <f t="shared" si="69"/>
        <v>0</v>
      </c>
      <c r="I809" s="2">
        <f t="shared" si="65"/>
        <v>0</v>
      </c>
      <c r="J809">
        <f>IFERROR(VLOOKUP(B809,'General price list'!C:BA,MATCH("CBM",'General price list'!$C$20:$BA$20,0),FALSE)*(G809*C809),0)</f>
        <v>0</v>
      </c>
    </row>
    <row r="810" spans="2:10" ht="15" customHeight="1">
      <c r="B810" t="s">
        <v>1896</v>
      </c>
      <c r="C810" s="2">
        <f>IFERROR(VLOOKUP(B810,'General price list'!C:BA,MATCH("PAL",'General price list'!$C$20:$BA$20,0),FALSE),"")</f>
        <v>28</v>
      </c>
      <c r="D810" s="2">
        <f>IFERROR(VLOOKUP(B810,'General price list'!C:BA,MATCH("OBJ",'General price list'!$C$20:$BA$20,0),FALSE),"")</f>
        <v>0</v>
      </c>
      <c r="E810" s="2">
        <f t="shared" si="66"/>
        <v>0</v>
      </c>
      <c r="F810" s="2">
        <f t="shared" si="67"/>
        <v>0</v>
      </c>
      <c r="G810" s="2">
        <f t="shared" si="68"/>
        <v>0</v>
      </c>
      <c r="H810" s="2">
        <f t="shared" si="69"/>
        <v>0</v>
      </c>
      <c r="I810" s="2">
        <f t="shared" si="65"/>
        <v>0</v>
      </c>
      <c r="J810">
        <f>IFERROR(VLOOKUP(B810,'General price list'!C:BA,MATCH("CBM",'General price list'!$C$20:$BA$20,0),FALSE)*(G810*C810),0)</f>
        <v>0</v>
      </c>
    </row>
    <row r="811" spans="2:10" ht="15" customHeight="1">
      <c r="B811" t="s">
        <v>1899</v>
      </c>
      <c r="C811" s="2">
        <f>IFERROR(VLOOKUP(B811,'General price list'!C:BA,MATCH("PAL",'General price list'!$C$20:$BA$20,0),FALSE),"")</f>
        <v>28</v>
      </c>
      <c r="D811" s="2">
        <f>IFERROR(VLOOKUP(B811,'General price list'!C:BA,MATCH("OBJ",'General price list'!$C$20:$BA$20,0),FALSE),"")</f>
        <v>0</v>
      </c>
      <c r="E811" s="2">
        <f t="shared" si="66"/>
        <v>0</v>
      </c>
      <c r="F811" s="2">
        <f t="shared" si="67"/>
        <v>0</v>
      </c>
      <c r="G811" s="2">
        <f t="shared" si="68"/>
        <v>0</v>
      </c>
      <c r="H811" s="2">
        <f t="shared" si="69"/>
        <v>0</v>
      </c>
      <c r="I811" s="2">
        <f t="shared" si="65"/>
        <v>0</v>
      </c>
      <c r="J811">
        <f>IFERROR(VLOOKUP(B811,'General price list'!C:BA,MATCH("CBM",'General price list'!$C$20:$BA$20,0),FALSE)*(G811*C811),0)</f>
        <v>0</v>
      </c>
    </row>
    <row r="812" spans="2:10" ht="15" customHeight="1">
      <c r="B812" t="s">
        <v>1902</v>
      </c>
      <c r="C812" s="2">
        <f>IFERROR(VLOOKUP(B812,'General price list'!C:BA,MATCH("PAL",'General price list'!$C$20:$BA$20,0),FALSE),"")</f>
        <v>28</v>
      </c>
      <c r="D812" s="2">
        <f>IFERROR(VLOOKUP(B812,'General price list'!C:BA,MATCH("OBJ",'General price list'!$C$20:$BA$20,0),FALSE),"")</f>
        <v>0</v>
      </c>
      <c r="E812" s="2">
        <f t="shared" si="66"/>
        <v>0</v>
      </c>
      <c r="F812" s="2">
        <f t="shared" si="67"/>
        <v>0</v>
      </c>
      <c r="G812" s="2">
        <f t="shared" si="68"/>
        <v>0</v>
      </c>
      <c r="H812" s="2">
        <f t="shared" si="69"/>
        <v>0</v>
      </c>
      <c r="I812" s="2">
        <f t="shared" si="65"/>
        <v>0</v>
      </c>
      <c r="J812">
        <f>IFERROR(VLOOKUP(B812,'General price list'!C:BA,MATCH("CBM",'General price list'!$C$20:$BA$20,0),FALSE)*(G812*C812),0)</f>
        <v>0</v>
      </c>
    </row>
    <row r="813" spans="2:10" ht="15" customHeight="1">
      <c r="B813" t="s">
        <v>1904</v>
      </c>
      <c r="C813" s="2">
        <f>IFERROR(VLOOKUP(B813,'General price list'!C:BA,MATCH("PAL",'General price list'!$C$20:$BA$20,0),FALSE),"")</f>
        <v>28</v>
      </c>
      <c r="D813" s="2">
        <f>IFERROR(VLOOKUP(B813,'General price list'!C:BA,MATCH("OBJ",'General price list'!$C$20:$BA$20,0),FALSE),"")</f>
        <v>0</v>
      </c>
      <c r="E813" s="2">
        <f t="shared" si="66"/>
        <v>0</v>
      </c>
      <c r="F813" s="2">
        <f t="shared" si="67"/>
        <v>0</v>
      </c>
      <c r="G813" s="2">
        <f t="shared" si="68"/>
        <v>0</v>
      </c>
      <c r="H813" s="2">
        <f t="shared" si="69"/>
        <v>0</v>
      </c>
      <c r="I813" s="2">
        <f t="shared" si="65"/>
        <v>0</v>
      </c>
      <c r="J813">
        <f>IFERROR(VLOOKUP(B813,'General price list'!C:BA,MATCH("CBM",'General price list'!$C$20:$BA$20,0),FALSE)*(G813*C813),0)</f>
        <v>0</v>
      </c>
    </row>
    <row r="814" spans="2:10" ht="15" customHeight="1">
      <c r="B814" t="s">
        <v>1915</v>
      </c>
      <c r="C814" s="2">
        <f>IFERROR(VLOOKUP(B814,'General price list'!C:BA,MATCH("PAL",'General price list'!$C$20:$BA$20,0),FALSE),"")</f>
        <v>28</v>
      </c>
      <c r="D814" s="2">
        <f>IFERROR(VLOOKUP(B814,'General price list'!C:BA,MATCH("OBJ",'General price list'!$C$20:$BA$20,0),FALSE),"")</f>
        <v>0</v>
      </c>
      <c r="E814" s="2">
        <f t="shared" si="66"/>
        <v>0</v>
      </c>
      <c r="F814" s="2">
        <f t="shared" si="67"/>
        <v>0</v>
      </c>
      <c r="G814" s="2">
        <f t="shared" si="68"/>
        <v>0</v>
      </c>
      <c r="H814" s="2">
        <f t="shared" si="69"/>
        <v>0</v>
      </c>
      <c r="I814" s="2">
        <f t="shared" si="65"/>
        <v>0</v>
      </c>
      <c r="J814">
        <f>IFERROR(VLOOKUP(B814,'General price list'!C:BA,MATCH("CBM",'General price list'!$C$20:$BA$20,0),FALSE)*(G814*C814),0)</f>
        <v>0</v>
      </c>
    </row>
    <row r="815" spans="2:10" ht="15" customHeight="1">
      <c r="B815" t="s">
        <v>1923</v>
      </c>
      <c r="C815" s="2">
        <f>IFERROR(VLOOKUP(B815,'General price list'!C:BA,MATCH("PAL",'General price list'!$C$20:$BA$20,0),FALSE),"")</f>
        <v>28</v>
      </c>
      <c r="D815" s="2">
        <f>IFERROR(VLOOKUP(B815,'General price list'!C:BA,MATCH("OBJ",'General price list'!$C$20:$BA$20,0),FALSE),"")</f>
        <v>0</v>
      </c>
      <c r="E815" s="2">
        <f t="shared" si="66"/>
        <v>0</v>
      </c>
      <c r="F815" s="2">
        <f t="shared" si="67"/>
        <v>0</v>
      </c>
      <c r="G815" s="2">
        <f t="shared" si="68"/>
        <v>0</v>
      </c>
      <c r="H815" s="2">
        <f t="shared" si="69"/>
        <v>0</v>
      </c>
      <c r="I815" s="2">
        <f t="shared" si="65"/>
        <v>0</v>
      </c>
      <c r="J815">
        <f>IFERROR(VLOOKUP(B815,'General price list'!C:BA,MATCH("CBM",'General price list'!$C$20:$BA$20,0),FALSE)*(G815*C815),0)</f>
        <v>0</v>
      </c>
    </row>
    <row r="816" spans="2:10" ht="15" customHeight="1">
      <c r="B816" t="s">
        <v>1927</v>
      </c>
      <c r="C816" s="2">
        <f>IFERROR(VLOOKUP(B816,'General price list'!C:BA,MATCH("PAL",'General price list'!$C$20:$BA$20,0),FALSE),"")</f>
        <v>28</v>
      </c>
      <c r="D816" s="2">
        <f>IFERROR(VLOOKUP(B816,'General price list'!C:BA,MATCH("OBJ",'General price list'!$C$20:$BA$20,0),FALSE),"")</f>
        <v>0</v>
      </c>
      <c r="E816" s="2">
        <f t="shared" si="66"/>
        <v>0</v>
      </c>
      <c r="F816" s="2">
        <f t="shared" si="67"/>
        <v>0</v>
      </c>
      <c r="G816" s="2">
        <f t="shared" si="68"/>
        <v>0</v>
      </c>
      <c r="H816" s="2">
        <f t="shared" si="69"/>
        <v>0</v>
      </c>
      <c r="I816" s="2">
        <f t="shared" si="65"/>
        <v>0</v>
      </c>
      <c r="J816">
        <f>IFERROR(VLOOKUP(B816,'General price list'!C:BA,MATCH("CBM",'General price list'!$C$20:$BA$20,0),FALSE)*(G816*C816),0)</f>
        <v>0</v>
      </c>
    </row>
    <row r="817" spans="2:10" ht="15" customHeight="1">
      <c r="B817" t="s">
        <v>1929</v>
      </c>
      <c r="C817" s="2">
        <f>IFERROR(VLOOKUP(B817,'General price list'!C:BA,MATCH("PAL",'General price list'!$C$20:$BA$20,0),FALSE),"")</f>
        <v>28</v>
      </c>
      <c r="D817" s="2">
        <f>IFERROR(VLOOKUP(B817,'General price list'!C:BA,MATCH("OBJ",'General price list'!$C$20:$BA$20,0),FALSE),"")</f>
        <v>0</v>
      </c>
      <c r="E817" s="2">
        <f t="shared" si="66"/>
        <v>0</v>
      </c>
      <c r="F817" s="2">
        <f t="shared" si="67"/>
        <v>0</v>
      </c>
      <c r="G817" s="2">
        <f t="shared" si="68"/>
        <v>0</v>
      </c>
      <c r="H817" s="2">
        <f t="shared" si="69"/>
        <v>0</v>
      </c>
      <c r="I817" s="2">
        <f t="shared" si="65"/>
        <v>0</v>
      </c>
      <c r="J817">
        <f>IFERROR(VLOOKUP(B817,'General price list'!C:BA,MATCH("CBM",'General price list'!$C$20:$BA$20,0),FALSE)*(G817*C817),0)</f>
        <v>0</v>
      </c>
    </row>
    <row r="818" spans="2:10" ht="15" customHeight="1">
      <c r="B818" t="s">
        <v>1933</v>
      </c>
      <c r="C818" s="2">
        <f>IFERROR(VLOOKUP(B818,'General price list'!C:BA,MATCH("PAL",'General price list'!$C$20:$BA$20,0),FALSE),"")</f>
        <v>28</v>
      </c>
      <c r="D818" s="2">
        <f>IFERROR(VLOOKUP(B818,'General price list'!C:BA,MATCH("OBJ",'General price list'!$C$20:$BA$20,0),FALSE),"")</f>
        <v>0</v>
      </c>
      <c r="E818" s="2">
        <f t="shared" si="66"/>
        <v>0</v>
      </c>
      <c r="F818" s="2">
        <f t="shared" si="67"/>
        <v>0</v>
      </c>
      <c r="G818" s="2">
        <f t="shared" si="68"/>
        <v>0</v>
      </c>
      <c r="H818" s="2">
        <f t="shared" si="69"/>
        <v>0</v>
      </c>
      <c r="I818" s="2">
        <f t="shared" si="65"/>
        <v>0</v>
      </c>
      <c r="J818">
        <f>IFERROR(VLOOKUP(B818,'General price list'!C:BA,MATCH("CBM",'General price list'!$C$20:$BA$20,0),FALSE)*(G818*C818),0)</f>
        <v>0</v>
      </c>
    </row>
    <row r="819" spans="2:10" ht="15" customHeight="1">
      <c r="B819" t="s">
        <v>1935</v>
      </c>
      <c r="C819" s="2">
        <f>IFERROR(VLOOKUP(B819,'General price list'!C:BA,MATCH("PAL",'General price list'!$C$20:$BA$20,0),FALSE),"")</f>
        <v>28</v>
      </c>
      <c r="D819" s="2">
        <f>IFERROR(VLOOKUP(B819,'General price list'!C:BA,MATCH("OBJ",'General price list'!$C$20:$BA$20,0),FALSE),"")</f>
        <v>0</v>
      </c>
      <c r="E819" s="2">
        <f t="shared" si="66"/>
        <v>0</v>
      </c>
      <c r="F819" s="2">
        <f t="shared" si="67"/>
        <v>0</v>
      </c>
      <c r="G819" s="2">
        <f t="shared" si="68"/>
        <v>0</v>
      </c>
      <c r="H819" s="2">
        <f t="shared" si="69"/>
        <v>0</v>
      </c>
      <c r="I819" s="2">
        <f t="shared" si="65"/>
        <v>0</v>
      </c>
      <c r="J819">
        <f>IFERROR(VLOOKUP(B819,'General price list'!C:BA,MATCH("CBM",'General price list'!$C$20:$BA$20,0),FALSE)*(G819*C819),0)</f>
        <v>0</v>
      </c>
    </row>
    <row r="820" spans="2:10" ht="15" customHeight="1">
      <c r="B820" t="s">
        <v>1937</v>
      </c>
      <c r="C820" s="2">
        <f>IFERROR(VLOOKUP(B820,'General price list'!C:BA,MATCH("PAL",'General price list'!$C$20:$BA$20,0),FALSE),"")</f>
        <v>28</v>
      </c>
      <c r="D820" s="2">
        <f>IFERROR(VLOOKUP(B820,'General price list'!C:BA,MATCH("OBJ",'General price list'!$C$20:$BA$20,0),FALSE),"")</f>
        <v>0</v>
      </c>
      <c r="E820" s="2">
        <f t="shared" si="66"/>
        <v>0</v>
      </c>
      <c r="F820" s="2">
        <f t="shared" si="67"/>
        <v>0</v>
      </c>
      <c r="G820" s="2">
        <f t="shared" si="68"/>
        <v>0</v>
      </c>
      <c r="H820" s="2">
        <f t="shared" si="69"/>
        <v>0</v>
      </c>
      <c r="I820" s="2">
        <f t="shared" si="65"/>
        <v>0</v>
      </c>
      <c r="J820">
        <f>IFERROR(VLOOKUP(B820,'General price list'!C:BA,MATCH("CBM",'General price list'!$C$20:$BA$20,0),FALSE)*(G820*C820),0)</f>
        <v>0</v>
      </c>
    </row>
    <row r="821" spans="2:10" ht="15" customHeight="1">
      <c r="B821" t="s">
        <v>1941</v>
      </c>
      <c r="C821" s="2">
        <f>IFERROR(VLOOKUP(B821,'General price list'!C:BA,MATCH("PAL",'General price list'!$C$20:$BA$20,0),FALSE),"")</f>
        <v>28</v>
      </c>
      <c r="D821" s="2">
        <f>IFERROR(VLOOKUP(B821,'General price list'!C:BA,MATCH("OBJ",'General price list'!$C$20:$BA$20,0),FALSE),"")</f>
        <v>0</v>
      </c>
      <c r="E821" s="2">
        <f t="shared" si="66"/>
        <v>0</v>
      </c>
      <c r="F821" s="2">
        <f t="shared" si="67"/>
        <v>0</v>
      </c>
      <c r="G821" s="2">
        <f t="shared" si="68"/>
        <v>0</v>
      </c>
      <c r="H821" s="2">
        <f t="shared" si="69"/>
        <v>0</v>
      </c>
      <c r="I821" s="2">
        <f t="shared" si="65"/>
        <v>0</v>
      </c>
      <c r="J821">
        <f>IFERROR(VLOOKUP(B821,'General price list'!C:BA,MATCH("CBM",'General price list'!$C$20:$BA$20,0),FALSE)*(G821*C821),0)</f>
        <v>0</v>
      </c>
    </row>
    <row r="822" spans="2:10" ht="15" customHeight="1">
      <c r="B822" t="s">
        <v>1947</v>
      </c>
      <c r="C822" s="2">
        <f>IFERROR(VLOOKUP(B822,'General price list'!C:BA,MATCH("PAL",'General price list'!$C$20:$BA$20,0),FALSE),"")</f>
        <v>28</v>
      </c>
      <c r="D822" s="2">
        <f>IFERROR(VLOOKUP(B822,'General price list'!C:BA,MATCH("OBJ",'General price list'!$C$20:$BA$20,0),FALSE),"")</f>
        <v>0</v>
      </c>
      <c r="E822" s="2">
        <f t="shared" si="66"/>
        <v>0</v>
      </c>
      <c r="F822" s="2">
        <f t="shared" si="67"/>
        <v>0</v>
      </c>
      <c r="G822" s="2">
        <f t="shared" si="68"/>
        <v>0</v>
      </c>
      <c r="H822" s="2">
        <f t="shared" si="69"/>
        <v>0</v>
      </c>
      <c r="I822" s="2">
        <f t="shared" si="65"/>
        <v>0</v>
      </c>
      <c r="J822">
        <f>IFERROR(VLOOKUP(B822,'General price list'!C:BA,MATCH("CBM",'General price list'!$C$20:$BA$20,0),FALSE)*(G822*C822),0)</f>
        <v>0</v>
      </c>
    </row>
    <row r="823" spans="2:10" ht="15" customHeight="1">
      <c r="B823" t="s">
        <v>1949</v>
      </c>
      <c r="C823" s="2">
        <f>IFERROR(VLOOKUP(B823,'General price list'!C:BA,MATCH("PAL",'General price list'!$C$20:$BA$20,0),FALSE),"")</f>
        <v>28</v>
      </c>
      <c r="D823" s="2">
        <f>IFERROR(VLOOKUP(B823,'General price list'!C:BA,MATCH("OBJ",'General price list'!$C$20:$BA$20,0),FALSE),"")</f>
        <v>0</v>
      </c>
      <c r="E823" s="2">
        <f t="shared" si="66"/>
        <v>0</v>
      </c>
      <c r="F823" s="2">
        <f t="shared" si="67"/>
        <v>0</v>
      </c>
      <c r="G823" s="2">
        <f t="shared" si="68"/>
        <v>0</v>
      </c>
      <c r="H823" s="2">
        <f t="shared" si="69"/>
        <v>0</v>
      </c>
      <c r="I823" s="2">
        <f t="shared" si="65"/>
        <v>0</v>
      </c>
      <c r="J823">
        <f>IFERROR(VLOOKUP(B823,'General price list'!C:BA,MATCH("CBM",'General price list'!$C$20:$BA$20,0),FALSE)*(G823*C823),0)</f>
        <v>0</v>
      </c>
    </row>
    <row r="824" spans="2:10" ht="15" customHeight="1">
      <c r="B824" t="s">
        <v>1977</v>
      </c>
      <c r="C824" s="2">
        <f>IFERROR(VLOOKUP(B824,'General price list'!C:BA,MATCH("PAL",'General price list'!$C$20:$BA$20,0),FALSE),"")</f>
        <v>21</v>
      </c>
      <c r="D824" s="2">
        <f>IFERROR(VLOOKUP(B824,'General price list'!C:BA,MATCH("OBJ",'General price list'!$C$20:$BA$20,0),FALSE),"")</f>
        <v>0</v>
      </c>
      <c r="E824" s="2">
        <f t="shared" si="66"/>
        <v>0</v>
      </c>
      <c r="F824" s="2">
        <f t="shared" si="67"/>
        <v>0</v>
      </c>
      <c r="G824" s="2">
        <f t="shared" si="68"/>
        <v>0</v>
      </c>
      <c r="H824" s="2">
        <f t="shared" si="69"/>
        <v>0</v>
      </c>
      <c r="I824" s="2">
        <f t="shared" si="65"/>
        <v>0</v>
      </c>
      <c r="J824">
        <f>IFERROR(VLOOKUP(B824,'General price list'!C:BA,MATCH("CBM",'General price list'!$C$20:$BA$20,0),FALSE)*(G824*C824),0)</f>
        <v>0</v>
      </c>
    </row>
    <row r="825" spans="2:10" ht="15" customHeight="1">
      <c r="B825" t="s">
        <v>1979</v>
      </c>
      <c r="C825" s="2">
        <f>IFERROR(VLOOKUP(B825,'General price list'!C:BA,MATCH("PAL",'General price list'!$C$20:$BA$20,0),FALSE),"")</f>
        <v>21</v>
      </c>
      <c r="D825" s="2">
        <f>IFERROR(VLOOKUP(B825,'General price list'!C:BA,MATCH("OBJ",'General price list'!$C$20:$BA$20,0),FALSE),"")</f>
        <v>0</v>
      </c>
      <c r="E825" s="2">
        <f t="shared" si="66"/>
        <v>0</v>
      </c>
      <c r="F825" s="2">
        <f t="shared" si="67"/>
        <v>0</v>
      </c>
      <c r="G825" s="2">
        <f t="shared" si="68"/>
        <v>0</v>
      </c>
      <c r="H825" s="2">
        <f t="shared" si="69"/>
        <v>0</v>
      </c>
      <c r="I825" s="2">
        <f t="shared" si="65"/>
        <v>0</v>
      </c>
      <c r="J825">
        <f>IFERROR(VLOOKUP(B825,'General price list'!C:BA,MATCH("CBM",'General price list'!$C$20:$BA$20,0),FALSE)*(G825*C825),0)</f>
        <v>0</v>
      </c>
    </row>
    <row r="826" spans="2:10" ht="15" customHeight="1">
      <c r="B826" t="s">
        <v>1981</v>
      </c>
      <c r="C826" s="2">
        <f>IFERROR(VLOOKUP(B826,'General price list'!C:BA,MATCH("PAL",'General price list'!$C$20:$BA$20,0),FALSE),"")</f>
        <v>21</v>
      </c>
      <c r="D826" s="2">
        <f>IFERROR(VLOOKUP(B826,'General price list'!C:BA,MATCH("OBJ",'General price list'!$C$20:$BA$20,0),FALSE),"")</f>
        <v>0</v>
      </c>
      <c r="E826" s="2">
        <f t="shared" si="66"/>
        <v>0</v>
      </c>
      <c r="F826" s="2">
        <f t="shared" si="67"/>
        <v>0</v>
      </c>
      <c r="G826" s="2">
        <f t="shared" si="68"/>
        <v>0</v>
      </c>
      <c r="H826" s="2">
        <f t="shared" si="69"/>
        <v>0</v>
      </c>
      <c r="I826" s="2">
        <f t="shared" si="65"/>
        <v>0</v>
      </c>
      <c r="J826">
        <f>IFERROR(VLOOKUP(B826,'General price list'!C:BA,MATCH("CBM",'General price list'!$C$20:$BA$20,0),FALSE)*(G826*C826),0)</f>
        <v>0</v>
      </c>
    </row>
    <row r="827" spans="2:10" ht="15" customHeight="1">
      <c r="B827" t="s">
        <v>1987</v>
      </c>
      <c r="C827" s="2">
        <f>IFERROR(VLOOKUP(B827,'General price list'!C:BA,MATCH("PAL",'General price list'!$C$20:$BA$20,0),FALSE),"")</f>
        <v>21</v>
      </c>
      <c r="D827" s="2">
        <f>IFERROR(VLOOKUP(B827,'General price list'!C:BA,MATCH("OBJ",'General price list'!$C$20:$BA$20,0),FALSE),"")</f>
        <v>0</v>
      </c>
      <c r="E827" s="2">
        <f t="shared" si="66"/>
        <v>0</v>
      </c>
      <c r="F827" s="2">
        <f t="shared" si="67"/>
        <v>0</v>
      </c>
      <c r="G827" s="2">
        <f t="shared" si="68"/>
        <v>0</v>
      </c>
      <c r="H827" s="2">
        <f t="shared" si="69"/>
        <v>0</v>
      </c>
      <c r="I827" s="2">
        <f t="shared" si="65"/>
        <v>0</v>
      </c>
      <c r="J827">
        <f>IFERROR(VLOOKUP(B827,'General price list'!C:BA,MATCH("CBM",'General price list'!$C$20:$BA$20,0),FALSE)*(G827*C827),0)</f>
        <v>0</v>
      </c>
    </row>
    <row r="828" spans="2:10" ht="15" customHeight="1">
      <c r="B828" t="s">
        <v>1989</v>
      </c>
      <c r="C828" s="2">
        <f>IFERROR(VLOOKUP(B828,'General price list'!C:BA,MATCH("PAL",'General price list'!$C$20:$BA$20,0),FALSE),"")</f>
        <v>21</v>
      </c>
      <c r="D828" s="2">
        <f>IFERROR(VLOOKUP(B828,'General price list'!C:BA,MATCH("OBJ",'General price list'!$C$20:$BA$20,0),FALSE),"")</f>
        <v>0</v>
      </c>
      <c r="E828" s="2">
        <f t="shared" si="66"/>
        <v>0</v>
      </c>
      <c r="F828" s="2">
        <f t="shared" si="67"/>
        <v>0</v>
      </c>
      <c r="G828" s="2">
        <f t="shared" si="68"/>
        <v>0</v>
      </c>
      <c r="H828" s="2">
        <f t="shared" si="69"/>
        <v>0</v>
      </c>
      <c r="I828" s="2">
        <f t="shared" si="65"/>
        <v>0</v>
      </c>
      <c r="J828">
        <f>IFERROR(VLOOKUP(B828,'General price list'!C:BA,MATCH("CBM",'General price list'!$C$20:$BA$20,0),FALSE)*(G828*C828),0)</f>
        <v>0</v>
      </c>
    </row>
    <row r="829" spans="2:10" ht="15" customHeight="1">
      <c r="B829" t="s">
        <v>2032</v>
      </c>
      <c r="C829" s="2" t="str">
        <f>IFERROR(VLOOKUP(B829,'General price list'!C:BA,MATCH("PAL",'General price list'!$C$20:$BA$20,0),FALSE),"")</f>
        <v>23</v>
      </c>
      <c r="D829" s="2">
        <f>IFERROR(VLOOKUP(B829,'General price list'!C:BA,MATCH("OBJ",'General price list'!$C$20:$BA$20,0),FALSE),"")</f>
        <v>0</v>
      </c>
      <c r="E829" s="2">
        <f t="shared" si="66"/>
        <v>0</v>
      </c>
      <c r="F829" s="2">
        <f t="shared" si="67"/>
        <v>0</v>
      </c>
      <c r="G829" s="2">
        <f t="shared" si="68"/>
        <v>0</v>
      </c>
      <c r="H829" s="2">
        <f t="shared" si="69"/>
        <v>0</v>
      </c>
      <c r="I829" s="2">
        <f t="shared" si="65"/>
        <v>0</v>
      </c>
      <c r="J829">
        <f>IFERROR(VLOOKUP(B829,'General price list'!C:BA,MATCH("CBM",'General price list'!$C$20:$BA$20,0),FALSE)*(G829*C829),0)</f>
        <v>0</v>
      </c>
    </row>
    <row r="830" spans="2:10" ht="15" customHeight="1">
      <c r="B830" t="s">
        <v>2062</v>
      </c>
      <c r="C830" s="2" t="str">
        <f>IFERROR(VLOOKUP(B830,'General price list'!C:BA,MATCH("PAL",'General price list'!$C$20:$BA$20,0),FALSE),"")</f>
        <v>21</v>
      </c>
      <c r="D830" s="2">
        <f>IFERROR(VLOOKUP(B830,'General price list'!C:BA,MATCH("OBJ",'General price list'!$C$20:$BA$20,0),FALSE),"")</f>
        <v>0</v>
      </c>
      <c r="E830" s="2">
        <f t="shared" si="66"/>
        <v>0</v>
      </c>
      <c r="F830" s="2">
        <f t="shared" si="67"/>
        <v>0</v>
      </c>
      <c r="G830" s="2">
        <f t="shared" si="68"/>
        <v>0</v>
      </c>
      <c r="H830" s="2">
        <f t="shared" si="69"/>
        <v>0</v>
      </c>
      <c r="I830" s="2">
        <f t="shared" si="65"/>
        <v>0</v>
      </c>
      <c r="J830">
        <f>IFERROR(VLOOKUP(B830,'General price list'!C:BA,MATCH("CBM",'General price list'!$C$20:$BA$20,0),FALSE)*(G830*C830),0)</f>
        <v>0</v>
      </c>
    </row>
    <row r="831" spans="2:10" ht="15" customHeight="1">
      <c r="B831" t="s">
        <v>2065</v>
      </c>
      <c r="C831" s="2" t="str">
        <f>IFERROR(VLOOKUP(B831,'General price list'!C:BA,MATCH("PAL",'General price list'!$C$20:$BA$20,0),FALSE),"")</f>
        <v>21</v>
      </c>
      <c r="D831" s="2">
        <f>IFERROR(VLOOKUP(B831,'General price list'!C:BA,MATCH("OBJ",'General price list'!$C$20:$BA$20,0),FALSE),"")</f>
        <v>0</v>
      </c>
      <c r="E831" s="2">
        <f t="shared" si="66"/>
        <v>0</v>
      </c>
      <c r="F831" s="2">
        <f t="shared" si="67"/>
        <v>0</v>
      </c>
      <c r="G831" s="2">
        <f t="shared" si="68"/>
        <v>0</v>
      </c>
      <c r="H831" s="2">
        <f t="shared" si="69"/>
        <v>0</v>
      </c>
      <c r="I831" s="2">
        <f t="shared" si="65"/>
        <v>0</v>
      </c>
      <c r="J831">
        <f>IFERROR(VLOOKUP(B831,'General price list'!C:BA,MATCH("CBM",'General price list'!$C$20:$BA$20,0),FALSE)*(G831*C831),0)</f>
        <v>0</v>
      </c>
    </row>
    <row r="832" spans="2:10" ht="15" customHeight="1">
      <c r="B832" t="s">
        <v>2066</v>
      </c>
      <c r="C832" s="2" t="str">
        <f>IFERROR(VLOOKUP(B832,'General price list'!C:BA,MATCH("PAL",'General price list'!$C$20:$BA$20,0),FALSE),"")</f>
        <v>21</v>
      </c>
      <c r="D832" s="2">
        <f>IFERROR(VLOOKUP(B832,'General price list'!C:BA,MATCH("OBJ",'General price list'!$C$20:$BA$20,0),FALSE),"")</f>
        <v>0</v>
      </c>
      <c r="E832" s="2">
        <f t="shared" si="66"/>
        <v>0</v>
      </c>
      <c r="F832" s="2">
        <f t="shared" si="67"/>
        <v>0</v>
      </c>
      <c r="G832" s="2">
        <f t="shared" si="68"/>
        <v>0</v>
      </c>
      <c r="H832" s="2">
        <f t="shared" si="69"/>
        <v>0</v>
      </c>
      <c r="I832" s="2">
        <f t="shared" si="65"/>
        <v>0</v>
      </c>
      <c r="J832">
        <f>IFERROR(VLOOKUP(B832,'General price list'!C:BA,MATCH("CBM",'General price list'!$C$20:$BA$20,0),FALSE)*(G832*C832),0)</f>
        <v>0</v>
      </c>
    </row>
    <row r="833" spans="2:10" ht="15" customHeight="1">
      <c r="B833" t="s">
        <v>2072</v>
      </c>
      <c r="C833" s="2" t="str">
        <f>IFERROR(VLOOKUP(B833,'General price list'!C:BA,MATCH("PAL",'General price list'!$C$20:$BA$20,0),FALSE),"")</f>
        <v>21</v>
      </c>
      <c r="D833" s="2">
        <f>IFERROR(VLOOKUP(B833,'General price list'!C:BA,MATCH("OBJ",'General price list'!$C$20:$BA$20,0),FALSE),"")</f>
        <v>0</v>
      </c>
      <c r="E833" s="2">
        <f t="shared" si="66"/>
        <v>0</v>
      </c>
      <c r="F833" s="2">
        <f t="shared" si="67"/>
        <v>0</v>
      </c>
      <c r="G833" s="2">
        <f t="shared" si="68"/>
        <v>0</v>
      </c>
      <c r="H833" s="2">
        <f t="shared" si="69"/>
        <v>0</v>
      </c>
      <c r="I833" s="2">
        <f t="shared" si="65"/>
        <v>0</v>
      </c>
      <c r="J833">
        <f>IFERROR(VLOOKUP(B833,'General price list'!C:BA,MATCH("CBM",'General price list'!$C$20:$BA$20,0),FALSE)*(G833*C833),0)</f>
        <v>0</v>
      </c>
    </row>
    <row r="834" spans="2:10" ht="15" customHeight="1">
      <c r="B834" t="s">
        <v>2077</v>
      </c>
      <c r="C834" s="2" t="str">
        <f>IFERROR(VLOOKUP(B834,'General price list'!C:BA,MATCH("PAL",'General price list'!$C$20:$BA$20,0),FALSE),"")</f>
        <v>21</v>
      </c>
      <c r="D834" s="2">
        <f>IFERROR(VLOOKUP(B834,'General price list'!C:BA,MATCH("OBJ",'General price list'!$C$20:$BA$20,0),FALSE),"")</f>
        <v>0</v>
      </c>
      <c r="E834" s="2">
        <f t="shared" si="66"/>
        <v>0</v>
      </c>
      <c r="F834" s="2">
        <f t="shared" si="67"/>
        <v>0</v>
      </c>
      <c r="G834" s="2">
        <f t="shared" si="68"/>
        <v>0</v>
      </c>
      <c r="H834" s="2">
        <f t="shared" si="69"/>
        <v>0</v>
      </c>
      <c r="I834" s="2">
        <f t="shared" si="65"/>
        <v>0</v>
      </c>
      <c r="J834">
        <f>IFERROR(VLOOKUP(B834,'General price list'!C:BA,MATCH("CBM",'General price list'!$C$20:$BA$20,0),FALSE)*(G834*C834),0)</f>
        <v>0</v>
      </c>
    </row>
    <row r="835" spans="2:10" ht="15" customHeight="1">
      <c r="B835" t="s">
        <v>2118</v>
      </c>
      <c r="C835" s="2" t="str">
        <f>IFERROR(VLOOKUP(B835,'General price list'!C:BA,MATCH("PAL",'General price list'!$C$20:$BA$20,0),FALSE),"")</f>
        <v>24</v>
      </c>
      <c r="D835" s="2">
        <f>IFERROR(VLOOKUP(B835,'General price list'!C:BA,MATCH("OBJ",'General price list'!$C$20:$BA$20,0),FALSE),"")</f>
        <v>0</v>
      </c>
      <c r="E835" s="2">
        <f t="shared" si="66"/>
        <v>0</v>
      </c>
      <c r="F835" s="2">
        <f t="shared" si="67"/>
        <v>0</v>
      </c>
      <c r="G835" s="2">
        <f t="shared" si="68"/>
        <v>0</v>
      </c>
      <c r="H835" s="2">
        <f t="shared" si="69"/>
        <v>0</v>
      </c>
      <c r="I835" s="2">
        <f t="shared" si="65"/>
        <v>0</v>
      </c>
      <c r="J835">
        <f>IFERROR(VLOOKUP(B835,'General price list'!C:BA,MATCH("CBM",'General price list'!$C$20:$BA$20,0),FALSE)*(G835*C835),0)</f>
        <v>0</v>
      </c>
    </row>
    <row r="836" spans="2:10" ht="15" customHeight="1">
      <c r="B836" t="s">
        <v>2124</v>
      </c>
      <c r="C836" s="2" t="str">
        <f>IFERROR(VLOOKUP(B836,'General price list'!C:BA,MATCH("PAL",'General price list'!$C$20:$BA$20,0),FALSE),"")</f>
        <v>24</v>
      </c>
      <c r="D836" s="2">
        <f>IFERROR(VLOOKUP(B836,'General price list'!C:BA,MATCH("OBJ",'General price list'!$C$20:$BA$20,0),FALSE),"")</f>
        <v>0</v>
      </c>
      <c r="E836" s="2">
        <f t="shared" si="66"/>
        <v>0</v>
      </c>
      <c r="F836" s="2">
        <f t="shared" si="67"/>
        <v>0</v>
      </c>
      <c r="G836" s="2">
        <f t="shared" si="68"/>
        <v>0</v>
      </c>
      <c r="H836" s="2">
        <f t="shared" si="69"/>
        <v>0</v>
      </c>
      <c r="I836" s="2">
        <f t="shared" ref="I836:I899" si="70">IFERROR(IF(D836=0,0,IF(F836=0,(D836*nextVK)+(prvniVK-nextVK),(G836*C836*nextVK)+(F836*PALzKoje))),0)</f>
        <v>0</v>
      </c>
      <c r="J836">
        <f>IFERROR(VLOOKUP(B836,'General price list'!C:BA,MATCH("CBM",'General price list'!$C$20:$BA$20,0),FALSE)*(G836*C836),0)</f>
        <v>0</v>
      </c>
    </row>
    <row r="837" spans="2:10" ht="15" customHeight="1">
      <c r="B837" t="s">
        <v>2131</v>
      </c>
      <c r="C837" s="2" t="str">
        <f>IFERROR(VLOOKUP(B837,'General price list'!C:BA,MATCH("PAL",'General price list'!$C$20:$BA$20,0),FALSE),"")</f>
        <v>24</v>
      </c>
      <c r="D837" s="2">
        <f>IFERROR(VLOOKUP(B837,'General price list'!C:BA,MATCH("OBJ",'General price list'!$C$20:$BA$20,0),FALSE),"")</f>
        <v>0</v>
      </c>
      <c r="E837" s="2">
        <f t="shared" ref="E837:E900" si="71">IFERROR(D837/C837,0)</f>
        <v>0</v>
      </c>
      <c r="F837" s="2">
        <f t="shared" ref="F837:F900" si="72">IFERROR(FLOOR(IF(E837-1&lt;0,0,E837),1),0)</f>
        <v>0</v>
      </c>
      <c r="G837" s="2">
        <f t="shared" ref="G837:G900" si="73">IFERROR(IF(H837&gt;E837,F837-E837,E837-F837),0)</f>
        <v>0</v>
      </c>
      <c r="H837" s="2">
        <f t="shared" ref="H837:H900" si="74">IFERROR(IF(E837=0,0,F837),0)</f>
        <v>0</v>
      </c>
      <c r="I837" s="2">
        <f t="shared" si="70"/>
        <v>0</v>
      </c>
      <c r="J837">
        <f>IFERROR(VLOOKUP(B837,'General price list'!C:BA,MATCH("CBM",'General price list'!$C$20:$BA$20,0),FALSE)*(G837*C837),0)</f>
        <v>0</v>
      </c>
    </row>
    <row r="838" spans="2:10" ht="15" customHeight="1">
      <c r="B838" t="s">
        <v>2132</v>
      </c>
      <c r="C838" s="2" t="str">
        <f>IFERROR(VLOOKUP(B838,'General price list'!C:BA,MATCH("PAL",'General price list'!$C$20:$BA$20,0),FALSE),"")</f>
        <v>24</v>
      </c>
      <c r="D838" s="2">
        <f>IFERROR(VLOOKUP(B838,'General price list'!C:BA,MATCH("OBJ",'General price list'!$C$20:$BA$20,0),FALSE),"")</f>
        <v>0</v>
      </c>
      <c r="E838" s="2">
        <f t="shared" si="71"/>
        <v>0</v>
      </c>
      <c r="F838" s="2">
        <f t="shared" si="72"/>
        <v>0</v>
      </c>
      <c r="G838" s="2">
        <f t="shared" si="73"/>
        <v>0</v>
      </c>
      <c r="H838" s="2">
        <f t="shared" si="74"/>
        <v>0</v>
      </c>
      <c r="I838" s="2">
        <f t="shared" si="70"/>
        <v>0</v>
      </c>
      <c r="J838">
        <f>IFERROR(VLOOKUP(B838,'General price list'!C:BA,MATCH("CBM",'General price list'!$C$20:$BA$20,0),FALSE)*(G838*C838),0)</f>
        <v>0</v>
      </c>
    </row>
    <row r="839" spans="2:10" ht="15" customHeight="1">
      <c r="B839" t="s">
        <v>2133</v>
      </c>
      <c r="C839" s="2" t="str">
        <f>IFERROR(VLOOKUP(B839,'General price list'!C:BA,MATCH("PAL",'General price list'!$C$20:$BA$20,0),FALSE),"")</f>
        <v>24</v>
      </c>
      <c r="D839" s="2">
        <f>IFERROR(VLOOKUP(B839,'General price list'!C:BA,MATCH("OBJ",'General price list'!$C$20:$BA$20,0),FALSE),"")</f>
        <v>0</v>
      </c>
      <c r="E839" s="2">
        <f t="shared" si="71"/>
        <v>0</v>
      </c>
      <c r="F839" s="2">
        <f t="shared" si="72"/>
        <v>0</v>
      </c>
      <c r="G839" s="2">
        <f t="shared" si="73"/>
        <v>0</v>
      </c>
      <c r="H839" s="2">
        <f t="shared" si="74"/>
        <v>0</v>
      </c>
      <c r="I839" s="2">
        <f t="shared" si="70"/>
        <v>0</v>
      </c>
      <c r="J839">
        <f>IFERROR(VLOOKUP(B839,'General price list'!C:BA,MATCH("CBM",'General price list'!$C$20:$BA$20,0),FALSE)*(G839*C839),0)</f>
        <v>0</v>
      </c>
    </row>
    <row r="840" spans="2:10" ht="15" customHeight="1">
      <c r="B840" t="s">
        <v>2134</v>
      </c>
      <c r="C840" s="2" t="str">
        <f>IFERROR(VLOOKUP(B840,'General price list'!C:BA,MATCH("PAL",'General price list'!$C$20:$BA$20,0),FALSE),"")</f>
        <v>24</v>
      </c>
      <c r="D840" s="2">
        <f>IFERROR(VLOOKUP(B840,'General price list'!C:BA,MATCH("OBJ",'General price list'!$C$20:$BA$20,0),FALSE),"")</f>
        <v>0</v>
      </c>
      <c r="E840" s="2">
        <f t="shared" si="71"/>
        <v>0</v>
      </c>
      <c r="F840" s="2">
        <f t="shared" si="72"/>
        <v>0</v>
      </c>
      <c r="G840" s="2">
        <f t="shared" si="73"/>
        <v>0</v>
      </c>
      <c r="H840" s="2">
        <f t="shared" si="74"/>
        <v>0</v>
      </c>
      <c r="I840" s="2">
        <f t="shared" si="70"/>
        <v>0</v>
      </c>
      <c r="J840">
        <f>IFERROR(VLOOKUP(B840,'General price list'!C:BA,MATCH("CBM",'General price list'!$C$20:$BA$20,0),FALSE)*(G840*C840),0)</f>
        <v>0</v>
      </c>
    </row>
    <row r="841" spans="2:10" ht="15" customHeight="1">
      <c r="B841" t="s">
        <v>2135</v>
      </c>
      <c r="C841" s="2" t="str">
        <f>IFERROR(VLOOKUP(B841,'General price list'!C:BA,MATCH("PAL",'General price list'!$C$20:$BA$20,0),FALSE),"")</f>
        <v>24</v>
      </c>
      <c r="D841" s="2">
        <f>IFERROR(VLOOKUP(B841,'General price list'!C:BA,MATCH("OBJ",'General price list'!$C$20:$BA$20,0),FALSE),"")</f>
        <v>0</v>
      </c>
      <c r="E841" s="2">
        <f t="shared" si="71"/>
        <v>0</v>
      </c>
      <c r="F841" s="2">
        <f t="shared" si="72"/>
        <v>0</v>
      </c>
      <c r="G841" s="2">
        <f t="shared" si="73"/>
        <v>0</v>
      </c>
      <c r="H841" s="2">
        <f t="shared" si="74"/>
        <v>0</v>
      </c>
      <c r="I841" s="2">
        <f t="shared" si="70"/>
        <v>0</v>
      </c>
      <c r="J841">
        <f>IFERROR(VLOOKUP(B841,'General price list'!C:BA,MATCH("CBM",'General price list'!$C$20:$BA$20,0),FALSE)*(G841*C841),0)</f>
        <v>0</v>
      </c>
    </row>
    <row r="842" spans="2:10" ht="15" customHeight="1">
      <c r="B842" t="s">
        <v>2136</v>
      </c>
      <c r="C842" s="2" t="str">
        <f>IFERROR(VLOOKUP(B842,'General price list'!C:BA,MATCH("PAL",'General price list'!$C$20:$BA$20,0),FALSE),"")</f>
        <v>24</v>
      </c>
      <c r="D842" s="2">
        <f>IFERROR(VLOOKUP(B842,'General price list'!C:BA,MATCH("OBJ",'General price list'!$C$20:$BA$20,0),FALSE),"")</f>
        <v>0</v>
      </c>
      <c r="E842" s="2">
        <f t="shared" si="71"/>
        <v>0</v>
      </c>
      <c r="F842" s="2">
        <f t="shared" si="72"/>
        <v>0</v>
      </c>
      <c r="G842" s="2">
        <f t="shared" si="73"/>
        <v>0</v>
      </c>
      <c r="H842" s="2">
        <f t="shared" si="74"/>
        <v>0</v>
      </c>
      <c r="I842" s="2">
        <f t="shared" si="70"/>
        <v>0</v>
      </c>
      <c r="J842">
        <f>IFERROR(VLOOKUP(B842,'General price list'!C:BA,MATCH("CBM",'General price list'!$C$20:$BA$20,0),FALSE)*(G842*C842),0)</f>
        <v>0</v>
      </c>
    </row>
    <row r="843" spans="2:10" ht="15" customHeight="1">
      <c r="B843" t="s">
        <v>2137</v>
      </c>
      <c r="C843" s="2" t="str">
        <f>IFERROR(VLOOKUP(B843,'General price list'!C:BA,MATCH("PAL",'General price list'!$C$20:$BA$20,0),FALSE),"")</f>
        <v>24</v>
      </c>
      <c r="D843" s="2">
        <f>IFERROR(VLOOKUP(B843,'General price list'!C:BA,MATCH("OBJ",'General price list'!$C$20:$BA$20,0),FALSE),"")</f>
        <v>0</v>
      </c>
      <c r="E843" s="2">
        <f t="shared" si="71"/>
        <v>0</v>
      </c>
      <c r="F843" s="2">
        <f t="shared" si="72"/>
        <v>0</v>
      </c>
      <c r="G843" s="2">
        <f t="shared" si="73"/>
        <v>0</v>
      </c>
      <c r="H843" s="2">
        <f t="shared" si="74"/>
        <v>0</v>
      </c>
      <c r="I843" s="2">
        <f t="shared" si="70"/>
        <v>0</v>
      </c>
      <c r="J843">
        <f>IFERROR(VLOOKUP(B843,'General price list'!C:BA,MATCH("CBM",'General price list'!$C$20:$BA$20,0),FALSE)*(G843*C843),0)</f>
        <v>0</v>
      </c>
    </row>
    <row r="844" spans="2:10" ht="15" customHeight="1">
      <c r="B844" t="s">
        <v>2139</v>
      </c>
      <c r="C844" s="2" t="str">
        <f>IFERROR(VLOOKUP(B844,'General price list'!C:BA,MATCH("PAL",'General price list'!$C$20:$BA$20,0),FALSE),"")</f>
        <v>24</v>
      </c>
      <c r="D844" s="2">
        <f>IFERROR(VLOOKUP(B844,'General price list'!C:BA,MATCH("OBJ",'General price list'!$C$20:$BA$20,0),FALSE),"")</f>
        <v>0</v>
      </c>
      <c r="E844" s="2">
        <f t="shared" si="71"/>
        <v>0</v>
      </c>
      <c r="F844" s="2">
        <f t="shared" si="72"/>
        <v>0</v>
      </c>
      <c r="G844" s="2">
        <f t="shared" si="73"/>
        <v>0</v>
      </c>
      <c r="H844" s="2">
        <f t="shared" si="74"/>
        <v>0</v>
      </c>
      <c r="I844" s="2">
        <f t="shared" si="70"/>
        <v>0</v>
      </c>
      <c r="J844">
        <f>IFERROR(VLOOKUP(B844,'General price list'!C:BA,MATCH("CBM",'General price list'!$C$20:$BA$20,0),FALSE)*(G844*C844),0)</f>
        <v>0</v>
      </c>
    </row>
    <row r="845" spans="2:10" ht="15" customHeight="1">
      <c r="B845" t="s">
        <v>2142</v>
      </c>
      <c r="C845" s="2" t="str">
        <f>IFERROR(VLOOKUP(B845,'General price list'!C:BA,MATCH("PAL",'General price list'!$C$20:$BA$20,0),FALSE),"")</f>
        <v>24</v>
      </c>
      <c r="D845" s="2">
        <f>IFERROR(VLOOKUP(B845,'General price list'!C:BA,MATCH("OBJ",'General price list'!$C$20:$BA$20,0),FALSE),"")</f>
        <v>0</v>
      </c>
      <c r="E845" s="2">
        <f t="shared" si="71"/>
        <v>0</v>
      </c>
      <c r="F845" s="2">
        <f t="shared" si="72"/>
        <v>0</v>
      </c>
      <c r="G845" s="2">
        <f t="shared" si="73"/>
        <v>0</v>
      </c>
      <c r="H845" s="2">
        <f t="shared" si="74"/>
        <v>0</v>
      </c>
      <c r="I845" s="2">
        <f t="shared" si="70"/>
        <v>0</v>
      </c>
      <c r="J845">
        <f>IFERROR(VLOOKUP(B845,'General price list'!C:BA,MATCH("CBM",'General price list'!$C$20:$BA$20,0),FALSE)*(G845*C845),0)</f>
        <v>0</v>
      </c>
    </row>
    <row r="846" spans="2:10" ht="15" customHeight="1">
      <c r="B846" t="s">
        <v>2150</v>
      </c>
      <c r="C846" s="2" t="str">
        <f>IFERROR(VLOOKUP(B846,'General price list'!C:BA,MATCH("PAL",'General price list'!$C$20:$BA$20,0),FALSE),"")</f>
        <v>24</v>
      </c>
      <c r="D846" s="2">
        <f>IFERROR(VLOOKUP(B846,'General price list'!C:BA,MATCH("OBJ",'General price list'!$C$20:$BA$20,0),FALSE),"")</f>
        <v>0</v>
      </c>
      <c r="E846" s="2">
        <f t="shared" si="71"/>
        <v>0</v>
      </c>
      <c r="F846" s="2">
        <f t="shared" si="72"/>
        <v>0</v>
      </c>
      <c r="G846" s="2">
        <f t="shared" si="73"/>
        <v>0</v>
      </c>
      <c r="H846" s="2">
        <f t="shared" si="74"/>
        <v>0</v>
      </c>
      <c r="I846" s="2">
        <f t="shared" si="70"/>
        <v>0</v>
      </c>
      <c r="J846">
        <f>IFERROR(VLOOKUP(B846,'General price list'!C:BA,MATCH("CBM",'General price list'!$C$20:$BA$20,0),FALSE)*(G846*C846),0)</f>
        <v>0</v>
      </c>
    </row>
    <row r="847" spans="2:10" ht="15" customHeight="1">
      <c r="B847" t="s">
        <v>2151</v>
      </c>
      <c r="C847" s="2" t="str">
        <f>IFERROR(VLOOKUP(B847,'General price list'!C:BA,MATCH("PAL",'General price list'!$C$20:$BA$20,0),FALSE),"")</f>
        <v>24</v>
      </c>
      <c r="D847" s="2">
        <f>IFERROR(VLOOKUP(B847,'General price list'!C:BA,MATCH("OBJ",'General price list'!$C$20:$BA$20,0),FALSE),"")</f>
        <v>0</v>
      </c>
      <c r="E847" s="2">
        <f t="shared" si="71"/>
        <v>0</v>
      </c>
      <c r="F847" s="2">
        <f t="shared" si="72"/>
        <v>0</v>
      </c>
      <c r="G847" s="2">
        <f t="shared" si="73"/>
        <v>0</v>
      </c>
      <c r="H847" s="2">
        <f t="shared" si="74"/>
        <v>0</v>
      </c>
      <c r="I847" s="2">
        <f t="shared" si="70"/>
        <v>0</v>
      </c>
      <c r="J847">
        <f>IFERROR(VLOOKUP(B847,'General price list'!C:BA,MATCH("CBM",'General price list'!$C$20:$BA$20,0),FALSE)*(G847*C847),0)</f>
        <v>0</v>
      </c>
    </row>
    <row r="848" spans="2:10" ht="15" customHeight="1">
      <c r="B848" t="s">
        <v>2153</v>
      </c>
      <c r="C848" s="2" t="str">
        <f>IFERROR(VLOOKUP(B848,'General price list'!C:BA,MATCH("PAL",'General price list'!$C$20:$BA$20,0),FALSE),"")</f>
        <v>24</v>
      </c>
      <c r="D848" s="2">
        <f>IFERROR(VLOOKUP(B848,'General price list'!C:BA,MATCH("OBJ",'General price list'!$C$20:$BA$20,0),FALSE),"")</f>
        <v>0</v>
      </c>
      <c r="E848" s="2">
        <f t="shared" si="71"/>
        <v>0</v>
      </c>
      <c r="F848" s="2">
        <f t="shared" si="72"/>
        <v>0</v>
      </c>
      <c r="G848" s="2">
        <f t="shared" si="73"/>
        <v>0</v>
      </c>
      <c r="H848" s="2">
        <f t="shared" si="74"/>
        <v>0</v>
      </c>
      <c r="I848" s="2">
        <f t="shared" si="70"/>
        <v>0</v>
      </c>
      <c r="J848">
        <f>IFERROR(VLOOKUP(B848,'General price list'!C:BA,MATCH("CBM",'General price list'!$C$20:$BA$20,0),FALSE)*(G848*C848),0)</f>
        <v>0</v>
      </c>
    </row>
    <row r="849" spans="2:10" ht="15" customHeight="1">
      <c r="B849" t="s">
        <v>2630</v>
      </c>
      <c r="C849" s="2" t="str">
        <f>IFERROR(VLOOKUP(B849,'General price list'!C:BA,MATCH("PAL",'General price list'!$C$20:$BA$20,0),FALSE),"")</f>
        <v>24</v>
      </c>
      <c r="D849" s="2">
        <f>IFERROR(VLOOKUP(B849,'General price list'!C:BA,MATCH("OBJ",'General price list'!$C$20:$BA$20,0),FALSE),"")</f>
        <v>0</v>
      </c>
      <c r="E849" s="2">
        <f t="shared" si="71"/>
        <v>0</v>
      </c>
      <c r="F849" s="2">
        <f t="shared" si="72"/>
        <v>0</v>
      </c>
      <c r="G849" s="2">
        <f t="shared" si="73"/>
        <v>0</v>
      </c>
      <c r="H849" s="2">
        <f t="shared" si="74"/>
        <v>0</v>
      </c>
      <c r="I849" s="2">
        <f t="shared" si="70"/>
        <v>0</v>
      </c>
      <c r="J849">
        <f>IFERROR(VLOOKUP(B849,'General price list'!C:BA,MATCH("CBM",'General price list'!$C$20:$BA$20,0),FALSE)*(G849*C849),0)</f>
        <v>0</v>
      </c>
    </row>
    <row r="850" spans="2:10" ht="15" customHeight="1">
      <c r="B850" t="s">
        <v>2632</v>
      </c>
      <c r="C850" s="2" t="str">
        <f>IFERROR(VLOOKUP(B850,'General price list'!C:BA,MATCH("PAL",'General price list'!$C$20:$BA$20,0),FALSE),"")</f>
        <v>24</v>
      </c>
      <c r="D850" s="2">
        <f>IFERROR(VLOOKUP(B850,'General price list'!C:BA,MATCH("OBJ",'General price list'!$C$20:$BA$20,0),FALSE),"")</f>
        <v>0</v>
      </c>
      <c r="E850" s="2">
        <f t="shared" si="71"/>
        <v>0</v>
      </c>
      <c r="F850" s="2">
        <f t="shared" si="72"/>
        <v>0</v>
      </c>
      <c r="G850" s="2">
        <f t="shared" si="73"/>
        <v>0</v>
      </c>
      <c r="H850" s="2">
        <f t="shared" si="74"/>
        <v>0</v>
      </c>
      <c r="I850" s="2">
        <f t="shared" si="70"/>
        <v>0</v>
      </c>
      <c r="J850">
        <f>IFERROR(VLOOKUP(B850,'General price list'!C:BA,MATCH("CBM",'General price list'!$C$20:$BA$20,0),FALSE)*(G850*C850),0)</f>
        <v>0</v>
      </c>
    </row>
    <row r="851" spans="2:10" ht="15" customHeight="1">
      <c r="B851" t="s">
        <v>2154</v>
      </c>
      <c r="C851" s="2" t="str">
        <f>IFERROR(VLOOKUP(B851,'General price list'!C:BA,MATCH("PAL",'General price list'!$C$20:$BA$20,0),FALSE),"")</f>
        <v>24</v>
      </c>
      <c r="D851" s="2">
        <f>IFERROR(VLOOKUP(B851,'General price list'!C:BA,MATCH("OBJ",'General price list'!$C$20:$BA$20,0),FALSE),"")</f>
        <v>0</v>
      </c>
      <c r="E851" s="2">
        <f t="shared" si="71"/>
        <v>0</v>
      </c>
      <c r="F851" s="2">
        <f t="shared" si="72"/>
        <v>0</v>
      </c>
      <c r="G851" s="2">
        <f t="shared" si="73"/>
        <v>0</v>
      </c>
      <c r="H851" s="2">
        <f t="shared" si="74"/>
        <v>0</v>
      </c>
      <c r="I851" s="2">
        <f t="shared" si="70"/>
        <v>0</v>
      </c>
      <c r="J851">
        <f>IFERROR(VLOOKUP(B851,'General price list'!C:BA,MATCH("CBM",'General price list'!$C$20:$BA$20,0),FALSE)*(G851*C851),0)</f>
        <v>0</v>
      </c>
    </row>
    <row r="852" spans="2:10" ht="15" customHeight="1">
      <c r="B852" t="s">
        <v>2168</v>
      </c>
      <c r="C852" s="2">
        <f>IFERROR(VLOOKUP(B852,'General price list'!C:BA,MATCH("PAL",'General price list'!$C$20:$BA$20,0),FALSE),"")</f>
        <v>24</v>
      </c>
      <c r="D852" s="2">
        <f>IFERROR(VLOOKUP(B852,'General price list'!C:BA,MATCH("OBJ",'General price list'!$C$20:$BA$20,0),FALSE),"")</f>
        <v>0</v>
      </c>
      <c r="E852" s="2">
        <f t="shared" si="71"/>
        <v>0</v>
      </c>
      <c r="F852" s="2">
        <f t="shared" si="72"/>
        <v>0</v>
      </c>
      <c r="G852" s="2">
        <f t="shared" si="73"/>
        <v>0</v>
      </c>
      <c r="H852" s="2">
        <f t="shared" si="74"/>
        <v>0</v>
      </c>
      <c r="I852" s="2">
        <f t="shared" si="70"/>
        <v>0</v>
      </c>
      <c r="J852">
        <f>IFERROR(VLOOKUP(B852,'General price list'!C:BA,MATCH("CBM",'General price list'!$C$20:$BA$20,0),FALSE)*(G852*C852),0)</f>
        <v>0</v>
      </c>
    </row>
    <row r="853" spans="2:10" ht="15" customHeight="1">
      <c r="B853" t="s">
        <v>2171</v>
      </c>
      <c r="C853" s="2">
        <f>IFERROR(VLOOKUP(B853,'General price list'!C:BA,MATCH("PAL",'General price list'!$C$20:$BA$20,0),FALSE),"")</f>
        <v>24</v>
      </c>
      <c r="D853" s="2">
        <f>IFERROR(VLOOKUP(B853,'General price list'!C:BA,MATCH("OBJ",'General price list'!$C$20:$BA$20,0),FALSE),"")</f>
        <v>0</v>
      </c>
      <c r="E853" s="2">
        <f t="shared" si="71"/>
        <v>0</v>
      </c>
      <c r="F853" s="2">
        <f t="shared" si="72"/>
        <v>0</v>
      </c>
      <c r="G853" s="2">
        <f t="shared" si="73"/>
        <v>0</v>
      </c>
      <c r="H853" s="2">
        <f t="shared" si="74"/>
        <v>0</v>
      </c>
      <c r="I853" s="2">
        <f t="shared" si="70"/>
        <v>0</v>
      </c>
      <c r="J853">
        <f>IFERROR(VLOOKUP(B853,'General price list'!C:BA,MATCH("CBM",'General price list'!$C$20:$BA$20,0),FALSE)*(G853*C853),0)</f>
        <v>0</v>
      </c>
    </row>
    <row r="854" spans="2:10" ht="15" customHeight="1">
      <c r="B854" t="s">
        <v>2174</v>
      </c>
      <c r="C854" s="2">
        <f>IFERROR(VLOOKUP(B854,'General price list'!C:BA,MATCH("PAL",'General price list'!$C$20:$BA$20,0),FALSE),"")</f>
        <v>24</v>
      </c>
      <c r="D854" s="2">
        <f>IFERROR(VLOOKUP(B854,'General price list'!C:BA,MATCH("OBJ",'General price list'!$C$20:$BA$20,0),FALSE),"")</f>
        <v>0</v>
      </c>
      <c r="E854" s="2">
        <f t="shared" si="71"/>
        <v>0</v>
      </c>
      <c r="F854" s="2">
        <f t="shared" si="72"/>
        <v>0</v>
      </c>
      <c r="G854" s="2">
        <f t="shared" si="73"/>
        <v>0</v>
      </c>
      <c r="H854" s="2">
        <f t="shared" si="74"/>
        <v>0</v>
      </c>
      <c r="I854" s="2">
        <f t="shared" si="70"/>
        <v>0</v>
      </c>
      <c r="J854">
        <f>IFERROR(VLOOKUP(B854,'General price list'!C:BA,MATCH("CBM",'General price list'!$C$20:$BA$20,0),FALSE)*(G854*C854),0)</f>
        <v>0</v>
      </c>
    </row>
    <row r="855" spans="2:10" ht="15" customHeight="1">
      <c r="B855" t="s">
        <v>2177</v>
      </c>
      <c r="C855" s="2">
        <f>IFERROR(VLOOKUP(B855,'General price list'!C:BA,MATCH("PAL",'General price list'!$C$20:$BA$20,0),FALSE),"")</f>
        <v>24</v>
      </c>
      <c r="D855" s="2">
        <f>IFERROR(VLOOKUP(B855,'General price list'!C:BA,MATCH("OBJ",'General price list'!$C$20:$BA$20,0),FALSE),"")</f>
        <v>0</v>
      </c>
      <c r="E855" s="2">
        <f t="shared" si="71"/>
        <v>0</v>
      </c>
      <c r="F855" s="2">
        <f t="shared" si="72"/>
        <v>0</v>
      </c>
      <c r="G855" s="2">
        <f t="shared" si="73"/>
        <v>0</v>
      </c>
      <c r="H855" s="2">
        <f t="shared" si="74"/>
        <v>0</v>
      </c>
      <c r="I855" s="2">
        <f t="shared" si="70"/>
        <v>0</v>
      </c>
      <c r="J855">
        <f>IFERROR(VLOOKUP(B855,'General price list'!C:BA,MATCH("CBM",'General price list'!$C$20:$BA$20,0),FALSE)*(G855*C855),0)</f>
        <v>0</v>
      </c>
    </row>
    <row r="856" spans="2:10" ht="15" customHeight="1">
      <c r="B856" t="s">
        <v>2637</v>
      </c>
      <c r="C856" s="2" t="str">
        <f>IFERROR(VLOOKUP(B856,'General price list'!C:BA,MATCH("PAL",'General price list'!$C$20:$BA$20,0),FALSE),"")</f>
        <v>24</v>
      </c>
      <c r="D856" s="2">
        <f>IFERROR(VLOOKUP(B856,'General price list'!C:BA,MATCH("OBJ",'General price list'!$C$20:$BA$20,0),FALSE),"")</f>
        <v>0</v>
      </c>
      <c r="E856" s="2">
        <f t="shared" si="71"/>
        <v>0</v>
      </c>
      <c r="F856" s="2">
        <f t="shared" si="72"/>
        <v>0</v>
      </c>
      <c r="G856" s="2">
        <f t="shared" si="73"/>
        <v>0</v>
      </c>
      <c r="H856" s="2">
        <f t="shared" si="74"/>
        <v>0</v>
      </c>
      <c r="I856" s="2">
        <f t="shared" si="70"/>
        <v>0</v>
      </c>
      <c r="J856">
        <f>IFERROR(VLOOKUP(B856,'General price list'!C:BA,MATCH("CBM",'General price list'!$C$20:$BA$20,0),FALSE)*(G856*C856),0)</f>
        <v>0</v>
      </c>
    </row>
    <row r="857" spans="2:10" ht="15" customHeight="1">
      <c r="B857" t="s">
        <v>2639</v>
      </c>
      <c r="C857" s="2" t="str">
        <f>IFERROR(VLOOKUP(B857,'General price list'!C:BA,MATCH("PAL",'General price list'!$C$20:$BA$20,0),FALSE),"")</f>
        <v>24</v>
      </c>
      <c r="D857" s="2">
        <f>IFERROR(VLOOKUP(B857,'General price list'!C:BA,MATCH("OBJ",'General price list'!$C$20:$BA$20,0),FALSE),"")</f>
        <v>0</v>
      </c>
      <c r="E857" s="2">
        <f t="shared" si="71"/>
        <v>0</v>
      </c>
      <c r="F857" s="2">
        <f t="shared" si="72"/>
        <v>0</v>
      </c>
      <c r="G857" s="2">
        <f t="shared" si="73"/>
        <v>0</v>
      </c>
      <c r="H857" s="2">
        <f t="shared" si="74"/>
        <v>0</v>
      </c>
      <c r="I857" s="2">
        <f t="shared" si="70"/>
        <v>0</v>
      </c>
      <c r="J857">
        <f>IFERROR(VLOOKUP(B857,'General price list'!C:BA,MATCH("CBM",'General price list'!$C$20:$BA$20,0),FALSE)*(G857*C857),0)</f>
        <v>0</v>
      </c>
    </row>
    <row r="858" spans="2:10" ht="15" customHeight="1">
      <c r="B858" t="s">
        <v>2208</v>
      </c>
      <c r="C858" s="2" t="str">
        <f>IFERROR(VLOOKUP(B858,'General price list'!C:BA,MATCH("PAL",'General price list'!$C$20:$BA$20,0),FALSE),"")</f>
        <v>24</v>
      </c>
      <c r="D858" s="2">
        <f>IFERROR(VLOOKUP(B858,'General price list'!C:BA,MATCH("OBJ",'General price list'!$C$20:$BA$20,0),FALSE),"")</f>
        <v>0</v>
      </c>
      <c r="E858" s="2">
        <f t="shared" si="71"/>
        <v>0</v>
      </c>
      <c r="F858" s="2">
        <f t="shared" si="72"/>
        <v>0</v>
      </c>
      <c r="G858" s="2">
        <f t="shared" si="73"/>
        <v>0</v>
      </c>
      <c r="H858" s="2">
        <f t="shared" si="74"/>
        <v>0</v>
      </c>
      <c r="I858" s="2">
        <f t="shared" si="70"/>
        <v>0</v>
      </c>
      <c r="J858">
        <f>IFERROR(VLOOKUP(B858,'General price list'!C:BA,MATCH("CBM",'General price list'!$C$20:$BA$20,0),FALSE)*(G858*C858),0)</f>
        <v>0</v>
      </c>
    </row>
    <row r="859" spans="2:10" ht="15" customHeight="1">
      <c r="B859" t="s">
        <v>2209</v>
      </c>
      <c r="C859" s="2" t="str">
        <f>IFERROR(VLOOKUP(B859,'General price list'!C:BA,MATCH("PAL",'General price list'!$C$20:$BA$20,0),FALSE),"")</f>
        <v>24</v>
      </c>
      <c r="D859" s="2">
        <f>IFERROR(VLOOKUP(B859,'General price list'!C:BA,MATCH("OBJ",'General price list'!$C$20:$BA$20,0),FALSE),"")</f>
        <v>0</v>
      </c>
      <c r="E859" s="2">
        <f t="shared" si="71"/>
        <v>0</v>
      </c>
      <c r="F859" s="2">
        <f t="shared" si="72"/>
        <v>0</v>
      </c>
      <c r="G859" s="2">
        <f t="shared" si="73"/>
        <v>0</v>
      </c>
      <c r="H859" s="2">
        <f t="shared" si="74"/>
        <v>0</v>
      </c>
      <c r="I859" s="2">
        <f t="shared" si="70"/>
        <v>0</v>
      </c>
      <c r="J859">
        <f>IFERROR(VLOOKUP(B859,'General price list'!C:BA,MATCH("CBM",'General price list'!$C$20:$BA$20,0),FALSE)*(G859*C859),0)</f>
        <v>0</v>
      </c>
    </row>
    <row r="860" spans="2:10" ht="15" customHeight="1">
      <c r="B860" t="s">
        <v>2645</v>
      </c>
      <c r="C860" s="2" t="str">
        <f>IFERROR(VLOOKUP(B860,'General price list'!C:BA,MATCH("PAL",'General price list'!$C$20:$BA$20,0),FALSE),"")</f>
        <v>24</v>
      </c>
      <c r="D860" s="2">
        <f>IFERROR(VLOOKUP(B860,'General price list'!C:BA,MATCH("OBJ",'General price list'!$C$20:$BA$20,0),FALSE),"")</f>
        <v>0</v>
      </c>
      <c r="E860" s="2">
        <f t="shared" si="71"/>
        <v>0</v>
      </c>
      <c r="F860" s="2">
        <f t="shared" si="72"/>
        <v>0</v>
      </c>
      <c r="G860" s="2">
        <f t="shared" si="73"/>
        <v>0</v>
      </c>
      <c r="H860" s="2">
        <f t="shared" si="74"/>
        <v>0</v>
      </c>
      <c r="I860" s="2">
        <f t="shared" si="70"/>
        <v>0</v>
      </c>
      <c r="J860">
        <f>IFERROR(VLOOKUP(B860,'General price list'!C:BA,MATCH("CBM",'General price list'!$C$20:$BA$20,0),FALSE)*(G860*C860),0)</f>
        <v>0</v>
      </c>
    </row>
    <row r="861" spans="2:10" ht="15" customHeight="1">
      <c r="B861" t="s">
        <v>2210</v>
      </c>
      <c r="C861" s="2" t="str">
        <f>IFERROR(VLOOKUP(B861,'General price list'!C:BA,MATCH("PAL",'General price list'!$C$20:$BA$20,0),FALSE),"")</f>
        <v/>
      </c>
      <c r="D861" s="2">
        <f>IFERROR(VLOOKUP(B861,'General price list'!C:BA,MATCH("OBJ",'General price list'!$C$20:$BA$20,0),FALSE),"")</f>
        <v>0</v>
      </c>
      <c r="E861" s="2">
        <f t="shared" si="71"/>
        <v>0</v>
      </c>
      <c r="F861" s="2">
        <f t="shared" si="72"/>
        <v>0</v>
      </c>
      <c r="G861" s="2">
        <f t="shared" si="73"/>
        <v>0</v>
      </c>
      <c r="H861" s="2">
        <f t="shared" si="74"/>
        <v>0</v>
      </c>
      <c r="I861" s="2">
        <f t="shared" si="70"/>
        <v>0</v>
      </c>
      <c r="J861">
        <f>IFERROR(VLOOKUP(B861,'General price list'!C:BA,MATCH("CBM",'General price list'!$C$20:$BA$20,0),FALSE)*(G861*C861),0)</f>
        <v>0</v>
      </c>
    </row>
    <row r="862" spans="2:10" ht="15" customHeight="1">
      <c r="B862" t="s">
        <v>2219</v>
      </c>
      <c r="C862" s="2" t="str">
        <f>IFERROR(VLOOKUP(B862,'General price list'!C:BA,MATCH("PAL",'General price list'!$C$20:$BA$20,0),FALSE),"")</f>
        <v/>
      </c>
      <c r="D862" s="2">
        <f>IFERROR(VLOOKUP(B862,'General price list'!C:BA,MATCH("OBJ",'General price list'!$C$20:$BA$20,0),FALSE),"")</f>
        <v>0</v>
      </c>
      <c r="E862" s="2">
        <f t="shared" si="71"/>
        <v>0</v>
      </c>
      <c r="F862" s="2">
        <f t="shared" si="72"/>
        <v>0</v>
      </c>
      <c r="G862" s="2">
        <f t="shared" si="73"/>
        <v>0</v>
      </c>
      <c r="H862" s="2">
        <f t="shared" si="74"/>
        <v>0</v>
      </c>
      <c r="I862" s="2">
        <f t="shared" si="70"/>
        <v>0</v>
      </c>
      <c r="J862">
        <f>IFERROR(VLOOKUP(B862,'General price list'!C:BA,MATCH("CBM",'General price list'!$C$20:$BA$20,0),FALSE)*(G862*C862),0)</f>
        <v>0</v>
      </c>
    </row>
    <row r="863" spans="2:10" ht="15" customHeight="1">
      <c r="B863" t="s">
        <v>2224</v>
      </c>
      <c r="C863" s="2" t="str">
        <f>IFERROR(VLOOKUP(B863,'General price list'!C:BA,MATCH("PAL",'General price list'!$C$20:$BA$20,0),FALSE),"")</f>
        <v/>
      </c>
      <c r="D863" s="2">
        <f>IFERROR(VLOOKUP(B863,'General price list'!C:BA,MATCH("OBJ",'General price list'!$C$20:$BA$20,0),FALSE),"")</f>
        <v>0</v>
      </c>
      <c r="E863" s="2">
        <f t="shared" si="71"/>
        <v>0</v>
      </c>
      <c r="F863" s="2">
        <f t="shared" si="72"/>
        <v>0</v>
      </c>
      <c r="G863" s="2">
        <f t="shared" si="73"/>
        <v>0</v>
      </c>
      <c r="H863" s="2">
        <f t="shared" si="74"/>
        <v>0</v>
      </c>
      <c r="I863" s="2">
        <f t="shared" si="70"/>
        <v>0</v>
      </c>
      <c r="J863">
        <f>IFERROR(VLOOKUP(B863,'General price list'!C:BA,MATCH("CBM",'General price list'!$C$20:$BA$20,0),FALSE)*(G863*C863),0)</f>
        <v>0</v>
      </c>
    </row>
    <row r="864" spans="2:10" ht="15" customHeight="1">
      <c r="B864" t="s">
        <v>2228</v>
      </c>
      <c r="C864" s="2" t="str">
        <f>IFERROR(VLOOKUP(B864,'General price list'!C:BA,MATCH("PAL",'General price list'!$C$20:$BA$20,0),FALSE),"")</f>
        <v/>
      </c>
      <c r="D864" s="2">
        <f>IFERROR(VLOOKUP(B864,'General price list'!C:BA,MATCH("OBJ",'General price list'!$C$20:$BA$20,0),FALSE),"")</f>
        <v>0</v>
      </c>
      <c r="E864" s="2">
        <f t="shared" si="71"/>
        <v>0</v>
      </c>
      <c r="F864" s="2">
        <f t="shared" si="72"/>
        <v>0</v>
      </c>
      <c r="G864" s="2">
        <f t="shared" si="73"/>
        <v>0</v>
      </c>
      <c r="H864" s="2">
        <f t="shared" si="74"/>
        <v>0</v>
      </c>
      <c r="I864" s="2">
        <f t="shared" si="70"/>
        <v>0</v>
      </c>
      <c r="J864">
        <f>IFERROR(VLOOKUP(B864,'General price list'!C:BA,MATCH("CBM",'General price list'!$C$20:$BA$20,0),FALSE)*(G864*C864),0)</f>
        <v>0</v>
      </c>
    </row>
    <row r="865" spans="2:10" ht="15" customHeight="1">
      <c r="B865" t="s">
        <v>2233</v>
      </c>
      <c r="C865" s="2" t="str">
        <f>IFERROR(VLOOKUP(B865,'General price list'!C:BA,MATCH("PAL",'General price list'!$C$20:$BA$20,0),FALSE),"")</f>
        <v/>
      </c>
      <c r="D865" s="2">
        <f>IFERROR(VLOOKUP(B865,'General price list'!C:BA,MATCH("OBJ",'General price list'!$C$20:$BA$20,0),FALSE),"")</f>
        <v>0</v>
      </c>
      <c r="E865" s="2">
        <f t="shared" si="71"/>
        <v>0</v>
      </c>
      <c r="F865" s="2">
        <f t="shared" si="72"/>
        <v>0</v>
      </c>
      <c r="G865" s="2">
        <f t="shared" si="73"/>
        <v>0</v>
      </c>
      <c r="H865" s="2">
        <f t="shared" si="74"/>
        <v>0</v>
      </c>
      <c r="I865" s="2">
        <f t="shared" si="70"/>
        <v>0</v>
      </c>
      <c r="J865">
        <f>IFERROR(VLOOKUP(B865,'General price list'!C:BA,MATCH("CBM",'General price list'!$C$20:$BA$20,0),FALSE)*(G865*C865),0)</f>
        <v>0</v>
      </c>
    </row>
    <row r="866" spans="2:10" ht="15" customHeight="1">
      <c r="B866" t="s">
        <v>2246</v>
      </c>
      <c r="C866" s="2">
        <f>IFERROR(VLOOKUP(B866,'General price list'!C:BA,MATCH("PAL",'General price list'!$C$20:$BA$20,0),FALSE),"")</f>
        <v>70</v>
      </c>
      <c r="D866" s="2">
        <f>IFERROR(VLOOKUP(B866,'General price list'!C:BA,MATCH("OBJ",'General price list'!$C$20:$BA$20,0),FALSE),"")</f>
        <v>0</v>
      </c>
      <c r="E866" s="2">
        <f t="shared" si="71"/>
        <v>0</v>
      </c>
      <c r="F866" s="2">
        <f t="shared" si="72"/>
        <v>0</v>
      </c>
      <c r="G866" s="2">
        <f t="shared" si="73"/>
        <v>0</v>
      </c>
      <c r="H866" s="2">
        <f t="shared" si="74"/>
        <v>0</v>
      </c>
      <c r="I866" s="2">
        <f t="shared" si="70"/>
        <v>0</v>
      </c>
      <c r="J866">
        <f>IFERROR(VLOOKUP(B866,'General price list'!C:BA,MATCH("CBM",'General price list'!$C$20:$BA$20,0),FALSE)*(G866*C866),0)</f>
        <v>0</v>
      </c>
    </row>
    <row r="867" spans="2:10" ht="15" customHeight="1">
      <c r="B867" t="s">
        <v>2251</v>
      </c>
      <c r="C867" s="2">
        <f>IFERROR(VLOOKUP(B867,'General price list'!C:BA,MATCH("PAL",'General price list'!$C$20:$BA$20,0),FALSE),"")</f>
        <v>48</v>
      </c>
      <c r="D867" s="2">
        <f>IFERROR(VLOOKUP(B867,'General price list'!C:BA,MATCH("OBJ",'General price list'!$C$20:$BA$20,0),FALSE),"")</f>
        <v>0</v>
      </c>
      <c r="E867" s="2">
        <f t="shared" si="71"/>
        <v>0</v>
      </c>
      <c r="F867" s="2">
        <f t="shared" si="72"/>
        <v>0</v>
      </c>
      <c r="G867" s="2">
        <f t="shared" si="73"/>
        <v>0</v>
      </c>
      <c r="H867" s="2">
        <f t="shared" si="74"/>
        <v>0</v>
      </c>
      <c r="I867" s="2">
        <f t="shared" si="70"/>
        <v>0</v>
      </c>
      <c r="J867">
        <f>IFERROR(VLOOKUP(B867,'General price list'!C:BA,MATCH("CBM",'General price list'!$C$20:$BA$20,0),FALSE)*(G867*C867),0)</f>
        <v>0</v>
      </c>
    </row>
    <row r="868" spans="2:10" ht="15" customHeight="1">
      <c r="B868" t="s">
        <v>2260</v>
      </c>
      <c r="C868" s="2">
        <f>IFERROR(VLOOKUP(B868,'General price list'!C:BA,MATCH("PAL",'General price list'!$C$20:$BA$20,0),FALSE),"")</f>
        <v>32</v>
      </c>
      <c r="D868" s="2">
        <f>IFERROR(VLOOKUP(B868,'General price list'!C:BA,MATCH("OBJ",'General price list'!$C$20:$BA$20,0),FALSE),"")</f>
        <v>0</v>
      </c>
      <c r="E868" s="2">
        <f t="shared" si="71"/>
        <v>0</v>
      </c>
      <c r="F868" s="2">
        <f t="shared" si="72"/>
        <v>0</v>
      </c>
      <c r="G868" s="2">
        <f t="shared" si="73"/>
        <v>0</v>
      </c>
      <c r="H868" s="2">
        <f t="shared" si="74"/>
        <v>0</v>
      </c>
      <c r="I868" s="2">
        <f t="shared" si="70"/>
        <v>0</v>
      </c>
      <c r="J868">
        <f>IFERROR(VLOOKUP(B868,'General price list'!C:BA,MATCH("CBM",'General price list'!$C$20:$BA$20,0),FALSE)*(G868*C868),0)</f>
        <v>0</v>
      </c>
    </row>
    <row r="869" spans="2:10" ht="15" customHeight="1">
      <c r="B869" t="s">
        <v>2877</v>
      </c>
      <c r="C869" s="2" t="str">
        <f>IFERROR(VLOOKUP(B869,'General price list'!C:BA,MATCH("PAL",'General price list'!$C$20:$BA$20,0),FALSE),"")</f>
        <v>42</v>
      </c>
      <c r="D869" s="2">
        <f>IFERROR(VLOOKUP(B869,'General price list'!C:BA,MATCH("OBJ",'General price list'!$C$20:$BA$20,0),FALSE),"")</f>
        <v>0</v>
      </c>
      <c r="E869" s="2">
        <f t="shared" si="71"/>
        <v>0</v>
      </c>
      <c r="F869" s="2">
        <f t="shared" si="72"/>
        <v>0</v>
      </c>
      <c r="G869" s="2">
        <f t="shared" si="73"/>
        <v>0</v>
      </c>
      <c r="H869" s="2">
        <f t="shared" si="74"/>
        <v>0</v>
      </c>
      <c r="I869" s="2">
        <f t="shared" si="70"/>
        <v>0</v>
      </c>
      <c r="J869">
        <f>IFERROR(VLOOKUP(B869,'General price list'!C:BA,MATCH("CBM",'General price list'!$C$20:$BA$20,0),FALSE)*(G869*C869),0)</f>
        <v>0</v>
      </c>
    </row>
    <row r="870" spans="2:10" ht="15" customHeight="1">
      <c r="B870" t="s">
        <v>2270</v>
      </c>
      <c r="C870" s="2">
        <f>IFERROR(VLOOKUP(B870,'General price list'!C:BA,MATCH("PAL",'General price list'!$C$20:$BA$20,0),FALSE),"")</f>
        <v>30</v>
      </c>
      <c r="D870" s="2">
        <f>IFERROR(VLOOKUP(B870,'General price list'!C:BA,MATCH("OBJ",'General price list'!$C$20:$BA$20,0),FALSE),"")</f>
        <v>0</v>
      </c>
      <c r="E870" s="2">
        <f t="shared" si="71"/>
        <v>0</v>
      </c>
      <c r="F870" s="2">
        <f t="shared" si="72"/>
        <v>0</v>
      </c>
      <c r="G870" s="2">
        <f t="shared" si="73"/>
        <v>0</v>
      </c>
      <c r="H870" s="2">
        <f t="shared" si="74"/>
        <v>0</v>
      </c>
      <c r="I870" s="2">
        <f t="shared" si="70"/>
        <v>0</v>
      </c>
      <c r="J870">
        <f>IFERROR(VLOOKUP(B870,'General price list'!C:BA,MATCH("CBM",'General price list'!$C$20:$BA$20,0),FALSE)*(G870*C870),0)</f>
        <v>0</v>
      </c>
    </row>
    <row r="871" spans="2:10" ht="15" customHeight="1">
      <c r="B871" t="s">
        <v>2276</v>
      </c>
      <c r="C871" s="2">
        <f>IFERROR(VLOOKUP(B871,'General price list'!C:BA,MATCH("PAL",'General price list'!$C$20:$BA$20,0),FALSE),"")</f>
        <v>40</v>
      </c>
      <c r="D871" s="2">
        <f>IFERROR(VLOOKUP(B871,'General price list'!C:BA,MATCH("OBJ",'General price list'!$C$20:$BA$20,0),FALSE),"")</f>
        <v>0</v>
      </c>
      <c r="E871" s="2">
        <f t="shared" si="71"/>
        <v>0</v>
      </c>
      <c r="F871" s="2">
        <f t="shared" si="72"/>
        <v>0</v>
      </c>
      <c r="G871" s="2">
        <f t="shared" si="73"/>
        <v>0</v>
      </c>
      <c r="H871" s="2">
        <f t="shared" si="74"/>
        <v>0</v>
      </c>
      <c r="I871" s="2">
        <f t="shared" si="70"/>
        <v>0</v>
      </c>
      <c r="J871">
        <f>IFERROR(VLOOKUP(B871,'General price list'!C:BA,MATCH("CBM",'General price list'!$C$20:$BA$20,0),FALSE)*(G871*C871),0)</f>
        <v>0</v>
      </c>
    </row>
    <row r="872" spans="2:10" ht="15" customHeight="1">
      <c r="B872" t="s">
        <v>2282</v>
      </c>
      <c r="C872" s="2">
        <f>IFERROR(VLOOKUP(B872,'General price list'!C:BA,MATCH("PAL",'General price list'!$C$20:$BA$20,0),FALSE),"")</f>
        <v>48</v>
      </c>
      <c r="D872" s="2">
        <f>IFERROR(VLOOKUP(B872,'General price list'!C:BA,MATCH("OBJ",'General price list'!$C$20:$BA$20,0),FALSE),"")</f>
        <v>0</v>
      </c>
      <c r="E872" s="2">
        <f t="shared" si="71"/>
        <v>0</v>
      </c>
      <c r="F872" s="2">
        <f t="shared" si="72"/>
        <v>0</v>
      </c>
      <c r="G872" s="2">
        <f t="shared" si="73"/>
        <v>0</v>
      </c>
      <c r="H872" s="2">
        <f t="shared" si="74"/>
        <v>0</v>
      </c>
      <c r="I872" s="2">
        <f t="shared" si="70"/>
        <v>0</v>
      </c>
      <c r="J872">
        <f>IFERROR(VLOOKUP(B872,'General price list'!C:BA,MATCH("CBM",'General price list'!$C$20:$BA$20,0),FALSE)*(G872*C872),0)</f>
        <v>0</v>
      </c>
    </row>
    <row r="873" spans="2:10" ht="15" customHeight="1">
      <c r="B873" t="s">
        <v>2287</v>
      </c>
      <c r="C873" s="2">
        <f>IFERROR(VLOOKUP(B873,'General price list'!C:BA,MATCH("PAL",'General price list'!$C$20:$BA$20,0),FALSE),"")</f>
        <v>48</v>
      </c>
      <c r="D873" s="2">
        <f>IFERROR(VLOOKUP(B873,'General price list'!C:BA,MATCH("OBJ",'General price list'!$C$20:$BA$20,0),FALSE),"")</f>
        <v>0</v>
      </c>
      <c r="E873" s="2">
        <f t="shared" si="71"/>
        <v>0</v>
      </c>
      <c r="F873" s="2">
        <f t="shared" si="72"/>
        <v>0</v>
      </c>
      <c r="G873" s="2">
        <f t="shared" si="73"/>
        <v>0</v>
      </c>
      <c r="H873" s="2">
        <f t="shared" si="74"/>
        <v>0</v>
      </c>
      <c r="I873" s="2">
        <f t="shared" si="70"/>
        <v>0</v>
      </c>
      <c r="J873">
        <f>IFERROR(VLOOKUP(B873,'General price list'!C:BA,MATCH("CBM",'General price list'!$C$20:$BA$20,0),FALSE)*(G873*C873),0)</f>
        <v>0</v>
      </c>
    </row>
    <row r="874" spans="2:10" ht="15" customHeight="1">
      <c r="B874" t="s">
        <v>2293</v>
      </c>
      <c r="C874" s="2">
        <f>IFERROR(VLOOKUP(B874,'General price list'!C:BA,MATCH("PAL",'General price list'!$C$20:$BA$20,0),FALSE),"")</f>
        <v>36</v>
      </c>
      <c r="D874" s="2">
        <f>IFERROR(VLOOKUP(B874,'General price list'!C:BA,MATCH("OBJ",'General price list'!$C$20:$BA$20,0),FALSE),"")</f>
        <v>0</v>
      </c>
      <c r="E874" s="2">
        <f t="shared" si="71"/>
        <v>0</v>
      </c>
      <c r="F874" s="2">
        <f t="shared" si="72"/>
        <v>0</v>
      </c>
      <c r="G874" s="2">
        <f t="shared" si="73"/>
        <v>0</v>
      </c>
      <c r="H874" s="2">
        <f t="shared" si="74"/>
        <v>0</v>
      </c>
      <c r="I874" s="2">
        <f t="shared" si="70"/>
        <v>0</v>
      </c>
      <c r="J874">
        <f>IFERROR(VLOOKUP(B874,'General price list'!C:BA,MATCH("CBM",'General price list'!$C$20:$BA$20,0),FALSE)*(G874*C874),0)</f>
        <v>0</v>
      </c>
    </row>
    <row r="875" spans="2:10" ht="15" customHeight="1">
      <c r="B875" t="s">
        <v>2310</v>
      </c>
      <c r="C875" s="2" t="str">
        <f>IFERROR(VLOOKUP(B875,'General price list'!C:BA,MATCH("PAL",'General price list'!$C$20:$BA$20,0),FALSE),"")</f>
        <v/>
      </c>
      <c r="D875" s="2">
        <f>IFERROR(VLOOKUP(B875,'General price list'!C:BA,MATCH("OBJ",'General price list'!$C$20:$BA$20,0),FALSE),"")</f>
        <v>0</v>
      </c>
      <c r="E875" s="2">
        <f t="shared" si="71"/>
        <v>0</v>
      </c>
      <c r="F875" s="2">
        <f t="shared" si="72"/>
        <v>0</v>
      </c>
      <c r="G875" s="2">
        <f t="shared" si="73"/>
        <v>0</v>
      </c>
      <c r="H875" s="2">
        <f t="shared" si="74"/>
        <v>0</v>
      </c>
      <c r="I875" s="2">
        <f t="shared" si="70"/>
        <v>0</v>
      </c>
      <c r="J875">
        <f>IFERROR(VLOOKUP(B875,'General price list'!C:BA,MATCH("CBM",'General price list'!$C$20:$BA$20,0),FALSE)*(G875*C875),0)</f>
        <v>0</v>
      </c>
    </row>
    <row r="876" spans="2:10" ht="15" customHeight="1">
      <c r="B876" t="s">
        <v>2648</v>
      </c>
      <c r="C876" s="2" t="str">
        <f>IFERROR(VLOOKUP(B876,'General price list'!C:BA,MATCH("PAL",'General price list'!$C$20:$BA$20,0),FALSE),"")</f>
        <v/>
      </c>
      <c r="D876" s="2">
        <f>IFERROR(VLOOKUP(B876,'General price list'!C:BA,MATCH("OBJ",'General price list'!$C$20:$BA$20,0),FALSE),"")</f>
        <v>0</v>
      </c>
      <c r="E876" s="2">
        <f t="shared" si="71"/>
        <v>0</v>
      </c>
      <c r="F876" s="2">
        <f t="shared" si="72"/>
        <v>0</v>
      </c>
      <c r="G876" s="2">
        <f t="shared" si="73"/>
        <v>0</v>
      </c>
      <c r="H876" s="2">
        <f t="shared" si="74"/>
        <v>0</v>
      </c>
      <c r="I876" s="2">
        <f t="shared" si="70"/>
        <v>0</v>
      </c>
      <c r="J876">
        <f>IFERROR(VLOOKUP(B876,'General price list'!C:BA,MATCH("CBM",'General price list'!$C$20:$BA$20,0),FALSE)*(G876*C876),0)</f>
        <v>0</v>
      </c>
    </row>
    <row r="877" spans="2:10" ht="15" customHeight="1">
      <c r="B877" t="s">
        <v>3075</v>
      </c>
      <c r="C877" s="2" t="str">
        <f>IFERROR(VLOOKUP(B877,'General price list'!C:BA,MATCH("PAL",'General price list'!$C$20:$BA$20,0),FALSE),"")</f>
        <v/>
      </c>
      <c r="D877" s="2">
        <f>IFERROR(VLOOKUP(B877,'General price list'!C:BA,MATCH("OBJ",'General price list'!$C$20:$BA$20,0),FALSE),"")</f>
        <v>0</v>
      </c>
      <c r="E877" s="2">
        <f t="shared" si="71"/>
        <v>0</v>
      </c>
      <c r="F877" s="2">
        <f t="shared" si="72"/>
        <v>0</v>
      </c>
      <c r="G877" s="2">
        <f t="shared" si="73"/>
        <v>0</v>
      </c>
      <c r="H877" s="2">
        <f t="shared" si="74"/>
        <v>0</v>
      </c>
      <c r="I877" s="2">
        <f t="shared" si="70"/>
        <v>0</v>
      </c>
      <c r="J877">
        <f>IFERROR(VLOOKUP(B877,'General price list'!C:BA,MATCH("CBM",'General price list'!$C$20:$BA$20,0),FALSE)*(G877*C877),0)</f>
        <v>0</v>
      </c>
    </row>
    <row r="878" spans="2:10" ht="15" customHeight="1">
      <c r="B878" t="s">
        <v>2313</v>
      </c>
      <c r="C878" s="2" t="str">
        <f>IFERROR(VLOOKUP(B878,'General price list'!C:BA,MATCH("PAL",'General price list'!$C$20:$BA$20,0),FALSE),"")</f>
        <v/>
      </c>
      <c r="D878" s="2">
        <f>IFERROR(VLOOKUP(B878,'General price list'!C:BA,MATCH("OBJ",'General price list'!$C$20:$BA$20,0),FALSE),"")</f>
        <v>0</v>
      </c>
      <c r="E878" s="2">
        <f t="shared" si="71"/>
        <v>0</v>
      </c>
      <c r="F878" s="2">
        <f t="shared" si="72"/>
        <v>0</v>
      </c>
      <c r="G878" s="2">
        <f t="shared" si="73"/>
        <v>0</v>
      </c>
      <c r="H878" s="2">
        <f t="shared" si="74"/>
        <v>0</v>
      </c>
      <c r="I878" s="2">
        <f t="shared" si="70"/>
        <v>0</v>
      </c>
      <c r="J878">
        <f>IFERROR(VLOOKUP(B878,'General price list'!C:BA,MATCH("CBM",'General price list'!$C$20:$BA$20,0),FALSE)*(G878*C878),0)</f>
        <v>0</v>
      </c>
    </row>
    <row r="879" spans="2:10" ht="15" customHeight="1">
      <c r="B879" t="s">
        <v>2316</v>
      </c>
      <c r="C879" s="2" t="str">
        <f>IFERROR(VLOOKUP(B879,'General price list'!C:BA,MATCH("PAL",'General price list'!$C$20:$BA$20,0),FALSE),"")</f>
        <v/>
      </c>
      <c r="D879" s="2">
        <f>IFERROR(VLOOKUP(B879,'General price list'!C:BA,MATCH("OBJ",'General price list'!$C$20:$BA$20,0),FALSE),"")</f>
        <v>0</v>
      </c>
      <c r="E879" s="2">
        <f t="shared" si="71"/>
        <v>0</v>
      </c>
      <c r="F879" s="2">
        <f t="shared" si="72"/>
        <v>0</v>
      </c>
      <c r="G879" s="2">
        <f t="shared" si="73"/>
        <v>0</v>
      </c>
      <c r="H879" s="2">
        <f t="shared" si="74"/>
        <v>0</v>
      </c>
      <c r="I879" s="2">
        <f t="shared" si="70"/>
        <v>0</v>
      </c>
      <c r="J879">
        <f>IFERROR(VLOOKUP(B879,'General price list'!C:BA,MATCH("CBM",'General price list'!$C$20:$BA$20,0),FALSE)*(G879*C879),0)</f>
        <v>0</v>
      </c>
    </row>
    <row r="880" spans="2:10" ht="15" customHeight="1">
      <c r="B880" t="s">
        <v>13485</v>
      </c>
      <c r="C880" s="2" t="str">
        <f>IFERROR(VLOOKUP(B880,'General price list'!C:BA,MATCH("PAL",'General price list'!$C$20:$BA$20,0),FALSE),"")</f>
        <v/>
      </c>
      <c r="D880" s="2">
        <f>IFERROR(VLOOKUP(B880,'General price list'!C:BA,MATCH("OBJ",'General price list'!$C$20:$BA$20,0),FALSE),"")</f>
        <v>0</v>
      </c>
      <c r="E880" s="2">
        <f t="shared" si="71"/>
        <v>0</v>
      </c>
      <c r="F880" s="2">
        <f t="shared" si="72"/>
        <v>0</v>
      </c>
      <c r="G880" s="2">
        <f t="shared" si="73"/>
        <v>0</v>
      </c>
      <c r="H880" s="2">
        <f t="shared" si="74"/>
        <v>0</v>
      </c>
      <c r="I880" s="2">
        <f t="shared" si="70"/>
        <v>0</v>
      </c>
      <c r="J880">
        <f>IFERROR(VLOOKUP(B880,'General price list'!C:BA,MATCH("CBM",'General price list'!$C$20:$BA$20,0),FALSE)*(G880*C880),0)</f>
        <v>0</v>
      </c>
    </row>
    <row r="881" spans="2:10" ht="15" customHeight="1">
      <c r="B881" t="s">
        <v>2318</v>
      </c>
      <c r="C881" s="2" t="str">
        <f>IFERROR(VLOOKUP(B881,'General price list'!C:BA,MATCH("PAL",'General price list'!$C$20:$BA$20,0),FALSE),"")</f>
        <v/>
      </c>
      <c r="D881" s="2">
        <f>IFERROR(VLOOKUP(B881,'General price list'!C:BA,MATCH("OBJ",'General price list'!$C$20:$BA$20,0),FALSE),"")</f>
        <v>0</v>
      </c>
      <c r="E881" s="2">
        <f t="shared" si="71"/>
        <v>0</v>
      </c>
      <c r="F881" s="2">
        <f t="shared" si="72"/>
        <v>0</v>
      </c>
      <c r="G881" s="2">
        <f t="shared" si="73"/>
        <v>0</v>
      </c>
      <c r="H881" s="2">
        <f t="shared" si="74"/>
        <v>0</v>
      </c>
      <c r="I881" s="2">
        <f t="shared" si="70"/>
        <v>0</v>
      </c>
      <c r="J881">
        <f>IFERROR(VLOOKUP(B881,'General price list'!C:BA,MATCH("CBM",'General price list'!$C$20:$BA$20,0),FALSE)*(G881*C881),0)</f>
        <v>0</v>
      </c>
    </row>
    <row r="882" spans="2:10" ht="15" customHeight="1">
      <c r="B882" t="s">
        <v>2320</v>
      </c>
      <c r="C882" s="2" t="str">
        <f>IFERROR(VLOOKUP(B882,'General price list'!C:BA,MATCH("PAL",'General price list'!$C$20:$BA$20,0),FALSE),"")</f>
        <v/>
      </c>
      <c r="D882" s="2">
        <f>IFERROR(VLOOKUP(B882,'General price list'!C:BA,MATCH("OBJ",'General price list'!$C$20:$BA$20,0),FALSE),"")</f>
        <v>0</v>
      </c>
      <c r="E882" s="2">
        <f t="shared" si="71"/>
        <v>0</v>
      </c>
      <c r="F882" s="2">
        <f t="shared" si="72"/>
        <v>0</v>
      </c>
      <c r="G882" s="2">
        <f t="shared" si="73"/>
        <v>0</v>
      </c>
      <c r="H882" s="2">
        <f t="shared" si="74"/>
        <v>0</v>
      </c>
      <c r="I882" s="2">
        <f t="shared" si="70"/>
        <v>0</v>
      </c>
      <c r="J882">
        <f>IFERROR(VLOOKUP(B882,'General price list'!C:BA,MATCH("CBM",'General price list'!$C$20:$BA$20,0),FALSE)*(G882*C882),0)</f>
        <v>0</v>
      </c>
    </row>
    <row r="883" spans="2:10" ht="15" customHeight="1">
      <c r="B883" t="s">
        <v>2322</v>
      </c>
      <c r="C883" s="2" t="str">
        <f>IFERROR(VLOOKUP(B883,'General price list'!C:BA,MATCH("PAL",'General price list'!$C$20:$BA$20,0),FALSE),"")</f>
        <v/>
      </c>
      <c r="D883" s="2">
        <f>IFERROR(VLOOKUP(B883,'General price list'!C:BA,MATCH("OBJ",'General price list'!$C$20:$BA$20,0),FALSE),"")</f>
        <v>0</v>
      </c>
      <c r="E883" s="2">
        <f t="shared" si="71"/>
        <v>0</v>
      </c>
      <c r="F883" s="2">
        <f t="shared" si="72"/>
        <v>0</v>
      </c>
      <c r="G883" s="2">
        <f t="shared" si="73"/>
        <v>0</v>
      </c>
      <c r="H883" s="2">
        <f t="shared" si="74"/>
        <v>0</v>
      </c>
      <c r="I883" s="2">
        <f t="shared" si="70"/>
        <v>0</v>
      </c>
      <c r="J883">
        <f>IFERROR(VLOOKUP(B883,'General price list'!C:BA,MATCH("CBM",'General price list'!$C$20:$BA$20,0),FALSE)*(G883*C883),0)</f>
        <v>0</v>
      </c>
    </row>
    <row r="884" spans="2:10" ht="15" customHeight="1">
      <c r="B884" t="s">
        <v>2324</v>
      </c>
      <c r="C884" s="2" t="str">
        <f>IFERROR(VLOOKUP(B884,'General price list'!C:BA,MATCH("PAL",'General price list'!$C$20:$BA$20,0),FALSE),"")</f>
        <v/>
      </c>
      <c r="D884" s="2">
        <f>IFERROR(VLOOKUP(B884,'General price list'!C:BA,MATCH("OBJ",'General price list'!$C$20:$BA$20,0),FALSE),"")</f>
        <v>0</v>
      </c>
      <c r="E884" s="2">
        <f t="shared" si="71"/>
        <v>0</v>
      </c>
      <c r="F884" s="2">
        <f t="shared" si="72"/>
        <v>0</v>
      </c>
      <c r="G884" s="2">
        <f t="shared" si="73"/>
        <v>0</v>
      </c>
      <c r="H884" s="2">
        <f t="shared" si="74"/>
        <v>0</v>
      </c>
      <c r="I884" s="2">
        <f t="shared" si="70"/>
        <v>0</v>
      </c>
      <c r="J884">
        <f>IFERROR(VLOOKUP(B884,'General price list'!C:BA,MATCH("CBM",'General price list'!$C$20:$BA$20,0),FALSE)*(G884*C884),0)</f>
        <v>0</v>
      </c>
    </row>
    <row r="885" spans="2:10" ht="15" customHeight="1">
      <c r="B885" t="s">
        <v>2326</v>
      </c>
      <c r="C885" s="2" t="str">
        <f>IFERROR(VLOOKUP(B885,'General price list'!C:BA,MATCH("PAL",'General price list'!$C$20:$BA$20,0),FALSE),"")</f>
        <v/>
      </c>
      <c r="D885" s="2">
        <f>IFERROR(VLOOKUP(B885,'General price list'!C:BA,MATCH("OBJ",'General price list'!$C$20:$BA$20,0),FALSE),"")</f>
        <v>0</v>
      </c>
      <c r="E885" s="2">
        <f t="shared" si="71"/>
        <v>0</v>
      </c>
      <c r="F885" s="2">
        <f t="shared" si="72"/>
        <v>0</v>
      </c>
      <c r="G885" s="2">
        <f t="shared" si="73"/>
        <v>0</v>
      </c>
      <c r="H885" s="2">
        <f t="shared" si="74"/>
        <v>0</v>
      </c>
      <c r="I885" s="2">
        <f t="shared" si="70"/>
        <v>0</v>
      </c>
      <c r="J885">
        <f>IFERROR(VLOOKUP(B885,'General price list'!C:BA,MATCH("CBM",'General price list'!$C$20:$BA$20,0),FALSE)*(G885*C885),0)</f>
        <v>0</v>
      </c>
    </row>
    <row r="886" spans="2:10" ht="15" customHeight="1">
      <c r="B886" t="s">
        <v>2328</v>
      </c>
      <c r="C886" s="2" t="str">
        <f>IFERROR(VLOOKUP(B886,'General price list'!C:BA,MATCH("PAL",'General price list'!$C$20:$BA$20,0),FALSE),"")</f>
        <v/>
      </c>
      <c r="D886" s="2">
        <f>IFERROR(VLOOKUP(B886,'General price list'!C:BA,MATCH("OBJ",'General price list'!$C$20:$BA$20,0),FALSE),"")</f>
        <v>0</v>
      </c>
      <c r="E886" s="2">
        <f t="shared" si="71"/>
        <v>0</v>
      </c>
      <c r="F886" s="2">
        <f t="shared" si="72"/>
        <v>0</v>
      </c>
      <c r="G886" s="2">
        <f t="shared" si="73"/>
        <v>0</v>
      </c>
      <c r="H886" s="2">
        <f t="shared" si="74"/>
        <v>0</v>
      </c>
      <c r="I886" s="2">
        <f t="shared" si="70"/>
        <v>0</v>
      </c>
      <c r="J886">
        <f>IFERROR(VLOOKUP(B886,'General price list'!C:BA,MATCH("CBM",'General price list'!$C$20:$BA$20,0),FALSE)*(G886*C886),0)</f>
        <v>0</v>
      </c>
    </row>
    <row r="887" spans="2:10" ht="15" customHeight="1">
      <c r="B887" t="s">
        <v>2330</v>
      </c>
      <c r="C887" s="2" t="str">
        <f>IFERROR(VLOOKUP(B887,'General price list'!C:BA,MATCH("PAL",'General price list'!$C$20:$BA$20,0),FALSE),"")</f>
        <v/>
      </c>
      <c r="D887" s="2">
        <f>IFERROR(VLOOKUP(B887,'General price list'!C:BA,MATCH("OBJ",'General price list'!$C$20:$BA$20,0),FALSE),"")</f>
        <v>0</v>
      </c>
      <c r="E887" s="2">
        <f t="shared" si="71"/>
        <v>0</v>
      </c>
      <c r="F887" s="2">
        <f t="shared" si="72"/>
        <v>0</v>
      </c>
      <c r="G887" s="2">
        <f t="shared" si="73"/>
        <v>0</v>
      </c>
      <c r="H887" s="2">
        <f t="shared" si="74"/>
        <v>0</v>
      </c>
      <c r="I887" s="2">
        <f t="shared" si="70"/>
        <v>0</v>
      </c>
      <c r="J887">
        <f>IFERROR(VLOOKUP(B887,'General price list'!C:BA,MATCH("CBM",'General price list'!$C$20:$BA$20,0),FALSE)*(G887*C887),0)</f>
        <v>0</v>
      </c>
    </row>
    <row r="888" spans="2:10" ht="15" customHeight="1">
      <c r="B888" t="s">
        <v>2332</v>
      </c>
      <c r="C888" s="2" t="str">
        <f>IFERROR(VLOOKUP(B888,'General price list'!C:BA,MATCH("PAL",'General price list'!$C$20:$BA$20,0),FALSE),"")</f>
        <v/>
      </c>
      <c r="D888" s="2">
        <f>IFERROR(VLOOKUP(B888,'General price list'!C:BA,MATCH("OBJ",'General price list'!$C$20:$BA$20,0),FALSE),"")</f>
        <v>0</v>
      </c>
      <c r="E888" s="2">
        <f t="shared" si="71"/>
        <v>0</v>
      </c>
      <c r="F888" s="2">
        <f t="shared" si="72"/>
        <v>0</v>
      </c>
      <c r="G888" s="2">
        <f t="shared" si="73"/>
        <v>0</v>
      </c>
      <c r="H888" s="2">
        <f t="shared" si="74"/>
        <v>0</v>
      </c>
      <c r="I888" s="2">
        <f t="shared" si="70"/>
        <v>0</v>
      </c>
      <c r="J888">
        <f>IFERROR(VLOOKUP(B888,'General price list'!C:BA,MATCH("CBM",'General price list'!$C$20:$BA$20,0),FALSE)*(G888*C888),0)</f>
        <v>0</v>
      </c>
    </row>
    <row r="889" spans="2:10" ht="15" customHeight="1">
      <c r="B889" t="s">
        <v>2334</v>
      </c>
      <c r="C889" s="2" t="str">
        <f>IFERROR(VLOOKUP(B889,'General price list'!C:BA,MATCH("PAL",'General price list'!$C$20:$BA$20,0),FALSE),"")</f>
        <v/>
      </c>
      <c r="D889" s="2">
        <f>IFERROR(VLOOKUP(B889,'General price list'!C:BA,MATCH("OBJ",'General price list'!$C$20:$BA$20,0),FALSE),"")</f>
        <v>0</v>
      </c>
      <c r="E889" s="2">
        <f t="shared" si="71"/>
        <v>0</v>
      </c>
      <c r="F889" s="2">
        <f t="shared" si="72"/>
        <v>0</v>
      </c>
      <c r="G889" s="2">
        <f t="shared" si="73"/>
        <v>0</v>
      </c>
      <c r="H889" s="2">
        <f t="shared" si="74"/>
        <v>0</v>
      </c>
      <c r="I889" s="2">
        <f t="shared" si="70"/>
        <v>0</v>
      </c>
      <c r="J889">
        <f>IFERROR(VLOOKUP(B889,'General price list'!C:BA,MATCH("CBM",'General price list'!$C$20:$BA$20,0),FALSE)*(G889*C889),0)</f>
        <v>0</v>
      </c>
    </row>
    <row r="890" spans="2:10" ht="15" customHeight="1">
      <c r="B890" t="s">
        <v>2336</v>
      </c>
      <c r="C890" s="2" t="str">
        <f>IFERROR(VLOOKUP(B890,'General price list'!C:BA,MATCH("PAL",'General price list'!$C$20:$BA$20,0),FALSE),"")</f>
        <v/>
      </c>
      <c r="D890" s="2">
        <f>IFERROR(VLOOKUP(B890,'General price list'!C:BA,MATCH("OBJ",'General price list'!$C$20:$BA$20,0),FALSE),"")</f>
        <v>0</v>
      </c>
      <c r="E890" s="2">
        <f t="shared" si="71"/>
        <v>0</v>
      </c>
      <c r="F890" s="2">
        <f t="shared" si="72"/>
        <v>0</v>
      </c>
      <c r="G890" s="2">
        <f t="shared" si="73"/>
        <v>0</v>
      </c>
      <c r="H890" s="2">
        <f t="shared" si="74"/>
        <v>0</v>
      </c>
      <c r="I890" s="2">
        <f t="shared" si="70"/>
        <v>0</v>
      </c>
      <c r="J890">
        <f>IFERROR(VLOOKUP(B890,'General price list'!C:BA,MATCH("CBM",'General price list'!$C$20:$BA$20,0),FALSE)*(G890*C890),0)</f>
        <v>0</v>
      </c>
    </row>
    <row r="891" spans="2:10" ht="15" customHeight="1">
      <c r="B891" t="s">
        <v>2338</v>
      </c>
      <c r="C891" s="2" t="str">
        <f>IFERROR(VLOOKUP(B891,'General price list'!C:BA,MATCH("PAL",'General price list'!$C$20:$BA$20,0),FALSE),"")</f>
        <v/>
      </c>
      <c r="D891" s="2">
        <f>IFERROR(VLOOKUP(B891,'General price list'!C:BA,MATCH("OBJ",'General price list'!$C$20:$BA$20,0),FALSE),"")</f>
        <v>0</v>
      </c>
      <c r="E891" s="2">
        <f t="shared" si="71"/>
        <v>0</v>
      </c>
      <c r="F891" s="2">
        <f t="shared" si="72"/>
        <v>0</v>
      </c>
      <c r="G891" s="2">
        <f t="shared" si="73"/>
        <v>0</v>
      </c>
      <c r="H891" s="2">
        <f t="shared" si="74"/>
        <v>0</v>
      </c>
      <c r="I891" s="2">
        <f t="shared" si="70"/>
        <v>0</v>
      </c>
      <c r="J891">
        <f>IFERROR(VLOOKUP(B891,'General price list'!C:BA,MATCH("CBM",'General price list'!$C$20:$BA$20,0),FALSE)*(G891*C891),0)</f>
        <v>0</v>
      </c>
    </row>
    <row r="892" spans="2:10" ht="15" customHeight="1">
      <c r="B892" t="s">
        <v>13489</v>
      </c>
      <c r="C892" s="2" t="str">
        <f>IFERROR(VLOOKUP(B892,'General price list'!C:BA,MATCH("PAL",'General price list'!$C$20:$BA$20,0),FALSE),"")</f>
        <v/>
      </c>
      <c r="D892" s="2">
        <f>IFERROR(VLOOKUP(B892,'General price list'!C:BA,MATCH("OBJ",'General price list'!$C$20:$BA$20,0),FALSE),"")</f>
        <v>0</v>
      </c>
      <c r="E892" s="2">
        <f t="shared" si="71"/>
        <v>0</v>
      </c>
      <c r="F892" s="2">
        <f t="shared" si="72"/>
        <v>0</v>
      </c>
      <c r="G892" s="2">
        <f t="shared" si="73"/>
        <v>0</v>
      </c>
      <c r="H892" s="2">
        <f t="shared" si="74"/>
        <v>0</v>
      </c>
      <c r="I892" s="2">
        <f t="shared" si="70"/>
        <v>0</v>
      </c>
      <c r="J892">
        <f>IFERROR(VLOOKUP(B892,'General price list'!C:BA,MATCH("CBM",'General price list'!$C$20:$BA$20,0),FALSE)*(G892*C892),0)</f>
        <v>0</v>
      </c>
    </row>
    <row r="893" spans="2:10" ht="15" customHeight="1">
      <c r="B893" t="s">
        <v>2340</v>
      </c>
      <c r="C893" s="2" t="str">
        <f>IFERROR(VLOOKUP(B893,'General price list'!C:BA,MATCH("PAL",'General price list'!$C$20:$BA$20,0),FALSE),"")</f>
        <v/>
      </c>
      <c r="D893" s="2">
        <f>IFERROR(VLOOKUP(B893,'General price list'!C:BA,MATCH("OBJ",'General price list'!$C$20:$BA$20,0),FALSE),"")</f>
        <v>0</v>
      </c>
      <c r="E893" s="2">
        <f t="shared" si="71"/>
        <v>0</v>
      </c>
      <c r="F893" s="2">
        <f t="shared" si="72"/>
        <v>0</v>
      </c>
      <c r="G893" s="2">
        <f t="shared" si="73"/>
        <v>0</v>
      </c>
      <c r="H893" s="2">
        <f t="shared" si="74"/>
        <v>0</v>
      </c>
      <c r="I893" s="2">
        <f t="shared" si="70"/>
        <v>0</v>
      </c>
      <c r="J893">
        <f>IFERROR(VLOOKUP(B893,'General price list'!C:BA,MATCH("CBM",'General price list'!$C$20:$BA$20,0),FALSE)*(G893*C893),0)</f>
        <v>0</v>
      </c>
    </row>
    <row r="894" spans="2:10" ht="15" customHeight="1">
      <c r="B894" t="s">
        <v>2344</v>
      </c>
      <c r="C894" s="2" t="str">
        <f>IFERROR(VLOOKUP(B894,'General price list'!C:BA,MATCH("PAL",'General price list'!$C$20:$BA$20,0),FALSE),"")</f>
        <v/>
      </c>
      <c r="D894" s="2">
        <f>IFERROR(VLOOKUP(B894,'General price list'!C:BA,MATCH("OBJ",'General price list'!$C$20:$BA$20,0),FALSE),"")</f>
        <v>0</v>
      </c>
      <c r="E894" s="2">
        <f t="shared" si="71"/>
        <v>0</v>
      </c>
      <c r="F894" s="2">
        <f t="shared" si="72"/>
        <v>0</v>
      </c>
      <c r="G894" s="2">
        <f t="shared" si="73"/>
        <v>0</v>
      </c>
      <c r="H894" s="2">
        <f t="shared" si="74"/>
        <v>0</v>
      </c>
      <c r="I894" s="2">
        <f t="shared" si="70"/>
        <v>0</v>
      </c>
      <c r="J894">
        <f>IFERROR(VLOOKUP(B894,'General price list'!C:BA,MATCH("CBM",'General price list'!$C$20:$BA$20,0),FALSE)*(G894*C894),0)</f>
        <v>0</v>
      </c>
    </row>
    <row r="895" spans="2:10" ht="15" customHeight="1">
      <c r="B895" t="s">
        <v>2346</v>
      </c>
      <c r="C895" s="2" t="str">
        <f>IFERROR(VLOOKUP(B895,'General price list'!C:BA,MATCH("PAL",'General price list'!$C$20:$BA$20,0),FALSE),"")</f>
        <v/>
      </c>
      <c r="D895" s="2">
        <f>IFERROR(VLOOKUP(B895,'General price list'!C:BA,MATCH("OBJ",'General price list'!$C$20:$BA$20,0),FALSE),"")</f>
        <v>0</v>
      </c>
      <c r="E895" s="2">
        <f t="shared" si="71"/>
        <v>0</v>
      </c>
      <c r="F895" s="2">
        <f t="shared" si="72"/>
        <v>0</v>
      </c>
      <c r="G895" s="2">
        <f t="shared" si="73"/>
        <v>0</v>
      </c>
      <c r="H895" s="2">
        <f t="shared" si="74"/>
        <v>0</v>
      </c>
      <c r="I895" s="2">
        <f t="shared" si="70"/>
        <v>0</v>
      </c>
      <c r="J895">
        <f>IFERROR(VLOOKUP(B895,'General price list'!C:BA,MATCH("CBM",'General price list'!$C$20:$BA$20,0),FALSE)*(G895*C895),0)</f>
        <v>0</v>
      </c>
    </row>
    <row r="896" spans="2:10" ht="15" customHeight="1">
      <c r="B896" t="s">
        <v>2348</v>
      </c>
      <c r="C896" s="2" t="str">
        <f>IFERROR(VLOOKUP(B896,'General price list'!C:BA,MATCH("PAL",'General price list'!$C$20:$BA$20,0),FALSE),"")</f>
        <v/>
      </c>
      <c r="D896" s="2">
        <f>IFERROR(VLOOKUP(B896,'General price list'!C:BA,MATCH("OBJ",'General price list'!$C$20:$BA$20,0),FALSE),"")</f>
        <v>0</v>
      </c>
      <c r="E896" s="2">
        <f t="shared" si="71"/>
        <v>0</v>
      </c>
      <c r="F896" s="2">
        <f t="shared" si="72"/>
        <v>0</v>
      </c>
      <c r="G896" s="2">
        <f t="shared" si="73"/>
        <v>0</v>
      </c>
      <c r="H896" s="2">
        <f t="shared" si="74"/>
        <v>0</v>
      </c>
      <c r="I896" s="2">
        <f t="shared" si="70"/>
        <v>0</v>
      </c>
      <c r="J896">
        <f>IFERROR(VLOOKUP(B896,'General price list'!C:BA,MATCH("CBM",'General price list'!$C$20:$BA$20,0),FALSE)*(G896*C896),0)</f>
        <v>0</v>
      </c>
    </row>
    <row r="897" spans="2:10" ht="15" customHeight="1">
      <c r="B897" t="s">
        <v>2351</v>
      </c>
      <c r="C897" s="2" t="str">
        <f>IFERROR(VLOOKUP(B897,'General price list'!C:BA,MATCH("PAL",'General price list'!$C$20:$BA$20,0),FALSE),"")</f>
        <v/>
      </c>
      <c r="D897" s="2">
        <f>IFERROR(VLOOKUP(B897,'General price list'!C:BA,MATCH("OBJ",'General price list'!$C$20:$BA$20,0),FALSE),"")</f>
        <v>0</v>
      </c>
      <c r="E897" s="2">
        <f t="shared" si="71"/>
        <v>0</v>
      </c>
      <c r="F897" s="2">
        <f t="shared" si="72"/>
        <v>0</v>
      </c>
      <c r="G897" s="2">
        <f t="shared" si="73"/>
        <v>0</v>
      </c>
      <c r="H897" s="2">
        <f t="shared" si="74"/>
        <v>0</v>
      </c>
      <c r="I897" s="2">
        <f t="shared" si="70"/>
        <v>0</v>
      </c>
      <c r="J897">
        <f>IFERROR(VLOOKUP(B897,'General price list'!C:BA,MATCH("CBM",'General price list'!$C$20:$BA$20,0),FALSE)*(G897*C897),0)</f>
        <v>0</v>
      </c>
    </row>
    <row r="898" spans="2:10" ht="15" customHeight="1">
      <c r="B898" t="s">
        <v>2352</v>
      </c>
      <c r="C898" s="2" t="str">
        <f>IFERROR(VLOOKUP(B898,'General price list'!C:BA,MATCH("PAL",'General price list'!$C$20:$BA$20,0),FALSE),"")</f>
        <v/>
      </c>
      <c r="D898" s="2">
        <f>IFERROR(VLOOKUP(B898,'General price list'!C:BA,MATCH("OBJ",'General price list'!$C$20:$BA$20,0),FALSE),"")</f>
        <v>0</v>
      </c>
      <c r="E898" s="2">
        <f t="shared" si="71"/>
        <v>0</v>
      </c>
      <c r="F898" s="2">
        <f t="shared" si="72"/>
        <v>0</v>
      </c>
      <c r="G898" s="2">
        <f t="shared" si="73"/>
        <v>0</v>
      </c>
      <c r="H898" s="2">
        <f t="shared" si="74"/>
        <v>0</v>
      </c>
      <c r="I898" s="2">
        <f t="shared" si="70"/>
        <v>0</v>
      </c>
      <c r="J898">
        <f>IFERROR(VLOOKUP(B898,'General price list'!C:BA,MATCH("CBM",'General price list'!$C$20:$BA$20,0),FALSE)*(G898*C898),0)</f>
        <v>0</v>
      </c>
    </row>
    <row r="899" spans="2:10" ht="15" customHeight="1">
      <c r="B899" t="s">
        <v>2353</v>
      </c>
      <c r="C899" s="2" t="str">
        <f>IFERROR(VLOOKUP(B899,'General price list'!C:BA,MATCH("PAL",'General price list'!$C$20:$BA$20,0),FALSE),"")</f>
        <v/>
      </c>
      <c r="D899" s="2">
        <f>IFERROR(VLOOKUP(B899,'General price list'!C:BA,MATCH("OBJ",'General price list'!$C$20:$BA$20,0),FALSE),"")</f>
        <v>0</v>
      </c>
      <c r="E899" s="2">
        <f t="shared" si="71"/>
        <v>0</v>
      </c>
      <c r="F899" s="2">
        <f t="shared" si="72"/>
        <v>0</v>
      </c>
      <c r="G899" s="2">
        <f t="shared" si="73"/>
        <v>0</v>
      </c>
      <c r="H899" s="2">
        <f t="shared" si="74"/>
        <v>0</v>
      </c>
      <c r="I899" s="2">
        <f t="shared" si="70"/>
        <v>0</v>
      </c>
      <c r="J899">
        <f>IFERROR(VLOOKUP(B899,'General price list'!C:BA,MATCH("CBM",'General price list'!$C$20:$BA$20,0),FALSE)*(G899*C899),0)</f>
        <v>0</v>
      </c>
    </row>
    <row r="900" spans="2:10" ht="15" customHeight="1">
      <c r="B900" t="s">
        <v>2354</v>
      </c>
      <c r="C900" s="2" t="str">
        <f>IFERROR(VLOOKUP(B900,'General price list'!C:BA,MATCH("PAL",'General price list'!$C$20:$BA$20,0),FALSE),"")</f>
        <v/>
      </c>
      <c r="D900" s="2">
        <f>IFERROR(VLOOKUP(B900,'General price list'!C:BA,MATCH("OBJ",'General price list'!$C$20:$BA$20,0),FALSE),"")</f>
        <v>0</v>
      </c>
      <c r="E900" s="2">
        <f t="shared" si="71"/>
        <v>0</v>
      </c>
      <c r="F900" s="2">
        <f t="shared" si="72"/>
        <v>0</v>
      </c>
      <c r="G900" s="2">
        <f t="shared" si="73"/>
        <v>0</v>
      </c>
      <c r="H900" s="2">
        <f t="shared" si="74"/>
        <v>0</v>
      </c>
      <c r="I900" s="2">
        <f t="shared" ref="I900:I963" si="75">IFERROR(IF(D900=0,0,IF(F900=0,(D900*nextVK)+(prvniVK-nextVK),(G900*C900*nextVK)+(F900*PALzKoje))),0)</f>
        <v>0</v>
      </c>
      <c r="J900">
        <f>IFERROR(VLOOKUP(B900,'General price list'!C:BA,MATCH("CBM",'General price list'!$C$20:$BA$20,0),FALSE)*(G900*C900),0)</f>
        <v>0</v>
      </c>
    </row>
    <row r="901" spans="2:10" ht="15" customHeight="1">
      <c r="B901" t="s">
        <v>2355</v>
      </c>
      <c r="C901" s="2" t="str">
        <f>IFERROR(VLOOKUP(B901,'General price list'!C:BA,MATCH("PAL",'General price list'!$C$20:$BA$20,0),FALSE),"")</f>
        <v/>
      </c>
      <c r="D901" s="2">
        <f>IFERROR(VLOOKUP(B901,'General price list'!C:BA,MATCH("OBJ",'General price list'!$C$20:$BA$20,0),FALSE),"")</f>
        <v>0</v>
      </c>
      <c r="E901" s="2">
        <f t="shared" ref="E901:E964" si="76">IFERROR(D901/C901,0)</f>
        <v>0</v>
      </c>
      <c r="F901" s="2">
        <f t="shared" ref="F901:F964" si="77">IFERROR(FLOOR(IF(E901-1&lt;0,0,E901),1),0)</f>
        <v>0</v>
      </c>
      <c r="G901" s="2">
        <f t="shared" ref="G901:G964" si="78">IFERROR(IF(H901&gt;E901,F901-E901,E901-F901),0)</f>
        <v>0</v>
      </c>
      <c r="H901" s="2">
        <f t="shared" ref="H901:H964" si="79">IFERROR(IF(E901=0,0,F901),0)</f>
        <v>0</v>
      </c>
      <c r="I901" s="2">
        <f t="shared" si="75"/>
        <v>0</v>
      </c>
      <c r="J901">
        <f>IFERROR(VLOOKUP(B901,'General price list'!C:BA,MATCH("CBM",'General price list'!$C$20:$BA$20,0),FALSE)*(G901*C901),0)</f>
        <v>0</v>
      </c>
    </row>
    <row r="902" spans="2:10" ht="15" customHeight="1">
      <c r="B902" t="s">
        <v>2356</v>
      </c>
      <c r="C902" s="2" t="str">
        <f>IFERROR(VLOOKUP(B902,'General price list'!C:BA,MATCH("PAL",'General price list'!$C$20:$BA$20,0),FALSE),"")</f>
        <v/>
      </c>
      <c r="D902" s="2">
        <f>IFERROR(VLOOKUP(B902,'General price list'!C:BA,MATCH("OBJ",'General price list'!$C$20:$BA$20,0),FALSE),"")</f>
        <v>0</v>
      </c>
      <c r="E902" s="2">
        <f t="shared" si="76"/>
        <v>0</v>
      </c>
      <c r="F902" s="2">
        <f t="shared" si="77"/>
        <v>0</v>
      </c>
      <c r="G902" s="2">
        <f t="shared" si="78"/>
        <v>0</v>
      </c>
      <c r="H902" s="2">
        <f t="shared" si="79"/>
        <v>0</v>
      </c>
      <c r="I902" s="2">
        <f t="shared" si="75"/>
        <v>0</v>
      </c>
      <c r="J902">
        <f>IFERROR(VLOOKUP(B902,'General price list'!C:BA,MATCH("CBM",'General price list'!$C$20:$BA$20,0),FALSE)*(G902*C902),0)</f>
        <v>0</v>
      </c>
    </row>
    <row r="903" spans="2:10" ht="15" customHeight="1">
      <c r="B903" t="s">
        <v>2357</v>
      </c>
      <c r="C903" s="2" t="str">
        <f>IFERROR(VLOOKUP(B903,'General price list'!C:BA,MATCH("PAL",'General price list'!$C$20:$BA$20,0),FALSE),"")</f>
        <v/>
      </c>
      <c r="D903" s="2">
        <f>IFERROR(VLOOKUP(B903,'General price list'!C:BA,MATCH("OBJ",'General price list'!$C$20:$BA$20,0),FALSE),"")</f>
        <v>0</v>
      </c>
      <c r="E903" s="2">
        <f t="shared" si="76"/>
        <v>0</v>
      </c>
      <c r="F903" s="2">
        <f t="shared" si="77"/>
        <v>0</v>
      </c>
      <c r="G903" s="2">
        <f t="shared" si="78"/>
        <v>0</v>
      </c>
      <c r="H903" s="2">
        <f t="shared" si="79"/>
        <v>0</v>
      </c>
      <c r="I903" s="2">
        <f t="shared" si="75"/>
        <v>0</v>
      </c>
      <c r="J903">
        <f>IFERROR(VLOOKUP(B903,'General price list'!C:BA,MATCH("CBM",'General price list'!$C$20:$BA$20,0),FALSE)*(G903*C903),0)</f>
        <v>0</v>
      </c>
    </row>
    <row r="904" spans="2:10" ht="15" customHeight="1">
      <c r="B904" t="s">
        <v>12031</v>
      </c>
      <c r="C904" s="2" t="str">
        <f>IFERROR(VLOOKUP(B904,'General price list'!C:BA,MATCH("PAL",'General price list'!$C$20:$BA$20,0),FALSE),"")</f>
        <v/>
      </c>
      <c r="D904" s="2">
        <f>IFERROR(VLOOKUP(B904,'General price list'!C:BA,MATCH("OBJ",'General price list'!$C$20:$BA$20,0),FALSE),"")</f>
        <v>0</v>
      </c>
      <c r="E904" s="2">
        <f t="shared" si="76"/>
        <v>0</v>
      </c>
      <c r="F904" s="2">
        <f t="shared" si="77"/>
        <v>0</v>
      </c>
      <c r="G904" s="2">
        <f t="shared" si="78"/>
        <v>0</v>
      </c>
      <c r="H904" s="2">
        <f t="shared" si="79"/>
        <v>0</v>
      </c>
      <c r="I904" s="2">
        <f t="shared" si="75"/>
        <v>0</v>
      </c>
      <c r="J904">
        <f>IFERROR(VLOOKUP(B904,'General price list'!C:BA,MATCH("CBM",'General price list'!$C$20:$BA$20,0),FALSE)*(G904*C904),0)</f>
        <v>0</v>
      </c>
    </row>
    <row r="905" spans="2:10" ht="15" customHeight="1">
      <c r="B905" t="s">
        <v>12032</v>
      </c>
      <c r="C905" s="2" t="str">
        <f>IFERROR(VLOOKUP(B905,'General price list'!C:BA,MATCH("PAL",'General price list'!$C$20:$BA$20,0),FALSE),"")</f>
        <v/>
      </c>
      <c r="D905" s="2">
        <f>IFERROR(VLOOKUP(B905,'General price list'!C:BA,MATCH("OBJ",'General price list'!$C$20:$BA$20,0),FALSE),"")</f>
        <v>0</v>
      </c>
      <c r="E905" s="2">
        <f t="shared" si="76"/>
        <v>0</v>
      </c>
      <c r="F905" s="2">
        <f t="shared" si="77"/>
        <v>0</v>
      </c>
      <c r="G905" s="2">
        <f t="shared" si="78"/>
        <v>0</v>
      </c>
      <c r="H905" s="2">
        <f t="shared" si="79"/>
        <v>0</v>
      </c>
      <c r="I905" s="2">
        <f t="shared" si="75"/>
        <v>0</v>
      </c>
      <c r="J905">
        <f>IFERROR(VLOOKUP(B905,'General price list'!C:BA,MATCH("CBM",'General price list'!$C$20:$BA$20,0),FALSE)*(G905*C905),0)</f>
        <v>0</v>
      </c>
    </row>
    <row r="906" spans="2:10" ht="15" customHeight="1">
      <c r="B906" t="s">
        <v>12033</v>
      </c>
      <c r="C906" s="2" t="str">
        <f>IFERROR(VLOOKUP(B906,'General price list'!C:BA,MATCH("PAL",'General price list'!$C$20:$BA$20,0),FALSE),"")</f>
        <v/>
      </c>
      <c r="D906" s="2">
        <f>IFERROR(VLOOKUP(B906,'General price list'!C:BA,MATCH("OBJ",'General price list'!$C$20:$BA$20,0),FALSE),"")</f>
        <v>0</v>
      </c>
      <c r="E906" s="2">
        <f t="shared" si="76"/>
        <v>0</v>
      </c>
      <c r="F906" s="2">
        <f t="shared" si="77"/>
        <v>0</v>
      </c>
      <c r="G906" s="2">
        <f t="shared" si="78"/>
        <v>0</v>
      </c>
      <c r="H906" s="2">
        <f t="shared" si="79"/>
        <v>0</v>
      </c>
      <c r="I906" s="2">
        <f t="shared" si="75"/>
        <v>0</v>
      </c>
      <c r="J906">
        <f>IFERROR(VLOOKUP(B906,'General price list'!C:BA,MATCH("CBM",'General price list'!$C$20:$BA$20,0),FALSE)*(G906*C906),0)</f>
        <v>0</v>
      </c>
    </row>
    <row r="907" spans="2:10" ht="15" customHeight="1">
      <c r="B907" t="s">
        <v>12035</v>
      </c>
      <c r="C907" s="2" t="str">
        <f>IFERROR(VLOOKUP(B907,'General price list'!C:BA,MATCH("PAL",'General price list'!$C$20:$BA$20,0),FALSE),"")</f>
        <v/>
      </c>
      <c r="D907" s="2">
        <f>IFERROR(VLOOKUP(B907,'General price list'!C:BA,MATCH("OBJ",'General price list'!$C$20:$BA$20,0),FALSE),"")</f>
        <v>0</v>
      </c>
      <c r="E907" s="2">
        <f t="shared" si="76"/>
        <v>0</v>
      </c>
      <c r="F907" s="2">
        <f t="shared" si="77"/>
        <v>0</v>
      </c>
      <c r="G907" s="2">
        <f t="shared" si="78"/>
        <v>0</v>
      </c>
      <c r="H907" s="2">
        <f t="shared" si="79"/>
        <v>0</v>
      </c>
      <c r="I907" s="2">
        <f t="shared" si="75"/>
        <v>0</v>
      </c>
      <c r="J907">
        <f>IFERROR(VLOOKUP(B907,'General price list'!C:BA,MATCH("CBM",'General price list'!$C$20:$BA$20,0),FALSE)*(G907*C907),0)</f>
        <v>0</v>
      </c>
    </row>
    <row r="908" spans="2:10" ht="15" customHeight="1">
      <c r="B908" t="s">
        <v>12036</v>
      </c>
      <c r="C908" s="2" t="str">
        <f>IFERROR(VLOOKUP(B908,'General price list'!C:BA,MATCH("PAL",'General price list'!$C$20:$BA$20,0),FALSE),"")</f>
        <v/>
      </c>
      <c r="D908" s="2">
        <f>IFERROR(VLOOKUP(B908,'General price list'!C:BA,MATCH("OBJ",'General price list'!$C$20:$BA$20,0),FALSE),"")</f>
        <v>0</v>
      </c>
      <c r="E908" s="2">
        <f t="shared" si="76"/>
        <v>0</v>
      </c>
      <c r="F908" s="2">
        <f t="shared" si="77"/>
        <v>0</v>
      </c>
      <c r="G908" s="2">
        <f t="shared" si="78"/>
        <v>0</v>
      </c>
      <c r="H908" s="2">
        <f t="shared" si="79"/>
        <v>0</v>
      </c>
      <c r="I908" s="2">
        <f t="shared" si="75"/>
        <v>0</v>
      </c>
      <c r="J908">
        <f>IFERROR(VLOOKUP(B908,'General price list'!C:BA,MATCH("CBM",'General price list'!$C$20:$BA$20,0),FALSE)*(G908*C908),0)</f>
        <v>0</v>
      </c>
    </row>
    <row r="909" spans="2:10" ht="15" customHeight="1">
      <c r="B909" t="s">
        <v>12038</v>
      </c>
      <c r="C909" s="2" t="str">
        <f>IFERROR(VLOOKUP(B909,'General price list'!C:BA,MATCH("PAL",'General price list'!$C$20:$BA$20,0),FALSE),"")</f>
        <v/>
      </c>
      <c r="D909" s="2">
        <f>IFERROR(VLOOKUP(B909,'General price list'!C:BA,MATCH("OBJ",'General price list'!$C$20:$BA$20,0),FALSE),"")</f>
        <v>0</v>
      </c>
      <c r="E909" s="2">
        <f t="shared" si="76"/>
        <v>0</v>
      </c>
      <c r="F909" s="2">
        <f t="shared" si="77"/>
        <v>0</v>
      </c>
      <c r="G909" s="2">
        <f t="shared" si="78"/>
        <v>0</v>
      </c>
      <c r="H909" s="2">
        <f t="shared" si="79"/>
        <v>0</v>
      </c>
      <c r="I909" s="2">
        <f t="shared" si="75"/>
        <v>0</v>
      </c>
      <c r="J909">
        <f>IFERROR(VLOOKUP(B909,'General price list'!C:BA,MATCH("CBM",'General price list'!$C$20:$BA$20,0),FALSE)*(G909*C909),0)</f>
        <v>0</v>
      </c>
    </row>
    <row r="910" spans="2:10" ht="15" customHeight="1">
      <c r="B910" t="s">
        <v>12039</v>
      </c>
      <c r="C910" s="2" t="str">
        <f>IFERROR(VLOOKUP(B910,'General price list'!C:BA,MATCH("PAL",'General price list'!$C$20:$BA$20,0),FALSE),"")</f>
        <v/>
      </c>
      <c r="D910" s="2">
        <f>IFERROR(VLOOKUP(B910,'General price list'!C:BA,MATCH("OBJ",'General price list'!$C$20:$BA$20,0),FALSE),"")</f>
        <v>0</v>
      </c>
      <c r="E910" s="2">
        <f t="shared" si="76"/>
        <v>0</v>
      </c>
      <c r="F910" s="2">
        <f t="shared" si="77"/>
        <v>0</v>
      </c>
      <c r="G910" s="2">
        <f t="shared" si="78"/>
        <v>0</v>
      </c>
      <c r="H910" s="2">
        <f t="shared" si="79"/>
        <v>0</v>
      </c>
      <c r="I910" s="2">
        <f t="shared" si="75"/>
        <v>0</v>
      </c>
      <c r="J910">
        <f>IFERROR(VLOOKUP(B910,'General price list'!C:BA,MATCH("CBM",'General price list'!$C$20:$BA$20,0),FALSE)*(G910*C910),0)</f>
        <v>0</v>
      </c>
    </row>
    <row r="911" spans="2:10" ht="15" customHeight="1">
      <c r="B911" t="s">
        <v>12041</v>
      </c>
      <c r="C911" s="2" t="str">
        <f>IFERROR(VLOOKUP(B911,'General price list'!C:BA,MATCH("PAL",'General price list'!$C$20:$BA$20,0),FALSE),"")</f>
        <v/>
      </c>
      <c r="D911" s="2">
        <f>IFERROR(VLOOKUP(B911,'General price list'!C:BA,MATCH("OBJ",'General price list'!$C$20:$BA$20,0),FALSE),"")</f>
        <v>0</v>
      </c>
      <c r="E911" s="2">
        <f t="shared" si="76"/>
        <v>0</v>
      </c>
      <c r="F911" s="2">
        <f t="shared" si="77"/>
        <v>0</v>
      </c>
      <c r="G911" s="2">
        <f t="shared" si="78"/>
        <v>0</v>
      </c>
      <c r="H911" s="2">
        <f t="shared" si="79"/>
        <v>0</v>
      </c>
      <c r="I911" s="2">
        <f t="shared" si="75"/>
        <v>0</v>
      </c>
      <c r="J911">
        <f>IFERROR(VLOOKUP(B911,'General price list'!C:BA,MATCH("CBM",'General price list'!$C$20:$BA$20,0),FALSE)*(G911*C911),0)</f>
        <v>0</v>
      </c>
    </row>
    <row r="912" spans="2:10" ht="15" customHeight="1">
      <c r="B912" t="s">
        <v>12042</v>
      </c>
      <c r="C912" s="2" t="str">
        <f>IFERROR(VLOOKUP(B912,'General price list'!C:BA,MATCH("PAL",'General price list'!$C$20:$BA$20,0),FALSE),"")</f>
        <v/>
      </c>
      <c r="D912" s="2">
        <f>IFERROR(VLOOKUP(B912,'General price list'!C:BA,MATCH("OBJ",'General price list'!$C$20:$BA$20,0),FALSE),"")</f>
        <v>0</v>
      </c>
      <c r="E912" s="2">
        <f t="shared" si="76"/>
        <v>0</v>
      </c>
      <c r="F912" s="2">
        <f t="shared" si="77"/>
        <v>0</v>
      </c>
      <c r="G912" s="2">
        <f t="shared" si="78"/>
        <v>0</v>
      </c>
      <c r="H912" s="2">
        <f t="shared" si="79"/>
        <v>0</v>
      </c>
      <c r="I912" s="2">
        <f t="shared" si="75"/>
        <v>0</v>
      </c>
      <c r="J912">
        <f>IFERROR(VLOOKUP(B912,'General price list'!C:BA,MATCH("CBM",'General price list'!$C$20:$BA$20,0),FALSE)*(G912*C912),0)</f>
        <v>0</v>
      </c>
    </row>
    <row r="913" spans="2:10" ht="15" customHeight="1">
      <c r="B913" t="s">
        <v>12043</v>
      </c>
      <c r="C913" s="2" t="str">
        <f>IFERROR(VLOOKUP(B913,'General price list'!C:BA,MATCH("PAL",'General price list'!$C$20:$BA$20,0),FALSE),"")</f>
        <v/>
      </c>
      <c r="D913" s="2">
        <f>IFERROR(VLOOKUP(B913,'General price list'!C:BA,MATCH("OBJ",'General price list'!$C$20:$BA$20,0),FALSE),"")</f>
        <v>0</v>
      </c>
      <c r="E913" s="2">
        <f t="shared" si="76"/>
        <v>0</v>
      </c>
      <c r="F913" s="2">
        <f t="shared" si="77"/>
        <v>0</v>
      </c>
      <c r="G913" s="2">
        <f t="shared" si="78"/>
        <v>0</v>
      </c>
      <c r="H913" s="2">
        <f t="shared" si="79"/>
        <v>0</v>
      </c>
      <c r="I913" s="2">
        <f t="shared" si="75"/>
        <v>0</v>
      </c>
      <c r="J913">
        <f>IFERROR(VLOOKUP(B913,'General price list'!C:BA,MATCH("CBM",'General price list'!$C$20:$BA$20,0),FALSE)*(G913*C913),0)</f>
        <v>0</v>
      </c>
    </row>
    <row r="914" spans="2:10" ht="15" customHeight="1">
      <c r="B914" t="s">
        <v>12044</v>
      </c>
      <c r="C914" s="2" t="str">
        <f>IFERROR(VLOOKUP(B914,'General price list'!C:BA,MATCH("PAL",'General price list'!$C$20:$BA$20,0),FALSE),"")</f>
        <v/>
      </c>
      <c r="D914" s="2">
        <f>IFERROR(VLOOKUP(B914,'General price list'!C:BA,MATCH("OBJ",'General price list'!$C$20:$BA$20,0),FALSE),"")</f>
        <v>0</v>
      </c>
      <c r="E914" s="2">
        <f t="shared" si="76"/>
        <v>0</v>
      </c>
      <c r="F914" s="2">
        <f t="shared" si="77"/>
        <v>0</v>
      </c>
      <c r="G914" s="2">
        <f t="shared" si="78"/>
        <v>0</v>
      </c>
      <c r="H914" s="2">
        <f t="shared" si="79"/>
        <v>0</v>
      </c>
      <c r="I914" s="2">
        <f t="shared" si="75"/>
        <v>0</v>
      </c>
      <c r="J914">
        <f>IFERROR(VLOOKUP(B914,'General price list'!C:BA,MATCH("CBM",'General price list'!$C$20:$BA$20,0),FALSE)*(G914*C914),0)</f>
        <v>0</v>
      </c>
    </row>
    <row r="915" spans="2:10" ht="15" customHeight="1">
      <c r="B915" t="s">
        <v>12045</v>
      </c>
      <c r="C915" s="2" t="str">
        <f>IFERROR(VLOOKUP(B915,'General price list'!C:BA,MATCH("PAL",'General price list'!$C$20:$BA$20,0),FALSE),"")</f>
        <v/>
      </c>
      <c r="D915" s="2">
        <f>IFERROR(VLOOKUP(B915,'General price list'!C:BA,MATCH("OBJ",'General price list'!$C$20:$BA$20,0),FALSE),"")</f>
        <v>0</v>
      </c>
      <c r="E915" s="2">
        <f t="shared" si="76"/>
        <v>0</v>
      </c>
      <c r="F915" s="2">
        <f t="shared" si="77"/>
        <v>0</v>
      </c>
      <c r="G915" s="2">
        <f t="shared" si="78"/>
        <v>0</v>
      </c>
      <c r="H915" s="2">
        <f t="shared" si="79"/>
        <v>0</v>
      </c>
      <c r="I915" s="2">
        <f t="shared" si="75"/>
        <v>0</v>
      </c>
      <c r="J915">
        <f>IFERROR(VLOOKUP(B915,'General price list'!C:BA,MATCH("CBM",'General price list'!$C$20:$BA$20,0),FALSE)*(G915*C915),0)</f>
        <v>0</v>
      </c>
    </row>
    <row r="916" spans="2:10" ht="15" customHeight="1">
      <c r="B916" t="s">
        <v>12046</v>
      </c>
      <c r="C916" s="2" t="str">
        <f>IFERROR(VLOOKUP(B916,'General price list'!C:BA,MATCH("PAL",'General price list'!$C$20:$BA$20,0),FALSE),"")</f>
        <v/>
      </c>
      <c r="D916" s="2">
        <f>IFERROR(VLOOKUP(B916,'General price list'!C:BA,MATCH("OBJ",'General price list'!$C$20:$BA$20,0),FALSE),"")</f>
        <v>0</v>
      </c>
      <c r="E916" s="2">
        <f t="shared" si="76"/>
        <v>0</v>
      </c>
      <c r="F916" s="2">
        <f t="shared" si="77"/>
        <v>0</v>
      </c>
      <c r="G916" s="2">
        <f t="shared" si="78"/>
        <v>0</v>
      </c>
      <c r="H916" s="2">
        <f t="shared" si="79"/>
        <v>0</v>
      </c>
      <c r="I916" s="2">
        <f t="shared" si="75"/>
        <v>0</v>
      </c>
      <c r="J916">
        <f>IFERROR(VLOOKUP(B916,'General price list'!C:BA,MATCH("CBM",'General price list'!$C$20:$BA$20,0),FALSE)*(G916*C916),0)</f>
        <v>0</v>
      </c>
    </row>
    <row r="917" spans="2:10" ht="15" customHeight="1">
      <c r="B917" t="s">
        <v>12047</v>
      </c>
      <c r="C917" s="2" t="str">
        <f>IFERROR(VLOOKUP(B917,'General price list'!C:BA,MATCH("PAL",'General price list'!$C$20:$BA$20,0),FALSE),"")</f>
        <v/>
      </c>
      <c r="D917" s="2">
        <f>IFERROR(VLOOKUP(B917,'General price list'!C:BA,MATCH("OBJ",'General price list'!$C$20:$BA$20,0),FALSE),"")</f>
        <v>0</v>
      </c>
      <c r="E917" s="2">
        <f t="shared" si="76"/>
        <v>0</v>
      </c>
      <c r="F917" s="2">
        <f t="shared" si="77"/>
        <v>0</v>
      </c>
      <c r="G917" s="2">
        <f t="shared" si="78"/>
        <v>0</v>
      </c>
      <c r="H917" s="2">
        <f t="shared" si="79"/>
        <v>0</v>
      </c>
      <c r="I917" s="2">
        <f t="shared" si="75"/>
        <v>0</v>
      </c>
      <c r="J917">
        <f>IFERROR(VLOOKUP(B917,'General price list'!C:BA,MATCH("CBM",'General price list'!$C$20:$BA$20,0),FALSE)*(G917*C917),0)</f>
        <v>0</v>
      </c>
    </row>
    <row r="918" spans="2:10" ht="15" customHeight="1">
      <c r="B918" t="s">
        <v>12048</v>
      </c>
      <c r="C918" s="2" t="str">
        <f>IFERROR(VLOOKUP(B918,'General price list'!C:BA,MATCH("PAL",'General price list'!$C$20:$BA$20,0),FALSE),"")</f>
        <v/>
      </c>
      <c r="D918" s="2">
        <f>IFERROR(VLOOKUP(B918,'General price list'!C:BA,MATCH("OBJ",'General price list'!$C$20:$BA$20,0),FALSE),"")</f>
        <v>0</v>
      </c>
      <c r="E918" s="2">
        <f t="shared" si="76"/>
        <v>0</v>
      </c>
      <c r="F918" s="2">
        <f t="shared" si="77"/>
        <v>0</v>
      </c>
      <c r="G918" s="2">
        <f t="shared" si="78"/>
        <v>0</v>
      </c>
      <c r="H918" s="2">
        <f t="shared" si="79"/>
        <v>0</v>
      </c>
      <c r="I918" s="2">
        <f t="shared" si="75"/>
        <v>0</v>
      </c>
      <c r="J918">
        <f>IFERROR(VLOOKUP(B918,'General price list'!C:BA,MATCH("CBM",'General price list'!$C$20:$BA$20,0),FALSE)*(G918*C918),0)</f>
        <v>0</v>
      </c>
    </row>
    <row r="919" spans="2:10" ht="15" customHeight="1">
      <c r="B919" t="s">
        <v>12049</v>
      </c>
      <c r="C919" s="2" t="str">
        <f>IFERROR(VLOOKUP(B919,'General price list'!C:BA,MATCH("PAL",'General price list'!$C$20:$BA$20,0),FALSE),"")</f>
        <v/>
      </c>
      <c r="D919" s="2">
        <f>IFERROR(VLOOKUP(B919,'General price list'!C:BA,MATCH("OBJ",'General price list'!$C$20:$BA$20,0),FALSE),"")</f>
        <v>0</v>
      </c>
      <c r="E919" s="2">
        <f t="shared" si="76"/>
        <v>0</v>
      </c>
      <c r="F919" s="2">
        <f t="shared" si="77"/>
        <v>0</v>
      </c>
      <c r="G919" s="2">
        <f t="shared" si="78"/>
        <v>0</v>
      </c>
      <c r="H919" s="2">
        <f t="shared" si="79"/>
        <v>0</v>
      </c>
      <c r="I919" s="2">
        <f t="shared" si="75"/>
        <v>0</v>
      </c>
      <c r="J919">
        <f>IFERROR(VLOOKUP(B919,'General price list'!C:BA,MATCH("CBM",'General price list'!$C$20:$BA$20,0),FALSE)*(G919*C919),0)</f>
        <v>0</v>
      </c>
    </row>
    <row r="920" spans="2:10" ht="15" customHeight="1">
      <c r="B920" t="s">
        <v>12050</v>
      </c>
      <c r="C920" s="2" t="str">
        <f>IFERROR(VLOOKUP(B920,'General price list'!C:BA,MATCH("PAL",'General price list'!$C$20:$BA$20,0),FALSE),"")</f>
        <v/>
      </c>
      <c r="D920" s="2">
        <f>IFERROR(VLOOKUP(B920,'General price list'!C:BA,MATCH("OBJ",'General price list'!$C$20:$BA$20,0),FALSE),"")</f>
        <v>0</v>
      </c>
      <c r="E920" s="2">
        <f t="shared" si="76"/>
        <v>0</v>
      </c>
      <c r="F920" s="2">
        <f t="shared" si="77"/>
        <v>0</v>
      </c>
      <c r="G920" s="2">
        <f t="shared" si="78"/>
        <v>0</v>
      </c>
      <c r="H920" s="2">
        <f t="shared" si="79"/>
        <v>0</v>
      </c>
      <c r="I920" s="2">
        <f t="shared" si="75"/>
        <v>0</v>
      </c>
      <c r="J920">
        <f>IFERROR(VLOOKUP(B920,'General price list'!C:BA,MATCH("CBM",'General price list'!$C$20:$BA$20,0),FALSE)*(G920*C920),0)</f>
        <v>0</v>
      </c>
    </row>
    <row r="921" spans="2:10" ht="15" customHeight="1">
      <c r="B921" t="s">
        <v>12051</v>
      </c>
      <c r="C921" s="2" t="str">
        <f>IFERROR(VLOOKUP(B921,'General price list'!C:BA,MATCH("PAL",'General price list'!$C$20:$BA$20,0),FALSE),"")</f>
        <v/>
      </c>
      <c r="D921" s="2">
        <f>IFERROR(VLOOKUP(B921,'General price list'!C:BA,MATCH("OBJ",'General price list'!$C$20:$BA$20,0),FALSE),"")</f>
        <v>0</v>
      </c>
      <c r="E921" s="2">
        <f t="shared" si="76"/>
        <v>0</v>
      </c>
      <c r="F921" s="2">
        <f t="shared" si="77"/>
        <v>0</v>
      </c>
      <c r="G921" s="2">
        <f t="shared" si="78"/>
        <v>0</v>
      </c>
      <c r="H921" s="2">
        <f t="shared" si="79"/>
        <v>0</v>
      </c>
      <c r="I921" s="2">
        <f t="shared" si="75"/>
        <v>0</v>
      </c>
      <c r="J921">
        <f>IFERROR(VLOOKUP(B921,'General price list'!C:BA,MATCH("CBM",'General price list'!$C$20:$BA$20,0),FALSE)*(G921*C921),0)</f>
        <v>0</v>
      </c>
    </row>
    <row r="922" spans="2:10" ht="15" customHeight="1">
      <c r="B922" t="s">
        <v>12053</v>
      </c>
      <c r="C922" s="2" t="str">
        <f>IFERROR(VLOOKUP(B922,'General price list'!C:BA,MATCH("PAL",'General price list'!$C$20:$BA$20,0),FALSE),"")</f>
        <v/>
      </c>
      <c r="D922" s="2">
        <f>IFERROR(VLOOKUP(B922,'General price list'!C:BA,MATCH("OBJ",'General price list'!$C$20:$BA$20,0),FALSE),"")</f>
        <v>0</v>
      </c>
      <c r="E922" s="2">
        <f t="shared" si="76"/>
        <v>0</v>
      </c>
      <c r="F922" s="2">
        <f t="shared" si="77"/>
        <v>0</v>
      </c>
      <c r="G922" s="2">
        <f t="shared" si="78"/>
        <v>0</v>
      </c>
      <c r="H922" s="2">
        <f t="shared" si="79"/>
        <v>0</v>
      </c>
      <c r="I922" s="2">
        <f t="shared" si="75"/>
        <v>0</v>
      </c>
      <c r="J922">
        <f>IFERROR(VLOOKUP(B922,'General price list'!C:BA,MATCH("CBM",'General price list'!$C$20:$BA$20,0),FALSE)*(G922*C922),0)</f>
        <v>0</v>
      </c>
    </row>
    <row r="923" spans="2:10" ht="15" customHeight="1">
      <c r="B923" t="s">
        <v>12343</v>
      </c>
      <c r="C923" s="2" t="str">
        <f>IFERROR(VLOOKUP(B923,'General price list'!C:BA,MATCH("PAL",'General price list'!$C$20:$BA$20,0),FALSE),"")</f>
        <v/>
      </c>
      <c r="D923" s="2">
        <f>IFERROR(VLOOKUP(B923,'General price list'!C:BA,MATCH("OBJ",'General price list'!$C$20:$BA$20,0),FALSE),"")</f>
        <v>0</v>
      </c>
      <c r="E923" s="2">
        <f t="shared" si="76"/>
        <v>0</v>
      </c>
      <c r="F923" s="2">
        <f t="shared" si="77"/>
        <v>0</v>
      </c>
      <c r="G923" s="2">
        <f t="shared" si="78"/>
        <v>0</v>
      </c>
      <c r="H923" s="2">
        <f t="shared" si="79"/>
        <v>0</v>
      </c>
      <c r="I923" s="2">
        <f t="shared" si="75"/>
        <v>0</v>
      </c>
      <c r="J923">
        <f>IFERROR(VLOOKUP(B923,'General price list'!C:BA,MATCH("CBM",'General price list'!$C$20:$BA$20,0),FALSE)*(G923*C923),0)</f>
        <v>0</v>
      </c>
    </row>
    <row r="924" spans="2:10" ht="15" customHeight="1">
      <c r="B924" t="s">
        <v>12054</v>
      </c>
      <c r="C924" s="2" t="str">
        <f>IFERROR(VLOOKUP(B924,'General price list'!C:BA,MATCH("PAL",'General price list'!$C$20:$BA$20,0),FALSE),"")</f>
        <v/>
      </c>
      <c r="D924" s="2">
        <f>IFERROR(VLOOKUP(B924,'General price list'!C:BA,MATCH("OBJ",'General price list'!$C$20:$BA$20,0),FALSE),"")</f>
        <v>0</v>
      </c>
      <c r="E924" s="2">
        <f t="shared" si="76"/>
        <v>0</v>
      </c>
      <c r="F924" s="2">
        <f t="shared" si="77"/>
        <v>0</v>
      </c>
      <c r="G924" s="2">
        <f t="shared" si="78"/>
        <v>0</v>
      </c>
      <c r="H924" s="2">
        <f t="shared" si="79"/>
        <v>0</v>
      </c>
      <c r="I924" s="2">
        <f t="shared" si="75"/>
        <v>0</v>
      </c>
      <c r="J924">
        <f>IFERROR(VLOOKUP(B924,'General price list'!C:BA,MATCH("CBM",'General price list'!$C$20:$BA$20,0),FALSE)*(G924*C924),0)</f>
        <v>0</v>
      </c>
    </row>
    <row r="925" spans="2:10" ht="15" customHeight="1">
      <c r="B925" t="s">
        <v>12055</v>
      </c>
      <c r="C925" s="2" t="str">
        <f>IFERROR(VLOOKUP(B925,'General price list'!C:BA,MATCH("PAL",'General price list'!$C$20:$BA$20,0),FALSE),"")</f>
        <v/>
      </c>
      <c r="D925" s="2">
        <f>IFERROR(VLOOKUP(B925,'General price list'!C:BA,MATCH("OBJ",'General price list'!$C$20:$BA$20,0),FALSE),"")</f>
        <v>0</v>
      </c>
      <c r="E925" s="2">
        <f t="shared" si="76"/>
        <v>0</v>
      </c>
      <c r="F925" s="2">
        <f t="shared" si="77"/>
        <v>0</v>
      </c>
      <c r="G925" s="2">
        <f t="shared" si="78"/>
        <v>0</v>
      </c>
      <c r="H925" s="2">
        <f t="shared" si="79"/>
        <v>0</v>
      </c>
      <c r="I925" s="2">
        <f t="shared" si="75"/>
        <v>0</v>
      </c>
      <c r="J925">
        <f>IFERROR(VLOOKUP(B925,'General price list'!C:BA,MATCH("CBM",'General price list'!$C$20:$BA$20,0),FALSE)*(G925*C925),0)</f>
        <v>0</v>
      </c>
    </row>
    <row r="926" spans="2:10" ht="15" customHeight="1">
      <c r="B926" t="s">
        <v>12344</v>
      </c>
      <c r="C926" s="2" t="str">
        <f>IFERROR(VLOOKUP(B926,'General price list'!C:BA,MATCH("PAL",'General price list'!$C$20:$BA$20,0),FALSE),"")</f>
        <v/>
      </c>
      <c r="D926" s="2">
        <f>IFERROR(VLOOKUP(B926,'General price list'!C:BA,MATCH("OBJ",'General price list'!$C$20:$BA$20,0),FALSE),"")</f>
        <v>0</v>
      </c>
      <c r="E926" s="2">
        <f t="shared" si="76"/>
        <v>0</v>
      </c>
      <c r="F926" s="2">
        <f t="shared" si="77"/>
        <v>0</v>
      </c>
      <c r="G926" s="2">
        <f t="shared" si="78"/>
        <v>0</v>
      </c>
      <c r="H926" s="2">
        <f t="shared" si="79"/>
        <v>0</v>
      </c>
      <c r="I926" s="2">
        <f t="shared" si="75"/>
        <v>0</v>
      </c>
      <c r="J926">
        <f>IFERROR(VLOOKUP(B926,'General price list'!C:BA,MATCH("CBM",'General price list'!$C$20:$BA$20,0),FALSE)*(G926*C926),0)</f>
        <v>0</v>
      </c>
    </row>
    <row r="927" spans="2:10" ht="15" customHeight="1">
      <c r="B927" t="s">
        <v>12057</v>
      </c>
      <c r="C927" s="2" t="str">
        <f>IFERROR(VLOOKUP(B927,'General price list'!C:BA,MATCH("PAL",'General price list'!$C$20:$BA$20,0),FALSE),"")</f>
        <v/>
      </c>
      <c r="D927" s="2">
        <f>IFERROR(VLOOKUP(B927,'General price list'!C:BA,MATCH("OBJ",'General price list'!$C$20:$BA$20,0),FALSE),"")</f>
        <v>0</v>
      </c>
      <c r="E927" s="2">
        <f t="shared" si="76"/>
        <v>0</v>
      </c>
      <c r="F927" s="2">
        <f t="shared" si="77"/>
        <v>0</v>
      </c>
      <c r="G927" s="2">
        <f t="shared" si="78"/>
        <v>0</v>
      </c>
      <c r="H927" s="2">
        <f t="shared" si="79"/>
        <v>0</v>
      </c>
      <c r="I927" s="2">
        <f t="shared" si="75"/>
        <v>0</v>
      </c>
      <c r="J927">
        <f>IFERROR(VLOOKUP(B927,'General price list'!C:BA,MATCH("CBM",'General price list'!$C$20:$BA$20,0),FALSE)*(G927*C927),0)</f>
        <v>0</v>
      </c>
    </row>
    <row r="928" spans="2:10" ht="15" customHeight="1">
      <c r="B928" t="s">
        <v>12060</v>
      </c>
      <c r="C928" s="2" t="str">
        <f>IFERROR(VLOOKUP(B928,'General price list'!C:BA,MATCH("PAL",'General price list'!$C$20:$BA$20,0),FALSE),"")</f>
        <v/>
      </c>
      <c r="D928" s="2">
        <f>IFERROR(VLOOKUP(B928,'General price list'!C:BA,MATCH("OBJ",'General price list'!$C$20:$BA$20,0),FALSE),"")</f>
        <v>0</v>
      </c>
      <c r="E928" s="2">
        <f t="shared" si="76"/>
        <v>0</v>
      </c>
      <c r="F928" s="2">
        <f t="shared" si="77"/>
        <v>0</v>
      </c>
      <c r="G928" s="2">
        <f t="shared" si="78"/>
        <v>0</v>
      </c>
      <c r="H928" s="2">
        <f t="shared" si="79"/>
        <v>0</v>
      </c>
      <c r="I928" s="2">
        <f t="shared" si="75"/>
        <v>0</v>
      </c>
      <c r="J928">
        <f>IFERROR(VLOOKUP(B928,'General price list'!C:BA,MATCH("CBM",'General price list'!$C$20:$BA$20,0),FALSE)*(G928*C928),0)</f>
        <v>0</v>
      </c>
    </row>
    <row r="929" spans="2:10" ht="15" customHeight="1">
      <c r="B929" t="s">
        <v>12061</v>
      </c>
      <c r="C929" s="2" t="str">
        <f>IFERROR(VLOOKUP(B929,'General price list'!C:BA,MATCH("PAL",'General price list'!$C$20:$BA$20,0),FALSE),"")</f>
        <v/>
      </c>
      <c r="D929" s="2">
        <f>IFERROR(VLOOKUP(B929,'General price list'!C:BA,MATCH("OBJ",'General price list'!$C$20:$BA$20,0),FALSE),"")</f>
        <v>0</v>
      </c>
      <c r="E929" s="2">
        <f t="shared" si="76"/>
        <v>0</v>
      </c>
      <c r="F929" s="2">
        <f t="shared" si="77"/>
        <v>0</v>
      </c>
      <c r="G929" s="2">
        <f t="shared" si="78"/>
        <v>0</v>
      </c>
      <c r="H929" s="2">
        <f t="shared" si="79"/>
        <v>0</v>
      </c>
      <c r="I929" s="2">
        <f t="shared" si="75"/>
        <v>0</v>
      </c>
      <c r="J929">
        <f>IFERROR(VLOOKUP(B929,'General price list'!C:BA,MATCH("CBM",'General price list'!$C$20:$BA$20,0),FALSE)*(G929*C929),0)</f>
        <v>0</v>
      </c>
    </row>
    <row r="930" spans="2:10" ht="15" customHeight="1">
      <c r="B930" t="s">
        <v>12346</v>
      </c>
      <c r="C930" s="2" t="str">
        <f>IFERROR(VLOOKUP(B930,'General price list'!C:BA,MATCH("PAL",'General price list'!$C$20:$BA$20,0),FALSE),"")</f>
        <v/>
      </c>
      <c r="D930" s="2">
        <f>IFERROR(VLOOKUP(B930,'General price list'!C:BA,MATCH("OBJ",'General price list'!$C$20:$BA$20,0),FALSE),"")</f>
        <v>0</v>
      </c>
      <c r="E930" s="2">
        <f t="shared" si="76"/>
        <v>0</v>
      </c>
      <c r="F930" s="2">
        <f t="shared" si="77"/>
        <v>0</v>
      </c>
      <c r="G930" s="2">
        <f t="shared" si="78"/>
        <v>0</v>
      </c>
      <c r="H930" s="2">
        <f t="shared" si="79"/>
        <v>0</v>
      </c>
      <c r="I930" s="2">
        <f t="shared" si="75"/>
        <v>0</v>
      </c>
      <c r="J930">
        <f>IFERROR(VLOOKUP(B930,'General price list'!C:BA,MATCH("CBM",'General price list'!$C$20:$BA$20,0),FALSE)*(G930*C930),0)</f>
        <v>0</v>
      </c>
    </row>
    <row r="931" spans="2:10" ht="15" customHeight="1">
      <c r="B931" t="s">
        <v>12063</v>
      </c>
      <c r="C931" s="2" t="str">
        <f>IFERROR(VLOOKUP(B931,'General price list'!C:BA,MATCH("PAL",'General price list'!$C$20:$BA$20,0),FALSE),"")</f>
        <v/>
      </c>
      <c r="D931" s="2">
        <f>IFERROR(VLOOKUP(B931,'General price list'!C:BA,MATCH("OBJ",'General price list'!$C$20:$BA$20,0),FALSE),"")</f>
        <v>0</v>
      </c>
      <c r="E931" s="2">
        <f t="shared" si="76"/>
        <v>0</v>
      </c>
      <c r="F931" s="2">
        <f t="shared" si="77"/>
        <v>0</v>
      </c>
      <c r="G931" s="2">
        <f t="shared" si="78"/>
        <v>0</v>
      </c>
      <c r="H931" s="2">
        <f t="shared" si="79"/>
        <v>0</v>
      </c>
      <c r="I931" s="2">
        <f t="shared" si="75"/>
        <v>0</v>
      </c>
      <c r="J931">
        <f>IFERROR(VLOOKUP(B931,'General price list'!C:BA,MATCH("CBM",'General price list'!$C$20:$BA$20,0),FALSE)*(G931*C931),0)</f>
        <v>0</v>
      </c>
    </row>
    <row r="932" spans="2:10" ht="15" customHeight="1">
      <c r="B932" t="s">
        <v>12064</v>
      </c>
      <c r="C932" s="2" t="str">
        <f>IFERROR(VLOOKUP(B932,'General price list'!C:BA,MATCH("PAL",'General price list'!$C$20:$BA$20,0),FALSE),"")</f>
        <v/>
      </c>
      <c r="D932" s="2">
        <f>IFERROR(VLOOKUP(B932,'General price list'!C:BA,MATCH("OBJ",'General price list'!$C$20:$BA$20,0),FALSE),"")</f>
        <v>0</v>
      </c>
      <c r="E932" s="2">
        <f t="shared" si="76"/>
        <v>0</v>
      </c>
      <c r="F932" s="2">
        <f t="shared" si="77"/>
        <v>0</v>
      </c>
      <c r="G932" s="2">
        <f t="shared" si="78"/>
        <v>0</v>
      </c>
      <c r="H932" s="2">
        <f t="shared" si="79"/>
        <v>0</v>
      </c>
      <c r="I932" s="2">
        <f t="shared" si="75"/>
        <v>0</v>
      </c>
      <c r="J932">
        <f>IFERROR(VLOOKUP(B932,'General price list'!C:BA,MATCH("CBM",'General price list'!$C$20:$BA$20,0),FALSE)*(G932*C932),0)</f>
        <v>0</v>
      </c>
    </row>
    <row r="933" spans="2:10" ht="15" customHeight="1">
      <c r="B933" t="s">
        <v>12065</v>
      </c>
      <c r="C933" s="2" t="str">
        <f>IFERROR(VLOOKUP(B933,'General price list'!C:BA,MATCH("PAL",'General price list'!$C$20:$BA$20,0),FALSE),"")</f>
        <v/>
      </c>
      <c r="D933" s="2">
        <f>IFERROR(VLOOKUP(B933,'General price list'!C:BA,MATCH("OBJ",'General price list'!$C$20:$BA$20,0),FALSE),"")</f>
        <v>0</v>
      </c>
      <c r="E933" s="2">
        <f t="shared" si="76"/>
        <v>0</v>
      </c>
      <c r="F933" s="2">
        <f t="shared" si="77"/>
        <v>0</v>
      </c>
      <c r="G933" s="2">
        <f t="shared" si="78"/>
        <v>0</v>
      </c>
      <c r="H933" s="2">
        <f t="shared" si="79"/>
        <v>0</v>
      </c>
      <c r="I933" s="2">
        <f t="shared" si="75"/>
        <v>0</v>
      </c>
      <c r="J933">
        <f>IFERROR(VLOOKUP(B933,'General price list'!C:BA,MATCH("CBM",'General price list'!$C$20:$BA$20,0),FALSE)*(G933*C933),0)</f>
        <v>0</v>
      </c>
    </row>
    <row r="934" spans="2:10" ht="15" customHeight="1">
      <c r="B934" t="s">
        <v>12066</v>
      </c>
      <c r="C934" s="2" t="str">
        <f>IFERROR(VLOOKUP(B934,'General price list'!C:BA,MATCH("PAL",'General price list'!$C$20:$BA$20,0),FALSE),"")</f>
        <v/>
      </c>
      <c r="D934" s="2">
        <f>IFERROR(VLOOKUP(B934,'General price list'!C:BA,MATCH("OBJ",'General price list'!$C$20:$BA$20,0),FALSE),"")</f>
        <v>0</v>
      </c>
      <c r="E934" s="2">
        <f t="shared" si="76"/>
        <v>0</v>
      </c>
      <c r="F934" s="2">
        <f t="shared" si="77"/>
        <v>0</v>
      </c>
      <c r="G934" s="2">
        <f t="shared" si="78"/>
        <v>0</v>
      </c>
      <c r="H934" s="2">
        <f t="shared" si="79"/>
        <v>0</v>
      </c>
      <c r="I934" s="2">
        <f t="shared" si="75"/>
        <v>0</v>
      </c>
      <c r="J934">
        <f>IFERROR(VLOOKUP(B934,'General price list'!C:BA,MATCH("CBM",'General price list'!$C$20:$BA$20,0),FALSE)*(G934*C934),0)</f>
        <v>0</v>
      </c>
    </row>
    <row r="935" spans="2:10" ht="15" customHeight="1">
      <c r="B935" t="s">
        <v>12067</v>
      </c>
      <c r="C935" s="2" t="str">
        <f>IFERROR(VLOOKUP(B935,'General price list'!C:BA,MATCH("PAL",'General price list'!$C$20:$BA$20,0),FALSE),"")</f>
        <v/>
      </c>
      <c r="D935" s="2">
        <f>IFERROR(VLOOKUP(B935,'General price list'!C:BA,MATCH("OBJ",'General price list'!$C$20:$BA$20,0),FALSE),"")</f>
        <v>0</v>
      </c>
      <c r="E935" s="2">
        <f t="shared" si="76"/>
        <v>0</v>
      </c>
      <c r="F935" s="2">
        <f t="shared" si="77"/>
        <v>0</v>
      </c>
      <c r="G935" s="2">
        <f t="shared" si="78"/>
        <v>0</v>
      </c>
      <c r="H935" s="2">
        <f t="shared" si="79"/>
        <v>0</v>
      </c>
      <c r="I935" s="2">
        <f t="shared" si="75"/>
        <v>0</v>
      </c>
      <c r="J935">
        <f>IFERROR(VLOOKUP(B935,'General price list'!C:BA,MATCH("CBM",'General price list'!$C$20:$BA$20,0),FALSE)*(G935*C935),0)</f>
        <v>0</v>
      </c>
    </row>
    <row r="936" spans="2:10" ht="15" customHeight="1">
      <c r="B936" t="s">
        <v>12068</v>
      </c>
      <c r="C936" s="2" t="str">
        <f>IFERROR(VLOOKUP(B936,'General price list'!C:BA,MATCH("PAL",'General price list'!$C$20:$BA$20,0),FALSE),"")</f>
        <v/>
      </c>
      <c r="D936" s="2">
        <f>IFERROR(VLOOKUP(B936,'General price list'!C:BA,MATCH("OBJ",'General price list'!$C$20:$BA$20,0),FALSE),"")</f>
        <v>0</v>
      </c>
      <c r="E936" s="2">
        <f t="shared" si="76"/>
        <v>0</v>
      </c>
      <c r="F936" s="2">
        <f t="shared" si="77"/>
        <v>0</v>
      </c>
      <c r="G936" s="2">
        <f t="shared" si="78"/>
        <v>0</v>
      </c>
      <c r="H936" s="2">
        <f t="shared" si="79"/>
        <v>0</v>
      </c>
      <c r="I936" s="2">
        <f t="shared" si="75"/>
        <v>0</v>
      </c>
      <c r="J936">
        <f>IFERROR(VLOOKUP(B936,'General price list'!C:BA,MATCH("CBM",'General price list'!$C$20:$BA$20,0),FALSE)*(G936*C936),0)</f>
        <v>0</v>
      </c>
    </row>
    <row r="937" spans="2:10" ht="15" customHeight="1">
      <c r="B937" t="s">
        <v>12070</v>
      </c>
      <c r="C937" s="2" t="str">
        <f>IFERROR(VLOOKUP(B937,'General price list'!C:BA,MATCH("PAL",'General price list'!$C$20:$BA$20,0),FALSE),"")</f>
        <v/>
      </c>
      <c r="D937" s="2">
        <f>IFERROR(VLOOKUP(B937,'General price list'!C:BA,MATCH("OBJ",'General price list'!$C$20:$BA$20,0),FALSE),"")</f>
        <v>0</v>
      </c>
      <c r="E937" s="2">
        <f t="shared" si="76"/>
        <v>0</v>
      </c>
      <c r="F937" s="2">
        <f t="shared" si="77"/>
        <v>0</v>
      </c>
      <c r="G937" s="2">
        <f t="shared" si="78"/>
        <v>0</v>
      </c>
      <c r="H937" s="2">
        <f t="shared" si="79"/>
        <v>0</v>
      </c>
      <c r="I937" s="2">
        <f t="shared" si="75"/>
        <v>0</v>
      </c>
      <c r="J937">
        <f>IFERROR(VLOOKUP(B937,'General price list'!C:BA,MATCH("CBM",'General price list'!$C$20:$BA$20,0),FALSE)*(G937*C937),0)</f>
        <v>0</v>
      </c>
    </row>
    <row r="938" spans="2:10" ht="15" customHeight="1">
      <c r="B938" t="s">
        <v>12071</v>
      </c>
      <c r="C938" s="2" t="str">
        <f>IFERROR(VLOOKUP(B938,'General price list'!C:BA,MATCH("PAL",'General price list'!$C$20:$BA$20,0),FALSE),"")</f>
        <v/>
      </c>
      <c r="D938" s="2">
        <f>IFERROR(VLOOKUP(B938,'General price list'!C:BA,MATCH("OBJ",'General price list'!$C$20:$BA$20,0),FALSE),"")</f>
        <v>0</v>
      </c>
      <c r="E938" s="2">
        <f t="shared" si="76"/>
        <v>0</v>
      </c>
      <c r="F938" s="2">
        <f t="shared" si="77"/>
        <v>0</v>
      </c>
      <c r="G938" s="2">
        <f t="shared" si="78"/>
        <v>0</v>
      </c>
      <c r="H938" s="2">
        <f t="shared" si="79"/>
        <v>0</v>
      </c>
      <c r="I938" s="2">
        <f t="shared" si="75"/>
        <v>0</v>
      </c>
      <c r="J938">
        <f>IFERROR(VLOOKUP(B938,'General price list'!C:BA,MATCH("CBM",'General price list'!$C$20:$BA$20,0),FALSE)*(G938*C938),0)</f>
        <v>0</v>
      </c>
    </row>
    <row r="939" spans="2:10" ht="15" customHeight="1">
      <c r="B939" t="s">
        <v>12072</v>
      </c>
      <c r="C939" s="2" t="str">
        <f>IFERROR(VLOOKUP(B939,'General price list'!C:BA,MATCH("PAL",'General price list'!$C$20:$BA$20,0),FALSE),"")</f>
        <v/>
      </c>
      <c r="D939" s="2">
        <f>IFERROR(VLOOKUP(B939,'General price list'!C:BA,MATCH("OBJ",'General price list'!$C$20:$BA$20,0),FALSE),"")</f>
        <v>0</v>
      </c>
      <c r="E939" s="2">
        <f t="shared" si="76"/>
        <v>0</v>
      </c>
      <c r="F939" s="2">
        <f t="shared" si="77"/>
        <v>0</v>
      </c>
      <c r="G939" s="2">
        <f t="shared" si="78"/>
        <v>0</v>
      </c>
      <c r="H939" s="2">
        <f t="shared" si="79"/>
        <v>0</v>
      </c>
      <c r="I939" s="2">
        <f t="shared" si="75"/>
        <v>0</v>
      </c>
      <c r="J939">
        <f>IFERROR(VLOOKUP(B939,'General price list'!C:BA,MATCH("CBM",'General price list'!$C$20:$BA$20,0),FALSE)*(G939*C939),0)</f>
        <v>0</v>
      </c>
    </row>
    <row r="940" spans="2:10" ht="15" customHeight="1">
      <c r="B940" t="s">
        <v>12073</v>
      </c>
      <c r="C940" s="2" t="str">
        <f>IFERROR(VLOOKUP(B940,'General price list'!C:BA,MATCH("PAL",'General price list'!$C$20:$BA$20,0),FALSE),"")</f>
        <v/>
      </c>
      <c r="D940" s="2">
        <f>IFERROR(VLOOKUP(B940,'General price list'!C:BA,MATCH("OBJ",'General price list'!$C$20:$BA$20,0),FALSE),"")</f>
        <v>0</v>
      </c>
      <c r="E940" s="2">
        <f t="shared" si="76"/>
        <v>0</v>
      </c>
      <c r="F940" s="2">
        <f t="shared" si="77"/>
        <v>0</v>
      </c>
      <c r="G940" s="2">
        <f t="shared" si="78"/>
        <v>0</v>
      </c>
      <c r="H940" s="2">
        <f t="shared" si="79"/>
        <v>0</v>
      </c>
      <c r="I940" s="2">
        <f t="shared" si="75"/>
        <v>0</v>
      </c>
      <c r="J940">
        <f>IFERROR(VLOOKUP(B940,'General price list'!C:BA,MATCH("CBM",'General price list'!$C$20:$BA$20,0),FALSE)*(G940*C940),0)</f>
        <v>0</v>
      </c>
    </row>
    <row r="941" spans="2:10" ht="15" customHeight="1">
      <c r="B941" t="s">
        <v>12347</v>
      </c>
      <c r="C941" s="2" t="str">
        <f>IFERROR(VLOOKUP(B941,'General price list'!C:BA,MATCH("PAL",'General price list'!$C$20:$BA$20,0),FALSE),"")</f>
        <v/>
      </c>
      <c r="D941" s="2">
        <f>IFERROR(VLOOKUP(B941,'General price list'!C:BA,MATCH("OBJ",'General price list'!$C$20:$BA$20,0),FALSE),"")</f>
        <v>0</v>
      </c>
      <c r="E941" s="2">
        <f t="shared" si="76"/>
        <v>0</v>
      </c>
      <c r="F941" s="2">
        <f t="shared" si="77"/>
        <v>0</v>
      </c>
      <c r="G941" s="2">
        <f t="shared" si="78"/>
        <v>0</v>
      </c>
      <c r="H941" s="2">
        <f t="shared" si="79"/>
        <v>0</v>
      </c>
      <c r="I941" s="2">
        <f t="shared" si="75"/>
        <v>0</v>
      </c>
      <c r="J941">
        <f>IFERROR(VLOOKUP(B941,'General price list'!C:BA,MATCH("CBM",'General price list'!$C$20:$BA$20,0),FALSE)*(G941*C941),0)</f>
        <v>0</v>
      </c>
    </row>
    <row r="942" spans="2:10" ht="15" customHeight="1">
      <c r="B942" t="s">
        <v>12074</v>
      </c>
      <c r="C942" s="2" t="str">
        <f>IFERROR(VLOOKUP(B942,'General price list'!C:BA,MATCH("PAL",'General price list'!$C$20:$BA$20,0),FALSE),"")</f>
        <v/>
      </c>
      <c r="D942" s="2">
        <f>IFERROR(VLOOKUP(B942,'General price list'!C:BA,MATCH("OBJ",'General price list'!$C$20:$BA$20,0),FALSE),"")</f>
        <v>0</v>
      </c>
      <c r="E942" s="2">
        <f t="shared" si="76"/>
        <v>0</v>
      </c>
      <c r="F942" s="2">
        <f t="shared" si="77"/>
        <v>0</v>
      </c>
      <c r="G942" s="2">
        <f t="shared" si="78"/>
        <v>0</v>
      </c>
      <c r="H942" s="2">
        <f t="shared" si="79"/>
        <v>0</v>
      </c>
      <c r="I942" s="2">
        <f t="shared" si="75"/>
        <v>0</v>
      </c>
      <c r="J942">
        <f>IFERROR(VLOOKUP(B942,'General price list'!C:BA,MATCH("CBM",'General price list'!$C$20:$BA$20,0),FALSE)*(G942*C942),0)</f>
        <v>0</v>
      </c>
    </row>
    <row r="943" spans="2:10" ht="15" customHeight="1">
      <c r="B943" t="s">
        <v>12348</v>
      </c>
      <c r="C943" s="2" t="str">
        <f>IFERROR(VLOOKUP(B943,'General price list'!C:BA,MATCH("PAL",'General price list'!$C$20:$BA$20,0),FALSE),"")</f>
        <v/>
      </c>
      <c r="D943" s="2">
        <f>IFERROR(VLOOKUP(B943,'General price list'!C:BA,MATCH("OBJ",'General price list'!$C$20:$BA$20,0),FALSE),"")</f>
        <v>0</v>
      </c>
      <c r="E943" s="2">
        <f t="shared" si="76"/>
        <v>0</v>
      </c>
      <c r="F943" s="2">
        <f t="shared" si="77"/>
        <v>0</v>
      </c>
      <c r="G943" s="2">
        <f t="shared" si="78"/>
        <v>0</v>
      </c>
      <c r="H943" s="2">
        <f t="shared" si="79"/>
        <v>0</v>
      </c>
      <c r="I943" s="2">
        <f t="shared" si="75"/>
        <v>0</v>
      </c>
      <c r="J943">
        <f>IFERROR(VLOOKUP(B943,'General price list'!C:BA,MATCH("CBM",'General price list'!$C$20:$BA$20,0),FALSE)*(G943*C943),0)</f>
        <v>0</v>
      </c>
    </row>
    <row r="944" spans="2:10" ht="15" customHeight="1">
      <c r="B944" t="s">
        <v>12076</v>
      </c>
      <c r="C944" s="2" t="str">
        <f>IFERROR(VLOOKUP(B944,'General price list'!C:BA,MATCH("PAL",'General price list'!$C$20:$BA$20,0),FALSE),"")</f>
        <v/>
      </c>
      <c r="D944" s="2">
        <f>IFERROR(VLOOKUP(B944,'General price list'!C:BA,MATCH("OBJ",'General price list'!$C$20:$BA$20,0),FALSE),"")</f>
        <v>0</v>
      </c>
      <c r="E944" s="2">
        <f t="shared" si="76"/>
        <v>0</v>
      </c>
      <c r="F944" s="2">
        <f t="shared" si="77"/>
        <v>0</v>
      </c>
      <c r="G944" s="2">
        <f t="shared" si="78"/>
        <v>0</v>
      </c>
      <c r="H944" s="2">
        <f t="shared" si="79"/>
        <v>0</v>
      </c>
      <c r="I944" s="2">
        <f t="shared" si="75"/>
        <v>0</v>
      </c>
      <c r="J944">
        <f>IFERROR(VLOOKUP(B944,'General price list'!C:BA,MATCH("CBM",'General price list'!$C$20:$BA$20,0),FALSE)*(G944*C944),0)</f>
        <v>0</v>
      </c>
    </row>
    <row r="945" spans="2:10" ht="15" customHeight="1">
      <c r="B945" t="s">
        <v>12077</v>
      </c>
      <c r="C945" s="2" t="str">
        <f>IFERROR(VLOOKUP(B945,'General price list'!C:BA,MATCH("PAL",'General price list'!$C$20:$BA$20,0),FALSE),"")</f>
        <v/>
      </c>
      <c r="D945" s="2">
        <f>IFERROR(VLOOKUP(B945,'General price list'!C:BA,MATCH("OBJ",'General price list'!$C$20:$BA$20,0),FALSE),"")</f>
        <v>0</v>
      </c>
      <c r="E945" s="2">
        <f t="shared" si="76"/>
        <v>0</v>
      </c>
      <c r="F945" s="2">
        <f t="shared" si="77"/>
        <v>0</v>
      </c>
      <c r="G945" s="2">
        <f t="shared" si="78"/>
        <v>0</v>
      </c>
      <c r="H945" s="2">
        <f t="shared" si="79"/>
        <v>0</v>
      </c>
      <c r="I945" s="2">
        <f t="shared" si="75"/>
        <v>0</v>
      </c>
      <c r="J945">
        <f>IFERROR(VLOOKUP(B945,'General price list'!C:BA,MATCH("CBM",'General price list'!$C$20:$BA$20,0),FALSE)*(G945*C945),0)</f>
        <v>0</v>
      </c>
    </row>
    <row r="946" spans="2:10" ht="15" customHeight="1">
      <c r="B946" t="s">
        <v>12078</v>
      </c>
      <c r="C946" s="2" t="str">
        <f>IFERROR(VLOOKUP(B946,'General price list'!C:BA,MATCH("PAL",'General price list'!$C$20:$BA$20,0),FALSE),"")</f>
        <v/>
      </c>
      <c r="D946" s="2">
        <f>IFERROR(VLOOKUP(B946,'General price list'!C:BA,MATCH("OBJ",'General price list'!$C$20:$BA$20,0),FALSE),"")</f>
        <v>0</v>
      </c>
      <c r="E946" s="2">
        <f t="shared" si="76"/>
        <v>0</v>
      </c>
      <c r="F946" s="2">
        <f t="shared" si="77"/>
        <v>0</v>
      </c>
      <c r="G946" s="2">
        <f t="shared" si="78"/>
        <v>0</v>
      </c>
      <c r="H946" s="2">
        <f t="shared" si="79"/>
        <v>0</v>
      </c>
      <c r="I946" s="2">
        <f t="shared" si="75"/>
        <v>0</v>
      </c>
      <c r="J946">
        <f>IFERROR(VLOOKUP(B946,'General price list'!C:BA,MATCH("CBM",'General price list'!$C$20:$BA$20,0),FALSE)*(G946*C946),0)</f>
        <v>0</v>
      </c>
    </row>
    <row r="947" spans="2:10" ht="15" customHeight="1">
      <c r="B947" t="s">
        <v>12079</v>
      </c>
      <c r="C947" s="2" t="str">
        <f>IFERROR(VLOOKUP(B947,'General price list'!C:BA,MATCH("PAL",'General price list'!$C$20:$BA$20,0),FALSE),"")</f>
        <v/>
      </c>
      <c r="D947" s="2">
        <f>IFERROR(VLOOKUP(B947,'General price list'!C:BA,MATCH("OBJ",'General price list'!$C$20:$BA$20,0),FALSE),"")</f>
        <v>0</v>
      </c>
      <c r="E947" s="2">
        <f t="shared" si="76"/>
        <v>0</v>
      </c>
      <c r="F947" s="2">
        <f t="shared" si="77"/>
        <v>0</v>
      </c>
      <c r="G947" s="2">
        <f t="shared" si="78"/>
        <v>0</v>
      </c>
      <c r="H947" s="2">
        <f t="shared" si="79"/>
        <v>0</v>
      </c>
      <c r="I947" s="2">
        <f t="shared" si="75"/>
        <v>0</v>
      </c>
      <c r="J947">
        <f>IFERROR(VLOOKUP(B947,'General price list'!C:BA,MATCH("CBM",'General price list'!$C$20:$BA$20,0),FALSE)*(G947*C947),0)</f>
        <v>0</v>
      </c>
    </row>
    <row r="948" spans="2:10" ht="15" customHeight="1">
      <c r="B948" t="s">
        <v>13494</v>
      </c>
      <c r="C948" s="2" t="str">
        <f>IFERROR(VLOOKUP(B948,'General price list'!C:BA,MATCH("PAL",'General price list'!$C$20:$BA$20,0),FALSE),"")</f>
        <v/>
      </c>
      <c r="D948" s="2">
        <f>IFERROR(VLOOKUP(B948,'General price list'!C:BA,MATCH("OBJ",'General price list'!$C$20:$BA$20,0),FALSE),"")</f>
        <v>0</v>
      </c>
      <c r="E948" s="2">
        <f t="shared" si="76"/>
        <v>0</v>
      </c>
      <c r="F948" s="2">
        <f t="shared" si="77"/>
        <v>0</v>
      </c>
      <c r="G948" s="2">
        <f t="shared" si="78"/>
        <v>0</v>
      </c>
      <c r="H948" s="2">
        <f t="shared" si="79"/>
        <v>0</v>
      </c>
      <c r="I948" s="2">
        <f t="shared" si="75"/>
        <v>0</v>
      </c>
      <c r="J948">
        <f>IFERROR(VLOOKUP(B948,'General price list'!C:BA,MATCH("CBM",'General price list'!$C$20:$BA$20,0),FALSE)*(G948*C948),0)</f>
        <v>0</v>
      </c>
    </row>
    <row r="949" spans="2:10" ht="15" customHeight="1">
      <c r="B949" t="s">
        <v>12081</v>
      </c>
      <c r="C949" s="2" t="str">
        <f>IFERROR(VLOOKUP(B949,'General price list'!C:BA,MATCH("PAL",'General price list'!$C$20:$BA$20,0),FALSE),"")</f>
        <v/>
      </c>
      <c r="D949" s="2">
        <f>IFERROR(VLOOKUP(B949,'General price list'!C:BA,MATCH("OBJ",'General price list'!$C$20:$BA$20,0),FALSE),"")</f>
        <v>0</v>
      </c>
      <c r="E949" s="2">
        <f t="shared" si="76"/>
        <v>0</v>
      </c>
      <c r="F949" s="2">
        <f t="shared" si="77"/>
        <v>0</v>
      </c>
      <c r="G949" s="2">
        <f t="shared" si="78"/>
        <v>0</v>
      </c>
      <c r="H949" s="2">
        <f t="shared" si="79"/>
        <v>0</v>
      </c>
      <c r="I949" s="2">
        <f t="shared" si="75"/>
        <v>0</v>
      </c>
      <c r="J949">
        <f>IFERROR(VLOOKUP(B949,'General price list'!C:BA,MATCH("CBM",'General price list'!$C$20:$BA$20,0),FALSE)*(G949*C949),0)</f>
        <v>0</v>
      </c>
    </row>
    <row r="950" spans="2:10" ht="15" customHeight="1">
      <c r="B950" t="s">
        <v>12349</v>
      </c>
      <c r="C950" s="2" t="str">
        <f>IFERROR(VLOOKUP(B950,'General price list'!C:BA,MATCH("PAL",'General price list'!$C$20:$BA$20,0),FALSE),"")</f>
        <v/>
      </c>
      <c r="D950" s="2">
        <f>IFERROR(VLOOKUP(B950,'General price list'!C:BA,MATCH("OBJ",'General price list'!$C$20:$BA$20,0),FALSE),"")</f>
        <v>0</v>
      </c>
      <c r="E950" s="2">
        <f t="shared" si="76"/>
        <v>0</v>
      </c>
      <c r="F950" s="2">
        <f t="shared" si="77"/>
        <v>0</v>
      </c>
      <c r="G950" s="2">
        <f t="shared" si="78"/>
        <v>0</v>
      </c>
      <c r="H950" s="2">
        <f t="shared" si="79"/>
        <v>0</v>
      </c>
      <c r="I950" s="2">
        <f t="shared" si="75"/>
        <v>0</v>
      </c>
      <c r="J950">
        <f>IFERROR(VLOOKUP(B950,'General price list'!C:BA,MATCH("CBM",'General price list'!$C$20:$BA$20,0),FALSE)*(G950*C950),0)</f>
        <v>0</v>
      </c>
    </row>
    <row r="951" spans="2:10" ht="15" customHeight="1">
      <c r="B951" t="s">
        <v>12082</v>
      </c>
      <c r="C951" s="2" t="str">
        <f>IFERROR(VLOOKUP(B951,'General price list'!C:BA,MATCH("PAL",'General price list'!$C$20:$BA$20,0),FALSE),"")</f>
        <v/>
      </c>
      <c r="D951" s="2">
        <f>IFERROR(VLOOKUP(B951,'General price list'!C:BA,MATCH("OBJ",'General price list'!$C$20:$BA$20,0),FALSE),"")</f>
        <v>0</v>
      </c>
      <c r="E951" s="2">
        <f t="shared" si="76"/>
        <v>0</v>
      </c>
      <c r="F951" s="2">
        <f t="shared" si="77"/>
        <v>0</v>
      </c>
      <c r="G951" s="2">
        <f t="shared" si="78"/>
        <v>0</v>
      </c>
      <c r="H951" s="2">
        <f t="shared" si="79"/>
        <v>0</v>
      </c>
      <c r="I951" s="2">
        <f t="shared" si="75"/>
        <v>0</v>
      </c>
      <c r="J951">
        <f>IFERROR(VLOOKUP(B951,'General price list'!C:BA,MATCH("CBM",'General price list'!$C$20:$BA$20,0),FALSE)*(G951*C951),0)</f>
        <v>0</v>
      </c>
    </row>
    <row r="952" spans="2:10" ht="15" customHeight="1">
      <c r="B952" t="s">
        <v>12084</v>
      </c>
      <c r="C952" s="2" t="str">
        <f>IFERROR(VLOOKUP(B952,'General price list'!C:BA,MATCH("PAL",'General price list'!$C$20:$BA$20,0),FALSE),"")</f>
        <v/>
      </c>
      <c r="D952" s="2">
        <f>IFERROR(VLOOKUP(B952,'General price list'!C:BA,MATCH("OBJ",'General price list'!$C$20:$BA$20,0),FALSE),"")</f>
        <v>0</v>
      </c>
      <c r="E952" s="2">
        <f t="shared" si="76"/>
        <v>0</v>
      </c>
      <c r="F952" s="2">
        <f t="shared" si="77"/>
        <v>0</v>
      </c>
      <c r="G952" s="2">
        <f t="shared" si="78"/>
        <v>0</v>
      </c>
      <c r="H952" s="2">
        <f t="shared" si="79"/>
        <v>0</v>
      </c>
      <c r="I952" s="2">
        <f t="shared" si="75"/>
        <v>0</v>
      </c>
      <c r="J952">
        <f>IFERROR(VLOOKUP(B952,'General price list'!C:BA,MATCH("CBM",'General price list'!$C$20:$BA$20,0),FALSE)*(G952*C952),0)</f>
        <v>0</v>
      </c>
    </row>
    <row r="953" spans="2:10" ht="15" customHeight="1">
      <c r="B953" t="s">
        <v>12085</v>
      </c>
      <c r="C953" s="2" t="str">
        <f>IFERROR(VLOOKUP(B953,'General price list'!C:BA,MATCH("PAL",'General price list'!$C$20:$BA$20,0),FALSE),"")</f>
        <v/>
      </c>
      <c r="D953" s="2">
        <f>IFERROR(VLOOKUP(B953,'General price list'!C:BA,MATCH("OBJ",'General price list'!$C$20:$BA$20,0),FALSE),"")</f>
        <v>0</v>
      </c>
      <c r="E953" s="2">
        <f t="shared" si="76"/>
        <v>0</v>
      </c>
      <c r="F953" s="2">
        <f t="shared" si="77"/>
        <v>0</v>
      </c>
      <c r="G953" s="2">
        <f t="shared" si="78"/>
        <v>0</v>
      </c>
      <c r="H953" s="2">
        <f t="shared" si="79"/>
        <v>0</v>
      </c>
      <c r="I953" s="2">
        <f t="shared" si="75"/>
        <v>0</v>
      </c>
      <c r="J953">
        <f>IFERROR(VLOOKUP(B953,'General price list'!C:BA,MATCH("CBM",'General price list'!$C$20:$BA$20,0),FALSE)*(G953*C953),0)</f>
        <v>0</v>
      </c>
    </row>
    <row r="954" spans="2:10" ht="15" customHeight="1">
      <c r="B954" t="s">
        <v>12086</v>
      </c>
      <c r="C954" s="2" t="str">
        <f>IFERROR(VLOOKUP(B954,'General price list'!C:BA,MATCH("PAL",'General price list'!$C$20:$BA$20,0),FALSE),"")</f>
        <v/>
      </c>
      <c r="D954" s="2">
        <f>IFERROR(VLOOKUP(B954,'General price list'!C:BA,MATCH("OBJ",'General price list'!$C$20:$BA$20,0),FALSE),"")</f>
        <v>0</v>
      </c>
      <c r="E954" s="2">
        <f t="shared" si="76"/>
        <v>0</v>
      </c>
      <c r="F954" s="2">
        <f t="shared" si="77"/>
        <v>0</v>
      </c>
      <c r="G954" s="2">
        <f t="shared" si="78"/>
        <v>0</v>
      </c>
      <c r="H954" s="2">
        <f t="shared" si="79"/>
        <v>0</v>
      </c>
      <c r="I954" s="2">
        <f t="shared" si="75"/>
        <v>0</v>
      </c>
      <c r="J954">
        <f>IFERROR(VLOOKUP(B954,'General price list'!C:BA,MATCH("CBM",'General price list'!$C$20:$BA$20,0),FALSE)*(G954*C954),0)</f>
        <v>0</v>
      </c>
    </row>
    <row r="955" spans="2:10" ht="15" customHeight="1">
      <c r="B955" t="s">
        <v>12087</v>
      </c>
      <c r="C955" s="2" t="str">
        <f>IFERROR(VLOOKUP(B955,'General price list'!C:BA,MATCH("PAL",'General price list'!$C$20:$BA$20,0),FALSE),"")</f>
        <v/>
      </c>
      <c r="D955" s="2">
        <f>IFERROR(VLOOKUP(B955,'General price list'!C:BA,MATCH("OBJ",'General price list'!$C$20:$BA$20,0),FALSE),"")</f>
        <v>0</v>
      </c>
      <c r="E955" s="2">
        <f t="shared" si="76"/>
        <v>0</v>
      </c>
      <c r="F955" s="2">
        <f t="shared" si="77"/>
        <v>0</v>
      </c>
      <c r="G955" s="2">
        <f t="shared" si="78"/>
        <v>0</v>
      </c>
      <c r="H955" s="2">
        <f t="shared" si="79"/>
        <v>0</v>
      </c>
      <c r="I955" s="2">
        <f t="shared" si="75"/>
        <v>0</v>
      </c>
      <c r="J955">
        <f>IFERROR(VLOOKUP(B955,'General price list'!C:BA,MATCH("CBM",'General price list'!$C$20:$BA$20,0),FALSE)*(G955*C955),0)</f>
        <v>0</v>
      </c>
    </row>
    <row r="956" spans="2:10" ht="15" customHeight="1">
      <c r="B956" t="s">
        <v>12088</v>
      </c>
      <c r="C956" s="2" t="str">
        <f>IFERROR(VLOOKUP(B956,'General price list'!C:BA,MATCH("PAL",'General price list'!$C$20:$BA$20,0),FALSE),"")</f>
        <v/>
      </c>
      <c r="D956" s="2">
        <f>IFERROR(VLOOKUP(B956,'General price list'!C:BA,MATCH("OBJ",'General price list'!$C$20:$BA$20,0),FALSE),"")</f>
        <v>0</v>
      </c>
      <c r="E956" s="2">
        <f t="shared" si="76"/>
        <v>0</v>
      </c>
      <c r="F956" s="2">
        <f t="shared" si="77"/>
        <v>0</v>
      </c>
      <c r="G956" s="2">
        <f t="shared" si="78"/>
        <v>0</v>
      </c>
      <c r="H956" s="2">
        <f t="shared" si="79"/>
        <v>0</v>
      </c>
      <c r="I956" s="2">
        <f t="shared" si="75"/>
        <v>0</v>
      </c>
      <c r="J956">
        <f>IFERROR(VLOOKUP(B956,'General price list'!C:BA,MATCH("CBM",'General price list'!$C$20:$BA$20,0),FALSE)*(G956*C956),0)</f>
        <v>0</v>
      </c>
    </row>
    <row r="957" spans="2:10" ht="15" customHeight="1">
      <c r="B957" t="s">
        <v>12350</v>
      </c>
      <c r="C957" s="2" t="str">
        <f>IFERROR(VLOOKUP(B957,'General price list'!C:BA,MATCH("PAL",'General price list'!$C$20:$BA$20,0),FALSE),"")</f>
        <v/>
      </c>
      <c r="D957" s="2">
        <f>IFERROR(VLOOKUP(B957,'General price list'!C:BA,MATCH("OBJ",'General price list'!$C$20:$BA$20,0),FALSE),"")</f>
        <v>0</v>
      </c>
      <c r="E957" s="2">
        <f t="shared" si="76"/>
        <v>0</v>
      </c>
      <c r="F957" s="2">
        <f t="shared" si="77"/>
        <v>0</v>
      </c>
      <c r="G957" s="2">
        <f t="shared" si="78"/>
        <v>0</v>
      </c>
      <c r="H957" s="2">
        <f t="shared" si="79"/>
        <v>0</v>
      </c>
      <c r="I957" s="2">
        <f t="shared" si="75"/>
        <v>0</v>
      </c>
      <c r="J957">
        <f>IFERROR(VLOOKUP(B957,'General price list'!C:BA,MATCH("CBM",'General price list'!$C$20:$BA$20,0),FALSE)*(G957*C957),0)</f>
        <v>0</v>
      </c>
    </row>
    <row r="958" spans="2:10" ht="15" customHeight="1">
      <c r="B958" t="s">
        <v>14043</v>
      </c>
      <c r="C958" s="2" t="str">
        <f>IFERROR(VLOOKUP(B958,'General price list'!C:BA,MATCH("PAL",'General price list'!$C$20:$BA$20,0),FALSE),"")</f>
        <v/>
      </c>
      <c r="D958" s="2">
        <f>IFERROR(VLOOKUP(B958,'General price list'!C:BA,MATCH("OBJ",'General price list'!$C$20:$BA$20,0),FALSE),"")</f>
        <v>0</v>
      </c>
      <c r="E958" s="2">
        <f t="shared" si="76"/>
        <v>0</v>
      </c>
      <c r="F958" s="2">
        <f t="shared" si="77"/>
        <v>0</v>
      </c>
      <c r="G958" s="2">
        <f t="shared" si="78"/>
        <v>0</v>
      </c>
      <c r="H958" s="2">
        <f t="shared" si="79"/>
        <v>0</v>
      </c>
      <c r="I958" s="2">
        <f t="shared" si="75"/>
        <v>0</v>
      </c>
      <c r="J958">
        <f>IFERROR(VLOOKUP(B958,'General price list'!C:BA,MATCH("CBM",'General price list'!$C$20:$BA$20,0),FALSE)*(G958*C958),0)</f>
        <v>0</v>
      </c>
    </row>
    <row r="959" spans="2:10" ht="15" customHeight="1">
      <c r="B959" t="s">
        <v>12089</v>
      </c>
      <c r="C959" s="2" t="str">
        <f>IFERROR(VLOOKUP(B959,'General price list'!C:BA,MATCH("PAL",'General price list'!$C$20:$BA$20,0),FALSE),"")</f>
        <v/>
      </c>
      <c r="D959" s="2">
        <f>IFERROR(VLOOKUP(B959,'General price list'!C:BA,MATCH("OBJ",'General price list'!$C$20:$BA$20,0),FALSE),"")</f>
        <v>0</v>
      </c>
      <c r="E959" s="2">
        <f t="shared" si="76"/>
        <v>0</v>
      </c>
      <c r="F959" s="2">
        <f t="shared" si="77"/>
        <v>0</v>
      </c>
      <c r="G959" s="2">
        <f t="shared" si="78"/>
        <v>0</v>
      </c>
      <c r="H959" s="2">
        <f t="shared" si="79"/>
        <v>0</v>
      </c>
      <c r="I959" s="2">
        <f t="shared" si="75"/>
        <v>0</v>
      </c>
      <c r="J959">
        <f>IFERROR(VLOOKUP(B959,'General price list'!C:BA,MATCH("CBM",'General price list'!$C$20:$BA$20,0),FALSE)*(G959*C959),0)</f>
        <v>0</v>
      </c>
    </row>
    <row r="960" spans="2:10" ht="15" customHeight="1">
      <c r="B960" t="s">
        <v>12091</v>
      </c>
      <c r="C960" s="2" t="str">
        <f>IFERROR(VLOOKUP(B960,'General price list'!C:BA,MATCH("PAL",'General price list'!$C$20:$BA$20,0),FALSE),"")</f>
        <v/>
      </c>
      <c r="D960" s="2">
        <f>IFERROR(VLOOKUP(B960,'General price list'!C:BA,MATCH("OBJ",'General price list'!$C$20:$BA$20,0),FALSE),"")</f>
        <v>0</v>
      </c>
      <c r="E960" s="2">
        <f t="shared" si="76"/>
        <v>0</v>
      </c>
      <c r="F960" s="2">
        <f t="shared" si="77"/>
        <v>0</v>
      </c>
      <c r="G960" s="2">
        <f t="shared" si="78"/>
        <v>0</v>
      </c>
      <c r="H960" s="2">
        <f t="shared" si="79"/>
        <v>0</v>
      </c>
      <c r="I960" s="2">
        <f t="shared" si="75"/>
        <v>0</v>
      </c>
      <c r="J960">
        <f>IFERROR(VLOOKUP(B960,'General price list'!C:BA,MATCH("CBM",'General price list'!$C$20:$BA$20,0),FALSE)*(G960*C960),0)</f>
        <v>0</v>
      </c>
    </row>
    <row r="961" spans="2:10" ht="15" customHeight="1">
      <c r="B961" t="s">
        <v>12092</v>
      </c>
      <c r="C961" s="2" t="str">
        <f>IFERROR(VLOOKUP(B961,'General price list'!C:BA,MATCH("PAL",'General price list'!$C$20:$BA$20,0),FALSE),"")</f>
        <v/>
      </c>
      <c r="D961" s="2">
        <f>IFERROR(VLOOKUP(B961,'General price list'!C:BA,MATCH("OBJ",'General price list'!$C$20:$BA$20,0),FALSE),"")</f>
        <v>0</v>
      </c>
      <c r="E961" s="2">
        <f t="shared" si="76"/>
        <v>0</v>
      </c>
      <c r="F961" s="2">
        <f t="shared" si="77"/>
        <v>0</v>
      </c>
      <c r="G961" s="2">
        <f t="shared" si="78"/>
        <v>0</v>
      </c>
      <c r="H961" s="2">
        <f t="shared" si="79"/>
        <v>0</v>
      </c>
      <c r="I961" s="2">
        <f t="shared" si="75"/>
        <v>0</v>
      </c>
      <c r="J961">
        <f>IFERROR(VLOOKUP(B961,'General price list'!C:BA,MATCH("CBM",'General price list'!$C$20:$BA$20,0),FALSE)*(G961*C961),0)</f>
        <v>0</v>
      </c>
    </row>
    <row r="962" spans="2:10" ht="15" customHeight="1">
      <c r="B962" t="s">
        <v>12093</v>
      </c>
      <c r="C962" s="2" t="str">
        <f>IFERROR(VLOOKUP(B962,'General price list'!C:BA,MATCH("PAL",'General price list'!$C$20:$BA$20,0),FALSE),"")</f>
        <v/>
      </c>
      <c r="D962" s="2">
        <f>IFERROR(VLOOKUP(B962,'General price list'!C:BA,MATCH("OBJ",'General price list'!$C$20:$BA$20,0),FALSE),"")</f>
        <v>0</v>
      </c>
      <c r="E962" s="2">
        <f t="shared" si="76"/>
        <v>0</v>
      </c>
      <c r="F962" s="2">
        <f t="shared" si="77"/>
        <v>0</v>
      </c>
      <c r="G962" s="2">
        <f t="shared" si="78"/>
        <v>0</v>
      </c>
      <c r="H962" s="2">
        <f t="shared" si="79"/>
        <v>0</v>
      </c>
      <c r="I962" s="2">
        <f t="shared" si="75"/>
        <v>0</v>
      </c>
      <c r="J962">
        <f>IFERROR(VLOOKUP(B962,'General price list'!C:BA,MATCH("CBM",'General price list'!$C$20:$BA$20,0),FALSE)*(G962*C962),0)</f>
        <v>0</v>
      </c>
    </row>
    <row r="963" spans="2:10" ht="15" customHeight="1">
      <c r="B963" t="s">
        <v>12094</v>
      </c>
      <c r="C963" s="2" t="str">
        <f>IFERROR(VLOOKUP(B963,'General price list'!C:BA,MATCH("PAL",'General price list'!$C$20:$BA$20,0),FALSE),"")</f>
        <v/>
      </c>
      <c r="D963" s="2">
        <f>IFERROR(VLOOKUP(B963,'General price list'!C:BA,MATCH("OBJ",'General price list'!$C$20:$BA$20,0),FALSE),"")</f>
        <v>0</v>
      </c>
      <c r="E963" s="2">
        <f t="shared" si="76"/>
        <v>0</v>
      </c>
      <c r="F963" s="2">
        <f t="shared" si="77"/>
        <v>0</v>
      </c>
      <c r="G963" s="2">
        <f t="shared" si="78"/>
        <v>0</v>
      </c>
      <c r="H963" s="2">
        <f t="shared" si="79"/>
        <v>0</v>
      </c>
      <c r="I963" s="2">
        <f t="shared" si="75"/>
        <v>0</v>
      </c>
      <c r="J963">
        <f>IFERROR(VLOOKUP(B963,'General price list'!C:BA,MATCH("CBM",'General price list'!$C$20:$BA$20,0),FALSE)*(G963*C963),0)</f>
        <v>0</v>
      </c>
    </row>
    <row r="964" spans="2:10" ht="15" customHeight="1">
      <c r="B964" t="s">
        <v>12095</v>
      </c>
      <c r="C964" s="2" t="str">
        <f>IFERROR(VLOOKUP(B964,'General price list'!C:BA,MATCH("PAL",'General price list'!$C$20:$BA$20,0),FALSE),"")</f>
        <v/>
      </c>
      <c r="D964" s="2">
        <f>IFERROR(VLOOKUP(B964,'General price list'!C:BA,MATCH("OBJ",'General price list'!$C$20:$BA$20,0),FALSE),"")</f>
        <v>0</v>
      </c>
      <c r="E964" s="2">
        <f t="shared" si="76"/>
        <v>0</v>
      </c>
      <c r="F964" s="2">
        <f t="shared" si="77"/>
        <v>0</v>
      </c>
      <c r="G964" s="2">
        <f t="shared" si="78"/>
        <v>0</v>
      </c>
      <c r="H964" s="2">
        <f t="shared" si="79"/>
        <v>0</v>
      </c>
      <c r="I964" s="2">
        <f t="shared" ref="I964:I969" si="80">IFERROR(IF(D964=0,0,IF(F964=0,(D964*nextVK)+(prvniVK-nextVK),(G964*C964*nextVK)+(F964*PALzKoje))),0)</f>
        <v>0</v>
      </c>
      <c r="J964">
        <f>IFERROR(VLOOKUP(B964,'General price list'!C:BA,MATCH("CBM",'General price list'!$C$20:$BA$20,0),FALSE)*(G964*C964),0)</f>
        <v>0</v>
      </c>
    </row>
    <row r="965" spans="2:10" ht="15" customHeight="1">
      <c r="C965" s="2" t="str">
        <f>IFERROR(VLOOKUP(B965,'General price list'!C:BA,MATCH("PAL",'General price list'!$C$20:$BA$20,0),FALSE),"")</f>
        <v/>
      </c>
      <c r="D965" s="2" t="str">
        <f>IFERROR(VLOOKUP(B965,'General price list'!C:BA,MATCH("OBJ",'General price list'!$C$20:$BA$20,0),FALSE),"")</f>
        <v/>
      </c>
      <c r="E965" s="2">
        <f t="shared" ref="E965:E969" si="81">IFERROR(D965/C965,0)</f>
        <v>0</v>
      </c>
      <c r="F965" s="2">
        <f t="shared" ref="F965:F969" si="82">IFERROR(FLOOR(IF(E965-1&lt;0,0,E965),1),0)</f>
        <v>0</v>
      </c>
      <c r="G965" s="2">
        <f t="shared" ref="G965:G969" si="83">IFERROR(IF(H965&gt;E965,F965-E965,E965-F965),0)</f>
        <v>0</v>
      </c>
      <c r="H965" s="2">
        <f t="shared" ref="H965:H969" si="84">IFERROR(IF(E965=0,0,F965),0)</f>
        <v>0</v>
      </c>
      <c r="I965" s="2">
        <f t="shared" si="80"/>
        <v>0</v>
      </c>
      <c r="J965">
        <f>IFERROR(VLOOKUP(B965,'General price list'!C:BA,MATCH("CBM",'General price list'!$C$20:$BA$20,0),FALSE)*(G965*C965),0)</f>
        <v>0</v>
      </c>
    </row>
    <row r="966" spans="2:10" ht="15" customHeight="1">
      <c r="B966" t="s">
        <v>930</v>
      </c>
      <c r="C966" s="2" t="str">
        <f>IFERROR(VLOOKUP(B966,'General price list'!C:BA,MATCH("PAL",'General price list'!$C$20:$BA$20,0),FALSE),"")</f>
        <v/>
      </c>
      <c r="D966" s="2" t="str">
        <f>IFERROR(VLOOKUP(B966,'General price list'!C:BA,MATCH("OBJ",'General price list'!$C$20:$BA$20,0),FALSE),"")</f>
        <v/>
      </c>
      <c r="E966" s="2">
        <f t="shared" si="81"/>
        <v>0</v>
      </c>
      <c r="F966" s="2">
        <f t="shared" si="82"/>
        <v>0</v>
      </c>
      <c r="G966" s="2">
        <f t="shared" si="83"/>
        <v>0</v>
      </c>
      <c r="H966" s="2">
        <f t="shared" si="84"/>
        <v>0</v>
      </c>
      <c r="I966" s="2">
        <f t="shared" si="80"/>
        <v>0</v>
      </c>
      <c r="J966">
        <f>IFERROR(VLOOKUP(B966,'General price list'!C:BA,MATCH("CBM",'General price list'!$C$20:$BA$20,0),FALSE)*(G966*C966),0)</f>
        <v>0</v>
      </c>
    </row>
    <row r="967" spans="2:10" ht="15" customHeight="1">
      <c r="B967" t="s">
        <v>989</v>
      </c>
      <c r="C967" s="2" t="str">
        <f>IFERROR(VLOOKUP(B967,'General price list'!C:BA,MATCH("PAL",'General price list'!$C$20:$BA$20,0),FALSE),"")</f>
        <v/>
      </c>
      <c r="D967" s="2" t="str">
        <f>IFERROR(VLOOKUP(B967,'General price list'!C:BA,MATCH("OBJ",'General price list'!$C$20:$BA$20,0),FALSE),"")</f>
        <v/>
      </c>
      <c r="E967" s="2">
        <f t="shared" si="81"/>
        <v>0</v>
      </c>
      <c r="F967" s="2">
        <f t="shared" si="82"/>
        <v>0</v>
      </c>
      <c r="G967" s="2">
        <f t="shared" si="83"/>
        <v>0</v>
      </c>
      <c r="H967" s="2">
        <f t="shared" si="84"/>
        <v>0</v>
      </c>
      <c r="I967" s="2">
        <f t="shared" si="80"/>
        <v>0</v>
      </c>
      <c r="J967">
        <f>IFERROR(VLOOKUP(B967,'General price list'!C:BA,MATCH("CBM",'General price list'!$C$20:$BA$20,0),FALSE)*(G967*C967),0)</f>
        <v>0</v>
      </c>
    </row>
    <row r="968" spans="2:10" ht="15" customHeight="1">
      <c r="B968" t="s">
        <v>1983</v>
      </c>
      <c r="C968" s="2" t="str">
        <f>IFERROR(VLOOKUP(B968,'General price list'!C:BA,MATCH("PAL",'General price list'!$C$20:$BA$20,0),FALSE),"")</f>
        <v/>
      </c>
      <c r="D968" s="2" t="str">
        <f>IFERROR(VLOOKUP(B968,'General price list'!C:BA,MATCH("OBJ",'General price list'!$C$20:$BA$20,0),FALSE),"")</f>
        <v/>
      </c>
      <c r="E968" s="2">
        <f t="shared" si="81"/>
        <v>0</v>
      </c>
      <c r="F968" s="2">
        <f t="shared" si="82"/>
        <v>0</v>
      </c>
      <c r="G968" s="2">
        <f t="shared" si="83"/>
        <v>0</v>
      </c>
      <c r="H968" s="2">
        <f t="shared" si="84"/>
        <v>0</v>
      </c>
      <c r="I968" s="2">
        <f t="shared" si="80"/>
        <v>0</v>
      </c>
      <c r="J968">
        <f>IFERROR(VLOOKUP(B968,'General price list'!C:BA,MATCH("CBM",'General price list'!$C$20:$BA$20,0),FALSE)*(G968*C968),0)</f>
        <v>0</v>
      </c>
    </row>
    <row r="969" spans="2:10" ht="15" customHeight="1">
      <c r="B969" t="s">
        <v>1985</v>
      </c>
      <c r="C969" s="2" t="str">
        <f>IFERROR(VLOOKUP(B969,'General price list'!C:BA,MATCH("PAL",'General price list'!$C$20:$BA$20,0),FALSE),"")</f>
        <v/>
      </c>
      <c r="D969" s="2" t="str">
        <f>IFERROR(VLOOKUP(B969,'General price list'!C:BA,MATCH("OBJ",'General price list'!$C$20:$BA$20,0),FALSE),"")</f>
        <v/>
      </c>
      <c r="E969" s="2">
        <f t="shared" si="81"/>
        <v>0</v>
      </c>
      <c r="F969" s="2">
        <f t="shared" si="82"/>
        <v>0</v>
      </c>
      <c r="G969" s="2">
        <f t="shared" si="83"/>
        <v>0</v>
      </c>
      <c r="H969" s="2">
        <f t="shared" si="84"/>
        <v>0</v>
      </c>
      <c r="I969" s="2">
        <f t="shared" si="80"/>
        <v>0</v>
      </c>
      <c r="J969">
        <f>IFERROR(VLOOKUP(B969,'General price list'!C:BA,MATCH("CBM",'General price list'!$C$20:$BA$20,0),FALSE)*(G969*C969),0)</f>
        <v>0</v>
      </c>
    </row>
    <row r="970" spans="2:10" ht="15" customHeight="1">
      <c r="B970" t="s">
        <v>1991</v>
      </c>
      <c r="C970" s="2" t="str">
        <f>IFERROR(VLOOKUP(B970,'General price list'!C:BA,MATCH("PAL",'General price list'!$C$20:$BA$20,0),FALSE),"")</f>
        <v/>
      </c>
      <c r="D970" s="2" t="str">
        <f>IFERROR(VLOOKUP(B970,'General price list'!C:BA,MATCH("OBJ",'General price list'!$C$20:$BA$20,0),FALSE),"")</f>
        <v/>
      </c>
      <c r="E970" s="2">
        <f t="shared" ref="E970:E985" si="85">IFERROR(D970/C970,0)</f>
        <v>0</v>
      </c>
      <c r="F970" s="2">
        <f t="shared" ref="F970:F985" si="86">IFERROR(FLOOR(IF(E970-1&lt;0,0,E970),1),0)</f>
        <v>0</v>
      </c>
      <c r="G970" s="2">
        <f t="shared" ref="G970:G985" si="87">IFERROR(IF(H970&gt;E970,F970-E970,E970-F970),0)</f>
        <v>0</v>
      </c>
      <c r="H970" s="2">
        <f t="shared" ref="H970:H985" si="88">IFERROR(IF(E970=0,0,F970),0)</f>
        <v>0</v>
      </c>
      <c r="I970" s="2">
        <f t="shared" ref="I970:I985" si="89">IFERROR(IF(D970=0,0,IF(F970=0,(D970*nextVK)+(prvniVK-nextVK),(G970*C970*nextVK)+(F970*PALzKoje))),0)</f>
        <v>0</v>
      </c>
      <c r="J970">
        <f>IFERROR(VLOOKUP(B970,'General price list'!C:BA,MATCH("CBM",'General price list'!$C$20:$BA$20,0),FALSE)*(G970*C970),0)</f>
        <v>0</v>
      </c>
    </row>
    <row r="971" spans="2:10" ht="15" customHeight="1">
      <c r="B971" t="s">
        <v>1995</v>
      </c>
      <c r="C971" s="2" t="str">
        <f>IFERROR(VLOOKUP(B971,'General price list'!C:BA,MATCH("PAL",'General price list'!$C$20:$BA$20,0),FALSE),"")</f>
        <v/>
      </c>
      <c r="D971" s="2" t="str">
        <f>IFERROR(VLOOKUP(B971,'General price list'!C:BA,MATCH("OBJ",'General price list'!$C$20:$BA$20,0),FALSE),"")</f>
        <v/>
      </c>
      <c r="E971" s="2">
        <f t="shared" si="85"/>
        <v>0</v>
      </c>
      <c r="F971" s="2">
        <f t="shared" si="86"/>
        <v>0</v>
      </c>
      <c r="G971" s="2">
        <f t="shared" si="87"/>
        <v>0</v>
      </c>
      <c r="H971" s="2">
        <f t="shared" si="88"/>
        <v>0</v>
      </c>
      <c r="I971" s="2">
        <f t="shared" si="89"/>
        <v>0</v>
      </c>
      <c r="J971">
        <f>IFERROR(VLOOKUP(B971,'General price list'!C:BA,MATCH("CBM",'General price list'!$C$20:$BA$20,0),FALSE)*(G971*C971),0)</f>
        <v>0</v>
      </c>
    </row>
    <row r="972" spans="2:10" ht="15" customHeight="1">
      <c r="B972" t="s">
        <v>1997</v>
      </c>
      <c r="C972" s="2" t="str">
        <f>IFERROR(VLOOKUP(B972,'General price list'!C:BA,MATCH("PAL",'General price list'!$C$20:$BA$20,0),FALSE),"")</f>
        <v/>
      </c>
      <c r="D972" s="2" t="str">
        <f>IFERROR(VLOOKUP(B972,'General price list'!C:BA,MATCH("OBJ",'General price list'!$C$20:$BA$20,0),FALSE),"")</f>
        <v/>
      </c>
      <c r="E972" s="2">
        <f t="shared" si="85"/>
        <v>0</v>
      </c>
      <c r="F972" s="2">
        <f t="shared" si="86"/>
        <v>0</v>
      </c>
      <c r="G972" s="2">
        <f t="shared" si="87"/>
        <v>0</v>
      </c>
      <c r="H972" s="2">
        <f t="shared" si="88"/>
        <v>0</v>
      </c>
      <c r="I972" s="2">
        <f t="shared" si="89"/>
        <v>0</v>
      </c>
      <c r="J972">
        <f>IFERROR(VLOOKUP(B972,'General price list'!C:BA,MATCH("CBM",'General price list'!$C$20:$BA$20,0),FALSE)*(G972*C972),0)</f>
        <v>0</v>
      </c>
    </row>
    <row r="973" spans="2:10" ht="15" customHeight="1">
      <c r="B973" t="s">
        <v>2011</v>
      </c>
      <c r="C973" s="2" t="str">
        <f>IFERROR(VLOOKUP(B973,'General price list'!C:BA,MATCH("PAL",'General price list'!$C$20:$BA$20,0),FALSE),"")</f>
        <v/>
      </c>
      <c r="D973" s="2" t="str">
        <f>IFERROR(VLOOKUP(B973,'General price list'!C:BA,MATCH("OBJ",'General price list'!$C$20:$BA$20,0),FALSE),"")</f>
        <v/>
      </c>
      <c r="E973" s="2">
        <f t="shared" si="85"/>
        <v>0</v>
      </c>
      <c r="F973" s="2">
        <f t="shared" si="86"/>
        <v>0</v>
      </c>
      <c r="G973" s="2">
        <f t="shared" si="87"/>
        <v>0</v>
      </c>
      <c r="H973" s="2">
        <f t="shared" si="88"/>
        <v>0</v>
      </c>
      <c r="I973" s="2">
        <f t="shared" si="89"/>
        <v>0</v>
      </c>
      <c r="J973">
        <f>IFERROR(VLOOKUP(B973,'General price list'!C:BA,MATCH("CBM",'General price list'!$C$20:$BA$20,0),FALSE)*(G973*C973),0)</f>
        <v>0</v>
      </c>
    </row>
    <row r="974" spans="2:10" ht="15" customHeight="1">
      <c r="B974" t="s">
        <v>2013</v>
      </c>
      <c r="C974" s="2" t="str">
        <f>IFERROR(VLOOKUP(B974,'General price list'!C:BA,MATCH("PAL",'General price list'!$C$20:$BA$20,0),FALSE),"")</f>
        <v/>
      </c>
      <c r="D974" s="2" t="str">
        <f>IFERROR(VLOOKUP(B974,'General price list'!C:BA,MATCH("OBJ",'General price list'!$C$20:$BA$20,0),FALSE),"")</f>
        <v/>
      </c>
      <c r="E974" s="2">
        <f t="shared" si="85"/>
        <v>0</v>
      </c>
      <c r="F974" s="2">
        <f t="shared" si="86"/>
        <v>0</v>
      </c>
      <c r="G974" s="2">
        <f t="shared" si="87"/>
        <v>0</v>
      </c>
      <c r="H974" s="2">
        <f t="shared" si="88"/>
        <v>0</v>
      </c>
      <c r="I974" s="2">
        <f t="shared" si="89"/>
        <v>0</v>
      </c>
      <c r="J974">
        <f>IFERROR(VLOOKUP(B974,'General price list'!C:BA,MATCH("CBM",'General price list'!$C$20:$BA$20,0),FALSE)*(G974*C974),0)</f>
        <v>0</v>
      </c>
    </row>
    <row r="975" spans="2:10" ht="15" customHeight="1">
      <c r="B975" t="s">
        <v>2621</v>
      </c>
      <c r="C975" s="2" t="str">
        <f>IFERROR(VLOOKUP(B975,'General price list'!C:BA,MATCH("PAL",'General price list'!$C$20:$BA$20,0),FALSE),"")</f>
        <v/>
      </c>
      <c r="D975" s="2" t="str">
        <f>IFERROR(VLOOKUP(B975,'General price list'!C:BA,MATCH("OBJ",'General price list'!$C$20:$BA$20,0),FALSE),"")</f>
        <v/>
      </c>
      <c r="E975" s="2">
        <f t="shared" si="85"/>
        <v>0</v>
      </c>
      <c r="F975" s="2">
        <f t="shared" si="86"/>
        <v>0</v>
      </c>
      <c r="G975" s="2">
        <f t="shared" si="87"/>
        <v>0</v>
      </c>
      <c r="H975" s="2">
        <f t="shared" si="88"/>
        <v>0</v>
      </c>
      <c r="I975" s="2">
        <f t="shared" si="89"/>
        <v>0</v>
      </c>
      <c r="J975">
        <f>IFERROR(VLOOKUP(B975,'General price list'!C:BA,MATCH("CBM",'General price list'!$C$20:$BA$20,0),FALSE)*(G975*C975),0)</f>
        <v>0</v>
      </c>
    </row>
    <row r="976" spans="2:10" ht="15" customHeight="1">
      <c r="B976" t="s">
        <v>690</v>
      </c>
      <c r="C976" s="2" t="str">
        <f>IFERROR(VLOOKUP(B976,'General price list'!C:BA,MATCH("PAL",'General price list'!$C$20:$BA$20,0),FALSE),"")</f>
        <v/>
      </c>
      <c r="D976" s="2" t="str">
        <f>IFERROR(VLOOKUP(B976,'General price list'!C:BA,MATCH("OBJ",'General price list'!$C$20:$BA$20,0),FALSE),"")</f>
        <v/>
      </c>
      <c r="E976" s="2">
        <f t="shared" si="85"/>
        <v>0</v>
      </c>
      <c r="F976" s="2">
        <f t="shared" si="86"/>
        <v>0</v>
      </c>
      <c r="G976" s="2">
        <f t="shared" si="87"/>
        <v>0</v>
      </c>
      <c r="H976" s="2">
        <f t="shared" si="88"/>
        <v>0</v>
      </c>
      <c r="I976" s="2">
        <f t="shared" si="89"/>
        <v>0</v>
      </c>
      <c r="J976">
        <f>IFERROR(VLOOKUP(B976,'General price list'!C:BA,MATCH("CBM",'General price list'!$C$20:$BA$20,0),FALSE)*(G976*C976),0)</f>
        <v>0</v>
      </c>
    </row>
    <row r="977" spans="2:10" ht="15" customHeight="1">
      <c r="B977" t="s">
        <v>2623</v>
      </c>
      <c r="C977" s="2" t="str">
        <f>IFERROR(VLOOKUP(B977,'General price list'!C:BA,MATCH("PAL",'General price list'!$C$20:$BA$20,0),FALSE),"")</f>
        <v/>
      </c>
      <c r="D977" s="2" t="str">
        <f>IFERROR(VLOOKUP(B977,'General price list'!C:BA,MATCH("OBJ",'General price list'!$C$20:$BA$20,0),FALSE),"")</f>
        <v/>
      </c>
      <c r="E977" s="2">
        <f t="shared" si="85"/>
        <v>0</v>
      </c>
      <c r="F977" s="2">
        <f t="shared" si="86"/>
        <v>0</v>
      </c>
      <c r="G977" s="2">
        <f t="shared" si="87"/>
        <v>0</v>
      </c>
      <c r="H977" s="2">
        <f t="shared" si="88"/>
        <v>0</v>
      </c>
      <c r="I977" s="2">
        <f t="shared" si="89"/>
        <v>0</v>
      </c>
      <c r="J977">
        <f>IFERROR(VLOOKUP(B977,'General price list'!C:BA,MATCH("CBM",'General price list'!$C$20:$BA$20,0),FALSE)*(G977*C977),0)</f>
        <v>0</v>
      </c>
    </row>
    <row r="978" spans="2:10" ht="15" customHeight="1">
      <c r="B978" t="s">
        <v>2624</v>
      </c>
      <c r="C978" s="2" t="str">
        <f>IFERROR(VLOOKUP(B978,'General price list'!C:BA,MATCH("PAL",'General price list'!$C$20:$BA$20,0),FALSE),"")</f>
        <v/>
      </c>
      <c r="D978" s="2" t="str">
        <f>IFERROR(VLOOKUP(B978,'General price list'!C:BA,MATCH("OBJ",'General price list'!$C$20:$BA$20,0),FALSE),"")</f>
        <v/>
      </c>
      <c r="E978" s="2">
        <f t="shared" si="85"/>
        <v>0</v>
      </c>
      <c r="F978" s="2">
        <f t="shared" si="86"/>
        <v>0</v>
      </c>
      <c r="G978" s="2">
        <f t="shared" si="87"/>
        <v>0</v>
      </c>
      <c r="H978" s="2">
        <f t="shared" si="88"/>
        <v>0</v>
      </c>
      <c r="I978" s="2">
        <f t="shared" si="89"/>
        <v>0</v>
      </c>
      <c r="J978">
        <f>IFERROR(VLOOKUP(B978,'General price list'!C:BA,MATCH("CBM",'General price list'!$C$20:$BA$20,0),FALSE)*(G978*C978),0)</f>
        <v>0</v>
      </c>
    </row>
    <row r="979" spans="2:10" ht="15" customHeight="1">
      <c r="B979" t="s">
        <v>2625</v>
      </c>
      <c r="C979" s="2" t="str">
        <f>IFERROR(VLOOKUP(B979,'General price list'!C:BA,MATCH("PAL",'General price list'!$C$20:$BA$20,0),FALSE),"")</f>
        <v/>
      </c>
      <c r="D979" s="2" t="str">
        <f>IFERROR(VLOOKUP(B979,'General price list'!C:BA,MATCH("OBJ",'General price list'!$C$20:$BA$20,0),FALSE),"")</f>
        <v/>
      </c>
      <c r="E979" s="2">
        <f t="shared" si="85"/>
        <v>0</v>
      </c>
      <c r="F979" s="2">
        <f t="shared" si="86"/>
        <v>0</v>
      </c>
      <c r="G979" s="2">
        <f t="shared" si="87"/>
        <v>0</v>
      </c>
      <c r="H979" s="2">
        <f t="shared" si="88"/>
        <v>0</v>
      </c>
      <c r="I979" s="2">
        <f t="shared" si="89"/>
        <v>0</v>
      </c>
      <c r="J979">
        <f>IFERROR(VLOOKUP(B979,'General price list'!C:BA,MATCH("CBM",'General price list'!$C$20:$BA$20,0),FALSE)*(G979*C979),0)</f>
        <v>0</v>
      </c>
    </row>
    <row r="980" spans="2:10" ht="15" customHeight="1">
      <c r="B980" t="s">
        <v>13491</v>
      </c>
      <c r="C980" s="2" t="str">
        <f>IFERROR(VLOOKUP(B980,'General price list'!C:BA,MATCH("PAL",'General price list'!$C$20:$BA$20,0),FALSE),"")</f>
        <v/>
      </c>
      <c r="D980" s="2" t="str">
        <f>IFERROR(VLOOKUP(B980,'General price list'!C:BA,MATCH("OBJ",'General price list'!$C$20:$BA$20,0),FALSE),"")</f>
        <v/>
      </c>
      <c r="E980" s="2">
        <f t="shared" si="85"/>
        <v>0</v>
      </c>
      <c r="F980" s="2">
        <f t="shared" si="86"/>
        <v>0</v>
      </c>
      <c r="G980" s="2">
        <f t="shared" si="87"/>
        <v>0</v>
      </c>
      <c r="H980" s="2">
        <f t="shared" si="88"/>
        <v>0</v>
      </c>
      <c r="I980" s="2">
        <f t="shared" si="89"/>
        <v>0</v>
      </c>
      <c r="J980">
        <f>IFERROR(VLOOKUP(B980,'General price list'!C:BA,MATCH("CBM",'General price list'!$C$20:$BA$20,0),FALSE)*(G980*C980),0)</f>
        <v>0</v>
      </c>
    </row>
    <row r="981" spans="2:10" ht="15" customHeight="1">
      <c r="B981" t="s">
        <v>955</v>
      </c>
      <c r="C981" s="2" t="str">
        <f>IFERROR(VLOOKUP(B981,'General price list'!C:BA,MATCH("PAL",'General price list'!$C$20:$BA$20,0),FALSE),"")</f>
        <v/>
      </c>
      <c r="D981" s="2" t="str">
        <f>IFERROR(VLOOKUP(B981,'General price list'!C:BA,MATCH("OBJ",'General price list'!$C$20:$BA$20,0),FALSE),"")</f>
        <v/>
      </c>
      <c r="E981" s="2">
        <f t="shared" si="85"/>
        <v>0</v>
      </c>
      <c r="F981" s="2">
        <f t="shared" si="86"/>
        <v>0</v>
      </c>
      <c r="G981" s="2">
        <f t="shared" si="87"/>
        <v>0</v>
      </c>
      <c r="H981" s="2">
        <f t="shared" si="88"/>
        <v>0</v>
      </c>
      <c r="I981" s="2">
        <f t="shared" si="89"/>
        <v>0</v>
      </c>
      <c r="J981">
        <f>IFERROR(VLOOKUP(B981,'General price list'!C:BA,MATCH("CBM",'General price list'!$C$20:$BA$20,0),FALSE)*(G981*C981),0)</f>
        <v>0</v>
      </c>
    </row>
    <row r="982" spans="2:10" ht="15" customHeight="1">
      <c r="B982" t="s">
        <v>956</v>
      </c>
      <c r="C982" s="2" t="str">
        <f>IFERROR(VLOOKUP(B982,'General price list'!C:BA,MATCH("PAL",'General price list'!$C$20:$BA$20,0),FALSE),"")</f>
        <v/>
      </c>
      <c r="D982" s="2" t="str">
        <f>IFERROR(VLOOKUP(B982,'General price list'!C:BA,MATCH("OBJ",'General price list'!$C$20:$BA$20,0),FALSE),"")</f>
        <v/>
      </c>
      <c r="E982" s="2">
        <f t="shared" si="85"/>
        <v>0</v>
      </c>
      <c r="F982" s="2">
        <f t="shared" si="86"/>
        <v>0</v>
      </c>
      <c r="G982" s="2">
        <f t="shared" si="87"/>
        <v>0</v>
      </c>
      <c r="H982" s="2">
        <f t="shared" si="88"/>
        <v>0</v>
      </c>
      <c r="I982" s="2">
        <f t="shared" si="89"/>
        <v>0</v>
      </c>
      <c r="J982">
        <f>IFERROR(VLOOKUP(B982,'General price list'!C:BA,MATCH("CBM",'General price list'!$C$20:$BA$20,0),FALSE)*(G982*C982),0)</f>
        <v>0</v>
      </c>
    </row>
    <row r="983" spans="2:10" ht="15" customHeight="1">
      <c r="B983" t="s">
        <v>963</v>
      </c>
      <c r="C983" s="2" t="str">
        <f>IFERROR(VLOOKUP(B983,'General price list'!C:BA,MATCH("PAL",'General price list'!$C$20:$BA$20,0),FALSE),"")</f>
        <v/>
      </c>
      <c r="D983" s="2" t="str">
        <f>IFERROR(VLOOKUP(B983,'General price list'!C:BA,MATCH("OBJ",'General price list'!$C$20:$BA$20,0),FALSE),"")</f>
        <v/>
      </c>
      <c r="E983" s="2">
        <f t="shared" si="85"/>
        <v>0</v>
      </c>
      <c r="F983" s="2">
        <f t="shared" si="86"/>
        <v>0</v>
      </c>
      <c r="G983" s="2">
        <f t="shared" si="87"/>
        <v>0</v>
      </c>
      <c r="H983" s="2">
        <f t="shared" si="88"/>
        <v>0</v>
      </c>
      <c r="I983" s="2">
        <f t="shared" si="89"/>
        <v>0</v>
      </c>
      <c r="J983">
        <f>IFERROR(VLOOKUP(B983,'General price list'!C:BA,MATCH("CBM",'General price list'!$C$20:$BA$20,0),FALSE)*(G983*C983),0)</f>
        <v>0</v>
      </c>
    </row>
    <row r="984" spans="2:10" ht="15" customHeight="1">
      <c r="B984" t="s">
        <v>960</v>
      </c>
      <c r="C984" s="2" t="str">
        <f>IFERROR(VLOOKUP(B984,'General price list'!C:BA,MATCH("PAL",'General price list'!$C$20:$BA$20,0),FALSE),"")</f>
        <v/>
      </c>
      <c r="D984" s="2" t="str">
        <f>IFERROR(VLOOKUP(B984,'General price list'!C:BA,MATCH("OBJ",'General price list'!$C$20:$BA$20,0),FALSE),"")</f>
        <v/>
      </c>
      <c r="E984" s="2">
        <f t="shared" si="85"/>
        <v>0</v>
      </c>
      <c r="F984" s="2">
        <f t="shared" si="86"/>
        <v>0</v>
      </c>
      <c r="G984" s="2">
        <f t="shared" si="87"/>
        <v>0</v>
      </c>
      <c r="H984" s="2">
        <f t="shared" si="88"/>
        <v>0</v>
      </c>
      <c r="I984" s="2">
        <f t="shared" si="89"/>
        <v>0</v>
      </c>
      <c r="J984">
        <f>IFERROR(VLOOKUP(B984,'General price list'!C:BA,MATCH("CBM",'General price list'!$C$20:$BA$20,0),FALSE)*(G984*C984),0)</f>
        <v>0</v>
      </c>
    </row>
    <row r="985" spans="2:10" ht="15" customHeight="1">
      <c r="B985" t="s">
        <v>964</v>
      </c>
      <c r="C985" s="2" t="str">
        <f>IFERROR(VLOOKUP(B985,'General price list'!C:BA,MATCH("PAL",'General price list'!$C$20:$BA$20,0),FALSE),"")</f>
        <v/>
      </c>
      <c r="D985" s="2" t="str">
        <f>IFERROR(VLOOKUP(B985,'General price list'!C:BA,MATCH("OBJ",'General price list'!$C$20:$BA$20,0),FALSE),"")</f>
        <v/>
      </c>
      <c r="E985" s="2">
        <f t="shared" si="85"/>
        <v>0</v>
      </c>
      <c r="F985" s="2">
        <f t="shared" si="86"/>
        <v>0</v>
      </c>
      <c r="G985" s="2">
        <f t="shared" si="87"/>
        <v>0</v>
      </c>
      <c r="H985" s="2">
        <f t="shared" si="88"/>
        <v>0</v>
      </c>
      <c r="I985" s="2">
        <f t="shared" si="89"/>
        <v>0</v>
      </c>
      <c r="J985">
        <f>IFERROR(VLOOKUP(B985,'General price list'!C:BA,MATCH("CBM",'General price list'!$C$20:$BA$20,0),FALSE)*(G985*C985),0)</f>
        <v>0</v>
      </c>
    </row>
    <row r="986" spans="2:10" ht="15" customHeight="1">
      <c r="B986" t="s">
        <v>12080</v>
      </c>
      <c r="C986" s="2" t="str">
        <f>IFERROR(VLOOKUP(B986,'General price list'!C:BA,MATCH("PAL",'General price list'!$C$20:$BA$20,0),FALSE),"")</f>
        <v/>
      </c>
      <c r="D986" s="2" t="str">
        <f>IFERROR(VLOOKUP(B986,'General price list'!C:BA,MATCH("OBJ",'General price list'!$C$20:$BA$20,0),FALSE),"")</f>
        <v/>
      </c>
      <c r="E986" s="2">
        <f t="shared" ref="E986:E988" si="90">IFERROR(D986/C986,0)</f>
        <v>0</v>
      </c>
      <c r="F986" s="2">
        <f t="shared" ref="F986:F988" si="91">IFERROR(FLOOR(IF(E986-1&lt;0,0,E986),1),0)</f>
        <v>0</v>
      </c>
      <c r="G986" s="2">
        <f t="shared" ref="G986:G988" si="92">IFERROR(IF(H986&gt;E986,F986-E986,E986-F986),0)</f>
        <v>0</v>
      </c>
      <c r="H986" s="2">
        <f t="shared" ref="H986:H988" si="93">IFERROR(IF(E986=0,0,F986),0)</f>
        <v>0</v>
      </c>
      <c r="I986" s="2">
        <f t="shared" ref="I986:I988" si="94">IFERROR(IF(D986=0,0,IF(F986=0,(D986*nextVK)+(prvniVK-nextVK),(G986*C986*nextVK)+(F986*PALzKoje))),0)</f>
        <v>0</v>
      </c>
      <c r="J986">
        <f>IFERROR(VLOOKUP(B986,'General price list'!C:BA,MATCH("CBM",'General price list'!$C$20:$BA$20,0),FALSE)*(G986*C986),0)</f>
        <v>0</v>
      </c>
    </row>
    <row r="987" spans="2:10" ht="15" customHeight="1">
      <c r="B987" t="s">
        <v>12083</v>
      </c>
      <c r="C987" s="2" t="str">
        <f>IFERROR(VLOOKUP(B987,'General price list'!C:BA,MATCH("PAL",'General price list'!$C$20:$BA$20,0),FALSE),"")</f>
        <v/>
      </c>
      <c r="D987" s="2" t="str">
        <f>IFERROR(VLOOKUP(B987,'General price list'!C:BA,MATCH("OBJ",'General price list'!$C$20:$BA$20,0),FALSE),"")</f>
        <v/>
      </c>
      <c r="E987" s="2">
        <f t="shared" si="90"/>
        <v>0</v>
      </c>
      <c r="F987" s="2">
        <f t="shared" si="91"/>
        <v>0</v>
      </c>
      <c r="G987" s="2">
        <f t="shared" si="92"/>
        <v>0</v>
      </c>
      <c r="H987" s="2">
        <f t="shared" si="93"/>
        <v>0</v>
      </c>
      <c r="I987" s="2">
        <f t="shared" si="94"/>
        <v>0</v>
      </c>
      <c r="J987">
        <f>IFERROR(VLOOKUP(B987,'General price list'!C:BA,MATCH("CBM",'General price list'!$C$20:$BA$20,0),FALSE)*(G987*C987),0)</f>
        <v>0</v>
      </c>
    </row>
    <row r="988" spans="2:10" ht="15" customHeight="1">
      <c r="B988" t="s">
        <v>12090</v>
      </c>
      <c r="C988" s="2" t="str">
        <f>IFERROR(VLOOKUP(B988,'General price list'!C:BA,MATCH("PAL",'General price list'!$C$20:$BA$20,0),FALSE),"")</f>
        <v/>
      </c>
      <c r="D988" s="2" t="str">
        <f>IFERROR(VLOOKUP(B988,'General price list'!C:BA,MATCH("OBJ",'General price list'!$C$20:$BA$20,0),FALSE),"")</f>
        <v/>
      </c>
      <c r="E988" s="2">
        <f t="shared" si="90"/>
        <v>0</v>
      </c>
      <c r="F988" s="2">
        <f t="shared" si="91"/>
        <v>0</v>
      </c>
      <c r="G988" s="2">
        <f t="shared" si="92"/>
        <v>0</v>
      </c>
      <c r="H988" s="2">
        <f t="shared" si="93"/>
        <v>0</v>
      </c>
      <c r="I988" s="2">
        <f t="shared" si="94"/>
        <v>0</v>
      </c>
      <c r="J988">
        <f>IFERROR(VLOOKUP(B988,'General price list'!C:BA,MATCH("CBM",'General price list'!$C$20:$BA$20,0),FALSE)*(G988*C988),0)</f>
        <v>0</v>
      </c>
    </row>
    <row r="989" spans="2:10" ht="15" customHeight="1">
      <c r="C989" s="2"/>
      <c r="D989" s="2"/>
      <c r="E989" s="2"/>
      <c r="F989" s="2"/>
      <c r="G989" s="2"/>
      <c r="H989" s="2"/>
      <c r="I989" s="2"/>
    </row>
    <row r="990" spans="2:10" ht="15" customHeight="1">
      <c r="C990" s="2"/>
      <c r="D990" s="2"/>
      <c r="E990" s="2"/>
      <c r="F990" s="2"/>
      <c r="G990" s="2"/>
      <c r="H990" s="2"/>
      <c r="I990" s="2"/>
    </row>
    <row r="991" spans="2:10" ht="15" customHeight="1">
      <c r="C991" s="2"/>
      <c r="D991" s="2"/>
      <c r="E991" s="2"/>
      <c r="F991" s="2"/>
      <c r="G991" s="2"/>
      <c r="H991" s="2"/>
      <c r="I991" s="2"/>
    </row>
    <row r="992" spans="2:10" ht="15" customHeight="1">
      <c r="C992" s="2"/>
      <c r="D992" s="2"/>
      <c r="E992" s="2"/>
      <c r="F992" s="2"/>
      <c r="G992" s="2"/>
      <c r="H992" s="2"/>
      <c r="I992" s="2"/>
    </row>
    <row r="993" spans="3:9" ht="15" customHeight="1">
      <c r="C993" s="2"/>
      <c r="D993" s="2"/>
      <c r="E993" s="2"/>
      <c r="F993" s="2"/>
      <c r="G993" s="2"/>
      <c r="H993" s="2"/>
      <c r="I993" s="2"/>
    </row>
    <row r="994" spans="3:9" ht="15" customHeight="1">
      <c r="C994" s="2"/>
      <c r="D994" s="2"/>
      <c r="E994" s="2"/>
      <c r="F994" s="2"/>
      <c r="G994" s="2"/>
      <c r="H994" s="2"/>
      <c r="I994" s="2"/>
    </row>
    <row r="995" spans="3:9" ht="15" customHeight="1">
      <c r="C995" s="2"/>
      <c r="D995" s="2"/>
      <c r="E995" s="2"/>
      <c r="F995" s="2"/>
      <c r="G995" s="2"/>
      <c r="H995" s="2"/>
      <c r="I995" s="2"/>
    </row>
    <row r="996" spans="3:9" ht="15" customHeight="1">
      <c r="C996" s="2"/>
      <c r="D996" s="2"/>
      <c r="E996" s="2"/>
      <c r="F996" s="2"/>
      <c r="G996" s="2"/>
      <c r="H996" s="2"/>
      <c r="I996" s="2"/>
    </row>
    <row r="997" spans="3:9" ht="15" customHeight="1">
      <c r="C997" s="2"/>
      <c r="D997" s="2"/>
      <c r="E997" s="2"/>
      <c r="F997" s="2"/>
      <c r="G997" s="2"/>
      <c r="H997" s="2"/>
      <c r="I997" s="2"/>
    </row>
    <row r="998" spans="3:9" ht="15" customHeight="1">
      <c r="C998" s="2"/>
      <c r="D998" s="2"/>
      <c r="E998" s="2"/>
      <c r="F998" s="2"/>
      <c r="G998" s="2"/>
      <c r="H998" s="2"/>
      <c r="I998" s="2"/>
    </row>
    <row r="999" spans="3:9" ht="15" customHeight="1">
      <c r="C999" s="2"/>
      <c r="D999" s="2"/>
      <c r="E999" s="2"/>
      <c r="F999" s="2"/>
      <c r="G999" s="2"/>
      <c r="H999" s="2"/>
      <c r="I999" s="2"/>
    </row>
    <row r="1000" spans="3:9" ht="15" customHeight="1">
      <c r="C1000" s="2"/>
      <c r="D1000" s="2"/>
      <c r="E1000" s="2"/>
      <c r="F1000" s="2"/>
      <c r="G1000" s="2"/>
      <c r="H1000" s="2"/>
      <c r="I1000" s="2"/>
    </row>
    <row r="1001" spans="3:9" ht="15" customHeight="1">
      <c r="C1001" s="2"/>
      <c r="D1001" s="2"/>
      <c r="E1001" s="2"/>
      <c r="F1001" s="2"/>
      <c r="G1001" s="2"/>
      <c r="H1001" s="2"/>
      <c r="I1001" s="2"/>
    </row>
    <row r="1002" spans="3:9" ht="15" customHeight="1">
      <c r="C1002" s="2"/>
      <c r="D1002" s="2"/>
      <c r="E1002" s="2"/>
      <c r="F1002" s="2"/>
      <c r="G1002" s="2"/>
      <c r="H1002" s="2"/>
      <c r="I1002" s="2"/>
    </row>
    <row r="1003" spans="3:9" ht="15" customHeight="1">
      <c r="C1003" s="2"/>
      <c r="D1003" s="2"/>
      <c r="E1003" s="2"/>
      <c r="F1003" s="2"/>
      <c r="G1003" s="2"/>
      <c r="H1003" s="2"/>
      <c r="I1003" s="2"/>
    </row>
    <row r="1004" spans="3:9" ht="15" customHeight="1">
      <c r="C1004" s="2"/>
      <c r="D1004" s="2"/>
      <c r="E1004" s="2"/>
      <c r="F1004" s="2"/>
      <c r="G1004" s="2"/>
      <c r="H1004" s="2"/>
      <c r="I1004" s="2"/>
    </row>
    <row r="1005" spans="3:9" ht="15" customHeight="1">
      <c r="C1005" s="2"/>
      <c r="D1005" s="2"/>
      <c r="E1005" s="2"/>
      <c r="F1005" s="2"/>
      <c r="G1005" s="2"/>
      <c r="H1005" s="2"/>
      <c r="I1005" s="2"/>
    </row>
    <row r="1006" spans="3:9" ht="15" customHeight="1">
      <c r="C1006" s="2"/>
      <c r="D1006" s="2"/>
      <c r="E1006" s="2"/>
      <c r="F1006" s="2"/>
      <c r="G1006" s="2"/>
      <c r="H1006" s="2"/>
      <c r="I1006" s="2"/>
    </row>
    <row r="1007" spans="3:9" ht="15" customHeight="1">
      <c r="C1007" s="2"/>
      <c r="D1007" s="2"/>
      <c r="E1007" s="2"/>
      <c r="F1007" s="2"/>
      <c r="G1007" s="2"/>
      <c r="H1007" s="2"/>
      <c r="I1007" s="2"/>
    </row>
    <row r="1008" spans="3:9" ht="15" customHeight="1">
      <c r="C1008" s="2"/>
      <c r="D1008" s="2"/>
      <c r="E1008" s="2"/>
      <c r="F1008" s="2"/>
      <c r="G1008" s="2"/>
      <c r="H1008" s="2"/>
      <c r="I1008" s="2"/>
    </row>
    <row r="1009" spans="3:9" ht="15" customHeight="1">
      <c r="C1009" s="2"/>
      <c r="D1009" s="2"/>
      <c r="E1009" s="2"/>
      <c r="F1009" s="2"/>
      <c r="G1009" s="2"/>
      <c r="H1009" s="2"/>
      <c r="I1009" s="2"/>
    </row>
    <row r="1010" spans="3:9" ht="15" customHeight="1">
      <c r="C1010" s="2"/>
      <c r="D1010" s="2"/>
      <c r="E1010" s="2"/>
      <c r="F1010" s="2"/>
      <c r="G1010" s="2"/>
      <c r="H1010" s="2"/>
      <c r="I1010" s="2"/>
    </row>
    <row r="1011" spans="3:9" ht="15" customHeight="1">
      <c r="C1011" s="2"/>
      <c r="D1011" s="2"/>
      <c r="E1011" s="2"/>
      <c r="F1011" s="2"/>
      <c r="G1011" s="2"/>
      <c r="H1011" s="2"/>
      <c r="I1011" s="2"/>
    </row>
    <row r="1012" spans="3:9" ht="15" customHeight="1">
      <c r="C1012" s="2"/>
      <c r="D1012" s="2"/>
      <c r="E1012" s="2"/>
      <c r="F1012" s="2"/>
      <c r="G1012" s="2"/>
      <c r="H1012" s="2"/>
      <c r="I1012" s="2"/>
    </row>
    <row r="1013" spans="3:9" ht="15" customHeight="1">
      <c r="C1013" s="2"/>
      <c r="D1013" s="2"/>
      <c r="E1013" s="2"/>
      <c r="F1013" s="2"/>
      <c r="G1013" s="2"/>
      <c r="H1013" s="2"/>
      <c r="I1013" s="2"/>
    </row>
    <row r="1014" spans="3:9" ht="15" customHeight="1">
      <c r="C1014" s="2"/>
      <c r="D1014" s="2"/>
      <c r="E1014" s="2"/>
      <c r="F1014" s="2"/>
      <c r="G1014" s="2"/>
      <c r="H1014" s="2"/>
      <c r="I1014" s="2"/>
    </row>
    <row r="1015" spans="3:9" ht="15" customHeight="1">
      <c r="C1015" s="2"/>
      <c r="D1015" s="2"/>
      <c r="E1015" s="2"/>
      <c r="F1015" s="2"/>
      <c r="G1015" s="2"/>
      <c r="H1015" s="2"/>
      <c r="I1015" s="2"/>
    </row>
    <row r="1016" spans="3:9" ht="15" customHeight="1">
      <c r="C1016" s="2"/>
      <c r="D1016" s="2"/>
      <c r="E1016" s="2"/>
      <c r="F1016" s="2"/>
      <c r="G1016" s="2"/>
      <c r="H1016" s="2"/>
      <c r="I1016" s="2"/>
    </row>
    <row r="1017" spans="3:9" ht="15" customHeight="1">
      <c r="C1017" s="2"/>
      <c r="D1017" s="2"/>
      <c r="E1017" s="2"/>
      <c r="F1017" s="2"/>
      <c r="G1017" s="2"/>
      <c r="H1017" s="2"/>
      <c r="I1017" s="2"/>
    </row>
    <row r="1018" spans="3:9" ht="15" customHeight="1">
      <c r="C1018" s="2"/>
      <c r="D1018" s="2"/>
      <c r="E1018" s="2"/>
      <c r="F1018" s="2"/>
      <c r="G1018" s="2"/>
      <c r="H1018" s="2"/>
      <c r="I1018" s="2"/>
    </row>
    <row r="1019" spans="3:9" ht="15" customHeight="1">
      <c r="C1019" s="2"/>
      <c r="D1019" s="2"/>
      <c r="E1019" s="2"/>
      <c r="F1019" s="2"/>
      <c r="G1019" s="2"/>
      <c r="H1019" s="2"/>
      <c r="I1019" s="2"/>
    </row>
    <row r="1020" spans="3:9" ht="15" customHeight="1">
      <c r="C1020" s="2"/>
      <c r="D1020" s="2"/>
      <c r="E1020" s="2"/>
      <c r="F1020" s="2"/>
      <c r="G1020" s="2"/>
      <c r="H1020" s="2"/>
      <c r="I1020" s="2"/>
    </row>
    <row r="1021" spans="3:9" ht="15" customHeight="1">
      <c r="C1021" s="2"/>
      <c r="D1021" s="2"/>
      <c r="E1021" s="2"/>
      <c r="F1021" s="2"/>
      <c r="G1021" s="2"/>
      <c r="H1021" s="2"/>
      <c r="I1021" s="2"/>
    </row>
    <row r="1022" spans="3:9" ht="15" customHeight="1">
      <c r="C1022" s="2"/>
      <c r="D1022" s="2"/>
      <c r="E1022" s="2"/>
      <c r="F1022" s="2"/>
      <c r="G1022" s="2"/>
      <c r="H1022" s="2"/>
      <c r="I1022" s="2"/>
    </row>
    <row r="1023" spans="3:9" ht="15" customHeight="1">
      <c r="C1023" s="2"/>
      <c r="D1023" s="2"/>
      <c r="E1023" s="2"/>
      <c r="F1023" s="2"/>
      <c r="G1023" s="2"/>
      <c r="H1023" s="2"/>
      <c r="I1023" s="2"/>
    </row>
    <row r="1024" spans="3:9" ht="15" customHeight="1">
      <c r="C1024" s="2"/>
      <c r="D1024" s="2"/>
      <c r="E1024" s="2"/>
      <c r="F1024" s="2"/>
      <c r="G1024" s="2"/>
      <c r="H1024" s="2"/>
      <c r="I1024" s="2"/>
    </row>
    <row r="1025" spans="3:9" ht="15" customHeight="1">
      <c r="C1025" s="2"/>
      <c r="D1025" s="2"/>
      <c r="E1025" s="2"/>
      <c r="F1025" s="2"/>
      <c r="G1025" s="2"/>
      <c r="H1025" s="2"/>
      <c r="I1025" s="2"/>
    </row>
    <row r="1026" spans="3:9" ht="15" customHeight="1">
      <c r="C1026" s="2"/>
      <c r="D1026" s="2"/>
      <c r="E1026" s="2"/>
      <c r="F1026" s="2"/>
      <c r="G1026" s="2"/>
      <c r="H1026" s="2"/>
      <c r="I1026" s="2"/>
    </row>
    <row r="1027" spans="3:9" ht="15" customHeight="1">
      <c r="C1027" s="2"/>
      <c r="D1027" s="2"/>
      <c r="E1027" s="2"/>
      <c r="F1027" s="2"/>
      <c r="G1027" s="2"/>
      <c r="H1027" s="2"/>
      <c r="I1027" s="2"/>
    </row>
    <row r="1028" spans="3:9" ht="15" customHeight="1">
      <c r="C1028" s="2"/>
      <c r="D1028" s="2"/>
      <c r="E1028" s="2"/>
      <c r="F1028" s="2"/>
      <c r="G1028" s="2"/>
      <c r="H1028" s="2"/>
      <c r="I1028" s="2"/>
    </row>
    <row r="1029" spans="3:9" ht="15" customHeight="1">
      <c r="C1029" s="2"/>
      <c r="D1029" s="2"/>
      <c r="E1029" s="2"/>
      <c r="F1029" s="2"/>
      <c r="G1029" s="2"/>
      <c r="H1029" s="2"/>
      <c r="I1029" s="2"/>
    </row>
    <row r="1030" spans="3:9" ht="15" customHeight="1">
      <c r="C1030" s="2"/>
      <c r="D1030" s="2"/>
      <c r="E1030" s="2"/>
      <c r="F1030" s="2"/>
      <c r="G1030" s="2"/>
      <c r="H1030" s="2"/>
      <c r="I1030" s="2"/>
    </row>
    <row r="1031" spans="3:9" ht="15" customHeight="1">
      <c r="C1031" s="2"/>
      <c r="D1031" s="2"/>
      <c r="E1031" s="2"/>
      <c r="F1031" s="2"/>
      <c r="G1031" s="2"/>
      <c r="H1031" s="2"/>
      <c r="I1031" s="2"/>
    </row>
    <row r="1032" spans="3:9" ht="15" customHeight="1">
      <c r="C1032" s="2"/>
      <c r="D1032" s="2"/>
      <c r="E1032" s="2"/>
      <c r="F1032" s="2"/>
      <c r="G1032" s="2"/>
      <c r="H1032" s="2"/>
      <c r="I1032" s="2"/>
    </row>
    <row r="1033" spans="3:9" ht="15" customHeight="1">
      <c r="C1033" s="2"/>
      <c r="D1033" s="2"/>
      <c r="E1033" s="2"/>
      <c r="F1033" s="2"/>
      <c r="G1033" s="2"/>
      <c r="H1033" s="2"/>
      <c r="I1033" s="2"/>
    </row>
    <row r="1034" spans="3:9" ht="15" customHeight="1">
      <c r="C1034" s="2"/>
      <c r="D1034" s="2"/>
      <c r="E1034" s="2"/>
      <c r="F1034" s="2"/>
      <c r="G1034" s="2"/>
      <c r="H1034" s="2"/>
      <c r="I1034" s="2"/>
    </row>
    <row r="1035" spans="3:9" ht="15" customHeight="1">
      <c r="C1035" s="2"/>
      <c r="D1035" s="2"/>
      <c r="E1035" s="2"/>
      <c r="F1035" s="2"/>
      <c r="G1035" s="2"/>
      <c r="H1035" s="2"/>
      <c r="I1035" s="2"/>
    </row>
    <row r="1036" spans="3:9" ht="15" customHeight="1">
      <c r="C1036" s="2"/>
      <c r="D1036" s="2"/>
      <c r="E1036" s="2"/>
      <c r="F1036" s="2"/>
      <c r="G1036" s="2"/>
      <c r="H1036" s="2"/>
      <c r="I1036" s="2"/>
    </row>
    <row r="1037" spans="3:9" ht="15" customHeight="1">
      <c r="C1037" s="2"/>
      <c r="D1037" s="2"/>
      <c r="E1037" s="2"/>
      <c r="F1037" s="2"/>
      <c r="G1037" s="2"/>
      <c r="H1037" s="2"/>
      <c r="I1037" s="2"/>
    </row>
    <row r="1038" spans="3:9" ht="15" customHeight="1">
      <c r="C1038" s="2"/>
      <c r="D1038" s="2"/>
      <c r="E1038" s="2"/>
      <c r="F1038" s="2"/>
      <c r="G1038" s="2"/>
      <c r="H1038" s="2"/>
      <c r="I1038" s="2"/>
    </row>
    <row r="1039" spans="3:9" ht="15" customHeight="1">
      <c r="C1039" s="2"/>
      <c r="D1039" s="2"/>
      <c r="E1039" s="2"/>
      <c r="F1039" s="2"/>
      <c r="G1039" s="2"/>
      <c r="H1039" s="2"/>
      <c r="I1039" s="2"/>
    </row>
    <row r="1040" spans="3:9" ht="15" customHeight="1">
      <c r="C1040" s="2"/>
      <c r="D1040" s="2"/>
      <c r="E1040" s="2"/>
      <c r="F1040" s="2"/>
      <c r="G1040" s="2"/>
      <c r="H1040" s="2"/>
      <c r="I1040" s="2"/>
    </row>
    <row r="1041" spans="3:9" ht="15" customHeight="1">
      <c r="C1041" s="2"/>
      <c r="D1041" s="2"/>
      <c r="E1041" s="2"/>
      <c r="F1041" s="2"/>
      <c r="G1041" s="2"/>
      <c r="H1041" s="2"/>
      <c r="I1041" s="2"/>
    </row>
    <row r="1042" spans="3:9" ht="15" customHeight="1">
      <c r="C1042" s="2"/>
      <c r="D1042" s="2"/>
      <c r="E1042" s="2"/>
      <c r="F1042" s="2"/>
      <c r="G1042" s="2"/>
      <c r="H1042" s="2"/>
      <c r="I1042" s="2"/>
    </row>
    <row r="1043" spans="3:9" ht="15" customHeight="1">
      <c r="C1043" s="2"/>
      <c r="D1043" s="2"/>
      <c r="E1043" s="2"/>
      <c r="F1043" s="2"/>
      <c r="G1043" s="2"/>
      <c r="H1043" s="2"/>
      <c r="I1043" s="2"/>
    </row>
    <row r="1044" spans="3:9" ht="15" customHeight="1">
      <c r="C1044" s="2"/>
      <c r="D1044" s="2"/>
      <c r="E1044" s="2"/>
      <c r="F1044" s="2"/>
      <c r="G1044" s="2"/>
      <c r="H1044" s="2"/>
      <c r="I1044" s="2"/>
    </row>
    <row r="1045" spans="3:9" ht="15" customHeight="1">
      <c r="C1045" s="2"/>
      <c r="D1045" s="2"/>
      <c r="E1045" s="2"/>
      <c r="F1045" s="2"/>
      <c r="G1045" s="2"/>
      <c r="H1045" s="2"/>
      <c r="I1045" s="2"/>
    </row>
    <row r="1046" spans="3:9" ht="15" customHeight="1">
      <c r="C1046" s="2"/>
      <c r="D1046" s="2"/>
      <c r="E1046" s="2"/>
      <c r="F1046" s="2"/>
      <c r="G1046" s="2"/>
      <c r="H1046" s="2"/>
      <c r="I1046" s="2"/>
    </row>
    <row r="1047" spans="3:9" ht="15" customHeight="1">
      <c r="C1047" s="2"/>
      <c r="D1047" s="2"/>
      <c r="E1047" s="2"/>
      <c r="F1047" s="2"/>
      <c r="G1047" s="2"/>
      <c r="H1047" s="2"/>
      <c r="I1047" s="2"/>
    </row>
    <row r="1048" spans="3:9" ht="15" customHeight="1">
      <c r="C1048" s="2"/>
      <c r="D1048" s="2"/>
      <c r="E1048" s="2"/>
      <c r="F1048" s="2"/>
      <c r="G1048" s="2"/>
      <c r="H1048" s="2"/>
      <c r="I1048" s="2"/>
    </row>
    <row r="1049" spans="3:9" ht="15" customHeight="1">
      <c r="C1049" s="2"/>
      <c r="D1049" s="2"/>
      <c r="E1049" s="2"/>
      <c r="F1049" s="2"/>
      <c r="G1049" s="2"/>
      <c r="H1049" s="2"/>
      <c r="I1049" s="2"/>
    </row>
    <row r="1050" spans="3:9" ht="15" customHeight="1">
      <c r="C1050" s="2"/>
      <c r="D1050" s="2"/>
      <c r="E1050" s="2"/>
      <c r="F1050" s="2"/>
      <c r="G1050" s="2"/>
      <c r="H1050" s="2"/>
      <c r="I1050" s="2"/>
    </row>
    <row r="1051" spans="3:9" ht="15" customHeight="1">
      <c r="C1051" s="2"/>
      <c r="D1051" s="2"/>
      <c r="E1051" s="2"/>
      <c r="F1051" s="2"/>
      <c r="G1051" s="2"/>
      <c r="H1051" s="2"/>
      <c r="I1051" s="2"/>
    </row>
    <row r="1052" spans="3:9" ht="15" customHeight="1">
      <c r="C1052" s="2"/>
      <c r="D1052" s="2"/>
      <c r="E1052" s="2"/>
      <c r="F1052" s="2"/>
      <c r="G1052" s="2"/>
      <c r="H1052" s="2"/>
      <c r="I1052" s="2"/>
    </row>
    <row r="1053" spans="3:9" ht="15" customHeight="1">
      <c r="C1053" s="2"/>
      <c r="D1053" s="2"/>
      <c r="E1053" s="2"/>
      <c r="F1053" s="2"/>
      <c r="G1053" s="2"/>
      <c r="H1053" s="2"/>
      <c r="I1053" s="2"/>
    </row>
    <row r="1054" spans="3:9" ht="15" customHeight="1">
      <c r="C1054" s="2"/>
      <c r="D1054" s="2"/>
      <c r="E1054" s="2"/>
      <c r="F1054" s="2"/>
      <c r="G1054" s="2"/>
      <c r="H1054" s="2"/>
      <c r="I1054" s="2"/>
    </row>
    <row r="1055" spans="3:9" ht="15" customHeight="1">
      <c r="C1055" s="2"/>
      <c r="D1055" s="2"/>
      <c r="E1055" s="2"/>
      <c r="F1055" s="2"/>
      <c r="G1055" s="2"/>
      <c r="H1055" s="2"/>
      <c r="I1055" s="2"/>
    </row>
    <row r="1056" spans="3:9" ht="15" customHeight="1">
      <c r="C1056" s="2"/>
      <c r="D1056" s="2"/>
      <c r="E1056" s="2"/>
      <c r="F1056" s="2"/>
      <c r="G1056" s="2"/>
      <c r="H1056" s="2"/>
      <c r="I1056" s="2"/>
    </row>
    <row r="1057" spans="3:9" ht="15" customHeight="1">
      <c r="C1057" s="2"/>
      <c r="D1057" s="2"/>
      <c r="E1057" s="2"/>
      <c r="F1057" s="2"/>
      <c r="G1057" s="2"/>
      <c r="H1057" s="2"/>
      <c r="I1057" s="2"/>
    </row>
    <row r="1058" spans="3:9" ht="15" customHeight="1">
      <c r="C1058" s="2"/>
      <c r="D1058" s="2"/>
      <c r="E1058" s="2"/>
      <c r="F1058" s="2"/>
      <c r="G1058" s="2"/>
      <c r="H1058" s="2"/>
      <c r="I1058" s="2"/>
    </row>
    <row r="1059" spans="3:9" ht="15" customHeight="1">
      <c r="C1059" s="2"/>
      <c r="D1059" s="2"/>
      <c r="E1059" s="2"/>
      <c r="F1059" s="2"/>
      <c r="G1059" s="2"/>
      <c r="H1059" s="2"/>
      <c r="I1059" s="2"/>
    </row>
    <row r="1060" spans="3:9" ht="15" customHeight="1">
      <c r="C1060" s="2"/>
      <c r="D1060" s="2"/>
      <c r="E1060" s="2"/>
      <c r="F1060" s="2"/>
      <c r="G1060" s="2"/>
      <c r="H1060" s="2"/>
      <c r="I1060" s="2"/>
    </row>
    <row r="1061" spans="3:9" ht="15" customHeight="1">
      <c r="C1061" s="2"/>
      <c r="D1061" s="2"/>
      <c r="E1061" s="2"/>
      <c r="F1061" s="2"/>
      <c r="G1061" s="2"/>
      <c r="H1061" s="2"/>
      <c r="I1061" s="2"/>
    </row>
    <row r="1062" spans="3:9" ht="15" customHeight="1">
      <c r="C1062" s="2"/>
      <c r="D1062" s="2"/>
      <c r="E1062" s="2"/>
      <c r="F1062" s="2"/>
      <c r="G1062" s="2"/>
      <c r="H1062" s="2"/>
      <c r="I1062" s="2"/>
    </row>
    <row r="1063" spans="3:9" ht="15" customHeight="1">
      <c r="C1063" s="2"/>
      <c r="D1063" s="2"/>
      <c r="E1063" s="2"/>
      <c r="F1063" s="2"/>
      <c r="G1063" s="2"/>
      <c r="H1063" s="2"/>
      <c r="I1063" s="2"/>
    </row>
    <row r="1064" spans="3:9" ht="15" customHeight="1">
      <c r="C1064" s="2"/>
      <c r="D1064" s="2"/>
      <c r="E1064" s="2"/>
      <c r="F1064" s="2"/>
      <c r="G1064" s="2"/>
      <c r="H1064" s="2"/>
      <c r="I1064" s="2"/>
    </row>
    <row r="1065" spans="3:9" ht="15" customHeight="1">
      <c r="C1065" s="2"/>
      <c r="D1065" s="2"/>
      <c r="E1065" s="2"/>
      <c r="F1065" s="2"/>
      <c r="G1065" s="2"/>
      <c r="H1065" s="2"/>
      <c r="I1065" s="2"/>
    </row>
    <row r="1066" spans="3:9" ht="15" customHeight="1">
      <c r="C1066" s="2"/>
      <c r="D1066" s="2"/>
      <c r="E1066" s="2"/>
      <c r="F1066" s="2"/>
      <c r="G1066" s="2"/>
      <c r="H1066" s="2"/>
      <c r="I1066" s="2"/>
    </row>
    <row r="1067" spans="3:9" ht="15" customHeight="1">
      <c r="C1067" s="2"/>
      <c r="D1067" s="2"/>
      <c r="E1067" s="2"/>
      <c r="F1067" s="2"/>
      <c r="G1067" s="2"/>
      <c r="H1067" s="2"/>
      <c r="I1067" s="2"/>
    </row>
    <row r="1068" spans="3:9" ht="15" customHeight="1">
      <c r="C1068" s="2"/>
      <c r="D1068" s="2"/>
      <c r="E1068" s="2"/>
      <c r="F1068" s="2"/>
      <c r="G1068" s="2"/>
      <c r="H1068" s="2"/>
      <c r="I1068" s="2"/>
    </row>
    <row r="1069" spans="3:9" ht="15" customHeight="1">
      <c r="C1069" s="2"/>
      <c r="D1069" s="2"/>
      <c r="E1069" s="2"/>
      <c r="F1069" s="2"/>
      <c r="G1069" s="2"/>
      <c r="H1069" s="2"/>
      <c r="I1069" s="2"/>
    </row>
    <row r="1070" spans="3:9" ht="15" customHeight="1">
      <c r="C1070" s="2"/>
      <c r="D1070" s="2"/>
      <c r="E1070" s="2"/>
      <c r="F1070" s="2"/>
      <c r="G1070" s="2"/>
      <c r="H1070" s="2"/>
      <c r="I1070" s="2"/>
    </row>
    <row r="1071" spans="3:9" ht="15" customHeight="1">
      <c r="C1071" s="2"/>
      <c r="D1071" s="2"/>
      <c r="E1071" s="2"/>
      <c r="F1071" s="2"/>
      <c r="G1071" s="2"/>
      <c r="H1071" s="2"/>
      <c r="I1071" s="2"/>
    </row>
    <row r="1072" spans="3:9" ht="15" customHeight="1">
      <c r="C1072" s="2"/>
      <c r="D1072" s="2"/>
      <c r="E1072" s="2"/>
      <c r="F1072" s="2"/>
      <c r="G1072" s="2"/>
      <c r="H1072" s="2"/>
      <c r="I1072" s="2"/>
    </row>
    <row r="1073" spans="3:9" ht="15" customHeight="1">
      <c r="C1073" s="2"/>
      <c r="D1073" s="2"/>
      <c r="E1073" s="2"/>
      <c r="F1073" s="2"/>
      <c r="G1073" s="2"/>
      <c r="H1073" s="2"/>
      <c r="I1073" s="2"/>
    </row>
    <row r="1074" spans="3:9" ht="15" customHeight="1">
      <c r="C1074" s="2"/>
      <c r="D1074" s="2"/>
      <c r="E1074" s="2"/>
      <c r="F1074" s="2"/>
      <c r="G1074" s="2"/>
      <c r="H1074" s="2"/>
      <c r="I1074" s="2"/>
    </row>
    <row r="1075" spans="3:9" ht="15" customHeight="1">
      <c r="C1075" s="2"/>
      <c r="D1075" s="2"/>
      <c r="E1075" s="2"/>
      <c r="F1075" s="2"/>
      <c r="G1075" s="2"/>
      <c r="H1075" s="2"/>
      <c r="I1075" s="2"/>
    </row>
    <row r="1076" spans="3:9" ht="15" customHeight="1">
      <c r="C1076" s="2"/>
      <c r="D1076" s="2"/>
      <c r="E1076" s="2"/>
      <c r="F1076" s="2"/>
      <c r="G1076" s="2"/>
      <c r="H1076" s="2"/>
      <c r="I1076" s="2"/>
    </row>
    <row r="1077" spans="3:9" ht="15" customHeight="1">
      <c r="C1077" s="2"/>
      <c r="D1077" s="2"/>
      <c r="E1077" s="2"/>
      <c r="F1077" s="2"/>
      <c r="G1077" s="2"/>
      <c r="H1077" s="2"/>
      <c r="I1077" s="2"/>
    </row>
    <row r="1078" spans="3:9" ht="15" customHeight="1">
      <c r="C1078" s="2"/>
      <c r="D1078" s="2"/>
      <c r="E1078" s="2"/>
      <c r="F1078" s="2"/>
      <c r="G1078" s="2"/>
      <c r="H1078" s="2"/>
      <c r="I1078" s="2"/>
    </row>
    <row r="1079" spans="3:9" ht="15" customHeight="1">
      <c r="C1079" s="2"/>
      <c r="D1079" s="2"/>
      <c r="E1079" s="2"/>
      <c r="F1079" s="2"/>
      <c r="G1079" s="2"/>
      <c r="H1079" s="2"/>
      <c r="I1079" s="2"/>
    </row>
    <row r="1080" spans="3:9" ht="15" customHeight="1">
      <c r="C1080" s="2"/>
      <c r="D1080" s="2"/>
      <c r="E1080" s="2"/>
      <c r="F1080" s="2"/>
      <c r="G1080" s="2"/>
      <c r="H1080" s="2"/>
      <c r="I1080" s="2"/>
    </row>
    <row r="1081" spans="3:9" ht="15" customHeight="1">
      <c r="C1081" s="2"/>
      <c r="D1081" s="2"/>
      <c r="E1081" s="2"/>
      <c r="F1081" s="2"/>
      <c r="G1081" s="2"/>
      <c r="H1081" s="2"/>
      <c r="I1081" s="2"/>
    </row>
    <row r="1082" spans="3:9" ht="15" customHeight="1">
      <c r="C1082" s="2"/>
      <c r="D1082" s="2"/>
      <c r="E1082" s="2"/>
      <c r="F1082" s="2"/>
      <c r="G1082" s="2"/>
      <c r="H1082" s="2"/>
      <c r="I1082" s="2"/>
    </row>
    <row r="1083" spans="3:9" ht="15" customHeight="1">
      <c r="C1083" s="2"/>
      <c r="D1083" s="2"/>
      <c r="E1083" s="2"/>
      <c r="F1083" s="2"/>
      <c r="G1083" s="2"/>
      <c r="H1083" s="2"/>
      <c r="I1083" s="2"/>
    </row>
    <row r="1084" spans="3:9" ht="15" customHeight="1">
      <c r="C1084" s="2"/>
      <c r="D1084" s="2"/>
      <c r="E1084" s="2"/>
      <c r="F1084" s="2"/>
      <c r="G1084" s="2"/>
      <c r="H1084" s="2"/>
      <c r="I1084" s="2"/>
    </row>
    <row r="1085" spans="3:9" ht="15" customHeight="1">
      <c r="C1085" s="2"/>
      <c r="D1085" s="2"/>
      <c r="E1085" s="2"/>
      <c r="F1085" s="2"/>
      <c r="G1085" s="2"/>
      <c r="H1085" s="2"/>
      <c r="I1085" s="2"/>
    </row>
    <row r="1086" spans="3:9" ht="15" customHeight="1">
      <c r="C1086" s="2"/>
      <c r="D1086" s="2"/>
      <c r="E1086" s="2"/>
      <c r="F1086" s="2"/>
      <c r="G1086" s="2"/>
      <c r="H1086" s="2"/>
      <c r="I1086" s="2"/>
    </row>
    <row r="1087" spans="3:9" ht="15" customHeight="1">
      <c r="C1087" s="2"/>
      <c r="D1087" s="2"/>
      <c r="E1087" s="2"/>
      <c r="F1087" s="2"/>
      <c r="G1087" s="2"/>
      <c r="H1087" s="2"/>
      <c r="I1087" s="2"/>
    </row>
    <row r="1088" spans="3:9" ht="15" customHeight="1">
      <c r="C1088" s="2"/>
      <c r="D1088" s="2"/>
      <c r="E1088" s="2"/>
      <c r="F1088" s="2"/>
      <c r="G1088" s="2"/>
      <c r="H1088" s="2"/>
      <c r="I1088" s="2"/>
    </row>
    <row r="1089" spans="3:9" ht="15" customHeight="1">
      <c r="C1089" s="2"/>
      <c r="D1089" s="2"/>
      <c r="E1089" s="2"/>
      <c r="F1089" s="2"/>
      <c r="G1089" s="2"/>
      <c r="H1089" s="2"/>
      <c r="I1089" s="2"/>
    </row>
    <row r="1090" spans="3:9" ht="15" customHeight="1">
      <c r="C1090" s="2"/>
      <c r="D1090" s="2"/>
      <c r="E1090" s="2"/>
      <c r="F1090" s="2"/>
      <c r="G1090" s="2"/>
      <c r="H1090" s="2"/>
      <c r="I1090" s="2"/>
    </row>
    <row r="1091" spans="3:9" ht="15" customHeight="1">
      <c r="C1091" s="2"/>
      <c r="D1091" s="2"/>
      <c r="E1091" s="2"/>
      <c r="F1091" s="2"/>
      <c r="G1091" s="2"/>
      <c r="H1091" s="2"/>
      <c r="I1091" s="2"/>
    </row>
    <row r="1092" spans="3:9" ht="15" customHeight="1">
      <c r="C1092" s="2"/>
      <c r="D1092" s="2"/>
      <c r="E1092" s="2"/>
      <c r="F1092" s="2"/>
      <c r="G1092" s="2"/>
      <c r="H1092" s="2"/>
      <c r="I1092" s="2"/>
    </row>
    <row r="1093" spans="3:9" ht="15" customHeight="1">
      <c r="C1093" s="2"/>
      <c r="D1093" s="2"/>
      <c r="E1093" s="2"/>
      <c r="F1093" s="2"/>
      <c r="G1093" s="2"/>
      <c r="H1093" s="2"/>
      <c r="I1093" s="2"/>
    </row>
    <row r="1094" spans="3:9" ht="15" customHeight="1">
      <c r="C1094" s="2"/>
      <c r="D1094" s="2"/>
      <c r="E1094" s="2"/>
      <c r="F1094" s="2"/>
      <c r="G1094" s="2"/>
      <c r="H1094" s="2"/>
      <c r="I1094" s="2"/>
    </row>
    <row r="1095" spans="3:9" ht="15" customHeight="1">
      <c r="C1095" s="2"/>
      <c r="D1095" s="2"/>
      <c r="E1095" s="2"/>
      <c r="F1095" s="2"/>
      <c r="G1095" s="2"/>
      <c r="H1095" s="2"/>
      <c r="I1095" s="2"/>
    </row>
    <row r="1096" spans="3:9" ht="15" customHeight="1">
      <c r="C1096" s="2"/>
      <c r="D1096" s="2"/>
      <c r="E1096" s="2"/>
      <c r="F1096" s="2"/>
      <c r="G1096" s="2"/>
      <c r="H1096" s="2"/>
      <c r="I1096" s="2"/>
    </row>
    <row r="1097" spans="3:9" ht="15" customHeight="1">
      <c r="C1097" s="2"/>
      <c r="D1097" s="2"/>
      <c r="E1097" s="2"/>
      <c r="F1097" s="2"/>
      <c r="G1097" s="2"/>
      <c r="H1097" s="2"/>
      <c r="I1097" s="2"/>
    </row>
    <row r="1098" spans="3:9" ht="15" customHeight="1">
      <c r="C1098" s="2"/>
      <c r="D1098" s="2"/>
      <c r="E1098" s="2"/>
      <c r="F1098" s="2"/>
      <c r="G1098" s="2"/>
      <c r="H1098" s="2"/>
      <c r="I1098" s="2"/>
    </row>
    <row r="1099" spans="3:9" ht="15" customHeight="1">
      <c r="C1099" s="2"/>
      <c r="D1099" s="2"/>
      <c r="E1099" s="2"/>
      <c r="F1099" s="2"/>
      <c r="G1099" s="2"/>
      <c r="H1099" s="2"/>
      <c r="I1099" s="2"/>
    </row>
    <row r="1100" spans="3:9" ht="15" customHeight="1">
      <c r="C1100" s="2"/>
      <c r="D1100" s="2"/>
      <c r="E1100" s="2"/>
      <c r="F1100" s="2"/>
      <c r="G1100" s="2"/>
      <c r="H1100" s="2"/>
      <c r="I1100" s="2"/>
    </row>
    <row r="1101" spans="3:9" ht="15" customHeight="1">
      <c r="C1101" s="2"/>
      <c r="D1101" s="2"/>
      <c r="E1101" s="2"/>
      <c r="F1101" s="2"/>
      <c r="G1101" s="2"/>
      <c r="H1101" s="2"/>
      <c r="I1101" s="2"/>
    </row>
    <row r="1102" spans="3:9" ht="15" customHeight="1">
      <c r="C1102" s="2"/>
      <c r="D1102" s="2"/>
      <c r="E1102" s="2"/>
      <c r="F1102" s="2"/>
      <c r="G1102" s="2"/>
      <c r="H1102" s="2"/>
      <c r="I1102" s="2"/>
    </row>
    <row r="1103" spans="3:9" ht="15" customHeight="1">
      <c r="C1103" s="2"/>
      <c r="D1103" s="2"/>
      <c r="E1103" s="2"/>
      <c r="F1103" s="2"/>
      <c r="G1103" s="2"/>
      <c r="H1103" s="2"/>
      <c r="I1103" s="2"/>
    </row>
    <row r="1104" spans="3:9" ht="15" customHeight="1">
      <c r="C1104" s="2"/>
      <c r="D1104" s="2"/>
      <c r="E1104" s="2"/>
      <c r="F1104" s="2"/>
      <c r="G1104" s="2"/>
      <c r="H1104" s="2"/>
      <c r="I1104" s="2"/>
    </row>
    <row r="1105" spans="3:9" ht="15" customHeight="1">
      <c r="C1105" s="2"/>
      <c r="D1105" s="2"/>
      <c r="E1105" s="2"/>
      <c r="F1105" s="2"/>
      <c r="G1105" s="2"/>
      <c r="H1105" s="2"/>
      <c r="I1105" s="2"/>
    </row>
    <row r="1106" spans="3:9" ht="15" customHeight="1">
      <c r="C1106" s="2"/>
      <c r="D1106" s="2"/>
      <c r="E1106" s="2"/>
      <c r="F1106" s="2"/>
      <c r="G1106" s="2"/>
      <c r="H1106" s="2"/>
      <c r="I1106" s="2"/>
    </row>
    <row r="1107" spans="3:9" ht="15" customHeight="1">
      <c r="C1107" s="2"/>
      <c r="D1107" s="2"/>
      <c r="E1107" s="2"/>
      <c r="F1107" s="2"/>
      <c r="G1107" s="2"/>
      <c r="H1107" s="2"/>
      <c r="I1107" s="2"/>
    </row>
    <row r="1108" spans="3:9" ht="15" customHeight="1">
      <c r="C1108" s="2"/>
      <c r="D1108" s="2"/>
      <c r="E1108" s="2"/>
      <c r="F1108" s="2"/>
      <c r="G1108" s="2"/>
      <c r="H1108" s="2"/>
      <c r="I1108" s="2"/>
    </row>
    <row r="1109" spans="3:9" ht="15" customHeight="1">
      <c r="C1109" s="2"/>
      <c r="D1109" s="2"/>
      <c r="E1109" s="2"/>
      <c r="F1109" s="2"/>
      <c r="G1109" s="2"/>
      <c r="H1109" s="2"/>
      <c r="I1109" s="2"/>
    </row>
    <row r="1110" spans="3:9" ht="15" customHeight="1">
      <c r="C1110" s="2"/>
      <c r="D1110" s="2"/>
      <c r="E1110" s="2"/>
      <c r="F1110" s="2"/>
      <c r="G1110" s="2"/>
      <c r="H1110" s="2"/>
      <c r="I1110" s="2"/>
    </row>
    <row r="1111" spans="3:9" ht="15" customHeight="1">
      <c r="C1111" s="2"/>
      <c r="D1111" s="2"/>
      <c r="E1111" s="2"/>
      <c r="F1111" s="2"/>
      <c r="G1111" s="2"/>
      <c r="H1111" s="2"/>
      <c r="I1111" s="2"/>
    </row>
    <row r="1112" spans="3:9" ht="15" customHeight="1">
      <c r="C1112" s="2"/>
      <c r="D1112" s="2"/>
      <c r="E1112" s="2"/>
      <c r="F1112" s="2"/>
      <c r="G1112" s="2"/>
      <c r="H1112" s="2"/>
      <c r="I1112" s="2"/>
    </row>
    <row r="1113" spans="3:9" ht="15" customHeight="1">
      <c r="C1113" s="2"/>
      <c r="D1113" s="2"/>
      <c r="E1113" s="2"/>
      <c r="F1113" s="2"/>
      <c r="G1113" s="2"/>
      <c r="H1113" s="2"/>
      <c r="I1113" s="2"/>
    </row>
    <row r="1114" spans="3:9" ht="15" customHeight="1">
      <c r="C1114" s="2"/>
      <c r="D1114" s="2"/>
      <c r="E1114" s="2"/>
      <c r="F1114" s="2"/>
      <c r="G1114" s="2"/>
      <c r="H1114" s="2"/>
      <c r="I1114" s="2"/>
    </row>
    <row r="1115" spans="3:9" ht="15" customHeight="1">
      <c r="C1115" s="2"/>
      <c r="D1115" s="2"/>
      <c r="E1115" s="2"/>
      <c r="F1115" s="2"/>
      <c r="G1115" s="2"/>
      <c r="H1115" s="2"/>
      <c r="I1115" s="2"/>
    </row>
    <row r="1116" spans="3:9" ht="15" customHeight="1">
      <c r="C1116" s="2"/>
      <c r="D1116" s="2"/>
      <c r="E1116" s="2"/>
      <c r="F1116" s="2"/>
      <c r="G1116" s="2"/>
      <c r="H1116" s="2"/>
      <c r="I1116" s="2"/>
    </row>
    <row r="1117" spans="3:9" ht="15" customHeight="1">
      <c r="C1117" s="2"/>
      <c r="D1117" s="2"/>
      <c r="E1117" s="2"/>
      <c r="F1117" s="2"/>
      <c r="G1117" s="2"/>
      <c r="H1117" s="2"/>
      <c r="I1117" s="2"/>
    </row>
    <row r="1118" spans="3:9" ht="15" customHeight="1">
      <c r="C1118" s="2"/>
      <c r="D1118" s="2"/>
      <c r="E1118" s="2"/>
      <c r="F1118" s="2"/>
      <c r="G1118" s="2"/>
      <c r="H1118" s="2"/>
      <c r="I1118" s="2"/>
    </row>
    <row r="1119" spans="3:9" ht="15" customHeight="1">
      <c r="C1119" s="2"/>
      <c r="D1119" s="2"/>
      <c r="E1119" s="2"/>
      <c r="F1119" s="2"/>
      <c r="G1119" s="2"/>
      <c r="H1119" s="2"/>
      <c r="I1119" s="2"/>
    </row>
    <row r="1120" spans="3:9" ht="15" customHeight="1">
      <c r="C1120" s="2"/>
      <c r="D1120" s="2"/>
      <c r="E1120" s="2"/>
      <c r="F1120" s="2"/>
      <c r="G1120" s="2"/>
      <c r="H1120" s="2"/>
      <c r="I1120" s="2"/>
    </row>
    <row r="1121" spans="3:9" ht="15" customHeight="1">
      <c r="C1121" s="2"/>
      <c r="D1121" s="2"/>
      <c r="E1121" s="2"/>
      <c r="F1121" s="2"/>
      <c r="G1121" s="2"/>
      <c r="H1121" s="2"/>
      <c r="I1121" s="2"/>
    </row>
    <row r="1122" spans="3:9" ht="15" customHeight="1">
      <c r="C1122" s="2"/>
      <c r="D1122" s="2"/>
      <c r="E1122" s="2"/>
      <c r="F1122" s="2"/>
      <c r="G1122" s="2"/>
      <c r="H1122" s="2"/>
      <c r="I1122" s="2"/>
    </row>
    <row r="1123" spans="3:9" ht="15" customHeight="1">
      <c r="C1123" s="2"/>
      <c r="D1123" s="2"/>
      <c r="E1123" s="2"/>
      <c r="F1123" s="2"/>
      <c r="G1123" s="2"/>
      <c r="H1123" s="2"/>
      <c r="I1123" s="2"/>
    </row>
    <row r="1124" spans="3:9" ht="15" customHeight="1">
      <c r="C1124" s="2"/>
      <c r="D1124" s="2"/>
      <c r="E1124" s="2"/>
      <c r="F1124" s="2"/>
      <c r="G1124" s="2"/>
      <c r="H1124" s="2"/>
      <c r="I1124" s="2"/>
    </row>
    <row r="1125" spans="3:9" ht="15" customHeight="1">
      <c r="C1125" s="2"/>
      <c r="D1125" s="2"/>
      <c r="E1125" s="2"/>
      <c r="F1125" s="2"/>
      <c r="G1125" s="2"/>
      <c r="H1125" s="2"/>
      <c r="I1125" s="2"/>
    </row>
    <row r="1126" spans="3:9" ht="15" customHeight="1">
      <c r="C1126" s="2"/>
      <c r="D1126" s="2"/>
      <c r="E1126" s="2"/>
      <c r="F1126" s="2"/>
      <c r="G1126" s="2"/>
      <c r="H1126" s="2"/>
      <c r="I1126" s="2"/>
    </row>
    <row r="1127" spans="3:9" ht="15" customHeight="1">
      <c r="C1127" s="2"/>
      <c r="D1127" s="2"/>
      <c r="E1127" s="2"/>
      <c r="F1127" s="2"/>
      <c r="G1127" s="2"/>
      <c r="H1127" s="2"/>
      <c r="I1127" s="2"/>
    </row>
    <row r="1128" spans="3:9" ht="15" customHeight="1">
      <c r="C1128" s="2"/>
      <c r="D1128" s="2"/>
      <c r="E1128" s="2"/>
      <c r="F1128" s="2"/>
      <c r="G1128" s="2"/>
      <c r="H1128" s="2"/>
      <c r="I1128" s="2"/>
    </row>
    <row r="1129" spans="3:9" ht="15" customHeight="1">
      <c r="C1129" s="2"/>
      <c r="D1129" s="2"/>
      <c r="E1129" s="2"/>
      <c r="F1129" s="2"/>
      <c r="G1129" s="2"/>
      <c r="H1129" s="2"/>
      <c r="I1129" s="2"/>
    </row>
    <row r="1130" spans="3:9" ht="15" customHeight="1">
      <c r="C1130" s="2"/>
      <c r="D1130" s="2"/>
      <c r="E1130" s="2"/>
      <c r="F1130" s="2"/>
      <c r="G1130" s="2"/>
      <c r="H1130" s="2"/>
      <c r="I1130" s="2"/>
    </row>
    <row r="1131" spans="3:9" ht="15" customHeight="1">
      <c r="C1131" s="2"/>
      <c r="D1131" s="2"/>
      <c r="E1131" s="2"/>
      <c r="F1131" s="2"/>
      <c r="G1131" s="2"/>
      <c r="H1131" s="2"/>
      <c r="I1131" s="2"/>
    </row>
    <row r="1132" spans="3:9" ht="15" customHeight="1">
      <c r="C1132" s="2"/>
      <c r="D1132" s="2"/>
      <c r="E1132" s="2"/>
      <c r="F1132" s="2"/>
      <c r="G1132" s="2"/>
      <c r="H1132" s="2"/>
      <c r="I1132" s="2"/>
    </row>
    <row r="1133" spans="3:9" ht="15" customHeight="1">
      <c r="C1133" s="2"/>
      <c r="D1133" s="2"/>
      <c r="E1133" s="2"/>
      <c r="F1133" s="2"/>
      <c r="G1133" s="2"/>
      <c r="H1133" s="2"/>
      <c r="I1133" s="2"/>
    </row>
    <row r="1134" spans="3:9" ht="15" customHeight="1">
      <c r="C1134" s="2"/>
      <c r="D1134" s="2"/>
      <c r="E1134" s="2"/>
      <c r="F1134" s="2"/>
      <c r="G1134" s="2"/>
      <c r="H1134" s="2"/>
      <c r="I1134" s="2"/>
    </row>
    <row r="1135" spans="3:9" ht="15" customHeight="1">
      <c r="C1135" s="2"/>
      <c r="D1135" s="2"/>
      <c r="E1135" s="2"/>
      <c r="F1135" s="2"/>
      <c r="G1135" s="2"/>
      <c r="H1135" s="2"/>
      <c r="I1135" s="2"/>
    </row>
    <row r="1136" spans="3:9" ht="15" customHeight="1">
      <c r="C1136" s="2"/>
      <c r="D1136" s="2"/>
      <c r="E1136" s="2"/>
      <c r="F1136" s="2"/>
      <c r="G1136" s="2"/>
      <c r="H1136" s="2"/>
      <c r="I1136" s="2"/>
    </row>
    <row r="1137" spans="3:9" ht="15" customHeight="1">
      <c r="C1137" s="2"/>
      <c r="D1137" s="2"/>
      <c r="E1137" s="2"/>
      <c r="F1137" s="2"/>
      <c r="G1137" s="2"/>
      <c r="H1137" s="2"/>
      <c r="I1137" s="2"/>
    </row>
    <row r="1138" spans="3:9" ht="15" customHeight="1">
      <c r="C1138" s="2"/>
      <c r="D1138" s="2"/>
      <c r="E1138" s="2"/>
      <c r="F1138" s="2"/>
      <c r="G1138" s="2"/>
      <c r="H1138" s="2"/>
      <c r="I1138" s="2"/>
    </row>
    <row r="1139" spans="3:9" ht="15" customHeight="1">
      <c r="C1139" s="2"/>
      <c r="D1139" s="2"/>
      <c r="E1139" s="2"/>
      <c r="F1139" s="2"/>
      <c r="G1139" s="2"/>
      <c r="H1139" s="2"/>
      <c r="I1139" s="2"/>
    </row>
    <row r="1140" spans="3:9" ht="15" customHeight="1">
      <c r="C1140" s="2"/>
      <c r="D1140" s="2"/>
      <c r="E1140" s="2"/>
      <c r="F1140" s="2"/>
      <c r="G1140" s="2"/>
      <c r="H1140" s="2"/>
      <c r="I1140" s="2"/>
    </row>
    <row r="1141" spans="3:9" ht="15" customHeight="1">
      <c r="C1141" s="2"/>
      <c r="D1141" s="2"/>
      <c r="E1141" s="2"/>
      <c r="F1141" s="2"/>
      <c r="G1141" s="2"/>
      <c r="H1141" s="2"/>
      <c r="I1141" s="2"/>
    </row>
    <row r="1142" spans="3:9" ht="15" customHeight="1">
      <c r="C1142" s="2"/>
      <c r="D1142" s="2"/>
      <c r="E1142" s="2"/>
      <c r="F1142" s="2"/>
      <c r="G1142" s="2"/>
      <c r="H1142" s="2"/>
      <c r="I1142" s="2"/>
    </row>
    <row r="1143" spans="3:9" ht="15" customHeight="1">
      <c r="C1143" s="2"/>
      <c r="D1143" s="2"/>
      <c r="E1143" s="2"/>
      <c r="F1143" s="2"/>
      <c r="G1143" s="2"/>
      <c r="H1143" s="2"/>
      <c r="I1143" s="2"/>
    </row>
    <row r="1144" spans="3:9" ht="15" customHeight="1">
      <c r="C1144" s="2"/>
      <c r="D1144" s="2"/>
      <c r="E1144" s="2"/>
      <c r="F1144" s="2"/>
      <c r="G1144" s="2"/>
      <c r="H1144" s="2"/>
      <c r="I1144" s="2"/>
    </row>
    <row r="1145" spans="3:9" ht="15" customHeight="1">
      <c r="C1145" s="2"/>
      <c r="D1145" s="2"/>
      <c r="E1145" s="2"/>
      <c r="F1145" s="2"/>
      <c r="G1145" s="2"/>
      <c r="H1145" s="2"/>
      <c r="I1145" s="2"/>
    </row>
    <row r="1146" spans="3:9" ht="15" customHeight="1">
      <c r="C1146" s="2"/>
      <c r="D1146" s="2"/>
      <c r="E1146" s="2"/>
      <c r="F1146" s="2"/>
      <c r="G1146" s="2"/>
      <c r="H1146" s="2"/>
      <c r="I1146" s="2"/>
    </row>
    <row r="1147" spans="3:9" ht="15" customHeight="1">
      <c r="C1147" s="2"/>
      <c r="D1147" s="2"/>
      <c r="E1147" s="2"/>
      <c r="F1147" s="2"/>
      <c r="G1147" s="2"/>
      <c r="H1147" s="2"/>
      <c r="I1147" s="2"/>
    </row>
    <row r="1148" spans="3:9" ht="15" customHeight="1">
      <c r="C1148" s="2"/>
      <c r="D1148" s="2"/>
      <c r="E1148" s="2"/>
      <c r="F1148" s="2"/>
      <c r="G1148" s="2"/>
      <c r="H1148" s="2"/>
      <c r="I1148" s="2"/>
    </row>
    <row r="1149" spans="3:9" ht="15" customHeight="1">
      <c r="C1149" s="2"/>
      <c r="D1149" s="2"/>
      <c r="E1149" s="2"/>
      <c r="F1149" s="2"/>
      <c r="G1149" s="2"/>
      <c r="H1149" s="2"/>
      <c r="I1149" s="2"/>
    </row>
    <row r="1150" spans="3:9" ht="15" customHeight="1">
      <c r="C1150" s="2"/>
      <c r="D1150" s="2"/>
      <c r="E1150" s="2"/>
      <c r="F1150" s="2"/>
      <c r="G1150" s="2"/>
      <c r="H1150" s="2"/>
      <c r="I1150" s="2"/>
    </row>
    <row r="1151" spans="3:9" ht="15" customHeight="1">
      <c r="C1151" s="2"/>
      <c r="D1151" s="2"/>
      <c r="E1151" s="2"/>
      <c r="F1151" s="2"/>
      <c r="G1151" s="2"/>
      <c r="H1151" s="2"/>
      <c r="I1151" s="2"/>
    </row>
    <row r="1152" spans="3:9" ht="15" customHeight="1">
      <c r="C1152" s="2"/>
      <c r="D1152" s="2"/>
      <c r="E1152" s="2"/>
      <c r="F1152" s="2"/>
      <c r="G1152" s="2"/>
      <c r="H1152" s="2"/>
      <c r="I1152" s="2"/>
    </row>
    <row r="1153" spans="3:9" ht="15" customHeight="1">
      <c r="C1153" s="2"/>
      <c r="D1153" s="2"/>
      <c r="E1153" s="2"/>
      <c r="F1153" s="2"/>
      <c r="G1153" s="2"/>
      <c r="H1153" s="2"/>
      <c r="I1153" s="2"/>
    </row>
    <row r="1154" spans="3:9" ht="15" customHeight="1">
      <c r="C1154" s="2"/>
      <c r="D1154" s="2"/>
      <c r="E1154" s="2"/>
      <c r="F1154" s="2"/>
      <c r="G1154" s="2"/>
      <c r="H1154" s="2"/>
      <c r="I1154" s="2"/>
    </row>
    <row r="1155" spans="3:9" ht="15" customHeight="1">
      <c r="C1155" s="2"/>
      <c r="D1155" s="2"/>
      <c r="E1155" s="2"/>
      <c r="F1155" s="2"/>
      <c r="G1155" s="2"/>
      <c r="H1155" s="2"/>
      <c r="I1155" s="2"/>
    </row>
    <row r="1156" spans="3:9" ht="15" customHeight="1">
      <c r="C1156" s="2"/>
      <c r="D1156" s="2"/>
      <c r="E1156" s="2"/>
      <c r="F1156" s="2"/>
      <c r="G1156" s="2"/>
      <c r="H1156" s="2"/>
      <c r="I1156" s="2"/>
    </row>
    <row r="1157" spans="3:9" ht="15" customHeight="1">
      <c r="C1157" s="2"/>
      <c r="D1157" s="2"/>
      <c r="E1157" s="2"/>
      <c r="F1157" s="2"/>
      <c r="G1157" s="2"/>
      <c r="H1157" s="2"/>
      <c r="I1157" s="2"/>
    </row>
    <row r="1158" spans="3:9" ht="15" customHeight="1">
      <c r="C1158" s="2"/>
      <c r="D1158" s="2"/>
      <c r="E1158" s="2"/>
      <c r="F1158" s="2"/>
      <c r="G1158" s="2"/>
      <c r="H1158" s="2"/>
      <c r="I1158" s="2"/>
    </row>
    <row r="1159" spans="3:9" ht="15" customHeight="1">
      <c r="C1159" s="2"/>
      <c r="D1159" s="2"/>
      <c r="E1159" s="2"/>
      <c r="F1159" s="2"/>
      <c r="G1159" s="2"/>
      <c r="H1159" s="2"/>
      <c r="I1159" s="2"/>
    </row>
  </sheetData>
  <mergeCells count="21">
    <mergeCell ref="AP38:AQ38"/>
    <mergeCell ref="AP39:AQ39"/>
    <mergeCell ref="AL23:AM23"/>
    <mergeCell ref="T25:X27"/>
    <mergeCell ref="T24:X24"/>
    <mergeCell ref="AD2:AE2"/>
    <mergeCell ref="AF2:AG2"/>
    <mergeCell ref="AP37:AQ37"/>
    <mergeCell ref="S16:X16"/>
    <mergeCell ref="S18:T18"/>
    <mergeCell ref="S19:T19"/>
    <mergeCell ref="AJ23:AK23"/>
    <mergeCell ref="S17:T17"/>
    <mergeCell ref="O21:V22"/>
    <mergeCell ref="W21:Z22"/>
    <mergeCell ref="F2:H2"/>
    <mergeCell ref="R2:AB2"/>
    <mergeCell ref="X3:Z3"/>
    <mergeCell ref="S15:T15"/>
    <mergeCell ref="U15:V15"/>
    <mergeCell ref="W15:X15"/>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79"/>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10" t="s">
        <v>2460</v>
      </c>
      <c r="F1" s="652">
        <f>SUM(L:L)</f>
        <v>24.608899999999998</v>
      </c>
      <c r="H1" s="664">
        <f>IF(F1&gt;100,F1/10^(LEN(F1)-2),F1)</f>
        <v>24.608899999999998</v>
      </c>
    </row>
    <row r="2" spans="1:12"/>
    <row r="3" spans="1:12">
      <c r="A3" t="s">
        <v>2402</v>
      </c>
      <c r="J3" s="652" t="str">
        <f>IF(A3="Devizy","Devizy","")</f>
        <v/>
      </c>
      <c r="K3" s="652" t="str">
        <f>IFERROR(IF(AND(J3="Devizy",FIND("Nakupujeme ",A3)=1),RIGHT(A3,7),""),"")</f>
        <v/>
      </c>
      <c r="L3" s="652" t="str">
        <f>IFERROR(K3+M3,"")</f>
        <v/>
      </c>
    </row>
    <row r="4" spans="1:12">
      <c r="A4" t="s">
        <v>2409</v>
      </c>
      <c r="J4" s="652" t="str">
        <f>IF(OR(A4="Devizy",J3="Devizy"),"Devizy","")</f>
        <v/>
      </c>
      <c r="K4" s="652" t="str">
        <f>IFERROR(IF(AND(J4="Devizy",FIND("Nakupujeme ",A4)=1),RIGHT(A4,7),""),"")</f>
        <v/>
      </c>
      <c r="L4" s="652" t="str">
        <f>IFERROR(K4+M4,"")</f>
        <v/>
      </c>
    </row>
    <row r="5" spans="1:12">
      <c r="A5" t="s">
        <v>14044</v>
      </c>
      <c r="J5" s="652" t="str">
        <f t="shared" ref="J5:J30" si="0">IF(OR(A5="Devizy",J4="Devizy"),"Devizy","")</f>
        <v/>
      </c>
      <c r="K5" s="652" t="str">
        <f t="shared" ref="K5:K30" si="1">IFERROR(IF(AND(J5="Devizy",FIND("Nakupujeme ",A5)=1),RIGHT(A5,7),""),"")</f>
        <v/>
      </c>
      <c r="L5" s="652" t="str">
        <f t="shared" ref="L5:L68" si="2">IFERROR(K5+M5,"")</f>
        <v/>
      </c>
    </row>
    <row r="6" spans="1:12">
      <c r="A6" t="s">
        <v>13690</v>
      </c>
      <c r="J6" s="652" t="str">
        <f t="shared" si="0"/>
        <v/>
      </c>
      <c r="K6" s="652" t="str">
        <f t="shared" si="1"/>
        <v/>
      </c>
      <c r="L6" s="652" t="str">
        <f t="shared" si="2"/>
        <v/>
      </c>
    </row>
    <row r="7" spans="1:12">
      <c r="J7" s="652" t="str">
        <f t="shared" si="0"/>
        <v/>
      </c>
      <c r="K7" s="652" t="str">
        <f t="shared" si="1"/>
        <v/>
      </c>
      <c r="L7" s="652" t="str">
        <f t="shared" si="2"/>
        <v/>
      </c>
    </row>
    <row r="8" spans="1:12">
      <c r="A8" t="s">
        <v>2418</v>
      </c>
      <c r="J8" s="652" t="str">
        <f t="shared" si="0"/>
        <v/>
      </c>
      <c r="K8" s="652" t="str">
        <f t="shared" si="1"/>
        <v/>
      </c>
      <c r="L8" s="652" t="str">
        <f t="shared" si="2"/>
        <v/>
      </c>
    </row>
    <row r="9" spans="1:12">
      <c r="J9" s="652" t="str">
        <f t="shared" si="0"/>
        <v/>
      </c>
      <c r="K9" s="652" t="str">
        <f t="shared" si="1"/>
        <v/>
      </c>
      <c r="L9" s="652" t="str">
        <f t="shared" si="2"/>
        <v/>
      </c>
    </row>
    <row r="10" spans="1:12">
      <c r="A10" t="s">
        <v>13691</v>
      </c>
      <c r="J10" s="652" t="str">
        <f t="shared" si="0"/>
        <v/>
      </c>
      <c r="K10" s="652" t="str">
        <f t="shared" si="1"/>
        <v/>
      </c>
      <c r="L10" s="652" t="str">
        <f t="shared" si="2"/>
        <v/>
      </c>
    </row>
    <row r="11" spans="1:12">
      <c r="A11" t="s">
        <v>14046</v>
      </c>
      <c r="J11" s="652" t="str">
        <f t="shared" si="0"/>
        <v/>
      </c>
      <c r="K11" s="652" t="str">
        <f t="shared" si="1"/>
        <v/>
      </c>
      <c r="L11" s="652" t="str">
        <f t="shared" si="2"/>
        <v/>
      </c>
    </row>
    <row r="12" spans="1:12">
      <c r="A12" t="s">
        <v>13722</v>
      </c>
      <c r="J12" s="652" t="str">
        <f t="shared" si="0"/>
        <v/>
      </c>
      <c r="K12" s="652" t="str">
        <f t="shared" si="1"/>
        <v/>
      </c>
      <c r="L12" s="652" t="str">
        <f t="shared" si="2"/>
        <v/>
      </c>
    </row>
    <row r="13" spans="1:12">
      <c r="A13" t="s">
        <v>13716</v>
      </c>
      <c r="J13" s="652" t="str">
        <f t="shared" si="0"/>
        <v/>
      </c>
      <c r="K13" s="652" t="str">
        <f t="shared" si="1"/>
        <v/>
      </c>
      <c r="L13" s="652" t="str">
        <f t="shared" si="2"/>
        <v/>
      </c>
    </row>
    <row r="14" spans="1:12">
      <c r="A14" t="s">
        <v>13717</v>
      </c>
      <c r="J14" s="652" t="str">
        <f t="shared" si="0"/>
        <v/>
      </c>
      <c r="K14" s="652" t="str">
        <f t="shared" si="1"/>
        <v/>
      </c>
      <c r="L14" s="652" t="str">
        <f t="shared" si="2"/>
        <v/>
      </c>
    </row>
    <row r="15" spans="1:12">
      <c r="A15" t="s">
        <v>13691</v>
      </c>
      <c r="J15" s="652" t="str">
        <f t="shared" si="0"/>
        <v/>
      </c>
      <c r="K15" s="652" t="str">
        <f t="shared" si="1"/>
        <v/>
      </c>
      <c r="L15" s="652" t="str">
        <f t="shared" si="2"/>
        <v/>
      </c>
    </row>
    <row r="16" spans="1:12">
      <c r="A16" t="s">
        <v>13692</v>
      </c>
      <c r="J16" s="652" t="str">
        <f t="shared" si="0"/>
        <v/>
      </c>
      <c r="K16" s="652" t="str">
        <f t="shared" si="1"/>
        <v/>
      </c>
      <c r="L16" s="652" t="str">
        <f t="shared" si="2"/>
        <v/>
      </c>
    </row>
    <row r="17" spans="1:43">
      <c r="J17" s="652" t="str">
        <f t="shared" si="0"/>
        <v/>
      </c>
      <c r="K17" s="652" t="str">
        <f t="shared" si="1"/>
        <v/>
      </c>
      <c r="L17" s="652" t="str">
        <f t="shared" si="2"/>
        <v/>
      </c>
    </row>
    <row r="18" spans="1:43">
      <c r="A18" t="s">
        <v>2403</v>
      </c>
      <c r="J18" s="652" t="str">
        <f t="shared" si="0"/>
        <v/>
      </c>
      <c r="K18" s="652" t="str">
        <f t="shared" si="1"/>
        <v/>
      </c>
      <c r="L18" s="652" t="str">
        <f t="shared" si="2"/>
        <v/>
      </c>
    </row>
    <row r="19" spans="1:43">
      <c r="J19" s="652" t="str">
        <f t="shared" si="0"/>
        <v/>
      </c>
      <c r="K19" s="652" t="str">
        <f t="shared" si="1"/>
        <v/>
      </c>
      <c r="L19" s="652" t="str">
        <f t="shared" si="2"/>
        <v/>
      </c>
    </row>
    <row r="20" spans="1:43">
      <c r="J20" s="652" t="str">
        <f t="shared" si="0"/>
        <v/>
      </c>
      <c r="K20" s="652" t="str">
        <f t="shared" si="1"/>
        <v/>
      </c>
      <c r="L20" s="652" t="str">
        <f t="shared" si="2"/>
        <v/>
      </c>
    </row>
    <row r="21" spans="1:43">
      <c r="A21" t="s">
        <v>13693</v>
      </c>
      <c r="J21" s="652" t="str">
        <f t="shared" si="0"/>
        <v/>
      </c>
      <c r="K21" s="652" t="str">
        <f t="shared" si="1"/>
        <v/>
      </c>
      <c r="L21" s="652" t="str">
        <f t="shared" si="2"/>
        <v/>
      </c>
    </row>
    <row r="22" spans="1:43">
      <c r="A22" t="s">
        <v>13694</v>
      </c>
      <c r="J22" s="652" t="str">
        <f t="shared" si="0"/>
        <v/>
      </c>
      <c r="K22" s="652" t="str">
        <f t="shared" si="1"/>
        <v/>
      </c>
      <c r="L22" s="652" t="str">
        <f t="shared" si="2"/>
        <v/>
      </c>
      <c r="AQ22" t="str">
        <f>IF($AK$3=1,"",IF(OR(AA22&lt;&gt;"",AA22&lt;&gt;0),IF(OR(AB22="SKLADEM",AB22=$V$3,AB22=$V$9),$V$10,""),""))</f>
        <v/>
      </c>
    </row>
    <row r="23" spans="1:43">
      <c r="A23" t="s">
        <v>14048</v>
      </c>
      <c r="J23" s="652" t="str">
        <f t="shared" si="0"/>
        <v/>
      </c>
      <c r="K23" s="652" t="str">
        <f t="shared" si="1"/>
        <v/>
      </c>
      <c r="L23" s="652" t="str">
        <f t="shared" si="2"/>
        <v/>
      </c>
    </row>
    <row r="24" spans="1:43">
      <c r="A24" s="3" t="s">
        <v>13695</v>
      </c>
      <c r="J24" s="652" t="str">
        <f t="shared" si="0"/>
        <v/>
      </c>
      <c r="K24" s="652" t="str">
        <f t="shared" si="1"/>
        <v/>
      </c>
      <c r="L24" s="652" t="str">
        <f t="shared" si="2"/>
        <v/>
      </c>
    </row>
    <row r="25" spans="1:43">
      <c r="A25" t="s">
        <v>13696</v>
      </c>
      <c r="J25" s="652" t="str">
        <f t="shared" si="0"/>
        <v/>
      </c>
      <c r="K25" s="652" t="str">
        <f t="shared" si="1"/>
        <v/>
      </c>
      <c r="L25" s="652" t="str">
        <f t="shared" si="2"/>
        <v/>
      </c>
    </row>
    <row r="26" spans="1:43">
      <c r="A26" s="3"/>
      <c r="J26" s="652" t="str">
        <f t="shared" si="0"/>
        <v/>
      </c>
      <c r="K26" s="652" t="str">
        <f t="shared" si="1"/>
        <v/>
      </c>
      <c r="L26" s="652" t="str">
        <f t="shared" si="2"/>
        <v/>
      </c>
    </row>
    <row r="27" spans="1:43">
      <c r="A27" t="s">
        <v>2404</v>
      </c>
      <c r="J27" s="652" t="str">
        <f t="shared" si="0"/>
        <v/>
      </c>
      <c r="K27" s="652" t="str">
        <f t="shared" si="1"/>
        <v/>
      </c>
      <c r="L27" s="652" t="str">
        <f t="shared" si="2"/>
        <v/>
      </c>
    </row>
    <row r="28" spans="1:43">
      <c r="J28" s="652" t="str">
        <f t="shared" si="0"/>
        <v/>
      </c>
      <c r="K28" s="652" t="str">
        <f t="shared" si="1"/>
        <v/>
      </c>
      <c r="L28" s="652" t="str">
        <f t="shared" si="2"/>
        <v/>
      </c>
    </row>
    <row r="29" spans="1:43">
      <c r="J29" s="652" t="str">
        <f t="shared" si="0"/>
        <v/>
      </c>
      <c r="K29" s="652" t="str">
        <f t="shared" si="1"/>
        <v/>
      </c>
      <c r="L29" s="652" t="str">
        <f t="shared" si="2"/>
        <v/>
      </c>
      <c r="W29" s="27"/>
    </row>
    <row r="30" spans="1:43">
      <c r="A30" t="s">
        <v>13697</v>
      </c>
      <c r="C30" s="139"/>
      <c r="J30" s="652" t="str">
        <f t="shared" si="0"/>
        <v/>
      </c>
      <c r="K30" s="652" t="str">
        <f t="shared" si="1"/>
        <v/>
      </c>
      <c r="L30" s="652" t="str">
        <f t="shared" si="2"/>
        <v/>
      </c>
    </row>
    <row r="31" spans="1:43">
      <c r="A31" t="s">
        <v>13698</v>
      </c>
      <c r="J31" s="652" t="str">
        <f t="shared" ref="J31:J94" si="3">IF(OR(A31="Devizy",J30="Devizy"),"Devizy","")</f>
        <v/>
      </c>
      <c r="K31" s="652" t="str">
        <f t="shared" ref="K31:K94" si="4">IFERROR(IF(AND(J31="Devizy",FIND("Nakupujeme ",A31)=1),RIGHT(A31,7),""),"")</f>
        <v/>
      </c>
      <c r="L31" s="652" t="str">
        <f t="shared" si="2"/>
        <v/>
      </c>
    </row>
    <row r="32" spans="1:43">
      <c r="J32" s="652" t="str">
        <f t="shared" si="3"/>
        <v/>
      </c>
      <c r="K32" s="652" t="str">
        <f t="shared" si="4"/>
        <v/>
      </c>
      <c r="L32" s="652" t="str">
        <f t="shared" si="2"/>
        <v/>
      </c>
    </row>
    <row r="33" spans="1:12">
      <c r="A33" t="s">
        <v>2405</v>
      </c>
      <c r="J33" s="652" t="str">
        <f t="shared" si="3"/>
        <v/>
      </c>
      <c r="K33" s="652" t="str">
        <f t="shared" si="4"/>
        <v/>
      </c>
      <c r="L33" s="652" t="str">
        <f t="shared" si="2"/>
        <v/>
      </c>
    </row>
    <row r="34" spans="1:12">
      <c r="J34" s="652" t="str">
        <f t="shared" si="3"/>
        <v/>
      </c>
      <c r="K34" s="652" t="str">
        <f t="shared" si="4"/>
        <v/>
      </c>
      <c r="L34" s="652" t="str">
        <f t="shared" si="2"/>
        <v/>
      </c>
    </row>
    <row r="35" spans="1:12">
      <c r="J35" s="652" t="str">
        <f t="shared" si="3"/>
        <v/>
      </c>
      <c r="K35" s="652" t="str">
        <f t="shared" si="4"/>
        <v/>
      </c>
      <c r="L35" s="652" t="str">
        <f t="shared" si="2"/>
        <v/>
      </c>
    </row>
    <row r="36" spans="1:12">
      <c r="A36" t="s">
        <v>14047</v>
      </c>
      <c r="J36" s="652" t="str">
        <f t="shared" si="3"/>
        <v/>
      </c>
      <c r="K36" s="652" t="str">
        <f t="shared" si="4"/>
        <v/>
      </c>
      <c r="L36" s="652" t="str">
        <f t="shared" si="2"/>
        <v/>
      </c>
    </row>
    <row r="37" spans="1:12">
      <c r="A37" t="s">
        <v>13699</v>
      </c>
      <c r="J37" s="652" t="str">
        <f t="shared" si="3"/>
        <v/>
      </c>
      <c r="K37" s="652" t="str">
        <f t="shared" si="4"/>
        <v/>
      </c>
      <c r="L37" s="652" t="str">
        <f t="shared" si="2"/>
        <v/>
      </c>
    </row>
    <row r="38" spans="1:12">
      <c r="A38" t="s">
        <v>13700</v>
      </c>
      <c r="J38" s="652" t="str">
        <f t="shared" si="3"/>
        <v/>
      </c>
      <c r="K38" s="652" t="str">
        <f t="shared" si="4"/>
        <v/>
      </c>
      <c r="L38" s="652" t="str">
        <f t="shared" si="2"/>
        <v/>
      </c>
    </row>
    <row r="39" spans="1:12">
      <c r="A39" s="3" t="s">
        <v>14050</v>
      </c>
      <c r="J39" s="652" t="str">
        <f t="shared" si="3"/>
        <v/>
      </c>
      <c r="K39" s="652" t="str">
        <f t="shared" si="4"/>
        <v/>
      </c>
      <c r="L39" s="652" t="str">
        <f t="shared" si="2"/>
        <v/>
      </c>
    </row>
    <row r="40" spans="1:12">
      <c r="A40" t="s">
        <v>13696</v>
      </c>
      <c r="J40" s="652" t="str">
        <f t="shared" si="3"/>
        <v/>
      </c>
      <c r="K40" s="652" t="str">
        <f t="shared" si="4"/>
        <v/>
      </c>
      <c r="L40" s="652" t="str">
        <f t="shared" si="2"/>
        <v/>
      </c>
    </row>
    <row r="41" spans="1:12">
      <c r="A41" s="3"/>
      <c r="J41" s="652" t="str">
        <f t="shared" si="3"/>
        <v/>
      </c>
      <c r="K41" s="652" t="str">
        <f t="shared" si="4"/>
        <v/>
      </c>
      <c r="L41" s="652" t="str">
        <f t="shared" si="2"/>
        <v/>
      </c>
    </row>
    <row r="42" spans="1:12">
      <c r="A42" t="s">
        <v>2406</v>
      </c>
      <c r="J42" s="652" t="str">
        <f t="shared" si="3"/>
        <v/>
      </c>
      <c r="K42" s="652" t="str">
        <f t="shared" si="4"/>
        <v/>
      </c>
      <c r="L42" s="652" t="str">
        <f t="shared" si="2"/>
        <v/>
      </c>
    </row>
    <row r="43" spans="1:12">
      <c r="J43" s="652" t="str">
        <f t="shared" si="3"/>
        <v/>
      </c>
      <c r="K43" s="652" t="str">
        <f t="shared" si="4"/>
        <v/>
      </c>
      <c r="L43" s="652" t="str">
        <f t="shared" si="2"/>
        <v/>
      </c>
    </row>
    <row r="44" spans="1:12">
      <c r="J44" s="652" t="str">
        <f t="shared" si="3"/>
        <v/>
      </c>
      <c r="K44" s="652" t="str">
        <f t="shared" si="4"/>
        <v/>
      </c>
      <c r="L44" s="652" t="str">
        <f t="shared" si="2"/>
        <v/>
      </c>
    </row>
    <row r="45" spans="1:12">
      <c r="A45" s="3" t="s">
        <v>13701</v>
      </c>
      <c r="J45" s="652" t="str">
        <f t="shared" si="3"/>
        <v/>
      </c>
      <c r="K45" s="652" t="str">
        <f t="shared" si="4"/>
        <v/>
      </c>
      <c r="L45" s="652" t="str">
        <f t="shared" si="2"/>
        <v/>
      </c>
    </row>
    <row r="46" spans="1:12">
      <c r="A46" t="s">
        <v>13702</v>
      </c>
      <c r="J46" s="652" t="str">
        <f t="shared" si="3"/>
        <v/>
      </c>
      <c r="K46" s="652" t="str">
        <f t="shared" si="4"/>
        <v/>
      </c>
      <c r="L46" s="652" t="str">
        <f t="shared" si="2"/>
        <v/>
      </c>
    </row>
    <row r="47" spans="1:12">
      <c r="A47" t="s">
        <v>13703</v>
      </c>
      <c r="J47" s="652" t="str">
        <f t="shared" si="3"/>
        <v/>
      </c>
      <c r="K47" s="652" t="str">
        <f t="shared" si="4"/>
        <v/>
      </c>
      <c r="L47" s="652" t="str">
        <f t="shared" si="2"/>
        <v/>
      </c>
    </row>
    <row r="48" spans="1:12">
      <c r="A48" t="s">
        <v>13704</v>
      </c>
      <c r="J48" s="652" t="str">
        <f t="shared" si="3"/>
        <v/>
      </c>
      <c r="K48" s="652" t="str">
        <f t="shared" si="4"/>
        <v/>
      </c>
      <c r="L48" s="652" t="str">
        <f t="shared" si="2"/>
        <v/>
      </c>
    </row>
    <row r="49" spans="1:12">
      <c r="A49" t="s">
        <v>13696</v>
      </c>
      <c r="J49" s="652" t="str">
        <f t="shared" si="3"/>
        <v/>
      </c>
      <c r="K49" s="652" t="str">
        <f t="shared" si="4"/>
        <v/>
      </c>
      <c r="L49" s="652" t="str">
        <f t="shared" si="2"/>
        <v/>
      </c>
    </row>
    <row r="50" spans="1:12">
      <c r="A50" s="3"/>
      <c r="J50" s="652" t="str">
        <f t="shared" si="3"/>
        <v/>
      </c>
      <c r="K50" s="652" t="str">
        <f t="shared" si="4"/>
        <v/>
      </c>
      <c r="L50" s="652" t="str">
        <f t="shared" si="2"/>
        <v/>
      </c>
    </row>
    <row r="51" spans="1:12">
      <c r="A51" t="s">
        <v>2407</v>
      </c>
      <c r="J51" s="652" t="str">
        <f t="shared" si="3"/>
        <v/>
      </c>
      <c r="K51" s="652" t="str">
        <f t="shared" si="4"/>
        <v/>
      </c>
      <c r="L51" s="652" t="str">
        <f t="shared" si="2"/>
        <v/>
      </c>
    </row>
    <row r="52" spans="1:12">
      <c r="J52" s="652" t="str">
        <f t="shared" si="3"/>
        <v/>
      </c>
      <c r="K52" s="652" t="str">
        <f t="shared" si="4"/>
        <v/>
      </c>
      <c r="L52" s="652" t="str">
        <f t="shared" si="2"/>
        <v/>
      </c>
    </row>
    <row r="53" spans="1:12">
      <c r="J53" s="652" t="str">
        <f t="shared" si="3"/>
        <v/>
      </c>
      <c r="K53" s="652" t="str">
        <f t="shared" si="4"/>
        <v/>
      </c>
      <c r="L53" s="652" t="str">
        <f t="shared" si="2"/>
        <v/>
      </c>
    </row>
    <row r="54" spans="1:12">
      <c r="A54" t="s">
        <v>13705</v>
      </c>
      <c r="J54" s="652" t="str">
        <f t="shared" si="3"/>
        <v/>
      </c>
      <c r="K54" s="652" t="str">
        <f t="shared" si="4"/>
        <v/>
      </c>
      <c r="L54" s="652" t="str">
        <f t="shared" si="2"/>
        <v/>
      </c>
    </row>
    <row r="55" spans="1:12">
      <c r="A55" t="s">
        <v>13706</v>
      </c>
      <c r="J55" s="652" t="str">
        <f t="shared" si="3"/>
        <v/>
      </c>
      <c r="K55" s="652" t="str">
        <f t="shared" si="4"/>
        <v/>
      </c>
      <c r="L55" s="652" t="str">
        <f t="shared" si="2"/>
        <v/>
      </c>
    </row>
    <row r="56" spans="1:12">
      <c r="A56" t="s">
        <v>13707</v>
      </c>
      <c r="J56" s="652" t="str">
        <f t="shared" si="3"/>
        <v/>
      </c>
      <c r="K56" s="652" t="str">
        <f t="shared" si="4"/>
        <v/>
      </c>
      <c r="L56" s="652" t="str">
        <f t="shared" si="2"/>
        <v/>
      </c>
    </row>
    <row r="57" spans="1:12">
      <c r="A57" t="s">
        <v>13708</v>
      </c>
      <c r="J57" s="652" t="str">
        <f t="shared" si="3"/>
        <v/>
      </c>
      <c r="K57" s="652" t="str">
        <f t="shared" si="4"/>
        <v/>
      </c>
      <c r="L57" s="652" t="str">
        <f t="shared" si="2"/>
        <v/>
      </c>
    </row>
    <row r="58" spans="1:12">
      <c r="A58" s="3" t="s">
        <v>13696</v>
      </c>
      <c r="J58" s="652" t="str">
        <f t="shared" si="3"/>
        <v/>
      </c>
      <c r="K58" s="652" t="str">
        <f t="shared" si="4"/>
        <v/>
      </c>
      <c r="L58" s="652" t="str">
        <f t="shared" si="2"/>
        <v/>
      </c>
    </row>
    <row r="59" spans="1:12">
      <c r="J59" s="652" t="str">
        <f t="shared" si="3"/>
        <v/>
      </c>
      <c r="K59" s="652" t="str">
        <f t="shared" si="4"/>
        <v/>
      </c>
      <c r="L59" s="652" t="str">
        <f t="shared" si="2"/>
        <v/>
      </c>
    </row>
    <row r="60" spans="1:12">
      <c r="A60" s="3" t="s">
        <v>2408</v>
      </c>
      <c r="J60" s="652" t="str">
        <f t="shared" si="3"/>
        <v/>
      </c>
      <c r="K60" s="652" t="str">
        <f t="shared" si="4"/>
        <v/>
      </c>
      <c r="L60" s="652" t="str">
        <f t="shared" si="2"/>
        <v/>
      </c>
    </row>
    <row r="61" spans="1:12">
      <c r="A61" s="3"/>
      <c r="J61" s="652" t="str">
        <f t="shared" si="3"/>
        <v/>
      </c>
      <c r="K61" s="652" t="str">
        <f t="shared" si="4"/>
        <v/>
      </c>
      <c r="L61" s="652" t="str">
        <f t="shared" si="2"/>
        <v/>
      </c>
    </row>
    <row r="62" spans="1:12">
      <c r="A62" s="3"/>
      <c r="J62" s="652" t="str">
        <f t="shared" si="3"/>
        <v/>
      </c>
      <c r="K62" s="652" t="str">
        <f t="shared" si="4"/>
        <v/>
      </c>
      <c r="L62" s="652" t="str">
        <f t="shared" si="2"/>
        <v/>
      </c>
    </row>
    <row r="63" spans="1:12">
      <c r="A63" t="s">
        <v>13709</v>
      </c>
      <c r="J63" s="652" t="str">
        <f t="shared" si="3"/>
        <v/>
      </c>
      <c r="K63" s="652" t="str">
        <f t="shared" si="4"/>
        <v/>
      </c>
      <c r="L63" s="652" t="str">
        <f t="shared" si="2"/>
        <v/>
      </c>
    </row>
    <row r="64" spans="1:12">
      <c r="A64" s="3" t="s">
        <v>13710</v>
      </c>
      <c r="J64" s="652" t="str">
        <f t="shared" si="3"/>
        <v/>
      </c>
      <c r="K64" s="652" t="str">
        <f t="shared" si="4"/>
        <v/>
      </c>
      <c r="L64" s="652" t="str">
        <f t="shared" si="2"/>
        <v/>
      </c>
    </row>
    <row r="65" spans="1:12">
      <c r="A65" s="3" t="s">
        <v>13711</v>
      </c>
      <c r="J65" s="652" t="str">
        <f t="shared" si="3"/>
        <v/>
      </c>
      <c r="K65" s="652" t="str">
        <f t="shared" si="4"/>
        <v/>
      </c>
      <c r="L65" s="652" t="str">
        <f t="shared" si="2"/>
        <v/>
      </c>
    </row>
    <row r="66" spans="1:12">
      <c r="A66" s="3" t="s">
        <v>13712</v>
      </c>
      <c r="J66" s="652" t="str">
        <f t="shared" si="3"/>
        <v/>
      </c>
      <c r="K66" s="652" t="str">
        <f t="shared" si="4"/>
        <v/>
      </c>
      <c r="L66" s="652" t="str">
        <f t="shared" si="2"/>
        <v/>
      </c>
    </row>
    <row r="67" spans="1:12">
      <c r="A67" t="s">
        <v>13696</v>
      </c>
      <c r="J67" s="652" t="str">
        <f t="shared" si="3"/>
        <v/>
      </c>
      <c r="K67" s="652" t="str">
        <f t="shared" si="4"/>
        <v/>
      </c>
      <c r="L67" s="652" t="str">
        <f t="shared" si="2"/>
        <v/>
      </c>
    </row>
    <row r="68" spans="1:12">
      <c r="A68" s="3"/>
      <c r="J68" s="652" t="str">
        <f t="shared" si="3"/>
        <v/>
      </c>
      <c r="K68" s="652" t="str">
        <f t="shared" si="4"/>
        <v/>
      </c>
      <c r="L68" s="652" t="str">
        <f t="shared" si="2"/>
        <v/>
      </c>
    </row>
    <row r="69" spans="1:12">
      <c r="A69" s="3" t="s">
        <v>13714</v>
      </c>
      <c r="J69" s="652" t="str">
        <f t="shared" si="3"/>
        <v/>
      </c>
      <c r="K69" s="652" t="str">
        <f t="shared" si="4"/>
        <v/>
      </c>
      <c r="L69" s="652" t="str">
        <f t="shared" ref="L69:L132" si="5">IFERROR(K69+M69,"")</f>
        <v/>
      </c>
    </row>
    <row r="70" spans="1:12">
      <c r="A70" s="4" t="s">
        <v>13713</v>
      </c>
      <c r="J70" s="652" t="str">
        <f t="shared" si="3"/>
        <v/>
      </c>
      <c r="K70" s="652" t="str">
        <f t="shared" si="4"/>
        <v/>
      </c>
      <c r="L70" s="652" t="str">
        <f t="shared" si="5"/>
        <v/>
      </c>
    </row>
    <row r="71" spans="1:12">
      <c r="J71" s="652" t="str">
        <f t="shared" si="3"/>
        <v/>
      </c>
      <c r="K71" s="652" t="str">
        <f t="shared" si="4"/>
        <v/>
      </c>
      <c r="L71" s="652" t="str">
        <f t="shared" si="5"/>
        <v/>
      </c>
    </row>
    <row r="72" spans="1:12">
      <c r="A72" t="s">
        <v>13715</v>
      </c>
      <c r="J72" s="652" t="str">
        <f t="shared" si="3"/>
        <v/>
      </c>
      <c r="K72" s="652" t="str">
        <f t="shared" si="4"/>
        <v/>
      </c>
      <c r="L72" s="652" t="str">
        <f t="shared" si="5"/>
        <v/>
      </c>
    </row>
    <row r="73" spans="1:12">
      <c r="A73" t="s">
        <v>13716</v>
      </c>
      <c r="J73" s="652" t="str">
        <f t="shared" si="3"/>
        <v/>
      </c>
      <c r="K73" s="652" t="str">
        <f t="shared" si="4"/>
        <v/>
      </c>
      <c r="L73" s="652" t="str">
        <f t="shared" si="5"/>
        <v/>
      </c>
    </row>
    <row r="74" spans="1:12">
      <c r="J74" s="652" t="str">
        <f t="shared" si="3"/>
        <v/>
      </c>
      <c r="K74" s="652" t="str">
        <f t="shared" si="4"/>
        <v/>
      </c>
      <c r="L74" s="652" t="str">
        <f t="shared" si="5"/>
        <v/>
      </c>
    </row>
    <row r="75" spans="1:12">
      <c r="A75" s="4" t="s">
        <v>13717</v>
      </c>
      <c r="J75" s="652" t="str">
        <f t="shared" si="3"/>
        <v/>
      </c>
      <c r="K75" s="652" t="str">
        <f t="shared" si="4"/>
        <v/>
      </c>
      <c r="L75" s="652" t="str">
        <f t="shared" si="5"/>
        <v/>
      </c>
    </row>
    <row r="76" spans="1:12">
      <c r="A76" t="s">
        <v>14767</v>
      </c>
      <c r="J76" s="652" t="str">
        <f t="shared" si="3"/>
        <v/>
      </c>
      <c r="K76" s="652" t="str">
        <f t="shared" si="4"/>
        <v/>
      </c>
      <c r="L76" s="652" t="str">
        <f t="shared" si="5"/>
        <v/>
      </c>
    </row>
    <row r="77" spans="1:12">
      <c r="A77" t="s">
        <v>14768</v>
      </c>
      <c r="J77" s="652" t="str">
        <f t="shared" si="3"/>
        <v/>
      </c>
      <c r="K77" s="652" t="str">
        <f t="shared" si="4"/>
        <v/>
      </c>
      <c r="L77" s="652" t="str">
        <f t="shared" si="5"/>
        <v/>
      </c>
    </row>
    <row r="78" spans="1:12">
      <c r="A78" s="4" t="s">
        <v>14769</v>
      </c>
      <c r="J78" s="652" t="str">
        <f t="shared" si="3"/>
        <v/>
      </c>
      <c r="K78" s="652" t="str">
        <f t="shared" si="4"/>
        <v/>
      </c>
      <c r="L78" s="652" t="str">
        <f t="shared" si="5"/>
        <v/>
      </c>
    </row>
    <row r="79" spans="1:12">
      <c r="A79" t="s">
        <v>13719</v>
      </c>
      <c r="J79" s="652" t="str">
        <f t="shared" si="3"/>
        <v/>
      </c>
      <c r="K79" s="652" t="str">
        <f t="shared" si="4"/>
        <v/>
      </c>
      <c r="L79" s="652" t="str">
        <f t="shared" si="5"/>
        <v/>
      </c>
    </row>
    <row r="80" spans="1:12">
      <c r="A80" s="3"/>
      <c r="J80" s="652" t="str">
        <f t="shared" si="3"/>
        <v/>
      </c>
      <c r="K80" s="652" t="str">
        <f t="shared" si="4"/>
        <v/>
      </c>
      <c r="L80" s="652" t="str">
        <f t="shared" si="5"/>
        <v/>
      </c>
    </row>
    <row r="81" spans="1:12">
      <c r="A81" s="3" t="s">
        <v>13720</v>
      </c>
      <c r="J81" s="652" t="str">
        <f t="shared" si="3"/>
        <v/>
      </c>
      <c r="K81" s="652" t="str">
        <f t="shared" si="4"/>
        <v/>
      </c>
      <c r="L81" s="652" t="str">
        <f t="shared" si="5"/>
        <v/>
      </c>
    </row>
    <row r="82" spans="1:12">
      <c r="J82" s="652" t="str">
        <f t="shared" si="3"/>
        <v/>
      </c>
      <c r="K82" s="652" t="str">
        <f t="shared" si="4"/>
        <v/>
      </c>
      <c r="L82" s="652" t="str">
        <f t="shared" si="5"/>
        <v/>
      </c>
    </row>
    <row r="83" spans="1:12">
      <c r="A83" s="4"/>
      <c r="J83" s="652" t="str">
        <f t="shared" si="3"/>
        <v/>
      </c>
      <c r="K83" s="652" t="str">
        <f t="shared" si="4"/>
        <v/>
      </c>
      <c r="L83" s="652" t="str">
        <f t="shared" si="5"/>
        <v/>
      </c>
    </row>
    <row r="84" spans="1:12">
      <c r="A84" s="3" t="s">
        <v>13721</v>
      </c>
      <c r="J84" s="652" t="str">
        <f t="shared" si="3"/>
        <v/>
      </c>
      <c r="K84" s="652" t="str">
        <f t="shared" si="4"/>
        <v/>
      </c>
      <c r="L84" s="652" t="str">
        <f t="shared" si="5"/>
        <v/>
      </c>
    </row>
    <row r="85" spans="1:12">
      <c r="A85" s="3" t="s">
        <v>13722</v>
      </c>
      <c r="J85" s="652" t="str">
        <f t="shared" si="3"/>
        <v/>
      </c>
      <c r="K85" s="652" t="str">
        <f t="shared" si="4"/>
        <v/>
      </c>
      <c r="L85" s="652" t="str">
        <f t="shared" si="5"/>
        <v/>
      </c>
    </row>
    <row r="86" spans="1:12">
      <c r="A86" s="3" t="s">
        <v>13723</v>
      </c>
      <c r="J86" s="652" t="str">
        <f t="shared" si="3"/>
        <v/>
      </c>
      <c r="K86" s="652" t="str">
        <f t="shared" si="4"/>
        <v/>
      </c>
      <c r="L86" s="652" t="str">
        <f t="shared" si="5"/>
        <v/>
      </c>
    </row>
    <row r="87" spans="1:12">
      <c r="A87" t="s">
        <v>13724</v>
      </c>
      <c r="J87" s="652" t="str">
        <f t="shared" si="3"/>
        <v/>
      </c>
      <c r="K87" s="652" t="str">
        <f t="shared" si="4"/>
        <v/>
      </c>
      <c r="L87" s="652" t="str">
        <f t="shared" si="5"/>
        <v/>
      </c>
    </row>
    <row r="88" spans="1:12">
      <c r="A88" s="3"/>
      <c r="J88" s="652" t="str">
        <f t="shared" si="3"/>
        <v/>
      </c>
      <c r="K88" s="652" t="str">
        <f t="shared" si="4"/>
        <v/>
      </c>
      <c r="L88" s="652" t="str">
        <f t="shared" si="5"/>
        <v/>
      </c>
    </row>
    <row r="89" spans="1:12">
      <c r="A89" s="3" t="s">
        <v>13725</v>
      </c>
      <c r="J89" s="652" t="str">
        <f t="shared" si="3"/>
        <v/>
      </c>
      <c r="K89" s="652" t="str">
        <f t="shared" si="4"/>
        <v/>
      </c>
      <c r="L89" s="652" t="str">
        <f t="shared" si="5"/>
        <v/>
      </c>
    </row>
    <row r="90" spans="1:12">
      <c r="A90" t="s">
        <v>13726</v>
      </c>
      <c r="J90" s="652" t="str">
        <f t="shared" si="3"/>
        <v/>
      </c>
      <c r="K90" s="652" t="str">
        <f t="shared" si="4"/>
        <v/>
      </c>
      <c r="L90" s="652" t="str">
        <f t="shared" si="5"/>
        <v/>
      </c>
    </row>
    <row r="91" spans="1:12">
      <c r="A91" s="4" t="s">
        <v>13727</v>
      </c>
      <c r="J91" s="652" t="str">
        <f t="shared" si="3"/>
        <v/>
      </c>
      <c r="K91" s="652" t="str">
        <f t="shared" si="4"/>
        <v/>
      </c>
      <c r="L91" s="652" t="str">
        <f t="shared" si="5"/>
        <v/>
      </c>
    </row>
    <row r="92" spans="1:12">
      <c r="J92" s="652" t="str">
        <f t="shared" si="3"/>
        <v/>
      </c>
      <c r="K92" s="652" t="str">
        <f t="shared" si="4"/>
        <v/>
      </c>
      <c r="L92" s="652" t="str">
        <f t="shared" si="5"/>
        <v/>
      </c>
    </row>
    <row r="93" spans="1:12">
      <c r="A93" t="s">
        <v>13728</v>
      </c>
      <c r="J93" s="652" t="str">
        <f t="shared" si="3"/>
        <v/>
      </c>
      <c r="K93" s="652" t="str">
        <f t="shared" si="4"/>
        <v/>
      </c>
      <c r="L93" s="652" t="str">
        <f t="shared" si="5"/>
        <v/>
      </c>
    </row>
    <row r="94" spans="1:12">
      <c r="A94" t="s">
        <v>13729</v>
      </c>
      <c r="J94" s="652" t="str">
        <f t="shared" si="3"/>
        <v/>
      </c>
      <c r="K94" s="652" t="str">
        <f t="shared" si="4"/>
        <v/>
      </c>
      <c r="L94" s="652" t="str">
        <f t="shared" si="5"/>
        <v/>
      </c>
    </row>
    <row r="95" spans="1:12">
      <c r="A95" t="s">
        <v>13774</v>
      </c>
      <c r="J95" s="652" t="str">
        <f t="shared" ref="J95:J158" si="6">IF(OR(A95="Devizy",J94="Devizy"),"Devizy","")</f>
        <v/>
      </c>
      <c r="K95" s="652" t="str">
        <f t="shared" ref="K95:K158" si="7">IFERROR(IF(AND(J95="Devizy",FIND("Nakupujeme ",A95)=1),RIGHT(A95,7),""),"")</f>
        <v/>
      </c>
      <c r="L95" s="652" t="str">
        <f t="shared" si="5"/>
        <v/>
      </c>
    </row>
    <row r="96" spans="1:12">
      <c r="A96" t="s">
        <v>11783</v>
      </c>
      <c r="J96" s="652" t="str">
        <f t="shared" si="6"/>
        <v/>
      </c>
      <c r="K96" s="652" t="str">
        <f t="shared" si="7"/>
        <v/>
      </c>
      <c r="L96" s="652" t="str">
        <f t="shared" si="5"/>
        <v/>
      </c>
    </row>
    <row r="97" spans="1:12">
      <c r="A97" s="4" t="s">
        <v>11783</v>
      </c>
      <c r="J97" s="652" t="str">
        <f t="shared" si="6"/>
        <v/>
      </c>
      <c r="K97" s="652" t="str">
        <f t="shared" si="7"/>
        <v/>
      </c>
      <c r="L97" s="652" t="str">
        <f t="shared" si="5"/>
        <v/>
      </c>
    </row>
    <row r="98" spans="1:12">
      <c r="A98" t="s">
        <v>13718</v>
      </c>
      <c r="J98" s="652" t="str">
        <f t="shared" si="6"/>
        <v/>
      </c>
      <c r="K98" s="652" t="str">
        <f t="shared" si="7"/>
        <v/>
      </c>
      <c r="L98" s="652" t="str">
        <f t="shared" si="5"/>
        <v/>
      </c>
    </row>
    <row r="99" spans="1:12">
      <c r="A99" s="4" t="s">
        <v>13730</v>
      </c>
      <c r="J99" s="652" t="str">
        <f t="shared" si="6"/>
        <v/>
      </c>
      <c r="K99" s="652" t="str">
        <f t="shared" si="7"/>
        <v/>
      </c>
      <c r="L99" s="652" t="str">
        <f t="shared" si="5"/>
        <v/>
      </c>
    </row>
    <row r="100" spans="1:12">
      <c r="A100" s="5" t="s">
        <v>13731</v>
      </c>
      <c r="J100" s="652" t="str">
        <f t="shared" si="6"/>
        <v/>
      </c>
      <c r="K100" s="652" t="str">
        <f t="shared" si="7"/>
        <v/>
      </c>
      <c r="L100" s="652" t="str">
        <f t="shared" si="5"/>
        <v/>
      </c>
    </row>
    <row r="101" spans="1:12">
      <c r="J101" s="652" t="str">
        <f t="shared" si="6"/>
        <v/>
      </c>
      <c r="K101" s="652" t="str">
        <f t="shared" si="7"/>
        <v/>
      </c>
      <c r="L101" s="652" t="str">
        <f t="shared" si="5"/>
        <v/>
      </c>
    </row>
    <row r="102" spans="1:12">
      <c r="A102" t="s">
        <v>14029</v>
      </c>
      <c r="J102" s="652" t="str">
        <f t="shared" si="6"/>
        <v/>
      </c>
      <c r="K102" s="652" t="str">
        <f t="shared" si="7"/>
        <v/>
      </c>
      <c r="L102" s="652" t="str">
        <f t="shared" si="5"/>
        <v/>
      </c>
    </row>
    <row r="103" spans="1:12">
      <c r="A103" t="s">
        <v>14030</v>
      </c>
      <c r="J103" s="652" t="str">
        <f t="shared" si="6"/>
        <v/>
      </c>
      <c r="K103" s="652" t="str">
        <f t="shared" si="7"/>
        <v/>
      </c>
      <c r="L103" s="652" t="str">
        <f t="shared" si="5"/>
        <v/>
      </c>
    </row>
    <row r="104" spans="1:12">
      <c r="A104" s="5" t="s">
        <v>14031</v>
      </c>
      <c r="J104" s="652" t="str">
        <f t="shared" si="6"/>
        <v/>
      </c>
      <c r="K104" s="652" t="str">
        <f t="shared" si="7"/>
        <v/>
      </c>
      <c r="L104" s="652" t="str">
        <f t="shared" si="5"/>
        <v/>
      </c>
    </row>
    <row r="105" spans="1:12">
      <c r="A105" s="5" t="s">
        <v>11989</v>
      </c>
      <c r="J105" s="652" t="str">
        <f t="shared" si="6"/>
        <v/>
      </c>
      <c r="K105" s="652" t="str">
        <f t="shared" si="7"/>
        <v/>
      </c>
      <c r="L105" s="652" t="str">
        <f t="shared" si="5"/>
        <v/>
      </c>
    </row>
    <row r="106" spans="1:12">
      <c r="A106" t="s">
        <v>13732</v>
      </c>
      <c r="J106" s="652" t="str">
        <f t="shared" si="6"/>
        <v/>
      </c>
      <c r="K106" s="652" t="str">
        <f t="shared" si="7"/>
        <v/>
      </c>
      <c r="L106" s="652" t="str">
        <f t="shared" si="5"/>
        <v/>
      </c>
    </row>
    <row r="107" spans="1:12">
      <c r="J107" s="652" t="str">
        <f t="shared" si="6"/>
        <v/>
      </c>
      <c r="K107" s="652" t="str">
        <f t="shared" si="7"/>
        <v/>
      </c>
      <c r="L107" s="652" t="str">
        <f t="shared" si="5"/>
        <v/>
      </c>
    </row>
    <row r="108" spans="1:12">
      <c r="A108" s="4" t="s">
        <v>2418</v>
      </c>
      <c r="J108" s="652" t="str">
        <f t="shared" si="6"/>
        <v/>
      </c>
      <c r="K108" s="652" t="str">
        <f t="shared" si="7"/>
        <v/>
      </c>
      <c r="L108" s="652" t="str">
        <f t="shared" si="5"/>
        <v/>
      </c>
    </row>
    <row r="109" spans="1:12">
      <c r="A109" s="4"/>
      <c r="J109" s="652" t="str">
        <f t="shared" si="6"/>
        <v/>
      </c>
      <c r="K109" s="652" t="str">
        <f t="shared" si="7"/>
        <v/>
      </c>
      <c r="L109" s="652" t="str">
        <f t="shared" si="5"/>
        <v/>
      </c>
    </row>
    <row r="110" spans="1:12">
      <c r="A110" t="s">
        <v>13691</v>
      </c>
      <c r="J110" s="652" t="str">
        <f t="shared" si="6"/>
        <v/>
      </c>
      <c r="K110" s="652" t="str">
        <f t="shared" si="7"/>
        <v/>
      </c>
      <c r="L110" s="652" t="str">
        <f t="shared" si="5"/>
        <v/>
      </c>
    </row>
    <row r="111" spans="1:12">
      <c r="A111" s="4" t="s">
        <v>14046</v>
      </c>
      <c r="J111" s="652" t="str">
        <f t="shared" si="6"/>
        <v/>
      </c>
      <c r="K111" s="652" t="str">
        <f t="shared" si="7"/>
        <v/>
      </c>
      <c r="L111" s="652" t="str">
        <f t="shared" si="5"/>
        <v/>
      </c>
    </row>
    <row r="112" spans="1:12">
      <c r="A112" s="4" t="s">
        <v>13722</v>
      </c>
      <c r="J112" s="652" t="str">
        <f t="shared" si="6"/>
        <v/>
      </c>
      <c r="K112" s="652" t="str">
        <f t="shared" si="7"/>
        <v/>
      </c>
      <c r="L112" s="652" t="str">
        <f t="shared" si="5"/>
        <v/>
      </c>
    </row>
    <row r="113" spans="1:12">
      <c r="A113" s="4" t="s">
        <v>13716</v>
      </c>
      <c r="J113" s="652" t="str">
        <f t="shared" si="6"/>
        <v/>
      </c>
      <c r="K113" s="652" t="str">
        <f t="shared" si="7"/>
        <v/>
      </c>
      <c r="L113" s="652" t="str">
        <f t="shared" si="5"/>
        <v/>
      </c>
    </row>
    <row r="114" spans="1:12">
      <c r="A114" t="s">
        <v>13717</v>
      </c>
      <c r="J114" s="652" t="str">
        <f t="shared" si="6"/>
        <v/>
      </c>
      <c r="K114" s="652" t="str">
        <f t="shared" si="7"/>
        <v/>
      </c>
      <c r="L114" s="652" t="str">
        <f t="shared" si="5"/>
        <v/>
      </c>
    </row>
    <row r="115" spans="1:12">
      <c r="A115" s="4" t="s">
        <v>13733</v>
      </c>
      <c r="J115" s="652" t="str">
        <f t="shared" si="6"/>
        <v/>
      </c>
      <c r="K115" s="652" t="str">
        <f t="shared" si="7"/>
        <v/>
      </c>
      <c r="L115" s="652" t="str">
        <f t="shared" si="5"/>
        <v/>
      </c>
    </row>
    <row r="116" spans="1:12">
      <c r="A116" s="4" t="s">
        <v>13734</v>
      </c>
      <c r="J116" s="652" t="str">
        <f t="shared" si="6"/>
        <v/>
      </c>
      <c r="K116" s="652" t="str">
        <f t="shared" si="7"/>
        <v/>
      </c>
      <c r="L116" s="652" t="str">
        <f t="shared" si="5"/>
        <v/>
      </c>
    </row>
    <row r="117" spans="1:12">
      <c r="A117" s="4" t="s">
        <v>14045</v>
      </c>
      <c r="J117" s="652" t="str">
        <f t="shared" si="6"/>
        <v/>
      </c>
      <c r="K117" s="652" t="str">
        <f t="shared" si="7"/>
        <v/>
      </c>
      <c r="L117" s="652" t="str">
        <f t="shared" si="5"/>
        <v/>
      </c>
    </row>
    <row r="118" spans="1:12">
      <c r="A118" s="4" t="s">
        <v>13691</v>
      </c>
      <c r="J118" s="652" t="str">
        <f t="shared" si="6"/>
        <v/>
      </c>
      <c r="K118" s="652" t="str">
        <f t="shared" si="7"/>
        <v/>
      </c>
      <c r="L118" s="652" t="str">
        <f t="shared" si="5"/>
        <v/>
      </c>
    </row>
    <row r="119" spans="1:12">
      <c r="A119" s="4" t="s">
        <v>13736</v>
      </c>
      <c r="J119" s="652" t="str">
        <f t="shared" si="6"/>
        <v/>
      </c>
      <c r="K119" s="652" t="str">
        <f t="shared" si="7"/>
        <v/>
      </c>
      <c r="L119" s="652" t="str">
        <f t="shared" si="5"/>
        <v/>
      </c>
    </row>
    <row r="120" spans="1:12">
      <c r="A120" s="4" t="s">
        <v>13693</v>
      </c>
      <c r="J120" s="652" t="str">
        <f t="shared" si="6"/>
        <v/>
      </c>
      <c r="K120" s="652" t="str">
        <f t="shared" si="7"/>
        <v/>
      </c>
      <c r="L120" s="652" t="str">
        <f t="shared" si="5"/>
        <v/>
      </c>
    </row>
    <row r="121" spans="1:12">
      <c r="A121" s="4" t="s">
        <v>13694</v>
      </c>
      <c r="J121" s="652" t="str">
        <f t="shared" si="6"/>
        <v/>
      </c>
      <c r="K121" s="652" t="str">
        <f t="shared" si="7"/>
        <v/>
      </c>
      <c r="L121" s="652" t="str">
        <f t="shared" si="5"/>
        <v/>
      </c>
    </row>
    <row r="122" spans="1:12">
      <c r="A122" t="s">
        <v>14048</v>
      </c>
      <c r="J122" s="652" t="str">
        <f t="shared" si="6"/>
        <v/>
      </c>
      <c r="K122" s="652" t="str">
        <f t="shared" si="7"/>
        <v/>
      </c>
      <c r="L122" s="652" t="str">
        <f t="shared" si="5"/>
        <v/>
      </c>
    </row>
    <row r="123" spans="1:12">
      <c r="A123" s="4" t="s">
        <v>13695</v>
      </c>
      <c r="J123" s="652" t="str">
        <f t="shared" si="6"/>
        <v/>
      </c>
      <c r="K123" s="652" t="str">
        <f t="shared" si="7"/>
        <v/>
      </c>
      <c r="L123" s="652" t="str">
        <f t="shared" si="5"/>
        <v/>
      </c>
    </row>
    <row r="124" spans="1:12">
      <c r="A124" s="4" t="s">
        <v>13696</v>
      </c>
      <c r="J124" s="652" t="str">
        <f t="shared" si="6"/>
        <v/>
      </c>
      <c r="K124" s="652" t="str">
        <f t="shared" si="7"/>
        <v/>
      </c>
      <c r="L124" s="652" t="str">
        <f t="shared" si="5"/>
        <v/>
      </c>
    </row>
    <row r="125" spans="1:12">
      <c r="A125" s="4" t="s">
        <v>13737</v>
      </c>
      <c r="J125" s="652" t="str">
        <f t="shared" si="6"/>
        <v/>
      </c>
      <c r="K125" s="652" t="str">
        <f t="shared" si="7"/>
        <v/>
      </c>
      <c r="L125" s="652" t="str">
        <f t="shared" si="5"/>
        <v/>
      </c>
    </row>
    <row r="126" spans="1:12">
      <c r="A126" s="4" t="s">
        <v>13697</v>
      </c>
      <c r="J126" s="652" t="str">
        <f t="shared" si="6"/>
        <v/>
      </c>
      <c r="K126" s="652" t="str">
        <f t="shared" si="7"/>
        <v/>
      </c>
      <c r="L126" s="652" t="str">
        <f t="shared" si="5"/>
        <v/>
      </c>
    </row>
    <row r="127" spans="1:12">
      <c r="A127" s="4" t="s">
        <v>13698</v>
      </c>
      <c r="J127" s="652" t="str">
        <f t="shared" si="6"/>
        <v/>
      </c>
      <c r="K127" s="652" t="str">
        <f t="shared" si="7"/>
        <v/>
      </c>
      <c r="L127" s="652" t="str">
        <f t="shared" si="5"/>
        <v/>
      </c>
    </row>
    <row r="128" spans="1:12">
      <c r="A128" s="4" t="s">
        <v>13738</v>
      </c>
      <c r="J128" s="652" t="str">
        <f t="shared" si="6"/>
        <v/>
      </c>
      <c r="K128" s="652" t="str">
        <f t="shared" si="7"/>
        <v/>
      </c>
      <c r="L128" s="652" t="str">
        <f t="shared" si="5"/>
        <v/>
      </c>
    </row>
    <row r="129" spans="1:12">
      <c r="A129" s="4" t="s">
        <v>14047</v>
      </c>
      <c r="J129" s="652" t="str">
        <f t="shared" si="6"/>
        <v/>
      </c>
      <c r="K129" s="652" t="str">
        <f t="shared" si="7"/>
        <v/>
      </c>
      <c r="L129" s="652" t="str">
        <f t="shared" si="5"/>
        <v/>
      </c>
    </row>
    <row r="130" spans="1:12">
      <c r="A130" t="s">
        <v>13699</v>
      </c>
      <c r="J130" s="652" t="str">
        <f t="shared" si="6"/>
        <v/>
      </c>
      <c r="K130" s="652" t="str">
        <f t="shared" si="7"/>
        <v/>
      </c>
      <c r="L130" s="652" t="str">
        <f t="shared" si="5"/>
        <v/>
      </c>
    </row>
    <row r="131" spans="1:12">
      <c r="A131" s="4" t="s">
        <v>13700</v>
      </c>
      <c r="J131" s="652" t="str">
        <f t="shared" si="6"/>
        <v/>
      </c>
      <c r="K131" s="652" t="str">
        <f t="shared" si="7"/>
        <v/>
      </c>
      <c r="L131" s="652" t="str">
        <f t="shared" si="5"/>
        <v/>
      </c>
    </row>
    <row r="132" spans="1:12">
      <c r="A132" s="4" t="s">
        <v>14050</v>
      </c>
      <c r="J132" s="652" t="str">
        <f t="shared" si="6"/>
        <v/>
      </c>
      <c r="K132" s="652" t="str">
        <f t="shared" si="7"/>
        <v/>
      </c>
      <c r="L132" s="652" t="str">
        <f t="shared" si="5"/>
        <v/>
      </c>
    </row>
    <row r="133" spans="1:12">
      <c r="A133" t="s">
        <v>13696</v>
      </c>
      <c r="J133" s="652" t="str">
        <f t="shared" si="6"/>
        <v/>
      </c>
      <c r="K133" s="652" t="str">
        <f t="shared" si="7"/>
        <v/>
      </c>
      <c r="L133" s="652" t="str">
        <f t="shared" ref="L133:L196" si="8">IFERROR(K133+M133,"")</f>
        <v/>
      </c>
    </row>
    <row r="134" spans="1:12">
      <c r="A134" s="4" t="s">
        <v>13739</v>
      </c>
      <c r="J134" s="652" t="str">
        <f t="shared" si="6"/>
        <v/>
      </c>
      <c r="K134" s="652" t="str">
        <f t="shared" si="7"/>
        <v/>
      </c>
      <c r="L134" s="652" t="str">
        <f t="shared" si="8"/>
        <v/>
      </c>
    </row>
    <row r="135" spans="1:12">
      <c r="A135" t="s">
        <v>13701</v>
      </c>
      <c r="J135" s="652" t="str">
        <f t="shared" si="6"/>
        <v/>
      </c>
      <c r="K135" s="652" t="str">
        <f t="shared" si="7"/>
        <v/>
      </c>
      <c r="L135" s="652" t="str">
        <f t="shared" si="8"/>
        <v/>
      </c>
    </row>
    <row r="136" spans="1:12">
      <c r="A136" t="s">
        <v>13702</v>
      </c>
      <c r="J136" s="652" t="str">
        <f t="shared" si="6"/>
        <v/>
      </c>
      <c r="K136" s="652" t="str">
        <f t="shared" si="7"/>
        <v/>
      </c>
      <c r="L136" s="652" t="str">
        <f t="shared" si="8"/>
        <v/>
      </c>
    </row>
    <row r="137" spans="1:12">
      <c r="A137" t="s">
        <v>13703</v>
      </c>
      <c r="J137" s="652" t="str">
        <f t="shared" si="6"/>
        <v/>
      </c>
      <c r="K137" s="652" t="str">
        <f t="shared" si="7"/>
        <v/>
      </c>
      <c r="L137" s="652" t="str">
        <f t="shared" si="8"/>
        <v/>
      </c>
    </row>
    <row r="138" spans="1:12">
      <c r="A138" s="5" t="s">
        <v>13704</v>
      </c>
      <c r="J138" s="652" t="str">
        <f t="shared" si="6"/>
        <v/>
      </c>
      <c r="K138" s="652" t="str">
        <f t="shared" si="7"/>
        <v/>
      </c>
      <c r="L138" s="652" t="str">
        <f t="shared" si="8"/>
        <v/>
      </c>
    </row>
    <row r="139" spans="1:12">
      <c r="A139" s="5" t="s">
        <v>13696</v>
      </c>
      <c r="J139" s="652" t="str">
        <f t="shared" si="6"/>
        <v/>
      </c>
      <c r="K139" s="652" t="str">
        <f t="shared" si="7"/>
        <v/>
      </c>
      <c r="L139" s="652" t="str">
        <f t="shared" si="8"/>
        <v/>
      </c>
    </row>
    <row r="140" spans="1:12">
      <c r="A140" t="s">
        <v>13740</v>
      </c>
      <c r="J140" s="652" t="str">
        <f t="shared" si="6"/>
        <v/>
      </c>
      <c r="K140" s="652" t="str">
        <f t="shared" si="7"/>
        <v/>
      </c>
      <c r="L140" s="652" t="str">
        <f t="shared" si="8"/>
        <v/>
      </c>
    </row>
    <row r="141" spans="1:12">
      <c r="A141" s="5" t="s">
        <v>13705</v>
      </c>
      <c r="J141" s="652" t="str">
        <f t="shared" si="6"/>
        <v/>
      </c>
      <c r="K141" s="652" t="str">
        <f t="shared" si="7"/>
        <v/>
      </c>
      <c r="L141" s="652" t="str">
        <f t="shared" si="8"/>
        <v/>
      </c>
    </row>
    <row r="142" spans="1:12">
      <c r="A142" s="5" t="s">
        <v>13706</v>
      </c>
      <c r="J142" s="652" t="str">
        <f t="shared" si="6"/>
        <v/>
      </c>
      <c r="K142" s="652" t="str">
        <f t="shared" si="7"/>
        <v/>
      </c>
      <c r="L142" s="652" t="str">
        <f t="shared" si="8"/>
        <v/>
      </c>
    </row>
    <row r="143" spans="1:12">
      <c r="A143" s="5" t="s">
        <v>13707</v>
      </c>
      <c r="J143" s="652" t="str">
        <f t="shared" si="6"/>
        <v/>
      </c>
      <c r="K143" s="652" t="str">
        <f t="shared" si="7"/>
        <v/>
      </c>
      <c r="L143" s="652" t="str">
        <f t="shared" si="8"/>
        <v/>
      </c>
    </row>
    <row r="144" spans="1:12">
      <c r="A144" t="s">
        <v>13708</v>
      </c>
      <c r="J144" s="652" t="str">
        <f t="shared" si="6"/>
        <v/>
      </c>
      <c r="K144" s="652" t="str">
        <f t="shared" si="7"/>
        <v/>
      </c>
      <c r="L144" s="652" t="str">
        <f t="shared" si="8"/>
        <v/>
      </c>
    </row>
    <row r="145" spans="1:12">
      <c r="A145" s="5" t="s">
        <v>13696</v>
      </c>
      <c r="J145" s="652" t="str">
        <f t="shared" si="6"/>
        <v/>
      </c>
      <c r="K145" s="652" t="str">
        <f t="shared" si="7"/>
        <v/>
      </c>
      <c r="L145" s="652" t="str">
        <f t="shared" si="8"/>
        <v/>
      </c>
    </row>
    <row r="146" spans="1:12">
      <c r="A146" s="5" t="s">
        <v>13741</v>
      </c>
      <c r="J146" s="652" t="str">
        <f t="shared" si="6"/>
        <v/>
      </c>
      <c r="K146" s="652" t="str">
        <f t="shared" si="7"/>
        <v/>
      </c>
      <c r="L146" s="652" t="str">
        <f t="shared" si="8"/>
        <v/>
      </c>
    </row>
    <row r="147" spans="1:12">
      <c r="A147" s="5" t="s">
        <v>13709</v>
      </c>
      <c r="J147" s="652" t="str">
        <f t="shared" si="6"/>
        <v/>
      </c>
      <c r="K147" s="652" t="str">
        <f t="shared" si="7"/>
        <v/>
      </c>
      <c r="L147" s="652" t="str">
        <f t="shared" si="8"/>
        <v/>
      </c>
    </row>
    <row r="148" spans="1:12">
      <c r="A148" s="5" t="s">
        <v>13710</v>
      </c>
      <c r="J148" s="652" t="str">
        <f t="shared" si="6"/>
        <v/>
      </c>
      <c r="K148" s="652" t="str">
        <f t="shared" si="7"/>
        <v/>
      </c>
      <c r="L148" s="652" t="str">
        <f t="shared" si="8"/>
        <v/>
      </c>
    </row>
    <row r="149" spans="1:12">
      <c r="A149" s="5" t="s">
        <v>13711</v>
      </c>
      <c r="J149" s="652" t="str">
        <f t="shared" si="6"/>
        <v/>
      </c>
      <c r="K149" s="652" t="str">
        <f t="shared" si="7"/>
        <v/>
      </c>
      <c r="L149" s="652" t="str">
        <f t="shared" si="8"/>
        <v/>
      </c>
    </row>
    <row r="150" spans="1:12">
      <c r="A150" s="5" t="s">
        <v>13712</v>
      </c>
      <c r="J150" s="652" t="str">
        <f t="shared" si="6"/>
        <v/>
      </c>
      <c r="K150" s="652" t="str">
        <f t="shared" si="7"/>
        <v/>
      </c>
      <c r="L150" s="652" t="str">
        <f t="shared" si="8"/>
        <v/>
      </c>
    </row>
    <row r="151" spans="1:12">
      <c r="A151" s="5" t="s">
        <v>13696</v>
      </c>
      <c r="J151" s="652" t="str">
        <f t="shared" si="6"/>
        <v/>
      </c>
      <c r="K151" s="652" t="str">
        <f t="shared" si="7"/>
        <v/>
      </c>
      <c r="L151" s="652" t="str">
        <f t="shared" si="8"/>
        <v/>
      </c>
    </row>
    <row r="152" spans="1:12">
      <c r="A152" s="5" t="s">
        <v>13719</v>
      </c>
      <c r="J152" s="652" t="str">
        <f t="shared" si="6"/>
        <v/>
      </c>
      <c r="K152" s="652" t="str">
        <f t="shared" si="7"/>
        <v/>
      </c>
      <c r="L152" s="652" t="str">
        <f t="shared" si="8"/>
        <v/>
      </c>
    </row>
    <row r="153" spans="1:12">
      <c r="A153" s="5" t="s">
        <v>13723</v>
      </c>
      <c r="J153" s="652" t="str">
        <f t="shared" si="6"/>
        <v/>
      </c>
      <c r="K153" s="652" t="str">
        <f t="shared" si="7"/>
        <v/>
      </c>
      <c r="L153" s="652" t="str">
        <f t="shared" si="8"/>
        <v/>
      </c>
    </row>
    <row r="154" spans="1:12">
      <c r="A154" s="5" t="s">
        <v>13721</v>
      </c>
      <c r="J154" s="652" t="str">
        <f t="shared" si="6"/>
        <v/>
      </c>
      <c r="K154" s="652" t="str">
        <f t="shared" si="7"/>
        <v/>
      </c>
      <c r="L154" s="652" t="str">
        <f t="shared" si="8"/>
        <v/>
      </c>
    </row>
    <row r="155" spans="1:12">
      <c r="A155" t="s">
        <v>13722</v>
      </c>
      <c r="J155" s="652" t="str">
        <f t="shared" si="6"/>
        <v/>
      </c>
      <c r="K155" s="652" t="str">
        <f t="shared" si="7"/>
        <v/>
      </c>
      <c r="L155" s="652" t="str">
        <f t="shared" si="8"/>
        <v/>
      </c>
    </row>
    <row r="156" spans="1:12">
      <c r="A156" s="5" t="s">
        <v>13724</v>
      </c>
      <c r="J156" s="652" t="str">
        <f t="shared" si="6"/>
        <v/>
      </c>
      <c r="K156" s="652" t="str">
        <f t="shared" si="7"/>
        <v/>
      </c>
      <c r="L156" s="652" t="str">
        <f t="shared" si="8"/>
        <v/>
      </c>
    </row>
    <row r="157" spans="1:12">
      <c r="A157" s="3" t="s">
        <v>13727</v>
      </c>
      <c r="J157" s="652" t="str">
        <f t="shared" si="6"/>
        <v/>
      </c>
      <c r="K157" s="652" t="str">
        <f t="shared" si="7"/>
        <v/>
      </c>
      <c r="L157" s="652" t="str">
        <f t="shared" si="8"/>
        <v/>
      </c>
    </row>
    <row r="158" spans="1:12">
      <c r="A158" t="s">
        <v>13726</v>
      </c>
      <c r="J158" s="652" t="str">
        <f t="shared" si="6"/>
        <v/>
      </c>
      <c r="K158" s="652" t="str">
        <f t="shared" si="7"/>
        <v/>
      </c>
      <c r="L158" s="652" t="str">
        <f t="shared" si="8"/>
        <v/>
      </c>
    </row>
    <row r="159" spans="1:12">
      <c r="A159" t="s">
        <v>13725</v>
      </c>
      <c r="J159" s="652" t="str">
        <f t="shared" ref="J159:J222" si="9">IF(OR(A159="Devizy",J158="Devizy"),"Devizy","")</f>
        <v/>
      </c>
      <c r="K159" s="652" t="str">
        <f t="shared" ref="K159:K222" si="10">IFERROR(IF(AND(J159="Devizy",FIND("Nakupujeme ",A159)=1),RIGHT(A159,7),""),"")</f>
        <v/>
      </c>
      <c r="L159" s="652" t="str">
        <f t="shared" si="8"/>
        <v/>
      </c>
    </row>
    <row r="160" spans="1:12">
      <c r="A160" s="3" t="s">
        <v>13729</v>
      </c>
      <c r="J160" s="652" t="str">
        <f t="shared" si="9"/>
        <v/>
      </c>
      <c r="K160" s="652" t="str">
        <f t="shared" si="10"/>
        <v/>
      </c>
      <c r="L160" s="652" t="str">
        <f t="shared" si="8"/>
        <v/>
      </c>
    </row>
    <row r="161" spans="1:12">
      <c r="A161" s="3" t="s">
        <v>13728</v>
      </c>
      <c r="J161" s="652" t="str">
        <f t="shared" si="9"/>
        <v/>
      </c>
      <c r="K161" s="652" t="str">
        <f t="shared" si="10"/>
        <v/>
      </c>
      <c r="L161" s="652" t="str">
        <f t="shared" si="8"/>
        <v/>
      </c>
    </row>
    <row r="162" spans="1:12">
      <c r="A162" s="3" t="s">
        <v>13774</v>
      </c>
      <c r="J162" s="652" t="str">
        <f t="shared" si="9"/>
        <v/>
      </c>
      <c r="K162" s="652" t="str">
        <f t="shared" si="10"/>
        <v/>
      </c>
      <c r="L162" s="652" t="str">
        <f t="shared" si="8"/>
        <v/>
      </c>
    </row>
    <row r="163" spans="1:12">
      <c r="A163" s="3" t="s">
        <v>13742</v>
      </c>
      <c r="J163" s="652" t="str">
        <f t="shared" si="9"/>
        <v/>
      </c>
      <c r="K163" s="652" t="str">
        <f t="shared" si="10"/>
        <v/>
      </c>
      <c r="L163" s="652" t="str">
        <f t="shared" si="8"/>
        <v/>
      </c>
    </row>
    <row r="164" spans="1:12">
      <c r="A164" t="s">
        <v>14032</v>
      </c>
      <c r="J164" s="652" t="str">
        <f t="shared" si="9"/>
        <v/>
      </c>
      <c r="K164" s="652" t="str">
        <f t="shared" si="10"/>
        <v/>
      </c>
      <c r="L164" s="652" t="str">
        <f t="shared" si="8"/>
        <v/>
      </c>
    </row>
    <row r="165" spans="1:12">
      <c r="A165" t="s">
        <v>13743</v>
      </c>
      <c r="J165" s="652" t="str">
        <f t="shared" si="9"/>
        <v/>
      </c>
      <c r="K165" s="652" t="str">
        <f t="shared" si="10"/>
        <v/>
      </c>
      <c r="L165" s="652" t="str">
        <f t="shared" si="8"/>
        <v/>
      </c>
    </row>
    <row r="166" spans="1:12">
      <c r="A166" t="s">
        <v>13734</v>
      </c>
      <c r="J166" s="652" t="str">
        <f t="shared" si="9"/>
        <v/>
      </c>
      <c r="K166" s="652" t="str">
        <f t="shared" si="10"/>
        <v/>
      </c>
      <c r="L166" s="652" t="str">
        <f t="shared" si="8"/>
        <v/>
      </c>
    </row>
    <row r="167" spans="1:12">
      <c r="A167" t="s">
        <v>14045</v>
      </c>
      <c r="J167" s="652" t="str">
        <f t="shared" si="9"/>
        <v/>
      </c>
      <c r="K167" s="652" t="str">
        <f t="shared" si="10"/>
        <v/>
      </c>
      <c r="L167" s="652" t="str">
        <f t="shared" si="8"/>
        <v/>
      </c>
    </row>
    <row r="168" spans="1:12">
      <c r="A168" t="s">
        <v>13744</v>
      </c>
      <c r="J168" s="652" t="str">
        <f t="shared" si="9"/>
        <v/>
      </c>
      <c r="K168" s="652" t="str">
        <f t="shared" si="10"/>
        <v/>
      </c>
      <c r="L168" s="652" t="str">
        <f t="shared" si="8"/>
        <v/>
      </c>
    </row>
    <row r="169" spans="1:12">
      <c r="A169" t="s">
        <v>13745</v>
      </c>
      <c r="J169" s="652" t="str">
        <f t="shared" si="9"/>
        <v/>
      </c>
      <c r="K169" s="652" t="str">
        <f t="shared" si="10"/>
        <v/>
      </c>
      <c r="L169" s="652" t="str">
        <f t="shared" si="8"/>
        <v/>
      </c>
    </row>
    <row r="170" spans="1:12">
      <c r="A170" t="s">
        <v>13746</v>
      </c>
      <c r="J170" s="652" t="str">
        <f t="shared" si="9"/>
        <v/>
      </c>
      <c r="K170" s="652" t="str">
        <f t="shared" si="10"/>
        <v/>
      </c>
      <c r="L170" s="652" t="str">
        <f t="shared" si="8"/>
        <v/>
      </c>
    </row>
    <row r="171" spans="1:12">
      <c r="A171" t="s">
        <v>2411</v>
      </c>
      <c r="J171" s="652" t="str">
        <f t="shared" si="9"/>
        <v/>
      </c>
      <c r="K171" s="652" t="str">
        <f t="shared" si="10"/>
        <v/>
      </c>
      <c r="L171" s="652" t="str">
        <f t="shared" si="8"/>
        <v/>
      </c>
    </row>
    <row r="172" spans="1:12">
      <c r="A172" t="s">
        <v>2412</v>
      </c>
      <c r="J172" s="652" t="str">
        <f t="shared" si="9"/>
        <v/>
      </c>
      <c r="K172" s="652" t="str">
        <f t="shared" si="10"/>
        <v/>
      </c>
      <c r="L172" s="652" t="str">
        <f t="shared" si="8"/>
        <v/>
      </c>
    </row>
    <row r="173" spans="1:12">
      <c r="J173" s="652" t="str">
        <f t="shared" si="9"/>
        <v/>
      </c>
      <c r="K173" s="652" t="str">
        <f t="shared" si="10"/>
        <v/>
      </c>
      <c r="L173" s="652" t="str">
        <f t="shared" si="8"/>
        <v/>
      </c>
    </row>
    <row r="174" spans="1:12">
      <c r="A174" t="s">
        <v>13747</v>
      </c>
      <c r="J174" s="652" t="str">
        <f t="shared" si="9"/>
        <v/>
      </c>
      <c r="K174" s="652" t="str">
        <f t="shared" si="10"/>
        <v/>
      </c>
      <c r="L174" s="652" t="str">
        <f t="shared" si="8"/>
        <v/>
      </c>
    </row>
    <row r="175" spans="1:12">
      <c r="J175" s="652" t="str">
        <f t="shared" si="9"/>
        <v/>
      </c>
      <c r="K175" s="652" t="str">
        <f t="shared" si="10"/>
        <v/>
      </c>
      <c r="L175" s="652" t="str">
        <f t="shared" si="8"/>
        <v/>
      </c>
    </row>
    <row r="176" spans="1:12">
      <c r="A176" t="s">
        <v>13748</v>
      </c>
      <c r="J176" s="652" t="str">
        <f t="shared" si="9"/>
        <v/>
      </c>
      <c r="K176" s="652" t="str">
        <f t="shared" si="10"/>
        <v/>
      </c>
      <c r="L176" s="652" t="str">
        <f t="shared" si="8"/>
        <v/>
      </c>
    </row>
    <row r="177" spans="1:12">
      <c r="J177" s="652" t="str">
        <f t="shared" si="9"/>
        <v/>
      </c>
      <c r="K177" s="652" t="str">
        <f t="shared" si="10"/>
        <v/>
      </c>
      <c r="L177" s="652" t="str">
        <f t="shared" si="8"/>
        <v/>
      </c>
    </row>
    <row r="178" spans="1:12">
      <c r="A178" t="s">
        <v>14822</v>
      </c>
      <c r="J178" s="652" t="str">
        <f t="shared" si="9"/>
        <v/>
      </c>
      <c r="K178" s="652" t="str">
        <f t="shared" si="10"/>
        <v/>
      </c>
      <c r="L178" s="652" t="str">
        <f t="shared" si="8"/>
        <v/>
      </c>
    </row>
    <row r="179" spans="1:12">
      <c r="J179" s="652" t="str">
        <f t="shared" si="9"/>
        <v/>
      </c>
      <c r="K179" s="652" t="str">
        <f t="shared" si="10"/>
        <v/>
      </c>
      <c r="L179" s="652" t="str">
        <f t="shared" si="8"/>
        <v/>
      </c>
    </row>
    <row r="180" spans="1:12">
      <c r="A180" t="s">
        <v>2414</v>
      </c>
      <c r="J180" s="652" t="str">
        <f t="shared" si="9"/>
        <v/>
      </c>
      <c r="K180" s="652" t="str">
        <f t="shared" si="10"/>
        <v/>
      </c>
      <c r="L180" s="652" t="str">
        <f t="shared" si="8"/>
        <v/>
      </c>
    </row>
    <row r="181" spans="1:12">
      <c r="J181" s="652" t="str">
        <f t="shared" si="9"/>
        <v/>
      </c>
      <c r="K181" s="652" t="str">
        <f t="shared" si="10"/>
        <v/>
      </c>
      <c r="L181" s="652" t="str">
        <f t="shared" si="8"/>
        <v/>
      </c>
    </row>
    <row r="182" spans="1:12">
      <c r="A182" t="s">
        <v>14823</v>
      </c>
      <c r="J182" s="652" t="str">
        <f t="shared" si="9"/>
        <v/>
      </c>
      <c r="K182" s="652" t="str">
        <f t="shared" si="10"/>
        <v/>
      </c>
      <c r="L182" s="652" t="str">
        <f t="shared" si="8"/>
        <v/>
      </c>
    </row>
    <row r="183" spans="1:12">
      <c r="A183" t="s">
        <v>14824</v>
      </c>
      <c r="J183" s="652" t="str">
        <f t="shared" si="9"/>
        <v/>
      </c>
      <c r="K183" s="652" t="str">
        <f t="shared" si="10"/>
        <v/>
      </c>
      <c r="L183" s="652" t="str">
        <f t="shared" si="8"/>
        <v/>
      </c>
    </row>
    <row r="184" spans="1:12">
      <c r="J184" s="652" t="str">
        <f t="shared" si="9"/>
        <v/>
      </c>
      <c r="K184" s="652" t="str">
        <f t="shared" si="10"/>
        <v/>
      </c>
      <c r="L184" s="652" t="str">
        <f t="shared" si="8"/>
        <v/>
      </c>
    </row>
    <row r="185" spans="1:12">
      <c r="A185" t="s">
        <v>2415</v>
      </c>
      <c r="J185" s="652" t="str">
        <f t="shared" si="9"/>
        <v/>
      </c>
      <c r="K185" s="652" t="str">
        <f t="shared" si="10"/>
        <v/>
      </c>
      <c r="L185" s="652" t="str">
        <f t="shared" si="8"/>
        <v/>
      </c>
    </row>
    <row r="186" spans="1:12">
      <c r="J186" s="652" t="str">
        <f t="shared" si="9"/>
        <v/>
      </c>
      <c r="K186" s="652" t="str">
        <f t="shared" si="10"/>
        <v/>
      </c>
      <c r="L186" s="652" t="str">
        <f t="shared" si="8"/>
        <v/>
      </c>
    </row>
    <row r="187" spans="1:12">
      <c r="A187" t="s">
        <v>14825</v>
      </c>
      <c r="J187" s="652" t="str">
        <f t="shared" si="9"/>
        <v/>
      </c>
      <c r="K187" s="652" t="str">
        <f t="shared" si="10"/>
        <v/>
      </c>
      <c r="L187" s="652" t="str">
        <f t="shared" si="8"/>
        <v/>
      </c>
    </row>
    <row r="188" spans="1:12">
      <c r="A188" t="s">
        <v>14826</v>
      </c>
      <c r="J188" s="652" t="str">
        <f t="shared" si="9"/>
        <v/>
      </c>
      <c r="K188" s="652" t="str">
        <f t="shared" si="10"/>
        <v/>
      </c>
      <c r="L188" s="652" t="str">
        <f t="shared" si="8"/>
        <v/>
      </c>
    </row>
    <row r="189" spans="1:12">
      <c r="J189" s="652" t="str">
        <f t="shared" si="9"/>
        <v/>
      </c>
      <c r="K189" s="652" t="str">
        <f t="shared" si="10"/>
        <v/>
      </c>
      <c r="L189" s="652" t="str">
        <f t="shared" si="8"/>
        <v/>
      </c>
    </row>
    <row r="190" spans="1:12">
      <c r="A190" t="s">
        <v>2416</v>
      </c>
      <c r="J190" s="652" t="str">
        <f t="shared" si="9"/>
        <v>Devizy</v>
      </c>
      <c r="K190" s="652" t="str">
        <f t="shared" si="10"/>
        <v/>
      </c>
      <c r="L190" s="652" t="str">
        <f t="shared" si="8"/>
        <v/>
      </c>
    </row>
    <row r="191" spans="1:12">
      <c r="J191" s="652" t="str">
        <f t="shared" si="9"/>
        <v>Devizy</v>
      </c>
      <c r="K191" s="652" t="str">
        <f t="shared" si="10"/>
        <v/>
      </c>
      <c r="L191" s="652" t="str">
        <f t="shared" si="8"/>
        <v/>
      </c>
    </row>
    <row r="192" spans="1:12">
      <c r="A192" t="s">
        <v>14827</v>
      </c>
      <c r="J192" s="652" t="str">
        <f t="shared" si="9"/>
        <v>Devizy</v>
      </c>
      <c r="K192" s="652" t="str">
        <f t="shared" si="10"/>
        <v>24,6089</v>
      </c>
      <c r="L192" s="652">
        <f t="shared" si="8"/>
        <v>24.608899999999998</v>
      </c>
    </row>
    <row r="193" spans="1:12">
      <c r="A193" t="s">
        <v>14828</v>
      </c>
      <c r="J193" s="652" t="str">
        <f t="shared" si="9"/>
        <v>Devizy</v>
      </c>
      <c r="K193" s="652" t="str">
        <f t="shared" si="10"/>
        <v/>
      </c>
      <c r="L193" s="652" t="str">
        <f t="shared" si="8"/>
        <v/>
      </c>
    </row>
    <row r="194" spans="1:12">
      <c r="J194" s="652" t="str">
        <f t="shared" si="9"/>
        <v>Devizy</v>
      </c>
      <c r="K194" s="652" t="str">
        <f t="shared" si="10"/>
        <v/>
      </c>
      <c r="L194" s="652" t="str">
        <f t="shared" si="8"/>
        <v/>
      </c>
    </row>
    <row r="195" spans="1:12">
      <c r="A195" t="s">
        <v>13749</v>
      </c>
      <c r="J195" s="652" t="str">
        <f t="shared" si="9"/>
        <v>Devizy</v>
      </c>
      <c r="K195" s="652" t="str">
        <f t="shared" si="10"/>
        <v/>
      </c>
      <c r="L195" s="652" t="str">
        <f t="shared" si="8"/>
        <v/>
      </c>
    </row>
    <row r="196" spans="1:12">
      <c r="J196" s="652" t="str">
        <f t="shared" si="9"/>
        <v>Devizy</v>
      </c>
      <c r="K196" s="652" t="str">
        <f t="shared" si="10"/>
        <v/>
      </c>
      <c r="L196" s="652" t="str">
        <f t="shared" si="8"/>
        <v/>
      </c>
    </row>
    <row r="197" spans="1:12">
      <c r="A197" t="s">
        <v>13718</v>
      </c>
      <c r="J197" s="652" t="str">
        <f t="shared" si="9"/>
        <v>Devizy</v>
      </c>
      <c r="K197" s="652" t="str">
        <f t="shared" si="10"/>
        <v/>
      </c>
      <c r="L197" s="652" t="str">
        <f t="shared" ref="L197:L260" si="11">IFERROR(K197+M197,"")</f>
        <v/>
      </c>
    </row>
    <row r="198" spans="1:12">
      <c r="J198" s="652" t="str">
        <f t="shared" si="9"/>
        <v>Devizy</v>
      </c>
      <c r="K198" s="652" t="str">
        <f t="shared" si="10"/>
        <v/>
      </c>
      <c r="L198" s="652" t="str">
        <f t="shared" si="11"/>
        <v/>
      </c>
    </row>
    <row r="199" spans="1:12">
      <c r="A199" t="s">
        <v>13750</v>
      </c>
      <c r="J199" s="652" t="str">
        <f t="shared" si="9"/>
        <v>Devizy</v>
      </c>
      <c r="K199" s="652" t="str">
        <f t="shared" si="10"/>
        <v/>
      </c>
      <c r="L199" s="652" t="str">
        <f t="shared" si="11"/>
        <v/>
      </c>
    </row>
    <row r="200" spans="1:12">
      <c r="J200" s="652" t="str">
        <f t="shared" si="9"/>
        <v>Devizy</v>
      </c>
      <c r="K200" s="652" t="str">
        <f t="shared" si="10"/>
        <v/>
      </c>
      <c r="L200" s="652" t="str">
        <f t="shared" si="11"/>
        <v/>
      </c>
    </row>
    <row r="201" spans="1:12">
      <c r="A201" t="s">
        <v>13718</v>
      </c>
      <c r="J201" s="652" t="str">
        <f t="shared" si="9"/>
        <v>Devizy</v>
      </c>
      <c r="K201" s="652" t="str">
        <f t="shared" si="10"/>
        <v/>
      </c>
      <c r="L201" s="652" t="str">
        <f t="shared" si="11"/>
        <v/>
      </c>
    </row>
    <row r="202" spans="1:12">
      <c r="J202" s="652" t="str">
        <f t="shared" si="9"/>
        <v>Devizy</v>
      </c>
      <c r="K202" s="652" t="str">
        <f t="shared" si="10"/>
        <v/>
      </c>
      <c r="L202" s="652" t="str">
        <f t="shared" si="11"/>
        <v/>
      </c>
    </row>
    <row r="203" spans="1:12">
      <c r="A203" t="s">
        <v>13751</v>
      </c>
      <c r="J203" s="652" t="str">
        <f t="shared" si="9"/>
        <v>Devizy</v>
      </c>
      <c r="K203" s="652" t="str">
        <f t="shared" si="10"/>
        <v/>
      </c>
      <c r="L203" s="652" t="str">
        <f t="shared" si="11"/>
        <v/>
      </c>
    </row>
    <row r="204" spans="1:12">
      <c r="A204" s="3"/>
      <c r="J204" s="652" t="str">
        <f t="shared" si="9"/>
        <v>Devizy</v>
      </c>
      <c r="K204" s="652" t="str">
        <f t="shared" si="10"/>
        <v/>
      </c>
      <c r="L204" s="652" t="str">
        <f t="shared" si="11"/>
        <v/>
      </c>
    </row>
    <row r="205" spans="1:12">
      <c r="A205" s="3" t="s">
        <v>13752</v>
      </c>
      <c r="J205" s="652" t="str">
        <f t="shared" si="9"/>
        <v>Devizy</v>
      </c>
      <c r="K205" s="652" t="str">
        <f t="shared" si="10"/>
        <v/>
      </c>
      <c r="L205" s="652" t="str">
        <f t="shared" si="11"/>
        <v/>
      </c>
    </row>
    <row r="206" spans="1:12">
      <c r="A206" s="3"/>
      <c r="J206" s="652" t="str">
        <f t="shared" si="9"/>
        <v>Devizy</v>
      </c>
      <c r="K206" s="652" t="str">
        <f t="shared" si="10"/>
        <v/>
      </c>
      <c r="L206" s="652" t="str">
        <f t="shared" si="11"/>
        <v/>
      </c>
    </row>
    <row r="207" spans="1:12">
      <c r="A207" t="s">
        <v>11990</v>
      </c>
      <c r="J207" s="652" t="str">
        <f t="shared" si="9"/>
        <v>Devizy</v>
      </c>
      <c r="K207" s="652" t="str">
        <f t="shared" si="10"/>
        <v/>
      </c>
      <c r="L207" s="652" t="str">
        <f t="shared" si="11"/>
        <v/>
      </c>
    </row>
    <row r="208" spans="1:12">
      <c r="A208" s="3"/>
      <c r="J208" s="652" t="str">
        <f t="shared" si="9"/>
        <v>Devizy</v>
      </c>
      <c r="K208" s="652" t="str">
        <f t="shared" si="10"/>
        <v/>
      </c>
      <c r="L208" s="652" t="str">
        <f t="shared" si="11"/>
        <v/>
      </c>
    </row>
    <row r="209" spans="1:12">
      <c r="A209" s="3">
        <v>800521521</v>
      </c>
      <c r="J209" s="652" t="str">
        <f t="shared" si="9"/>
        <v>Devizy</v>
      </c>
      <c r="K209" s="652" t="str">
        <f t="shared" si="10"/>
        <v/>
      </c>
      <c r="L209" s="652" t="str">
        <f t="shared" si="11"/>
        <v/>
      </c>
    </row>
    <row r="210" spans="1:12">
      <c r="J210" s="652" t="str">
        <f t="shared" si="9"/>
        <v>Devizy</v>
      </c>
      <c r="K210" s="652" t="str">
        <f t="shared" si="10"/>
        <v/>
      </c>
      <c r="L210" s="652" t="str">
        <f t="shared" si="11"/>
        <v/>
      </c>
    </row>
    <row r="211" spans="1:12">
      <c r="A211" s="3" t="s">
        <v>13753</v>
      </c>
      <c r="J211" s="652" t="str">
        <f t="shared" si="9"/>
        <v>Devizy</v>
      </c>
      <c r="K211" s="652" t="str">
        <f t="shared" si="10"/>
        <v/>
      </c>
      <c r="L211" s="652" t="str">
        <f t="shared" si="11"/>
        <v/>
      </c>
    </row>
    <row r="212" spans="1:12">
      <c r="J212" s="652" t="str">
        <f t="shared" si="9"/>
        <v>Devizy</v>
      </c>
      <c r="K212" s="652" t="str">
        <f t="shared" si="10"/>
        <v/>
      </c>
      <c r="L212" s="652" t="str">
        <f t="shared" si="11"/>
        <v/>
      </c>
    </row>
    <row r="213" spans="1:12">
      <c r="A213" t="s">
        <v>14770</v>
      </c>
      <c r="J213" s="652" t="str">
        <f t="shared" si="9"/>
        <v>Devizy</v>
      </c>
      <c r="K213" s="652" t="str">
        <f t="shared" si="10"/>
        <v/>
      </c>
      <c r="L213" s="652" t="str">
        <f t="shared" si="11"/>
        <v/>
      </c>
    </row>
    <row r="214" spans="1:12">
      <c r="A214" t="s">
        <v>13754</v>
      </c>
      <c r="J214" s="652" t="str">
        <f t="shared" si="9"/>
        <v>Devizy</v>
      </c>
      <c r="K214" s="652" t="str">
        <f t="shared" si="10"/>
        <v/>
      </c>
      <c r="L214" s="652" t="str">
        <f t="shared" si="11"/>
        <v/>
      </c>
    </row>
    <row r="215" spans="1:12">
      <c r="A215" t="s">
        <v>13734</v>
      </c>
      <c r="J215" s="652" t="str">
        <f t="shared" si="9"/>
        <v>Devizy</v>
      </c>
      <c r="K215" s="652" t="str">
        <f t="shared" si="10"/>
        <v/>
      </c>
      <c r="L215" s="652" t="str">
        <f t="shared" si="11"/>
        <v/>
      </c>
    </row>
    <row r="216" spans="1:12">
      <c r="A216" t="s">
        <v>13735</v>
      </c>
      <c r="J216" s="652" t="str">
        <f t="shared" si="9"/>
        <v>Devizy</v>
      </c>
      <c r="K216" s="652" t="str">
        <f t="shared" si="10"/>
        <v/>
      </c>
      <c r="L216" s="652" t="str">
        <f t="shared" si="11"/>
        <v/>
      </c>
    </row>
    <row r="217" spans="1:12">
      <c r="A217" t="s">
        <v>13755</v>
      </c>
      <c r="J217" s="652" t="str">
        <f t="shared" si="9"/>
        <v>Devizy</v>
      </c>
      <c r="K217" s="652" t="str">
        <f t="shared" si="10"/>
        <v/>
      </c>
      <c r="L217" s="652" t="str">
        <f t="shared" si="11"/>
        <v/>
      </c>
    </row>
    <row r="218" spans="1:12">
      <c r="A218" t="s">
        <v>13756</v>
      </c>
      <c r="J218" s="652" t="str">
        <f t="shared" si="9"/>
        <v>Devizy</v>
      </c>
      <c r="K218" s="652" t="str">
        <f t="shared" si="10"/>
        <v/>
      </c>
      <c r="L218" s="652" t="str">
        <f t="shared" si="11"/>
        <v/>
      </c>
    </row>
    <row r="219" spans="1:12">
      <c r="J219" s="652" t="str">
        <f t="shared" si="9"/>
        <v>Devizy</v>
      </c>
      <c r="K219" s="652" t="str">
        <f t="shared" si="10"/>
        <v/>
      </c>
      <c r="L219" s="652" t="str">
        <f t="shared" si="11"/>
        <v/>
      </c>
    </row>
    <row r="220" spans="1:12">
      <c r="A220" t="s">
        <v>13757</v>
      </c>
      <c r="J220" s="652" t="str">
        <f t="shared" si="9"/>
        <v>Devizy</v>
      </c>
      <c r="K220" s="652" t="str">
        <f t="shared" si="10"/>
        <v/>
      </c>
      <c r="L220" s="652" t="str">
        <f t="shared" si="11"/>
        <v/>
      </c>
    </row>
    <row r="221" spans="1:12">
      <c r="J221" s="652" t="str">
        <f t="shared" si="9"/>
        <v>Devizy</v>
      </c>
      <c r="K221" s="652" t="str">
        <f t="shared" si="10"/>
        <v/>
      </c>
      <c r="L221" s="652" t="str">
        <f t="shared" si="11"/>
        <v/>
      </c>
    </row>
    <row r="222" spans="1:12">
      <c r="A222" t="s">
        <v>13745</v>
      </c>
      <c r="J222" s="652" t="str">
        <f t="shared" si="9"/>
        <v>Devizy</v>
      </c>
      <c r="K222" s="652" t="str">
        <f t="shared" si="10"/>
        <v/>
      </c>
      <c r="L222" s="652" t="str">
        <f t="shared" si="11"/>
        <v/>
      </c>
    </row>
    <row r="223" spans="1:12">
      <c r="A223" t="s">
        <v>13768</v>
      </c>
      <c r="J223" s="652" t="str">
        <f t="shared" ref="J223:J277" si="12">IF(OR(A223="Devizy",J222="Devizy"),"Devizy","")</f>
        <v>Devizy</v>
      </c>
      <c r="K223" s="652" t="str">
        <f t="shared" ref="K223:K277" si="13">IFERROR(IF(AND(J223="Devizy",FIND("Nakupujeme ",A223)=1),RIGHT(A223,7),""),"")</f>
        <v/>
      </c>
      <c r="L223" s="652" t="str">
        <f t="shared" si="11"/>
        <v/>
      </c>
    </row>
    <row r="224" spans="1:12">
      <c r="A224" t="s">
        <v>13713</v>
      </c>
      <c r="J224" s="652" t="str">
        <f t="shared" si="12"/>
        <v>Devizy</v>
      </c>
      <c r="K224" s="652" t="str">
        <f t="shared" si="13"/>
        <v/>
      </c>
      <c r="L224" s="652" t="str">
        <f t="shared" si="11"/>
        <v/>
      </c>
    </row>
    <row r="225" spans="1:12">
      <c r="A225" t="s">
        <v>13716</v>
      </c>
      <c r="J225" s="652" t="str">
        <f t="shared" si="12"/>
        <v>Devizy</v>
      </c>
      <c r="K225" s="652" t="str">
        <f t="shared" si="13"/>
        <v/>
      </c>
      <c r="L225" s="652" t="str">
        <f t="shared" si="11"/>
        <v/>
      </c>
    </row>
    <row r="226" spans="1:12">
      <c r="A226" t="s">
        <v>13728</v>
      </c>
      <c r="J226" s="652" t="str">
        <f t="shared" si="12"/>
        <v>Devizy</v>
      </c>
      <c r="K226" s="652" t="str">
        <f t="shared" si="13"/>
        <v/>
      </c>
      <c r="L226" s="652" t="str">
        <f t="shared" si="11"/>
        <v/>
      </c>
    </row>
    <row r="227" spans="1:12">
      <c r="A227" t="s">
        <v>13717</v>
      </c>
      <c r="J227" s="652" t="str">
        <f t="shared" si="12"/>
        <v>Devizy</v>
      </c>
      <c r="K227" s="652" t="str">
        <f t="shared" si="13"/>
        <v/>
      </c>
      <c r="L227" s="652" t="str">
        <f t="shared" si="11"/>
        <v/>
      </c>
    </row>
    <row r="228" spans="1:12">
      <c r="J228" s="652" t="str">
        <f t="shared" si="12"/>
        <v>Devizy</v>
      </c>
      <c r="K228" s="652" t="str">
        <f t="shared" si="13"/>
        <v/>
      </c>
      <c r="L228" s="652" t="str">
        <f t="shared" si="11"/>
        <v/>
      </c>
    </row>
    <row r="229" spans="1:12">
      <c r="A229" t="s">
        <v>13719</v>
      </c>
      <c r="J229" s="652" t="str">
        <f t="shared" si="12"/>
        <v>Devizy</v>
      </c>
      <c r="K229" s="652" t="str">
        <f t="shared" si="13"/>
        <v/>
      </c>
      <c r="L229" s="652" t="str">
        <f t="shared" si="11"/>
        <v/>
      </c>
    </row>
    <row r="230" spans="1:12">
      <c r="J230" s="652" t="str">
        <f t="shared" si="12"/>
        <v>Devizy</v>
      </c>
      <c r="K230" s="652" t="str">
        <f t="shared" si="13"/>
        <v/>
      </c>
      <c r="L230" s="652" t="str">
        <f t="shared" si="11"/>
        <v/>
      </c>
    </row>
    <row r="231" spans="1:12">
      <c r="A231" t="s">
        <v>13723</v>
      </c>
      <c r="J231" s="652" t="str">
        <f t="shared" si="12"/>
        <v>Devizy</v>
      </c>
      <c r="K231" s="652" t="str">
        <f t="shared" si="13"/>
        <v/>
      </c>
      <c r="L231" s="652" t="str">
        <f t="shared" si="11"/>
        <v/>
      </c>
    </row>
    <row r="232" spans="1:12">
      <c r="A232" t="s">
        <v>13758</v>
      </c>
      <c r="J232" s="652" t="str">
        <f t="shared" si="12"/>
        <v>Devizy</v>
      </c>
      <c r="K232" s="652" t="str">
        <f t="shared" si="13"/>
        <v/>
      </c>
      <c r="L232" s="652" t="str">
        <f t="shared" si="11"/>
        <v/>
      </c>
    </row>
    <row r="233" spans="1:12">
      <c r="A233" t="s">
        <v>13759</v>
      </c>
      <c r="J233" s="652" t="str">
        <f t="shared" si="12"/>
        <v>Devizy</v>
      </c>
      <c r="K233" s="652" t="str">
        <f t="shared" si="13"/>
        <v/>
      </c>
      <c r="L233" s="652" t="str">
        <f t="shared" si="11"/>
        <v/>
      </c>
    </row>
    <row r="234" spans="1:12">
      <c r="A234" t="s">
        <v>13726</v>
      </c>
      <c r="J234" s="652" t="str">
        <f t="shared" si="12"/>
        <v>Devizy</v>
      </c>
      <c r="K234" s="652" t="str">
        <f t="shared" si="13"/>
        <v/>
      </c>
      <c r="L234" s="652" t="str">
        <f t="shared" si="11"/>
        <v/>
      </c>
    </row>
    <row r="235" spans="1:12">
      <c r="A235" t="s">
        <v>13721</v>
      </c>
      <c r="J235" s="652" t="str">
        <f t="shared" si="12"/>
        <v>Devizy</v>
      </c>
      <c r="K235" s="652" t="str">
        <f t="shared" si="13"/>
        <v/>
      </c>
      <c r="L235" s="652" t="str">
        <f t="shared" si="11"/>
        <v/>
      </c>
    </row>
    <row r="236" spans="1:12">
      <c r="A236" t="s">
        <v>14771</v>
      </c>
      <c r="J236" s="652" t="str">
        <f t="shared" si="12"/>
        <v>Devizy</v>
      </c>
      <c r="K236" s="652" t="str">
        <f t="shared" si="13"/>
        <v/>
      </c>
      <c r="L236" s="652" t="str">
        <f t="shared" si="11"/>
        <v/>
      </c>
    </row>
    <row r="237" spans="1:12">
      <c r="A237" t="s">
        <v>2410</v>
      </c>
      <c r="J237" s="652" t="str">
        <f t="shared" si="12"/>
        <v>Devizy</v>
      </c>
      <c r="K237" s="652" t="str">
        <f t="shared" si="13"/>
        <v/>
      </c>
      <c r="L237" s="652" t="str">
        <f t="shared" si="11"/>
        <v/>
      </c>
    </row>
    <row r="238" spans="1:12">
      <c r="A238" t="s">
        <v>13772</v>
      </c>
      <c r="J238" s="652" t="str">
        <f t="shared" si="12"/>
        <v>Devizy</v>
      </c>
      <c r="K238" s="652" t="str">
        <f t="shared" si="13"/>
        <v/>
      </c>
      <c r="L238" s="652" t="str">
        <f t="shared" si="11"/>
        <v/>
      </c>
    </row>
    <row r="239" spans="1:12">
      <c r="A239" t="s">
        <v>11991</v>
      </c>
      <c r="J239" s="652" t="str">
        <f t="shared" si="12"/>
        <v>Devizy</v>
      </c>
      <c r="K239" s="652" t="str">
        <f t="shared" si="13"/>
        <v/>
      </c>
      <c r="L239" s="652" t="str">
        <f t="shared" si="11"/>
        <v/>
      </c>
    </row>
    <row r="240" spans="1:12">
      <c r="A240" t="s">
        <v>13760</v>
      </c>
      <c r="J240" s="652" t="str">
        <f t="shared" si="12"/>
        <v>Devizy</v>
      </c>
      <c r="K240" s="652" t="str">
        <f t="shared" si="13"/>
        <v/>
      </c>
      <c r="L240" s="652" t="str">
        <f t="shared" si="11"/>
        <v/>
      </c>
    </row>
    <row r="241" spans="1:12">
      <c r="J241" s="652" t="str">
        <f t="shared" si="12"/>
        <v>Devizy</v>
      </c>
      <c r="K241" s="652" t="str">
        <f t="shared" si="13"/>
        <v/>
      </c>
      <c r="L241" s="652" t="str">
        <f t="shared" si="11"/>
        <v/>
      </c>
    </row>
    <row r="242" spans="1:12">
      <c r="A242" t="s">
        <v>13761</v>
      </c>
      <c r="J242" s="652" t="str">
        <f t="shared" si="12"/>
        <v>Devizy</v>
      </c>
      <c r="K242" s="652" t="str">
        <f t="shared" si="13"/>
        <v/>
      </c>
      <c r="L242" s="652" t="str">
        <f t="shared" si="11"/>
        <v/>
      </c>
    </row>
    <row r="243" spans="1:12">
      <c r="J243" s="652" t="str">
        <f t="shared" si="12"/>
        <v>Devizy</v>
      </c>
      <c r="K243" s="652" t="str">
        <f t="shared" si="13"/>
        <v/>
      </c>
      <c r="L243" s="652" t="str">
        <f t="shared" si="11"/>
        <v/>
      </c>
    </row>
    <row r="244" spans="1:12">
      <c r="A244" t="s">
        <v>14770</v>
      </c>
      <c r="J244" s="652" t="str">
        <f t="shared" si="12"/>
        <v>Devizy</v>
      </c>
      <c r="K244" s="652" t="str">
        <f t="shared" si="13"/>
        <v/>
      </c>
      <c r="L244" s="652" t="str">
        <f t="shared" si="11"/>
        <v/>
      </c>
    </row>
    <row r="245" spans="1:12">
      <c r="A245" t="s">
        <v>13754</v>
      </c>
      <c r="J245" s="652" t="str">
        <f t="shared" si="12"/>
        <v>Devizy</v>
      </c>
      <c r="K245" s="652" t="str">
        <f t="shared" si="13"/>
        <v/>
      </c>
      <c r="L245" s="652" t="str">
        <f t="shared" si="11"/>
        <v/>
      </c>
    </row>
    <row r="246" spans="1:12">
      <c r="A246" t="s">
        <v>13734</v>
      </c>
      <c r="J246" s="652" t="str">
        <f t="shared" si="12"/>
        <v>Devizy</v>
      </c>
      <c r="K246" s="652" t="str">
        <f t="shared" si="13"/>
        <v/>
      </c>
      <c r="L246" s="652" t="str">
        <f t="shared" si="11"/>
        <v/>
      </c>
    </row>
    <row r="247" spans="1:12">
      <c r="A247" t="s">
        <v>13735</v>
      </c>
      <c r="J247" s="652" t="str">
        <f t="shared" si="12"/>
        <v>Devizy</v>
      </c>
      <c r="K247" s="652" t="str">
        <f t="shared" si="13"/>
        <v/>
      </c>
      <c r="L247" s="652" t="str">
        <f t="shared" si="11"/>
        <v/>
      </c>
    </row>
    <row r="248" spans="1:12">
      <c r="A248" t="s">
        <v>13755</v>
      </c>
      <c r="J248" s="652" t="str">
        <f t="shared" si="12"/>
        <v>Devizy</v>
      </c>
      <c r="K248" s="652" t="str">
        <f t="shared" si="13"/>
        <v/>
      </c>
      <c r="L248" s="652" t="str">
        <f t="shared" si="11"/>
        <v/>
      </c>
    </row>
    <row r="249" spans="1:12">
      <c r="A249" t="s">
        <v>13756</v>
      </c>
      <c r="J249" s="652" t="str">
        <f t="shared" si="12"/>
        <v>Devizy</v>
      </c>
      <c r="K249" s="652" t="str">
        <f t="shared" si="13"/>
        <v/>
      </c>
      <c r="L249" s="652" t="str">
        <f t="shared" si="11"/>
        <v/>
      </c>
    </row>
    <row r="250" spans="1:12">
      <c r="J250" s="652" t="str">
        <f t="shared" si="12"/>
        <v>Devizy</v>
      </c>
      <c r="K250" s="652" t="str">
        <f t="shared" si="13"/>
        <v/>
      </c>
      <c r="L250" s="652" t="str">
        <f t="shared" si="11"/>
        <v/>
      </c>
    </row>
    <row r="251" spans="1:12">
      <c r="A251" t="s">
        <v>13762</v>
      </c>
      <c r="J251" s="652" t="str">
        <f t="shared" si="12"/>
        <v>Devizy</v>
      </c>
      <c r="K251" s="652" t="str">
        <f t="shared" si="13"/>
        <v/>
      </c>
      <c r="L251" s="652" t="str">
        <f t="shared" si="11"/>
        <v/>
      </c>
    </row>
    <row r="252" spans="1:12" hidden="1">
      <c r="J252" s="652" t="str">
        <f t="shared" si="12"/>
        <v>Devizy</v>
      </c>
      <c r="K252" s="652" t="str">
        <f t="shared" si="13"/>
        <v/>
      </c>
      <c r="L252" s="652" t="str">
        <f t="shared" si="11"/>
        <v/>
      </c>
    </row>
    <row r="253" spans="1:12">
      <c r="A253" t="s">
        <v>13745</v>
      </c>
      <c r="J253" s="652" t="str">
        <f t="shared" si="12"/>
        <v>Devizy</v>
      </c>
      <c r="K253" s="652" t="str">
        <f t="shared" si="13"/>
        <v/>
      </c>
      <c r="L253" s="652" t="str">
        <f t="shared" si="11"/>
        <v/>
      </c>
    </row>
    <row r="254" spans="1:12">
      <c r="A254" t="s">
        <v>13768</v>
      </c>
      <c r="J254" s="652" t="str">
        <f t="shared" si="12"/>
        <v>Devizy</v>
      </c>
      <c r="K254" s="652" t="str">
        <f t="shared" si="13"/>
        <v/>
      </c>
      <c r="L254" s="652" t="str">
        <f t="shared" si="11"/>
        <v/>
      </c>
    </row>
    <row r="255" spans="1:12">
      <c r="A255" t="s">
        <v>13713</v>
      </c>
      <c r="J255" s="652" t="str">
        <f t="shared" si="12"/>
        <v>Devizy</v>
      </c>
      <c r="K255" s="652" t="str">
        <f t="shared" si="13"/>
        <v/>
      </c>
      <c r="L255" s="652" t="str">
        <f t="shared" si="11"/>
        <v/>
      </c>
    </row>
    <row r="256" spans="1:12">
      <c r="A256" t="s">
        <v>13716</v>
      </c>
      <c r="J256" s="652" t="str">
        <f t="shared" si="12"/>
        <v>Devizy</v>
      </c>
      <c r="K256" s="652" t="str">
        <f t="shared" si="13"/>
        <v/>
      </c>
      <c r="L256" s="652" t="str">
        <f t="shared" si="11"/>
        <v/>
      </c>
    </row>
    <row r="257" spans="1:12">
      <c r="A257" t="s">
        <v>13728</v>
      </c>
      <c r="J257" s="652" t="str">
        <f t="shared" si="12"/>
        <v>Devizy</v>
      </c>
      <c r="K257" s="652" t="str">
        <f t="shared" si="13"/>
        <v/>
      </c>
      <c r="L257" s="652" t="str">
        <f t="shared" si="11"/>
        <v/>
      </c>
    </row>
    <row r="258" spans="1:12">
      <c r="A258" t="s">
        <v>13717</v>
      </c>
      <c r="J258" s="652" t="str">
        <f t="shared" si="12"/>
        <v>Devizy</v>
      </c>
      <c r="K258" s="652" t="str">
        <f t="shared" si="13"/>
        <v/>
      </c>
      <c r="L258" s="652" t="str">
        <f t="shared" si="11"/>
        <v/>
      </c>
    </row>
    <row r="259" spans="1:12">
      <c r="J259" s="652" t="str">
        <f t="shared" si="12"/>
        <v>Devizy</v>
      </c>
      <c r="K259" s="652" t="str">
        <f t="shared" si="13"/>
        <v/>
      </c>
      <c r="L259" s="652" t="str">
        <f t="shared" si="11"/>
        <v/>
      </c>
    </row>
    <row r="260" spans="1:12">
      <c r="A260" s="3" t="s">
        <v>13720</v>
      </c>
      <c r="J260" s="652" t="str">
        <f t="shared" si="12"/>
        <v>Devizy</v>
      </c>
      <c r="K260" s="652" t="str">
        <f t="shared" si="13"/>
        <v/>
      </c>
      <c r="L260" s="652" t="str">
        <f t="shared" si="11"/>
        <v/>
      </c>
    </row>
    <row r="261" spans="1:12">
      <c r="A261" s="3"/>
      <c r="J261" s="652" t="str">
        <f t="shared" si="12"/>
        <v>Devizy</v>
      </c>
      <c r="K261" s="652" t="str">
        <f t="shared" si="13"/>
        <v/>
      </c>
      <c r="L261" s="652" t="str">
        <f t="shared" ref="L261:L324" si="14">IFERROR(K261+M261,"")</f>
        <v/>
      </c>
    </row>
    <row r="262" spans="1:12">
      <c r="A262" s="3" t="s">
        <v>13723</v>
      </c>
      <c r="J262" s="652" t="str">
        <f t="shared" si="12"/>
        <v>Devizy</v>
      </c>
      <c r="K262" s="652" t="str">
        <f t="shared" si="13"/>
        <v/>
      </c>
      <c r="L262" s="652" t="str">
        <f t="shared" si="14"/>
        <v/>
      </c>
    </row>
    <row r="263" spans="1:12">
      <c r="A263" t="s">
        <v>13758</v>
      </c>
      <c r="J263" s="652" t="str">
        <f t="shared" si="12"/>
        <v>Devizy</v>
      </c>
      <c r="K263" s="652" t="str">
        <f t="shared" si="13"/>
        <v/>
      </c>
      <c r="L263" s="652" t="str">
        <f t="shared" si="14"/>
        <v/>
      </c>
    </row>
    <row r="264" spans="1:12">
      <c r="A264" s="3" t="s">
        <v>13759</v>
      </c>
      <c r="J264" s="652" t="str">
        <f t="shared" si="12"/>
        <v>Devizy</v>
      </c>
      <c r="K264" s="652" t="str">
        <f t="shared" si="13"/>
        <v/>
      </c>
      <c r="L264" s="652" t="str">
        <f t="shared" si="14"/>
        <v/>
      </c>
    </row>
    <row r="265" spans="1:12">
      <c r="A265" s="3" t="s">
        <v>13726</v>
      </c>
      <c r="J265" s="652" t="str">
        <f t="shared" si="12"/>
        <v>Devizy</v>
      </c>
      <c r="K265" s="652" t="str">
        <f t="shared" si="13"/>
        <v/>
      </c>
      <c r="L265" s="652" t="str">
        <f t="shared" si="14"/>
        <v/>
      </c>
    </row>
    <row r="266" spans="1:12">
      <c r="A266" t="s">
        <v>13721</v>
      </c>
      <c r="J266" s="652" t="str">
        <f t="shared" si="12"/>
        <v>Devizy</v>
      </c>
      <c r="K266" s="652" t="str">
        <f t="shared" si="13"/>
        <v/>
      </c>
      <c r="L266" s="652" t="str">
        <f t="shared" si="14"/>
        <v/>
      </c>
    </row>
    <row r="267" spans="1:12">
      <c r="A267" s="3" t="s">
        <v>14771</v>
      </c>
      <c r="J267" s="652" t="str">
        <f t="shared" si="12"/>
        <v>Devizy</v>
      </c>
      <c r="K267" s="652" t="str">
        <f t="shared" si="13"/>
        <v/>
      </c>
      <c r="L267" s="652" t="str">
        <f t="shared" si="14"/>
        <v/>
      </c>
    </row>
    <row r="268" spans="1:12">
      <c r="J268" s="652" t="str">
        <f t="shared" si="12"/>
        <v>Devizy</v>
      </c>
      <c r="K268" s="652" t="str">
        <f t="shared" si="13"/>
        <v/>
      </c>
      <c r="L268" s="652" t="str">
        <f t="shared" si="14"/>
        <v/>
      </c>
    </row>
    <row r="269" spans="1:12">
      <c r="A269" t="s">
        <v>11990</v>
      </c>
      <c r="J269" s="652" t="str">
        <f t="shared" si="12"/>
        <v>Devizy</v>
      </c>
      <c r="K269" s="652" t="str">
        <f t="shared" si="13"/>
        <v/>
      </c>
      <c r="L269" s="652" t="str">
        <f t="shared" si="14"/>
        <v/>
      </c>
    </row>
    <row r="270" spans="1:12">
      <c r="J270" s="652" t="str">
        <f t="shared" si="12"/>
        <v>Devizy</v>
      </c>
      <c r="K270" s="652" t="str">
        <f t="shared" si="13"/>
        <v/>
      </c>
      <c r="L270" s="652" t="str">
        <f t="shared" si="14"/>
        <v/>
      </c>
    </row>
    <row r="271" spans="1:12">
      <c r="A271" s="3">
        <v>800521521</v>
      </c>
      <c r="J271" s="652" t="str">
        <f t="shared" si="12"/>
        <v>Devizy</v>
      </c>
      <c r="K271" s="652" t="str">
        <f t="shared" si="13"/>
        <v/>
      </c>
      <c r="L271" s="652" t="str">
        <f t="shared" si="14"/>
        <v/>
      </c>
    </row>
    <row r="272" spans="1:12">
      <c r="A272" t="s">
        <v>13722</v>
      </c>
      <c r="J272" s="652" t="str">
        <f t="shared" si="12"/>
        <v>Devizy</v>
      </c>
      <c r="K272" s="652" t="str">
        <f t="shared" si="13"/>
        <v/>
      </c>
      <c r="L272" s="652" t="str">
        <f t="shared" si="14"/>
        <v/>
      </c>
    </row>
    <row r="273" spans="1:12">
      <c r="A273" t="s">
        <v>13773</v>
      </c>
      <c r="J273" s="652" t="str">
        <f t="shared" si="12"/>
        <v>Devizy</v>
      </c>
      <c r="K273" s="652" t="str">
        <f t="shared" si="13"/>
        <v/>
      </c>
      <c r="L273" s="652" t="str">
        <f t="shared" si="14"/>
        <v/>
      </c>
    </row>
    <row r="274" spans="1:12">
      <c r="A274" t="s">
        <v>13725</v>
      </c>
      <c r="J274" s="652" t="str">
        <f t="shared" si="12"/>
        <v>Devizy</v>
      </c>
      <c r="K274" s="652" t="str">
        <f t="shared" si="13"/>
        <v/>
      </c>
      <c r="L274" s="652" t="str">
        <f t="shared" si="14"/>
        <v/>
      </c>
    </row>
    <row r="275" spans="1:12">
      <c r="A275" t="s">
        <v>13763</v>
      </c>
      <c r="J275" s="652" t="str">
        <f t="shared" si="12"/>
        <v>Devizy</v>
      </c>
      <c r="K275" s="652" t="str">
        <f t="shared" si="13"/>
        <v/>
      </c>
      <c r="L275" s="652" t="str">
        <f t="shared" si="14"/>
        <v/>
      </c>
    </row>
    <row r="276" spans="1:12">
      <c r="A276" t="s">
        <v>14707</v>
      </c>
      <c r="J276" s="652" t="str">
        <f t="shared" si="12"/>
        <v>Devizy</v>
      </c>
      <c r="K276" s="652" t="str">
        <f t="shared" si="13"/>
        <v/>
      </c>
      <c r="L276" s="652" t="str">
        <f t="shared" si="14"/>
        <v/>
      </c>
    </row>
    <row r="277" spans="1:12">
      <c r="J277" s="652" t="str">
        <f t="shared" si="12"/>
        <v>Devizy</v>
      </c>
      <c r="K277" s="652" t="str">
        <f t="shared" si="13"/>
        <v/>
      </c>
      <c r="L277" s="652" t="str">
        <f t="shared" si="14"/>
        <v/>
      </c>
    </row>
    <row r="278" spans="1:12">
      <c r="A278" t="s">
        <v>13764</v>
      </c>
      <c r="J278" s="652" t="str">
        <f t="shared" ref="J278:J341" si="15">IF(OR(A287="Devizy",J277="Devizy"),"Devizy","")</f>
        <v>Devizy</v>
      </c>
      <c r="K278" s="652" t="str">
        <f>IFERROR(IF(AND(J278="Devizy",FIND("Nakupujeme ",#REF!)=1),RIGHT(#REF!,7),""),"")</f>
        <v/>
      </c>
      <c r="L278" s="652" t="str">
        <f t="shared" si="14"/>
        <v/>
      </c>
    </row>
    <row r="279" spans="1:12">
      <c r="J279" s="652" t="str">
        <f t="shared" si="15"/>
        <v>Devizy</v>
      </c>
      <c r="K279" s="652" t="str">
        <f t="shared" ref="K279:K342" si="16">IFERROR(IF(AND(J279="Devizy",FIND("Nakupujeme ",A287)=1),RIGHT(A287,7),""),"")</f>
        <v/>
      </c>
      <c r="L279" s="652" t="str">
        <f t="shared" si="14"/>
        <v/>
      </c>
    </row>
    <row r="280" spans="1:12">
      <c r="A280" t="s">
        <v>13765</v>
      </c>
      <c r="J280" s="652" t="str">
        <f t="shared" si="15"/>
        <v>Devizy</v>
      </c>
      <c r="K280" s="652" t="str">
        <f t="shared" si="16"/>
        <v/>
      </c>
      <c r="L280" s="652" t="str">
        <f t="shared" si="14"/>
        <v/>
      </c>
    </row>
    <row r="281" spans="1:12">
      <c r="A281" t="s">
        <v>13766</v>
      </c>
      <c r="J281" s="652" t="str">
        <f t="shared" si="15"/>
        <v>Devizy</v>
      </c>
      <c r="K281" s="652" t="str">
        <f t="shared" si="16"/>
        <v/>
      </c>
      <c r="L281" s="652" t="str">
        <f t="shared" si="14"/>
        <v/>
      </c>
    </row>
    <row r="282" spans="1:12">
      <c r="A282" t="s">
        <v>13767</v>
      </c>
      <c r="J282" s="652" t="str">
        <f t="shared" si="15"/>
        <v>Devizy</v>
      </c>
      <c r="K282" s="652" t="str">
        <f t="shared" si="16"/>
        <v/>
      </c>
      <c r="L282" s="652" t="str">
        <f t="shared" si="14"/>
        <v/>
      </c>
    </row>
    <row r="283" spans="1:12">
      <c r="A283" t="s">
        <v>13769</v>
      </c>
      <c r="J283" s="652" t="str">
        <f t="shared" si="15"/>
        <v>Devizy</v>
      </c>
      <c r="K283" s="652" t="str">
        <f t="shared" si="16"/>
        <v/>
      </c>
      <c r="L283" s="652" t="str">
        <f t="shared" si="14"/>
        <v/>
      </c>
    </row>
    <row r="284" spans="1:12">
      <c r="A284" t="s">
        <v>14051</v>
      </c>
      <c r="J284" s="652" t="str">
        <f t="shared" si="15"/>
        <v>Devizy</v>
      </c>
      <c r="K284" s="652" t="str">
        <f t="shared" si="16"/>
        <v/>
      </c>
      <c r="L284" s="652" t="str">
        <f t="shared" si="14"/>
        <v/>
      </c>
    </row>
    <row r="285" spans="1:12">
      <c r="A285" t="s">
        <v>13770</v>
      </c>
      <c r="J285" s="652" t="str">
        <f t="shared" si="15"/>
        <v>Devizy</v>
      </c>
      <c r="K285" s="652" t="str">
        <f t="shared" si="16"/>
        <v/>
      </c>
      <c r="L285" s="652" t="str">
        <f t="shared" si="14"/>
        <v/>
      </c>
    </row>
    <row r="286" spans="1:12">
      <c r="A286" t="s">
        <v>13771</v>
      </c>
      <c r="J286" s="652" t="str">
        <f t="shared" si="15"/>
        <v>Devizy</v>
      </c>
      <c r="K286" s="652" t="str">
        <f t="shared" si="16"/>
        <v/>
      </c>
      <c r="L286" s="652" t="str">
        <f t="shared" si="14"/>
        <v/>
      </c>
    </row>
    <row r="287" spans="1:12">
      <c r="A287" s="27" t="s">
        <v>13471</v>
      </c>
      <c r="J287" s="652" t="str">
        <f t="shared" si="15"/>
        <v>Devizy</v>
      </c>
      <c r="K287" s="652" t="str">
        <f t="shared" si="16"/>
        <v/>
      </c>
      <c r="L287" s="652" t="str">
        <f t="shared" si="14"/>
        <v/>
      </c>
    </row>
    <row r="288" spans="1:12">
      <c r="A288" s="12" t="s">
        <v>24</v>
      </c>
      <c r="J288" s="652" t="str">
        <f t="shared" si="15"/>
        <v>Devizy</v>
      </c>
      <c r="K288" s="652" t="str">
        <f t="shared" si="16"/>
        <v/>
      </c>
      <c r="L288" s="652" t="str">
        <f t="shared" si="14"/>
        <v/>
      </c>
    </row>
    <row r="289" spans="1:12">
      <c r="A289" s="12" t="s">
        <v>24</v>
      </c>
      <c r="J289" s="652" t="str">
        <f t="shared" si="15"/>
        <v>Devizy</v>
      </c>
      <c r="K289" s="652" t="str">
        <f t="shared" si="16"/>
        <v/>
      </c>
      <c r="L289" s="652" t="str">
        <f t="shared" si="14"/>
        <v/>
      </c>
    </row>
    <row r="290" spans="1:12">
      <c r="A290" s="12" t="s">
        <v>24</v>
      </c>
      <c r="J290" s="652" t="str">
        <f t="shared" si="15"/>
        <v>Devizy</v>
      </c>
      <c r="K290" s="652" t="str">
        <f t="shared" si="16"/>
        <v/>
      </c>
      <c r="L290" s="652" t="str">
        <f t="shared" si="14"/>
        <v/>
      </c>
    </row>
    <row r="291" spans="1:12">
      <c r="A291" s="12" t="s">
        <v>24</v>
      </c>
      <c r="J291" s="652" t="str">
        <f t="shared" si="15"/>
        <v>Devizy</v>
      </c>
      <c r="K291" s="652" t="str">
        <f t="shared" si="16"/>
        <v/>
      </c>
      <c r="L291" s="652" t="str">
        <f t="shared" si="14"/>
        <v/>
      </c>
    </row>
    <row r="292" spans="1:12">
      <c r="A292" s="12" t="s">
        <v>24</v>
      </c>
      <c r="J292" s="652" t="str">
        <f t="shared" si="15"/>
        <v>Devizy</v>
      </c>
      <c r="K292" s="652" t="str">
        <f t="shared" si="16"/>
        <v/>
      </c>
      <c r="L292" s="652" t="str">
        <f t="shared" si="14"/>
        <v/>
      </c>
    </row>
    <row r="293" spans="1:12">
      <c r="A293" s="12" t="s">
        <v>24</v>
      </c>
      <c r="J293" s="652" t="str">
        <f t="shared" si="15"/>
        <v>Devizy</v>
      </c>
      <c r="K293" s="652" t="str">
        <f t="shared" si="16"/>
        <v/>
      </c>
      <c r="L293" s="652" t="str">
        <f t="shared" si="14"/>
        <v/>
      </c>
    </row>
    <row r="294" spans="1:12">
      <c r="A294" s="12" t="s">
        <v>24</v>
      </c>
      <c r="J294" s="652" t="str">
        <f t="shared" si="15"/>
        <v>Devizy</v>
      </c>
      <c r="K294" s="652" t="str">
        <f t="shared" si="16"/>
        <v/>
      </c>
      <c r="L294" s="652" t="str">
        <f t="shared" si="14"/>
        <v/>
      </c>
    </row>
    <row r="295" spans="1:12">
      <c r="A295" s="12" t="s">
        <v>24</v>
      </c>
      <c r="J295" s="652" t="str">
        <f t="shared" si="15"/>
        <v>Devizy</v>
      </c>
      <c r="K295" s="652" t="str">
        <f t="shared" si="16"/>
        <v/>
      </c>
      <c r="L295" s="652" t="str">
        <f t="shared" si="14"/>
        <v/>
      </c>
    </row>
    <row r="296" spans="1:12">
      <c r="A296" s="12" t="s">
        <v>24</v>
      </c>
      <c r="J296" s="652" t="str">
        <f t="shared" si="15"/>
        <v>Devizy</v>
      </c>
      <c r="K296" s="652" t="str">
        <f t="shared" si="16"/>
        <v/>
      </c>
      <c r="L296" s="652" t="str">
        <f t="shared" si="14"/>
        <v/>
      </c>
    </row>
    <row r="297" spans="1:12">
      <c r="A297" s="12" t="s">
        <v>24</v>
      </c>
      <c r="J297" s="652" t="str">
        <f t="shared" si="15"/>
        <v>Devizy</v>
      </c>
      <c r="K297" s="652" t="str">
        <f t="shared" si="16"/>
        <v/>
      </c>
      <c r="L297" s="652" t="str">
        <f t="shared" si="14"/>
        <v/>
      </c>
    </row>
    <row r="298" spans="1:12">
      <c r="A298" s="12" t="s">
        <v>24</v>
      </c>
      <c r="J298" s="652" t="str">
        <f t="shared" si="15"/>
        <v>Devizy</v>
      </c>
      <c r="K298" s="652" t="str">
        <f t="shared" si="16"/>
        <v/>
      </c>
      <c r="L298" s="652" t="str">
        <f t="shared" si="14"/>
        <v/>
      </c>
    </row>
    <row r="299" spans="1:12">
      <c r="A299" s="12" t="s">
        <v>24</v>
      </c>
      <c r="J299" s="652" t="str">
        <f t="shared" si="15"/>
        <v>Devizy</v>
      </c>
      <c r="K299" s="652" t="str">
        <f t="shared" si="16"/>
        <v/>
      </c>
      <c r="L299" s="652" t="str">
        <f t="shared" si="14"/>
        <v/>
      </c>
    </row>
    <row r="300" spans="1:12">
      <c r="A300" s="12" t="s">
        <v>24</v>
      </c>
      <c r="J300" s="652" t="str">
        <f t="shared" si="15"/>
        <v>Devizy</v>
      </c>
      <c r="K300" s="652" t="str">
        <f t="shared" si="16"/>
        <v/>
      </c>
      <c r="L300" s="652" t="str">
        <f t="shared" si="14"/>
        <v/>
      </c>
    </row>
    <row r="301" spans="1:12">
      <c r="A301" s="12" t="s">
        <v>24</v>
      </c>
      <c r="J301" s="652" t="str">
        <f t="shared" si="15"/>
        <v>Devizy</v>
      </c>
      <c r="K301" s="652" t="str">
        <f t="shared" si="16"/>
        <v/>
      </c>
      <c r="L301" s="652" t="str">
        <f t="shared" si="14"/>
        <v/>
      </c>
    </row>
    <row r="302" spans="1:12">
      <c r="A302" s="12" t="s">
        <v>24</v>
      </c>
      <c r="J302" s="652" t="str">
        <f t="shared" si="15"/>
        <v>Devizy</v>
      </c>
      <c r="K302" s="652" t="str">
        <f t="shared" si="16"/>
        <v/>
      </c>
      <c r="L302" s="652" t="str">
        <f t="shared" si="14"/>
        <v/>
      </c>
    </row>
    <row r="303" spans="1:12">
      <c r="A303" s="12" t="s">
        <v>24</v>
      </c>
      <c r="J303" s="652" t="str">
        <f t="shared" si="15"/>
        <v>Devizy</v>
      </c>
      <c r="K303" s="652" t="str">
        <f t="shared" si="16"/>
        <v/>
      </c>
      <c r="L303" s="652" t="str">
        <f t="shared" si="14"/>
        <v/>
      </c>
    </row>
    <row r="304" spans="1:12">
      <c r="A304" s="12" t="s">
        <v>24</v>
      </c>
      <c r="J304" s="652" t="str">
        <f t="shared" si="15"/>
        <v>Devizy</v>
      </c>
      <c r="K304" s="652" t="str">
        <f t="shared" si="16"/>
        <v/>
      </c>
      <c r="L304" s="652" t="str">
        <f t="shared" si="14"/>
        <v/>
      </c>
    </row>
    <row r="305" spans="1:12">
      <c r="A305" s="12" t="s">
        <v>24</v>
      </c>
      <c r="J305" s="652" t="str">
        <f t="shared" si="15"/>
        <v>Devizy</v>
      </c>
      <c r="K305" s="652" t="str">
        <f t="shared" si="16"/>
        <v/>
      </c>
      <c r="L305" s="652" t="str">
        <f t="shared" si="14"/>
        <v/>
      </c>
    </row>
    <row r="306" spans="1:12">
      <c r="A306" s="12" t="s">
        <v>24</v>
      </c>
      <c r="J306" s="652" t="str">
        <f t="shared" si="15"/>
        <v>Devizy</v>
      </c>
      <c r="K306" s="652" t="str">
        <f t="shared" si="16"/>
        <v/>
      </c>
      <c r="L306" s="652" t="str">
        <f t="shared" si="14"/>
        <v/>
      </c>
    </row>
    <row r="307" spans="1:12">
      <c r="A307" s="12" t="s">
        <v>24</v>
      </c>
      <c r="J307" s="652" t="str">
        <f t="shared" si="15"/>
        <v>Devizy</v>
      </c>
      <c r="K307" s="652" t="str">
        <f t="shared" si="16"/>
        <v/>
      </c>
      <c r="L307" s="652" t="str">
        <f t="shared" si="14"/>
        <v/>
      </c>
    </row>
    <row r="308" spans="1:12">
      <c r="A308" s="12" t="s">
        <v>24</v>
      </c>
      <c r="J308" s="652" t="str">
        <f t="shared" si="15"/>
        <v>Devizy</v>
      </c>
      <c r="K308" s="652" t="str">
        <f t="shared" si="16"/>
        <v/>
      </c>
      <c r="L308" s="652" t="str">
        <f t="shared" si="14"/>
        <v/>
      </c>
    </row>
    <row r="309" spans="1:12">
      <c r="A309" s="12" t="s">
        <v>24</v>
      </c>
      <c r="J309" s="652" t="str">
        <f t="shared" si="15"/>
        <v>Devizy</v>
      </c>
      <c r="K309" s="652" t="str">
        <f t="shared" si="16"/>
        <v/>
      </c>
      <c r="L309" s="652" t="str">
        <f t="shared" si="14"/>
        <v/>
      </c>
    </row>
    <row r="310" spans="1:12">
      <c r="A310" s="12" t="s">
        <v>24</v>
      </c>
      <c r="J310" s="652" t="str">
        <f t="shared" si="15"/>
        <v>Devizy</v>
      </c>
      <c r="K310" s="652" t="str">
        <f t="shared" si="16"/>
        <v/>
      </c>
      <c r="L310" s="652" t="str">
        <f t="shared" si="14"/>
        <v/>
      </c>
    </row>
    <row r="311" spans="1:12">
      <c r="A311" s="12" t="s">
        <v>24</v>
      </c>
      <c r="J311" s="652" t="str">
        <f t="shared" si="15"/>
        <v>Devizy</v>
      </c>
      <c r="K311" s="652" t="str">
        <f t="shared" si="16"/>
        <v/>
      </c>
      <c r="L311" s="652" t="str">
        <f t="shared" si="14"/>
        <v/>
      </c>
    </row>
    <row r="312" spans="1:12">
      <c r="A312" s="12" t="s">
        <v>24</v>
      </c>
      <c r="J312" s="652" t="str">
        <f t="shared" si="15"/>
        <v>Devizy</v>
      </c>
      <c r="K312" s="652" t="str">
        <f t="shared" si="16"/>
        <v/>
      </c>
      <c r="L312" s="652" t="str">
        <f t="shared" si="14"/>
        <v/>
      </c>
    </row>
    <row r="313" spans="1:12">
      <c r="A313" s="12" t="s">
        <v>24</v>
      </c>
      <c r="J313" s="652" t="str">
        <f t="shared" si="15"/>
        <v>Devizy</v>
      </c>
      <c r="K313" s="652" t="str">
        <f t="shared" si="16"/>
        <v/>
      </c>
      <c r="L313" s="652" t="str">
        <f t="shared" si="14"/>
        <v/>
      </c>
    </row>
    <row r="314" spans="1:12">
      <c r="A314" s="12" t="s">
        <v>24</v>
      </c>
      <c r="J314" s="652" t="str">
        <f t="shared" si="15"/>
        <v>Devizy</v>
      </c>
      <c r="K314" s="652" t="str">
        <f t="shared" si="16"/>
        <v/>
      </c>
      <c r="L314" s="652" t="str">
        <f t="shared" si="14"/>
        <v/>
      </c>
    </row>
    <row r="315" spans="1:12">
      <c r="A315" s="12"/>
      <c r="J315" s="652" t="str">
        <f t="shared" si="15"/>
        <v>Devizy</v>
      </c>
      <c r="K315" s="652" t="str">
        <f t="shared" si="16"/>
        <v/>
      </c>
      <c r="L315" s="652" t="str">
        <f t="shared" si="14"/>
        <v/>
      </c>
    </row>
    <row r="316" spans="1:12">
      <c r="A316" s="12" t="s">
        <v>24</v>
      </c>
      <c r="J316" s="652" t="str">
        <f t="shared" si="15"/>
        <v>Devizy</v>
      </c>
      <c r="K316" s="652" t="str">
        <f t="shared" si="16"/>
        <v/>
      </c>
      <c r="L316" s="652" t="str">
        <f t="shared" si="14"/>
        <v/>
      </c>
    </row>
    <row r="317" spans="1:12">
      <c r="A317" s="12" t="s">
        <v>24</v>
      </c>
      <c r="J317" s="652" t="str">
        <f t="shared" si="15"/>
        <v>Devizy</v>
      </c>
      <c r="K317" s="652" t="str">
        <f t="shared" si="16"/>
        <v/>
      </c>
      <c r="L317" s="652" t="str">
        <f t="shared" si="14"/>
        <v/>
      </c>
    </row>
    <row r="318" spans="1:12">
      <c r="A318" s="12" t="s">
        <v>24</v>
      </c>
      <c r="J318" s="652" t="str">
        <f t="shared" si="15"/>
        <v>Devizy</v>
      </c>
      <c r="K318" s="652" t="str">
        <f t="shared" si="16"/>
        <v/>
      </c>
      <c r="L318" s="652" t="str">
        <f t="shared" si="14"/>
        <v/>
      </c>
    </row>
    <row r="319" spans="1:12">
      <c r="A319" s="12" t="s">
        <v>24</v>
      </c>
      <c r="J319" s="652" t="str">
        <f t="shared" si="15"/>
        <v>Devizy</v>
      </c>
      <c r="K319" s="652" t="str">
        <f t="shared" si="16"/>
        <v/>
      </c>
      <c r="L319" s="652" t="str">
        <f t="shared" si="14"/>
        <v/>
      </c>
    </row>
    <row r="320" spans="1:12">
      <c r="A320" s="12" t="s">
        <v>24</v>
      </c>
      <c r="J320" s="652" t="str">
        <f t="shared" si="15"/>
        <v>Devizy</v>
      </c>
      <c r="K320" s="652" t="str">
        <f t="shared" si="16"/>
        <v/>
      </c>
      <c r="L320" s="652" t="str">
        <f t="shared" si="14"/>
        <v/>
      </c>
    </row>
    <row r="321" spans="1:12">
      <c r="A321" s="12" t="s">
        <v>24</v>
      </c>
      <c r="J321" s="652" t="str">
        <f t="shared" si="15"/>
        <v>Devizy</v>
      </c>
      <c r="K321" s="652" t="str">
        <f t="shared" si="16"/>
        <v/>
      </c>
      <c r="L321" s="652" t="str">
        <f t="shared" si="14"/>
        <v/>
      </c>
    </row>
    <row r="322" spans="1:12">
      <c r="A322" s="12" t="s">
        <v>24</v>
      </c>
      <c r="J322" s="652" t="str">
        <f t="shared" si="15"/>
        <v>Devizy</v>
      </c>
      <c r="K322" s="652" t="str">
        <f t="shared" si="16"/>
        <v/>
      </c>
      <c r="L322" s="652" t="str">
        <f t="shared" si="14"/>
        <v/>
      </c>
    </row>
    <row r="323" spans="1:12">
      <c r="A323" s="12"/>
      <c r="J323" s="652" t="str">
        <f t="shared" si="15"/>
        <v>Devizy</v>
      </c>
      <c r="K323" s="652" t="str">
        <f t="shared" si="16"/>
        <v/>
      </c>
      <c r="L323" s="652" t="str">
        <f t="shared" si="14"/>
        <v/>
      </c>
    </row>
    <row r="324" spans="1:12">
      <c r="A324" s="12" t="s">
        <v>24</v>
      </c>
      <c r="J324" s="652" t="str">
        <f t="shared" si="15"/>
        <v>Devizy</v>
      </c>
      <c r="K324" s="652" t="str">
        <f t="shared" si="16"/>
        <v/>
      </c>
      <c r="L324" s="652" t="str">
        <f t="shared" si="14"/>
        <v/>
      </c>
    </row>
    <row r="325" spans="1:12">
      <c r="A325" s="12" t="s">
        <v>24</v>
      </c>
      <c r="J325" s="652" t="str">
        <f t="shared" si="15"/>
        <v>Devizy</v>
      </c>
      <c r="K325" s="652" t="str">
        <f t="shared" si="16"/>
        <v/>
      </c>
      <c r="L325" s="652" t="str">
        <f t="shared" ref="L325:L388" si="17">IFERROR(K325+M325,"")</f>
        <v/>
      </c>
    </row>
    <row r="326" spans="1:12">
      <c r="A326" s="12" t="s">
        <v>24</v>
      </c>
      <c r="J326" s="652" t="str">
        <f t="shared" si="15"/>
        <v>Devizy</v>
      </c>
      <c r="K326" s="652" t="str">
        <f t="shared" si="16"/>
        <v/>
      </c>
      <c r="L326" s="652" t="str">
        <f t="shared" si="17"/>
        <v/>
      </c>
    </row>
    <row r="327" spans="1:12">
      <c r="A327" s="12"/>
      <c r="J327" s="652" t="str">
        <f t="shared" si="15"/>
        <v>Devizy</v>
      </c>
      <c r="K327" s="652" t="str">
        <f t="shared" si="16"/>
        <v/>
      </c>
      <c r="L327" s="652" t="str">
        <f t="shared" si="17"/>
        <v/>
      </c>
    </row>
    <row r="328" spans="1:12">
      <c r="A328" s="12" t="s">
        <v>24</v>
      </c>
      <c r="J328" s="652" t="str">
        <f t="shared" si="15"/>
        <v>Devizy</v>
      </c>
      <c r="K328" s="652" t="str">
        <f t="shared" si="16"/>
        <v/>
      </c>
      <c r="L328" s="652" t="str">
        <f t="shared" si="17"/>
        <v/>
      </c>
    </row>
    <row r="329" spans="1:12">
      <c r="A329" s="12" t="s">
        <v>24</v>
      </c>
      <c r="J329" s="652" t="str">
        <f t="shared" si="15"/>
        <v>Devizy</v>
      </c>
      <c r="K329" s="652" t="str">
        <f t="shared" si="16"/>
        <v/>
      </c>
      <c r="L329" s="652" t="str">
        <f t="shared" si="17"/>
        <v/>
      </c>
    </row>
    <row r="330" spans="1:12">
      <c r="A330" s="12" t="s">
        <v>24</v>
      </c>
      <c r="J330" s="652" t="str">
        <f t="shared" si="15"/>
        <v>Devizy</v>
      </c>
      <c r="K330" s="652" t="str">
        <f t="shared" si="16"/>
        <v/>
      </c>
      <c r="L330" s="652" t="str">
        <f t="shared" si="17"/>
        <v/>
      </c>
    </row>
    <row r="331" spans="1:12">
      <c r="A331" s="12" t="s">
        <v>24</v>
      </c>
      <c r="J331" s="652" t="str">
        <f t="shared" si="15"/>
        <v>Devizy</v>
      </c>
      <c r="K331" s="652" t="str">
        <f t="shared" si="16"/>
        <v/>
      </c>
      <c r="L331" s="652" t="str">
        <f t="shared" si="17"/>
        <v/>
      </c>
    </row>
    <row r="332" spans="1:12">
      <c r="A332" s="12" t="s">
        <v>24</v>
      </c>
      <c r="J332" s="652" t="str">
        <f t="shared" si="15"/>
        <v>Devizy</v>
      </c>
      <c r="K332" s="652" t="str">
        <f t="shared" si="16"/>
        <v/>
      </c>
      <c r="L332" s="652" t="str">
        <f t="shared" si="17"/>
        <v/>
      </c>
    </row>
    <row r="333" spans="1:12">
      <c r="A333" s="12" t="s">
        <v>24</v>
      </c>
      <c r="J333" s="652" t="str">
        <f t="shared" si="15"/>
        <v>Devizy</v>
      </c>
      <c r="K333" s="652" t="str">
        <f t="shared" si="16"/>
        <v/>
      </c>
      <c r="L333" s="652" t="str">
        <f t="shared" si="17"/>
        <v/>
      </c>
    </row>
    <row r="334" spans="1:12">
      <c r="A334" s="12" t="s">
        <v>24</v>
      </c>
      <c r="J334" s="652" t="str">
        <f t="shared" si="15"/>
        <v>Devizy</v>
      </c>
      <c r="K334" s="652" t="str">
        <f t="shared" si="16"/>
        <v/>
      </c>
      <c r="L334" s="652" t="str">
        <f t="shared" si="17"/>
        <v/>
      </c>
    </row>
    <row r="335" spans="1:12">
      <c r="A335" s="12" t="s">
        <v>24</v>
      </c>
      <c r="J335" s="652" t="str">
        <f t="shared" si="15"/>
        <v>Devizy</v>
      </c>
      <c r="K335" s="652" t="str">
        <f t="shared" si="16"/>
        <v/>
      </c>
      <c r="L335" s="652" t="str">
        <f t="shared" si="17"/>
        <v/>
      </c>
    </row>
    <row r="336" spans="1:12">
      <c r="A336" s="12" t="s">
        <v>24</v>
      </c>
      <c r="J336" s="652" t="str">
        <f t="shared" si="15"/>
        <v>Devizy</v>
      </c>
      <c r="K336" s="652" t="str">
        <f t="shared" si="16"/>
        <v/>
      </c>
      <c r="L336" s="652" t="str">
        <f t="shared" si="17"/>
        <v/>
      </c>
    </row>
    <row r="337" spans="1:12">
      <c r="A337" s="12"/>
      <c r="J337" s="652" t="str">
        <f t="shared" si="15"/>
        <v>Devizy</v>
      </c>
      <c r="K337" s="652" t="str">
        <f t="shared" si="16"/>
        <v/>
      </c>
      <c r="L337" s="652" t="str">
        <f t="shared" si="17"/>
        <v/>
      </c>
    </row>
    <row r="338" spans="1:12">
      <c r="A338" s="12" t="s">
        <v>24</v>
      </c>
      <c r="J338" s="652" t="str">
        <f t="shared" si="15"/>
        <v>Devizy</v>
      </c>
      <c r="K338" s="652" t="str">
        <f t="shared" si="16"/>
        <v/>
      </c>
      <c r="L338" s="652" t="str">
        <f t="shared" si="17"/>
        <v/>
      </c>
    </row>
    <row r="339" spans="1:12">
      <c r="A339" s="12" t="s">
        <v>24</v>
      </c>
      <c r="J339" s="652" t="str">
        <f t="shared" si="15"/>
        <v>Devizy</v>
      </c>
      <c r="K339" s="652" t="str">
        <f t="shared" si="16"/>
        <v/>
      </c>
      <c r="L339" s="652" t="str">
        <f t="shared" si="17"/>
        <v/>
      </c>
    </row>
    <row r="340" spans="1:12">
      <c r="A340" s="12" t="s">
        <v>24</v>
      </c>
      <c r="J340" s="652" t="str">
        <f t="shared" si="15"/>
        <v>Devizy</v>
      </c>
      <c r="K340" s="652" t="str">
        <f t="shared" si="16"/>
        <v/>
      </c>
      <c r="L340" s="652" t="str">
        <f t="shared" si="17"/>
        <v/>
      </c>
    </row>
    <row r="341" spans="1:12">
      <c r="A341" s="12" t="s">
        <v>24</v>
      </c>
      <c r="J341" s="652" t="str">
        <f t="shared" si="15"/>
        <v>Devizy</v>
      </c>
      <c r="K341" s="652" t="str">
        <f t="shared" si="16"/>
        <v/>
      </c>
      <c r="L341" s="652" t="str">
        <f t="shared" si="17"/>
        <v/>
      </c>
    </row>
    <row r="342" spans="1:12">
      <c r="A342" s="12" t="s">
        <v>24</v>
      </c>
      <c r="J342" s="652" t="str">
        <f t="shared" ref="J342:J405" si="18">IF(OR(A351="Devizy",J341="Devizy"),"Devizy","")</f>
        <v>Devizy</v>
      </c>
      <c r="K342" s="652" t="str">
        <f t="shared" si="16"/>
        <v/>
      </c>
      <c r="L342" s="652" t="str">
        <f t="shared" si="17"/>
        <v/>
      </c>
    </row>
    <row r="343" spans="1:12">
      <c r="A343" s="12" t="s">
        <v>24</v>
      </c>
      <c r="J343" s="652" t="str">
        <f t="shared" si="18"/>
        <v>Devizy</v>
      </c>
      <c r="K343" s="652" t="str">
        <f t="shared" ref="K343:K406" si="19">IFERROR(IF(AND(J343="Devizy",FIND("Nakupujeme ",A351)=1),RIGHT(A351,7),""),"")</f>
        <v/>
      </c>
      <c r="L343" s="652" t="str">
        <f t="shared" si="17"/>
        <v/>
      </c>
    </row>
    <row r="344" spans="1:12">
      <c r="A344" s="12" t="s">
        <v>24</v>
      </c>
      <c r="J344" s="652" t="str">
        <f t="shared" si="18"/>
        <v>Devizy</v>
      </c>
      <c r="K344" s="652" t="str">
        <f t="shared" si="19"/>
        <v/>
      </c>
      <c r="L344" s="652" t="str">
        <f t="shared" si="17"/>
        <v/>
      </c>
    </row>
    <row r="345" spans="1:12">
      <c r="A345" s="12" t="s">
        <v>24</v>
      </c>
      <c r="J345" s="652" t="str">
        <f t="shared" si="18"/>
        <v>Devizy</v>
      </c>
      <c r="K345" s="652" t="str">
        <f t="shared" si="19"/>
        <v/>
      </c>
      <c r="L345" s="652" t="str">
        <f t="shared" si="17"/>
        <v/>
      </c>
    </row>
    <row r="346" spans="1:12">
      <c r="A346" s="12"/>
      <c r="J346" s="652" t="str">
        <f t="shared" si="18"/>
        <v>Devizy</v>
      </c>
      <c r="K346" s="652" t="str">
        <f t="shared" si="19"/>
        <v/>
      </c>
      <c r="L346" s="652" t="str">
        <f t="shared" si="17"/>
        <v/>
      </c>
    </row>
    <row r="347" spans="1:12">
      <c r="A347" s="12" t="s">
        <v>24</v>
      </c>
      <c r="J347" s="652" t="str">
        <f t="shared" si="18"/>
        <v>Devizy</v>
      </c>
      <c r="K347" s="652" t="str">
        <f t="shared" si="19"/>
        <v/>
      </c>
      <c r="L347" s="652" t="str">
        <f t="shared" si="17"/>
        <v/>
      </c>
    </row>
    <row r="348" spans="1:12">
      <c r="A348" s="12" t="s">
        <v>24</v>
      </c>
      <c r="J348" s="652" t="str">
        <f t="shared" si="18"/>
        <v>Devizy</v>
      </c>
      <c r="K348" s="652" t="str">
        <f t="shared" si="19"/>
        <v/>
      </c>
      <c r="L348" s="652" t="str">
        <f t="shared" si="17"/>
        <v/>
      </c>
    </row>
    <row r="349" spans="1:12">
      <c r="A349" s="12" t="s">
        <v>24</v>
      </c>
      <c r="J349" s="652" t="str">
        <f t="shared" si="18"/>
        <v>Devizy</v>
      </c>
      <c r="K349" s="652" t="str">
        <f t="shared" si="19"/>
        <v/>
      </c>
      <c r="L349" s="652" t="str">
        <f t="shared" si="17"/>
        <v/>
      </c>
    </row>
    <row r="350" spans="1:12">
      <c r="A350" s="12" t="s">
        <v>24</v>
      </c>
      <c r="J350" s="652" t="str">
        <f t="shared" si="18"/>
        <v>Devizy</v>
      </c>
      <c r="K350" s="652" t="str">
        <f t="shared" si="19"/>
        <v/>
      </c>
      <c r="L350" s="652" t="str">
        <f t="shared" si="17"/>
        <v/>
      </c>
    </row>
    <row r="351" spans="1:12">
      <c r="A351" s="12" t="s">
        <v>24</v>
      </c>
      <c r="J351" s="652" t="str">
        <f t="shared" si="18"/>
        <v>Devizy</v>
      </c>
      <c r="K351" s="652" t="str">
        <f t="shared" si="19"/>
        <v/>
      </c>
      <c r="L351" s="652" t="str">
        <f t="shared" si="17"/>
        <v/>
      </c>
    </row>
    <row r="352" spans="1:12">
      <c r="A352" s="12" t="s">
        <v>24</v>
      </c>
      <c r="J352" s="652" t="str">
        <f t="shared" si="18"/>
        <v>Devizy</v>
      </c>
      <c r="K352" s="652" t="str">
        <f t="shared" si="19"/>
        <v/>
      </c>
      <c r="L352" s="652" t="str">
        <f t="shared" si="17"/>
        <v/>
      </c>
    </row>
    <row r="353" spans="1:12">
      <c r="A353" s="12" t="s">
        <v>24</v>
      </c>
      <c r="J353" s="652" t="str">
        <f t="shared" si="18"/>
        <v>Devizy</v>
      </c>
      <c r="K353" s="652" t="str">
        <f t="shared" si="19"/>
        <v/>
      </c>
      <c r="L353" s="652" t="str">
        <f t="shared" si="17"/>
        <v/>
      </c>
    </row>
    <row r="354" spans="1:12">
      <c r="A354" s="12" t="s">
        <v>24</v>
      </c>
      <c r="J354" s="652" t="str">
        <f t="shared" si="18"/>
        <v>Devizy</v>
      </c>
      <c r="K354" s="652" t="str">
        <f t="shared" si="19"/>
        <v/>
      </c>
      <c r="L354" s="652" t="str">
        <f t="shared" si="17"/>
        <v/>
      </c>
    </row>
    <row r="355" spans="1:12">
      <c r="A355" s="12" t="s">
        <v>24</v>
      </c>
      <c r="J355" s="652" t="str">
        <f t="shared" si="18"/>
        <v>Devizy</v>
      </c>
      <c r="K355" s="652" t="str">
        <f t="shared" si="19"/>
        <v/>
      </c>
      <c r="L355" s="652" t="str">
        <f t="shared" si="17"/>
        <v/>
      </c>
    </row>
    <row r="356" spans="1:12">
      <c r="A356" s="12" t="s">
        <v>24</v>
      </c>
      <c r="J356" s="652" t="str">
        <f t="shared" si="18"/>
        <v>Devizy</v>
      </c>
      <c r="K356" s="652" t="str">
        <f t="shared" si="19"/>
        <v/>
      </c>
      <c r="L356" s="652" t="str">
        <f t="shared" si="17"/>
        <v/>
      </c>
    </row>
    <row r="357" spans="1:12">
      <c r="A357" s="12" t="s">
        <v>24</v>
      </c>
      <c r="J357" s="652" t="str">
        <f t="shared" si="18"/>
        <v>Devizy</v>
      </c>
      <c r="K357" s="652" t="str">
        <f t="shared" si="19"/>
        <v/>
      </c>
      <c r="L357" s="652" t="str">
        <f t="shared" si="17"/>
        <v/>
      </c>
    </row>
    <row r="358" spans="1:12">
      <c r="A358" s="12" t="s">
        <v>24</v>
      </c>
      <c r="J358" s="652" t="str">
        <f t="shared" si="18"/>
        <v>Devizy</v>
      </c>
      <c r="K358" s="652" t="str">
        <f t="shared" si="19"/>
        <v/>
      </c>
      <c r="L358" s="652" t="str">
        <f t="shared" si="17"/>
        <v/>
      </c>
    </row>
    <row r="359" spans="1:12">
      <c r="A359" s="12" t="s">
        <v>24</v>
      </c>
      <c r="J359" s="652" t="str">
        <f t="shared" si="18"/>
        <v>Devizy</v>
      </c>
      <c r="K359" s="652" t="str">
        <f t="shared" si="19"/>
        <v/>
      </c>
      <c r="L359" s="652" t="str">
        <f t="shared" si="17"/>
        <v/>
      </c>
    </row>
    <row r="360" spans="1:12">
      <c r="A360" s="12" t="s">
        <v>24</v>
      </c>
      <c r="J360" s="652" t="str">
        <f t="shared" si="18"/>
        <v>Devizy</v>
      </c>
      <c r="K360" s="652" t="str">
        <f t="shared" si="19"/>
        <v/>
      </c>
      <c r="L360" s="652" t="str">
        <f t="shared" si="17"/>
        <v/>
      </c>
    </row>
    <row r="361" spans="1:12">
      <c r="A361" s="12" t="s">
        <v>24</v>
      </c>
      <c r="J361" s="652" t="str">
        <f t="shared" si="18"/>
        <v>Devizy</v>
      </c>
      <c r="K361" s="652" t="str">
        <f t="shared" si="19"/>
        <v/>
      </c>
      <c r="L361" s="652" t="str">
        <f t="shared" si="17"/>
        <v/>
      </c>
    </row>
    <row r="362" spans="1:12">
      <c r="A362" s="12" t="s">
        <v>24</v>
      </c>
      <c r="J362" s="652" t="str">
        <f t="shared" si="18"/>
        <v>Devizy</v>
      </c>
      <c r="K362" s="652" t="str">
        <f t="shared" si="19"/>
        <v/>
      </c>
      <c r="L362" s="652" t="str">
        <f t="shared" si="17"/>
        <v/>
      </c>
    </row>
    <row r="363" spans="1:12">
      <c r="A363" s="12" t="s">
        <v>24</v>
      </c>
      <c r="J363" s="652" t="str">
        <f t="shared" si="18"/>
        <v>Devizy</v>
      </c>
      <c r="K363" s="652" t="str">
        <f t="shared" si="19"/>
        <v/>
      </c>
      <c r="L363" s="652" t="str">
        <f t="shared" si="17"/>
        <v/>
      </c>
    </row>
    <row r="364" spans="1:12">
      <c r="A364" s="12" t="s">
        <v>24</v>
      </c>
      <c r="J364" s="652" t="str">
        <f t="shared" si="18"/>
        <v>Devizy</v>
      </c>
      <c r="K364" s="652" t="str">
        <f t="shared" si="19"/>
        <v/>
      </c>
      <c r="L364" s="652" t="str">
        <f t="shared" si="17"/>
        <v/>
      </c>
    </row>
    <row r="365" spans="1:12">
      <c r="A365" s="12" t="s">
        <v>24</v>
      </c>
      <c r="J365" s="652" t="str">
        <f t="shared" si="18"/>
        <v>Devizy</v>
      </c>
      <c r="K365" s="652" t="str">
        <f t="shared" si="19"/>
        <v/>
      </c>
      <c r="L365" s="652" t="str">
        <f t="shared" si="17"/>
        <v/>
      </c>
    </row>
    <row r="366" spans="1:12">
      <c r="A366" s="12" t="s">
        <v>24</v>
      </c>
      <c r="J366" s="652" t="str">
        <f t="shared" si="18"/>
        <v>Devizy</v>
      </c>
      <c r="K366" s="652" t="str">
        <f t="shared" si="19"/>
        <v/>
      </c>
      <c r="L366" s="652" t="str">
        <f t="shared" si="17"/>
        <v/>
      </c>
    </row>
    <row r="367" spans="1:12">
      <c r="A367" s="12" t="s">
        <v>24</v>
      </c>
      <c r="J367" s="652" t="str">
        <f t="shared" si="18"/>
        <v>Devizy</v>
      </c>
      <c r="K367" s="652" t="str">
        <f t="shared" si="19"/>
        <v/>
      </c>
      <c r="L367" s="652" t="str">
        <f t="shared" si="17"/>
        <v/>
      </c>
    </row>
    <row r="368" spans="1:12">
      <c r="A368" s="12" t="s">
        <v>24</v>
      </c>
      <c r="J368" s="652" t="str">
        <f t="shared" si="18"/>
        <v>Devizy</v>
      </c>
      <c r="K368" s="652" t="str">
        <f t="shared" si="19"/>
        <v/>
      </c>
      <c r="L368" s="652" t="str">
        <f t="shared" si="17"/>
        <v/>
      </c>
    </row>
    <row r="369" spans="1:12">
      <c r="A369" s="12" t="s">
        <v>24</v>
      </c>
      <c r="J369" s="652" t="str">
        <f t="shared" si="18"/>
        <v>Devizy</v>
      </c>
      <c r="K369" s="652" t="str">
        <f t="shared" si="19"/>
        <v/>
      </c>
      <c r="L369" s="652" t="str">
        <f t="shared" si="17"/>
        <v/>
      </c>
    </row>
    <row r="370" spans="1:12">
      <c r="A370" s="12" t="s">
        <v>24</v>
      </c>
      <c r="J370" s="652" t="str">
        <f t="shared" si="18"/>
        <v>Devizy</v>
      </c>
      <c r="K370" s="652" t="str">
        <f t="shared" si="19"/>
        <v/>
      </c>
      <c r="L370" s="652" t="str">
        <f t="shared" si="17"/>
        <v/>
      </c>
    </row>
    <row r="371" spans="1:12">
      <c r="A371" s="12" t="s">
        <v>24</v>
      </c>
      <c r="J371" s="652" t="str">
        <f t="shared" si="18"/>
        <v>Devizy</v>
      </c>
      <c r="K371" s="652" t="str">
        <f t="shared" si="19"/>
        <v/>
      </c>
      <c r="L371" s="652" t="str">
        <f t="shared" si="17"/>
        <v/>
      </c>
    </row>
    <row r="372" spans="1:12">
      <c r="A372" s="12" t="s">
        <v>24</v>
      </c>
      <c r="J372" s="652" t="str">
        <f t="shared" si="18"/>
        <v>Devizy</v>
      </c>
      <c r="K372" s="652" t="str">
        <f t="shared" si="19"/>
        <v/>
      </c>
      <c r="L372" s="652" t="str">
        <f t="shared" si="17"/>
        <v/>
      </c>
    </row>
    <row r="373" spans="1:12">
      <c r="A373" s="12" t="s">
        <v>24</v>
      </c>
      <c r="J373" s="652" t="str">
        <f t="shared" si="18"/>
        <v>Devizy</v>
      </c>
      <c r="K373" s="652" t="str">
        <f t="shared" si="19"/>
        <v/>
      </c>
      <c r="L373" s="652" t="str">
        <f t="shared" si="17"/>
        <v/>
      </c>
    </row>
    <row r="374" spans="1:12">
      <c r="A374" s="12" t="s">
        <v>24</v>
      </c>
      <c r="J374" s="652" t="str">
        <f t="shared" si="18"/>
        <v>Devizy</v>
      </c>
      <c r="K374" s="652" t="str">
        <f t="shared" si="19"/>
        <v/>
      </c>
      <c r="L374" s="652" t="str">
        <f t="shared" si="17"/>
        <v/>
      </c>
    </row>
    <row r="375" spans="1:12">
      <c r="A375" s="12" t="s">
        <v>24</v>
      </c>
      <c r="J375" s="652" t="str">
        <f t="shared" si="18"/>
        <v>Devizy</v>
      </c>
      <c r="K375" s="652" t="str">
        <f t="shared" si="19"/>
        <v/>
      </c>
      <c r="L375" s="652" t="str">
        <f t="shared" si="17"/>
        <v/>
      </c>
    </row>
    <row r="376" spans="1:12">
      <c r="A376" s="12" t="s">
        <v>24</v>
      </c>
      <c r="J376" s="652" t="str">
        <f t="shared" si="18"/>
        <v>Devizy</v>
      </c>
      <c r="K376" s="652" t="str">
        <f t="shared" si="19"/>
        <v/>
      </c>
      <c r="L376" s="652" t="str">
        <f t="shared" si="17"/>
        <v/>
      </c>
    </row>
    <row r="377" spans="1:12">
      <c r="A377" s="12" t="s">
        <v>24</v>
      </c>
      <c r="J377" s="652" t="str">
        <f t="shared" si="18"/>
        <v>Devizy</v>
      </c>
      <c r="K377" s="652" t="str">
        <f t="shared" si="19"/>
        <v/>
      </c>
      <c r="L377" s="652" t="str">
        <f t="shared" si="17"/>
        <v/>
      </c>
    </row>
    <row r="378" spans="1:12">
      <c r="A378" s="12" t="s">
        <v>24</v>
      </c>
      <c r="J378" s="652" t="str">
        <f t="shared" si="18"/>
        <v>Devizy</v>
      </c>
      <c r="K378" s="652" t="str">
        <f t="shared" si="19"/>
        <v/>
      </c>
      <c r="L378" s="652" t="str">
        <f t="shared" si="17"/>
        <v/>
      </c>
    </row>
    <row r="379" spans="1:12">
      <c r="A379" s="12" t="s">
        <v>24</v>
      </c>
      <c r="J379" s="652" t="str">
        <f t="shared" si="18"/>
        <v>Devizy</v>
      </c>
      <c r="K379" s="652" t="str">
        <f t="shared" si="19"/>
        <v/>
      </c>
      <c r="L379" s="652" t="str">
        <f t="shared" si="17"/>
        <v/>
      </c>
    </row>
    <row r="380" spans="1:12">
      <c r="A380" s="12" t="s">
        <v>24</v>
      </c>
      <c r="J380" s="652" t="str">
        <f t="shared" si="18"/>
        <v>Devizy</v>
      </c>
      <c r="K380" s="652" t="str">
        <f t="shared" si="19"/>
        <v/>
      </c>
      <c r="L380" s="652" t="str">
        <f t="shared" si="17"/>
        <v/>
      </c>
    </row>
    <row r="381" spans="1:12">
      <c r="A381" s="12" t="s">
        <v>24</v>
      </c>
      <c r="J381" s="652" t="str">
        <f t="shared" si="18"/>
        <v>Devizy</v>
      </c>
      <c r="K381" s="652" t="str">
        <f t="shared" si="19"/>
        <v/>
      </c>
      <c r="L381" s="652" t="str">
        <f t="shared" si="17"/>
        <v/>
      </c>
    </row>
    <row r="382" spans="1:12">
      <c r="A382" s="12" t="s">
        <v>24</v>
      </c>
      <c r="J382" s="652" t="str">
        <f t="shared" si="18"/>
        <v>Devizy</v>
      </c>
      <c r="K382" s="652" t="str">
        <f t="shared" si="19"/>
        <v/>
      </c>
      <c r="L382" s="652" t="str">
        <f t="shared" si="17"/>
        <v/>
      </c>
    </row>
    <row r="383" spans="1:12">
      <c r="A383" s="12" t="s">
        <v>24</v>
      </c>
      <c r="J383" s="652" t="str">
        <f t="shared" si="18"/>
        <v>Devizy</v>
      </c>
      <c r="K383" s="652" t="str">
        <f t="shared" si="19"/>
        <v/>
      </c>
      <c r="L383" s="652" t="str">
        <f t="shared" si="17"/>
        <v/>
      </c>
    </row>
    <row r="384" spans="1:12">
      <c r="A384" s="12" t="s">
        <v>24</v>
      </c>
      <c r="J384" s="652" t="str">
        <f t="shared" si="18"/>
        <v>Devizy</v>
      </c>
      <c r="K384" s="652" t="str">
        <f t="shared" si="19"/>
        <v/>
      </c>
      <c r="L384" s="652" t="str">
        <f t="shared" si="17"/>
        <v/>
      </c>
    </row>
    <row r="385" spans="1:12">
      <c r="A385" s="12" t="s">
        <v>24</v>
      </c>
      <c r="J385" s="652" t="str">
        <f t="shared" si="18"/>
        <v>Devizy</v>
      </c>
      <c r="K385" s="652" t="str">
        <f t="shared" si="19"/>
        <v/>
      </c>
      <c r="L385" s="652" t="str">
        <f t="shared" si="17"/>
        <v/>
      </c>
    </row>
    <row r="386" spans="1:12">
      <c r="A386" s="12" t="s">
        <v>24</v>
      </c>
      <c r="J386" s="652" t="str">
        <f t="shared" si="18"/>
        <v>Devizy</v>
      </c>
      <c r="K386" s="652" t="str">
        <f t="shared" si="19"/>
        <v/>
      </c>
      <c r="L386" s="652" t="str">
        <f t="shared" si="17"/>
        <v/>
      </c>
    </row>
    <row r="387" spans="1:12">
      <c r="A387" s="12" t="s">
        <v>24</v>
      </c>
      <c r="J387" s="652" t="str">
        <f t="shared" si="18"/>
        <v>Devizy</v>
      </c>
      <c r="K387" s="652" t="str">
        <f t="shared" si="19"/>
        <v/>
      </c>
      <c r="L387" s="652" t="str">
        <f t="shared" si="17"/>
        <v/>
      </c>
    </row>
    <row r="388" spans="1:12">
      <c r="A388" s="12" t="s">
        <v>24</v>
      </c>
      <c r="J388" s="652" t="str">
        <f t="shared" si="18"/>
        <v>Devizy</v>
      </c>
      <c r="K388" s="652" t="str">
        <f t="shared" si="19"/>
        <v/>
      </c>
      <c r="L388" s="652" t="str">
        <f t="shared" si="17"/>
        <v/>
      </c>
    </row>
    <row r="389" spans="1:12">
      <c r="A389" s="12" t="s">
        <v>24</v>
      </c>
      <c r="J389" s="652" t="str">
        <f t="shared" si="18"/>
        <v>Devizy</v>
      </c>
      <c r="K389" s="652" t="str">
        <f t="shared" si="19"/>
        <v/>
      </c>
      <c r="L389" s="652" t="str">
        <f t="shared" ref="L389:L452" si="20">IFERROR(K389+M389,"")</f>
        <v/>
      </c>
    </row>
    <row r="390" spans="1:12">
      <c r="A390" s="12" t="s">
        <v>24</v>
      </c>
      <c r="J390" s="652" t="str">
        <f t="shared" si="18"/>
        <v>Devizy</v>
      </c>
      <c r="K390" s="652" t="str">
        <f t="shared" si="19"/>
        <v/>
      </c>
      <c r="L390" s="652" t="str">
        <f t="shared" si="20"/>
        <v/>
      </c>
    </row>
    <row r="391" spans="1:12">
      <c r="A391" s="12" t="s">
        <v>24</v>
      </c>
      <c r="J391" s="652" t="str">
        <f t="shared" si="18"/>
        <v>Devizy</v>
      </c>
      <c r="K391" s="652" t="str">
        <f t="shared" si="19"/>
        <v/>
      </c>
      <c r="L391" s="652" t="str">
        <f t="shared" si="20"/>
        <v/>
      </c>
    </row>
    <row r="392" spans="1:12">
      <c r="A392" s="12" t="s">
        <v>24</v>
      </c>
      <c r="J392" s="652" t="str">
        <f t="shared" si="18"/>
        <v>Devizy</v>
      </c>
      <c r="K392" s="652" t="str">
        <f t="shared" si="19"/>
        <v/>
      </c>
      <c r="L392" s="652" t="str">
        <f t="shared" si="20"/>
        <v/>
      </c>
    </row>
    <row r="393" spans="1:12">
      <c r="A393" s="12" t="s">
        <v>24</v>
      </c>
      <c r="J393" s="652" t="str">
        <f t="shared" si="18"/>
        <v>Devizy</v>
      </c>
      <c r="K393" s="652" t="str">
        <f t="shared" si="19"/>
        <v/>
      </c>
      <c r="L393" s="652" t="str">
        <f t="shared" si="20"/>
        <v/>
      </c>
    </row>
    <row r="394" spans="1:12">
      <c r="A394" s="12" t="s">
        <v>24</v>
      </c>
      <c r="J394" s="652" t="str">
        <f t="shared" si="18"/>
        <v>Devizy</v>
      </c>
      <c r="K394" s="652" t="str">
        <f t="shared" si="19"/>
        <v/>
      </c>
      <c r="L394" s="652" t="str">
        <f t="shared" si="20"/>
        <v/>
      </c>
    </row>
    <row r="395" spans="1:12">
      <c r="A395" s="12" t="s">
        <v>24</v>
      </c>
      <c r="J395" s="652" t="str">
        <f t="shared" si="18"/>
        <v>Devizy</v>
      </c>
      <c r="K395" s="652" t="str">
        <f t="shared" si="19"/>
        <v/>
      </c>
      <c r="L395" s="652" t="str">
        <f t="shared" si="20"/>
        <v/>
      </c>
    </row>
    <row r="396" spans="1:12">
      <c r="A396" s="12" t="s">
        <v>24</v>
      </c>
      <c r="J396" s="652" t="str">
        <f t="shared" si="18"/>
        <v>Devizy</v>
      </c>
      <c r="K396" s="652" t="str">
        <f t="shared" si="19"/>
        <v/>
      </c>
      <c r="L396" s="652" t="str">
        <f t="shared" si="20"/>
        <v/>
      </c>
    </row>
    <row r="397" spans="1:12">
      <c r="A397" s="12" t="s">
        <v>24</v>
      </c>
      <c r="J397" s="652" t="str">
        <f t="shared" si="18"/>
        <v>Devizy</v>
      </c>
      <c r="K397" s="652" t="str">
        <f t="shared" si="19"/>
        <v/>
      </c>
      <c r="L397" s="652" t="str">
        <f t="shared" si="20"/>
        <v/>
      </c>
    </row>
    <row r="398" spans="1:12">
      <c r="A398" s="12" t="s">
        <v>24</v>
      </c>
      <c r="J398" s="652" t="str">
        <f t="shared" si="18"/>
        <v>Devizy</v>
      </c>
      <c r="K398" s="652" t="str">
        <f t="shared" si="19"/>
        <v/>
      </c>
      <c r="L398" s="652" t="str">
        <f t="shared" si="20"/>
        <v/>
      </c>
    </row>
    <row r="399" spans="1:12">
      <c r="A399" s="12"/>
      <c r="J399" s="652" t="str">
        <f t="shared" si="18"/>
        <v>Devizy</v>
      </c>
      <c r="K399" s="652" t="str">
        <f t="shared" si="19"/>
        <v/>
      </c>
      <c r="L399" s="652" t="str">
        <f t="shared" si="20"/>
        <v/>
      </c>
    </row>
    <row r="400" spans="1:12">
      <c r="A400" s="12" t="s">
        <v>24</v>
      </c>
      <c r="J400" s="652" t="str">
        <f t="shared" si="18"/>
        <v>Devizy</v>
      </c>
      <c r="K400" s="652" t="str">
        <f t="shared" si="19"/>
        <v/>
      </c>
      <c r="L400" s="652" t="str">
        <f t="shared" si="20"/>
        <v/>
      </c>
    </row>
    <row r="401" spans="1:12">
      <c r="A401" s="12" t="s">
        <v>24</v>
      </c>
      <c r="J401" s="652" t="str">
        <f t="shared" si="18"/>
        <v>Devizy</v>
      </c>
      <c r="K401" s="652" t="str">
        <f t="shared" si="19"/>
        <v/>
      </c>
      <c r="L401" s="652" t="str">
        <f t="shared" si="20"/>
        <v/>
      </c>
    </row>
    <row r="402" spans="1:12">
      <c r="A402" s="12" t="s">
        <v>24</v>
      </c>
      <c r="J402" s="652" t="str">
        <f t="shared" si="18"/>
        <v>Devizy</v>
      </c>
      <c r="K402" s="652" t="str">
        <f t="shared" si="19"/>
        <v/>
      </c>
      <c r="L402" s="652" t="str">
        <f t="shared" si="20"/>
        <v/>
      </c>
    </row>
    <row r="403" spans="1:12">
      <c r="A403" s="12" t="s">
        <v>24</v>
      </c>
      <c r="J403" s="652" t="str">
        <f t="shared" si="18"/>
        <v>Devizy</v>
      </c>
      <c r="K403" s="652" t="str">
        <f t="shared" si="19"/>
        <v/>
      </c>
      <c r="L403" s="652" t="str">
        <f t="shared" si="20"/>
        <v/>
      </c>
    </row>
    <row r="404" spans="1:12">
      <c r="A404" s="12" t="s">
        <v>24</v>
      </c>
      <c r="J404" s="652" t="str">
        <f t="shared" si="18"/>
        <v>Devizy</v>
      </c>
      <c r="K404" s="652" t="str">
        <f t="shared" si="19"/>
        <v/>
      </c>
      <c r="L404" s="652" t="str">
        <f t="shared" si="20"/>
        <v/>
      </c>
    </row>
    <row r="405" spans="1:12">
      <c r="A405" s="12" t="s">
        <v>24</v>
      </c>
      <c r="J405" s="652" t="str">
        <f t="shared" si="18"/>
        <v>Devizy</v>
      </c>
      <c r="K405" s="652" t="str">
        <f t="shared" si="19"/>
        <v/>
      </c>
      <c r="L405" s="652" t="str">
        <f t="shared" si="20"/>
        <v/>
      </c>
    </row>
    <row r="406" spans="1:12">
      <c r="A406" s="12" t="s">
        <v>24</v>
      </c>
      <c r="J406" s="652" t="str">
        <f t="shared" ref="J406:J469" si="21">IF(OR(A415="Devizy",J405="Devizy"),"Devizy","")</f>
        <v>Devizy</v>
      </c>
      <c r="K406" s="652" t="str">
        <f t="shared" si="19"/>
        <v/>
      </c>
      <c r="L406" s="652" t="str">
        <f t="shared" si="20"/>
        <v/>
      </c>
    </row>
    <row r="407" spans="1:12">
      <c r="A407" s="12" t="s">
        <v>24</v>
      </c>
      <c r="J407" s="652" t="str">
        <f t="shared" si="21"/>
        <v>Devizy</v>
      </c>
      <c r="K407" s="652" t="str">
        <f t="shared" ref="K407:K470" si="22">IFERROR(IF(AND(J407="Devizy",FIND("Nakupujeme ",A415)=1),RIGHT(A415,7),""),"")</f>
        <v/>
      </c>
      <c r="L407" s="652" t="str">
        <f t="shared" si="20"/>
        <v/>
      </c>
    </row>
    <row r="408" spans="1:12">
      <c r="A408" s="12" t="s">
        <v>24</v>
      </c>
      <c r="J408" s="652" t="str">
        <f t="shared" si="21"/>
        <v>Devizy</v>
      </c>
      <c r="K408" s="652" t="str">
        <f t="shared" si="22"/>
        <v/>
      </c>
      <c r="L408" s="652" t="str">
        <f t="shared" si="20"/>
        <v/>
      </c>
    </row>
    <row r="409" spans="1:12">
      <c r="A409" s="12" t="s">
        <v>24</v>
      </c>
      <c r="J409" s="652" t="str">
        <f t="shared" si="21"/>
        <v>Devizy</v>
      </c>
      <c r="K409" s="652" t="str">
        <f t="shared" si="22"/>
        <v/>
      </c>
      <c r="L409" s="652" t="str">
        <f t="shared" si="20"/>
        <v/>
      </c>
    </row>
    <row r="410" spans="1:12">
      <c r="A410" s="12" t="s">
        <v>24</v>
      </c>
      <c r="J410" s="652" t="str">
        <f t="shared" si="21"/>
        <v>Devizy</v>
      </c>
      <c r="K410" s="652" t="str">
        <f t="shared" si="22"/>
        <v/>
      </c>
      <c r="L410" s="652" t="str">
        <f t="shared" si="20"/>
        <v/>
      </c>
    </row>
    <row r="411" spans="1:12">
      <c r="A411" s="12" t="s">
        <v>24</v>
      </c>
      <c r="J411" s="652" t="str">
        <f t="shared" si="21"/>
        <v>Devizy</v>
      </c>
      <c r="K411" s="652" t="str">
        <f t="shared" si="22"/>
        <v/>
      </c>
      <c r="L411" s="652" t="str">
        <f t="shared" si="20"/>
        <v/>
      </c>
    </row>
    <row r="412" spans="1:12">
      <c r="A412" s="12" t="s">
        <v>24</v>
      </c>
      <c r="J412" s="652" t="str">
        <f t="shared" si="21"/>
        <v>Devizy</v>
      </c>
      <c r="K412" s="652" t="str">
        <f t="shared" si="22"/>
        <v/>
      </c>
      <c r="L412" s="652" t="str">
        <f t="shared" si="20"/>
        <v/>
      </c>
    </row>
    <row r="413" spans="1:12">
      <c r="A413" s="12"/>
      <c r="J413" s="652" t="str">
        <f t="shared" si="21"/>
        <v>Devizy</v>
      </c>
      <c r="K413" s="652" t="str">
        <f t="shared" si="22"/>
        <v/>
      </c>
      <c r="L413" s="652" t="str">
        <f t="shared" si="20"/>
        <v/>
      </c>
    </row>
    <row r="414" spans="1:12">
      <c r="A414" s="12" t="s">
        <v>24</v>
      </c>
      <c r="J414" s="652" t="str">
        <f t="shared" si="21"/>
        <v>Devizy</v>
      </c>
      <c r="K414" s="652" t="str">
        <f t="shared" si="22"/>
        <v/>
      </c>
      <c r="L414" s="652" t="str">
        <f t="shared" si="20"/>
        <v/>
      </c>
    </row>
    <row r="415" spans="1:12">
      <c r="A415" s="12" t="s">
        <v>24</v>
      </c>
      <c r="J415" s="652" t="str">
        <f t="shared" si="21"/>
        <v>Devizy</v>
      </c>
      <c r="K415" s="652" t="str">
        <f t="shared" si="22"/>
        <v/>
      </c>
      <c r="L415" s="652" t="str">
        <f t="shared" si="20"/>
        <v/>
      </c>
    </row>
    <row r="416" spans="1:12">
      <c r="A416" s="12" t="s">
        <v>24</v>
      </c>
      <c r="J416" s="652" t="str">
        <f t="shared" si="21"/>
        <v>Devizy</v>
      </c>
      <c r="K416" s="652" t="str">
        <f t="shared" si="22"/>
        <v/>
      </c>
      <c r="L416" s="652" t="str">
        <f t="shared" si="20"/>
        <v/>
      </c>
    </row>
    <row r="417" spans="1:12">
      <c r="A417" s="12" t="s">
        <v>24</v>
      </c>
      <c r="J417" s="652" t="str">
        <f t="shared" si="21"/>
        <v>Devizy</v>
      </c>
      <c r="K417" s="652" t="str">
        <f t="shared" si="22"/>
        <v/>
      </c>
      <c r="L417" s="652" t="str">
        <f t="shared" si="20"/>
        <v/>
      </c>
    </row>
    <row r="418" spans="1:12">
      <c r="A418" s="12" t="s">
        <v>24</v>
      </c>
      <c r="J418" s="652" t="str">
        <f t="shared" si="21"/>
        <v>Devizy</v>
      </c>
      <c r="K418" s="652" t="str">
        <f t="shared" si="22"/>
        <v/>
      </c>
      <c r="L418" s="652" t="str">
        <f t="shared" si="20"/>
        <v/>
      </c>
    </row>
    <row r="419" spans="1:12">
      <c r="A419" s="12" t="s">
        <v>24</v>
      </c>
      <c r="J419" s="652" t="str">
        <f t="shared" si="21"/>
        <v>Devizy</v>
      </c>
      <c r="K419" s="652" t="str">
        <f t="shared" si="22"/>
        <v/>
      </c>
      <c r="L419" s="652" t="str">
        <f t="shared" si="20"/>
        <v/>
      </c>
    </row>
    <row r="420" spans="1:12">
      <c r="A420" s="12" t="s">
        <v>24</v>
      </c>
      <c r="J420" s="652" t="str">
        <f t="shared" si="21"/>
        <v>Devizy</v>
      </c>
      <c r="K420" s="652" t="str">
        <f t="shared" si="22"/>
        <v/>
      </c>
      <c r="L420" s="652" t="str">
        <f t="shared" si="20"/>
        <v/>
      </c>
    </row>
    <row r="421" spans="1:12">
      <c r="A421" s="12" t="s">
        <v>24</v>
      </c>
      <c r="J421" s="652" t="str">
        <f t="shared" si="21"/>
        <v>Devizy</v>
      </c>
      <c r="K421" s="652" t="str">
        <f t="shared" si="22"/>
        <v/>
      </c>
      <c r="L421" s="652" t="str">
        <f t="shared" si="20"/>
        <v/>
      </c>
    </row>
    <row r="422" spans="1:12">
      <c r="A422" s="12" t="s">
        <v>24</v>
      </c>
      <c r="J422" s="652" t="str">
        <f t="shared" si="21"/>
        <v>Devizy</v>
      </c>
      <c r="K422" s="652" t="str">
        <f t="shared" si="22"/>
        <v/>
      </c>
      <c r="L422" s="652" t="str">
        <f t="shared" si="20"/>
        <v/>
      </c>
    </row>
    <row r="423" spans="1:12">
      <c r="A423" s="12" t="s">
        <v>24</v>
      </c>
      <c r="J423" s="652" t="str">
        <f t="shared" si="21"/>
        <v>Devizy</v>
      </c>
      <c r="K423" s="652" t="str">
        <f t="shared" si="22"/>
        <v/>
      </c>
      <c r="L423" s="652" t="str">
        <f t="shared" si="20"/>
        <v/>
      </c>
    </row>
    <row r="424" spans="1:12">
      <c r="A424" s="12" t="s">
        <v>24</v>
      </c>
      <c r="J424" s="652" t="str">
        <f t="shared" si="21"/>
        <v>Devizy</v>
      </c>
      <c r="K424" s="652" t="str">
        <f t="shared" si="22"/>
        <v/>
      </c>
      <c r="L424" s="652" t="str">
        <f t="shared" si="20"/>
        <v/>
      </c>
    </row>
    <row r="425" spans="1:12">
      <c r="A425" s="12" t="s">
        <v>24</v>
      </c>
      <c r="J425" s="652" t="str">
        <f t="shared" si="21"/>
        <v>Devizy</v>
      </c>
      <c r="K425" s="652" t="str">
        <f t="shared" si="22"/>
        <v/>
      </c>
      <c r="L425" s="652" t="str">
        <f t="shared" si="20"/>
        <v/>
      </c>
    </row>
    <row r="426" spans="1:12">
      <c r="A426" s="12" t="s">
        <v>24</v>
      </c>
      <c r="J426" s="652" t="str">
        <f t="shared" si="21"/>
        <v>Devizy</v>
      </c>
      <c r="K426" s="652" t="str">
        <f t="shared" si="22"/>
        <v/>
      </c>
      <c r="L426" s="652" t="str">
        <f t="shared" si="20"/>
        <v/>
      </c>
    </row>
    <row r="427" spans="1:12">
      <c r="A427" s="12" t="s">
        <v>24</v>
      </c>
      <c r="J427" s="652" t="str">
        <f t="shared" si="21"/>
        <v>Devizy</v>
      </c>
      <c r="K427" s="652" t="str">
        <f t="shared" si="22"/>
        <v/>
      </c>
      <c r="L427" s="652" t="str">
        <f t="shared" si="20"/>
        <v/>
      </c>
    </row>
    <row r="428" spans="1:12">
      <c r="A428" s="12" t="s">
        <v>24</v>
      </c>
      <c r="J428" s="652" t="str">
        <f t="shared" si="21"/>
        <v>Devizy</v>
      </c>
      <c r="K428" s="652" t="str">
        <f t="shared" si="22"/>
        <v/>
      </c>
      <c r="L428" s="652" t="str">
        <f t="shared" si="20"/>
        <v/>
      </c>
    </row>
    <row r="429" spans="1:12">
      <c r="A429" s="12" t="s">
        <v>24</v>
      </c>
      <c r="J429" s="652" t="str">
        <f t="shared" si="21"/>
        <v>Devizy</v>
      </c>
      <c r="K429" s="652" t="str">
        <f t="shared" si="22"/>
        <v/>
      </c>
      <c r="L429" s="652" t="str">
        <f t="shared" si="20"/>
        <v/>
      </c>
    </row>
    <row r="430" spans="1:12">
      <c r="A430" s="12"/>
      <c r="J430" s="652" t="str">
        <f t="shared" si="21"/>
        <v>Devizy</v>
      </c>
      <c r="K430" s="652" t="str">
        <f t="shared" si="22"/>
        <v/>
      </c>
      <c r="L430" s="652" t="str">
        <f t="shared" si="20"/>
        <v/>
      </c>
    </row>
    <row r="431" spans="1:12">
      <c r="A431" s="12" t="s">
        <v>24</v>
      </c>
      <c r="J431" s="652" t="str">
        <f t="shared" si="21"/>
        <v>Devizy</v>
      </c>
      <c r="K431" s="652" t="str">
        <f t="shared" si="22"/>
        <v/>
      </c>
      <c r="L431" s="652" t="str">
        <f t="shared" si="20"/>
        <v/>
      </c>
    </row>
    <row r="432" spans="1:12">
      <c r="A432" s="12" t="s">
        <v>24</v>
      </c>
      <c r="J432" s="652" t="str">
        <f t="shared" si="21"/>
        <v>Devizy</v>
      </c>
      <c r="K432" s="652" t="str">
        <f t="shared" si="22"/>
        <v/>
      </c>
      <c r="L432" s="652" t="str">
        <f t="shared" si="20"/>
        <v/>
      </c>
    </row>
    <row r="433" spans="1:12">
      <c r="A433" s="12" t="s">
        <v>24</v>
      </c>
      <c r="J433" s="652" t="str">
        <f t="shared" si="21"/>
        <v>Devizy</v>
      </c>
      <c r="K433" s="652" t="str">
        <f t="shared" si="22"/>
        <v/>
      </c>
      <c r="L433" s="652" t="str">
        <f t="shared" si="20"/>
        <v/>
      </c>
    </row>
    <row r="434" spans="1:12">
      <c r="A434" s="12" t="s">
        <v>24</v>
      </c>
      <c r="J434" s="652" t="str">
        <f t="shared" si="21"/>
        <v>Devizy</v>
      </c>
      <c r="K434" s="652" t="str">
        <f t="shared" si="22"/>
        <v/>
      </c>
      <c r="L434" s="652" t="str">
        <f t="shared" si="20"/>
        <v/>
      </c>
    </row>
    <row r="435" spans="1:12">
      <c r="A435" s="12" t="s">
        <v>24</v>
      </c>
      <c r="J435" s="652" t="str">
        <f t="shared" si="21"/>
        <v>Devizy</v>
      </c>
      <c r="K435" s="652" t="str">
        <f t="shared" si="22"/>
        <v/>
      </c>
      <c r="L435" s="652" t="str">
        <f t="shared" si="20"/>
        <v/>
      </c>
    </row>
    <row r="436" spans="1:12">
      <c r="A436" s="12" t="s">
        <v>24</v>
      </c>
      <c r="J436" s="652" t="str">
        <f t="shared" si="21"/>
        <v>Devizy</v>
      </c>
      <c r="K436" s="652" t="str">
        <f t="shared" si="22"/>
        <v/>
      </c>
      <c r="L436" s="652" t="str">
        <f t="shared" si="20"/>
        <v/>
      </c>
    </row>
    <row r="437" spans="1:12">
      <c r="A437" s="12" t="s">
        <v>24</v>
      </c>
      <c r="J437" s="652" t="str">
        <f t="shared" si="21"/>
        <v>Devizy</v>
      </c>
      <c r="K437" s="652" t="str">
        <f t="shared" si="22"/>
        <v/>
      </c>
      <c r="L437" s="652" t="str">
        <f t="shared" si="20"/>
        <v/>
      </c>
    </row>
    <row r="438" spans="1:12">
      <c r="A438" s="12" t="s">
        <v>24</v>
      </c>
      <c r="J438" s="652" t="str">
        <f t="shared" si="21"/>
        <v>Devizy</v>
      </c>
      <c r="K438" s="652" t="str">
        <f t="shared" si="22"/>
        <v/>
      </c>
      <c r="L438" s="652" t="str">
        <f t="shared" si="20"/>
        <v/>
      </c>
    </row>
    <row r="439" spans="1:12">
      <c r="A439" s="12" t="s">
        <v>24</v>
      </c>
      <c r="J439" s="652" t="str">
        <f t="shared" si="21"/>
        <v>Devizy</v>
      </c>
      <c r="K439" s="652" t="str">
        <f t="shared" si="22"/>
        <v/>
      </c>
      <c r="L439" s="652" t="str">
        <f t="shared" si="20"/>
        <v/>
      </c>
    </row>
    <row r="440" spans="1:12">
      <c r="A440" s="12" t="s">
        <v>24</v>
      </c>
      <c r="J440" s="652" t="str">
        <f t="shared" si="21"/>
        <v>Devizy</v>
      </c>
      <c r="K440" s="652" t="str">
        <f t="shared" si="22"/>
        <v/>
      </c>
      <c r="L440" s="652" t="str">
        <f t="shared" si="20"/>
        <v/>
      </c>
    </row>
    <row r="441" spans="1:12">
      <c r="A441" s="12" t="s">
        <v>24</v>
      </c>
      <c r="J441" s="652" t="str">
        <f t="shared" si="21"/>
        <v>Devizy</v>
      </c>
      <c r="K441" s="652" t="str">
        <f t="shared" si="22"/>
        <v/>
      </c>
      <c r="L441" s="652" t="str">
        <f t="shared" si="20"/>
        <v/>
      </c>
    </row>
    <row r="442" spans="1:12">
      <c r="A442" s="12" t="s">
        <v>24</v>
      </c>
      <c r="J442" s="652" t="str">
        <f t="shared" si="21"/>
        <v>Devizy</v>
      </c>
      <c r="K442" s="652" t="str">
        <f t="shared" si="22"/>
        <v/>
      </c>
      <c r="L442" s="652" t="str">
        <f t="shared" si="20"/>
        <v/>
      </c>
    </row>
    <row r="443" spans="1:12">
      <c r="A443" s="12" t="s">
        <v>24</v>
      </c>
      <c r="J443" s="652" t="str">
        <f t="shared" si="21"/>
        <v>Devizy</v>
      </c>
      <c r="K443" s="652" t="str">
        <f t="shared" si="22"/>
        <v/>
      </c>
      <c r="L443" s="652" t="str">
        <f t="shared" si="20"/>
        <v/>
      </c>
    </row>
    <row r="444" spans="1:12">
      <c r="A444" s="12" t="s">
        <v>24</v>
      </c>
      <c r="J444" s="652" t="str">
        <f t="shared" si="21"/>
        <v>Devizy</v>
      </c>
      <c r="K444" s="652" t="str">
        <f t="shared" si="22"/>
        <v/>
      </c>
      <c r="L444" s="652" t="str">
        <f t="shared" si="20"/>
        <v/>
      </c>
    </row>
    <row r="445" spans="1:12">
      <c r="A445" s="12" t="s">
        <v>24</v>
      </c>
      <c r="J445" s="652" t="str">
        <f t="shared" si="21"/>
        <v>Devizy</v>
      </c>
      <c r="K445" s="652" t="str">
        <f t="shared" si="22"/>
        <v/>
      </c>
      <c r="L445" s="652" t="str">
        <f t="shared" si="20"/>
        <v/>
      </c>
    </row>
    <row r="446" spans="1:12">
      <c r="A446" s="12" t="s">
        <v>24</v>
      </c>
      <c r="J446" s="652" t="str">
        <f t="shared" si="21"/>
        <v>Devizy</v>
      </c>
      <c r="K446" s="652" t="str">
        <f t="shared" si="22"/>
        <v/>
      </c>
      <c r="L446" s="652" t="str">
        <f t="shared" si="20"/>
        <v/>
      </c>
    </row>
    <row r="447" spans="1:12">
      <c r="A447" s="12" t="s">
        <v>24</v>
      </c>
      <c r="J447" s="652" t="str">
        <f t="shared" si="21"/>
        <v>Devizy</v>
      </c>
      <c r="K447" s="652" t="str">
        <f t="shared" si="22"/>
        <v/>
      </c>
      <c r="L447" s="652" t="str">
        <f t="shared" si="20"/>
        <v/>
      </c>
    </row>
    <row r="448" spans="1:12">
      <c r="A448" s="12" t="s">
        <v>24</v>
      </c>
      <c r="J448" s="652" t="str">
        <f t="shared" si="21"/>
        <v>Devizy</v>
      </c>
      <c r="K448" s="652" t="str">
        <f t="shared" si="22"/>
        <v/>
      </c>
      <c r="L448" s="652" t="str">
        <f t="shared" si="20"/>
        <v/>
      </c>
    </row>
    <row r="449" spans="1:12">
      <c r="A449" s="12"/>
      <c r="J449" s="652" t="str">
        <f t="shared" si="21"/>
        <v>Devizy</v>
      </c>
      <c r="K449" s="652" t="str">
        <f t="shared" si="22"/>
        <v/>
      </c>
      <c r="L449" s="652" t="str">
        <f t="shared" si="20"/>
        <v/>
      </c>
    </row>
    <row r="450" spans="1:12">
      <c r="A450" s="12" t="s">
        <v>24</v>
      </c>
      <c r="J450" s="652" t="str">
        <f t="shared" si="21"/>
        <v>Devizy</v>
      </c>
      <c r="K450" s="652" t="str">
        <f t="shared" si="22"/>
        <v/>
      </c>
      <c r="L450" s="652" t="str">
        <f t="shared" si="20"/>
        <v/>
      </c>
    </row>
    <row r="451" spans="1:12">
      <c r="A451" s="12" t="s">
        <v>24</v>
      </c>
      <c r="J451" s="652" t="str">
        <f t="shared" si="21"/>
        <v>Devizy</v>
      </c>
      <c r="K451" s="652" t="str">
        <f t="shared" si="22"/>
        <v/>
      </c>
      <c r="L451" s="652" t="str">
        <f t="shared" si="20"/>
        <v/>
      </c>
    </row>
    <row r="452" spans="1:12">
      <c r="A452" s="12" t="s">
        <v>24</v>
      </c>
      <c r="J452" s="652" t="str">
        <f t="shared" si="21"/>
        <v>Devizy</v>
      </c>
      <c r="K452" s="652" t="str">
        <f t="shared" si="22"/>
        <v/>
      </c>
      <c r="L452" s="652" t="str">
        <f t="shared" si="20"/>
        <v/>
      </c>
    </row>
    <row r="453" spans="1:12">
      <c r="A453" s="12" t="s">
        <v>24</v>
      </c>
      <c r="J453" s="652" t="str">
        <f t="shared" si="21"/>
        <v>Devizy</v>
      </c>
      <c r="K453" s="652" t="str">
        <f t="shared" si="22"/>
        <v/>
      </c>
      <c r="L453" s="652" t="str">
        <f t="shared" ref="L453:L516" si="23">IFERROR(K453+M453,"")</f>
        <v/>
      </c>
    </row>
    <row r="454" spans="1:12">
      <c r="A454" s="12" t="s">
        <v>24</v>
      </c>
      <c r="J454" s="652" t="str">
        <f t="shared" si="21"/>
        <v>Devizy</v>
      </c>
      <c r="K454" s="652" t="str">
        <f t="shared" si="22"/>
        <v/>
      </c>
      <c r="L454" s="652" t="str">
        <f t="shared" si="23"/>
        <v/>
      </c>
    </row>
    <row r="455" spans="1:12">
      <c r="A455" s="12" t="s">
        <v>24</v>
      </c>
      <c r="J455" s="652" t="str">
        <f t="shared" si="21"/>
        <v>Devizy</v>
      </c>
      <c r="K455" s="652" t="str">
        <f t="shared" si="22"/>
        <v/>
      </c>
      <c r="L455" s="652" t="str">
        <f t="shared" si="23"/>
        <v/>
      </c>
    </row>
    <row r="456" spans="1:12">
      <c r="A456" s="12" t="s">
        <v>24</v>
      </c>
      <c r="J456" s="652" t="str">
        <f t="shared" si="21"/>
        <v>Devizy</v>
      </c>
      <c r="K456" s="652" t="str">
        <f t="shared" si="22"/>
        <v/>
      </c>
      <c r="L456" s="652" t="str">
        <f t="shared" si="23"/>
        <v/>
      </c>
    </row>
    <row r="457" spans="1:12">
      <c r="A457" s="12"/>
      <c r="J457" s="652" t="str">
        <f t="shared" si="21"/>
        <v>Devizy</v>
      </c>
      <c r="K457" s="652" t="str">
        <f t="shared" si="22"/>
        <v/>
      </c>
      <c r="L457" s="652" t="str">
        <f t="shared" si="23"/>
        <v/>
      </c>
    </row>
    <row r="458" spans="1:12">
      <c r="A458" s="12" t="s">
        <v>24</v>
      </c>
      <c r="J458" s="652" t="str">
        <f t="shared" si="21"/>
        <v>Devizy</v>
      </c>
      <c r="K458" s="652" t="str">
        <f t="shared" si="22"/>
        <v/>
      </c>
      <c r="L458" s="652" t="str">
        <f t="shared" si="23"/>
        <v/>
      </c>
    </row>
    <row r="459" spans="1:12">
      <c r="A459" s="12"/>
      <c r="J459" s="652" t="str">
        <f t="shared" si="21"/>
        <v>Devizy</v>
      </c>
      <c r="K459" s="652" t="str">
        <f t="shared" si="22"/>
        <v/>
      </c>
      <c r="L459" s="652" t="str">
        <f t="shared" si="23"/>
        <v/>
      </c>
    </row>
    <row r="460" spans="1:12">
      <c r="A460" s="12" t="s">
        <v>24</v>
      </c>
      <c r="J460" s="652" t="str">
        <f t="shared" si="21"/>
        <v>Devizy</v>
      </c>
      <c r="K460" s="652" t="str">
        <f t="shared" si="22"/>
        <v/>
      </c>
      <c r="L460" s="652" t="str">
        <f t="shared" si="23"/>
        <v/>
      </c>
    </row>
    <row r="461" spans="1:12">
      <c r="A461" s="12" t="s">
        <v>24</v>
      </c>
      <c r="J461" s="652" t="str">
        <f t="shared" si="21"/>
        <v>Devizy</v>
      </c>
      <c r="K461" s="652" t="str">
        <f t="shared" si="22"/>
        <v/>
      </c>
      <c r="L461" s="652" t="str">
        <f t="shared" si="23"/>
        <v/>
      </c>
    </row>
    <row r="462" spans="1:12">
      <c r="A462" s="12" t="s">
        <v>24</v>
      </c>
      <c r="J462" s="652" t="str">
        <f t="shared" si="21"/>
        <v>Devizy</v>
      </c>
      <c r="K462" s="652" t="str">
        <f t="shared" si="22"/>
        <v/>
      </c>
      <c r="L462" s="652" t="str">
        <f t="shared" si="23"/>
        <v/>
      </c>
    </row>
    <row r="463" spans="1:12">
      <c r="A463" s="12" t="s">
        <v>24</v>
      </c>
      <c r="J463" s="652" t="str">
        <f t="shared" si="21"/>
        <v>Devizy</v>
      </c>
      <c r="K463" s="652" t="str">
        <f t="shared" si="22"/>
        <v/>
      </c>
      <c r="L463" s="652" t="str">
        <f t="shared" si="23"/>
        <v/>
      </c>
    </row>
    <row r="464" spans="1:12">
      <c r="A464" s="12" t="s">
        <v>24</v>
      </c>
      <c r="J464" s="652" t="str">
        <f t="shared" si="21"/>
        <v>Devizy</v>
      </c>
      <c r="K464" s="652" t="str">
        <f t="shared" si="22"/>
        <v/>
      </c>
      <c r="L464" s="652" t="str">
        <f t="shared" si="23"/>
        <v/>
      </c>
    </row>
    <row r="465" spans="1:12">
      <c r="A465" s="12" t="s">
        <v>24</v>
      </c>
      <c r="J465" s="652" t="str">
        <f t="shared" si="21"/>
        <v>Devizy</v>
      </c>
      <c r="K465" s="652" t="str">
        <f t="shared" si="22"/>
        <v/>
      </c>
      <c r="L465" s="652" t="str">
        <f t="shared" si="23"/>
        <v/>
      </c>
    </row>
    <row r="466" spans="1:12">
      <c r="A466" s="12" t="s">
        <v>24</v>
      </c>
      <c r="J466" s="652" t="str">
        <f t="shared" si="21"/>
        <v>Devizy</v>
      </c>
      <c r="K466" s="652" t="str">
        <f t="shared" si="22"/>
        <v/>
      </c>
      <c r="L466" s="652" t="str">
        <f t="shared" si="23"/>
        <v/>
      </c>
    </row>
    <row r="467" spans="1:12">
      <c r="A467" s="12" t="s">
        <v>24</v>
      </c>
      <c r="J467" s="652" t="str">
        <f t="shared" si="21"/>
        <v>Devizy</v>
      </c>
      <c r="K467" s="652" t="str">
        <f t="shared" si="22"/>
        <v/>
      </c>
      <c r="L467" s="652" t="str">
        <f t="shared" si="23"/>
        <v/>
      </c>
    </row>
    <row r="468" spans="1:12">
      <c r="A468" s="12" t="s">
        <v>24</v>
      </c>
      <c r="J468" s="652" t="str">
        <f t="shared" si="21"/>
        <v>Devizy</v>
      </c>
      <c r="K468" s="652" t="str">
        <f t="shared" si="22"/>
        <v/>
      </c>
      <c r="L468" s="652" t="str">
        <f t="shared" si="23"/>
        <v/>
      </c>
    </row>
    <row r="469" spans="1:12">
      <c r="A469" s="12" t="s">
        <v>24</v>
      </c>
      <c r="J469" s="652" t="str">
        <f t="shared" si="21"/>
        <v>Devizy</v>
      </c>
      <c r="K469" s="652" t="str">
        <f t="shared" si="22"/>
        <v/>
      </c>
      <c r="L469" s="652" t="str">
        <f t="shared" si="23"/>
        <v/>
      </c>
    </row>
    <row r="470" spans="1:12">
      <c r="A470" s="12" t="s">
        <v>24</v>
      </c>
      <c r="J470" s="652" t="str">
        <f t="shared" ref="J470:J529" si="24">IF(OR(A479="Devizy",J469="Devizy"),"Devizy","")</f>
        <v>Devizy</v>
      </c>
      <c r="K470" s="652" t="str">
        <f t="shared" si="22"/>
        <v/>
      </c>
      <c r="L470" s="652" t="str">
        <f t="shared" si="23"/>
        <v/>
      </c>
    </row>
    <row r="471" spans="1:12">
      <c r="A471" s="12"/>
      <c r="J471" s="652" t="str">
        <f t="shared" si="24"/>
        <v>Devizy</v>
      </c>
      <c r="K471" s="652" t="str">
        <f t="shared" ref="K471:K529" si="25">IFERROR(IF(AND(J471="Devizy",FIND("Nakupujeme ",A479)=1),RIGHT(A479,7),""),"")</f>
        <v/>
      </c>
      <c r="L471" s="652" t="str">
        <f t="shared" si="23"/>
        <v/>
      </c>
    </row>
    <row r="472" spans="1:12">
      <c r="A472" s="12" t="s">
        <v>24</v>
      </c>
      <c r="J472" s="652" t="str">
        <f t="shared" si="24"/>
        <v>Devizy</v>
      </c>
      <c r="K472" s="652" t="str">
        <f t="shared" si="25"/>
        <v/>
      </c>
      <c r="L472" s="652" t="str">
        <f t="shared" si="23"/>
        <v/>
      </c>
    </row>
    <row r="473" spans="1:12">
      <c r="A473" s="12" t="s">
        <v>24</v>
      </c>
      <c r="J473" s="652" t="str">
        <f t="shared" si="24"/>
        <v>Devizy</v>
      </c>
      <c r="K473" s="652" t="str">
        <f t="shared" si="25"/>
        <v/>
      </c>
      <c r="L473" s="652" t="str">
        <f t="shared" si="23"/>
        <v/>
      </c>
    </row>
    <row r="474" spans="1:12">
      <c r="A474" s="12" t="s">
        <v>24</v>
      </c>
      <c r="J474" s="652" t="str">
        <f t="shared" si="24"/>
        <v>Devizy</v>
      </c>
      <c r="K474" s="652" t="str">
        <f t="shared" si="25"/>
        <v/>
      </c>
      <c r="L474" s="652" t="str">
        <f t="shared" si="23"/>
        <v/>
      </c>
    </row>
    <row r="475" spans="1:12">
      <c r="A475" s="12" t="s">
        <v>24</v>
      </c>
      <c r="J475" s="652" t="str">
        <f t="shared" si="24"/>
        <v>Devizy</v>
      </c>
      <c r="K475" s="652" t="str">
        <f t="shared" si="25"/>
        <v/>
      </c>
      <c r="L475" s="652" t="str">
        <f t="shared" si="23"/>
        <v/>
      </c>
    </row>
    <row r="476" spans="1:12">
      <c r="A476" s="12"/>
      <c r="J476" s="652" t="str">
        <f t="shared" si="24"/>
        <v>Devizy</v>
      </c>
      <c r="K476" s="652" t="str">
        <f t="shared" si="25"/>
        <v/>
      </c>
      <c r="L476" s="652" t="str">
        <f t="shared" si="23"/>
        <v/>
      </c>
    </row>
    <row r="477" spans="1:12">
      <c r="A477" s="12" t="s">
        <v>24</v>
      </c>
      <c r="J477" s="652" t="str">
        <f t="shared" si="24"/>
        <v>Devizy</v>
      </c>
      <c r="K477" s="652" t="str">
        <f t="shared" si="25"/>
        <v/>
      </c>
      <c r="L477" s="652" t="str">
        <f t="shared" si="23"/>
        <v/>
      </c>
    </row>
    <row r="478" spans="1:12">
      <c r="A478" s="12" t="s">
        <v>24</v>
      </c>
      <c r="J478" s="652" t="str">
        <f t="shared" si="24"/>
        <v>Devizy</v>
      </c>
      <c r="K478" s="652" t="str">
        <f t="shared" si="25"/>
        <v/>
      </c>
      <c r="L478" s="652" t="str">
        <f t="shared" si="23"/>
        <v/>
      </c>
    </row>
    <row r="479" spans="1:12">
      <c r="A479" s="12" t="s">
        <v>24</v>
      </c>
      <c r="J479" s="652" t="str">
        <f t="shared" si="24"/>
        <v>Devizy</v>
      </c>
      <c r="K479" s="652" t="str">
        <f t="shared" si="25"/>
        <v/>
      </c>
      <c r="L479" s="652" t="str">
        <f t="shared" si="23"/>
        <v/>
      </c>
    </row>
    <row r="480" spans="1:12">
      <c r="A480" s="12"/>
      <c r="J480" s="652" t="str">
        <f t="shared" si="24"/>
        <v>Devizy</v>
      </c>
      <c r="K480" s="652" t="str">
        <f t="shared" si="25"/>
        <v/>
      </c>
      <c r="L480" s="652" t="str">
        <f t="shared" si="23"/>
        <v/>
      </c>
    </row>
    <row r="481" spans="1:12">
      <c r="A481" s="12" t="s">
        <v>24</v>
      </c>
      <c r="J481" s="652" t="str">
        <f t="shared" si="24"/>
        <v>Devizy</v>
      </c>
      <c r="K481" s="652" t="str">
        <f t="shared" si="25"/>
        <v/>
      </c>
      <c r="L481" s="652" t="str">
        <f t="shared" si="23"/>
        <v/>
      </c>
    </row>
    <row r="482" spans="1:12">
      <c r="A482" s="12"/>
      <c r="J482" s="652" t="str">
        <f t="shared" si="24"/>
        <v>Devizy</v>
      </c>
      <c r="K482" s="652" t="str">
        <f t="shared" si="25"/>
        <v/>
      </c>
      <c r="L482" s="652" t="str">
        <f t="shared" si="23"/>
        <v/>
      </c>
    </row>
    <row r="483" spans="1:12">
      <c r="A483" s="12" t="s">
        <v>24</v>
      </c>
      <c r="J483" s="652" t="str">
        <f t="shared" si="24"/>
        <v>Devizy</v>
      </c>
      <c r="K483" s="652" t="str">
        <f t="shared" si="25"/>
        <v/>
      </c>
      <c r="L483" s="652" t="str">
        <f t="shared" si="23"/>
        <v/>
      </c>
    </row>
    <row r="484" spans="1:12">
      <c r="A484" s="12" t="s">
        <v>24</v>
      </c>
      <c r="J484" s="652" t="str">
        <f t="shared" si="24"/>
        <v>Devizy</v>
      </c>
      <c r="K484" s="652" t="str">
        <f t="shared" si="25"/>
        <v/>
      </c>
      <c r="L484" s="652" t="str">
        <f t="shared" si="23"/>
        <v/>
      </c>
    </row>
    <row r="485" spans="1:12">
      <c r="A485" s="12" t="s">
        <v>24</v>
      </c>
      <c r="J485" s="652" t="str">
        <f t="shared" si="24"/>
        <v>Devizy</v>
      </c>
      <c r="K485" s="652" t="str">
        <f t="shared" si="25"/>
        <v/>
      </c>
      <c r="L485" s="652" t="str">
        <f t="shared" si="23"/>
        <v/>
      </c>
    </row>
    <row r="486" spans="1:12">
      <c r="A486" s="12" t="s">
        <v>24</v>
      </c>
      <c r="J486" s="652" t="str">
        <f t="shared" si="24"/>
        <v>Devizy</v>
      </c>
      <c r="K486" s="652" t="str">
        <f t="shared" si="25"/>
        <v/>
      </c>
      <c r="L486" s="652" t="str">
        <f t="shared" si="23"/>
        <v/>
      </c>
    </row>
    <row r="487" spans="1:12">
      <c r="A487" s="12" t="s">
        <v>24</v>
      </c>
      <c r="J487" s="652" t="str">
        <f t="shared" si="24"/>
        <v>Devizy</v>
      </c>
      <c r="K487" s="652" t="str">
        <f t="shared" si="25"/>
        <v/>
      </c>
      <c r="L487" s="652" t="str">
        <f t="shared" si="23"/>
        <v/>
      </c>
    </row>
    <row r="488" spans="1:12">
      <c r="A488" s="12"/>
      <c r="J488" s="652" t="str">
        <f t="shared" si="24"/>
        <v>Devizy</v>
      </c>
      <c r="K488" s="652" t="str">
        <f t="shared" si="25"/>
        <v/>
      </c>
      <c r="L488" s="652" t="str">
        <f t="shared" si="23"/>
        <v/>
      </c>
    </row>
    <row r="489" spans="1:12">
      <c r="A489" s="12" t="s">
        <v>24</v>
      </c>
      <c r="J489" s="652" t="str">
        <f t="shared" si="24"/>
        <v>Devizy</v>
      </c>
      <c r="K489" s="652" t="str">
        <f t="shared" si="25"/>
        <v/>
      </c>
      <c r="L489" s="652" t="str">
        <f t="shared" si="23"/>
        <v/>
      </c>
    </row>
    <row r="490" spans="1:12">
      <c r="A490" s="12" t="s">
        <v>24</v>
      </c>
      <c r="J490" s="652" t="str">
        <f t="shared" si="24"/>
        <v>Devizy</v>
      </c>
      <c r="K490" s="652" t="str">
        <f t="shared" si="25"/>
        <v/>
      </c>
      <c r="L490" s="652" t="str">
        <f t="shared" si="23"/>
        <v/>
      </c>
    </row>
    <row r="491" spans="1:12">
      <c r="A491" s="12" t="s">
        <v>24</v>
      </c>
      <c r="J491" s="652" t="str">
        <f t="shared" si="24"/>
        <v>Devizy</v>
      </c>
      <c r="K491" s="652" t="str">
        <f t="shared" si="25"/>
        <v/>
      </c>
      <c r="L491" s="652" t="str">
        <f t="shared" si="23"/>
        <v/>
      </c>
    </row>
    <row r="492" spans="1:12">
      <c r="A492" s="12" t="s">
        <v>24</v>
      </c>
      <c r="J492" s="652" t="str">
        <f t="shared" si="24"/>
        <v>Devizy</v>
      </c>
      <c r="K492" s="652" t="str">
        <f t="shared" si="25"/>
        <v/>
      </c>
      <c r="L492" s="652" t="str">
        <f t="shared" si="23"/>
        <v/>
      </c>
    </row>
    <row r="493" spans="1:12">
      <c r="A493" s="12" t="s">
        <v>24</v>
      </c>
      <c r="J493" s="652" t="str">
        <f t="shared" si="24"/>
        <v>Devizy</v>
      </c>
      <c r="K493" s="652" t="str">
        <f t="shared" si="25"/>
        <v/>
      </c>
      <c r="L493" s="652" t="str">
        <f t="shared" si="23"/>
        <v/>
      </c>
    </row>
    <row r="494" spans="1:12">
      <c r="A494" s="12"/>
      <c r="J494" s="652" t="str">
        <f t="shared" si="24"/>
        <v>Devizy</v>
      </c>
      <c r="K494" s="652" t="str">
        <f t="shared" si="25"/>
        <v/>
      </c>
      <c r="L494" s="652" t="str">
        <f t="shared" si="23"/>
        <v/>
      </c>
    </row>
    <row r="495" spans="1:12">
      <c r="A495" s="12" t="s">
        <v>24</v>
      </c>
      <c r="J495" s="652" t="str">
        <f t="shared" si="24"/>
        <v>Devizy</v>
      </c>
      <c r="K495" s="652" t="str">
        <f t="shared" si="25"/>
        <v/>
      </c>
      <c r="L495" s="652" t="str">
        <f t="shared" si="23"/>
        <v/>
      </c>
    </row>
    <row r="496" spans="1:12">
      <c r="A496" s="12" t="s">
        <v>24</v>
      </c>
      <c r="J496" s="652" t="str">
        <f t="shared" si="24"/>
        <v>Devizy</v>
      </c>
      <c r="K496" s="652" t="str">
        <f t="shared" si="25"/>
        <v/>
      </c>
      <c r="L496" s="652" t="str">
        <f t="shared" si="23"/>
        <v/>
      </c>
    </row>
    <row r="497" spans="1:12">
      <c r="A497" s="12"/>
      <c r="J497" s="652" t="str">
        <f t="shared" si="24"/>
        <v>Devizy</v>
      </c>
      <c r="K497" s="652" t="str">
        <f t="shared" si="25"/>
        <v/>
      </c>
      <c r="L497" s="652" t="str">
        <f t="shared" si="23"/>
        <v/>
      </c>
    </row>
    <row r="498" spans="1:12">
      <c r="A498" s="12" t="s">
        <v>24</v>
      </c>
      <c r="J498" s="652" t="str">
        <f t="shared" si="24"/>
        <v>Devizy</v>
      </c>
      <c r="K498" s="652" t="str">
        <f t="shared" si="25"/>
        <v/>
      </c>
      <c r="L498" s="652" t="str">
        <f t="shared" si="23"/>
        <v/>
      </c>
    </row>
    <row r="499" spans="1:12">
      <c r="A499" s="12" t="s">
        <v>24</v>
      </c>
      <c r="J499" s="652" t="str">
        <f t="shared" si="24"/>
        <v>Devizy</v>
      </c>
      <c r="K499" s="652" t="str">
        <f t="shared" si="25"/>
        <v/>
      </c>
      <c r="L499" s="652" t="str">
        <f t="shared" si="23"/>
        <v/>
      </c>
    </row>
    <row r="500" spans="1:12">
      <c r="A500" s="12" t="s">
        <v>24</v>
      </c>
      <c r="J500" s="652" t="str">
        <f t="shared" si="24"/>
        <v>Devizy</v>
      </c>
      <c r="K500" s="652" t="str">
        <f t="shared" si="25"/>
        <v/>
      </c>
      <c r="L500" s="652" t="str">
        <f t="shared" si="23"/>
        <v/>
      </c>
    </row>
    <row r="501" spans="1:12">
      <c r="A501" s="12"/>
      <c r="J501" s="652" t="str">
        <f t="shared" si="24"/>
        <v>Devizy</v>
      </c>
      <c r="K501" s="652" t="str">
        <f t="shared" si="25"/>
        <v/>
      </c>
      <c r="L501" s="652" t="str">
        <f t="shared" si="23"/>
        <v/>
      </c>
    </row>
    <row r="502" spans="1:12">
      <c r="A502" s="12" t="s">
        <v>24</v>
      </c>
      <c r="J502" s="652" t="str">
        <f t="shared" si="24"/>
        <v>Devizy</v>
      </c>
      <c r="K502" s="652" t="str">
        <f t="shared" si="25"/>
        <v/>
      </c>
      <c r="L502" s="652" t="str">
        <f t="shared" si="23"/>
        <v/>
      </c>
    </row>
    <row r="503" spans="1:12">
      <c r="A503" s="12" t="s">
        <v>24</v>
      </c>
      <c r="J503" s="652" t="str">
        <f t="shared" si="24"/>
        <v>Devizy</v>
      </c>
      <c r="K503" s="652" t="str">
        <f t="shared" si="25"/>
        <v/>
      </c>
      <c r="L503" s="652" t="str">
        <f t="shared" si="23"/>
        <v/>
      </c>
    </row>
    <row r="504" spans="1:12">
      <c r="A504" s="12" t="s">
        <v>24</v>
      </c>
      <c r="J504" s="652" t="str">
        <f t="shared" si="24"/>
        <v>Devizy</v>
      </c>
      <c r="K504" s="652" t="str">
        <f t="shared" si="25"/>
        <v/>
      </c>
      <c r="L504" s="652" t="str">
        <f t="shared" si="23"/>
        <v/>
      </c>
    </row>
    <row r="505" spans="1:12">
      <c r="A505" s="12" t="s">
        <v>24</v>
      </c>
      <c r="J505" s="652" t="str">
        <f t="shared" si="24"/>
        <v>Devizy</v>
      </c>
      <c r="K505" s="652" t="str">
        <f t="shared" si="25"/>
        <v/>
      </c>
      <c r="L505" s="652" t="str">
        <f t="shared" si="23"/>
        <v/>
      </c>
    </row>
    <row r="506" spans="1:12">
      <c r="A506" s="12" t="s">
        <v>24</v>
      </c>
      <c r="J506" s="652" t="str">
        <f t="shared" si="24"/>
        <v>Devizy</v>
      </c>
      <c r="K506" s="652" t="str">
        <f t="shared" si="25"/>
        <v/>
      </c>
      <c r="L506" s="652" t="str">
        <f t="shared" si="23"/>
        <v/>
      </c>
    </row>
    <row r="507" spans="1:12">
      <c r="A507" s="12" t="s">
        <v>24</v>
      </c>
      <c r="J507" s="652" t="str">
        <f t="shared" si="24"/>
        <v>Devizy</v>
      </c>
      <c r="K507" s="652" t="str">
        <f t="shared" si="25"/>
        <v/>
      </c>
      <c r="L507" s="652" t="str">
        <f t="shared" si="23"/>
        <v/>
      </c>
    </row>
    <row r="508" spans="1:12">
      <c r="A508" s="12" t="s">
        <v>24</v>
      </c>
      <c r="J508" s="652" t="str">
        <f t="shared" si="24"/>
        <v>Devizy</v>
      </c>
      <c r="K508" s="652" t="str">
        <f t="shared" si="25"/>
        <v/>
      </c>
      <c r="L508" s="652" t="str">
        <f t="shared" si="23"/>
        <v/>
      </c>
    </row>
    <row r="509" spans="1:12">
      <c r="A509" s="12"/>
      <c r="J509" s="652" t="str">
        <f t="shared" si="24"/>
        <v>Devizy</v>
      </c>
      <c r="K509" s="652" t="str">
        <f t="shared" si="25"/>
        <v/>
      </c>
      <c r="L509" s="652" t="str">
        <f t="shared" si="23"/>
        <v/>
      </c>
    </row>
    <row r="510" spans="1:12">
      <c r="A510" s="12" t="s">
        <v>24</v>
      </c>
      <c r="J510" s="652" t="str">
        <f t="shared" si="24"/>
        <v>Devizy</v>
      </c>
      <c r="K510" s="652" t="str">
        <f t="shared" si="25"/>
        <v/>
      </c>
      <c r="L510" s="652" t="str">
        <f t="shared" si="23"/>
        <v/>
      </c>
    </row>
    <row r="511" spans="1:12">
      <c r="A511" s="12" t="s">
        <v>24</v>
      </c>
      <c r="J511" s="652" t="str">
        <f t="shared" si="24"/>
        <v>Devizy</v>
      </c>
      <c r="K511" s="652" t="str">
        <f t="shared" si="25"/>
        <v/>
      </c>
      <c r="L511" s="652" t="str">
        <f t="shared" si="23"/>
        <v/>
      </c>
    </row>
    <row r="512" spans="1:12">
      <c r="A512" s="12" t="s">
        <v>24</v>
      </c>
      <c r="J512" s="652" t="str">
        <f t="shared" si="24"/>
        <v>Devizy</v>
      </c>
      <c r="K512" s="652" t="str">
        <f t="shared" si="25"/>
        <v/>
      </c>
      <c r="L512" s="652" t="str">
        <f t="shared" si="23"/>
        <v/>
      </c>
    </row>
    <row r="513" spans="1:12">
      <c r="A513" s="12" t="s">
        <v>24</v>
      </c>
      <c r="J513" s="652" t="str">
        <f t="shared" si="24"/>
        <v>Devizy</v>
      </c>
      <c r="K513" s="652" t="str">
        <f t="shared" si="25"/>
        <v/>
      </c>
      <c r="L513" s="652" t="str">
        <f t="shared" si="23"/>
        <v/>
      </c>
    </row>
    <row r="514" spans="1:12">
      <c r="A514" s="12" t="s">
        <v>24</v>
      </c>
      <c r="J514" s="652" t="str">
        <f t="shared" si="24"/>
        <v>Devizy</v>
      </c>
      <c r="K514" s="652" t="str">
        <f t="shared" si="25"/>
        <v/>
      </c>
      <c r="L514" s="652" t="str">
        <f t="shared" si="23"/>
        <v/>
      </c>
    </row>
    <row r="515" spans="1:12">
      <c r="A515" s="12" t="s">
        <v>24</v>
      </c>
      <c r="J515" s="652" t="str">
        <f t="shared" si="24"/>
        <v>Devizy</v>
      </c>
      <c r="K515" s="652" t="str">
        <f t="shared" si="25"/>
        <v/>
      </c>
      <c r="L515" s="652" t="str">
        <f t="shared" si="23"/>
        <v/>
      </c>
    </row>
    <row r="516" spans="1:12">
      <c r="A516" s="12" t="s">
        <v>24</v>
      </c>
      <c r="J516" s="652" t="str">
        <f t="shared" si="24"/>
        <v>Devizy</v>
      </c>
      <c r="K516" s="652" t="str">
        <f t="shared" si="25"/>
        <v/>
      </c>
      <c r="L516" s="652" t="str">
        <f t="shared" si="23"/>
        <v/>
      </c>
    </row>
    <row r="517" spans="1:12">
      <c r="A517" s="12" t="s">
        <v>24</v>
      </c>
      <c r="J517" s="652" t="str">
        <f t="shared" si="24"/>
        <v>Devizy</v>
      </c>
      <c r="K517" s="652" t="str">
        <f t="shared" si="25"/>
        <v/>
      </c>
      <c r="L517" s="652" t="str">
        <f t="shared" ref="L517:L529" si="26">IFERROR(K517+M517,"")</f>
        <v/>
      </c>
    </row>
    <row r="518" spans="1:12">
      <c r="A518" s="12" t="s">
        <v>24</v>
      </c>
      <c r="J518" s="652" t="str">
        <f t="shared" si="24"/>
        <v>Devizy</v>
      </c>
      <c r="K518" s="652" t="str">
        <f t="shared" si="25"/>
        <v/>
      </c>
      <c r="L518" s="652" t="str">
        <f t="shared" si="26"/>
        <v/>
      </c>
    </row>
    <row r="519" spans="1:12">
      <c r="A519" s="12" t="s">
        <v>24</v>
      </c>
      <c r="J519" s="652" t="str">
        <f t="shared" si="24"/>
        <v>Devizy</v>
      </c>
      <c r="K519" s="652" t="str">
        <f t="shared" si="25"/>
        <v/>
      </c>
      <c r="L519" s="652" t="str">
        <f t="shared" si="26"/>
        <v/>
      </c>
    </row>
    <row r="520" spans="1:12">
      <c r="A520" s="12"/>
      <c r="J520" s="652" t="str">
        <f t="shared" si="24"/>
        <v>Devizy</v>
      </c>
      <c r="K520" s="652" t="str">
        <f t="shared" si="25"/>
        <v/>
      </c>
      <c r="L520" s="652" t="str">
        <f t="shared" si="26"/>
        <v/>
      </c>
    </row>
    <row r="521" spans="1:12">
      <c r="A521" s="12" t="s">
        <v>24</v>
      </c>
      <c r="J521" s="652" t="str">
        <f t="shared" si="24"/>
        <v>Devizy</v>
      </c>
      <c r="K521" s="652" t="str">
        <f t="shared" si="25"/>
        <v/>
      </c>
      <c r="L521" s="652" t="str">
        <f t="shared" si="26"/>
        <v/>
      </c>
    </row>
    <row r="522" spans="1:12">
      <c r="A522" s="12" t="s">
        <v>24</v>
      </c>
      <c r="J522" s="652" t="str">
        <f t="shared" si="24"/>
        <v>Devizy</v>
      </c>
      <c r="K522" s="652" t="str">
        <f t="shared" si="25"/>
        <v/>
      </c>
      <c r="L522" s="652" t="str">
        <f t="shared" si="26"/>
        <v/>
      </c>
    </row>
    <row r="523" spans="1:12">
      <c r="A523" s="12" t="s">
        <v>24</v>
      </c>
      <c r="J523" s="652" t="str">
        <f t="shared" si="24"/>
        <v>Devizy</v>
      </c>
      <c r="K523" s="652" t="str">
        <f t="shared" si="25"/>
        <v/>
      </c>
      <c r="L523" s="652" t="str">
        <f t="shared" si="26"/>
        <v/>
      </c>
    </row>
    <row r="524" spans="1:12">
      <c r="A524" s="12"/>
      <c r="J524" s="652" t="str">
        <f t="shared" si="24"/>
        <v>Devizy</v>
      </c>
      <c r="K524" s="652" t="str">
        <f t="shared" si="25"/>
        <v/>
      </c>
      <c r="L524" s="652" t="str">
        <f t="shared" si="26"/>
        <v/>
      </c>
    </row>
    <row r="525" spans="1:12">
      <c r="A525" s="12" t="s">
        <v>24</v>
      </c>
      <c r="J525" s="652" t="str">
        <f t="shared" si="24"/>
        <v>Devizy</v>
      </c>
      <c r="K525" s="652" t="str">
        <f t="shared" si="25"/>
        <v/>
      </c>
      <c r="L525" s="652" t="str">
        <f t="shared" si="26"/>
        <v/>
      </c>
    </row>
    <row r="526" spans="1:12">
      <c r="A526" s="12" t="s">
        <v>24</v>
      </c>
      <c r="J526" s="652" t="str">
        <f t="shared" si="24"/>
        <v>Devizy</v>
      </c>
      <c r="K526" s="652" t="str">
        <f t="shared" si="25"/>
        <v/>
      </c>
      <c r="L526" s="652" t="str">
        <f t="shared" si="26"/>
        <v/>
      </c>
    </row>
    <row r="527" spans="1:12">
      <c r="A527" s="12" t="s">
        <v>24</v>
      </c>
      <c r="J527" s="652" t="str">
        <f t="shared" si="24"/>
        <v>Devizy</v>
      </c>
      <c r="K527" s="652" t="str">
        <f t="shared" si="25"/>
        <v/>
      </c>
      <c r="L527" s="652" t="str">
        <f t="shared" si="26"/>
        <v/>
      </c>
    </row>
    <row r="528" spans="1:12">
      <c r="A528" s="12" t="s">
        <v>24</v>
      </c>
      <c r="J528" s="652" t="str">
        <f t="shared" si="24"/>
        <v>Devizy</v>
      </c>
      <c r="K528" s="652" t="str">
        <f t="shared" si="25"/>
        <v/>
      </c>
      <c r="L528" s="652" t="str">
        <f t="shared" si="26"/>
        <v/>
      </c>
    </row>
    <row r="529" spans="1:12">
      <c r="A529" s="12" t="s">
        <v>24</v>
      </c>
      <c r="J529" s="652" t="str">
        <f t="shared" si="24"/>
        <v>Devizy</v>
      </c>
      <c r="K529" s="652" t="str">
        <f t="shared" si="25"/>
        <v/>
      </c>
      <c r="L529" s="652" t="str">
        <f t="shared" si="26"/>
        <v/>
      </c>
    </row>
    <row r="530" spans="1:12">
      <c r="A530" s="12" t="s">
        <v>24</v>
      </c>
    </row>
    <row r="531" spans="1:12">
      <c r="A531" s="12"/>
    </row>
    <row r="532" spans="1:12">
      <c r="A532" s="12" t="s">
        <v>24</v>
      </c>
    </row>
    <row r="533" spans="1:12">
      <c r="A533" s="12" t="s">
        <v>24</v>
      </c>
    </row>
    <row r="534" spans="1:12">
      <c r="A534" s="12" t="s">
        <v>24</v>
      </c>
    </row>
    <row r="535" spans="1:12">
      <c r="A535" s="12" t="s">
        <v>24</v>
      </c>
    </row>
    <row r="536" spans="1:12">
      <c r="A536" s="12" t="s">
        <v>24</v>
      </c>
    </row>
    <row r="537" spans="1:12">
      <c r="A537" s="12" t="s">
        <v>24</v>
      </c>
    </row>
    <row r="538" spans="1:12">
      <c r="A538" s="12" t="s">
        <v>24</v>
      </c>
    </row>
    <row r="539" spans="1:12">
      <c r="A539" s="12" t="s">
        <v>24</v>
      </c>
    </row>
    <row r="540" spans="1:12">
      <c r="A540" s="12"/>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t="s">
        <v>24</v>
      </c>
    </row>
    <row r="551" spans="1:1">
      <c r="A551" s="12" t="s">
        <v>24</v>
      </c>
    </row>
    <row r="552" spans="1:1">
      <c r="A552" s="12" t="s">
        <v>24</v>
      </c>
    </row>
    <row r="553" spans="1:1">
      <c r="A553" s="12"/>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t="s">
        <v>24</v>
      </c>
    </row>
    <row r="565" spans="1:1">
      <c r="A565" s="12" t="s">
        <v>24</v>
      </c>
    </row>
    <row r="566" spans="1:1">
      <c r="A566" s="12" t="s">
        <v>24</v>
      </c>
    </row>
    <row r="567" spans="1:1">
      <c r="A567" s="12" t="s">
        <v>24</v>
      </c>
    </row>
    <row r="568" spans="1:1">
      <c r="A568" s="12" t="s">
        <v>24</v>
      </c>
    </row>
    <row r="569" spans="1:1">
      <c r="A569" s="12"/>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t="s">
        <v>24</v>
      </c>
    </row>
    <row r="580" spans="1:1">
      <c r="A580" s="12" t="s">
        <v>24</v>
      </c>
    </row>
    <row r="581" spans="1:1">
      <c r="A581" s="12"/>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t="s">
        <v>24</v>
      </c>
    </row>
    <row r="629" spans="1:1">
      <c r="A629" s="12" t="s">
        <v>24</v>
      </c>
    </row>
    <row r="630" spans="1:1">
      <c r="A630" s="12" t="s">
        <v>24</v>
      </c>
    </row>
    <row r="631" spans="1:1">
      <c r="A631" s="12"/>
    </row>
    <row r="632" spans="1:1">
      <c r="A632" s="12" t="s">
        <v>24</v>
      </c>
    </row>
    <row r="633" spans="1:1">
      <c r="A633" s="12"/>
    </row>
    <row r="634" spans="1:1">
      <c r="A634" s="12" t="s">
        <v>24</v>
      </c>
    </row>
    <row r="635" spans="1:1">
      <c r="A635" s="12"/>
    </row>
    <row r="636" spans="1:1">
      <c r="A636" s="12" t="s">
        <v>24</v>
      </c>
    </row>
    <row r="637" spans="1:1">
      <c r="A637" s="12"/>
    </row>
    <row r="638" spans="1:1">
      <c r="A638" s="12" t="s">
        <v>24</v>
      </c>
    </row>
    <row r="639" spans="1:1">
      <c r="A639" s="12"/>
    </row>
    <row r="640" spans="1:1">
      <c r="A640" s="12" t="s">
        <v>24</v>
      </c>
    </row>
    <row r="641" spans="1:1">
      <c r="A641" s="12" t="s">
        <v>24</v>
      </c>
    </row>
    <row r="642" spans="1:1">
      <c r="A642" s="12"/>
    </row>
    <row r="643" spans="1:1">
      <c r="A643" s="12" t="s">
        <v>24</v>
      </c>
    </row>
    <row r="644" spans="1:1">
      <c r="A644" s="12" t="s">
        <v>24</v>
      </c>
    </row>
    <row r="645" spans="1:1">
      <c r="A645" s="12"/>
    </row>
    <row r="646" spans="1:1">
      <c r="A646" s="12" t="s">
        <v>24</v>
      </c>
    </row>
    <row r="647" spans="1:1">
      <c r="A647" s="12" t="s">
        <v>24</v>
      </c>
    </row>
    <row r="648" spans="1:1">
      <c r="A648" s="12"/>
    </row>
    <row r="649" spans="1:1">
      <c r="A649" s="12" t="s">
        <v>24</v>
      </c>
    </row>
    <row r="650" spans="1:1">
      <c r="A650" s="12" t="s">
        <v>24</v>
      </c>
    </row>
    <row r="651" spans="1:1">
      <c r="A651" s="12"/>
    </row>
    <row r="652" spans="1:1">
      <c r="A652" s="12" t="s">
        <v>24</v>
      </c>
    </row>
    <row r="653" spans="1:1">
      <c r="A653" s="12" t="s">
        <v>24</v>
      </c>
    </row>
    <row r="654" spans="1:1">
      <c r="A654" s="12" t="s">
        <v>24</v>
      </c>
    </row>
    <row r="655" spans="1:1">
      <c r="A655" s="12" t="s">
        <v>24</v>
      </c>
    </row>
    <row r="656" spans="1:1">
      <c r="A656" s="12" t="s">
        <v>24</v>
      </c>
    </row>
    <row r="657" spans="1:1">
      <c r="A657" s="12" t="s">
        <v>24</v>
      </c>
    </row>
    <row r="658" spans="1:1">
      <c r="A658" s="12"/>
    </row>
    <row r="659" spans="1:1">
      <c r="A659" s="12" t="s">
        <v>24</v>
      </c>
    </row>
    <row r="660" spans="1:1">
      <c r="A660" s="12" t="s">
        <v>24</v>
      </c>
    </row>
    <row r="661" spans="1:1">
      <c r="A661" s="12" t="s">
        <v>24</v>
      </c>
    </row>
    <row r="662" spans="1:1">
      <c r="A662" s="12" t="s">
        <v>24</v>
      </c>
    </row>
    <row r="663" spans="1:1">
      <c r="A663" s="12" t="s">
        <v>24</v>
      </c>
    </row>
    <row r="664" spans="1:1">
      <c r="A664" s="12" t="s">
        <v>24</v>
      </c>
    </row>
    <row r="665" spans="1:1">
      <c r="A665" s="12"/>
    </row>
    <row r="666" spans="1:1">
      <c r="A666" s="12" t="s">
        <v>24</v>
      </c>
    </row>
    <row r="667" spans="1:1">
      <c r="A667" s="12" t="s">
        <v>24</v>
      </c>
    </row>
    <row r="668" spans="1:1">
      <c r="A668" s="12" t="s">
        <v>24</v>
      </c>
    </row>
    <row r="669" spans="1:1">
      <c r="A669" s="12" t="s">
        <v>24</v>
      </c>
    </row>
    <row r="670" spans="1:1">
      <c r="A670" s="12" t="s">
        <v>24</v>
      </c>
    </row>
    <row r="671" spans="1:1">
      <c r="A671" s="12" t="s">
        <v>24</v>
      </c>
    </row>
    <row r="672" spans="1:1">
      <c r="A672" s="12" t="s">
        <v>24</v>
      </c>
    </row>
    <row r="673" spans="1:1">
      <c r="A673" s="12" t="s">
        <v>24</v>
      </c>
    </row>
    <row r="674" spans="1:1">
      <c r="A674" s="12"/>
    </row>
    <row r="675" spans="1:1">
      <c r="A675" s="12" t="s">
        <v>24</v>
      </c>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row>
    <row r="683" spans="1:1">
      <c r="A683" s="12" t="s">
        <v>24</v>
      </c>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row>
    <row r="694" spans="1:1">
      <c r="A694" s="12" t="s">
        <v>24</v>
      </c>
    </row>
    <row r="695" spans="1:1">
      <c r="A695" s="12" t="s">
        <v>24</v>
      </c>
    </row>
    <row r="696" spans="1:1">
      <c r="A696" s="12" t="s">
        <v>24</v>
      </c>
    </row>
    <row r="697" spans="1:1">
      <c r="A697" s="12" t="s">
        <v>24</v>
      </c>
    </row>
    <row r="698" spans="1:1">
      <c r="A698" s="12" t="s">
        <v>24</v>
      </c>
    </row>
    <row r="699" spans="1:1">
      <c r="A699" s="12" t="s">
        <v>24</v>
      </c>
    </row>
    <row r="700" spans="1:1">
      <c r="A700" s="12"/>
    </row>
    <row r="701" spans="1:1">
      <c r="A701" s="12" t="s">
        <v>24</v>
      </c>
    </row>
    <row r="702" spans="1:1">
      <c r="A702" s="12" t="s">
        <v>24</v>
      </c>
    </row>
    <row r="703" spans="1:1">
      <c r="A703" s="12" t="s">
        <v>24</v>
      </c>
    </row>
    <row r="704" spans="1:1">
      <c r="A704" s="12" t="s">
        <v>24</v>
      </c>
    </row>
    <row r="705" spans="1:1">
      <c r="A705" s="12" t="s">
        <v>24</v>
      </c>
    </row>
    <row r="706" spans="1:1">
      <c r="A706" s="12"/>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row>
    <row r="714" spans="1:1">
      <c r="A714" s="12" t="s">
        <v>24</v>
      </c>
    </row>
    <row r="715" spans="1:1">
      <c r="A715" s="12" t="s">
        <v>24</v>
      </c>
    </row>
    <row r="716" spans="1:1">
      <c r="A716" s="12"/>
    </row>
    <row r="717" spans="1:1">
      <c r="A717" s="12" t="s">
        <v>24</v>
      </c>
    </row>
    <row r="718" spans="1:1">
      <c r="A718" s="12"/>
    </row>
    <row r="719" spans="1:1">
      <c r="A719" s="12" t="s">
        <v>24</v>
      </c>
    </row>
    <row r="720" spans="1:1">
      <c r="A720" s="12" t="s">
        <v>24</v>
      </c>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row>
    <row r="745" spans="1:1">
      <c r="A745" s="12" t="s">
        <v>24</v>
      </c>
    </row>
    <row r="746" spans="1:1">
      <c r="A746" s="12" t="s">
        <v>24</v>
      </c>
    </row>
    <row r="747" spans="1:1">
      <c r="A747" s="12"/>
    </row>
    <row r="748" spans="1:1">
      <c r="A748" s="12" t="s">
        <v>24</v>
      </c>
    </row>
    <row r="749" spans="1:1">
      <c r="A749" s="12" t="s">
        <v>24</v>
      </c>
    </row>
    <row r="750" spans="1:1">
      <c r="A750" s="12" t="s">
        <v>24</v>
      </c>
    </row>
    <row r="751" spans="1:1">
      <c r="A751" s="12" t="s">
        <v>24</v>
      </c>
    </row>
    <row r="752" spans="1:1">
      <c r="A752" s="12"/>
    </row>
    <row r="753" spans="1:1">
      <c r="A753" s="12" t="s">
        <v>24</v>
      </c>
    </row>
    <row r="754" spans="1:1">
      <c r="A754" s="12" t="s">
        <v>24</v>
      </c>
    </row>
    <row r="755" spans="1:1">
      <c r="A755" s="12"/>
    </row>
    <row r="756" spans="1:1">
      <c r="A756" s="12" t="s">
        <v>24</v>
      </c>
    </row>
    <row r="757" spans="1:1">
      <c r="A757" s="12"/>
    </row>
    <row r="758" spans="1:1">
      <c r="A758" s="12" t="s">
        <v>24</v>
      </c>
    </row>
    <row r="759" spans="1:1">
      <c r="A759" s="12" t="s">
        <v>24</v>
      </c>
    </row>
    <row r="760" spans="1:1">
      <c r="A760" s="12"/>
    </row>
    <row r="761" spans="1:1">
      <c r="A761" s="12" t="s">
        <v>24</v>
      </c>
    </row>
    <row r="762" spans="1:1">
      <c r="A762" s="12" t="s">
        <v>24</v>
      </c>
    </row>
    <row r="763" spans="1:1">
      <c r="A763" s="12" t="s">
        <v>24</v>
      </c>
    </row>
    <row r="764" spans="1:1">
      <c r="A764" s="12" t="s">
        <v>24</v>
      </c>
    </row>
    <row r="765" spans="1:1">
      <c r="A765" s="12" t="s">
        <v>24</v>
      </c>
    </row>
    <row r="766" spans="1:1">
      <c r="A766" s="12" t="s">
        <v>24</v>
      </c>
    </row>
    <row r="767" spans="1:1">
      <c r="A767" s="12" t="s">
        <v>24</v>
      </c>
    </row>
    <row r="768" spans="1:1">
      <c r="A768" s="12" t="s">
        <v>24</v>
      </c>
    </row>
    <row r="769" spans="1:1">
      <c r="A769" s="12"/>
    </row>
    <row r="770" spans="1:1">
      <c r="A770" s="12" t="s">
        <v>24</v>
      </c>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row>
    <row r="779" spans="1:1">
      <c r="A779" s="12" t="s">
        <v>24</v>
      </c>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t="s">
        <v>24</v>
      </c>
    </row>
    <row r="810" spans="1:1">
      <c r="A810" s="12"/>
    </row>
    <row r="811" spans="1:1">
      <c r="A811" s="12" t="s">
        <v>24</v>
      </c>
    </row>
    <row r="812" spans="1:1">
      <c r="A812" s="12" t="s">
        <v>24</v>
      </c>
    </row>
    <row r="813" spans="1:1">
      <c r="A813" s="12" t="s">
        <v>24</v>
      </c>
    </row>
    <row r="814" spans="1:1">
      <c r="A814" s="12"/>
    </row>
    <row r="815" spans="1:1">
      <c r="A815" s="12" t="s">
        <v>24</v>
      </c>
    </row>
    <row r="816" spans="1:1">
      <c r="A816" s="12" t="s">
        <v>24</v>
      </c>
    </row>
    <row r="817" spans="1:1">
      <c r="A817" s="12"/>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t="s">
        <v>24</v>
      </c>
    </row>
    <row r="828" spans="1:1">
      <c r="A828" s="12"/>
    </row>
    <row r="829" spans="1:1">
      <c r="A829" s="12" t="s">
        <v>24</v>
      </c>
    </row>
    <row r="830" spans="1:1">
      <c r="A830" s="12" t="s">
        <v>24</v>
      </c>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t="s">
        <v>24</v>
      </c>
    </row>
    <row r="842" spans="1:1">
      <c r="A842" s="12"/>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row>
    <row r="852" spans="1:1">
      <c r="A852" s="12" t="s">
        <v>24</v>
      </c>
    </row>
    <row r="853" spans="1:1">
      <c r="A853" s="12" t="s">
        <v>24</v>
      </c>
    </row>
    <row r="854" spans="1:1">
      <c r="A854" s="12" t="s">
        <v>24</v>
      </c>
    </row>
    <row r="855" spans="1:1">
      <c r="A855" s="12" t="s">
        <v>24</v>
      </c>
    </row>
    <row r="856" spans="1:1">
      <c r="A856" s="12" t="s">
        <v>24</v>
      </c>
    </row>
    <row r="857" spans="1:1">
      <c r="A857" s="12"/>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t="s">
        <v>24</v>
      </c>
    </row>
    <row r="869" spans="1:1">
      <c r="A869" s="12" t="s">
        <v>24</v>
      </c>
    </row>
    <row r="870" spans="1:1">
      <c r="A870" s="12" t="s">
        <v>24</v>
      </c>
    </row>
    <row r="871" spans="1:1">
      <c r="A871" s="12" t="s">
        <v>24</v>
      </c>
    </row>
    <row r="872" spans="1:1">
      <c r="A872" s="12" t="s">
        <v>24</v>
      </c>
    </row>
    <row r="873" spans="1:1">
      <c r="A873" s="12"/>
    </row>
    <row r="874" spans="1:1">
      <c r="A874" s="12" t="s">
        <v>24</v>
      </c>
    </row>
    <row r="875" spans="1:1">
      <c r="A875" s="12"/>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row>
    <row r="888" spans="1:1">
      <c r="A888" s="12" t="s">
        <v>24</v>
      </c>
    </row>
    <row r="889" spans="1:1">
      <c r="A889" s="12" t="s">
        <v>24</v>
      </c>
    </row>
    <row r="890" spans="1:1">
      <c r="A890" s="12" t="s">
        <v>24</v>
      </c>
    </row>
    <row r="891" spans="1:1">
      <c r="A891" s="12" t="s">
        <v>24</v>
      </c>
    </row>
    <row r="892" spans="1:1">
      <c r="A892" s="12" t="s">
        <v>24</v>
      </c>
    </row>
    <row r="893" spans="1:1">
      <c r="A893" s="12"/>
    </row>
    <row r="894" spans="1:1">
      <c r="A894" s="12" t="s">
        <v>24</v>
      </c>
    </row>
    <row r="895" spans="1:1">
      <c r="A895" s="12" t="s">
        <v>24</v>
      </c>
    </row>
    <row r="896" spans="1:1">
      <c r="A896" s="12"/>
    </row>
    <row r="897" spans="1:1">
      <c r="A897" s="12" t="s">
        <v>24</v>
      </c>
    </row>
    <row r="898" spans="1:1">
      <c r="A898" s="12" t="s">
        <v>24</v>
      </c>
    </row>
    <row r="899" spans="1:1">
      <c r="A899" s="12" t="s">
        <v>24</v>
      </c>
    </row>
    <row r="900" spans="1:1">
      <c r="A900" s="12" t="s">
        <v>24</v>
      </c>
    </row>
    <row r="901" spans="1:1">
      <c r="A901" s="12" t="s">
        <v>24</v>
      </c>
    </row>
    <row r="902" spans="1:1">
      <c r="A902" s="12"/>
    </row>
    <row r="903" spans="1:1">
      <c r="A903" s="12" t="s">
        <v>24</v>
      </c>
    </row>
    <row r="904" spans="1:1">
      <c r="A904" s="12"/>
    </row>
    <row r="905" spans="1:1">
      <c r="A905" s="12" t="s">
        <v>24</v>
      </c>
    </row>
    <row r="906" spans="1:1">
      <c r="A906" s="12" t="s">
        <v>24</v>
      </c>
    </row>
    <row r="907" spans="1:1">
      <c r="A907" s="12" t="s">
        <v>24</v>
      </c>
    </row>
    <row r="908" spans="1:1">
      <c r="A908" s="12"/>
    </row>
    <row r="909" spans="1:1">
      <c r="A909" s="12" t="s">
        <v>24</v>
      </c>
    </row>
    <row r="910" spans="1:1">
      <c r="A910" s="12" t="s">
        <v>24</v>
      </c>
    </row>
    <row r="911" spans="1:1">
      <c r="A911" s="12"/>
    </row>
    <row r="912" spans="1:1">
      <c r="A912" s="12" t="s">
        <v>24</v>
      </c>
    </row>
    <row r="913" spans="1:1">
      <c r="A913" s="12" t="s">
        <v>24</v>
      </c>
    </row>
    <row r="914" spans="1:1">
      <c r="A914" s="12" t="s">
        <v>24</v>
      </c>
    </row>
    <row r="915" spans="1:1">
      <c r="A915" s="12"/>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t="s">
        <v>24</v>
      </c>
    </row>
    <row r="923" spans="1:1">
      <c r="A923" s="12" t="s">
        <v>24</v>
      </c>
    </row>
    <row r="924" spans="1:1">
      <c r="A924" s="12" t="s">
        <v>24</v>
      </c>
    </row>
    <row r="925" spans="1:1">
      <c r="A925" s="12" t="s">
        <v>24</v>
      </c>
    </row>
    <row r="926" spans="1:1">
      <c r="A926" s="12" t="s">
        <v>24</v>
      </c>
    </row>
    <row r="927" spans="1:1">
      <c r="A927" s="12"/>
    </row>
    <row r="928" spans="1:1">
      <c r="A928" s="12" t="s">
        <v>24</v>
      </c>
    </row>
    <row r="929" spans="1:1">
      <c r="A929" s="12"/>
    </row>
    <row r="930" spans="1:1">
      <c r="A930" s="12" t="s">
        <v>24</v>
      </c>
    </row>
    <row r="931" spans="1:1">
      <c r="A931" s="12" t="s">
        <v>24</v>
      </c>
    </row>
    <row r="932" spans="1:1">
      <c r="A932" s="12" t="s">
        <v>24</v>
      </c>
    </row>
    <row r="933" spans="1:1">
      <c r="A933" s="12" t="s">
        <v>24</v>
      </c>
    </row>
    <row r="934" spans="1:1">
      <c r="A934" s="12"/>
    </row>
    <row r="935" spans="1:1">
      <c r="A935" s="12" t="s">
        <v>24</v>
      </c>
    </row>
    <row r="936" spans="1:1">
      <c r="A936" s="12"/>
    </row>
    <row r="937" spans="1:1">
      <c r="A937" s="12" t="s">
        <v>24</v>
      </c>
    </row>
    <row r="938" spans="1:1">
      <c r="A938" s="12" t="s">
        <v>24</v>
      </c>
    </row>
    <row r="939" spans="1:1">
      <c r="A939" s="12" t="s">
        <v>24</v>
      </c>
    </row>
    <row r="940" spans="1:1">
      <c r="A940" s="12"/>
    </row>
    <row r="941" spans="1:1">
      <c r="A941" s="12" t="s">
        <v>24</v>
      </c>
    </row>
    <row r="942" spans="1:1">
      <c r="A942" s="12" t="s">
        <v>24</v>
      </c>
    </row>
    <row r="943" spans="1:1">
      <c r="A943" s="12"/>
    </row>
    <row r="944" spans="1:1">
      <c r="A944" s="12" t="s">
        <v>24</v>
      </c>
    </row>
    <row r="945" spans="1:1">
      <c r="A945" s="12" t="s">
        <v>24</v>
      </c>
    </row>
    <row r="946" spans="1:1">
      <c r="A946" s="12"/>
    </row>
    <row r="947" spans="1:1">
      <c r="A947" s="12" t="s">
        <v>24</v>
      </c>
    </row>
    <row r="948" spans="1:1">
      <c r="A948" s="12" t="s">
        <v>24</v>
      </c>
    </row>
    <row r="949" spans="1:1">
      <c r="A949" s="12" t="s">
        <v>24</v>
      </c>
    </row>
    <row r="950" spans="1:1">
      <c r="A950" s="12" t="s">
        <v>24</v>
      </c>
    </row>
    <row r="951" spans="1:1">
      <c r="A951" s="12" t="s">
        <v>24</v>
      </c>
    </row>
    <row r="952" spans="1:1">
      <c r="A952" s="12"/>
    </row>
    <row r="953" spans="1:1">
      <c r="A953" s="12" t="s">
        <v>24</v>
      </c>
    </row>
    <row r="954" spans="1:1">
      <c r="A954" s="12" t="s">
        <v>24</v>
      </c>
    </row>
    <row r="955" spans="1:1">
      <c r="A955" s="12"/>
    </row>
    <row r="956" spans="1:1">
      <c r="A956" s="12" t="s">
        <v>24</v>
      </c>
    </row>
    <row r="957" spans="1:1">
      <c r="A957" s="12" t="s">
        <v>24</v>
      </c>
    </row>
    <row r="958" spans="1:1">
      <c r="A958" s="12"/>
    </row>
    <row r="959" spans="1:1">
      <c r="A959" s="12" t="s">
        <v>24</v>
      </c>
    </row>
    <row r="960" spans="1:1">
      <c r="A960" s="12" t="s">
        <v>24</v>
      </c>
    </row>
    <row r="961" spans="1:1">
      <c r="A961" s="12" t="s">
        <v>24</v>
      </c>
    </row>
    <row r="962" spans="1:1">
      <c r="A962" s="12" t="s">
        <v>24</v>
      </c>
    </row>
    <row r="963" spans="1:1">
      <c r="A963" s="12" t="s">
        <v>24</v>
      </c>
    </row>
    <row r="964" spans="1:1">
      <c r="A964" s="12" t="s">
        <v>24</v>
      </c>
    </row>
    <row r="965" spans="1:1">
      <c r="A965" s="12"/>
    </row>
    <row r="966" spans="1:1">
      <c r="A966" s="12" t="s">
        <v>24</v>
      </c>
    </row>
    <row r="967" spans="1:1">
      <c r="A967" s="12" t="s">
        <v>24</v>
      </c>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t="s">
        <v>24</v>
      </c>
    </row>
    <row r="975" spans="1:1">
      <c r="A975" s="12" t="s">
        <v>24</v>
      </c>
    </row>
    <row r="976" spans="1:1">
      <c r="A976" s="12" t="s">
        <v>24</v>
      </c>
    </row>
    <row r="977" spans="1:1">
      <c r="A977" s="12"/>
    </row>
    <row r="978" spans="1:1">
      <c r="A978" s="12" t="s">
        <v>24</v>
      </c>
    </row>
    <row r="979" spans="1:1">
      <c r="A979" s="12"/>
    </row>
    <row r="980" spans="1:1">
      <c r="A980" s="12" t="s">
        <v>24</v>
      </c>
    </row>
    <row r="981" spans="1:1">
      <c r="A981" s="12" t="s">
        <v>24</v>
      </c>
    </row>
    <row r="982" spans="1:1">
      <c r="A982" s="12" t="s">
        <v>24</v>
      </c>
    </row>
    <row r="983" spans="1:1">
      <c r="A983" s="12" t="s">
        <v>24</v>
      </c>
    </row>
    <row r="984" spans="1:1">
      <c r="A984" s="12" t="s">
        <v>24</v>
      </c>
    </row>
    <row r="985" spans="1:1">
      <c r="A985" s="12" t="s">
        <v>24</v>
      </c>
    </row>
    <row r="986" spans="1:1">
      <c r="A986" s="12" t="s">
        <v>24</v>
      </c>
    </row>
    <row r="987" spans="1:1">
      <c r="A987" s="12" t="s">
        <v>24</v>
      </c>
    </row>
    <row r="988" spans="1:1">
      <c r="A988" s="12"/>
    </row>
    <row r="989" spans="1:1">
      <c r="A989" s="12" t="s">
        <v>24</v>
      </c>
    </row>
    <row r="990" spans="1:1">
      <c r="A990" s="12" t="s">
        <v>24</v>
      </c>
    </row>
    <row r="991" spans="1:1">
      <c r="A991" s="12" t="s">
        <v>24</v>
      </c>
    </row>
    <row r="992" spans="1:1">
      <c r="A992" s="12" t="s">
        <v>24</v>
      </c>
    </row>
    <row r="993" spans="1:1">
      <c r="A993" s="12" t="s">
        <v>24</v>
      </c>
    </row>
    <row r="994" spans="1:1">
      <c r="A994" s="12"/>
    </row>
    <row r="995" spans="1:1">
      <c r="A995" s="12" t="s">
        <v>24</v>
      </c>
    </row>
    <row r="996" spans="1:1">
      <c r="A996" s="12" t="s">
        <v>24</v>
      </c>
    </row>
    <row r="997" spans="1:1">
      <c r="A997" s="12" t="s">
        <v>24</v>
      </c>
    </row>
    <row r="998" spans="1:1">
      <c r="A998" s="12"/>
    </row>
    <row r="999" spans="1:1">
      <c r="A999" s="12" t="s">
        <v>24</v>
      </c>
    </row>
    <row r="1000" spans="1:1">
      <c r="A1000" s="12"/>
    </row>
    <row r="1001" spans="1:1">
      <c r="A1001" s="12" t="s">
        <v>24</v>
      </c>
    </row>
    <row r="1002" spans="1:1">
      <c r="A1002" s="12" t="s">
        <v>24</v>
      </c>
    </row>
    <row r="1003" spans="1:1">
      <c r="A1003" s="12"/>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t="s">
        <v>24</v>
      </c>
    </row>
    <row r="1011" spans="1:1">
      <c r="A1011" s="12" t="s">
        <v>24</v>
      </c>
    </row>
    <row r="1012" spans="1:1">
      <c r="A1012" s="12" t="s">
        <v>24</v>
      </c>
    </row>
    <row r="1013" spans="1:1">
      <c r="A1013" s="12" t="s">
        <v>24</v>
      </c>
    </row>
    <row r="1014" spans="1:1">
      <c r="A1014" s="12" t="s">
        <v>24</v>
      </c>
    </row>
    <row r="1015" spans="1:1">
      <c r="A1015" s="12"/>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row>
    <row r="1039" spans="1:1">
      <c r="A1039" s="12" t="s">
        <v>24</v>
      </c>
    </row>
    <row r="1040" spans="1:1">
      <c r="A1040" s="12"/>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t="s">
        <v>24</v>
      </c>
    </row>
    <row r="1052" spans="1:1">
      <c r="A1052" s="12"/>
    </row>
    <row r="1053" spans="1:1">
      <c r="A1053" s="12" t="s">
        <v>24</v>
      </c>
    </row>
    <row r="1054" spans="1:1">
      <c r="A1054" s="12" t="s">
        <v>24</v>
      </c>
    </row>
    <row r="1055" spans="1:1">
      <c r="A1055" s="12" t="s">
        <v>24</v>
      </c>
    </row>
    <row r="1056" spans="1:1">
      <c r="A1056" s="12"/>
    </row>
    <row r="1057" spans="1:1">
      <c r="A1057" s="12" t="s">
        <v>24</v>
      </c>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row>
    <row r="1075" spans="1:1">
      <c r="A1075" s="12" t="s">
        <v>24</v>
      </c>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row>
    <row r="1087" spans="1:1">
      <c r="A1087" s="12" t="s">
        <v>24</v>
      </c>
    </row>
    <row r="1088" spans="1:1">
      <c r="A1088" s="12"/>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t="s">
        <v>24</v>
      </c>
    </row>
    <row r="1097" spans="1:1">
      <c r="A1097" s="12" t="s">
        <v>24</v>
      </c>
    </row>
    <row r="1098" spans="1:1">
      <c r="A1098" s="12"/>
    </row>
    <row r="1099" spans="1:1">
      <c r="A1099" s="12" t="s">
        <v>24</v>
      </c>
    </row>
    <row r="1100" spans="1:1">
      <c r="A1100" s="12" t="s">
        <v>24</v>
      </c>
    </row>
    <row r="1101" spans="1:1">
      <c r="A1101" s="12" t="s">
        <v>24</v>
      </c>
    </row>
    <row r="1102" spans="1:1">
      <c r="A1102" s="12"/>
    </row>
    <row r="1103" spans="1:1">
      <c r="A1103" s="12" t="s">
        <v>24</v>
      </c>
    </row>
    <row r="1104" spans="1:1">
      <c r="A1104" s="12" t="s">
        <v>24</v>
      </c>
    </row>
    <row r="1105" spans="1:1">
      <c r="A1105" s="12"/>
    </row>
    <row r="1106" spans="1:1">
      <c r="A1106" s="12" t="s">
        <v>24</v>
      </c>
    </row>
    <row r="1107" spans="1:1">
      <c r="A1107" s="12" t="s">
        <v>24</v>
      </c>
    </row>
    <row r="1108" spans="1:1">
      <c r="A1108" s="12" t="s">
        <v>24</v>
      </c>
    </row>
    <row r="1109" spans="1:1">
      <c r="A1109" s="12"/>
    </row>
    <row r="1110" spans="1:1">
      <c r="A1110" s="12" t="s">
        <v>24</v>
      </c>
    </row>
    <row r="1111" spans="1:1">
      <c r="A1111" s="12" t="s">
        <v>24</v>
      </c>
    </row>
    <row r="1112" spans="1:1">
      <c r="A1112" s="12" t="s">
        <v>24</v>
      </c>
    </row>
    <row r="1113" spans="1:1">
      <c r="A1113" s="12"/>
    </row>
    <row r="1114" spans="1:1">
      <c r="A1114" s="12" t="s">
        <v>24</v>
      </c>
    </row>
    <row r="1115" spans="1:1">
      <c r="A1115" s="12" t="s">
        <v>24</v>
      </c>
    </row>
    <row r="1116" spans="1:1">
      <c r="A1116" s="12"/>
    </row>
    <row r="1117" spans="1:1">
      <c r="A1117" s="12" t="s">
        <v>24</v>
      </c>
    </row>
    <row r="1118" spans="1:1">
      <c r="A1118" s="12" t="s">
        <v>24</v>
      </c>
    </row>
    <row r="1119" spans="1:1">
      <c r="A1119" s="12"/>
    </row>
    <row r="1120" spans="1:1">
      <c r="A1120" s="12" t="s">
        <v>24</v>
      </c>
    </row>
    <row r="1121" spans="1:1">
      <c r="A1121" s="12" t="s">
        <v>24</v>
      </c>
    </row>
    <row r="1122" spans="1:1">
      <c r="A1122" s="12"/>
    </row>
    <row r="1123" spans="1:1">
      <c r="A1123" s="12" t="s">
        <v>24</v>
      </c>
    </row>
    <row r="1124" spans="1:1">
      <c r="A1124" s="12" t="s">
        <v>24</v>
      </c>
    </row>
    <row r="1125" spans="1:1">
      <c r="A1125" s="12"/>
    </row>
    <row r="1126" spans="1:1">
      <c r="A1126" s="12" t="s">
        <v>24</v>
      </c>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t="s">
        <v>24</v>
      </c>
    </row>
    <row r="1144" spans="1:1">
      <c r="A1144" s="12"/>
    </row>
    <row r="1145" spans="1:1">
      <c r="A1145" s="12" t="s">
        <v>24</v>
      </c>
    </row>
    <row r="1146" spans="1:1">
      <c r="A1146" s="12" t="s">
        <v>24</v>
      </c>
    </row>
    <row r="1147" spans="1:1">
      <c r="A1147" s="12"/>
    </row>
    <row r="1148" spans="1:1">
      <c r="A1148" s="12" t="s">
        <v>24</v>
      </c>
    </row>
    <row r="1149" spans="1:1">
      <c r="A1149" s="12" t="s">
        <v>24</v>
      </c>
    </row>
    <row r="1150" spans="1:1">
      <c r="A1150" s="12" t="s">
        <v>24</v>
      </c>
    </row>
    <row r="1151" spans="1:1">
      <c r="A1151" s="12" t="s">
        <v>24</v>
      </c>
    </row>
    <row r="1152" spans="1:1">
      <c r="A1152" s="12" t="s">
        <v>24</v>
      </c>
    </row>
    <row r="1153" spans="1:1">
      <c r="A1153" s="12"/>
    </row>
    <row r="1154" spans="1:1">
      <c r="A1154" s="12" t="s">
        <v>24</v>
      </c>
    </row>
    <row r="1155" spans="1:1">
      <c r="A1155" s="12" t="s">
        <v>24</v>
      </c>
    </row>
    <row r="1156" spans="1:1">
      <c r="A1156" s="12" t="s">
        <v>24</v>
      </c>
    </row>
    <row r="1157" spans="1:1">
      <c r="A1157" s="12" t="s">
        <v>24</v>
      </c>
    </row>
    <row r="1158" spans="1:1">
      <c r="A1158" s="12" t="s">
        <v>24</v>
      </c>
    </row>
    <row r="1159" spans="1:1">
      <c r="A1159" s="12" t="s">
        <v>24</v>
      </c>
    </row>
    <row r="1160" spans="1:1">
      <c r="A1160" s="12" t="s">
        <v>24</v>
      </c>
    </row>
    <row r="1161" spans="1:1">
      <c r="A1161" s="12"/>
    </row>
    <row r="1162" spans="1:1">
      <c r="A1162" s="12" t="s">
        <v>24</v>
      </c>
    </row>
    <row r="1163" spans="1:1">
      <c r="A1163" s="12" t="s">
        <v>24</v>
      </c>
    </row>
    <row r="1164" spans="1:1">
      <c r="A1164" s="12" t="s">
        <v>24</v>
      </c>
    </row>
    <row r="1165" spans="1:1">
      <c r="A1165" s="12" t="s">
        <v>24</v>
      </c>
    </row>
    <row r="1166" spans="1:1">
      <c r="A1166" s="12" t="s">
        <v>24</v>
      </c>
    </row>
    <row r="1167" spans="1:1">
      <c r="A1167" s="12" t="s">
        <v>24</v>
      </c>
    </row>
    <row r="1168" spans="1:1">
      <c r="A1168" s="12" t="s">
        <v>24</v>
      </c>
    </row>
    <row r="1169" spans="1:1">
      <c r="A1169" s="12"/>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t="s">
        <v>24</v>
      </c>
    </row>
    <row r="1180" spans="1:1">
      <c r="A1180" s="12" t="s">
        <v>24</v>
      </c>
    </row>
    <row r="1181" spans="1:1">
      <c r="A1181" s="12"/>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row>
    <row r="1189" spans="1:1">
      <c r="A1189" s="12"/>
    </row>
    <row r="1190" spans="1:1">
      <c r="A1190" s="12" t="s">
        <v>24</v>
      </c>
    </row>
    <row r="1191" spans="1:1">
      <c r="A1191" s="12" t="s">
        <v>24</v>
      </c>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t="s">
        <v>24</v>
      </c>
    </row>
    <row r="1215" spans="1:1">
      <c r="A1215" s="12" t="s">
        <v>24</v>
      </c>
    </row>
    <row r="1216" spans="1:1">
      <c r="A1216" s="12" t="s">
        <v>24</v>
      </c>
    </row>
    <row r="1217" spans="1:1">
      <c r="A1217" s="12" t="s">
        <v>24</v>
      </c>
    </row>
    <row r="1218" spans="1:1">
      <c r="A1218" s="12" t="s">
        <v>24</v>
      </c>
    </row>
    <row r="1219" spans="1:1">
      <c r="A1219" s="12"/>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row>
    <row r="1227" spans="1:1">
      <c r="A1227" s="12" t="s">
        <v>24</v>
      </c>
    </row>
    <row r="1228" spans="1:1">
      <c r="A1228" s="12" t="s">
        <v>24</v>
      </c>
    </row>
    <row r="1229" spans="1:1">
      <c r="A1229" s="12" t="s">
        <v>24</v>
      </c>
    </row>
    <row r="1230" spans="1:1">
      <c r="A1230" s="12"/>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row>
    <row r="1316" spans="1:1">
      <c r="A1316" s="12" t="s">
        <v>24</v>
      </c>
    </row>
    <row r="1317" spans="1:1">
      <c r="A1317" s="12" t="s">
        <v>24</v>
      </c>
    </row>
    <row r="1318" spans="1:1">
      <c r="A1318" s="12"/>
    </row>
    <row r="1319" spans="1:1">
      <c r="A1319" s="12" t="s">
        <v>24</v>
      </c>
    </row>
    <row r="1320" spans="1:1">
      <c r="A1320" s="12" t="s">
        <v>24</v>
      </c>
    </row>
    <row r="1321" spans="1:1">
      <c r="A1321" s="12"/>
    </row>
    <row r="1322" spans="1:1">
      <c r="A1322" s="12" t="s">
        <v>24</v>
      </c>
    </row>
    <row r="1323" spans="1:1">
      <c r="A1323" s="12"/>
    </row>
    <row r="1324" spans="1:1">
      <c r="A1324" s="12" t="s">
        <v>24</v>
      </c>
    </row>
    <row r="1325" spans="1:1">
      <c r="A1325" s="12" t="s">
        <v>24</v>
      </c>
    </row>
    <row r="1326" spans="1:1">
      <c r="A1326" s="12" t="s">
        <v>24</v>
      </c>
    </row>
    <row r="1327" spans="1:1">
      <c r="A1327" s="12" t="s">
        <v>24</v>
      </c>
    </row>
    <row r="1328" spans="1:1">
      <c r="A1328" s="12" t="s">
        <v>24</v>
      </c>
    </row>
    <row r="1329" spans="1:1">
      <c r="A1329" s="12"/>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t="s">
        <v>24</v>
      </c>
    </row>
    <row r="1367" spans="1:1">
      <c r="A1367" s="12" t="s">
        <v>24</v>
      </c>
    </row>
    <row r="1368" spans="1:1">
      <c r="A1368" s="12"/>
    </row>
    <row r="1369" spans="1:1">
      <c r="A1369" s="12" t="s">
        <v>24</v>
      </c>
    </row>
    <row r="1370" spans="1:1">
      <c r="A1370" s="12" t="s">
        <v>24</v>
      </c>
    </row>
    <row r="1371" spans="1:1">
      <c r="A1371" s="12" t="s">
        <v>24</v>
      </c>
    </row>
    <row r="1372" spans="1:1">
      <c r="A1372" s="12"/>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row>
    <row r="1394" spans="1:1">
      <c r="A1394" s="12" t="s">
        <v>24</v>
      </c>
    </row>
    <row r="1395" spans="1:1">
      <c r="A1395" s="12" t="s">
        <v>24</v>
      </c>
    </row>
    <row r="1396" spans="1:1">
      <c r="A1396" s="12"/>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t="s">
        <v>24</v>
      </c>
    </row>
    <row r="1441" spans="1:1">
      <c r="A1441" s="12"/>
    </row>
    <row r="1442" spans="1:1">
      <c r="A1442" s="12" t="s">
        <v>24</v>
      </c>
    </row>
    <row r="1443" spans="1:1">
      <c r="A1443" s="12"/>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row>
    <row r="1467" spans="1:1">
      <c r="A1467" s="12" t="s">
        <v>24</v>
      </c>
    </row>
    <row r="1468" spans="1:1">
      <c r="A1468" s="12" t="s">
        <v>24</v>
      </c>
    </row>
    <row r="1469" spans="1:1">
      <c r="A1469" s="12" t="s">
        <v>24</v>
      </c>
    </row>
    <row r="1470" spans="1:1">
      <c r="A1470" s="12" t="s">
        <v>24</v>
      </c>
    </row>
    <row r="1471" spans="1:1">
      <c r="A1471" s="12" t="s">
        <v>24</v>
      </c>
    </row>
    <row r="1472" spans="1:1">
      <c r="A1472" s="12" t="s">
        <v>24</v>
      </c>
    </row>
    <row r="1473" spans="1:1">
      <c r="A1473" s="12"/>
    </row>
    <row r="1474" spans="1:1">
      <c r="A1474" s="12" t="s">
        <v>24</v>
      </c>
    </row>
    <row r="1475" spans="1:1">
      <c r="A1475" s="12" t="s">
        <v>24</v>
      </c>
    </row>
    <row r="1476" spans="1:1">
      <c r="A1476" s="12" t="s">
        <v>24</v>
      </c>
    </row>
    <row r="1477" spans="1:1">
      <c r="A1477" s="12" t="s">
        <v>24</v>
      </c>
    </row>
    <row r="1478" spans="1:1">
      <c r="A1478" s="12" t="s">
        <v>24</v>
      </c>
    </row>
    <row r="1479" spans="1:1">
      <c r="A1479" s="12" t="s">
        <v>24</v>
      </c>
    </row>
    <row r="1480" spans="1:1">
      <c r="A1480" s="12" t="s">
        <v>24</v>
      </c>
    </row>
    <row r="1481" spans="1:1">
      <c r="A1481" s="12" t="s">
        <v>24</v>
      </c>
    </row>
    <row r="1482" spans="1:1">
      <c r="A1482" s="12"/>
    </row>
    <row r="1483" spans="1:1">
      <c r="A1483" s="12" t="s">
        <v>24</v>
      </c>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row>
    <row r="1492" spans="1:1">
      <c r="A1492" s="12" t="s">
        <v>24</v>
      </c>
    </row>
    <row r="1493" spans="1:1">
      <c r="A1493" s="12" t="s">
        <v>24</v>
      </c>
    </row>
    <row r="1494" spans="1:1">
      <c r="A1494" s="12"/>
    </row>
    <row r="1495" spans="1:1">
      <c r="A1495" s="12"/>
    </row>
    <row r="1496" spans="1:1">
      <c r="A1496" s="12" t="s">
        <v>24</v>
      </c>
    </row>
    <row r="1497" spans="1:1">
      <c r="A1497" s="12" t="s">
        <v>24</v>
      </c>
    </row>
    <row r="1498" spans="1:1">
      <c r="A1498" s="12"/>
    </row>
    <row r="1499" spans="1:1">
      <c r="A1499" s="12" t="s">
        <v>24</v>
      </c>
    </row>
    <row r="1500" spans="1:1">
      <c r="A1500" s="12"/>
    </row>
    <row r="1501" spans="1:1">
      <c r="A1501" s="12" t="s">
        <v>24</v>
      </c>
    </row>
    <row r="1502" spans="1:1">
      <c r="A1502" s="12"/>
    </row>
    <row r="1503" spans="1:1">
      <c r="A1503" s="12" t="s">
        <v>24</v>
      </c>
    </row>
    <row r="1504" spans="1:1">
      <c r="A1504" s="12"/>
    </row>
    <row r="1505" spans="1:1">
      <c r="A1505" s="12" t="s">
        <v>24</v>
      </c>
    </row>
    <row r="1506" spans="1:1">
      <c r="A1506" s="12" t="s">
        <v>24</v>
      </c>
    </row>
    <row r="1507" spans="1:1">
      <c r="A1507" s="12" t="s">
        <v>24</v>
      </c>
    </row>
    <row r="1508" spans="1:1">
      <c r="A1508" s="12" t="s">
        <v>24</v>
      </c>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row>
    <row r="1518" spans="1:1">
      <c r="A1518" s="12" t="s">
        <v>24</v>
      </c>
    </row>
    <row r="1519" spans="1:1">
      <c r="A1519" s="12"/>
    </row>
    <row r="1520" spans="1:1">
      <c r="A1520" s="12" t="s">
        <v>24</v>
      </c>
    </row>
    <row r="1521" spans="1:1">
      <c r="A1521" s="12" t="s">
        <v>24</v>
      </c>
    </row>
    <row r="1522" spans="1:1">
      <c r="A1522" s="12" t="s">
        <v>24</v>
      </c>
    </row>
    <row r="1523" spans="1:1">
      <c r="A1523" s="12"/>
    </row>
    <row r="1524" spans="1:1">
      <c r="A1524" s="12" t="s">
        <v>24</v>
      </c>
    </row>
    <row r="1525" spans="1:1">
      <c r="A1525" s="12" t="s">
        <v>24</v>
      </c>
    </row>
    <row r="1526" spans="1:1">
      <c r="A1526" s="12" t="s">
        <v>24</v>
      </c>
    </row>
    <row r="1527" spans="1:1">
      <c r="A1527" s="12" t="s">
        <v>24</v>
      </c>
    </row>
    <row r="1528" spans="1:1">
      <c r="A1528" s="12" t="s">
        <v>24</v>
      </c>
    </row>
    <row r="1529" spans="1:1">
      <c r="A1529" s="12"/>
    </row>
    <row r="1530" spans="1:1">
      <c r="A1530" s="12" t="s">
        <v>24</v>
      </c>
    </row>
    <row r="1531" spans="1:1">
      <c r="A1531" s="12"/>
    </row>
    <row r="1532" spans="1:1">
      <c r="A1532" s="12" t="s">
        <v>24</v>
      </c>
    </row>
    <row r="1533" spans="1:1">
      <c r="A1533" s="12"/>
    </row>
    <row r="1534" spans="1:1">
      <c r="A1534" s="12" t="s">
        <v>24</v>
      </c>
    </row>
    <row r="1535" spans="1:1">
      <c r="A1535" s="12" t="s">
        <v>24</v>
      </c>
    </row>
    <row r="1536" spans="1:1">
      <c r="A1536" s="12" t="s">
        <v>24</v>
      </c>
    </row>
    <row r="1537" spans="1:1">
      <c r="A1537" s="12"/>
    </row>
    <row r="1538" spans="1:1">
      <c r="A1538" s="12" t="s">
        <v>24</v>
      </c>
    </row>
    <row r="1539" spans="1:1">
      <c r="A1539" s="12"/>
    </row>
    <row r="1540" spans="1:1">
      <c r="A1540" s="12" t="s">
        <v>24</v>
      </c>
    </row>
    <row r="1541" spans="1:1">
      <c r="A1541" s="12" t="s">
        <v>24</v>
      </c>
    </row>
    <row r="1542" spans="1:1">
      <c r="A1542" s="12" t="s">
        <v>24</v>
      </c>
    </row>
    <row r="1543" spans="1:1">
      <c r="A1543" s="12" t="s">
        <v>24</v>
      </c>
    </row>
    <row r="1544" spans="1:1">
      <c r="A1544" s="12"/>
    </row>
    <row r="1545" spans="1:1">
      <c r="A1545" s="12" t="s">
        <v>24</v>
      </c>
    </row>
    <row r="1546" spans="1:1">
      <c r="A1546" s="12"/>
    </row>
    <row r="1547" spans="1:1">
      <c r="A1547" s="12" t="s">
        <v>24</v>
      </c>
    </row>
    <row r="1548" spans="1:1">
      <c r="A1548" s="12" t="s">
        <v>24</v>
      </c>
    </row>
    <row r="1549" spans="1:1">
      <c r="A1549" s="12" t="s">
        <v>24</v>
      </c>
    </row>
    <row r="1550" spans="1:1">
      <c r="A1550" s="12" t="s">
        <v>24</v>
      </c>
    </row>
    <row r="1551" spans="1:1">
      <c r="A1551" s="12"/>
    </row>
    <row r="1552" spans="1:1">
      <c r="A1552" s="12" t="s">
        <v>24</v>
      </c>
    </row>
    <row r="1553" spans="1:1">
      <c r="A1553" s="12" t="s">
        <v>24</v>
      </c>
    </row>
    <row r="1554" spans="1:1">
      <c r="A1554" s="12"/>
    </row>
    <row r="1555" spans="1:1">
      <c r="A1555" s="12" t="s">
        <v>24</v>
      </c>
    </row>
    <row r="1556" spans="1:1">
      <c r="A1556" s="12" t="s">
        <v>24</v>
      </c>
    </row>
    <row r="1557" spans="1:1">
      <c r="A1557" s="12" t="s">
        <v>24</v>
      </c>
    </row>
    <row r="1558" spans="1:1">
      <c r="A1558" s="12" t="s">
        <v>24</v>
      </c>
    </row>
    <row r="1559" spans="1:1">
      <c r="A1559" s="12"/>
    </row>
    <row r="1560" spans="1:1">
      <c r="A1560" s="12" t="s">
        <v>24</v>
      </c>
    </row>
    <row r="1561" spans="1:1">
      <c r="A1561" s="12" t="s">
        <v>24</v>
      </c>
    </row>
    <row r="1562" spans="1:1">
      <c r="A1562" s="12"/>
    </row>
    <row r="1563" spans="1:1">
      <c r="A1563" s="12" t="s">
        <v>24</v>
      </c>
    </row>
    <row r="1564" spans="1:1">
      <c r="A1564" s="12"/>
    </row>
    <row r="1565" spans="1:1">
      <c r="A1565" s="12" t="s">
        <v>24</v>
      </c>
    </row>
    <row r="1566" spans="1:1">
      <c r="A1566" s="12"/>
    </row>
    <row r="1567" spans="1:1">
      <c r="A1567" s="12" t="s">
        <v>24</v>
      </c>
    </row>
    <row r="1568" spans="1:1">
      <c r="A1568" s="12"/>
    </row>
    <row r="1569" spans="1:1">
      <c r="A1569" s="12" t="s">
        <v>24</v>
      </c>
    </row>
    <row r="1570" spans="1:1">
      <c r="A1570" s="12"/>
    </row>
    <row r="1571" spans="1:1">
      <c r="A1571" s="12" t="s">
        <v>24</v>
      </c>
    </row>
    <row r="1572" spans="1:1">
      <c r="A1572" s="12"/>
    </row>
    <row r="1573" spans="1:1">
      <c r="A1573" s="12" t="s">
        <v>24</v>
      </c>
    </row>
    <row r="1574" spans="1:1">
      <c r="A1574" s="12" t="s">
        <v>24</v>
      </c>
    </row>
    <row r="1575" spans="1:1">
      <c r="A1575" s="12"/>
    </row>
    <row r="1576" spans="1:1">
      <c r="A1576" s="12" t="s">
        <v>24</v>
      </c>
    </row>
    <row r="1577" spans="1:1">
      <c r="A1577" s="12"/>
    </row>
    <row r="1578" spans="1:1">
      <c r="A1578" s="12" t="s">
        <v>24</v>
      </c>
    </row>
    <row r="1579" spans="1:1">
      <c r="A1579" s="12"/>
    </row>
    <row r="1580" spans="1:1">
      <c r="A1580" s="12" t="s">
        <v>24</v>
      </c>
    </row>
    <row r="1581" spans="1:1">
      <c r="A1581" s="12"/>
    </row>
    <row r="1582" spans="1:1">
      <c r="A1582" s="12" t="s">
        <v>24</v>
      </c>
    </row>
    <row r="1583" spans="1:1">
      <c r="A1583" s="12"/>
    </row>
    <row r="1584" spans="1:1">
      <c r="A1584" s="12" t="s">
        <v>24</v>
      </c>
    </row>
    <row r="1585" spans="1:1">
      <c r="A1585" s="12" t="s">
        <v>24</v>
      </c>
    </row>
    <row r="1586" spans="1:1">
      <c r="A1586" s="12" t="s">
        <v>24</v>
      </c>
    </row>
    <row r="1587" spans="1:1">
      <c r="A1587" s="12"/>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t="s">
        <v>24</v>
      </c>
    </row>
    <row r="1596" spans="1:1">
      <c r="A1596" s="12"/>
    </row>
    <row r="1597" spans="1:1">
      <c r="A1597" s="12" t="s">
        <v>24</v>
      </c>
    </row>
    <row r="1598" spans="1:1">
      <c r="A1598" s="12" t="s">
        <v>24</v>
      </c>
    </row>
    <row r="1599" spans="1:1">
      <c r="A1599" s="12" t="s">
        <v>24</v>
      </c>
    </row>
    <row r="1600" spans="1:1">
      <c r="A1600" s="12"/>
    </row>
    <row r="1601" spans="1:1">
      <c r="A1601" s="12" t="s">
        <v>24</v>
      </c>
    </row>
    <row r="1602" spans="1:1">
      <c r="A1602" s="12"/>
    </row>
    <row r="1603" spans="1:1">
      <c r="A1603" s="12" t="s">
        <v>24</v>
      </c>
    </row>
    <row r="1604" spans="1:1">
      <c r="A1604" s="12" t="s">
        <v>24</v>
      </c>
    </row>
    <row r="1605" spans="1:1">
      <c r="A1605" s="12" t="s">
        <v>24</v>
      </c>
    </row>
    <row r="1606" spans="1:1">
      <c r="A1606" s="12" t="s">
        <v>24</v>
      </c>
    </row>
    <row r="1607" spans="1:1">
      <c r="A1607" s="12" t="s">
        <v>24</v>
      </c>
    </row>
    <row r="1608" spans="1:1">
      <c r="A1608" s="12"/>
    </row>
    <row r="1609" spans="1:1">
      <c r="A1609" s="12" t="s">
        <v>24</v>
      </c>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row>
    <row r="1617" spans="1:1">
      <c r="A1617" s="12" t="s">
        <v>24</v>
      </c>
    </row>
    <row r="1618" spans="1:1">
      <c r="A1618" s="12" t="s">
        <v>24</v>
      </c>
    </row>
    <row r="1619" spans="1:1">
      <c r="A1619" s="12"/>
    </row>
    <row r="1620" spans="1:1">
      <c r="A1620" s="12" t="s">
        <v>24</v>
      </c>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row>
    <row r="1631" spans="1:1">
      <c r="A1631" s="12" t="s">
        <v>24</v>
      </c>
    </row>
    <row r="1632" spans="1:1">
      <c r="A1632" s="12" t="s">
        <v>24</v>
      </c>
    </row>
    <row r="1633" spans="1:1">
      <c r="A1633" s="12"/>
    </row>
    <row r="1634" spans="1:1">
      <c r="A1634" s="12" t="s">
        <v>24</v>
      </c>
    </row>
    <row r="1635" spans="1:1">
      <c r="A1635" s="12" t="s">
        <v>24</v>
      </c>
    </row>
    <row r="1636" spans="1:1">
      <c r="A1636" s="12"/>
    </row>
    <row r="1637" spans="1:1">
      <c r="A1637" s="12" t="s">
        <v>24</v>
      </c>
    </row>
    <row r="1638" spans="1:1">
      <c r="A1638" s="12"/>
    </row>
    <row r="1639" spans="1:1">
      <c r="A1639" s="12" t="s">
        <v>24</v>
      </c>
    </row>
    <row r="1640" spans="1:1">
      <c r="A1640" s="12"/>
    </row>
    <row r="1641" spans="1:1">
      <c r="A1641" s="12" t="s">
        <v>24</v>
      </c>
    </row>
    <row r="1642" spans="1:1">
      <c r="A1642" s="12"/>
    </row>
    <row r="1643" spans="1:1">
      <c r="A1643" s="12" t="s">
        <v>24</v>
      </c>
    </row>
    <row r="1644" spans="1:1">
      <c r="A1644" s="12" t="s">
        <v>24</v>
      </c>
    </row>
    <row r="1645" spans="1:1">
      <c r="A1645" s="12" t="s">
        <v>24</v>
      </c>
    </row>
    <row r="1646" spans="1:1">
      <c r="A1646" s="12"/>
    </row>
    <row r="1647" spans="1:1">
      <c r="A1647" s="12" t="s">
        <v>24</v>
      </c>
    </row>
    <row r="1648" spans="1:1">
      <c r="A1648" s="12" t="s">
        <v>24</v>
      </c>
    </row>
    <row r="1649" spans="1:1">
      <c r="A1649" s="12" t="s">
        <v>24</v>
      </c>
    </row>
    <row r="1650" spans="1:1">
      <c r="A1650" s="12" t="s">
        <v>24</v>
      </c>
    </row>
    <row r="1651" spans="1:1">
      <c r="A1651" s="12" t="s">
        <v>24</v>
      </c>
    </row>
    <row r="1652" spans="1:1">
      <c r="A1652" s="12"/>
    </row>
    <row r="1653" spans="1:1">
      <c r="A1653" s="12" t="s">
        <v>24</v>
      </c>
    </row>
    <row r="1654" spans="1:1">
      <c r="A1654" s="12"/>
    </row>
    <row r="1655" spans="1:1">
      <c r="A1655" s="12" t="s">
        <v>24</v>
      </c>
    </row>
    <row r="1656" spans="1:1">
      <c r="A1656" s="12"/>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row>
    <row r="1664" spans="1:1">
      <c r="A1664" s="12" t="s">
        <v>24</v>
      </c>
    </row>
    <row r="1665" spans="1:1">
      <c r="A1665" s="12"/>
    </row>
    <row r="1666" spans="1:1">
      <c r="A1666" s="12" t="s">
        <v>24</v>
      </c>
    </row>
    <row r="1667" spans="1:1">
      <c r="A1667" s="12" t="s">
        <v>24</v>
      </c>
    </row>
    <row r="1668" spans="1:1">
      <c r="A1668" s="12" t="s">
        <v>24</v>
      </c>
    </row>
    <row r="1669" spans="1:1">
      <c r="A1669" s="12" t="s">
        <v>24</v>
      </c>
    </row>
    <row r="1670" spans="1:1">
      <c r="A1670" s="12" t="s">
        <v>24</v>
      </c>
    </row>
    <row r="1671" spans="1:1">
      <c r="A1671" s="12"/>
    </row>
    <row r="1672" spans="1:1">
      <c r="A1672" s="12" t="s">
        <v>24</v>
      </c>
    </row>
    <row r="1673" spans="1:1">
      <c r="A1673" s="12"/>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row>
    <row r="1683" spans="1:27">
      <c r="A1683" s="12" t="s">
        <v>24</v>
      </c>
    </row>
    <row r="1684" spans="1:27">
      <c r="A1684" s="12" t="s">
        <v>24</v>
      </c>
    </row>
    <row r="1685" spans="1:27">
      <c r="A1685" s="12"/>
    </row>
    <row r="1686" spans="1:27">
      <c r="A1686" s="12" t="s">
        <v>24</v>
      </c>
    </row>
    <row r="1687" spans="1:27">
      <c r="A1687" s="12" t="s">
        <v>24</v>
      </c>
    </row>
    <row r="1688" spans="1:27">
      <c r="A1688" s="12"/>
    </row>
    <row r="1689" spans="1:27">
      <c r="A1689" s="12" t="s">
        <v>24</v>
      </c>
    </row>
    <row r="1690" spans="1:27">
      <c r="A1690" s="12"/>
    </row>
    <row r="1691" spans="1:27">
      <c r="A1691" s="12" t="s">
        <v>24</v>
      </c>
    </row>
    <row r="1692" spans="1:27">
      <c r="A1692" s="12"/>
    </row>
    <row r="1693" spans="1:27">
      <c r="A1693" s="12" t="s">
        <v>24</v>
      </c>
      <c r="AA1693" t="s">
        <v>2978</v>
      </c>
    </row>
    <row r="1694" spans="1:27" ht="15" customHeight="1">
      <c r="A1694" s="12"/>
    </row>
    <row r="1695" spans="1:27" ht="15" customHeight="1">
      <c r="A1695" s="12" t="s">
        <v>24</v>
      </c>
    </row>
    <row r="1696" spans="1:27" ht="15" customHeight="1">
      <c r="A1696" s="12" t="s">
        <v>24</v>
      </c>
    </row>
    <row r="1697" spans="1:1" ht="15" customHeight="1">
      <c r="A1697" s="12"/>
    </row>
    <row r="1698" spans="1:1" ht="15" customHeight="1">
      <c r="A1698" s="12" t="s">
        <v>24</v>
      </c>
    </row>
    <row r="1699" spans="1:1" ht="15" customHeight="1">
      <c r="A1699" s="12" t="s">
        <v>24</v>
      </c>
    </row>
    <row r="1700" spans="1:1" ht="15" customHeight="1">
      <c r="A1700" s="12" t="s">
        <v>24</v>
      </c>
    </row>
    <row r="1701" spans="1:1" ht="15" customHeight="1">
      <c r="A1701" s="12"/>
    </row>
    <row r="1702" spans="1:1" ht="15" customHeight="1">
      <c r="A1702" s="12" t="s">
        <v>24</v>
      </c>
    </row>
    <row r="1703" spans="1:1" ht="15" customHeight="1">
      <c r="A1703" s="12"/>
    </row>
    <row r="1704" spans="1:1" ht="15" customHeight="1">
      <c r="A1704" s="12"/>
    </row>
    <row r="1705" spans="1:1" ht="15" customHeight="1">
      <c r="A1705" s="12" t="s">
        <v>24</v>
      </c>
    </row>
    <row r="1706" spans="1:1" ht="15" customHeight="1">
      <c r="A1706" s="12"/>
    </row>
    <row r="1707" spans="1:1" ht="15" customHeight="1">
      <c r="A1707" s="12" t="s">
        <v>24</v>
      </c>
    </row>
    <row r="1708" spans="1:1" ht="15" customHeight="1">
      <c r="A1708" s="12" t="s">
        <v>24</v>
      </c>
    </row>
    <row r="1709" spans="1:1" ht="15" customHeight="1">
      <c r="A1709" s="12" t="s">
        <v>24</v>
      </c>
    </row>
    <row r="1710" spans="1:1" ht="15" customHeight="1">
      <c r="A1710" t="s">
        <v>2419</v>
      </c>
    </row>
    <row r="1727" spans="1:1" ht="15" customHeight="1">
      <c r="A1727" s="10" t="s">
        <v>2462</v>
      </c>
    </row>
    <row r="1729" spans="1:1" ht="15" customHeight="1">
      <c r="A1729" s="10" t="s">
        <v>2461</v>
      </c>
    </row>
    <row r="1779" spans="2:18" ht="15" customHeight="1">
      <c r="B1779" s="211"/>
    </row>
    <row r="1781" spans="2:18" ht="15" customHeight="1">
      <c r="C1781" s="211"/>
      <c r="D1781" s="211"/>
      <c r="E1781" s="211"/>
      <c r="F1781" s="211"/>
      <c r="G1781" s="211"/>
      <c r="H1781" s="211"/>
      <c r="I1781" s="211"/>
      <c r="J1781" s="211"/>
      <c r="K1781" s="211"/>
      <c r="L1781" s="211"/>
      <c r="M1781" s="211"/>
      <c r="N1781" s="211"/>
      <c r="O1781" s="211"/>
      <c r="P1781" s="211"/>
      <c r="Q1781" s="211"/>
      <c r="R1781" s="211"/>
    </row>
    <row r="1879" spans="1:1" ht="15" customHeight="1">
      <c r="A1879" s="211"/>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79"/>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10" t="s">
        <v>2460</v>
      </c>
      <c r="F1" s="652">
        <f>SUM(L:L)</f>
        <v>28.797599999999999</v>
      </c>
      <c r="H1" s="664">
        <f>IF(F1&gt;100,F1/10^(LEN(F1)-2),F1)</f>
        <v>28.797599999999999</v>
      </c>
    </row>
    <row r="2" spans="1:12"/>
    <row r="3" spans="1:12">
      <c r="A3" t="s">
        <v>2402</v>
      </c>
      <c r="J3" s="652" t="str">
        <f>IF(A3="Devizy","Devizy","")</f>
        <v/>
      </c>
      <c r="K3" s="652" t="str">
        <f>IFERROR(IF(AND(J3="Devizy",FIND("Nakupujeme ",A3)=1),RIGHT(A3,7),""),"")</f>
        <v/>
      </c>
      <c r="L3" s="652" t="str">
        <f>IFERROR(K3+M3,"")</f>
        <v/>
      </c>
    </row>
    <row r="4" spans="1:12">
      <c r="A4" t="s">
        <v>2409</v>
      </c>
      <c r="J4" s="652" t="str">
        <f>IF(OR(A4="Devizy",J3="Devizy"),"Devizy","")</f>
        <v/>
      </c>
      <c r="K4" s="652" t="str">
        <f>IFERROR(IF(AND(J4="Devizy",FIND("Nakupujeme ",A4)=1),RIGHT(A4,7),""),"")</f>
        <v/>
      </c>
      <c r="L4" s="652" t="str">
        <f>IFERROR(K4+M4,"")</f>
        <v/>
      </c>
    </row>
    <row r="5" spans="1:12">
      <c r="A5" t="s">
        <v>14044</v>
      </c>
      <c r="J5" s="652" t="str">
        <f t="shared" ref="J5:J68" si="0">IF(OR(A5="Devizy",J4="Devizy"),"Devizy","")</f>
        <v/>
      </c>
      <c r="K5" s="652" t="str">
        <f t="shared" ref="K5:K68" si="1">IFERROR(IF(AND(J5="Devizy",FIND("Nakupujeme ",A5)=1),RIGHT(A5,7),""),"")</f>
        <v/>
      </c>
      <c r="L5" s="652" t="str">
        <f t="shared" ref="L5:L68" si="2">IFERROR(K5+M5,"")</f>
        <v/>
      </c>
    </row>
    <row r="6" spans="1:12">
      <c r="A6" t="s">
        <v>13690</v>
      </c>
      <c r="J6" s="652" t="str">
        <f t="shared" si="0"/>
        <v/>
      </c>
      <c r="K6" s="652" t="str">
        <f t="shared" si="1"/>
        <v/>
      </c>
      <c r="L6" s="652" t="str">
        <f t="shared" si="2"/>
        <v/>
      </c>
    </row>
    <row r="7" spans="1:12">
      <c r="J7" s="652" t="str">
        <f t="shared" si="0"/>
        <v/>
      </c>
      <c r="K7" s="652" t="str">
        <f t="shared" si="1"/>
        <v/>
      </c>
      <c r="L7" s="652" t="str">
        <f t="shared" si="2"/>
        <v/>
      </c>
    </row>
    <row r="8" spans="1:12">
      <c r="A8" t="s">
        <v>2418</v>
      </c>
      <c r="J8" s="652" t="str">
        <f t="shared" si="0"/>
        <v/>
      </c>
      <c r="K8" s="652" t="str">
        <f t="shared" si="1"/>
        <v/>
      </c>
      <c r="L8" s="652" t="str">
        <f t="shared" si="2"/>
        <v/>
      </c>
    </row>
    <row r="9" spans="1:12">
      <c r="J9" s="652" t="str">
        <f t="shared" si="0"/>
        <v/>
      </c>
      <c r="K9" s="652" t="str">
        <f t="shared" si="1"/>
        <v/>
      </c>
      <c r="L9" s="652" t="str">
        <f t="shared" si="2"/>
        <v/>
      </c>
    </row>
    <row r="10" spans="1:12">
      <c r="A10" t="s">
        <v>13691</v>
      </c>
      <c r="J10" s="652" t="str">
        <f t="shared" si="0"/>
        <v/>
      </c>
      <c r="K10" s="652" t="str">
        <f t="shared" si="1"/>
        <v/>
      </c>
      <c r="L10" s="652" t="str">
        <f t="shared" si="2"/>
        <v/>
      </c>
    </row>
    <row r="11" spans="1:12">
      <c r="A11" t="s">
        <v>14046</v>
      </c>
      <c r="J11" s="652" t="str">
        <f t="shared" si="0"/>
        <v/>
      </c>
      <c r="K11" s="652" t="str">
        <f t="shared" si="1"/>
        <v/>
      </c>
      <c r="L11" s="652" t="str">
        <f t="shared" si="2"/>
        <v/>
      </c>
    </row>
    <row r="12" spans="1:12">
      <c r="A12" t="s">
        <v>13722</v>
      </c>
      <c r="J12" s="652" t="str">
        <f t="shared" si="0"/>
        <v/>
      </c>
      <c r="K12" s="652" t="str">
        <f t="shared" si="1"/>
        <v/>
      </c>
      <c r="L12" s="652" t="str">
        <f t="shared" si="2"/>
        <v/>
      </c>
    </row>
    <row r="13" spans="1:12">
      <c r="A13" t="s">
        <v>13716</v>
      </c>
      <c r="J13" s="652" t="str">
        <f t="shared" si="0"/>
        <v/>
      </c>
      <c r="K13" s="652" t="str">
        <f t="shared" si="1"/>
        <v/>
      </c>
      <c r="L13" s="652" t="str">
        <f t="shared" si="2"/>
        <v/>
      </c>
    </row>
    <row r="14" spans="1:12">
      <c r="A14" t="s">
        <v>13717</v>
      </c>
      <c r="J14" s="652" t="str">
        <f t="shared" si="0"/>
        <v/>
      </c>
      <c r="K14" s="652" t="str">
        <f t="shared" si="1"/>
        <v/>
      </c>
      <c r="L14" s="652" t="str">
        <f t="shared" si="2"/>
        <v/>
      </c>
    </row>
    <row r="15" spans="1:12">
      <c r="A15" t="s">
        <v>13691</v>
      </c>
      <c r="J15" s="652" t="str">
        <f t="shared" si="0"/>
        <v/>
      </c>
      <c r="K15" s="652" t="str">
        <f t="shared" si="1"/>
        <v/>
      </c>
      <c r="L15" s="652" t="str">
        <f t="shared" si="2"/>
        <v/>
      </c>
    </row>
    <row r="16" spans="1:12">
      <c r="A16" t="s">
        <v>13692</v>
      </c>
      <c r="J16" s="652" t="str">
        <f t="shared" si="0"/>
        <v/>
      </c>
      <c r="K16" s="652" t="str">
        <f t="shared" si="1"/>
        <v/>
      </c>
      <c r="L16" s="652" t="str">
        <f t="shared" si="2"/>
        <v/>
      </c>
    </row>
    <row r="17" spans="1:43">
      <c r="J17" s="652" t="str">
        <f t="shared" si="0"/>
        <v/>
      </c>
      <c r="K17" s="652" t="str">
        <f t="shared" si="1"/>
        <v/>
      </c>
      <c r="L17" s="652" t="str">
        <f t="shared" si="2"/>
        <v/>
      </c>
    </row>
    <row r="18" spans="1:43">
      <c r="A18" t="s">
        <v>2403</v>
      </c>
      <c r="J18" s="652" t="str">
        <f t="shared" si="0"/>
        <v/>
      </c>
      <c r="K18" s="652" t="str">
        <f t="shared" si="1"/>
        <v/>
      </c>
      <c r="L18" s="652" t="str">
        <f t="shared" si="2"/>
        <v/>
      </c>
    </row>
    <row r="19" spans="1:43">
      <c r="J19" s="652" t="str">
        <f t="shared" si="0"/>
        <v/>
      </c>
      <c r="K19" s="652" t="str">
        <f t="shared" si="1"/>
        <v/>
      </c>
      <c r="L19" s="652" t="str">
        <f t="shared" si="2"/>
        <v/>
      </c>
    </row>
    <row r="20" spans="1:43">
      <c r="J20" s="652" t="str">
        <f t="shared" si="0"/>
        <v/>
      </c>
      <c r="K20" s="652" t="str">
        <f t="shared" si="1"/>
        <v/>
      </c>
      <c r="L20" s="652" t="str">
        <f t="shared" si="2"/>
        <v/>
      </c>
    </row>
    <row r="21" spans="1:43">
      <c r="A21" t="s">
        <v>13693</v>
      </c>
      <c r="J21" s="652" t="str">
        <f t="shared" si="0"/>
        <v/>
      </c>
      <c r="K21" s="652" t="str">
        <f t="shared" si="1"/>
        <v/>
      </c>
      <c r="L21" s="652" t="str">
        <f t="shared" si="2"/>
        <v/>
      </c>
    </row>
    <row r="22" spans="1:43">
      <c r="A22" t="s">
        <v>13694</v>
      </c>
      <c r="J22" s="652" t="str">
        <f t="shared" si="0"/>
        <v/>
      </c>
      <c r="K22" s="652" t="str">
        <f t="shared" si="1"/>
        <v/>
      </c>
      <c r="L22" s="652" t="str">
        <f t="shared" si="2"/>
        <v/>
      </c>
      <c r="AQ22" t="str">
        <f>IF($AK$3=1,"",IF(OR(AA22&lt;&gt;"",AA22&lt;&gt;0),IF(OR(AB22="SKLADEM",AB22=$V$3,AB22=$V$9),$V$10,""),""))</f>
        <v/>
      </c>
    </row>
    <row r="23" spans="1:43">
      <c r="A23" t="s">
        <v>14048</v>
      </c>
      <c r="J23" s="652" t="str">
        <f t="shared" si="0"/>
        <v/>
      </c>
      <c r="K23" s="652" t="str">
        <f t="shared" si="1"/>
        <v/>
      </c>
      <c r="L23" s="652" t="str">
        <f t="shared" si="2"/>
        <v/>
      </c>
    </row>
    <row r="24" spans="1:43">
      <c r="A24" s="3" t="s">
        <v>13695</v>
      </c>
      <c r="J24" s="652" t="str">
        <f t="shared" si="0"/>
        <v/>
      </c>
      <c r="K24" s="652" t="str">
        <f t="shared" si="1"/>
        <v/>
      </c>
      <c r="L24" s="652" t="str">
        <f t="shared" si="2"/>
        <v/>
      </c>
    </row>
    <row r="25" spans="1:43">
      <c r="A25" t="s">
        <v>13696</v>
      </c>
      <c r="J25" s="652" t="str">
        <f t="shared" si="0"/>
        <v/>
      </c>
      <c r="K25" s="652" t="str">
        <f t="shared" si="1"/>
        <v/>
      </c>
      <c r="L25" s="652" t="str">
        <f t="shared" si="2"/>
        <v/>
      </c>
    </row>
    <row r="26" spans="1:43">
      <c r="A26" s="3"/>
      <c r="J26" s="652" t="str">
        <f t="shared" si="0"/>
        <v/>
      </c>
      <c r="K26" s="652" t="str">
        <f t="shared" si="1"/>
        <v/>
      </c>
      <c r="L26" s="652" t="str">
        <f t="shared" si="2"/>
        <v/>
      </c>
    </row>
    <row r="27" spans="1:43">
      <c r="A27" t="s">
        <v>2404</v>
      </c>
      <c r="J27" s="652" t="str">
        <f t="shared" si="0"/>
        <v/>
      </c>
      <c r="K27" s="652" t="str">
        <f t="shared" si="1"/>
        <v/>
      </c>
      <c r="L27" s="652" t="str">
        <f t="shared" si="2"/>
        <v/>
      </c>
    </row>
    <row r="28" spans="1:43">
      <c r="J28" s="652" t="str">
        <f t="shared" si="0"/>
        <v/>
      </c>
      <c r="K28" s="652" t="str">
        <f t="shared" si="1"/>
        <v/>
      </c>
      <c r="L28" s="652" t="str">
        <f t="shared" si="2"/>
        <v/>
      </c>
    </row>
    <row r="29" spans="1:43">
      <c r="J29" s="652" t="str">
        <f t="shared" si="0"/>
        <v/>
      </c>
      <c r="K29" s="652" t="str">
        <f t="shared" si="1"/>
        <v/>
      </c>
      <c r="L29" s="652" t="str">
        <f t="shared" si="2"/>
        <v/>
      </c>
      <c r="W29" s="27"/>
    </row>
    <row r="30" spans="1:43">
      <c r="A30" t="s">
        <v>13697</v>
      </c>
      <c r="C30" s="139"/>
      <c r="J30" s="652" t="str">
        <f t="shared" si="0"/>
        <v/>
      </c>
      <c r="K30" s="652" t="str">
        <f t="shared" si="1"/>
        <v/>
      </c>
      <c r="L30" s="652" t="str">
        <f t="shared" si="2"/>
        <v/>
      </c>
    </row>
    <row r="31" spans="1:43">
      <c r="A31" t="s">
        <v>13698</v>
      </c>
      <c r="J31" s="652" t="str">
        <f t="shared" si="0"/>
        <v/>
      </c>
      <c r="K31" s="652" t="str">
        <f t="shared" si="1"/>
        <v/>
      </c>
      <c r="L31" s="652" t="str">
        <f t="shared" si="2"/>
        <v/>
      </c>
    </row>
    <row r="32" spans="1:43">
      <c r="J32" s="652" t="str">
        <f t="shared" si="0"/>
        <v/>
      </c>
      <c r="K32" s="652" t="str">
        <f t="shared" si="1"/>
        <v/>
      </c>
      <c r="L32" s="652" t="str">
        <f t="shared" si="2"/>
        <v/>
      </c>
    </row>
    <row r="33" spans="1:12">
      <c r="A33" t="s">
        <v>2405</v>
      </c>
      <c r="J33" s="652" t="str">
        <f t="shared" si="0"/>
        <v/>
      </c>
      <c r="K33" s="652" t="str">
        <f t="shared" si="1"/>
        <v/>
      </c>
      <c r="L33" s="652" t="str">
        <f t="shared" si="2"/>
        <v/>
      </c>
    </row>
    <row r="34" spans="1:12">
      <c r="J34" s="652" t="str">
        <f t="shared" si="0"/>
        <v/>
      </c>
      <c r="K34" s="652" t="str">
        <f t="shared" si="1"/>
        <v/>
      </c>
      <c r="L34" s="652" t="str">
        <f t="shared" si="2"/>
        <v/>
      </c>
    </row>
    <row r="35" spans="1:12">
      <c r="J35" s="652" t="str">
        <f t="shared" si="0"/>
        <v/>
      </c>
      <c r="K35" s="652" t="str">
        <f t="shared" si="1"/>
        <v/>
      </c>
      <c r="L35" s="652" t="str">
        <f t="shared" si="2"/>
        <v/>
      </c>
    </row>
    <row r="36" spans="1:12">
      <c r="A36" t="s">
        <v>14047</v>
      </c>
      <c r="J36" s="652" t="str">
        <f t="shared" si="0"/>
        <v/>
      </c>
      <c r="K36" s="652" t="str">
        <f t="shared" si="1"/>
        <v/>
      </c>
      <c r="L36" s="652" t="str">
        <f t="shared" si="2"/>
        <v/>
      </c>
    </row>
    <row r="37" spans="1:12">
      <c r="A37" t="s">
        <v>13699</v>
      </c>
      <c r="J37" s="652" t="str">
        <f t="shared" si="0"/>
        <v/>
      </c>
      <c r="K37" s="652" t="str">
        <f t="shared" si="1"/>
        <v/>
      </c>
      <c r="L37" s="652" t="str">
        <f t="shared" si="2"/>
        <v/>
      </c>
    </row>
    <row r="38" spans="1:12">
      <c r="A38" t="s">
        <v>13700</v>
      </c>
      <c r="J38" s="652" t="str">
        <f t="shared" si="0"/>
        <v/>
      </c>
      <c r="K38" s="652" t="str">
        <f t="shared" si="1"/>
        <v/>
      </c>
      <c r="L38" s="652" t="str">
        <f t="shared" si="2"/>
        <v/>
      </c>
    </row>
    <row r="39" spans="1:12">
      <c r="A39" s="3" t="s">
        <v>14050</v>
      </c>
      <c r="J39" s="652" t="str">
        <f t="shared" si="0"/>
        <v/>
      </c>
      <c r="K39" s="652" t="str">
        <f t="shared" si="1"/>
        <v/>
      </c>
      <c r="L39" s="652" t="str">
        <f t="shared" si="2"/>
        <v/>
      </c>
    </row>
    <row r="40" spans="1:12">
      <c r="A40" t="s">
        <v>13696</v>
      </c>
      <c r="J40" s="652" t="str">
        <f t="shared" si="0"/>
        <v/>
      </c>
      <c r="K40" s="652" t="str">
        <f t="shared" si="1"/>
        <v/>
      </c>
      <c r="L40" s="652" t="str">
        <f t="shared" si="2"/>
        <v/>
      </c>
    </row>
    <row r="41" spans="1:12">
      <c r="A41" s="3"/>
      <c r="J41" s="652" t="str">
        <f t="shared" si="0"/>
        <v/>
      </c>
      <c r="K41" s="652" t="str">
        <f t="shared" si="1"/>
        <v/>
      </c>
      <c r="L41" s="652" t="str">
        <f t="shared" si="2"/>
        <v/>
      </c>
    </row>
    <row r="42" spans="1:12">
      <c r="A42" t="s">
        <v>2406</v>
      </c>
      <c r="J42" s="652" t="str">
        <f t="shared" si="0"/>
        <v/>
      </c>
      <c r="K42" s="652" t="str">
        <f t="shared" si="1"/>
        <v/>
      </c>
      <c r="L42" s="652" t="str">
        <f t="shared" si="2"/>
        <v/>
      </c>
    </row>
    <row r="43" spans="1:12">
      <c r="J43" s="652" t="str">
        <f t="shared" si="0"/>
        <v/>
      </c>
      <c r="K43" s="652" t="str">
        <f t="shared" si="1"/>
        <v/>
      </c>
      <c r="L43" s="652" t="str">
        <f t="shared" si="2"/>
        <v/>
      </c>
    </row>
    <row r="44" spans="1:12">
      <c r="J44" s="652" t="str">
        <f t="shared" si="0"/>
        <v/>
      </c>
      <c r="K44" s="652" t="str">
        <f t="shared" si="1"/>
        <v/>
      </c>
      <c r="L44" s="652" t="str">
        <f t="shared" si="2"/>
        <v/>
      </c>
    </row>
    <row r="45" spans="1:12">
      <c r="A45" s="3" t="s">
        <v>13701</v>
      </c>
      <c r="J45" s="652" t="str">
        <f t="shared" si="0"/>
        <v/>
      </c>
      <c r="K45" s="652" t="str">
        <f t="shared" si="1"/>
        <v/>
      </c>
      <c r="L45" s="652" t="str">
        <f t="shared" si="2"/>
        <v/>
      </c>
    </row>
    <row r="46" spans="1:12">
      <c r="A46" t="s">
        <v>13702</v>
      </c>
      <c r="J46" s="652" t="str">
        <f t="shared" si="0"/>
        <v/>
      </c>
      <c r="K46" s="652" t="str">
        <f t="shared" si="1"/>
        <v/>
      </c>
      <c r="L46" s="652" t="str">
        <f t="shared" si="2"/>
        <v/>
      </c>
    </row>
    <row r="47" spans="1:12">
      <c r="A47" t="s">
        <v>13703</v>
      </c>
      <c r="J47" s="652" t="str">
        <f t="shared" si="0"/>
        <v/>
      </c>
      <c r="K47" s="652" t="str">
        <f t="shared" si="1"/>
        <v/>
      </c>
      <c r="L47" s="652" t="str">
        <f t="shared" si="2"/>
        <v/>
      </c>
    </row>
    <row r="48" spans="1:12">
      <c r="A48" t="s">
        <v>13704</v>
      </c>
      <c r="J48" s="652" t="str">
        <f t="shared" si="0"/>
        <v/>
      </c>
      <c r="K48" s="652" t="str">
        <f t="shared" si="1"/>
        <v/>
      </c>
      <c r="L48" s="652" t="str">
        <f t="shared" si="2"/>
        <v/>
      </c>
    </row>
    <row r="49" spans="1:12">
      <c r="A49" t="s">
        <v>13696</v>
      </c>
      <c r="J49" s="652" t="str">
        <f t="shared" si="0"/>
        <v/>
      </c>
      <c r="K49" s="652" t="str">
        <f t="shared" si="1"/>
        <v/>
      </c>
      <c r="L49" s="652" t="str">
        <f t="shared" si="2"/>
        <v/>
      </c>
    </row>
    <row r="50" spans="1:12">
      <c r="A50" s="3"/>
      <c r="J50" s="652" t="str">
        <f t="shared" si="0"/>
        <v/>
      </c>
      <c r="K50" s="652" t="str">
        <f t="shared" si="1"/>
        <v/>
      </c>
      <c r="L50" s="652" t="str">
        <f t="shared" si="2"/>
        <v/>
      </c>
    </row>
    <row r="51" spans="1:12">
      <c r="A51" t="s">
        <v>2407</v>
      </c>
      <c r="J51" s="652" t="str">
        <f t="shared" si="0"/>
        <v/>
      </c>
      <c r="K51" s="652" t="str">
        <f t="shared" si="1"/>
        <v/>
      </c>
      <c r="L51" s="652" t="str">
        <f t="shared" si="2"/>
        <v/>
      </c>
    </row>
    <row r="52" spans="1:12">
      <c r="J52" s="652" t="str">
        <f t="shared" si="0"/>
        <v/>
      </c>
      <c r="K52" s="652" t="str">
        <f t="shared" si="1"/>
        <v/>
      </c>
      <c r="L52" s="652" t="str">
        <f t="shared" si="2"/>
        <v/>
      </c>
    </row>
    <row r="53" spans="1:12">
      <c r="J53" s="652" t="str">
        <f t="shared" si="0"/>
        <v/>
      </c>
      <c r="K53" s="652" t="str">
        <f t="shared" si="1"/>
        <v/>
      </c>
      <c r="L53" s="652" t="str">
        <f t="shared" si="2"/>
        <v/>
      </c>
    </row>
    <row r="54" spans="1:12">
      <c r="A54" t="s">
        <v>13705</v>
      </c>
      <c r="J54" s="652" t="str">
        <f t="shared" si="0"/>
        <v/>
      </c>
      <c r="K54" s="652" t="str">
        <f t="shared" si="1"/>
        <v/>
      </c>
      <c r="L54" s="652" t="str">
        <f t="shared" si="2"/>
        <v/>
      </c>
    </row>
    <row r="55" spans="1:12">
      <c r="A55" t="s">
        <v>13706</v>
      </c>
      <c r="J55" s="652" t="str">
        <f t="shared" si="0"/>
        <v/>
      </c>
      <c r="K55" s="652" t="str">
        <f t="shared" si="1"/>
        <v/>
      </c>
      <c r="L55" s="652" t="str">
        <f t="shared" si="2"/>
        <v/>
      </c>
    </row>
    <row r="56" spans="1:12">
      <c r="A56" t="s">
        <v>13707</v>
      </c>
      <c r="J56" s="652" t="str">
        <f t="shared" si="0"/>
        <v/>
      </c>
      <c r="K56" s="652" t="str">
        <f t="shared" si="1"/>
        <v/>
      </c>
      <c r="L56" s="652" t="str">
        <f t="shared" si="2"/>
        <v/>
      </c>
    </row>
    <row r="57" spans="1:12">
      <c r="A57" t="s">
        <v>13708</v>
      </c>
      <c r="J57" s="652" t="str">
        <f t="shared" si="0"/>
        <v/>
      </c>
      <c r="K57" s="652" t="str">
        <f t="shared" si="1"/>
        <v/>
      </c>
      <c r="L57" s="652" t="str">
        <f t="shared" si="2"/>
        <v/>
      </c>
    </row>
    <row r="58" spans="1:12">
      <c r="A58" s="3" t="s">
        <v>13696</v>
      </c>
      <c r="J58" s="652" t="str">
        <f t="shared" si="0"/>
        <v/>
      </c>
      <c r="K58" s="652" t="str">
        <f t="shared" si="1"/>
        <v/>
      </c>
      <c r="L58" s="652" t="str">
        <f t="shared" si="2"/>
        <v/>
      </c>
    </row>
    <row r="59" spans="1:12">
      <c r="J59" s="652" t="str">
        <f t="shared" si="0"/>
        <v/>
      </c>
      <c r="K59" s="652" t="str">
        <f t="shared" si="1"/>
        <v/>
      </c>
      <c r="L59" s="652" t="str">
        <f t="shared" si="2"/>
        <v/>
      </c>
    </row>
    <row r="60" spans="1:12">
      <c r="A60" s="3" t="s">
        <v>2408</v>
      </c>
      <c r="J60" s="652" t="str">
        <f t="shared" si="0"/>
        <v/>
      </c>
      <c r="K60" s="652" t="str">
        <f t="shared" si="1"/>
        <v/>
      </c>
      <c r="L60" s="652" t="str">
        <f t="shared" si="2"/>
        <v/>
      </c>
    </row>
    <row r="61" spans="1:12">
      <c r="A61" s="3"/>
      <c r="J61" s="652" t="str">
        <f t="shared" si="0"/>
        <v/>
      </c>
      <c r="K61" s="652" t="str">
        <f t="shared" si="1"/>
        <v/>
      </c>
      <c r="L61" s="652" t="str">
        <f t="shared" si="2"/>
        <v/>
      </c>
    </row>
    <row r="62" spans="1:12">
      <c r="A62" s="3"/>
      <c r="J62" s="652" t="str">
        <f t="shared" si="0"/>
        <v/>
      </c>
      <c r="K62" s="652" t="str">
        <f t="shared" si="1"/>
        <v/>
      </c>
      <c r="L62" s="652" t="str">
        <f t="shared" si="2"/>
        <v/>
      </c>
    </row>
    <row r="63" spans="1:12">
      <c r="A63" t="s">
        <v>13709</v>
      </c>
      <c r="J63" s="652" t="str">
        <f t="shared" si="0"/>
        <v/>
      </c>
      <c r="K63" s="652" t="str">
        <f t="shared" si="1"/>
        <v/>
      </c>
      <c r="L63" s="652" t="str">
        <f t="shared" si="2"/>
        <v/>
      </c>
    </row>
    <row r="64" spans="1:12">
      <c r="A64" s="3" t="s">
        <v>13710</v>
      </c>
      <c r="J64" s="652" t="str">
        <f t="shared" si="0"/>
        <v/>
      </c>
      <c r="K64" s="652" t="str">
        <f t="shared" si="1"/>
        <v/>
      </c>
      <c r="L64" s="652" t="str">
        <f t="shared" si="2"/>
        <v/>
      </c>
    </row>
    <row r="65" spans="1:12">
      <c r="A65" s="3" t="s">
        <v>13711</v>
      </c>
      <c r="J65" s="652" t="str">
        <f t="shared" si="0"/>
        <v/>
      </c>
      <c r="K65" s="652" t="str">
        <f t="shared" si="1"/>
        <v/>
      </c>
      <c r="L65" s="652" t="str">
        <f t="shared" si="2"/>
        <v/>
      </c>
    </row>
    <row r="66" spans="1:12">
      <c r="A66" s="3" t="s">
        <v>13712</v>
      </c>
      <c r="J66" s="652" t="str">
        <f t="shared" si="0"/>
        <v/>
      </c>
      <c r="K66" s="652" t="str">
        <f t="shared" si="1"/>
        <v/>
      </c>
      <c r="L66" s="652" t="str">
        <f t="shared" si="2"/>
        <v/>
      </c>
    </row>
    <row r="67" spans="1:12">
      <c r="A67" t="s">
        <v>13696</v>
      </c>
      <c r="J67" s="652" t="str">
        <f t="shared" si="0"/>
        <v/>
      </c>
      <c r="K67" s="652" t="str">
        <f t="shared" si="1"/>
        <v/>
      </c>
      <c r="L67" s="652" t="str">
        <f t="shared" si="2"/>
        <v/>
      </c>
    </row>
    <row r="68" spans="1:12">
      <c r="A68" s="3"/>
      <c r="J68" s="652" t="str">
        <f t="shared" si="0"/>
        <v/>
      </c>
      <c r="K68" s="652" t="str">
        <f t="shared" si="1"/>
        <v/>
      </c>
      <c r="L68" s="652" t="str">
        <f t="shared" si="2"/>
        <v/>
      </c>
    </row>
    <row r="69" spans="1:12">
      <c r="A69" s="3" t="s">
        <v>13714</v>
      </c>
      <c r="J69" s="652" t="str">
        <f t="shared" ref="J69:J132" si="3">IF(OR(A69="Devizy",J68="Devizy"),"Devizy","")</f>
        <v/>
      </c>
      <c r="K69" s="652" t="str">
        <f t="shared" ref="K69:K132" si="4">IFERROR(IF(AND(J69="Devizy",FIND("Nakupujeme ",A69)=1),RIGHT(A69,7),""),"")</f>
        <v/>
      </c>
      <c r="L69" s="652" t="str">
        <f t="shared" ref="L69:L132" si="5">IFERROR(K69+M69,"")</f>
        <v/>
      </c>
    </row>
    <row r="70" spans="1:12">
      <c r="A70" s="4" t="s">
        <v>13713</v>
      </c>
      <c r="J70" s="652" t="str">
        <f t="shared" si="3"/>
        <v/>
      </c>
      <c r="K70" s="652" t="str">
        <f t="shared" si="4"/>
        <v/>
      </c>
      <c r="L70" s="652" t="str">
        <f t="shared" si="5"/>
        <v/>
      </c>
    </row>
    <row r="71" spans="1:12">
      <c r="J71" s="652" t="str">
        <f t="shared" si="3"/>
        <v/>
      </c>
      <c r="K71" s="652" t="str">
        <f t="shared" si="4"/>
        <v/>
      </c>
      <c r="L71" s="652" t="str">
        <f t="shared" si="5"/>
        <v/>
      </c>
    </row>
    <row r="72" spans="1:12">
      <c r="A72" t="s">
        <v>13715</v>
      </c>
      <c r="J72" s="652" t="str">
        <f t="shared" si="3"/>
        <v/>
      </c>
      <c r="K72" s="652" t="str">
        <f t="shared" si="4"/>
        <v/>
      </c>
      <c r="L72" s="652" t="str">
        <f t="shared" si="5"/>
        <v/>
      </c>
    </row>
    <row r="73" spans="1:12">
      <c r="A73" t="s">
        <v>13716</v>
      </c>
      <c r="J73" s="652" t="str">
        <f t="shared" si="3"/>
        <v/>
      </c>
      <c r="K73" s="652" t="str">
        <f t="shared" si="4"/>
        <v/>
      </c>
      <c r="L73" s="652" t="str">
        <f t="shared" si="5"/>
        <v/>
      </c>
    </row>
    <row r="74" spans="1:12">
      <c r="J74" s="652" t="str">
        <f t="shared" si="3"/>
        <v/>
      </c>
      <c r="K74" s="652" t="str">
        <f t="shared" si="4"/>
        <v/>
      </c>
      <c r="L74" s="652" t="str">
        <f t="shared" si="5"/>
        <v/>
      </c>
    </row>
    <row r="75" spans="1:12">
      <c r="A75" s="4" t="s">
        <v>13717</v>
      </c>
      <c r="J75" s="652" t="str">
        <f t="shared" si="3"/>
        <v/>
      </c>
      <c r="K75" s="652" t="str">
        <f t="shared" si="4"/>
        <v/>
      </c>
      <c r="L75" s="652" t="str">
        <f t="shared" si="5"/>
        <v/>
      </c>
    </row>
    <row r="76" spans="1:12">
      <c r="A76" t="s">
        <v>14767</v>
      </c>
      <c r="J76" s="652" t="str">
        <f t="shared" si="3"/>
        <v/>
      </c>
      <c r="K76" s="652" t="str">
        <f t="shared" si="4"/>
        <v/>
      </c>
      <c r="L76" s="652" t="str">
        <f t="shared" si="5"/>
        <v/>
      </c>
    </row>
    <row r="77" spans="1:12">
      <c r="A77" t="s">
        <v>14768</v>
      </c>
      <c r="J77" s="652" t="str">
        <f t="shared" si="3"/>
        <v/>
      </c>
      <c r="K77" s="652" t="str">
        <f t="shared" si="4"/>
        <v/>
      </c>
      <c r="L77" s="652" t="str">
        <f t="shared" si="5"/>
        <v/>
      </c>
    </row>
    <row r="78" spans="1:12">
      <c r="A78" s="4" t="s">
        <v>14769</v>
      </c>
      <c r="J78" s="652" t="str">
        <f t="shared" si="3"/>
        <v/>
      </c>
      <c r="K78" s="652" t="str">
        <f t="shared" si="4"/>
        <v/>
      </c>
      <c r="L78" s="652" t="str">
        <f t="shared" si="5"/>
        <v/>
      </c>
    </row>
    <row r="79" spans="1:12">
      <c r="A79" t="s">
        <v>13719</v>
      </c>
      <c r="J79" s="652" t="str">
        <f t="shared" si="3"/>
        <v/>
      </c>
      <c r="K79" s="652" t="str">
        <f t="shared" si="4"/>
        <v/>
      </c>
      <c r="L79" s="652" t="str">
        <f t="shared" si="5"/>
        <v/>
      </c>
    </row>
    <row r="80" spans="1:12">
      <c r="A80" s="3"/>
      <c r="J80" s="652" t="str">
        <f t="shared" si="3"/>
        <v/>
      </c>
      <c r="K80" s="652" t="str">
        <f t="shared" si="4"/>
        <v/>
      </c>
      <c r="L80" s="652" t="str">
        <f t="shared" si="5"/>
        <v/>
      </c>
    </row>
    <row r="81" spans="1:12">
      <c r="A81" s="3" t="s">
        <v>13720</v>
      </c>
      <c r="J81" s="652" t="str">
        <f t="shared" si="3"/>
        <v/>
      </c>
      <c r="K81" s="652" t="str">
        <f t="shared" si="4"/>
        <v/>
      </c>
      <c r="L81" s="652" t="str">
        <f t="shared" si="5"/>
        <v/>
      </c>
    </row>
    <row r="82" spans="1:12">
      <c r="J82" s="652" t="str">
        <f t="shared" si="3"/>
        <v/>
      </c>
      <c r="K82" s="652" t="str">
        <f t="shared" si="4"/>
        <v/>
      </c>
      <c r="L82" s="652" t="str">
        <f t="shared" si="5"/>
        <v/>
      </c>
    </row>
    <row r="83" spans="1:12">
      <c r="A83" s="4"/>
      <c r="J83" s="652" t="str">
        <f t="shared" si="3"/>
        <v/>
      </c>
      <c r="K83" s="652" t="str">
        <f t="shared" si="4"/>
        <v/>
      </c>
      <c r="L83" s="652" t="str">
        <f t="shared" si="5"/>
        <v/>
      </c>
    </row>
    <row r="84" spans="1:12">
      <c r="A84" s="3" t="s">
        <v>13721</v>
      </c>
      <c r="J84" s="652" t="str">
        <f t="shared" si="3"/>
        <v/>
      </c>
      <c r="K84" s="652" t="str">
        <f t="shared" si="4"/>
        <v/>
      </c>
      <c r="L84" s="652" t="str">
        <f t="shared" si="5"/>
        <v/>
      </c>
    </row>
    <row r="85" spans="1:12">
      <c r="A85" s="3" t="s">
        <v>13722</v>
      </c>
      <c r="J85" s="652" t="str">
        <f t="shared" si="3"/>
        <v/>
      </c>
      <c r="K85" s="652" t="str">
        <f t="shared" si="4"/>
        <v/>
      </c>
      <c r="L85" s="652" t="str">
        <f t="shared" si="5"/>
        <v/>
      </c>
    </row>
    <row r="86" spans="1:12">
      <c r="A86" s="3" t="s">
        <v>13723</v>
      </c>
      <c r="J86" s="652" t="str">
        <f t="shared" si="3"/>
        <v/>
      </c>
      <c r="K86" s="652" t="str">
        <f t="shared" si="4"/>
        <v/>
      </c>
      <c r="L86" s="652" t="str">
        <f t="shared" si="5"/>
        <v/>
      </c>
    </row>
    <row r="87" spans="1:12">
      <c r="A87" t="s">
        <v>13724</v>
      </c>
      <c r="J87" s="652" t="str">
        <f t="shared" si="3"/>
        <v/>
      </c>
      <c r="K87" s="652" t="str">
        <f t="shared" si="4"/>
        <v/>
      </c>
      <c r="L87" s="652" t="str">
        <f t="shared" si="5"/>
        <v/>
      </c>
    </row>
    <row r="88" spans="1:12">
      <c r="A88" s="3"/>
      <c r="J88" s="652" t="str">
        <f t="shared" si="3"/>
        <v/>
      </c>
      <c r="K88" s="652" t="str">
        <f t="shared" si="4"/>
        <v/>
      </c>
      <c r="L88" s="652" t="str">
        <f t="shared" si="5"/>
        <v/>
      </c>
    </row>
    <row r="89" spans="1:12">
      <c r="A89" s="3" t="s">
        <v>13725</v>
      </c>
      <c r="J89" s="652" t="str">
        <f t="shared" si="3"/>
        <v/>
      </c>
      <c r="K89" s="652" t="str">
        <f t="shared" si="4"/>
        <v/>
      </c>
      <c r="L89" s="652" t="str">
        <f t="shared" si="5"/>
        <v/>
      </c>
    </row>
    <row r="90" spans="1:12">
      <c r="A90" t="s">
        <v>13726</v>
      </c>
      <c r="J90" s="652" t="str">
        <f t="shared" si="3"/>
        <v/>
      </c>
      <c r="K90" s="652" t="str">
        <f t="shared" si="4"/>
        <v/>
      </c>
      <c r="L90" s="652" t="str">
        <f t="shared" si="5"/>
        <v/>
      </c>
    </row>
    <row r="91" spans="1:12">
      <c r="A91" s="4" t="s">
        <v>13727</v>
      </c>
      <c r="J91" s="652" t="str">
        <f t="shared" si="3"/>
        <v/>
      </c>
      <c r="K91" s="652" t="str">
        <f t="shared" si="4"/>
        <v/>
      </c>
      <c r="L91" s="652" t="str">
        <f t="shared" si="5"/>
        <v/>
      </c>
    </row>
    <row r="92" spans="1:12">
      <c r="J92" s="652" t="str">
        <f t="shared" si="3"/>
        <v/>
      </c>
      <c r="K92" s="652" t="str">
        <f t="shared" si="4"/>
        <v/>
      </c>
      <c r="L92" s="652" t="str">
        <f t="shared" si="5"/>
        <v/>
      </c>
    </row>
    <row r="93" spans="1:12">
      <c r="A93" t="s">
        <v>13728</v>
      </c>
      <c r="J93" s="652" t="str">
        <f t="shared" si="3"/>
        <v/>
      </c>
      <c r="K93" s="652" t="str">
        <f t="shared" si="4"/>
        <v/>
      </c>
      <c r="L93" s="652" t="str">
        <f t="shared" si="5"/>
        <v/>
      </c>
    </row>
    <row r="94" spans="1:12">
      <c r="A94" t="s">
        <v>13729</v>
      </c>
      <c r="J94" s="652" t="str">
        <f t="shared" si="3"/>
        <v/>
      </c>
      <c r="K94" s="652" t="str">
        <f t="shared" si="4"/>
        <v/>
      </c>
      <c r="L94" s="652" t="str">
        <f t="shared" si="5"/>
        <v/>
      </c>
    </row>
    <row r="95" spans="1:12">
      <c r="A95" t="s">
        <v>13774</v>
      </c>
      <c r="J95" s="652" t="str">
        <f t="shared" si="3"/>
        <v/>
      </c>
      <c r="K95" s="652" t="str">
        <f t="shared" si="4"/>
        <v/>
      </c>
      <c r="L95" s="652" t="str">
        <f t="shared" si="5"/>
        <v/>
      </c>
    </row>
    <row r="96" spans="1:12">
      <c r="A96" t="s">
        <v>11783</v>
      </c>
      <c r="J96" s="652" t="str">
        <f t="shared" si="3"/>
        <v/>
      </c>
      <c r="K96" s="652" t="str">
        <f t="shared" si="4"/>
        <v/>
      </c>
      <c r="L96" s="652" t="str">
        <f t="shared" si="5"/>
        <v/>
      </c>
    </row>
    <row r="97" spans="1:12">
      <c r="A97" s="4" t="s">
        <v>11783</v>
      </c>
      <c r="J97" s="652" t="str">
        <f t="shared" si="3"/>
        <v/>
      </c>
      <c r="K97" s="652" t="str">
        <f t="shared" si="4"/>
        <v/>
      </c>
      <c r="L97" s="652" t="str">
        <f t="shared" si="5"/>
        <v/>
      </c>
    </row>
    <row r="98" spans="1:12">
      <c r="A98" t="s">
        <v>13718</v>
      </c>
      <c r="J98" s="652" t="str">
        <f t="shared" si="3"/>
        <v/>
      </c>
      <c r="K98" s="652" t="str">
        <f t="shared" si="4"/>
        <v/>
      </c>
      <c r="L98" s="652" t="str">
        <f t="shared" si="5"/>
        <v/>
      </c>
    </row>
    <row r="99" spans="1:12">
      <c r="A99" s="4" t="s">
        <v>13730</v>
      </c>
      <c r="J99" s="652" t="str">
        <f t="shared" si="3"/>
        <v/>
      </c>
      <c r="K99" s="652" t="str">
        <f t="shared" si="4"/>
        <v/>
      </c>
      <c r="L99" s="652" t="str">
        <f t="shared" si="5"/>
        <v/>
      </c>
    </row>
    <row r="100" spans="1:12">
      <c r="A100" s="5" t="s">
        <v>13731</v>
      </c>
      <c r="J100" s="652" t="str">
        <f t="shared" si="3"/>
        <v/>
      </c>
      <c r="K100" s="652" t="str">
        <f t="shared" si="4"/>
        <v/>
      </c>
      <c r="L100" s="652" t="str">
        <f t="shared" si="5"/>
        <v/>
      </c>
    </row>
    <row r="101" spans="1:12">
      <c r="J101" s="652" t="str">
        <f t="shared" si="3"/>
        <v/>
      </c>
      <c r="K101" s="652" t="str">
        <f t="shared" si="4"/>
        <v/>
      </c>
      <c r="L101" s="652" t="str">
        <f t="shared" si="5"/>
        <v/>
      </c>
    </row>
    <row r="102" spans="1:12">
      <c r="A102" t="s">
        <v>14029</v>
      </c>
      <c r="J102" s="652" t="str">
        <f t="shared" si="3"/>
        <v/>
      </c>
      <c r="K102" s="652" t="str">
        <f t="shared" si="4"/>
        <v/>
      </c>
      <c r="L102" s="652" t="str">
        <f t="shared" si="5"/>
        <v/>
      </c>
    </row>
    <row r="103" spans="1:12">
      <c r="A103" t="s">
        <v>14030</v>
      </c>
      <c r="J103" s="652" t="str">
        <f t="shared" si="3"/>
        <v/>
      </c>
      <c r="K103" s="652" t="str">
        <f t="shared" si="4"/>
        <v/>
      </c>
      <c r="L103" s="652" t="str">
        <f t="shared" si="5"/>
        <v/>
      </c>
    </row>
    <row r="104" spans="1:12">
      <c r="A104" s="5" t="s">
        <v>14031</v>
      </c>
      <c r="J104" s="652" t="str">
        <f t="shared" si="3"/>
        <v/>
      </c>
      <c r="K104" s="652" t="str">
        <f t="shared" si="4"/>
        <v/>
      </c>
      <c r="L104" s="652" t="str">
        <f t="shared" si="5"/>
        <v/>
      </c>
    </row>
    <row r="105" spans="1:12">
      <c r="A105" s="5" t="s">
        <v>11989</v>
      </c>
      <c r="J105" s="652" t="str">
        <f t="shared" si="3"/>
        <v/>
      </c>
      <c r="K105" s="652" t="str">
        <f t="shared" si="4"/>
        <v/>
      </c>
      <c r="L105" s="652" t="str">
        <f t="shared" si="5"/>
        <v/>
      </c>
    </row>
    <row r="106" spans="1:12">
      <c r="A106" t="s">
        <v>13732</v>
      </c>
      <c r="J106" s="652" t="str">
        <f t="shared" si="3"/>
        <v/>
      </c>
      <c r="K106" s="652" t="str">
        <f t="shared" si="4"/>
        <v/>
      </c>
      <c r="L106" s="652" t="str">
        <f t="shared" si="5"/>
        <v/>
      </c>
    </row>
    <row r="107" spans="1:12">
      <c r="J107" s="652" t="str">
        <f t="shared" si="3"/>
        <v/>
      </c>
      <c r="K107" s="652" t="str">
        <f t="shared" si="4"/>
        <v/>
      </c>
      <c r="L107" s="652" t="str">
        <f t="shared" si="5"/>
        <v/>
      </c>
    </row>
    <row r="108" spans="1:12">
      <c r="A108" s="4" t="s">
        <v>2418</v>
      </c>
      <c r="J108" s="652" t="str">
        <f t="shared" si="3"/>
        <v/>
      </c>
      <c r="K108" s="652" t="str">
        <f t="shared" si="4"/>
        <v/>
      </c>
      <c r="L108" s="652" t="str">
        <f t="shared" si="5"/>
        <v/>
      </c>
    </row>
    <row r="109" spans="1:12">
      <c r="A109" s="4"/>
      <c r="J109" s="652" t="str">
        <f t="shared" si="3"/>
        <v/>
      </c>
      <c r="K109" s="652" t="str">
        <f t="shared" si="4"/>
        <v/>
      </c>
      <c r="L109" s="652" t="str">
        <f t="shared" si="5"/>
        <v/>
      </c>
    </row>
    <row r="110" spans="1:12">
      <c r="A110" t="s">
        <v>13691</v>
      </c>
      <c r="J110" s="652" t="str">
        <f t="shared" si="3"/>
        <v/>
      </c>
      <c r="K110" s="652" t="str">
        <f t="shared" si="4"/>
        <v/>
      </c>
      <c r="L110" s="652" t="str">
        <f t="shared" si="5"/>
        <v/>
      </c>
    </row>
    <row r="111" spans="1:12">
      <c r="A111" s="4" t="s">
        <v>14046</v>
      </c>
      <c r="J111" s="652" t="str">
        <f t="shared" si="3"/>
        <v/>
      </c>
      <c r="K111" s="652" t="str">
        <f t="shared" si="4"/>
        <v/>
      </c>
      <c r="L111" s="652" t="str">
        <f t="shared" si="5"/>
        <v/>
      </c>
    </row>
    <row r="112" spans="1:12">
      <c r="A112" s="4" t="s">
        <v>13722</v>
      </c>
      <c r="J112" s="652" t="str">
        <f t="shared" si="3"/>
        <v/>
      </c>
      <c r="K112" s="652" t="str">
        <f t="shared" si="4"/>
        <v/>
      </c>
      <c r="L112" s="652" t="str">
        <f t="shared" si="5"/>
        <v/>
      </c>
    </row>
    <row r="113" spans="1:12">
      <c r="A113" s="4" t="s">
        <v>13716</v>
      </c>
      <c r="J113" s="652" t="str">
        <f t="shared" si="3"/>
        <v/>
      </c>
      <c r="K113" s="652" t="str">
        <f t="shared" si="4"/>
        <v/>
      </c>
      <c r="L113" s="652" t="str">
        <f t="shared" si="5"/>
        <v/>
      </c>
    </row>
    <row r="114" spans="1:12">
      <c r="A114" t="s">
        <v>13717</v>
      </c>
      <c r="J114" s="652" t="str">
        <f t="shared" si="3"/>
        <v/>
      </c>
      <c r="K114" s="652" t="str">
        <f t="shared" si="4"/>
        <v/>
      </c>
      <c r="L114" s="652" t="str">
        <f t="shared" si="5"/>
        <v/>
      </c>
    </row>
    <row r="115" spans="1:12">
      <c r="A115" s="4" t="s">
        <v>13733</v>
      </c>
      <c r="J115" s="652" t="str">
        <f t="shared" si="3"/>
        <v/>
      </c>
      <c r="K115" s="652" t="str">
        <f t="shared" si="4"/>
        <v/>
      </c>
      <c r="L115" s="652" t="str">
        <f t="shared" si="5"/>
        <v/>
      </c>
    </row>
    <row r="116" spans="1:12">
      <c r="A116" s="4" t="s">
        <v>13734</v>
      </c>
      <c r="J116" s="652" t="str">
        <f t="shared" si="3"/>
        <v/>
      </c>
      <c r="K116" s="652" t="str">
        <f t="shared" si="4"/>
        <v/>
      </c>
      <c r="L116" s="652" t="str">
        <f t="shared" si="5"/>
        <v/>
      </c>
    </row>
    <row r="117" spans="1:12">
      <c r="A117" s="4" t="s">
        <v>14045</v>
      </c>
      <c r="J117" s="652" t="str">
        <f t="shared" si="3"/>
        <v/>
      </c>
      <c r="K117" s="652" t="str">
        <f t="shared" si="4"/>
        <v/>
      </c>
      <c r="L117" s="652" t="str">
        <f t="shared" si="5"/>
        <v/>
      </c>
    </row>
    <row r="118" spans="1:12">
      <c r="A118" s="4" t="s">
        <v>13691</v>
      </c>
      <c r="J118" s="652" t="str">
        <f t="shared" si="3"/>
        <v/>
      </c>
      <c r="K118" s="652" t="str">
        <f t="shared" si="4"/>
        <v/>
      </c>
      <c r="L118" s="652" t="str">
        <f t="shared" si="5"/>
        <v/>
      </c>
    </row>
    <row r="119" spans="1:12">
      <c r="A119" s="4" t="s">
        <v>13736</v>
      </c>
      <c r="J119" s="652" t="str">
        <f t="shared" si="3"/>
        <v/>
      </c>
      <c r="K119" s="652" t="str">
        <f t="shared" si="4"/>
        <v/>
      </c>
      <c r="L119" s="652" t="str">
        <f t="shared" si="5"/>
        <v/>
      </c>
    </row>
    <row r="120" spans="1:12">
      <c r="A120" s="4" t="s">
        <v>13693</v>
      </c>
      <c r="J120" s="652" t="str">
        <f t="shared" si="3"/>
        <v/>
      </c>
      <c r="K120" s="652" t="str">
        <f t="shared" si="4"/>
        <v/>
      </c>
      <c r="L120" s="652" t="str">
        <f t="shared" si="5"/>
        <v/>
      </c>
    </row>
    <row r="121" spans="1:12">
      <c r="A121" s="4" t="s">
        <v>13694</v>
      </c>
      <c r="J121" s="652" t="str">
        <f t="shared" si="3"/>
        <v/>
      </c>
      <c r="K121" s="652" t="str">
        <f t="shared" si="4"/>
        <v/>
      </c>
      <c r="L121" s="652" t="str">
        <f t="shared" si="5"/>
        <v/>
      </c>
    </row>
    <row r="122" spans="1:12">
      <c r="A122" t="s">
        <v>14048</v>
      </c>
      <c r="J122" s="652" t="str">
        <f t="shared" si="3"/>
        <v/>
      </c>
      <c r="K122" s="652" t="str">
        <f t="shared" si="4"/>
        <v/>
      </c>
      <c r="L122" s="652" t="str">
        <f t="shared" si="5"/>
        <v/>
      </c>
    </row>
    <row r="123" spans="1:12">
      <c r="A123" s="4" t="s">
        <v>13695</v>
      </c>
      <c r="J123" s="652" t="str">
        <f t="shared" si="3"/>
        <v/>
      </c>
      <c r="K123" s="652" t="str">
        <f t="shared" si="4"/>
        <v/>
      </c>
      <c r="L123" s="652" t="str">
        <f t="shared" si="5"/>
        <v/>
      </c>
    </row>
    <row r="124" spans="1:12">
      <c r="A124" s="4" t="s">
        <v>13696</v>
      </c>
      <c r="J124" s="652" t="str">
        <f t="shared" si="3"/>
        <v/>
      </c>
      <c r="K124" s="652" t="str">
        <f t="shared" si="4"/>
        <v/>
      </c>
      <c r="L124" s="652" t="str">
        <f t="shared" si="5"/>
        <v/>
      </c>
    </row>
    <row r="125" spans="1:12">
      <c r="A125" s="4" t="s">
        <v>13737</v>
      </c>
      <c r="J125" s="652" t="str">
        <f t="shared" si="3"/>
        <v/>
      </c>
      <c r="K125" s="652" t="str">
        <f t="shared" si="4"/>
        <v/>
      </c>
      <c r="L125" s="652" t="str">
        <f t="shared" si="5"/>
        <v/>
      </c>
    </row>
    <row r="126" spans="1:12">
      <c r="A126" s="4" t="s">
        <v>13697</v>
      </c>
      <c r="J126" s="652" t="str">
        <f t="shared" si="3"/>
        <v/>
      </c>
      <c r="K126" s="652" t="str">
        <f t="shared" si="4"/>
        <v/>
      </c>
      <c r="L126" s="652" t="str">
        <f t="shared" si="5"/>
        <v/>
      </c>
    </row>
    <row r="127" spans="1:12">
      <c r="A127" s="4" t="s">
        <v>13698</v>
      </c>
      <c r="J127" s="652" t="str">
        <f t="shared" si="3"/>
        <v/>
      </c>
      <c r="K127" s="652" t="str">
        <f t="shared" si="4"/>
        <v/>
      </c>
      <c r="L127" s="652" t="str">
        <f t="shared" si="5"/>
        <v/>
      </c>
    </row>
    <row r="128" spans="1:12">
      <c r="A128" s="4" t="s">
        <v>13738</v>
      </c>
      <c r="J128" s="652" t="str">
        <f t="shared" si="3"/>
        <v/>
      </c>
      <c r="K128" s="652" t="str">
        <f t="shared" si="4"/>
        <v/>
      </c>
      <c r="L128" s="652" t="str">
        <f t="shared" si="5"/>
        <v/>
      </c>
    </row>
    <row r="129" spans="1:12">
      <c r="A129" s="4" t="s">
        <v>14047</v>
      </c>
      <c r="J129" s="652" t="str">
        <f t="shared" si="3"/>
        <v/>
      </c>
      <c r="K129" s="652" t="str">
        <f t="shared" si="4"/>
        <v/>
      </c>
      <c r="L129" s="652" t="str">
        <f t="shared" si="5"/>
        <v/>
      </c>
    </row>
    <row r="130" spans="1:12">
      <c r="A130" t="s">
        <v>13699</v>
      </c>
      <c r="J130" s="652" t="str">
        <f t="shared" si="3"/>
        <v/>
      </c>
      <c r="K130" s="652" t="str">
        <f t="shared" si="4"/>
        <v/>
      </c>
      <c r="L130" s="652" t="str">
        <f t="shared" si="5"/>
        <v/>
      </c>
    </row>
    <row r="131" spans="1:12">
      <c r="A131" s="4" t="s">
        <v>13700</v>
      </c>
      <c r="J131" s="652" t="str">
        <f t="shared" si="3"/>
        <v/>
      </c>
      <c r="K131" s="652" t="str">
        <f t="shared" si="4"/>
        <v/>
      </c>
      <c r="L131" s="652" t="str">
        <f t="shared" si="5"/>
        <v/>
      </c>
    </row>
    <row r="132" spans="1:12">
      <c r="A132" s="4" t="s">
        <v>14050</v>
      </c>
      <c r="J132" s="652" t="str">
        <f t="shared" si="3"/>
        <v/>
      </c>
      <c r="K132" s="652" t="str">
        <f t="shared" si="4"/>
        <v/>
      </c>
      <c r="L132" s="652" t="str">
        <f t="shared" si="5"/>
        <v/>
      </c>
    </row>
    <row r="133" spans="1:12">
      <c r="A133" t="s">
        <v>13696</v>
      </c>
      <c r="J133" s="652" t="str">
        <f t="shared" ref="J133:J196" si="6">IF(OR(A133="Devizy",J132="Devizy"),"Devizy","")</f>
        <v/>
      </c>
      <c r="K133" s="652" t="str">
        <f t="shared" ref="K133:K196" si="7">IFERROR(IF(AND(J133="Devizy",FIND("Nakupujeme ",A133)=1),RIGHT(A133,7),""),"")</f>
        <v/>
      </c>
      <c r="L133" s="652" t="str">
        <f t="shared" ref="L133:L196" si="8">IFERROR(K133+M133,"")</f>
        <v/>
      </c>
    </row>
    <row r="134" spans="1:12">
      <c r="A134" s="4" t="s">
        <v>13739</v>
      </c>
      <c r="J134" s="652" t="str">
        <f t="shared" si="6"/>
        <v/>
      </c>
      <c r="K134" s="652" t="str">
        <f t="shared" si="7"/>
        <v/>
      </c>
      <c r="L134" s="652" t="str">
        <f t="shared" si="8"/>
        <v/>
      </c>
    </row>
    <row r="135" spans="1:12">
      <c r="A135" t="s">
        <v>13701</v>
      </c>
      <c r="J135" s="652" t="str">
        <f t="shared" si="6"/>
        <v/>
      </c>
      <c r="K135" s="652" t="str">
        <f t="shared" si="7"/>
        <v/>
      </c>
      <c r="L135" s="652" t="str">
        <f t="shared" si="8"/>
        <v/>
      </c>
    </row>
    <row r="136" spans="1:12">
      <c r="A136" t="s">
        <v>13702</v>
      </c>
      <c r="J136" s="652" t="str">
        <f t="shared" si="6"/>
        <v/>
      </c>
      <c r="K136" s="652" t="str">
        <f t="shared" si="7"/>
        <v/>
      </c>
      <c r="L136" s="652" t="str">
        <f t="shared" si="8"/>
        <v/>
      </c>
    </row>
    <row r="137" spans="1:12">
      <c r="A137" t="s">
        <v>13703</v>
      </c>
      <c r="J137" s="652" t="str">
        <f t="shared" si="6"/>
        <v/>
      </c>
      <c r="K137" s="652" t="str">
        <f t="shared" si="7"/>
        <v/>
      </c>
      <c r="L137" s="652" t="str">
        <f t="shared" si="8"/>
        <v/>
      </c>
    </row>
    <row r="138" spans="1:12">
      <c r="A138" s="5" t="s">
        <v>13704</v>
      </c>
      <c r="J138" s="652" t="str">
        <f t="shared" si="6"/>
        <v/>
      </c>
      <c r="K138" s="652" t="str">
        <f t="shared" si="7"/>
        <v/>
      </c>
      <c r="L138" s="652" t="str">
        <f t="shared" si="8"/>
        <v/>
      </c>
    </row>
    <row r="139" spans="1:12">
      <c r="A139" s="5" t="s">
        <v>13696</v>
      </c>
      <c r="J139" s="652" t="str">
        <f t="shared" si="6"/>
        <v/>
      </c>
      <c r="K139" s="652" t="str">
        <f t="shared" si="7"/>
        <v/>
      </c>
      <c r="L139" s="652" t="str">
        <f t="shared" si="8"/>
        <v/>
      </c>
    </row>
    <row r="140" spans="1:12">
      <c r="A140" t="s">
        <v>13740</v>
      </c>
      <c r="J140" s="652" t="str">
        <f t="shared" si="6"/>
        <v/>
      </c>
      <c r="K140" s="652" t="str">
        <f t="shared" si="7"/>
        <v/>
      </c>
      <c r="L140" s="652" t="str">
        <f t="shared" si="8"/>
        <v/>
      </c>
    </row>
    <row r="141" spans="1:12">
      <c r="A141" s="5" t="s">
        <v>13705</v>
      </c>
      <c r="J141" s="652" t="str">
        <f t="shared" si="6"/>
        <v/>
      </c>
      <c r="K141" s="652" t="str">
        <f t="shared" si="7"/>
        <v/>
      </c>
      <c r="L141" s="652" t="str">
        <f t="shared" si="8"/>
        <v/>
      </c>
    </row>
    <row r="142" spans="1:12">
      <c r="A142" s="5" t="s">
        <v>13706</v>
      </c>
      <c r="J142" s="652" t="str">
        <f t="shared" si="6"/>
        <v/>
      </c>
      <c r="K142" s="652" t="str">
        <f t="shared" si="7"/>
        <v/>
      </c>
      <c r="L142" s="652" t="str">
        <f t="shared" si="8"/>
        <v/>
      </c>
    </row>
    <row r="143" spans="1:12">
      <c r="A143" s="5" t="s">
        <v>13707</v>
      </c>
      <c r="J143" s="652" t="str">
        <f t="shared" si="6"/>
        <v/>
      </c>
      <c r="K143" s="652" t="str">
        <f t="shared" si="7"/>
        <v/>
      </c>
      <c r="L143" s="652" t="str">
        <f t="shared" si="8"/>
        <v/>
      </c>
    </row>
    <row r="144" spans="1:12">
      <c r="A144" t="s">
        <v>13708</v>
      </c>
      <c r="J144" s="652" t="str">
        <f t="shared" si="6"/>
        <v/>
      </c>
      <c r="K144" s="652" t="str">
        <f t="shared" si="7"/>
        <v/>
      </c>
      <c r="L144" s="652" t="str">
        <f t="shared" si="8"/>
        <v/>
      </c>
    </row>
    <row r="145" spans="1:12">
      <c r="A145" s="5" t="s">
        <v>13696</v>
      </c>
      <c r="J145" s="652" t="str">
        <f t="shared" si="6"/>
        <v/>
      </c>
      <c r="K145" s="652" t="str">
        <f t="shared" si="7"/>
        <v/>
      </c>
      <c r="L145" s="652" t="str">
        <f t="shared" si="8"/>
        <v/>
      </c>
    </row>
    <row r="146" spans="1:12">
      <c r="A146" s="5" t="s">
        <v>13741</v>
      </c>
      <c r="J146" s="652" t="str">
        <f t="shared" si="6"/>
        <v/>
      </c>
      <c r="K146" s="652" t="str">
        <f t="shared" si="7"/>
        <v/>
      </c>
      <c r="L146" s="652" t="str">
        <f t="shared" si="8"/>
        <v/>
      </c>
    </row>
    <row r="147" spans="1:12">
      <c r="A147" s="5" t="s">
        <v>13709</v>
      </c>
      <c r="J147" s="652" t="str">
        <f t="shared" si="6"/>
        <v/>
      </c>
      <c r="K147" s="652" t="str">
        <f t="shared" si="7"/>
        <v/>
      </c>
      <c r="L147" s="652" t="str">
        <f t="shared" si="8"/>
        <v/>
      </c>
    </row>
    <row r="148" spans="1:12">
      <c r="A148" s="5" t="s">
        <v>13710</v>
      </c>
      <c r="J148" s="652" t="str">
        <f t="shared" si="6"/>
        <v/>
      </c>
      <c r="K148" s="652" t="str">
        <f t="shared" si="7"/>
        <v/>
      </c>
      <c r="L148" s="652" t="str">
        <f t="shared" si="8"/>
        <v/>
      </c>
    </row>
    <row r="149" spans="1:12">
      <c r="A149" s="5" t="s">
        <v>13711</v>
      </c>
      <c r="J149" s="652" t="str">
        <f t="shared" si="6"/>
        <v/>
      </c>
      <c r="K149" s="652" t="str">
        <f t="shared" si="7"/>
        <v/>
      </c>
      <c r="L149" s="652" t="str">
        <f t="shared" si="8"/>
        <v/>
      </c>
    </row>
    <row r="150" spans="1:12">
      <c r="A150" s="5" t="s">
        <v>13712</v>
      </c>
      <c r="J150" s="652" t="str">
        <f t="shared" si="6"/>
        <v/>
      </c>
      <c r="K150" s="652" t="str">
        <f t="shared" si="7"/>
        <v/>
      </c>
      <c r="L150" s="652" t="str">
        <f t="shared" si="8"/>
        <v/>
      </c>
    </row>
    <row r="151" spans="1:12">
      <c r="A151" s="5" t="s">
        <v>13696</v>
      </c>
      <c r="J151" s="652" t="str">
        <f t="shared" si="6"/>
        <v/>
      </c>
      <c r="K151" s="652" t="str">
        <f t="shared" si="7"/>
        <v/>
      </c>
      <c r="L151" s="652" t="str">
        <f t="shared" si="8"/>
        <v/>
      </c>
    </row>
    <row r="152" spans="1:12">
      <c r="A152" s="5" t="s">
        <v>13719</v>
      </c>
      <c r="J152" s="652" t="str">
        <f t="shared" si="6"/>
        <v/>
      </c>
      <c r="K152" s="652" t="str">
        <f t="shared" si="7"/>
        <v/>
      </c>
      <c r="L152" s="652" t="str">
        <f t="shared" si="8"/>
        <v/>
      </c>
    </row>
    <row r="153" spans="1:12">
      <c r="A153" s="5" t="s">
        <v>13723</v>
      </c>
      <c r="J153" s="652" t="str">
        <f t="shared" si="6"/>
        <v/>
      </c>
      <c r="K153" s="652" t="str">
        <f t="shared" si="7"/>
        <v/>
      </c>
      <c r="L153" s="652" t="str">
        <f t="shared" si="8"/>
        <v/>
      </c>
    </row>
    <row r="154" spans="1:12">
      <c r="A154" s="5" t="s">
        <v>13721</v>
      </c>
      <c r="J154" s="652" t="str">
        <f t="shared" si="6"/>
        <v/>
      </c>
      <c r="K154" s="652" t="str">
        <f t="shared" si="7"/>
        <v/>
      </c>
      <c r="L154" s="652" t="str">
        <f t="shared" si="8"/>
        <v/>
      </c>
    </row>
    <row r="155" spans="1:12">
      <c r="A155" t="s">
        <v>13722</v>
      </c>
      <c r="J155" s="652" t="str">
        <f t="shared" si="6"/>
        <v/>
      </c>
      <c r="K155" s="652" t="str">
        <f t="shared" si="7"/>
        <v/>
      </c>
      <c r="L155" s="652" t="str">
        <f t="shared" si="8"/>
        <v/>
      </c>
    </row>
    <row r="156" spans="1:12">
      <c r="A156" s="5" t="s">
        <v>13724</v>
      </c>
      <c r="J156" s="652" t="str">
        <f t="shared" si="6"/>
        <v/>
      </c>
      <c r="K156" s="652" t="str">
        <f t="shared" si="7"/>
        <v/>
      </c>
      <c r="L156" s="652" t="str">
        <f t="shared" si="8"/>
        <v/>
      </c>
    </row>
    <row r="157" spans="1:12">
      <c r="A157" s="3" t="s">
        <v>13727</v>
      </c>
      <c r="J157" s="652" t="str">
        <f t="shared" si="6"/>
        <v/>
      </c>
      <c r="K157" s="652" t="str">
        <f t="shared" si="7"/>
        <v/>
      </c>
      <c r="L157" s="652" t="str">
        <f t="shared" si="8"/>
        <v/>
      </c>
    </row>
    <row r="158" spans="1:12">
      <c r="A158" t="s">
        <v>13726</v>
      </c>
      <c r="J158" s="652" t="str">
        <f t="shared" si="6"/>
        <v/>
      </c>
      <c r="K158" s="652" t="str">
        <f t="shared" si="7"/>
        <v/>
      </c>
      <c r="L158" s="652" t="str">
        <f t="shared" si="8"/>
        <v/>
      </c>
    </row>
    <row r="159" spans="1:12">
      <c r="A159" t="s">
        <v>13725</v>
      </c>
      <c r="J159" s="652" t="str">
        <f t="shared" si="6"/>
        <v/>
      </c>
      <c r="K159" s="652" t="str">
        <f t="shared" si="7"/>
        <v/>
      </c>
      <c r="L159" s="652" t="str">
        <f t="shared" si="8"/>
        <v/>
      </c>
    </row>
    <row r="160" spans="1:12">
      <c r="A160" s="3" t="s">
        <v>13729</v>
      </c>
      <c r="J160" s="652" t="str">
        <f t="shared" si="6"/>
        <v/>
      </c>
      <c r="K160" s="652" t="str">
        <f t="shared" si="7"/>
        <v/>
      </c>
      <c r="L160" s="652" t="str">
        <f t="shared" si="8"/>
        <v/>
      </c>
    </row>
    <row r="161" spans="1:12">
      <c r="A161" s="3" t="s">
        <v>13728</v>
      </c>
      <c r="J161" s="652" t="str">
        <f t="shared" si="6"/>
        <v/>
      </c>
      <c r="K161" s="652" t="str">
        <f t="shared" si="7"/>
        <v/>
      </c>
      <c r="L161" s="652" t="str">
        <f t="shared" si="8"/>
        <v/>
      </c>
    </row>
    <row r="162" spans="1:12">
      <c r="A162" s="3" t="s">
        <v>13774</v>
      </c>
      <c r="J162" s="652" t="str">
        <f t="shared" si="6"/>
        <v/>
      </c>
      <c r="K162" s="652" t="str">
        <f t="shared" si="7"/>
        <v/>
      </c>
      <c r="L162" s="652" t="str">
        <f t="shared" si="8"/>
        <v/>
      </c>
    </row>
    <row r="163" spans="1:12">
      <c r="A163" s="3" t="s">
        <v>13742</v>
      </c>
      <c r="J163" s="652" t="str">
        <f t="shared" si="6"/>
        <v/>
      </c>
      <c r="K163" s="652" t="str">
        <f t="shared" si="7"/>
        <v/>
      </c>
      <c r="L163" s="652" t="str">
        <f t="shared" si="8"/>
        <v/>
      </c>
    </row>
    <row r="164" spans="1:12">
      <c r="A164" t="s">
        <v>14032</v>
      </c>
      <c r="J164" s="652" t="str">
        <f t="shared" si="6"/>
        <v/>
      </c>
      <c r="K164" s="652" t="str">
        <f t="shared" si="7"/>
        <v/>
      </c>
      <c r="L164" s="652" t="str">
        <f t="shared" si="8"/>
        <v/>
      </c>
    </row>
    <row r="165" spans="1:12">
      <c r="A165" t="s">
        <v>13743</v>
      </c>
      <c r="J165" s="652" t="str">
        <f t="shared" si="6"/>
        <v/>
      </c>
      <c r="K165" s="652" t="str">
        <f t="shared" si="7"/>
        <v/>
      </c>
      <c r="L165" s="652" t="str">
        <f t="shared" si="8"/>
        <v/>
      </c>
    </row>
    <row r="166" spans="1:12">
      <c r="A166" t="s">
        <v>13734</v>
      </c>
      <c r="J166" s="652" t="str">
        <f t="shared" si="6"/>
        <v/>
      </c>
      <c r="K166" s="652" t="str">
        <f t="shared" si="7"/>
        <v/>
      </c>
      <c r="L166" s="652" t="str">
        <f t="shared" si="8"/>
        <v/>
      </c>
    </row>
    <row r="167" spans="1:12">
      <c r="A167" t="s">
        <v>14045</v>
      </c>
      <c r="J167" s="652" t="str">
        <f t="shared" si="6"/>
        <v/>
      </c>
      <c r="K167" s="652" t="str">
        <f t="shared" si="7"/>
        <v/>
      </c>
      <c r="L167" s="652" t="str">
        <f t="shared" si="8"/>
        <v/>
      </c>
    </row>
    <row r="168" spans="1:12">
      <c r="A168" t="s">
        <v>13744</v>
      </c>
      <c r="J168" s="652" t="str">
        <f t="shared" si="6"/>
        <v/>
      </c>
      <c r="K168" s="652" t="str">
        <f t="shared" si="7"/>
        <v/>
      </c>
      <c r="L168" s="652" t="str">
        <f t="shared" si="8"/>
        <v/>
      </c>
    </row>
    <row r="169" spans="1:12">
      <c r="A169" t="s">
        <v>13745</v>
      </c>
      <c r="J169" s="652" t="str">
        <f t="shared" si="6"/>
        <v/>
      </c>
      <c r="K169" s="652" t="str">
        <f t="shared" si="7"/>
        <v/>
      </c>
      <c r="L169" s="652" t="str">
        <f t="shared" si="8"/>
        <v/>
      </c>
    </row>
    <row r="170" spans="1:12">
      <c r="A170" t="s">
        <v>13746</v>
      </c>
      <c r="J170" s="652" t="str">
        <f t="shared" si="6"/>
        <v/>
      </c>
      <c r="K170" s="652" t="str">
        <f t="shared" si="7"/>
        <v/>
      </c>
      <c r="L170" s="652" t="str">
        <f t="shared" si="8"/>
        <v/>
      </c>
    </row>
    <row r="171" spans="1:12">
      <c r="A171" t="s">
        <v>2411</v>
      </c>
      <c r="J171" s="652" t="str">
        <f t="shared" si="6"/>
        <v/>
      </c>
      <c r="K171" s="652" t="str">
        <f t="shared" si="7"/>
        <v/>
      </c>
      <c r="L171" s="652" t="str">
        <f t="shared" si="8"/>
        <v/>
      </c>
    </row>
    <row r="172" spans="1:12">
      <c r="A172" t="s">
        <v>2412</v>
      </c>
      <c r="J172" s="652" t="str">
        <f t="shared" si="6"/>
        <v/>
      </c>
      <c r="K172" s="652" t="str">
        <f t="shared" si="7"/>
        <v/>
      </c>
      <c r="L172" s="652" t="str">
        <f t="shared" si="8"/>
        <v/>
      </c>
    </row>
    <row r="173" spans="1:12">
      <c r="J173" s="652" t="str">
        <f t="shared" si="6"/>
        <v/>
      </c>
      <c r="K173" s="652" t="str">
        <f t="shared" si="7"/>
        <v/>
      </c>
      <c r="L173" s="652" t="str">
        <f t="shared" si="8"/>
        <v/>
      </c>
    </row>
    <row r="174" spans="1:12">
      <c r="A174" t="s">
        <v>14693</v>
      </c>
      <c r="J174" s="652" t="str">
        <f t="shared" si="6"/>
        <v/>
      </c>
      <c r="K174" s="652" t="str">
        <f t="shared" si="7"/>
        <v/>
      </c>
      <c r="L174" s="652" t="str">
        <f t="shared" si="8"/>
        <v/>
      </c>
    </row>
    <row r="175" spans="1:12">
      <c r="J175" s="652" t="str">
        <f t="shared" si="6"/>
        <v/>
      </c>
      <c r="K175" s="652" t="str">
        <f t="shared" si="7"/>
        <v/>
      </c>
      <c r="L175" s="652" t="str">
        <f t="shared" si="8"/>
        <v/>
      </c>
    </row>
    <row r="176" spans="1:12">
      <c r="A176" t="s">
        <v>14694</v>
      </c>
      <c r="J176" s="652" t="str">
        <f t="shared" si="6"/>
        <v/>
      </c>
      <c r="K176" s="652" t="str">
        <f t="shared" si="7"/>
        <v/>
      </c>
      <c r="L176" s="652" t="str">
        <f t="shared" si="8"/>
        <v/>
      </c>
    </row>
    <row r="177" spans="1:12">
      <c r="J177" s="652" t="str">
        <f t="shared" si="6"/>
        <v/>
      </c>
      <c r="K177" s="652" t="str">
        <f t="shared" si="7"/>
        <v/>
      </c>
      <c r="L177" s="652" t="str">
        <f t="shared" si="8"/>
        <v/>
      </c>
    </row>
    <row r="178" spans="1:12">
      <c r="A178" t="s">
        <v>14822</v>
      </c>
      <c r="J178" s="652" t="str">
        <f t="shared" si="6"/>
        <v/>
      </c>
      <c r="K178" s="652" t="str">
        <f t="shared" si="7"/>
        <v/>
      </c>
      <c r="L178" s="652" t="str">
        <f t="shared" si="8"/>
        <v/>
      </c>
    </row>
    <row r="179" spans="1:12">
      <c r="J179" s="652" t="str">
        <f t="shared" si="6"/>
        <v/>
      </c>
      <c r="K179" s="652" t="str">
        <f t="shared" si="7"/>
        <v/>
      </c>
      <c r="L179" s="652" t="str">
        <f t="shared" si="8"/>
        <v/>
      </c>
    </row>
    <row r="180" spans="1:12">
      <c r="A180" t="s">
        <v>2414</v>
      </c>
      <c r="J180" s="652" t="str">
        <f t="shared" si="6"/>
        <v/>
      </c>
      <c r="K180" s="652" t="str">
        <f t="shared" si="7"/>
        <v/>
      </c>
      <c r="L180" s="652" t="str">
        <f t="shared" si="8"/>
        <v/>
      </c>
    </row>
    <row r="181" spans="1:12">
      <c r="J181" s="652" t="str">
        <f t="shared" si="6"/>
        <v/>
      </c>
      <c r="K181" s="652" t="str">
        <f t="shared" si="7"/>
        <v/>
      </c>
      <c r="L181" s="652" t="str">
        <f t="shared" si="8"/>
        <v/>
      </c>
    </row>
    <row r="182" spans="1:12">
      <c r="A182" t="s">
        <v>14829</v>
      </c>
      <c r="J182" s="652" t="str">
        <f t="shared" si="6"/>
        <v/>
      </c>
      <c r="K182" s="652" t="str">
        <f t="shared" si="7"/>
        <v/>
      </c>
      <c r="L182" s="652" t="str">
        <f t="shared" si="8"/>
        <v/>
      </c>
    </row>
    <row r="183" spans="1:12">
      <c r="A183" t="s">
        <v>14830</v>
      </c>
      <c r="J183" s="652" t="str">
        <f t="shared" si="6"/>
        <v/>
      </c>
      <c r="K183" s="652" t="str">
        <f t="shared" si="7"/>
        <v/>
      </c>
      <c r="L183" s="652" t="str">
        <f t="shared" si="8"/>
        <v/>
      </c>
    </row>
    <row r="184" spans="1:12">
      <c r="J184" s="652" t="str">
        <f t="shared" si="6"/>
        <v/>
      </c>
      <c r="K184" s="652" t="str">
        <f t="shared" si="7"/>
        <v/>
      </c>
      <c r="L184" s="652" t="str">
        <f t="shared" si="8"/>
        <v/>
      </c>
    </row>
    <row r="185" spans="1:12">
      <c r="A185" t="s">
        <v>2415</v>
      </c>
      <c r="J185" s="652" t="str">
        <f t="shared" si="6"/>
        <v/>
      </c>
      <c r="K185" s="652" t="str">
        <f t="shared" si="7"/>
        <v/>
      </c>
      <c r="L185" s="652" t="str">
        <f t="shared" si="8"/>
        <v/>
      </c>
    </row>
    <row r="186" spans="1:12">
      <c r="J186" s="652" t="str">
        <f t="shared" si="6"/>
        <v/>
      </c>
      <c r="K186" s="652" t="str">
        <f t="shared" si="7"/>
        <v/>
      </c>
      <c r="L186" s="652" t="str">
        <f t="shared" si="8"/>
        <v/>
      </c>
    </row>
    <row r="187" spans="1:12">
      <c r="A187" t="s">
        <v>14831</v>
      </c>
      <c r="J187" s="652" t="str">
        <f t="shared" si="6"/>
        <v/>
      </c>
      <c r="K187" s="652" t="str">
        <f t="shared" si="7"/>
        <v/>
      </c>
      <c r="L187" s="652" t="str">
        <f t="shared" si="8"/>
        <v/>
      </c>
    </row>
    <row r="188" spans="1:12">
      <c r="A188" t="s">
        <v>14832</v>
      </c>
      <c r="J188" s="652" t="str">
        <f t="shared" si="6"/>
        <v/>
      </c>
      <c r="K188" s="652" t="str">
        <f t="shared" si="7"/>
        <v/>
      </c>
      <c r="L188" s="652" t="str">
        <f t="shared" si="8"/>
        <v/>
      </c>
    </row>
    <row r="189" spans="1:12">
      <c r="J189" s="652" t="str">
        <f t="shared" si="6"/>
        <v/>
      </c>
      <c r="K189" s="652" t="str">
        <f t="shared" si="7"/>
        <v/>
      </c>
      <c r="L189" s="652" t="str">
        <f t="shared" si="8"/>
        <v/>
      </c>
    </row>
    <row r="190" spans="1:12">
      <c r="A190" t="s">
        <v>2416</v>
      </c>
      <c r="J190" s="652" t="str">
        <f t="shared" si="6"/>
        <v>Devizy</v>
      </c>
      <c r="K190" s="652" t="str">
        <f t="shared" si="7"/>
        <v/>
      </c>
      <c r="L190" s="652" t="str">
        <f t="shared" si="8"/>
        <v/>
      </c>
    </row>
    <row r="191" spans="1:12">
      <c r="J191" s="652" t="str">
        <f t="shared" si="6"/>
        <v>Devizy</v>
      </c>
      <c r="K191" s="652" t="str">
        <f t="shared" si="7"/>
        <v/>
      </c>
      <c r="L191" s="652" t="str">
        <f t="shared" si="8"/>
        <v/>
      </c>
    </row>
    <row r="192" spans="1:12">
      <c r="A192" t="s">
        <v>14833</v>
      </c>
      <c r="J192" s="652" t="str">
        <f t="shared" si="6"/>
        <v>Devizy</v>
      </c>
      <c r="K192" s="652" t="str">
        <f t="shared" si="7"/>
        <v>28,7976</v>
      </c>
      <c r="L192" s="652">
        <f t="shared" si="8"/>
        <v>28.797599999999999</v>
      </c>
    </row>
    <row r="193" spans="1:12">
      <c r="A193" t="s">
        <v>14834</v>
      </c>
      <c r="J193" s="652" t="str">
        <f t="shared" si="6"/>
        <v>Devizy</v>
      </c>
      <c r="K193" s="652" t="str">
        <f t="shared" si="7"/>
        <v/>
      </c>
      <c r="L193" s="652" t="str">
        <f t="shared" si="8"/>
        <v/>
      </c>
    </row>
    <row r="194" spans="1:12">
      <c r="J194" s="652" t="str">
        <f t="shared" si="6"/>
        <v>Devizy</v>
      </c>
      <c r="K194" s="652" t="str">
        <f t="shared" si="7"/>
        <v/>
      </c>
      <c r="L194" s="652" t="str">
        <f t="shared" si="8"/>
        <v/>
      </c>
    </row>
    <row r="195" spans="1:12">
      <c r="A195" t="s">
        <v>13749</v>
      </c>
      <c r="J195" s="652" t="str">
        <f t="shared" si="6"/>
        <v>Devizy</v>
      </c>
      <c r="K195" s="652" t="str">
        <f t="shared" si="7"/>
        <v/>
      </c>
      <c r="L195" s="652" t="str">
        <f t="shared" si="8"/>
        <v/>
      </c>
    </row>
    <row r="196" spans="1:12">
      <c r="J196" s="652" t="str">
        <f t="shared" si="6"/>
        <v>Devizy</v>
      </c>
      <c r="K196" s="652" t="str">
        <f t="shared" si="7"/>
        <v/>
      </c>
      <c r="L196" s="652" t="str">
        <f t="shared" si="8"/>
        <v/>
      </c>
    </row>
    <row r="197" spans="1:12">
      <c r="A197" t="s">
        <v>13718</v>
      </c>
      <c r="J197" s="652" t="str">
        <f t="shared" ref="J197:J260" si="9">IF(OR(A197="Devizy",J196="Devizy"),"Devizy","")</f>
        <v>Devizy</v>
      </c>
      <c r="K197" s="652" t="str">
        <f t="shared" ref="K197:K260" si="10">IFERROR(IF(AND(J197="Devizy",FIND("Nakupujeme ",A197)=1),RIGHT(A197,7),""),"")</f>
        <v/>
      </c>
      <c r="L197" s="652" t="str">
        <f t="shared" ref="L197:L260" si="11">IFERROR(K197+M197,"")</f>
        <v/>
      </c>
    </row>
    <row r="198" spans="1:12">
      <c r="J198" s="652" t="str">
        <f t="shared" si="9"/>
        <v>Devizy</v>
      </c>
      <c r="K198" s="652" t="str">
        <f t="shared" si="10"/>
        <v/>
      </c>
      <c r="L198" s="652" t="str">
        <f t="shared" si="11"/>
        <v/>
      </c>
    </row>
    <row r="199" spans="1:12">
      <c r="A199" t="s">
        <v>13750</v>
      </c>
      <c r="J199" s="652" t="str">
        <f t="shared" si="9"/>
        <v>Devizy</v>
      </c>
      <c r="K199" s="652" t="str">
        <f t="shared" si="10"/>
        <v/>
      </c>
      <c r="L199" s="652" t="str">
        <f t="shared" si="11"/>
        <v/>
      </c>
    </row>
    <row r="200" spans="1:12">
      <c r="J200" s="652" t="str">
        <f t="shared" si="9"/>
        <v>Devizy</v>
      </c>
      <c r="K200" s="652" t="str">
        <f t="shared" si="10"/>
        <v/>
      </c>
      <c r="L200" s="652" t="str">
        <f t="shared" si="11"/>
        <v/>
      </c>
    </row>
    <row r="201" spans="1:12">
      <c r="A201" t="s">
        <v>13718</v>
      </c>
      <c r="J201" s="652" t="str">
        <f t="shared" si="9"/>
        <v>Devizy</v>
      </c>
      <c r="K201" s="652" t="str">
        <f t="shared" si="10"/>
        <v/>
      </c>
      <c r="L201" s="652" t="str">
        <f t="shared" si="11"/>
        <v/>
      </c>
    </row>
    <row r="202" spans="1:12">
      <c r="J202" s="652" t="str">
        <f t="shared" si="9"/>
        <v>Devizy</v>
      </c>
      <c r="K202" s="652" t="str">
        <f t="shared" si="10"/>
        <v/>
      </c>
      <c r="L202" s="652" t="str">
        <f t="shared" si="11"/>
        <v/>
      </c>
    </row>
    <row r="203" spans="1:12">
      <c r="A203" t="s">
        <v>13751</v>
      </c>
      <c r="J203" s="652" t="str">
        <f t="shared" si="9"/>
        <v>Devizy</v>
      </c>
      <c r="K203" s="652" t="str">
        <f t="shared" si="10"/>
        <v/>
      </c>
      <c r="L203" s="652" t="str">
        <f t="shared" si="11"/>
        <v/>
      </c>
    </row>
    <row r="204" spans="1:12">
      <c r="A204" s="3"/>
      <c r="J204" s="652" t="str">
        <f t="shared" si="9"/>
        <v>Devizy</v>
      </c>
      <c r="K204" s="652" t="str">
        <f t="shared" si="10"/>
        <v/>
      </c>
      <c r="L204" s="652" t="str">
        <f t="shared" si="11"/>
        <v/>
      </c>
    </row>
    <row r="205" spans="1:12">
      <c r="A205" s="3" t="s">
        <v>13752</v>
      </c>
      <c r="J205" s="652" t="str">
        <f t="shared" si="9"/>
        <v>Devizy</v>
      </c>
      <c r="K205" s="652" t="str">
        <f t="shared" si="10"/>
        <v/>
      </c>
      <c r="L205" s="652" t="str">
        <f t="shared" si="11"/>
        <v/>
      </c>
    </row>
    <row r="206" spans="1:12">
      <c r="A206" s="3"/>
      <c r="J206" s="652" t="str">
        <f t="shared" si="9"/>
        <v>Devizy</v>
      </c>
      <c r="K206" s="652" t="str">
        <f t="shared" si="10"/>
        <v/>
      </c>
      <c r="L206" s="652" t="str">
        <f t="shared" si="11"/>
        <v/>
      </c>
    </row>
    <row r="207" spans="1:12">
      <c r="A207" t="s">
        <v>11990</v>
      </c>
      <c r="J207" s="652" t="str">
        <f t="shared" si="9"/>
        <v>Devizy</v>
      </c>
      <c r="K207" s="652" t="str">
        <f t="shared" si="10"/>
        <v/>
      </c>
      <c r="L207" s="652" t="str">
        <f t="shared" si="11"/>
        <v/>
      </c>
    </row>
    <row r="208" spans="1:12">
      <c r="A208" s="3"/>
      <c r="J208" s="652" t="str">
        <f t="shared" si="9"/>
        <v>Devizy</v>
      </c>
      <c r="K208" s="652" t="str">
        <f t="shared" si="10"/>
        <v/>
      </c>
      <c r="L208" s="652" t="str">
        <f t="shared" si="11"/>
        <v/>
      </c>
    </row>
    <row r="209" spans="1:12">
      <c r="A209" s="3">
        <v>800521521</v>
      </c>
      <c r="J209" s="652" t="str">
        <f t="shared" si="9"/>
        <v>Devizy</v>
      </c>
      <c r="K209" s="652" t="str">
        <f t="shared" si="10"/>
        <v/>
      </c>
      <c r="L209" s="652" t="str">
        <f t="shared" si="11"/>
        <v/>
      </c>
    </row>
    <row r="210" spans="1:12">
      <c r="J210" s="652" t="str">
        <f t="shared" si="9"/>
        <v>Devizy</v>
      </c>
      <c r="K210" s="652" t="str">
        <f t="shared" si="10"/>
        <v/>
      </c>
      <c r="L210" s="652" t="str">
        <f t="shared" si="11"/>
        <v/>
      </c>
    </row>
    <row r="211" spans="1:12">
      <c r="A211" s="3" t="s">
        <v>13753</v>
      </c>
      <c r="J211" s="652" t="str">
        <f t="shared" si="9"/>
        <v>Devizy</v>
      </c>
      <c r="K211" s="652" t="str">
        <f t="shared" si="10"/>
        <v/>
      </c>
      <c r="L211" s="652" t="str">
        <f t="shared" si="11"/>
        <v/>
      </c>
    </row>
    <row r="212" spans="1:12">
      <c r="J212" s="652" t="str">
        <f t="shared" si="9"/>
        <v>Devizy</v>
      </c>
      <c r="K212" s="652" t="str">
        <f t="shared" si="10"/>
        <v/>
      </c>
      <c r="L212" s="652" t="str">
        <f t="shared" si="11"/>
        <v/>
      </c>
    </row>
    <row r="213" spans="1:12">
      <c r="A213" t="s">
        <v>14770</v>
      </c>
      <c r="J213" s="652" t="str">
        <f t="shared" si="9"/>
        <v>Devizy</v>
      </c>
      <c r="K213" s="652" t="str">
        <f t="shared" si="10"/>
        <v/>
      </c>
      <c r="L213" s="652" t="str">
        <f t="shared" si="11"/>
        <v/>
      </c>
    </row>
    <row r="214" spans="1:12">
      <c r="A214" t="s">
        <v>13754</v>
      </c>
      <c r="J214" s="652" t="str">
        <f t="shared" si="9"/>
        <v>Devizy</v>
      </c>
      <c r="K214" s="652" t="str">
        <f t="shared" si="10"/>
        <v/>
      </c>
      <c r="L214" s="652" t="str">
        <f t="shared" si="11"/>
        <v/>
      </c>
    </row>
    <row r="215" spans="1:12">
      <c r="A215" t="s">
        <v>13734</v>
      </c>
      <c r="J215" s="652" t="str">
        <f t="shared" si="9"/>
        <v>Devizy</v>
      </c>
      <c r="K215" s="652" t="str">
        <f t="shared" si="10"/>
        <v/>
      </c>
      <c r="L215" s="652" t="str">
        <f t="shared" si="11"/>
        <v/>
      </c>
    </row>
    <row r="216" spans="1:12">
      <c r="A216" t="s">
        <v>13735</v>
      </c>
      <c r="J216" s="652" t="str">
        <f t="shared" si="9"/>
        <v>Devizy</v>
      </c>
      <c r="K216" s="652" t="str">
        <f t="shared" si="10"/>
        <v/>
      </c>
      <c r="L216" s="652" t="str">
        <f t="shared" si="11"/>
        <v/>
      </c>
    </row>
    <row r="217" spans="1:12">
      <c r="A217" t="s">
        <v>13755</v>
      </c>
      <c r="J217" s="652" t="str">
        <f t="shared" si="9"/>
        <v>Devizy</v>
      </c>
      <c r="K217" s="652" t="str">
        <f t="shared" si="10"/>
        <v/>
      </c>
      <c r="L217" s="652" t="str">
        <f t="shared" si="11"/>
        <v/>
      </c>
    </row>
    <row r="218" spans="1:12">
      <c r="A218" t="s">
        <v>13756</v>
      </c>
      <c r="J218" s="652" t="str">
        <f t="shared" si="9"/>
        <v>Devizy</v>
      </c>
      <c r="K218" s="652" t="str">
        <f t="shared" si="10"/>
        <v/>
      </c>
      <c r="L218" s="652" t="str">
        <f t="shared" si="11"/>
        <v/>
      </c>
    </row>
    <row r="219" spans="1:12">
      <c r="J219" s="652" t="str">
        <f t="shared" si="9"/>
        <v>Devizy</v>
      </c>
      <c r="K219" s="652" t="str">
        <f t="shared" si="10"/>
        <v/>
      </c>
      <c r="L219" s="652" t="str">
        <f t="shared" si="11"/>
        <v/>
      </c>
    </row>
    <row r="220" spans="1:12">
      <c r="A220" t="s">
        <v>13757</v>
      </c>
      <c r="J220" s="652" t="str">
        <f t="shared" si="9"/>
        <v>Devizy</v>
      </c>
      <c r="K220" s="652" t="str">
        <f t="shared" si="10"/>
        <v/>
      </c>
      <c r="L220" s="652" t="str">
        <f t="shared" si="11"/>
        <v/>
      </c>
    </row>
    <row r="221" spans="1:12">
      <c r="J221" s="652" t="str">
        <f t="shared" si="9"/>
        <v>Devizy</v>
      </c>
      <c r="K221" s="652" t="str">
        <f t="shared" si="10"/>
        <v/>
      </c>
      <c r="L221" s="652" t="str">
        <f t="shared" si="11"/>
        <v/>
      </c>
    </row>
    <row r="222" spans="1:12">
      <c r="A222" t="s">
        <v>13745</v>
      </c>
      <c r="J222" s="652" t="str">
        <f t="shared" si="9"/>
        <v>Devizy</v>
      </c>
      <c r="K222" s="652" t="str">
        <f t="shared" si="10"/>
        <v/>
      </c>
      <c r="L222" s="652" t="str">
        <f t="shared" si="11"/>
        <v/>
      </c>
    </row>
    <row r="223" spans="1:12">
      <c r="A223" t="s">
        <v>13768</v>
      </c>
      <c r="J223" s="652" t="str">
        <f t="shared" si="9"/>
        <v>Devizy</v>
      </c>
      <c r="K223" s="652" t="str">
        <f t="shared" si="10"/>
        <v/>
      </c>
      <c r="L223" s="652" t="str">
        <f t="shared" si="11"/>
        <v/>
      </c>
    </row>
    <row r="224" spans="1:12">
      <c r="A224" t="s">
        <v>13713</v>
      </c>
      <c r="J224" s="652" t="str">
        <f t="shared" si="9"/>
        <v>Devizy</v>
      </c>
      <c r="K224" s="652" t="str">
        <f t="shared" si="10"/>
        <v/>
      </c>
      <c r="L224" s="652" t="str">
        <f t="shared" si="11"/>
        <v/>
      </c>
    </row>
    <row r="225" spans="1:12">
      <c r="A225" t="s">
        <v>13716</v>
      </c>
      <c r="J225" s="652" t="str">
        <f t="shared" si="9"/>
        <v>Devizy</v>
      </c>
      <c r="K225" s="652" t="str">
        <f t="shared" si="10"/>
        <v/>
      </c>
      <c r="L225" s="652" t="str">
        <f t="shared" si="11"/>
        <v/>
      </c>
    </row>
    <row r="226" spans="1:12">
      <c r="A226" t="s">
        <v>13728</v>
      </c>
      <c r="J226" s="652" t="str">
        <f t="shared" si="9"/>
        <v>Devizy</v>
      </c>
      <c r="K226" s="652" t="str">
        <f t="shared" si="10"/>
        <v/>
      </c>
      <c r="L226" s="652" t="str">
        <f t="shared" si="11"/>
        <v/>
      </c>
    </row>
    <row r="227" spans="1:12">
      <c r="A227" t="s">
        <v>13717</v>
      </c>
      <c r="J227" s="652" t="str">
        <f t="shared" si="9"/>
        <v>Devizy</v>
      </c>
      <c r="K227" s="652" t="str">
        <f t="shared" si="10"/>
        <v/>
      </c>
      <c r="L227" s="652" t="str">
        <f t="shared" si="11"/>
        <v/>
      </c>
    </row>
    <row r="228" spans="1:12">
      <c r="J228" s="652" t="str">
        <f t="shared" si="9"/>
        <v>Devizy</v>
      </c>
      <c r="K228" s="652" t="str">
        <f t="shared" si="10"/>
        <v/>
      </c>
      <c r="L228" s="652" t="str">
        <f t="shared" si="11"/>
        <v/>
      </c>
    </row>
    <row r="229" spans="1:12">
      <c r="A229" t="s">
        <v>13719</v>
      </c>
      <c r="J229" s="652" t="str">
        <f t="shared" si="9"/>
        <v>Devizy</v>
      </c>
      <c r="K229" s="652" t="str">
        <f t="shared" si="10"/>
        <v/>
      </c>
      <c r="L229" s="652" t="str">
        <f t="shared" si="11"/>
        <v/>
      </c>
    </row>
    <row r="230" spans="1:12">
      <c r="J230" s="652" t="str">
        <f t="shared" si="9"/>
        <v>Devizy</v>
      </c>
      <c r="K230" s="652" t="str">
        <f t="shared" si="10"/>
        <v/>
      </c>
      <c r="L230" s="652" t="str">
        <f t="shared" si="11"/>
        <v/>
      </c>
    </row>
    <row r="231" spans="1:12">
      <c r="A231" t="s">
        <v>13723</v>
      </c>
      <c r="J231" s="652" t="str">
        <f t="shared" si="9"/>
        <v>Devizy</v>
      </c>
      <c r="K231" s="652" t="str">
        <f t="shared" si="10"/>
        <v/>
      </c>
      <c r="L231" s="652" t="str">
        <f t="shared" si="11"/>
        <v/>
      </c>
    </row>
    <row r="232" spans="1:12">
      <c r="A232" t="s">
        <v>13758</v>
      </c>
      <c r="J232" s="652" t="str">
        <f t="shared" si="9"/>
        <v>Devizy</v>
      </c>
      <c r="K232" s="652" t="str">
        <f t="shared" si="10"/>
        <v/>
      </c>
      <c r="L232" s="652" t="str">
        <f t="shared" si="11"/>
        <v/>
      </c>
    </row>
    <row r="233" spans="1:12">
      <c r="A233" t="s">
        <v>13759</v>
      </c>
      <c r="J233" s="652" t="str">
        <f t="shared" si="9"/>
        <v>Devizy</v>
      </c>
      <c r="K233" s="652" t="str">
        <f t="shared" si="10"/>
        <v/>
      </c>
      <c r="L233" s="652" t="str">
        <f t="shared" si="11"/>
        <v/>
      </c>
    </row>
    <row r="234" spans="1:12">
      <c r="A234" t="s">
        <v>13726</v>
      </c>
      <c r="J234" s="652" t="str">
        <f t="shared" si="9"/>
        <v>Devizy</v>
      </c>
      <c r="K234" s="652" t="str">
        <f t="shared" si="10"/>
        <v/>
      </c>
      <c r="L234" s="652" t="str">
        <f t="shared" si="11"/>
        <v/>
      </c>
    </row>
    <row r="235" spans="1:12">
      <c r="A235" t="s">
        <v>13721</v>
      </c>
      <c r="J235" s="652" t="str">
        <f t="shared" si="9"/>
        <v>Devizy</v>
      </c>
      <c r="K235" s="652" t="str">
        <f t="shared" si="10"/>
        <v/>
      </c>
      <c r="L235" s="652" t="str">
        <f t="shared" si="11"/>
        <v/>
      </c>
    </row>
    <row r="236" spans="1:12">
      <c r="A236" t="s">
        <v>14771</v>
      </c>
      <c r="J236" s="652" t="str">
        <f t="shared" si="9"/>
        <v>Devizy</v>
      </c>
      <c r="K236" s="652" t="str">
        <f t="shared" si="10"/>
        <v/>
      </c>
      <c r="L236" s="652" t="str">
        <f t="shared" si="11"/>
        <v/>
      </c>
    </row>
    <row r="237" spans="1:12">
      <c r="A237" t="s">
        <v>2410</v>
      </c>
      <c r="J237" s="652" t="str">
        <f t="shared" si="9"/>
        <v>Devizy</v>
      </c>
      <c r="K237" s="652" t="str">
        <f t="shared" si="10"/>
        <v/>
      </c>
      <c r="L237" s="652" t="str">
        <f t="shared" si="11"/>
        <v/>
      </c>
    </row>
    <row r="238" spans="1:12">
      <c r="A238" t="s">
        <v>13772</v>
      </c>
      <c r="J238" s="652" t="str">
        <f t="shared" si="9"/>
        <v>Devizy</v>
      </c>
      <c r="K238" s="652" t="str">
        <f t="shared" si="10"/>
        <v/>
      </c>
      <c r="L238" s="652" t="str">
        <f t="shared" si="11"/>
        <v/>
      </c>
    </row>
    <row r="239" spans="1:12">
      <c r="A239" t="s">
        <v>11991</v>
      </c>
      <c r="J239" s="652" t="str">
        <f t="shared" si="9"/>
        <v>Devizy</v>
      </c>
      <c r="K239" s="652" t="str">
        <f t="shared" si="10"/>
        <v/>
      </c>
      <c r="L239" s="652" t="str">
        <f t="shared" si="11"/>
        <v/>
      </c>
    </row>
    <row r="240" spans="1:12">
      <c r="A240" t="s">
        <v>13760</v>
      </c>
      <c r="J240" s="652" t="str">
        <f t="shared" si="9"/>
        <v>Devizy</v>
      </c>
      <c r="K240" s="652" t="str">
        <f t="shared" si="10"/>
        <v/>
      </c>
      <c r="L240" s="652" t="str">
        <f t="shared" si="11"/>
        <v/>
      </c>
    </row>
    <row r="241" spans="1:12">
      <c r="J241" s="652" t="str">
        <f t="shared" si="9"/>
        <v>Devizy</v>
      </c>
      <c r="K241" s="652" t="str">
        <f t="shared" si="10"/>
        <v/>
      </c>
      <c r="L241" s="652" t="str">
        <f t="shared" si="11"/>
        <v/>
      </c>
    </row>
    <row r="242" spans="1:12">
      <c r="A242" t="s">
        <v>13761</v>
      </c>
      <c r="J242" s="652" t="str">
        <f t="shared" si="9"/>
        <v>Devizy</v>
      </c>
      <c r="K242" s="652" t="str">
        <f t="shared" si="10"/>
        <v/>
      </c>
      <c r="L242" s="652" t="str">
        <f t="shared" si="11"/>
        <v/>
      </c>
    </row>
    <row r="243" spans="1:12">
      <c r="J243" s="652" t="str">
        <f t="shared" si="9"/>
        <v>Devizy</v>
      </c>
      <c r="K243" s="652" t="str">
        <f t="shared" si="10"/>
        <v/>
      </c>
      <c r="L243" s="652" t="str">
        <f t="shared" si="11"/>
        <v/>
      </c>
    </row>
    <row r="244" spans="1:12">
      <c r="A244" t="s">
        <v>14770</v>
      </c>
      <c r="J244" s="652" t="str">
        <f t="shared" si="9"/>
        <v>Devizy</v>
      </c>
      <c r="K244" s="652" t="str">
        <f t="shared" si="10"/>
        <v/>
      </c>
      <c r="L244" s="652" t="str">
        <f t="shared" si="11"/>
        <v/>
      </c>
    </row>
    <row r="245" spans="1:12">
      <c r="A245" t="s">
        <v>13754</v>
      </c>
      <c r="J245" s="652" t="str">
        <f t="shared" si="9"/>
        <v>Devizy</v>
      </c>
      <c r="K245" s="652" t="str">
        <f t="shared" si="10"/>
        <v/>
      </c>
      <c r="L245" s="652" t="str">
        <f t="shared" si="11"/>
        <v/>
      </c>
    </row>
    <row r="246" spans="1:12">
      <c r="A246" t="s">
        <v>13734</v>
      </c>
      <c r="J246" s="652" t="str">
        <f t="shared" si="9"/>
        <v>Devizy</v>
      </c>
      <c r="K246" s="652" t="str">
        <f t="shared" si="10"/>
        <v/>
      </c>
      <c r="L246" s="652" t="str">
        <f t="shared" si="11"/>
        <v/>
      </c>
    </row>
    <row r="247" spans="1:12">
      <c r="A247" t="s">
        <v>13735</v>
      </c>
      <c r="J247" s="652" t="str">
        <f t="shared" si="9"/>
        <v>Devizy</v>
      </c>
      <c r="K247" s="652" t="str">
        <f t="shared" si="10"/>
        <v/>
      </c>
      <c r="L247" s="652" t="str">
        <f t="shared" si="11"/>
        <v/>
      </c>
    </row>
    <row r="248" spans="1:12">
      <c r="A248" t="s">
        <v>13755</v>
      </c>
      <c r="J248" s="652" t="str">
        <f t="shared" si="9"/>
        <v>Devizy</v>
      </c>
      <c r="K248" s="652" t="str">
        <f t="shared" si="10"/>
        <v/>
      </c>
      <c r="L248" s="652" t="str">
        <f t="shared" si="11"/>
        <v/>
      </c>
    </row>
    <row r="249" spans="1:12">
      <c r="A249" t="s">
        <v>13756</v>
      </c>
      <c r="J249" s="652" t="str">
        <f t="shared" si="9"/>
        <v>Devizy</v>
      </c>
      <c r="K249" s="652" t="str">
        <f t="shared" si="10"/>
        <v/>
      </c>
      <c r="L249" s="652" t="str">
        <f t="shared" si="11"/>
        <v/>
      </c>
    </row>
    <row r="250" spans="1:12">
      <c r="J250" s="652" t="str">
        <f t="shared" si="9"/>
        <v>Devizy</v>
      </c>
      <c r="K250" s="652" t="str">
        <f t="shared" si="10"/>
        <v/>
      </c>
      <c r="L250" s="652" t="str">
        <f t="shared" si="11"/>
        <v/>
      </c>
    </row>
    <row r="251" spans="1:12">
      <c r="A251" t="s">
        <v>13762</v>
      </c>
      <c r="J251" s="652" t="str">
        <f t="shared" si="9"/>
        <v>Devizy</v>
      </c>
      <c r="K251" s="652" t="str">
        <f t="shared" si="10"/>
        <v/>
      </c>
      <c r="L251" s="652" t="str">
        <f t="shared" si="11"/>
        <v/>
      </c>
    </row>
    <row r="252" spans="1:12" hidden="1">
      <c r="J252" s="652" t="str">
        <f t="shared" si="9"/>
        <v>Devizy</v>
      </c>
      <c r="K252" s="652" t="str">
        <f t="shared" si="10"/>
        <v/>
      </c>
      <c r="L252" s="652" t="str">
        <f t="shared" si="11"/>
        <v/>
      </c>
    </row>
    <row r="253" spans="1:12">
      <c r="A253" t="s">
        <v>13745</v>
      </c>
      <c r="J253" s="652" t="str">
        <f t="shared" si="9"/>
        <v>Devizy</v>
      </c>
      <c r="K253" s="652" t="str">
        <f t="shared" si="10"/>
        <v/>
      </c>
      <c r="L253" s="652" t="str">
        <f t="shared" si="11"/>
        <v/>
      </c>
    </row>
    <row r="254" spans="1:12">
      <c r="A254" t="s">
        <v>13768</v>
      </c>
      <c r="J254" s="652" t="str">
        <f t="shared" si="9"/>
        <v>Devizy</v>
      </c>
      <c r="K254" s="652" t="str">
        <f t="shared" si="10"/>
        <v/>
      </c>
      <c r="L254" s="652" t="str">
        <f t="shared" si="11"/>
        <v/>
      </c>
    </row>
    <row r="255" spans="1:12">
      <c r="A255" t="s">
        <v>13713</v>
      </c>
      <c r="J255" s="652" t="str">
        <f t="shared" si="9"/>
        <v>Devizy</v>
      </c>
      <c r="K255" s="652" t="str">
        <f t="shared" si="10"/>
        <v/>
      </c>
      <c r="L255" s="652" t="str">
        <f t="shared" si="11"/>
        <v/>
      </c>
    </row>
    <row r="256" spans="1:12">
      <c r="A256" t="s">
        <v>13716</v>
      </c>
      <c r="J256" s="652" t="str">
        <f t="shared" si="9"/>
        <v>Devizy</v>
      </c>
      <c r="K256" s="652" t="str">
        <f t="shared" si="10"/>
        <v/>
      </c>
      <c r="L256" s="652" t="str">
        <f t="shared" si="11"/>
        <v/>
      </c>
    </row>
    <row r="257" spans="1:12">
      <c r="A257" t="s">
        <v>13728</v>
      </c>
      <c r="J257" s="652" t="str">
        <f t="shared" si="9"/>
        <v>Devizy</v>
      </c>
      <c r="K257" s="652" t="str">
        <f t="shared" si="10"/>
        <v/>
      </c>
      <c r="L257" s="652" t="str">
        <f t="shared" si="11"/>
        <v/>
      </c>
    </row>
    <row r="258" spans="1:12">
      <c r="A258" t="s">
        <v>13717</v>
      </c>
      <c r="J258" s="652" t="str">
        <f t="shared" si="9"/>
        <v>Devizy</v>
      </c>
      <c r="K258" s="652" t="str">
        <f t="shared" si="10"/>
        <v/>
      </c>
      <c r="L258" s="652" t="str">
        <f t="shared" si="11"/>
        <v/>
      </c>
    </row>
    <row r="259" spans="1:12">
      <c r="J259" s="652" t="str">
        <f t="shared" si="9"/>
        <v>Devizy</v>
      </c>
      <c r="K259" s="652" t="str">
        <f t="shared" si="10"/>
        <v/>
      </c>
      <c r="L259" s="652" t="str">
        <f t="shared" si="11"/>
        <v/>
      </c>
    </row>
    <row r="260" spans="1:12">
      <c r="A260" s="3" t="s">
        <v>13720</v>
      </c>
      <c r="J260" s="652" t="str">
        <f t="shared" si="9"/>
        <v>Devizy</v>
      </c>
      <c r="K260" s="652" t="str">
        <f t="shared" si="10"/>
        <v/>
      </c>
      <c r="L260" s="652" t="str">
        <f t="shared" si="11"/>
        <v/>
      </c>
    </row>
    <row r="261" spans="1:12">
      <c r="A261" s="3"/>
      <c r="J261" s="652" t="str">
        <f t="shared" ref="J261:J277" si="12">IF(OR(A261="Devizy",J260="Devizy"),"Devizy","")</f>
        <v>Devizy</v>
      </c>
      <c r="K261" s="652" t="str">
        <f t="shared" ref="K261:K277" si="13">IFERROR(IF(AND(J261="Devizy",FIND("Nakupujeme ",A261)=1),RIGHT(A261,7),""),"")</f>
        <v/>
      </c>
      <c r="L261" s="652" t="str">
        <f t="shared" ref="L261:L324" si="14">IFERROR(K261+M261,"")</f>
        <v/>
      </c>
    </row>
    <row r="262" spans="1:12">
      <c r="A262" s="3" t="s">
        <v>13723</v>
      </c>
      <c r="J262" s="652" t="str">
        <f t="shared" si="12"/>
        <v>Devizy</v>
      </c>
      <c r="K262" s="652" t="str">
        <f t="shared" si="13"/>
        <v/>
      </c>
      <c r="L262" s="652" t="str">
        <f t="shared" si="14"/>
        <v/>
      </c>
    </row>
    <row r="263" spans="1:12">
      <c r="A263" t="s">
        <v>13758</v>
      </c>
      <c r="J263" s="652" t="str">
        <f t="shared" si="12"/>
        <v>Devizy</v>
      </c>
      <c r="K263" s="652" t="str">
        <f t="shared" si="13"/>
        <v/>
      </c>
      <c r="L263" s="652" t="str">
        <f t="shared" si="14"/>
        <v/>
      </c>
    </row>
    <row r="264" spans="1:12">
      <c r="A264" s="3" t="s">
        <v>13759</v>
      </c>
      <c r="J264" s="652" t="str">
        <f t="shared" si="12"/>
        <v>Devizy</v>
      </c>
      <c r="K264" s="652" t="str">
        <f t="shared" si="13"/>
        <v/>
      </c>
      <c r="L264" s="652" t="str">
        <f t="shared" si="14"/>
        <v/>
      </c>
    </row>
    <row r="265" spans="1:12">
      <c r="A265" s="3" t="s">
        <v>13726</v>
      </c>
      <c r="J265" s="652" t="str">
        <f t="shared" si="12"/>
        <v>Devizy</v>
      </c>
      <c r="K265" s="652" t="str">
        <f t="shared" si="13"/>
        <v/>
      </c>
      <c r="L265" s="652" t="str">
        <f t="shared" si="14"/>
        <v/>
      </c>
    </row>
    <row r="266" spans="1:12">
      <c r="A266" t="s">
        <v>13721</v>
      </c>
      <c r="J266" s="652" t="str">
        <f t="shared" si="12"/>
        <v>Devizy</v>
      </c>
      <c r="K266" s="652" t="str">
        <f t="shared" si="13"/>
        <v/>
      </c>
      <c r="L266" s="652" t="str">
        <f t="shared" si="14"/>
        <v/>
      </c>
    </row>
    <row r="267" spans="1:12">
      <c r="A267" s="3" t="s">
        <v>14771</v>
      </c>
      <c r="J267" s="652" t="str">
        <f t="shared" si="12"/>
        <v>Devizy</v>
      </c>
      <c r="K267" s="652" t="str">
        <f t="shared" si="13"/>
        <v/>
      </c>
      <c r="L267" s="652" t="str">
        <f t="shared" si="14"/>
        <v/>
      </c>
    </row>
    <row r="268" spans="1:12">
      <c r="J268" s="652" t="str">
        <f t="shared" si="12"/>
        <v>Devizy</v>
      </c>
      <c r="K268" s="652" t="str">
        <f t="shared" si="13"/>
        <v/>
      </c>
      <c r="L268" s="652" t="str">
        <f t="shared" si="14"/>
        <v/>
      </c>
    </row>
    <row r="269" spans="1:12">
      <c r="A269" t="s">
        <v>11990</v>
      </c>
      <c r="J269" s="652" t="str">
        <f t="shared" si="12"/>
        <v>Devizy</v>
      </c>
      <c r="K269" s="652" t="str">
        <f t="shared" si="13"/>
        <v/>
      </c>
      <c r="L269" s="652" t="str">
        <f t="shared" si="14"/>
        <v/>
      </c>
    </row>
    <row r="270" spans="1:12">
      <c r="J270" s="652" t="str">
        <f t="shared" si="12"/>
        <v>Devizy</v>
      </c>
      <c r="K270" s="652" t="str">
        <f t="shared" si="13"/>
        <v/>
      </c>
      <c r="L270" s="652" t="str">
        <f t="shared" si="14"/>
        <v/>
      </c>
    </row>
    <row r="271" spans="1:12">
      <c r="A271" s="3">
        <v>800521521</v>
      </c>
      <c r="J271" s="652" t="str">
        <f t="shared" si="12"/>
        <v>Devizy</v>
      </c>
      <c r="K271" s="652" t="str">
        <f t="shared" si="13"/>
        <v/>
      </c>
      <c r="L271" s="652" t="str">
        <f t="shared" si="14"/>
        <v/>
      </c>
    </row>
    <row r="272" spans="1:12">
      <c r="A272" t="s">
        <v>13722</v>
      </c>
      <c r="J272" s="652" t="str">
        <f t="shared" si="12"/>
        <v>Devizy</v>
      </c>
      <c r="K272" s="652" t="str">
        <f t="shared" si="13"/>
        <v/>
      </c>
      <c r="L272" s="652" t="str">
        <f t="shared" si="14"/>
        <v/>
      </c>
    </row>
    <row r="273" spans="1:12">
      <c r="A273" t="s">
        <v>13773</v>
      </c>
      <c r="J273" s="652" t="str">
        <f t="shared" si="12"/>
        <v>Devizy</v>
      </c>
      <c r="K273" s="652" t="str">
        <f t="shared" si="13"/>
        <v/>
      </c>
      <c r="L273" s="652" t="str">
        <f t="shared" si="14"/>
        <v/>
      </c>
    </row>
    <row r="274" spans="1:12">
      <c r="A274" t="s">
        <v>13725</v>
      </c>
      <c r="J274" s="652" t="str">
        <f t="shared" si="12"/>
        <v>Devizy</v>
      </c>
      <c r="K274" s="652" t="str">
        <f t="shared" si="13"/>
        <v/>
      </c>
      <c r="L274" s="652" t="str">
        <f t="shared" si="14"/>
        <v/>
      </c>
    </row>
    <row r="275" spans="1:12">
      <c r="A275" t="s">
        <v>13763</v>
      </c>
      <c r="J275" s="652" t="str">
        <f t="shared" si="12"/>
        <v>Devizy</v>
      </c>
      <c r="K275" s="652" t="str">
        <f t="shared" si="13"/>
        <v/>
      </c>
      <c r="L275" s="652" t="str">
        <f t="shared" si="14"/>
        <v/>
      </c>
    </row>
    <row r="276" spans="1:12">
      <c r="A276" t="s">
        <v>14707</v>
      </c>
      <c r="J276" s="652" t="str">
        <f t="shared" si="12"/>
        <v>Devizy</v>
      </c>
      <c r="K276" s="652" t="str">
        <f t="shared" si="13"/>
        <v/>
      </c>
      <c r="L276" s="652" t="str">
        <f t="shared" si="14"/>
        <v/>
      </c>
    </row>
    <row r="277" spans="1:12">
      <c r="J277" s="652" t="str">
        <f t="shared" si="12"/>
        <v>Devizy</v>
      </c>
      <c r="K277" s="652" t="str">
        <f t="shared" si="13"/>
        <v/>
      </c>
      <c r="L277" s="652" t="str">
        <f t="shared" si="14"/>
        <v/>
      </c>
    </row>
    <row r="278" spans="1:12">
      <c r="A278" t="s">
        <v>13764</v>
      </c>
      <c r="J278" s="652" t="str">
        <f t="shared" ref="J278:J341" si="15">IF(OR(A287="Devizy",J277="Devizy"),"Devizy","")</f>
        <v>Devizy</v>
      </c>
      <c r="K278" s="652" t="str">
        <f>IFERROR(IF(AND(J278="Devizy",FIND("Nakupujeme ",#REF!)=1),RIGHT(#REF!,7),""),"")</f>
        <v/>
      </c>
      <c r="L278" s="652" t="str">
        <f t="shared" si="14"/>
        <v/>
      </c>
    </row>
    <row r="279" spans="1:12">
      <c r="J279" s="652" t="str">
        <f t="shared" si="15"/>
        <v>Devizy</v>
      </c>
      <c r="K279" s="652" t="str">
        <f t="shared" ref="K279:K342" si="16">IFERROR(IF(AND(J279="Devizy",FIND("Nakupujeme ",A287)=1),RIGHT(A287,7),""),"")</f>
        <v/>
      </c>
      <c r="L279" s="652" t="str">
        <f t="shared" si="14"/>
        <v/>
      </c>
    </row>
    <row r="280" spans="1:12">
      <c r="A280" t="s">
        <v>13765</v>
      </c>
      <c r="J280" s="652" t="str">
        <f t="shared" si="15"/>
        <v>Devizy</v>
      </c>
      <c r="K280" s="652" t="str">
        <f t="shared" si="16"/>
        <v/>
      </c>
      <c r="L280" s="652" t="str">
        <f t="shared" si="14"/>
        <v/>
      </c>
    </row>
    <row r="281" spans="1:12">
      <c r="A281" t="s">
        <v>13766</v>
      </c>
      <c r="J281" s="652" t="str">
        <f t="shared" si="15"/>
        <v>Devizy</v>
      </c>
      <c r="K281" s="652" t="str">
        <f t="shared" si="16"/>
        <v/>
      </c>
      <c r="L281" s="652" t="str">
        <f t="shared" si="14"/>
        <v/>
      </c>
    </row>
    <row r="282" spans="1:12">
      <c r="A282" t="s">
        <v>13767</v>
      </c>
      <c r="J282" s="652" t="str">
        <f t="shared" si="15"/>
        <v>Devizy</v>
      </c>
      <c r="K282" s="652" t="str">
        <f t="shared" si="16"/>
        <v/>
      </c>
      <c r="L282" s="652" t="str">
        <f t="shared" si="14"/>
        <v/>
      </c>
    </row>
    <row r="283" spans="1:12">
      <c r="A283" t="s">
        <v>13769</v>
      </c>
      <c r="J283" s="652" t="str">
        <f t="shared" si="15"/>
        <v>Devizy</v>
      </c>
      <c r="K283" s="652" t="str">
        <f t="shared" si="16"/>
        <v/>
      </c>
      <c r="L283" s="652" t="str">
        <f t="shared" si="14"/>
        <v/>
      </c>
    </row>
    <row r="284" spans="1:12">
      <c r="A284" t="s">
        <v>14051</v>
      </c>
      <c r="J284" s="652" t="str">
        <f t="shared" si="15"/>
        <v>Devizy</v>
      </c>
      <c r="K284" s="652" t="str">
        <f t="shared" si="16"/>
        <v/>
      </c>
      <c r="L284" s="652" t="str">
        <f t="shared" si="14"/>
        <v/>
      </c>
    </row>
    <row r="285" spans="1:12">
      <c r="A285" t="s">
        <v>13770</v>
      </c>
      <c r="J285" s="652" t="str">
        <f t="shared" si="15"/>
        <v>Devizy</v>
      </c>
      <c r="K285" s="652" t="str">
        <f t="shared" si="16"/>
        <v/>
      </c>
      <c r="L285" s="652" t="str">
        <f t="shared" si="14"/>
        <v/>
      </c>
    </row>
    <row r="286" spans="1:12">
      <c r="A286" t="s">
        <v>13771</v>
      </c>
      <c r="J286" s="652" t="str">
        <f t="shared" si="15"/>
        <v>Devizy</v>
      </c>
      <c r="K286" s="652" t="str">
        <f t="shared" si="16"/>
        <v/>
      </c>
      <c r="L286" s="652" t="str">
        <f t="shared" si="14"/>
        <v/>
      </c>
    </row>
    <row r="287" spans="1:12">
      <c r="A287" s="27" t="s">
        <v>13471</v>
      </c>
      <c r="J287" s="652" t="str">
        <f t="shared" si="15"/>
        <v>Devizy</v>
      </c>
      <c r="K287" s="652" t="str">
        <f t="shared" si="16"/>
        <v/>
      </c>
      <c r="L287" s="652" t="str">
        <f t="shared" si="14"/>
        <v/>
      </c>
    </row>
    <row r="288" spans="1:12">
      <c r="A288" s="12" t="s">
        <v>24</v>
      </c>
      <c r="J288" s="652" t="str">
        <f t="shared" si="15"/>
        <v>Devizy</v>
      </c>
      <c r="K288" s="652" t="str">
        <f t="shared" si="16"/>
        <v/>
      </c>
      <c r="L288" s="652" t="str">
        <f t="shared" si="14"/>
        <v/>
      </c>
    </row>
    <row r="289" spans="1:12">
      <c r="A289" s="12" t="s">
        <v>24</v>
      </c>
      <c r="J289" s="652" t="str">
        <f t="shared" si="15"/>
        <v>Devizy</v>
      </c>
      <c r="K289" s="652" t="str">
        <f t="shared" si="16"/>
        <v/>
      </c>
      <c r="L289" s="652" t="str">
        <f t="shared" si="14"/>
        <v/>
      </c>
    </row>
    <row r="290" spans="1:12">
      <c r="A290" s="12" t="s">
        <v>24</v>
      </c>
      <c r="J290" s="652" t="str">
        <f t="shared" si="15"/>
        <v>Devizy</v>
      </c>
      <c r="K290" s="652" t="str">
        <f t="shared" si="16"/>
        <v/>
      </c>
      <c r="L290" s="652" t="str">
        <f t="shared" si="14"/>
        <v/>
      </c>
    </row>
    <row r="291" spans="1:12">
      <c r="A291" s="12" t="s">
        <v>24</v>
      </c>
      <c r="J291" s="652" t="str">
        <f t="shared" si="15"/>
        <v>Devizy</v>
      </c>
      <c r="K291" s="652" t="str">
        <f t="shared" si="16"/>
        <v/>
      </c>
      <c r="L291" s="652" t="str">
        <f t="shared" si="14"/>
        <v/>
      </c>
    </row>
    <row r="292" spans="1:12">
      <c r="A292" s="12" t="s">
        <v>24</v>
      </c>
      <c r="J292" s="652" t="str">
        <f t="shared" si="15"/>
        <v>Devizy</v>
      </c>
      <c r="K292" s="652" t="str">
        <f t="shared" si="16"/>
        <v/>
      </c>
      <c r="L292" s="652" t="str">
        <f t="shared" si="14"/>
        <v/>
      </c>
    </row>
    <row r="293" spans="1:12">
      <c r="A293" s="12" t="s">
        <v>24</v>
      </c>
      <c r="J293" s="652" t="str">
        <f t="shared" si="15"/>
        <v>Devizy</v>
      </c>
      <c r="K293" s="652" t="str">
        <f t="shared" si="16"/>
        <v/>
      </c>
      <c r="L293" s="652" t="str">
        <f t="shared" si="14"/>
        <v/>
      </c>
    </row>
    <row r="294" spans="1:12">
      <c r="A294" s="12" t="s">
        <v>24</v>
      </c>
      <c r="J294" s="652" t="str">
        <f t="shared" si="15"/>
        <v>Devizy</v>
      </c>
      <c r="K294" s="652" t="str">
        <f t="shared" si="16"/>
        <v/>
      </c>
      <c r="L294" s="652" t="str">
        <f t="shared" si="14"/>
        <v/>
      </c>
    </row>
    <row r="295" spans="1:12">
      <c r="A295" s="12" t="s">
        <v>24</v>
      </c>
      <c r="J295" s="652" t="str">
        <f t="shared" si="15"/>
        <v>Devizy</v>
      </c>
      <c r="K295" s="652" t="str">
        <f t="shared" si="16"/>
        <v/>
      </c>
      <c r="L295" s="652" t="str">
        <f t="shared" si="14"/>
        <v/>
      </c>
    </row>
    <row r="296" spans="1:12">
      <c r="A296" s="12" t="s">
        <v>24</v>
      </c>
      <c r="J296" s="652" t="str">
        <f t="shared" si="15"/>
        <v>Devizy</v>
      </c>
      <c r="K296" s="652" t="str">
        <f t="shared" si="16"/>
        <v/>
      </c>
      <c r="L296" s="652" t="str">
        <f t="shared" si="14"/>
        <v/>
      </c>
    </row>
    <row r="297" spans="1:12">
      <c r="A297" s="12" t="s">
        <v>24</v>
      </c>
      <c r="J297" s="652" t="str">
        <f t="shared" si="15"/>
        <v>Devizy</v>
      </c>
      <c r="K297" s="652" t="str">
        <f t="shared" si="16"/>
        <v/>
      </c>
      <c r="L297" s="652" t="str">
        <f t="shared" si="14"/>
        <v/>
      </c>
    </row>
    <row r="298" spans="1:12">
      <c r="A298" s="12" t="s">
        <v>24</v>
      </c>
      <c r="J298" s="652" t="str">
        <f t="shared" si="15"/>
        <v>Devizy</v>
      </c>
      <c r="K298" s="652" t="str">
        <f t="shared" si="16"/>
        <v/>
      </c>
      <c r="L298" s="652" t="str">
        <f t="shared" si="14"/>
        <v/>
      </c>
    </row>
    <row r="299" spans="1:12">
      <c r="A299" s="12" t="s">
        <v>24</v>
      </c>
      <c r="J299" s="652" t="str">
        <f t="shared" si="15"/>
        <v>Devizy</v>
      </c>
      <c r="K299" s="652" t="str">
        <f t="shared" si="16"/>
        <v/>
      </c>
      <c r="L299" s="652" t="str">
        <f t="shared" si="14"/>
        <v/>
      </c>
    </row>
    <row r="300" spans="1:12">
      <c r="A300" s="12" t="s">
        <v>24</v>
      </c>
      <c r="J300" s="652" t="str">
        <f t="shared" si="15"/>
        <v>Devizy</v>
      </c>
      <c r="K300" s="652" t="str">
        <f t="shared" si="16"/>
        <v/>
      </c>
      <c r="L300" s="652" t="str">
        <f t="shared" si="14"/>
        <v/>
      </c>
    </row>
    <row r="301" spans="1:12">
      <c r="A301" s="12" t="s">
        <v>24</v>
      </c>
      <c r="J301" s="652" t="str">
        <f t="shared" si="15"/>
        <v>Devizy</v>
      </c>
      <c r="K301" s="652" t="str">
        <f t="shared" si="16"/>
        <v/>
      </c>
      <c r="L301" s="652" t="str">
        <f t="shared" si="14"/>
        <v/>
      </c>
    </row>
    <row r="302" spans="1:12">
      <c r="A302" s="12" t="s">
        <v>24</v>
      </c>
      <c r="J302" s="652" t="str">
        <f t="shared" si="15"/>
        <v>Devizy</v>
      </c>
      <c r="K302" s="652" t="str">
        <f t="shared" si="16"/>
        <v/>
      </c>
      <c r="L302" s="652" t="str">
        <f t="shared" si="14"/>
        <v/>
      </c>
    </row>
    <row r="303" spans="1:12">
      <c r="A303" s="12" t="s">
        <v>24</v>
      </c>
      <c r="J303" s="652" t="str">
        <f t="shared" si="15"/>
        <v>Devizy</v>
      </c>
      <c r="K303" s="652" t="str">
        <f t="shared" si="16"/>
        <v/>
      </c>
      <c r="L303" s="652" t="str">
        <f t="shared" si="14"/>
        <v/>
      </c>
    </row>
    <row r="304" spans="1:12">
      <c r="A304" s="12" t="s">
        <v>24</v>
      </c>
      <c r="J304" s="652" t="str">
        <f t="shared" si="15"/>
        <v>Devizy</v>
      </c>
      <c r="K304" s="652" t="str">
        <f t="shared" si="16"/>
        <v/>
      </c>
      <c r="L304" s="652" t="str">
        <f t="shared" si="14"/>
        <v/>
      </c>
    </row>
    <row r="305" spans="1:12">
      <c r="A305" s="12" t="s">
        <v>24</v>
      </c>
      <c r="J305" s="652" t="str">
        <f t="shared" si="15"/>
        <v>Devizy</v>
      </c>
      <c r="K305" s="652" t="str">
        <f t="shared" si="16"/>
        <v/>
      </c>
      <c r="L305" s="652" t="str">
        <f t="shared" si="14"/>
        <v/>
      </c>
    </row>
    <row r="306" spans="1:12">
      <c r="A306" s="12" t="s">
        <v>24</v>
      </c>
      <c r="J306" s="652" t="str">
        <f t="shared" si="15"/>
        <v>Devizy</v>
      </c>
      <c r="K306" s="652" t="str">
        <f t="shared" si="16"/>
        <v/>
      </c>
      <c r="L306" s="652" t="str">
        <f t="shared" si="14"/>
        <v/>
      </c>
    </row>
    <row r="307" spans="1:12">
      <c r="A307" s="12" t="s">
        <v>24</v>
      </c>
      <c r="J307" s="652" t="str">
        <f t="shared" si="15"/>
        <v>Devizy</v>
      </c>
      <c r="K307" s="652" t="str">
        <f t="shared" si="16"/>
        <v/>
      </c>
      <c r="L307" s="652" t="str">
        <f t="shared" si="14"/>
        <v/>
      </c>
    </row>
    <row r="308" spans="1:12">
      <c r="A308" s="12" t="s">
        <v>24</v>
      </c>
      <c r="J308" s="652" t="str">
        <f t="shared" si="15"/>
        <v>Devizy</v>
      </c>
      <c r="K308" s="652" t="str">
        <f t="shared" si="16"/>
        <v/>
      </c>
      <c r="L308" s="652" t="str">
        <f t="shared" si="14"/>
        <v/>
      </c>
    </row>
    <row r="309" spans="1:12">
      <c r="A309" s="12" t="s">
        <v>24</v>
      </c>
      <c r="J309" s="652" t="str">
        <f t="shared" si="15"/>
        <v>Devizy</v>
      </c>
      <c r="K309" s="652" t="str">
        <f t="shared" si="16"/>
        <v/>
      </c>
      <c r="L309" s="652" t="str">
        <f t="shared" si="14"/>
        <v/>
      </c>
    </row>
    <row r="310" spans="1:12">
      <c r="A310" s="12" t="s">
        <v>24</v>
      </c>
      <c r="J310" s="652" t="str">
        <f t="shared" si="15"/>
        <v>Devizy</v>
      </c>
      <c r="K310" s="652" t="str">
        <f t="shared" si="16"/>
        <v/>
      </c>
      <c r="L310" s="652" t="str">
        <f t="shared" si="14"/>
        <v/>
      </c>
    </row>
    <row r="311" spans="1:12">
      <c r="A311" s="12" t="s">
        <v>24</v>
      </c>
      <c r="J311" s="652" t="str">
        <f t="shared" si="15"/>
        <v>Devizy</v>
      </c>
      <c r="K311" s="652" t="str">
        <f t="shared" si="16"/>
        <v/>
      </c>
      <c r="L311" s="652" t="str">
        <f t="shared" si="14"/>
        <v/>
      </c>
    </row>
    <row r="312" spans="1:12">
      <c r="A312" s="12" t="s">
        <v>24</v>
      </c>
      <c r="J312" s="652" t="str">
        <f t="shared" si="15"/>
        <v>Devizy</v>
      </c>
      <c r="K312" s="652" t="str">
        <f t="shared" si="16"/>
        <v/>
      </c>
      <c r="L312" s="652" t="str">
        <f t="shared" si="14"/>
        <v/>
      </c>
    </row>
    <row r="313" spans="1:12">
      <c r="A313" s="12" t="s">
        <v>24</v>
      </c>
      <c r="J313" s="652" t="str">
        <f t="shared" si="15"/>
        <v>Devizy</v>
      </c>
      <c r="K313" s="652" t="str">
        <f t="shared" si="16"/>
        <v/>
      </c>
      <c r="L313" s="652" t="str">
        <f t="shared" si="14"/>
        <v/>
      </c>
    </row>
    <row r="314" spans="1:12">
      <c r="A314" s="12" t="s">
        <v>24</v>
      </c>
      <c r="J314" s="652" t="str">
        <f t="shared" si="15"/>
        <v>Devizy</v>
      </c>
      <c r="K314" s="652" t="str">
        <f t="shared" si="16"/>
        <v/>
      </c>
      <c r="L314" s="652" t="str">
        <f t="shared" si="14"/>
        <v/>
      </c>
    </row>
    <row r="315" spans="1:12">
      <c r="A315" s="12"/>
      <c r="J315" s="652" t="str">
        <f t="shared" si="15"/>
        <v>Devizy</v>
      </c>
      <c r="K315" s="652" t="str">
        <f t="shared" si="16"/>
        <v/>
      </c>
      <c r="L315" s="652" t="str">
        <f t="shared" si="14"/>
        <v/>
      </c>
    </row>
    <row r="316" spans="1:12">
      <c r="A316" s="12" t="s">
        <v>24</v>
      </c>
      <c r="J316" s="652" t="str">
        <f t="shared" si="15"/>
        <v>Devizy</v>
      </c>
      <c r="K316" s="652" t="str">
        <f t="shared" si="16"/>
        <v/>
      </c>
      <c r="L316" s="652" t="str">
        <f t="shared" si="14"/>
        <v/>
      </c>
    </row>
    <row r="317" spans="1:12">
      <c r="A317" s="12" t="s">
        <v>24</v>
      </c>
      <c r="J317" s="652" t="str">
        <f t="shared" si="15"/>
        <v>Devizy</v>
      </c>
      <c r="K317" s="652" t="str">
        <f t="shared" si="16"/>
        <v/>
      </c>
      <c r="L317" s="652" t="str">
        <f t="shared" si="14"/>
        <v/>
      </c>
    </row>
    <row r="318" spans="1:12">
      <c r="A318" s="12" t="s">
        <v>24</v>
      </c>
      <c r="J318" s="652" t="str">
        <f t="shared" si="15"/>
        <v>Devizy</v>
      </c>
      <c r="K318" s="652" t="str">
        <f t="shared" si="16"/>
        <v/>
      </c>
      <c r="L318" s="652" t="str">
        <f t="shared" si="14"/>
        <v/>
      </c>
    </row>
    <row r="319" spans="1:12">
      <c r="A319" s="12" t="s">
        <v>24</v>
      </c>
      <c r="J319" s="652" t="str">
        <f t="shared" si="15"/>
        <v>Devizy</v>
      </c>
      <c r="K319" s="652" t="str">
        <f t="shared" si="16"/>
        <v/>
      </c>
      <c r="L319" s="652" t="str">
        <f t="shared" si="14"/>
        <v/>
      </c>
    </row>
    <row r="320" spans="1:12">
      <c r="A320" s="12" t="s">
        <v>24</v>
      </c>
      <c r="J320" s="652" t="str">
        <f t="shared" si="15"/>
        <v>Devizy</v>
      </c>
      <c r="K320" s="652" t="str">
        <f t="shared" si="16"/>
        <v/>
      </c>
      <c r="L320" s="652" t="str">
        <f t="shared" si="14"/>
        <v/>
      </c>
    </row>
    <row r="321" spans="1:12">
      <c r="A321" s="12" t="s">
        <v>24</v>
      </c>
      <c r="J321" s="652" t="str">
        <f t="shared" si="15"/>
        <v>Devizy</v>
      </c>
      <c r="K321" s="652" t="str">
        <f t="shared" si="16"/>
        <v/>
      </c>
      <c r="L321" s="652" t="str">
        <f t="shared" si="14"/>
        <v/>
      </c>
    </row>
    <row r="322" spans="1:12">
      <c r="A322" s="12" t="s">
        <v>24</v>
      </c>
      <c r="J322" s="652" t="str">
        <f t="shared" si="15"/>
        <v>Devizy</v>
      </c>
      <c r="K322" s="652" t="str">
        <f t="shared" si="16"/>
        <v/>
      </c>
      <c r="L322" s="652" t="str">
        <f t="shared" si="14"/>
        <v/>
      </c>
    </row>
    <row r="323" spans="1:12">
      <c r="A323" s="12"/>
      <c r="J323" s="652" t="str">
        <f t="shared" si="15"/>
        <v>Devizy</v>
      </c>
      <c r="K323" s="652" t="str">
        <f t="shared" si="16"/>
        <v/>
      </c>
      <c r="L323" s="652" t="str">
        <f t="shared" si="14"/>
        <v/>
      </c>
    </row>
    <row r="324" spans="1:12">
      <c r="A324" s="12" t="s">
        <v>24</v>
      </c>
      <c r="J324" s="652" t="str">
        <f t="shared" si="15"/>
        <v>Devizy</v>
      </c>
      <c r="K324" s="652" t="str">
        <f t="shared" si="16"/>
        <v/>
      </c>
      <c r="L324" s="652" t="str">
        <f t="shared" si="14"/>
        <v/>
      </c>
    </row>
    <row r="325" spans="1:12">
      <c r="A325" s="12" t="s">
        <v>24</v>
      </c>
      <c r="J325" s="652" t="str">
        <f t="shared" si="15"/>
        <v>Devizy</v>
      </c>
      <c r="K325" s="652" t="str">
        <f t="shared" si="16"/>
        <v/>
      </c>
      <c r="L325" s="652" t="str">
        <f t="shared" ref="L325:L388" si="17">IFERROR(K325+M325,"")</f>
        <v/>
      </c>
    </row>
    <row r="326" spans="1:12">
      <c r="A326" s="12" t="s">
        <v>24</v>
      </c>
      <c r="J326" s="652" t="str">
        <f t="shared" si="15"/>
        <v>Devizy</v>
      </c>
      <c r="K326" s="652" t="str">
        <f t="shared" si="16"/>
        <v/>
      </c>
      <c r="L326" s="652" t="str">
        <f t="shared" si="17"/>
        <v/>
      </c>
    </row>
    <row r="327" spans="1:12">
      <c r="A327" s="12"/>
      <c r="J327" s="652" t="str">
        <f t="shared" si="15"/>
        <v>Devizy</v>
      </c>
      <c r="K327" s="652" t="str">
        <f t="shared" si="16"/>
        <v/>
      </c>
      <c r="L327" s="652" t="str">
        <f t="shared" si="17"/>
        <v/>
      </c>
    </row>
    <row r="328" spans="1:12">
      <c r="A328" s="12" t="s">
        <v>24</v>
      </c>
      <c r="J328" s="652" t="str">
        <f t="shared" si="15"/>
        <v>Devizy</v>
      </c>
      <c r="K328" s="652" t="str">
        <f t="shared" si="16"/>
        <v/>
      </c>
      <c r="L328" s="652" t="str">
        <f t="shared" si="17"/>
        <v/>
      </c>
    </row>
    <row r="329" spans="1:12">
      <c r="A329" s="12" t="s">
        <v>24</v>
      </c>
      <c r="J329" s="652" t="str">
        <f t="shared" si="15"/>
        <v>Devizy</v>
      </c>
      <c r="K329" s="652" t="str">
        <f t="shared" si="16"/>
        <v/>
      </c>
      <c r="L329" s="652" t="str">
        <f t="shared" si="17"/>
        <v/>
      </c>
    </row>
    <row r="330" spans="1:12">
      <c r="A330" s="12" t="s">
        <v>24</v>
      </c>
      <c r="J330" s="652" t="str">
        <f t="shared" si="15"/>
        <v>Devizy</v>
      </c>
      <c r="K330" s="652" t="str">
        <f t="shared" si="16"/>
        <v/>
      </c>
      <c r="L330" s="652" t="str">
        <f t="shared" si="17"/>
        <v/>
      </c>
    </row>
    <row r="331" spans="1:12">
      <c r="A331" s="12" t="s">
        <v>24</v>
      </c>
      <c r="J331" s="652" t="str">
        <f t="shared" si="15"/>
        <v>Devizy</v>
      </c>
      <c r="K331" s="652" t="str">
        <f t="shared" si="16"/>
        <v/>
      </c>
      <c r="L331" s="652" t="str">
        <f t="shared" si="17"/>
        <v/>
      </c>
    </row>
    <row r="332" spans="1:12">
      <c r="A332" s="12" t="s">
        <v>24</v>
      </c>
      <c r="J332" s="652" t="str">
        <f t="shared" si="15"/>
        <v>Devizy</v>
      </c>
      <c r="K332" s="652" t="str">
        <f t="shared" si="16"/>
        <v/>
      </c>
      <c r="L332" s="652" t="str">
        <f t="shared" si="17"/>
        <v/>
      </c>
    </row>
    <row r="333" spans="1:12">
      <c r="A333" s="12" t="s">
        <v>24</v>
      </c>
      <c r="J333" s="652" t="str">
        <f t="shared" si="15"/>
        <v>Devizy</v>
      </c>
      <c r="K333" s="652" t="str">
        <f t="shared" si="16"/>
        <v/>
      </c>
      <c r="L333" s="652" t="str">
        <f t="shared" si="17"/>
        <v/>
      </c>
    </row>
    <row r="334" spans="1:12">
      <c r="A334" s="12" t="s">
        <v>24</v>
      </c>
      <c r="J334" s="652" t="str">
        <f t="shared" si="15"/>
        <v>Devizy</v>
      </c>
      <c r="K334" s="652" t="str">
        <f t="shared" si="16"/>
        <v/>
      </c>
      <c r="L334" s="652" t="str">
        <f t="shared" si="17"/>
        <v/>
      </c>
    </row>
    <row r="335" spans="1:12">
      <c r="A335" s="12" t="s">
        <v>24</v>
      </c>
      <c r="J335" s="652" t="str">
        <f t="shared" si="15"/>
        <v>Devizy</v>
      </c>
      <c r="K335" s="652" t="str">
        <f t="shared" si="16"/>
        <v/>
      </c>
      <c r="L335" s="652" t="str">
        <f t="shared" si="17"/>
        <v/>
      </c>
    </row>
    <row r="336" spans="1:12">
      <c r="A336" s="12" t="s">
        <v>24</v>
      </c>
      <c r="J336" s="652" t="str">
        <f t="shared" si="15"/>
        <v>Devizy</v>
      </c>
      <c r="K336" s="652" t="str">
        <f t="shared" si="16"/>
        <v/>
      </c>
      <c r="L336" s="652" t="str">
        <f t="shared" si="17"/>
        <v/>
      </c>
    </row>
    <row r="337" spans="1:12">
      <c r="A337" s="12"/>
      <c r="J337" s="652" t="str">
        <f t="shared" si="15"/>
        <v>Devizy</v>
      </c>
      <c r="K337" s="652" t="str">
        <f t="shared" si="16"/>
        <v/>
      </c>
      <c r="L337" s="652" t="str">
        <f t="shared" si="17"/>
        <v/>
      </c>
    </row>
    <row r="338" spans="1:12">
      <c r="A338" s="12" t="s">
        <v>24</v>
      </c>
      <c r="J338" s="652" t="str">
        <f t="shared" si="15"/>
        <v>Devizy</v>
      </c>
      <c r="K338" s="652" t="str">
        <f t="shared" si="16"/>
        <v/>
      </c>
      <c r="L338" s="652" t="str">
        <f t="shared" si="17"/>
        <v/>
      </c>
    </row>
    <row r="339" spans="1:12">
      <c r="A339" s="12" t="s">
        <v>24</v>
      </c>
      <c r="J339" s="652" t="str">
        <f t="shared" si="15"/>
        <v>Devizy</v>
      </c>
      <c r="K339" s="652" t="str">
        <f t="shared" si="16"/>
        <v/>
      </c>
      <c r="L339" s="652" t="str">
        <f t="shared" si="17"/>
        <v/>
      </c>
    </row>
    <row r="340" spans="1:12">
      <c r="A340" s="12" t="s">
        <v>24</v>
      </c>
      <c r="J340" s="652" t="str">
        <f t="shared" si="15"/>
        <v>Devizy</v>
      </c>
      <c r="K340" s="652" t="str">
        <f t="shared" si="16"/>
        <v/>
      </c>
      <c r="L340" s="652" t="str">
        <f t="shared" si="17"/>
        <v/>
      </c>
    </row>
    <row r="341" spans="1:12">
      <c r="A341" s="12" t="s">
        <v>24</v>
      </c>
      <c r="J341" s="652" t="str">
        <f t="shared" si="15"/>
        <v>Devizy</v>
      </c>
      <c r="K341" s="652" t="str">
        <f t="shared" si="16"/>
        <v/>
      </c>
      <c r="L341" s="652" t="str">
        <f t="shared" si="17"/>
        <v/>
      </c>
    </row>
    <row r="342" spans="1:12">
      <c r="A342" s="12" t="s">
        <v>24</v>
      </c>
      <c r="J342" s="652" t="str">
        <f t="shared" ref="J342:J405" si="18">IF(OR(A351="Devizy",J341="Devizy"),"Devizy","")</f>
        <v>Devizy</v>
      </c>
      <c r="K342" s="652" t="str">
        <f t="shared" si="16"/>
        <v/>
      </c>
      <c r="L342" s="652" t="str">
        <f t="shared" si="17"/>
        <v/>
      </c>
    </row>
    <row r="343" spans="1:12">
      <c r="A343" s="12" t="s">
        <v>24</v>
      </c>
      <c r="J343" s="652" t="str">
        <f t="shared" si="18"/>
        <v>Devizy</v>
      </c>
      <c r="K343" s="652" t="str">
        <f t="shared" ref="K343:K406" si="19">IFERROR(IF(AND(J343="Devizy",FIND("Nakupujeme ",A351)=1),RIGHT(A351,7),""),"")</f>
        <v/>
      </c>
      <c r="L343" s="652" t="str">
        <f t="shared" si="17"/>
        <v/>
      </c>
    </row>
    <row r="344" spans="1:12">
      <c r="A344" s="12" t="s">
        <v>24</v>
      </c>
      <c r="J344" s="652" t="str">
        <f t="shared" si="18"/>
        <v>Devizy</v>
      </c>
      <c r="K344" s="652" t="str">
        <f t="shared" si="19"/>
        <v/>
      </c>
      <c r="L344" s="652" t="str">
        <f t="shared" si="17"/>
        <v/>
      </c>
    </row>
    <row r="345" spans="1:12">
      <c r="A345" s="12" t="s">
        <v>24</v>
      </c>
      <c r="J345" s="652" t="str">
        <f t="shared" si="18"/>
        <v>Devizy</v>
      </c>
      <c r="K345" s="652" t="str">
        <f t="shared" si="19"/>
        <v/>
      </c>
      <c r="L345" s="652" t="str">
        <f t="shared" si="17"/>
        <v/>
      </c>
    </row>
    <row r="346" spans="1:12">
      <c r="A346" s="12"/>
      <c r="J346" s="652" t="str">
        <f t="shared" si="18"/>
        <v>Devizy</v>
      </c>
      <c r="K346" s="652" t="str">
        <f t="shared" si="19"/>
        <v/>
      </c>
      <c r="L346" s="652" t="str">
        <f t="shared" si="17"/>
        <v/>
      </c>
    </row>
    <row r="347" spans="1:12">
      <c r="A347" s="12" t="s">
        <v>24</v>
      </c>
      <c r="J347" s="652" t="str">
        <f t="shared" si="18"/>
        <v>Devizy</v>
      </c>
      <c r="K347" s="652" t="str">
        <f t="shared" si="19"/>
        <v/>
      </c>
      <c r="L347" s="652" t="str">
        <f t="shared" si="17"/>
        <v/>
      </c>
    </row>
    <row r="348" spans="1:12">
      <c r="A348" s="12" t="s">
        <v>24</v>
      </c>
      <c r="J348" s="652" t="str">
        <f t="shared" si="18"/>
        <v>Devizy</v>
      </c>
      <c r="K348" s="652" t="str">
        <f t="shared" si="19"/>
        <v/>
      </c>
      <c r="L348" s="652" t="str">
        <f t="shared" si="17"/>
        <v/>
      </c>
    </row>
    <row r="349" spans="1:12">
      <c r="A349" s="12" t="s">
        <v>24</v>
      </c>
      <c r="J349" s="652" t="str">
        <f t="shared" si="18"/>
        <v>Devizy</v>
      </c>
      <c r="K349" s="652" t="str">
        <f t="shared" si="19"/>
        <v/>
      </c>
      <c r="L349" s="652" t="str">
        <f t="shared" si="17"/>
        <v/>
      </c>
    </row>
    <row r="350" spans="1:12">
      <c r="A350" s="12" t="s">
        <v>24</v>
      </c>
      <c r="J350" s="652" t="str">
        <f t="shared" si="18"/>
        <v>Devizy</v>
      </c>
      <c r="K350" s="652" t="str">
        <f t="shared" si="19"/>
        <v/>
      </c>
      <c r="L350" s="652" t="str">
        <f t="shared" si="17"/>
        <v/>
      </c>
    </row>
    <row r="351" spans="1:12">
      <c r="A351" s="12" t="s">
        <v>24</v>
      </c>
      <c r="J351" s="652" t="str">
        <f t="shared" si="18"/>
        <v>Devizy</v>
      </c>
      <c r="K351" s="652" t="str">
        <f t="shared" si="19"/>
        <v/>
      </c>
      <c r="L351" s="652" t="str">
        <f t="shared" si="17"/>
        <v/>
      </c>
    </row>
    <row r="352" spans="1:12">
      <c r="A352" s="12" t="s">
        <v>24</v>
      </c>
      <c r="J352" s="652" t="str">
        <f t="shared" si="18"/>
        <v>Devizy</v>
      </c>
      <c r="K352" s="652" t="str">
        <f t="shared" si="19"/>
        <v/>
      </c>
      <c r="L352" s="652" t="str">
        <f t="shared" si="17"/>
        <v/>
      </c>
    </row>
    <row r="353" spans="1:12">
      <c r="A353" s="12" t="s">
        <v>24</v>
      </c>
      <c r="J353" s="652" t="str">
        <f t="shared" si="18"/>
        <v>Devizy</v>
      </c>
      <c r="K353" s="652" t="str">
        <f t="shared" si="19"/>
        <v/>
      </c>
      <c r="L353" s="652" t="str">
        <f t="shared" si="17"/>
        <v/>
      </c>
    </row>
    <row r="354" spans="1:12">
      <c r="A354" s="12" t="s">
        <v>24</v>
      </c>
      <c r="J354" s="652" t="str">
        <f t="shared" si="18"/>
        <v>Devizy</v>
      </c>
      <c r="K354" s="652" t="str">
        <f t="shared" si="19"/>
        <v/>
      </c>
      <c r="L354" s="652" t="str">
        <f t="shared" si="17"/>
        <v/>
      </c>
    </row>
    <row r="355" spans="1:12">
      <c r="A355" s="12" t="s">
        <v>24</v>
      </c>
      <c r="J355" s="652" t="str">
        <f t="shared" si="18"/>
        <v>Devizy</v>
      </c>
      <c r="K355" s="652" t="str">
        <f t="shared" si="19"/>
        <v/>
      </c>
      <c r="L355" s="652" t="str">
        <f t="shared" si="17"/>
        <v/>
      </c>
    </row>
    <row r="356" spans="1:12">
      <c r="A356" s="12" t="s">
        <v>24</v>
      </c>
      <c r="J356" s="652" t="str">
        <f t="shared" si="18"/>
        <v>Devizy</v>
      </c>
      <c r="K356" s="652" t="str">
        <f t="shared" si="19"/>
        <v/>
      </c>
      <c r="L356" s="652" t="str">
        <f t="shared" si="17"/>
        <v/>
      </c>
    </row>
    <row r="357" spans="1:12">
      <c r="A357" s="12" t="s">
        <v>24</v>
      </c>
      <c r="J357" s="652" t="str">
        <f t="shared" si="18"/>
        <v>Devizy</v>
      </c>
      <c r="K357" s="652" t="str">
        <f t="shared" si="19"/>
        <v/>
      </c>
      <c r="L357" s="652" t="str">
        <f t="shared" si="17"/>
        <v/>
      </c>
    </row>
    <row r="358" spans="1:12">
      <c r="A358" s="12" t="s">
        <v>24</v>
      </c>
      <c r="J358" s="652" t="str">
        <f t="shared" si="18"/>
        <v>Devizy</v>
      </c>
      <c r="K358" s="652" t="str">
        <f t="shared" si="19"/>
        <v/>
      </c>
      <c r="L358" s="652" t="str">
        <f t="shared" si="17"/>
        <v/>
      </c>
    </row>
    <row r="359" spans="1:12">
      <c r="A359" s="12" t="s">
        <v>24</v>
      </c>
      <c r="J359" s="652" t="str">
        <f t="shared" si="18"/>
        <v>Devizy</v>
      </c>
      <c r="K359" s="652" t="str">
        <f t="shared" si="19"/>
        <v/>
      </c>
      <c r="L359" s="652" t="str">
        <f t="shared" si="17"/>
        <v/>
      </c>
    </row>
    <row r="360" spans="1:12">
      <c r="A360" s="12" t="s">
        <v>24</v>
      </c>
      <c r="J360" s="652" t="str">
        <f t="shared" si="18"/>
        <v>Devizy</v>
      </c>
      <c r="K360" s="652" t="str">
        <f t="shared" si="19"/>
        <v/>
      </c>
      <c r="L360" s="652" t="str">
        <f t="shared" si="17"/>
        <v/>
      </c>
    </row>
    <row r="361" spans="1:12">
      <c r="A361" s="12" t="s">
        <v>24</v>
      </c>
      <c r="J361" s="652" t="str">
        <f t="shared" si="18"/>
        <v>Devizy</v>
      </c>
      <c r="K361" s="652" t="str">
        <f t="shared" si="19"/>
        <v/>
      </c>
      <c r="L361" s="652" t="str">
        <f t="shared" si="17"/>
        <v/>
      </c>
    </row>
    <row r="362" spans="1:12">
      <c r="A362" s="12" t="s">
        <v>24</v>
      </c>
      <c r="J362" s="652" t="str">
        <f t="shared" si="18"/>
        <v>Devizy</v>
      </c>
      <c r="K362" s="652" t="str">
        <f t="shared" si="19"/>
        <v/>
      </c>
      <c r="L362" s="652" t="str">
        <f t="shared" si="17"/>
        <v/>
      </c>
    </row>
    <row r="363" spans="1:12">
      <c r="A363" s="12" t="s">
        <v>24</v>
      </c>
      <c r="J363" s="652" t="str">
        <f t="shared" si="18"/>
        <v>Devizy</v>
      </c>
      <c r="K363" s="652" t="str">
        <f t="shared" si="19"/>
        <v/>
      </c>
      <c r="L363" s="652" t="str">
        <f t="shared" si="17"/>
        <v/>
      </c>
    </row>
    <row r="364" spans="1:12">
      <c r="A364" s="12" t="s">
        <v>24</v>
      </c>
      <c r="J364" s="652" t="str">
        <f t="shared" si="18"/>
        <v>Devizy</v>
      </c>
      <c r="K364" s="652" t="str">
        <f t="shared" si="19"/>
        <v/>
      </c>
      <c r="L364" s="652" t="str">
        <f t="shared" si="17"/>
        <v/>
      </c>
    </row>
    <row r="365" spans="1:12">
      <c r="A365" s="12" t="s">
        <v>24</v>
      </c>
      <c r="J365" s="652" t="str">
        <f t="shared" si="18"/>
        <v>Devizy</v>
      </c>
      <c r="K365" s="652" t="str">
        <f t="shared" si="19"/>
        <v/>
      </c>
      <c r="L365" s="652" t="str">
        <f t="shared" si="17"/>
        <v/>
      </c>
    </row>
    <row r="366" spans="1:12">
      <c r="A366" s="12" t="s">
        <v>24</v>
      </c>
      <c r="J366" s="652" t="str">
        <f t="shared" si="18"/>
        <v>Devizy</v>
      </c>
      <c r="K366" s="652" t="str">
        <f t="shared" si="19"/>
        <v/>
      </c>
      <c r="L366" s="652" t="str">
        <f t="shared" si="17"/>
        <v/>
      </c>
    </row>
    <row r="367" spans="1:12">
      <c r="A367" s="12" t="s">
        <v>24</v>
      </c>
      <c r="J367" s="652" t="str">
        <f t="shared" si="18"/>
        <v>Devizy</v>
      </c>
      <c r="K367" s="652" t="str">
        <f t="shared" si="19"/>
        <v/>
      </c>
      <c r="L367" s="652" t="str">
        <f t="shared" si="17"/>
        <v/>
      </c>
    </row>
    <row r="368" spans="1:12">
      <c r="A368" s="12" t="s">
        <v>24</v>
      </c>
      <c r="J368" s="652" t="str">
        <f t="shared" si="18"/>
        <v>Devizy</v>
      </c>
      <c r="K368" s="652" t="str">
        <f t="shared" si="19"/>
        <v/>
      </c>
      <c r="L368" s="652" t="str">
        <f t="shared" si="17"/>
        <v/>
      </c>
    </row>
    <row r="369" spans="1:12">
      <c r="A369" s="12" t="s">
        <v>24</v>
      </c>
      <c r="J369" s="652" t="str">
        <f t="shared" si="18"/>
        <v>Devizy</v>
      </c>
      <c r="K369" s="652" t="str">
        <f t="shared" si="19"/>
        <v/>
      </c>
      <c r="L369" s="652" t="str">
        <f t="shared" si="17"/>
        <v/>
      </c>
    </row>
    <row r="370" spans="1:12">
      <c r="A370" s="12" t="s">
        <v>24</v>
      </c>
      <c r="J370" s="652" t="str">
        <f t="shared" si="18"/>
        <v>Devizy</v>
      </c>
      <c r="K370" s="652" t="str">
        <f t="shared" si="19"/>
        <v/>
      </c>
      <c r="L370" s="652" t="str">
        <f t="shared" si="17"/>
        <v/>
      </c>
    </row>
    <row r="371" spans="1:12">
      <c r="A371" s="12" t="s">
        <v>24</v>
      </c>
      <c r="J371" s="652" t="str">
        <f t="shared" si="18"/>
        <v>Devizy</v>
      </c>
      <c r="K371" s="652" t="str">
        <f t="shared" si="19"/>
        <v/>
      </c>
      <c r="L371" s="652" t="str">
        <f t="shared" si="17"/>
        <v/>
      </c>
    </row>
    <row r="372" spans="1:12">
      <c r="A372" s="12" t="s">
        <v>24</v>
      </c>
      <c r="J372" s="652" t="str">
        <f t="shared" si="18"/>
        <v>Devizy</v>
      </c>
      <c r="K372" s="652" t="str">
        <f t="shared" si="19"/>
        <v/>
      </c>
      <c r="L372" s="652" t="str">
        <f t="shared" si="17"/>
        <v/>
      </c>
    </row>
    <row r="373" spans="1:12">
      <c r="A373" s="12" t="s">
        <v>24</v>
      </c>
      <c r="J373" s="652" t="str">
        <f t="shared" si="18"/>
        <v>Devizy</v>
      </c>
      <c r="K373" s="652" t="str">
        <f t="shared" si="19"/>
        <v/>
      </c>
      <c r="L373" s="652" t="str">
        <f t="shared" si="17"/>
        <v/>
      </c>
    </row>
    <row r="374" spans="1:12">
      <c r="A374" s="12" t="s">
        <v>24</v>
      </c>
      <c r="J374" s="652" t="str">
        <f t="shared" si="18"/>
        <v>Devizy</v>
      </c>
      <c r="K374" s="652" t="str">
        <f t="shared" si="19"/>
        <v/>
      </c>
      <c r="L374" s="652" t="str">
        <f t="shared" si="17"/>
        <v/>
      </c>
    </row>
    <row r="375" spans="1:12">
      <c r="A375" s="12" t="s">
        <v>24</v>
      </c>
      <c r="J375" s="652" t="str">
        <f t="shared" si="18"/>
        <v>Devizy</v>
      </c>
      <c r="K375" s="652" t="str">
        <f t="shared" si="19"/>
        <v/>
      </c>
      <c r="L375" s="652" t="str">
        <f t="shared" si="17"/>
        <v/>
      </c>
    </row>
    <row r="376" spans="1:12">
      <c r="A376" s="12" t="s">
        <v>24</v>
      </c>
      <c r="J376" s="652" t="str">
        <f t="shared" si="18"/>
        <v>Devizy</v>
      </c>
      <c r="K376" s="652" t="str">
        <f t="shared" si="19"/>
        <v/>
      </c>
      <c r="L376" s="652" t="str">
        <f t="shared" si="17"/>
        <v/>
      </c>
    </row>
    <row r="377" spans="1:12">
      <c r="A377" s="12" t="s">
        <v>24</v>
      </c>
      <c r="J377" s="652" t="str">
        <f t="shared" si="18"/>
        <v>Devizy</v>
      </c>
      <c r="K377" s="652" t="str">
        <f t="shared" si="19"/>
        <v/>
      </c>
      <c r="L377" s="652" t="str">
        <f t="shared" si="17"/>
        <v/>
      </c>
    </row>
    <row r="378" spans="1:12">
      <c r="A378" s="12" t="s">
        <v>24</v>
      </c>
      <c r="J378" s="652" t="str">
        <f t="shared" si="18"/>
        <v>Devizy</v>
      </c>
      <c r="K378" s="652" t="str">
        <f t="shared" si="19"/>
        <v/>
      </c>
      <c r="L378" s="652" t="str">
        <f t="shared" si="17"/>
        <v/>
      </c>
    </row>
    <row r="379" spans="1:12">
      <c r="A379" s="12" t="s">
        <v>24</v>
      </c>
      <c r="J379" s="652" t="str">
        <f t="shared" si="18"/>
        <v>Devizy</v>
      </c>
      <c r="K379" s="652" t="str">
        <f t="shared" si="19"/>
        <v/>
      </c>
      <c r="L379" s="652" t="str">
        <f t="shared" si="17"/>
        <v/>
      </c>
    </row>
    <row r="380" spans="1:12">
      <c r="A380" s="12" t="s">
        <v>24</v>
      </c>
      <c r="J380" s="652" t="str">
        <f t="shared" si="18"/>
        <v>Devizy</v>
      </c>
      <c r="K380" s="652" t="str">
        <f t="shared" si="19"/>
        <v/>
      </c>
      <c r="L380" s="652" t="str">
        <f t="shared" si="17"/>
        <v/>
      </c>
    </row>
    <row r="381" spans="1:12">
      <c r="A381" s="12" t="s">
        <v>24</v>
      </c>
      <c r="J381" s="652" t="str">
        <f t="shared" si="18"/>
        <v>Devizy</v>
      </c>
      <c r="K381" s="652" t="str">
        <f t="shared" si="19"/>
        <v/>
      </c>
      <c r="L381" s="652" t="str">
        <f t="shared" si="17"/>
        <v/>
      </c>
    </row>
    <row r="382" spans="1:12">
      <c r="A382" s="12" t="s">
        <v>24</v>
      </c>
      <c r="J382" s="652" t="str">
        <f t="shared" si="18"/>
        <v>Devizy</v>
      </c>
      <c r="K382" s="652" t="str">
        <f t="shared" si="19"/>
        <v/>
      </c>
      <c r="L382" s="652" t="str">
        <f t="shared" si="17"/>
        <v/>
      </c>
    </row>
    <row r="383" spans="1:12">
      <c r="A383" s="12" t="s">
        <v>24</v>
      </c>
      <c r="J383" s="652" t="str">
        <f t="shared" si="18"/>
        <v>Devizy</v>
      </c>
      <c r="K383" s="652" t="str">
        <f t="shared" si="19"/>
        <v/>
      </c>
      <c r="L383" s="652" t="str">
        <f t="shared" si="17"/>
        <v/>
      </c>
    </row>
    <row r="384" spans="1:12">
      <c r="A384" s="12" t="s">
        <v>24</v>
      </c>
      <c r="J384" s="652" t="str">
        <f t="shared" si="18"/>
        <v>Devizy</v>
      </c>
      <c r="K384" s="652" t="str">
        <f t="shared" si="19"/>
        <v/>
      </c>
      <c r="L384" s="652" t="str">
        <f t="shared" si="17"/>
        <v/>
      </c>
    </row>
    <row r="385" spans="1:12">
      <c r="A385" s="12" t="s">
        <v>24</v>
      </c>
      <c r="J385" s="652" t="str">
        <f t="shared" si="18"/>
        <v>Devizy</v>
      </c>
      <c r="K385" s="652" t="str">
        <f t="shared" si="19"/>
        <v/>
      </c>
      <c r="L385" s="652" t="str">
        <f t="shared" si="17"/>
        <v/>
      </c>
    </row>
    <row r="386" spans="1:12">
      <c r="A386" s="12" t="s">
        <v>24</v>
      </c>
      <c r="J386" s="652" t="str">
        <f t="shared" si="18"/>
        <v>Devizy</v>
      </c>
      <c r="K386" s="652" t="str">
        <f t="shared" si="19"/>
        <v/>
      </c>
      <c r="L386" s="652" t="str">
        <f t="shared" si="17"/>
        <v/>
      </c>
    </row>
    <row r="387" spans="1:12">
      <c r="A387" s="12" t="s">
        <v>24</v>
      </c>
      <c r="J387" s="652" t="str">
        <f t="shared" si="18"/>
        <v>Devizy</v>
      </c>
      <c r="K387" s="652" t="str">
        <f t="shared" si="19"/>
        <v/>
      </c>
      <c r="L387" s="652" t="str">
        <f t="shared" si="17"/>
        <v/>
      </c>
    </row>
    <row r="388" spans="1:12">
      <c r="A388" s="12" t="s">
        <v>24</v>
      </c>
      <c r="J388" s="652" t="str">
        <f t="shared" si="18"/>
        <v>Devizy</v>
      </c>
      <c r="K388" s="652" t="str">
        <f t="shared" si="19"/>
        <v/>
      </c>
      <c r="L388" s="652" t="str">
        <f t="shared" si="17"/>
        <v/>
      </c>
    </row>
    <row r="389" spans="1:12">
      <c r="A389" s="12" t="s">
        <v>24</v>
      </c>
      <c r="J389" s="652" t="str">
        <f t="shared" si="18"/>
        <v>Devizy</v>
      </c>
      <c r="K389" s="652" t="str">
        <f t="shared" si="19"/>
        <v/>
      </c>
      <c r="L389" s="652" t="str">
        <f t="shared" ref="L389:L452" si="20">IFERROR(K389+M389,"")</f>
        <v/>
      </c>
    </row>
    <row r="390" spans="1:12">
      <c r="A390" s="12" t="s">
        <v>24</v>
      </c>
      <c r="J390" s="652" t="str">
        <f t="shared" si="18"/>
        <v>Devizy</v>
      </c>
      <c r="K390" s="652" t="str">
        <f t="shared" si="19"/>
        <v/>
      </c>
      <c r="L390" s="652" t="str">
        <f t="shared" si="20"/>
        <v/>
      </c>
    </row>
    <row r="391" spans="1:12">
      <c r="A391" s="12" t="s">
        <v>24</v>
      </c>
      <c r="J391" s="652" t="str">
        <f t="shared" si="18"/>
        <v>Devizy</v>
      </c>
      <c r="K391" s="652" t="str">
        <f t="shared" si="19"/>
        <v/>
      </c>
      <c r="L391" s="652" t="str">
        <f t="shared" si="20"/>
        <v/>
      </c>
    </row>
    <row r="392" spans="1:12">
      <c r="A392" s="12" t="s">
        <v>24</v>
      </c>
      <c r="J392" s="652" t="str">
        <f t="shared" si="18"/>
        <v>Devizy</v>
      </c>
      <c r="K392" s="652" t="str">
        <f t="shared" si="19"/>
        <v/>
      </c>
      <c r="L392" s="652" t="str">
        <f t="shared" si="20"/>
        <v/>
      </c>
    </row>
    <row r="393" spans="1:12">
      <c r="A393" s="12" t="s">
        <v>24</v>
      </c>
      <c r="J393" s="652" t="str">
        <f t="shared" si="18"/>
        <v>Devizy</v>
      </c>
      <c r="K393" s="652" t="str">
        <f t="shared" si="19"/>
        <v/>
      </c>
      <c r="L393" s="652" t="str">
        <f t="shared" si="20"/>
        <v/>
      </c>
    </row>
    <row r="394" spans="1:12">
      <c r="A394" s="12" t="s">
        <v>24</v>
      </c>
      <c r="J394" s="652" t="str">
        <f t="shared" si="18"/>
        <v>Devizy</v>
      </c>
      <c r="K394" s="652" t="str">
        <f t="shared" si="19"/>
        <v/>
      </c>
      <c r="L394" s="652" t="str">
        <f t="shared" si="20"/>
        <v/>
      </c>
    </row>
    <row r="395" spans="1:12">
      <c r="A395" s="12" t="s">
        <v>24</v>
      </c>
      <c r="J395" s="652" t="str">
        <f t="shared" si="18"/>
        <v>Devizy</v>
      </c>
      <c r="K395" s="652" t="str">
        <f t="shared" si="19"/>
        <v/>
      </c>
      <c r="L395" s="652" t="str">
        <f t="shared" si="20"/>
        <v/>
      </c>
    </row>
    <row r="396" spans="1:12">
      <c r="A396" s="12" t="s">
        <v>24</v>
      </c>
      <c r="J396" s="652" t="str">
        <f t="shared" si="18"/>
        <v>Devizy</v>
      </c>
      <c r="K396" s="652" t="str">
        <f t="shared" si="19"/>
        <v/>
      </c>
      <c r="L396" s="652" t="str">
        <f t="shared" si="20"/>
        <v/>
      </c>
    </row>
    <row r="397" spans="1:12">
      <c r="A397" s="12" t="s">
        <v>24</v>
      </c>
      <c r="J397" s="652" t="str">
        <f t="shared" si="18"/>
        <v>Devizy</v>
      </c>
      <c r="K397" s="652" t="str">
        <f t="shared" si="19"/>
        <v/>
      </c>
      <c r="L397" s="652" t="str">
        <f t="shared" si="20"/>
        <v/>
      </c>
    </row>
    <row r="398" spans="1:12">
      <c r="A398" s="12" t="s">
        <v>24</v>
      </c>
      <c r="J398" s="652" t="str">
        <f t="shared" si="18"/>
        <v>Devizy</v>
      </c>
      <c r="K398" s="652" t="str">
        <f t="shared" si="19"/>
        <v/>
      </c>
      <c r="L398" s="652" t="str">
        <f t="shared" si="20"/>
        <v/>
      </c>
    </row>
    <row r="399" spans="1:12">
      <c r="A399" s="12"/>
      <c r="J399" s="652" t="str">
        <f t="shared" si="18"/>
        <v>Devizy</v>
      </c>
      <c r="K399" s="652" t="str">
        <f t="shared" si="19"/>
        <v/>
      </c>
      <c r="L399" s="652" t="str">
        <f t="shared" si="20"/>
        <v/>
      </c>
    </row>
    <row r="400" spans="1:12">
      <c r="A400" s="12" t="s">
        <v>24</v>
      </c>
      <c r="J400" s="652" t="str">
        <f t="shared" si="18"/>
        <v>Devizy</v>
      </c>
      <c r="K400" s="652" t="str">
        <f t="shared" si="19"/>
        <v/>
      </c>
      <c r="L400" s="652" t="str">
        <f t="shared" si="20"/>
        <v/>
      </c>
    </row>
    <row r="401" spans="1:12">
      <c r="A401" s="12" t="s">
        <v>24</v>
      </c>
      <c r="J401" s="652" t="str">
        <f t="shared" si="18"/>
        <v>Devizy</v>
      </c>
      <c r="K401" s="652" t="str">
        <f t="shared" si="19"/>
        <v/>
      </c>
      <c r="L401" s="652" t="str">
        <f t="shared" si="20"/>
        <v/>
      </c>
    </row>
    <row r="402" spans="1:12">
      <c r="A402" s="12" t="s">
        <v>24</v>
      </c>
      <c r="J402" s="652" t="str">
        <f t="shared" si="18"/>
        <v>Devizy</v>
      </c>
      <c r="K402" s="652" t="str">
        <f t="shared" si="19"/>
        <v/>
      </c>
      <c r="L402" s="652" t="str">
        <f t="shared" si="20"/>
        <v/>
      </c>
    </row>
    <row r="403" spans="1:12">
      <c r="A403" s="12" t="s">
        <v>24</v>
      </c>
      <c r="J403" s="652" t="str">
        <f t="shared" si="18"/>
        <v>Devizy</v>
      </c>
      <c r="K403" s="652" t="str">
        <f t="shared" si="19"/>
        <v/>
      </c>
      <c r="L403" s="652" t="str">
        <f t="shared" si="20"/>
        <v/>
      </c>
    </row>
    <row r="404" spans="1:12">
      <c r="A404" s="12" t="s">
        <v>24</v>
      </c>
      <c r="J404" s="652" t="str">
        <f t="shared" si="18"/>
        <v>Devizy</v>
      </c>
      <c r="K404" s="652" t="str">
        <f t="shared" si="19"/>
        <v/>
      </c>
      <c r="L404" s="652" t="str">
        <f t="shared" si="20"/>
        <v/>
      </c>
    </row>
    <row r="405" spans="1:12">
      <c r="A405" s="12" t="s">
        <v>24</v>
      </c>
      <c r="J405" s="652" t="str">
        <f t="shared" si="18"/>
        <v>Devizy</v>
      </c>
      <c r="K405" s="652" t="str">
        <f t="shared" si="19"/>
        <v/>
      </c>
      <c r="L405" s="652" t="str">
        <f t="shared" si="20"/>
        <v/>
      </c>
    </row>
    <row r="406" spans="1:12">
      <c r="A406" s="12" t="s">
        <v>24</v>
      </c>
      <c r="J406" s="652" t="str">
        <f t="shared" ref="J406:J469" si="21">IF(OR(A415="Devizy",J405="Devizy"),"Devizy","")</f>
        <v>Devizy</v>
      </c>
      <c r="K406" s="652" t="str">
        <f t="shared" si="19"/>
        <v/>
      </c>
      <c r="L406" s="652" t="str">
        <f t="shared" si="20"/>
        <v/>
      </c>
    </row>
    <row r="407" spans="1:12">
      <c r="A407" s="12" t="s">
        <v>24</v>
      </c>
      <c r="J407" s="652" t="str">
        <f t="shared" si="21"/>
        <v>Devizy</v>
      </c>
      <c r="K407" s="652" t="str">
        <f t="shared" ref="K407:K470" si="22">IFERROR(IF(AND(J407="Devizy",FIND("Nakupujeme ",A415)=1),RIGHT(A415,7),""),"")</f>
        <v/>
      </c>
      <c r="L407" s="652" t="str">
        <f t="shared" si="20"/>
        <v/>
      </c>
    </row>
    <row r="408" spans="1:12">
      <c r="A408" s="12" t="s">
        <v>24</v>
      </c>
      <c r="J408" s="652" t="str">
        <f t="shared" si="21"/>
        <v>Devizy</v>
      </c>
      <c r="K408" s="652" t="str">
        <f t="shared" si="22"/>
        <v/>
      </c>
      <c r="L408" s="652" t="str">
        <f t="shared" si="20"/>
        <v/>
      </c>
    </row>
    <row r="409" spans="1:12">
      <c r="A409" s="12" t="s">
        <v>24</v>
      </c>
      <c r="J409" s="652" t="str">
        <f t="shared" si="21"/>
        <v>Devizy</v>
      </c>
      <c r="K409" s="652" t="str">
        <f t="shared" si="22"/>
        <v/>
      </c>
      <c r="L409" s="652" t="str">
        <f t="shared" si="20"/>
        <v/>
      </c>
    </row>
    <row r="410" spans="1:12">
      <c r="A410" s="12" t="s">
        <v>24</v>
      </c>
      <c r="J410" s="652" t="str">
        <f t="shared" si="21"/>
        <v>Devizy</v>
      </c>
      <c r="K410" s="652" t="str">
        <f t="shared" si="22"/>
        <v/>
      </c>
      <c r="L410" s="652" t="str">
        <f t="shared" si="20"/>
        <v/>
      </c>
    </row>
    <row r="411" spans="1:12">
      <c r="A411" s="12" t="s">
        <v>24</v>
      </c>
      <c r="J411" s="652" t="str">
        <f t="shared" si="21"/>
        <v>Devizy</v>
      </c>
      <c r="K411" s="652" t="str">
        <f t="shared" si="22"/>
        <v/>
      </c>
      <c r="L411" s="652" t="str">
        <f t="shared" si="20"/>
        <v/>
      </c>
    </row>
    <row r="412" spans="1:12">
      <c r="A412" s="12" t="s">
        <v>24</v>
      </c>
      <c r="J412" s="652" t="str">
        <f t="shared" si="21"/>
        <v>Devizy</v>
      </c>
      <c r="K412" s="652" t="str">
        <f t="shared" si="22"/>
        <v/>
      </c>
      <c r="L412" s="652" t="str">
        <f t="shared" si="20"/>
        <v/>
      </c>
    </row>
    <row r="413" spans="1:12">
      <c r="A413" s="12"/>
      <c r="J413" s="652" t="str">
        <f t="shared" si="21"/>
        <v>Devizy</v>
      </c>
      <c r="K413" s="652" t="str">
        <f t="shared" si="22"/>
        <v/>
      </c>
      <c r="L413" s="652" t="str">
        <f t="shared" si="20"/>
        <v/>
      </c>
    </row>
    <row r="414" spans="1:12">
      <c r="A414" s="12" t="s">
        <v>24</v>
      </c>
      <c r="J414" s="652" t="str">
        <f t="shared" si="21"/>
        <v>Devizy</v>
      </c>
      <c r="K414" s="652" t="str">
        <f t="shared" si="22"/>
        <v/>
      </c>
      <c r="L414" s="652" t="str">
        <f t="shared" si="20"/>
        <v/>
      </c>
    </row>
    <row r="415" spans="1:12">
      <c r="A415" s="12" t="s">
        <v>24</v>
      </c>
      <c r="J415" s="652" t="str">
        <f t="shared" si="21"/>
        <v>Devizy</v>
      </c>
      <c r="K415" s="652" t="str">
        <f t="shared" si="22"/>
        <v/>
      </c>
      <c r="L415" s="652" t="str">
        <f t="shared" si="20"/>
        <v/>
      </c>
    </row>
    <row r="416" spans="1:12">
      <c r="A416" s="12" t="s">
        <v>24</v>
      </c>
      <c r="J416" s="652" t="str">
        <f t="shared" si="21"/>
        <v>Devizy</v>
      </c>
      <c r="K416" s="652" t="str">
        <f t="shared" si="22"/>
        <v/>
      </c>
      <c r="L416" s="652" t="str">
        <f t="shared" si="20"/>
        <v/>
      </c>
    </row>
    <row r="417" spans="1:12">
      <c r="A417" s="12" t="s">
        <v>24</v>
      </c>
      <c r="J417" s="652" t="str">
        <f t="shared" si="21"/>
        <v>Devizy</v>
      </c>
      <c r="K417" s="652" t="str">
        <f t="shared" si="22"/>
        <v/>
      </c>
      <c r="L417" s="652" t="str">
        <f t="shared" si="20"/>
        <v/>
      </c>
    </row>
    <row r="418" spans="1:12">
      <c r="A418" s="12" t="s">
        <v>24</v>
      </c>
      <c r="J418" s="652" t="str">
        <f t="shared" si="21"/>
        <v>Devizy</v>
      </c>
      <c r="K418" s="652" t="str">
        <f t="shared" si="22"/>
        <v/>
      </c>
      <c r="L418" s="652" t="str">
        <f t="shared" si="20"/>
        <v/>
      </c>
    </row>
    <row r="419" spans="1:12">
      <c r="A419" s="12" t="s">
        <v>24</v>
      </c>
      <c r="J419" s="652" t="str">
        <f t="shared" si="21"/>
        <v>Devizy</v>
      </c>
      <c r="K419" s="652" t="str">
        <f t="shared" si="22"/>
        <v/>
      </c>
      <c r="L419" s="652" t="str">
        <f t="shared" si="20"/>
        <v/>
      </c>
    </row>
    <row r="420" spans="1:12">
      <c r="A420" s="12" t="s">
        <v>24</v>
      </c>
      <c r="J420" s="652" t="str">
        <f t="shared" si="21"/>
        <v>Devizy</v>
      </c>
      <c r="K420" s="652" t="str">
        <f t="shared" si="22"/>
        <v/>
      </c>
      <c r="L420" s="652" t="str">
        <f t="shared" si="20"/>
        <v/>
      </c>
    </row>
    <row r="421" spans="1:12">
      <c r="A421" s="12" t="s">
        <v>24</v>
      </c>
      <c r="J421" s="652" t="str">
        <f t="shared" si="21"/>
        <v>Devizy</v>
      </c>
      <c r="K421" s="652" t="str">
        <f t="shared" si="22"/>
        <v/>
      </c>
      <c r="L421" s="652" t="str">
        <f t="shared" si="20"/>
        <v/>
      </c>
    </row>
    <row r="422" spans="1:12">
      <c r="A422" s="12" t="s">
        <v>24</v>
      </c>
      <c r="J422" s="652" t="str">
        <f t="shared" si="21"/>
        <v>Devizy</v>
      </c>
      <c r="K422" s="652" t="str">
        <f t="shared" si="22"/>
        <v/>
      </c>
      <c r="L422" s="652" t="str">
        <f t="shared" si="20"/>
        <v/>
      </c>
    </row>
    <row r="423" spans="1:12">
      <c r="A423" s="12" t="s">
        <v>24</v>
      </c>
      <c r="J423" s="652" t="str">
        <f t="shared" si="21"/>
        <v>Devizy</v>
      </c>
      <c r="K423" s="652" t="str">
        <f t="shared" si="22"/>
        <v/>
      </c>
      <c r="L423" s="652" t="str">
        <f t="shared" si="20"/>
        <v/>
      </c>
    </row>
    <row r="424" spans="1:12">
      <c r="A424" s="12" t="s">
        <v>24</v>
      </c>
      <c r="J424" s="652" t="str">
        <f t="shared" si="21"/>
        <v>Devizy</v>
      </c>
      <c r="K424" s="652" t="str">
        <f t="shared" si="22"/>
        <v/>
      </c>
      <c r="L424" s="652" t="str">
        <f t="shared" si="20"/>
        <v/>
      </c>
    </row>
    <row r="425" spans="1:12">
      <c r="A425" s="12" t="s">
        <v>24</v>
      </c>
      <c r="J425" s="652" t="str">
        <f t="shared" si="21"/>
        <v>Devizy</v>
      </c>
      <c r="K425" s="652" t="str">
        <f t="shared" si="22"/>
        <v/>
      </c>
      <c r="L425" s="652" t="str">
        <f t="shared" si="20"/>
        <v/>
      </c>
    </row>
    <row r="426" spans="1:12">
      <c r="A426" s="12" t="s">
        <v>24</v>
      </c>
      <c r="J426" s="652" t="str">
        <f t="shared" si="21"/>
        <v>Devizy</v>
      </c>
      <c r="K426" s="652" t="str">
        <f t="shared" si="22"/>
        <v/>
      </c>
      <c r="L426" s="652" t="str">
        <f t="shared" si="20"/>
        <v/>
      </c>
    </row>
    <row r="427" spans="1:12">
      <c r="A427" s="12" t="s">
        <v>24</v>
      </c>
      <c r="J427" s="652" t="str">
        <f t="shared" si="21"/>
        <v>Devizy</v>
      </c>
      <c r="K427" s="652" t="str">
        <f t="shared" si="22"/>
        <v/>
      </c>
      <c r="L427" s="652" t="str">
        <f t="shared" si="20"/>
        <v/>
      </c>
    </row>
    <row r="428" spans="1:12">
      <c r="A428" s="12" t="s">
        <v>24</v>
      </c>
      <c r="J428" s="652" t="str">
        <f t="shared" si="21"/>
        <v>Devizy</v>
      </c>
      <c r="K428" s="652" t="str">
        <f t="shared" si="22"/>
        <v/>
      </c>
      <c r="L428" s="652" t="str">
        <f t="shared" si="20"/>
        <v/>
      </c>
    </row>
    <row r="429" spans="1:12">
      <c r="A429" s="12" t="s">
        <v>24</v>
      </c>
      <c r="J429" s="652" t="str">
        <f t="shared" si="21"/>
        <v>Devizy</v>
      </c>
      <c r="K429" s="652" t="str">
        <f t="shared" si="22"/>
        <v/>
      </c>
      <c r="L429" s="652" t="str">
        <f t="shared" si="20"/>
        <v/>
      </c>
    </row>
    <row r="430" spans="1:12">
      <c r="A430" s="12"/>
      <c r="J430" s="652" t="str">
        <f t="shared" si="21"/>
        <v>Devizy</v>
      </c>
      <c r="K430" s="652" t="str">
        <f t="shared" si="22"/>
        <v/>
      </c>
      <c r="L430" s="652" t="str">
        <f t="shared" si="20"/>
        <v/>
      </c>
    </row>
    <row r="431" spans="1:12">
      <c r="A431" s="12" t="s">
        <v>24</v>
      </c>
      <c r="J431" s="652" t="str">
        <f t="shared" si="21"/>
        <v>Devizy</v>
      </c>
      <c r="K431" s="652" t="str">
        <f t="shared" si="22"/>
        <v/>
      </c>
      <c r="L431" s="652" t="str">
        <f t="shared" si="20"/>
        <v/>
      </c>
    </row>
    <row r="432" spans="1:12">
      <c r="A432" s="12" t="s">
        <v>24</v>
      </c>
      <c r="J432" s="652" t="str">
        <f t="shared" si="21"/>
        <v>Devizy</v>
      </c>
      <c r="K432" s="652" t="str">
        <f t="shared" si="22"/>
        <v/>
      </c>
      <c r="L432" s="652" t="str">
        <f t="shared" si="20"/>
        <v/>
      </c>
    </row>
    <row r="433" spans="1:12">
      <c r="A433" s="12" t="s">
        <v>24</v>
      </c>
      <c r="J433" s="652" t="str">
        <f t="shared" si="21"/>
        <v>Devizy</v>
      </c>
      <c r="K433" s="652" t="str">
        <f t="shared" si="22"/>
        <v/>
      </c>
      <c r="L433" s="652" t="str">
        <f t="shared" si="20"/>
        <v/>
      </c>
    </row>
    <row r="434" spans="1:12">
      <c r="A434" s="12" t="s">
        <v>24</v>
      </c>
      <c r="J434" s="652" t="str">
        <f t="shared" si="21"/>
        <v>Devizy</v>
      </c>
      <c r="K434" s="652" t="str">
        <f t="shared" si="22"/>
        <v/>
      </c>
      <c r="L434" s="652" t="str">
        <f t="shared" si="20"/>
        <v/>
      </c>
    </row>
    <row r="435" spans="1:12">
      <c r="A435" s="12" t="s">
        <v>24</v>
      </c>
      <c r="J435" s="652" t="str">
        <f t="shared" si="21"/>
        <v>Devizy</v>
      </c>
      <c r="K435" s="652" t="str">
        <f t="shared" si="22"/>
        <v/>
      </c>
      <c r="L435" s="652" t="str">
        <f t="shared" si="20"/>
        <v/>
      </c>
    </row>
    <row r="436" spans="1:12">
      <c r="A436" s="12" t="s">
        <v>24</v>
      </c>
      <c r="J436" s="652" t="str">
        <f t="shared" si="21"/>
        <v>Devizy</v>
      </c>
      <c r="K436" s="652" t="str">
        <f t="shared" si="22"/>
        <v/>
      </c>
      <c r="L436" s="652" t="str">
        <f t="shared" si="20"/>
        <v/>
      </c>
    </row>
    <row r="437" spans="1:12">
      <c r="A437" s="12" t="s">
        <v>24</v>
      </c>
      <c r="J437" s="652" t="str">
        <f t="shared" si="21"/>
        <v>Devizy</v>
      </c>
      <c r="K437" s="652" t="str">
        <f t="shared" si="22"/>
        <v/>
      </c>
      <c r="L437" s="652" t="str">
        <f t="shared" si="20"/>
        <v/>
      </c>
    </row>
    <row r="438" spans="1:12">
      <c r="A438" s="12" t="s">
        <v>24</v>
      </c>
      <c r="J438" s="652" t="str">
        <f t="shared" si="21"/>
        <v>Devizy</v>
      </c>
      <c r="K438" s="652" t="str">
        <f t="shared" si="22"/>
        <v/>
      </c>
      <c r="L438" s="652" t="str">
        <f t="shared" si="20"/>
        <v/>
      </c>
    </row>
    <row r="439" spans="1:12">
      <c r="A439" s="12" t="s">
        <v>24</v>
      </c>
      <c r="J439" s="652" t="str">
        <f t="shared" si="21"/>
        <v>Devizy</v>
      </c>
      <c r="K439" s="652" t="str">
        <f t="shared" si="22"/>
        <v/>
      </c>
      <c r="L439" s="652" t="str">
        <f t="shared" si="20"/>
        <v/>
      </c>
    </row>
    <row r="440" spans="1:12">
      <c r="A440" s="12" t="s">
        <v>24</v>
      </c>
      <c r="J440" s="652" t="str">
        <f t="shared" si="21"/>
        <v>Devizy</v>
      </c>
      <c r="K440" s="652" t="str">
        <f t="shared" si="22"/>
        <v/>
      </c>
      <c r="L440" s="652" t="str">
        <f t="shared" si="20"/>
        <v/>
      </c>
    </row>
    <row r="441" spans="1:12">
      <c r="A441" s="12" t="s">
        <v>24</v>
      </c>
      <c r="J441" s="652" t="str">
        <f t="shared" si="21"/>
        <v>Devizy</v>
      </c>
      <c r="K441" s="652" t="str">
        <f t="shared" si="22"/>
        <v/>
      </c>
      <c r="L441" s="652" t="str">
        <f t="shared" si="20"/>
        <v/>
      </c>
    </row>
    <row r="442" spans="1:12">
      <c r="A442" s="12" t="s">
        <v>24</v>
      </c>
      <c r="J442" s="652" t="str">
        <f t="shared" si="21"/>
        <v>Devizy</v>
      </c>
      <c r="K442" s="652" t="str">
        <f t="shared" si="22"/>
        <v/>
      </c>
      <c r="L442" s="652" t="str">
        <f t="shared" si="20"/>
        <v/>
      </c>
    </row>
    <row r="443" spans="1:12">
      <c r="A443" s="12" t="s">
        <v>24</v>
      </c>
      <c r="J443" s="652" t="str">
        <f t="shared" si="21"/>
        <v>Devizy</v>
      </c>
      <c r="K443" s="652" t="str">
        <f t="shared" si="22"/>
        <v/>
      </c>
      <c r="L443" s="652" t="str">
        <f t="shared" si="20"/>
        <v/>
      </c>
    </row>
    <row r="444" spans="1:12">
      <c r="A444" s="12" t="s">
        <v>24</v>
      </c>
      <c r="J444" s="652" t="str">
        <f t="shared" si="21"/>
        <v>Devizy</v>
      </c>
      <c r="K444" s="652" t="str">
        <f t="shared" si="22"/>
        <v/>
      </c>
      <c r="L444" s="652" t="str">
        <f t="shared" si="20"/>
        <v/>
      </c>
    </row>
    <row r="445" spans="1:12">
      <c r="A445" s="12" t="s">
        <v>24</v>
      </c>
      <c r="J445" s="652" t="str">
        <f t="shared" si="21"/>
        <v>Devizy</v>
      </c>
      <c r="K445" s="652" t="str">
        <f t="shared" si="22"/>
        <v/>
      </c>
      <c r="L445" s="652" t="str">
        <f t="shared" si="20"/>
        <v/>
      </c>
    </row>
    <row r="446" spans="1:12">
      <c r="A446" s="12" t="s">
        <v>24</v>
      </c>
      <c r="J446" s="652" t="str">
        <f t="shared" si="21"/>
        <v>Devizy</v>
      </c>
      <c r="K446" s="652" t="str">
        <f t="shared" si="22"/>
        <v/>
      </c>
      <c r="L446" s="652" t="str">
        <f t="shared" si="20"/>
        <v/>
      </c>
    </row>
    <row r="447" spans="1:12">
      <c r="A447" s="12" t="s">
        <v>24</v>
      </c>
      <c r="J447" s="652" t="str">
        <f t="shared" si="21"/>
        <v>Devizy</v>
      </c>
      <c r="K447" s="652" t="str">
        <f t="shared" si="22"/>
        <v/>
      </c>
      <c r="L447" s="652" t="str">
        <f t="shared" si="20"/>
        <v/>
      </c>
    </row>
    <row r="448" spans="1:12">
      <c r="A448" s="12" t="s">
        <v>24</v>
      </c>
      <c r="J448" s="652" t="str">
        <f t="shared" si="21"/>
        <v>Devizy</v>
      </c>
      <c r="K448" s="652" t="str">
        <f t="shared" si="22"/>
        <v/>
      </c>
      <c r="L448" s="652" t="str">
        <f t="shared" si="20"/>
        <v/>
      </c>
    </row>
    <row r="449" spans="1:12">
      <c r="A449" s="12"/>
      <c r="J449" s="652" t="str">
        <f t="shared" si="21"/>
        <v>Devizy</v>
      </c>
      <c r="K449" s="652" t="str">
        <f t="shared" si="22"/>
        <v/>
      </c>
      <c r="L449" s="652" t="str">
        <f t="shared" si="20"/>
        <v/>
      </c>
    </row>
    <row r="450" spans="1:12">
      <c r="A450" s="12" t="s">
        <v>24</v>
      </c>
      <c r="J450" s="652" t="str">
        <f t="shared" si="21"/>
        <v>Devizy</v>
      </c>
      <c r="K450" s="652" t="str">
        <f t="shared" si="22"/>
        <v/>
      </c>
      <c r="L450" s="652" t="str">
        <f t="shared" si="20"/>
        <v/>
      </c>
    </row>
    <row r="451" spans="1:12">
      <c r="A451" s="12" t="s">
        <v>24</v>
      </c>
      <c r="J451" s="652" t="str">
        <f t="shared" si="21"/>
        <v>Devizy</v>
      </c>
      <c r="K451" s="652" t="str">
        <f t="shared" si="22"/>
        <v/>
      </c>
      <c r="L451" s="652" t="str">
        <f t="shared" si="20"/>
        <v/>
      </c>
    </row>
    <row r="452" spans="1:12">
      <c r="A452" s="12" t="s">
        <v>24</v>
      </c>
      <c r="J452" s="652" t="str">
        <f t="shared" si="21"/>
        <v>Devizy</v>
      </c>
      <c r="K452" s="652" t="str">
        <f t="shared" si="22"/>
        <v/>
      </c>
      <c r="L452" s="652" t="str">
        <f t="shared" si="20"/>
        <v/>
      </c>
    </row>
    <row r="453" spans="1:12">
      <c r="A453" s="12" t="s">
        <v>24</v>
      </c>
      <c r="J453" s="652" t="str">
        <f t="shared" si="21"/>
        <v>Devizy</v>
      </c>
      <c r="K453" s="652" t="str">
        <f t="shared" si="22"/>
        <v/>
      </c>
      <c r="L453" s="652" t="str">
        <f t="shared" ref="L453:L516" si="23">IFERROR(K453+M453,"")</f>
        <v/>
      </c>
    </row>
    <row r="454" spans="1:12">
      <c r="A454" s="12" t="s">
        <v>24</v>
      </c>
      <c r="J454" s="652" t="str">
        <f t="shared" si="21"/>
        <v>Devizy</v>
      </c>
      <c r="K454" s="652" t="str">
        <f t="shared" si="22"/>
        <v/>
      </c>
      <c r="L454" s="652" t="str">
        <f t="shared" si="23"/>
        <v/>
      </c>
    </row>
    <row r="455" spans="1:12">
      <c r="A455" s="12" t="s">
        <v>24</v>
      </c>
      <c r="J455" s="652" t="str">
        <f t="shared" si="21"/>
        <v>Devizy</v>
      </c>
      <c r="K455" s="652" t="str">
        <f t="shared" si="22"/>
        <v/>
      </c>
      <c r="L455" s="652" t="str">
        <f t="shared" si="23"/>
        <v/>
      </c>
    </row>
    <row r="456" spans="1:12">
      <c r="A456" s="12" t="s">
        <v>24</v>
      </c>
      <c r="J456" s="652" t="str">
        <f t="shared" si="21"/>
        <v>Devizy</v>
      </c>
      <c r="K456" s="652" t="str">
        <f t="shared" si="22"/>
        <v/>
      </c>
      <c r="L456" s="652" t="str">
        <f t="shared" si="23"/>
        <v/>
      </c>
    </row>
    <row r="457" spans="1:12">
      <c r="A457" s="12"/>
      <c r="J457" s="652" t="str">
        <f t="shared" si="21"/>
        <v>Devizy</v>
      </c>
      <c r="K457" s="652" t="str">
        <f t="shared" si="22"/>
        <v/>
      </c>
      <c r="L457" s="652" t="str">
        <f t="shared" si="23"/>
        <v/>
      </c>
    </row>
    <row r="458" spans="1:12">
      <c r="A458" s="12" t="s">
        <v>24</v>
      </c>
      <c r="J458" s="652" t="str">
        <f t="shared" si="21"/>
        <v>Devizy</v>
      </c>
      <c r="K458" s="652" t="str">
        <f t="shared" si="22"/>
        <v/>
      </c>
      <c r="L458" s="652" t="str">
        <f t="shared" si="23"/>
        <v/>
      </c>
    </row>
    <row r="459" spans="1:12">
      <c r="A459" s="12"/>
      <c r="J459" s="652" t="str">
        <f t="shared" si="21"/>
        <v>Devizy</v>
      </c>
      <c r="K459" s="652" t="str">
        <f t="shared" si="22"/>
        <v/>
      </c>
      <c r="L459" s="652" t="str">
        <f t="shared" si="23"/>
        <v/>
      </c>
    </row>
    <row r="460" spans="1:12">
      <c r="A460" s="12" t="s">
        <v>24</v>
      </c>
      <c r="J460" s="652" t="str">
        <f t="shared" si="21"/>
        <v>Devizy</v>
      </c>
      <c r="K460" s="652" t="str">
        <f t="shared" si="22"/>
        <v/>
      </c>
      <c r="L460" s="652" t="str">
        <f t="shared" si="23"/>
        <v/>
      </c>
    </row>
    <row r="461" spans="1:12">
      <c r="A461" s="12" t="s">
        <v>24</v>
      </c>
      <c r="J461" s="652" t="str">
        <f t="shared" si="21"/>
        <v>Devizy</v>
      </c>
      <c r="K461" s="652" t="str">
        <f t="shared" si="22"/>
        <v/>
      </c>
      <c r="L461" s="652" t="str">
        <f t="shared" si="23"/>
        <v/>
      </c>
    </row>
    <row r="462" spans="1:12">
      <c r="A462" s="12" t="s">
        <v>24</v>
      </c>
      <c r="J462" s="652" t="str">
        <f t="shared" si="21"/>
        <v>Devizy</v>
      </c>
      <c r="K462" s="652" t="str">
        <f t="shared" si="22"/>
        <v/>
      </c>
      <c r="L462" s="652" t="str">
        <f t="shared" si="23"/>
        <v/>
      </c>
    </row>
    <row r="463" spans="1:12">
      <c r="A463" s="12" t="s">
        <v>24</v>
      </c>
      <c r="J463" s="652" t="str">
        <f t="shared" si="21"/>
        <v>Devizy</v>
      </c>
      <c r="K463" s="652" t="str">
        <f t="shared" si="22"/>
        <v/>
      </c>
      <c r="L463" s="652" t="str">
        <f t="shared" si="23"/>
        <v/>
      </c>
    </row>
    <row r="464" spans="1:12">
      <c r="A464" s="12" t="s">
        <v>24</v>
      </c>
      <c r="J464" s="652" t="str">
        <f t="shared" si="21"/>
        <v>Devizy</v>
      </c>
      <c r="K464" s="652" t="str">
        <f t="shared" si="22"/>
        <v/>
      </c>
      <c r="L464" s="652" t="str">
        <f t="shared" si="23"/>
        <v/>
      </c>
    </row>
    <row r="465" spans="1:12">
      <c r="A465" s="12" t="s">
        <v>24</v>
      </c>
      <c r="J465" s="652" t="str">
        <f t="shared" si="21"/>
        <v>Devizy</v>
      </c>
      <c r="K465" s="652" t="str">
        <f t="shared" si="22"/>
        <v/>
      </c>
      <c r="L465" s="652" t="str">
        <f t="shared" si="23"/>
        <v/>
      </c>
    </row>
    <row r="466" spans="1:12">
      <c r="A466" s="12" t="s">
        <v>24</v>
      </c>
      <c r="J466" s="652" t="str">
        <f t="shared" si="21"/>
        <v>Devizy</v>
      </c>
      <c r="K466" s="652" t="str">
        <f t="shared" si="22"/>
        <v/>
      </c>
      <c r="L466" s="652" t="str">
        <f t="shared" si="23"/>
        <v/>
      </c>
    </row>
    <row r="467" spans="1:12">
      <c r="A467" s="12" t="s">
        <v>24</v>
      </c>
      <c r="J467" s="652" t="str">
        <f t="shared" si="21"/>
        <v>Devizy</v>
      </c>
      <c r="K467" s="652" t="str">
        <f t="shared" si="22"/>
        <v/>
      </c>
      <c r="L467" s="652" t="str">
        <f t="shared" si="23"/>
        <v/>
      </c>
    </row>
    <row r="468" spans="1:12">
      <c r="A468" s="12" t="s">
        <v>24</v>
      </c>
      <c r="J468" s="652" t="str">
        <f t="shared" si="21"/>
        <v>Devizy</v>
      </c>
      <c r="K468" s="652" t="str">
        <f t="shared" si="22"/>
        <v/>
      </c>
      <c r="L468" s="652" t="str">
        <f t="shared" si="23"/>
        <v/>
      </c>
    </row>
    <row r="469" spans="1:12">
      <c r="A469" s="12" t="s">
        <v>24</v>
      </c>
      <c r="J469" s="652" t="str">
        <f t="shared" si="21"/>
        <v>Devizy</v>
      </c>
      <c r="K469" s="652" t="str">
        <f t="shared" si="22"/>
        <v/>
      </c>
      <c r="L469" s="652" t="str">
        <f t="shared" si="23"/>
        <v/>
      </c>
    </row>
    <row r="470" spans="1:12">
      <c r="A470" s="12" t="s">
        <v>24</v>
      </c>
      <c r="J470" s="652" t="str">
        <f t="shared" ref="J470:J529" si="24">IF(OR(A479="Devizy",J469="Devizy"),"Devizy","")</f>
        <v>Devizy</v>
      </c>
      <c r="K470" s="652" t="str">
        <f t="shared" si="22"/>
        <v/>
      </c>
      <c r="L470" s="652" t="str">
        <f t="shared" si="23"/>
        <v/>
      </c>
    </row>
    <row r="471" spans="1:12">
      <c r="A471" s="12"/>
      <c r="J471" s="652" t="str">
        <f t="shared" si="24"/>
        <v>Devizy</v>
      </c>
      <c r="K471" s="652" t="str">
        <f t="shared" ref="K471:K529" si="25">IFERROR(IF(AND(J471="Devizy",FIND("Nakupujeme ",A479)=1),RIGHT(A479,7),""),"")</f>
        <v/>
      </c>
      <c r="L471" s="652" t="str">
        <f t="shared" si="23"/>
        <v/>
      </c>
    </row>
    <row r="472" spans="1:12">
      <c r="A472" s="12" t="s">
        <v>24</v>
      </c>
      <c r="J472" s="652" t="str">
        <f t="shared" si="24"/>
        <v>Devizy</v>
      </c>
      <c r="K472" s="652" t="str">
        <f t="shared" si="25"/>
        <v/>
      </c>
      <c r="L472" s="652" t="str">
        <f t="shared" si="23"/>
        <v/>
      </c>
    </row>
    <row r="473" spans="1:12">
      <c r="A473" s="12" t="s">
        <v>24</v>
      </c>
      <c r="J473" s="652" t="str">
        <f t="shared" si="24"/>
        <v>Devizy</v>
      </c>
      <c r="K473" s="652" t="str">
        <f t="shared" si="25"/>
        <v/>
      </c>
      <c r="L473" s="652" t="str">
        <f t="shared" si="23"/>
        <v/>
      </c>
    </row>
    <row r="474" spans="1:12">
      <c r="A474" s="12" t="s">
        <v>24</v>
      </c>
      <c r="J474" s="652" t="str">
        <f t="shared" si="24"/>
        <v>Devizy</v>
      </c>
      <c r="K474" s="652" t="str">
        <f t="shared" si="25"/>
        <v/>
      </c>
      <c r="L474" s="652" t="str">
        <f t="shared" si="23"/>
        <v/>
      </c>
    </row>
    <row r="475" spans="1:12">
      <c r="A475" s="12" t="s">
        <v>24</v>
      </c>
      <c r="J475" s="652" t="str">
        <f t="shared" si="24"/>
        <v>Devizy</v>
      </c>
      <c r="K475" s="652" t="str">
        <f t="shared" si="25"/>
        <v/>
      </c>
      <c r="L475" s="652" t="str">
        <f t="shared" si="23"/>
        <v/>
      </c>
    </row>
    <row r="476" spans="1:12">
      <c r="A476" s="12"/>
      <c r="J476" s="652" t="str">
        <f t="shared" si="24"/>
        <v>Devizy</v>
      </c>
      <c r="K476" s="652" t="str">
        <f t="shared" si="25"/>
        <v/>
      </c>
      <c r="L476" s="652" t="str">
        <f t="shared" si="23"/>
        <v/>
      </c>
    </row>
    <row r="477" spans="1:12">
      <c r="A477" s="12" t="s">
        <v>24</v>
      </c>
      <c r="J477" s="652" t="str">
        <f t="shared" si="24"/>
        <v>Devizy</v>
      </c>
      <c r="K477" s="652" t="str">
        <f t="shared" si="25"/>
        <v/>
      </c>
      <c r="L477" s="652" t="str">
        <f t="shared" si="23"/>
        <v/>
      </c>
    </row>
    <row r="478" spans="1:12">
      <c r="A478" s="12" t="s">
        <v>24</v>
      </c>
      <c r="J478" s="652" t="str">
        <f t="shared" si="24"/>
        <v>Devizy</v>
      </c>
      <c r="K478" s="652" t="str">
        <f t="shared" si="25"/>
        <v/>
      </c>
      <c r="L478" s="652" t="str">
        <f t="shared" si="23"/>
        <v/>
      </c>
    </row>
    <row r="479" spans="1:12">
      <c r="A479" s="12" t="s">
        <v>24</v>
      </c>
      <c r="J479" s="652" t="str">
        <f t="shared" si="24"/>
        <v>Devizy</v>
      </c>
      <c r="K479" s="652" t="str">
        <f t="shared" si="25"/>
        <v/>
      </c>
      <c r="L479" s="652" t="str">
        <f t="shared" si="23"/>
        <v/>
      </c>
    </row>
    <row r="480" spans="1:12">
      <c r="A480" s="12"/>
      <c r="J480" s="652" t="str">
        <f t="shared" si="24"/>
        <v>Devizy</v>
      </c>
      <c r="K480" s="652" t="str">
        <f t="shared" si="25"/>
        <v/>
      </c>
      <c r="L480" s="652" t="str">
        <f t="shared" si="23"/>
        <v/>
      </c>
    </row>
    <row r="481" spans="1:12">
      <c r="A481" s="12" t="s">
        <v>24</v>
      </c>
      <c r="J481" s="652" t="str">
        <f t="shared" si="24"/>
        <v>Devizy</v>
      </c>
      <c r="K481" s="652" t="str">
        <f t="shared" si="25"/>
        <v/>
      </c>
      <c r="L481" s="652" t="str">
        <f t="shared" si="23"/>
        <v/>
      </c>
    </row>
    <row r="482" spans="1:12">
      <c r="A482" s="12"/>
      <c r="J482" s="652" t="str">
        <f t="shared" si="24"/>
        <v>Devizy</v>
      </c>
      <c r="K482" s="652" t="str">
        <f t="shared" si="25"/>
        <v/>
      </c>
      <c r="L482" s="652" t="str">
        <f t="shared" si="23"/>
        <v/>
      </c>
    </row>
    <row r="483" spans="1:12">
      <c r="A483" s="12" t="s">
        <v>24</v>
      </c>
      <c r="J483" s="652" t="str">
        <f t="shared" si="24"/>
        <v>Devizy</v>
      </c>
      <c r="K483" s="652" t="str">
        <f t="shared" si="25"/>
        <v/>
      </c>
      <c r="L483" s="652" t="str">
        <f t="shared" si="23"/>
        <v/>
      </c>
    </row>
    <row r="484" spans="1:12">
      <c r="A484" s="12" t="s">
        <v>24</v>
      </c>
      <c r="J484" s="652" t="str">
        <f t="shared" si="24"/>
        <v>Devizy</v>
      </c>
      <c r="K484" s="652" t="str">
        <f t="shared" si="25"/>
        <v/>
      </c>
      <c r="L484" s="652" t="str">
        <f t="shared" si="23"/>
        <v/>
      </c>
    </row>
    <row r="485" spans="1:12">
      <c r="A485" s="12" t="s">
        <v>24</v>
      </c>
      <c r="J485" s="652" t="str">
        <f t="shared" si="24"/>
        <v>Devizy</v>
      </c>
      <c r="K485" s="652" t="str">
        <f t="shared" si="25"/>
        <v/>
      </c>
      <c r="L485" s="652" t="str">
        <f t="shared" si="23"/>
        <v/>
      </c>
    </row>
    <row r="486" spans="1:12">
      <c r="A486" s="12" t="s">
        <v>24</v>
      </c>
      <c r="J486" s="652" t="str">
        <f t="shared" si="24"/>
        <v>Devizy</v>
      </c>
      <c r="K486" s="652" t="str">
        <f t="shared" si="25"/>
        <v/>
      </c>
      <c r="L486" s="652" t="str">
        <f t="shared" si="23"/>
        <v/>
      </c>
    </row>
    <row r="487" spans="1:12">
      <c r="A487" s="12" t="s">
        <v>24</v>
      </c>
      <c r="J487" s="652" t="str">
        <f t="shared" si="24"/>
        <v>Devizy</v>
      </c>
      <c r="K487" s="652" t="str">
        <f t="shared" si="25"/>
        <v/>
      </c>
      <c r="L487" s="652" t="str">
        <f t="shared" si="23"/>
        <v/>
      </c>
    </row>
    <row r="488" spans="1:12">
      <c r="A488" s="12"/>
      <c r="J488" s="652" t="str">
        <f t="shared" si="24"/>
        <v>Devizy</v>
      </c>
      <c r="K488" s="652" t="str">
        <f t="shared" si="25"/>
        <v/>
      </c>
      <c r="L488" s="652" t="str">
        <f t="shared" si="23"/>
        <v/>
      </c>
    </row>
    <row r="489" spans="1:12">
      <c r="A489" s="12" t="s">
        <v>24</v>
      </c>
      <c r="J489" s="652" t="str">
        <f t="shared" si="24"/>
        <v>Devizy</v>
      </c>
      <c r="K489" s="652" t="str">
        <f t="shared" si="25"/>
        <v/>
      </c>
      <c r="L489" s="652" t="str">
        <f t="shared" si="23"/>
        <v/>
      </c>
    </row>
    <row r="490" spans="1:12">
      <c r="A490" s="12" t="s">
        <v>24</v>
      </c>
      <c r="J490" s="652" t="str">
        <f t="shared" si="24"/>
        <v>Devizy</v>
      </c>
      <c r="K490" s="652" t="str">
        <f t="shared" si="25"/>
        <v/>
      </c>
      <c r="L490" s="652" t="str">
        <f t="shared" si="23"/>
        <v/>
      </c>
    </row>
    <row r="491" spans="1:12">
      <c r="A491" s="12" t="s">
        <v>24</v>
      </c>
      <c r="J491" s="652" t="str">
        <f t="shared" si="24"/>
        <v>Devizy</v>
      </c>
      <c r="K491" s="652" t="str">
        <f t="shared" si="25"/>
        <v/>
      </c>
      <c r="L491" s="652" t="str">
        <f t="shared" si="23"/>
        <v/>
      </c>
    </row>
    <row r="492" spans="1:12">
      <c r="A492" s="12" t="s">
        <v>24</v>
      </c>
      <c r="J492" s="652" t="str">
        <f t="shared" si="24"/>
        <v>Devizy</v>
      </c>
      <c r="K492" s="652" t="str">
        <f t="shared" si="25"/>
        <v/>
      </c>
      <c r="L492" s="652" t="str">
        <f t="shared" si="23"/>
        <v/>
      </c>
    </row>
    <row r="493" spans="1:12">
      <c r="A493" s="12" t="s">
        <v>24</v>
      </c>
      <c r="J493" s="652" t="str">
        <f t="shared" si="24"/>
        <v>Devizy</v>
      </c>
      <c r="K493" s="652" t="str">
        <f t="shared" si="25"/>
        <v/>
      </c>
      <c r="L493" s="652" t="str">
        <f t="shared" si="23"/>
        <v/>
      </c>
    </row>
    <row r="494" spans="1:12">
      <c r="A494" s="12"/>
      <c r="J494" s="652" t="str">
        <f t="shared" si="24"/>
        <v>Devizy</v>
      </c>
      <c r="K494" s="652" t="str">
        <f t="shared" si="25"/>
        <v/>
      </c>
      <c r="L494" s="652" t="str">
        <f t="shared" si="23"/>
        <v/>
      </c>
    </row>
    <row r="495" spans="1:12">
      <c r="A495" s="12" t="s">
        <v>24</v>
      </c>
      <c r="J495" s="652" t="str">
        <f t="shared" si="24"/>
        <v>Devizy</v>
      </c>
      <c r="K495" s="652" t="str">
        <f t="shared" si="25"/>
        <v/>
      </c>
      <c r="L495" s="652" t="str">
        <f t="shared" si="23"/>
        <v/>
      </c>
    </row>
    <row r="496" spans="1:12">
      <c r="A496" s="12" t="s">
        <v>24</v>
      </c>
      <c r="J496" s="652" t="str">
        <f t="shared" si="24"/>
        <v>Devizy</v>
      </c>
      <c r="K496" s="652" t="str">
        <f t="shared" si="25"/>
        <v/>
      </c>
      <c r="L496" s="652" t="str">
        <f t="shared" si="23"/>
        <v/>
      </c>
    </row>
    <row r="497" spans="1:12">
      <c r="A497" s="12"/>
      <c r="J497" s="652" t="str">
        <f t="shared" si="24"/>
        <v>Devizy</v>
      </c>
      <c r="K497" s="652" t="str">
        <f t="shared" si="25"/>
        <v/>
      </c>
      <c r="L497" s="652" t="str">
        <f t="shared" si="23"/>
        <v/>
      </c>
    </row>
    <row r="498" spans="1:12">
      <c r="A498" s="12" t="s">
        <v>24</v>
      </c>
      <c r="J498" s="652" t="str">
        <f t="shared" si="24"/>
        <v>Devizy</v>
      </c>
      <c r="K498" s="652" t="str">
        <f t="shared" si="25"/>
        <v/>
      </c>
      <c r="L498" s="652" t="str">
        <f t="shared" si="23"/>
        <v/>
      </c>
    </row>
    <row r="499" spans="1:12">
      <c r="A499" s="12" t="s">
        <v>24</v>
      </c>
      <c r="J499" s="652" t="str">
        <f t="shared" si="24"/>
        <v>Devizy</v>
      </c>
      <c r="K499" s="652" t="str">
        <f t="shared" si="25"/>
        <v/>
      </c>
      <c r="L499" s="652" t="str">
        <f t="shared" si="23"/>
        <v/>
      </c>
    </row>
    <row r="500" spans="1:12">
      <c r="A500" s="12" t="s">
        <v>24</v>
      </c>
      <c r="J500" s="652" t="str">
        <f t="shared" si="24"/>
        <v>Devizy</v>
      </c>
      <c r="K500" s="652" t="str">
        <f t="shared" si="25"/>
        <v/>
      </c>
      <c r="L500" s="652" t="str">
        <f t="shared" si="23"/>
        <v/>
      </c>
    </row>
    <row r="501" spans="1:12">
      <c r="A501" s="12"/>
      <c r="J501" s="652" t="str">
        <f t="shared" si="24"/>
        <v>Devizy</v>
      </c>
      <c r="K501" s="652" t="str">
        <f t="shared" si="25"/>
        <v/>
      </c>
      <c r="L501" s="652" t="str">
        <f t="shared" si="23"/>
        <v/>
      </c>
    </row>
    <row r="502" spans="1:12">
      <c r="A502" s="12" t="s">
        <v>24</v>
      </c>
      <c r="J502" s="652" t="str">
        <f t="shared" si="24"/>
        <v>Devizy</v>
      </c>
      <c r="K502" s="652" t="str">
        <f t="shared" si="25"/>
        <v/>
      </c>
      <c r="L502" s="652" t="str">
        <f t="shared" si="23"/>
        <v/>
      </c>
    </row>
    <row r="503" spans="1:12">
      <c r="A503" s="12" t="s">
        <v>24</v>
      </c>
      <c r="J503" s="652" t="str">
        <f t="shared" si="24"/>
        <v>Devizy</v>
      </c>
      <c r="K503" s="652" t="str">
        <f t="shared" si="25"/>
        <v/>
      </c>
      <c r="L503" s="652" t="str">
        <f t="shared" si="23"/>
        <v/>
      </c>
    </row>
    <row r="504" spans="1:12">
      <c r="A504" s="12" t="s">
        <v>24</v>
      </c>
      <c r="J504" s="652" t="str">
        <f t="shared" si="24"/>
        <v>Devizy</v>
      </c>
      <c r="K504" s="652" t="str">
        <f t="shared" si="25"/>
        <v/>
      </c>
      <c r="L504" s="652" t="str">
        <f t="shared" si="23"/>
        <v/>
      </c>
    </row>
    <row r="505" spans="1:12">
      <c r="A505" s="12" t="s">
        <v>24</v>
      </c>
      <c r="J505" s="652" t="str">
        <f t="shared" si="24"/>
        <v>Devizy</v>
      </c>
      <c r="K505" s="652" t="str">
        <f t="shared" si="25"/>
        <v/>
      </c>
      <c r="L505" s="652" t="str">
        <f t="shared" si="23"/>
        <v/>
      </c>
    </row>
    <row r="506" spans="1:12">
      <c r="A506" s="12" t="s">
        <v>24</v>
      </c>
      <c r="J506" s="652" t="str">
        <f t="shared" si="24"/>
        <v>Devizy</v>
      </c>
      <c r="K506" s="652" t="str">
        <f t="shared" si="25"/>
        <v/>
      </c>
      <c r="L506" s="652" t="str">
        <f t="shared" si="23"/>
        <v/>
      </c>
    </row>
    <row r="507" spans="1:12">
      <c r="A507" s="12" t="s">
        <v>24</v>
      </c>
      <c r="J507" s="652" t="str">
        <f t="shared" si="24"/>
        <v>Devizy</v>
      </c>
      <c r="K507" s="652" t="str">
        <f t="shared" si="25"/>
        <v/>
      </c>
      <c r="L507" s="652" t="str">
        <f t="shared" si="23"/>
        <v/>
      </c>
    </row>
    <row r="508" spans="1:12">
      <c r="A508" s="12" t="s">
        <v>24</v>
      </c>
      <c r="J508" s="652" t="str">
        <f t="shared" si="24"/>
        <v>Devizy</v>
      </c>
      <c r="K508" s="652" t="str">
        <f t="shared" si="25"/>
        <v/>
      </c>
      <c r="L508" s="652" t="str">
        <f t="shared" si="23"/>
        <v/>
      </c>
    </row>
    <row r="509" spans="1:12">
      <c r="A509" s="12"/>
      <c r="J509" s="652" t="str">
        <f t="shared" si="24"/>
        <v>Devizy</v>
      </c>
      <c r="K509" s="652" t="str">
        <f t="shared" si="25"/>
        <v/>
      </c>
      <c r="L509" s="652" t="str">
        <f t="shared" si="23"/>
        <v/>
      </c>
    </row>
    <row r="510" spans="1:12">
      <c r="A510" s="12" t="s">
        <v>24</v>
      </c>
      <c r="J510" s="652" t="str">
        <f t="shared" si="24"/>
        <v>Devizy</v>
      </c>
      <c r="K510" s="652" t="str">
        <f t="shared" si="25"/>
        <v/>
      </c>
      <c r="L510" s="652" t="str">
        <f t="shared" si="23"/>
        <v/>
      </c>
    </row>
    <row r="511" spans="1:12">
      <c r="A511" s="12" t="s">
        <v>24</v>
      </c>
      <c r="J511" s="652" t="str">
        <f t="shared" si="24"/>
        <v>Devizy</v>
      </c>
      <c r="K511" s="652" t="str">
        <f t="shared" si="25"/>
        <v/>
      </c>
      <c r="L511" s="652" t="str">
        <f t="shared" si="23"/>
        <v/>
      </c>
    </row>
    <row r="512" spans="1:12">
      <c r="A512" s="12" t="s">
        <v>24</v>
      </c>
      <c r="J512" s="652" t="str">
        <f t="shared" si="24"/>
        <v>Devizy</v>
      </c>
      <c r="K512" s="652" t="str">
        <f t="shared" si="25"/>
        <v/>
      </c>
      <c r="L512" s="652" t="str">
        <f t="shared" si="23"/>
        <v/>
      </c>
    </row>
    <row r="513" spans="1:12">
      <c r="A513" s="12" t="s">
        <v>24</v>
      </c>
      <c r="J513" s="652" t="str">
        <f t="shared" si="24"/>
        <v>Devizy</v>
      </c>
      <c r="K513" s="652" t="str">
        <f t="shared" si="25"/>
        <v/>
      </c>
      <c r="L513" s="652" t="str">
        <f t="shared" si="23"/>
        <v/>
      </c>
    </row>
    <row r="514" spans="1:12">
      <c r="A514" s="12" t="s">
        <v>24</v>
      </c>
      <c r="J514" s="652" t="str">
        <f t="shared" si="24"/>
        <v>Devizy</v>
      </c>
      <c r="K514" s="652" t="str">
        <f t="shared" si="25"/>
        <v/>
      </c>
      <c r="L514" s="652" t="str">
        <f t="shared" si="23"/>
        <v/>
      </c>
    </row>
    <row r="515" spans="1:12">
      <c r="A515" s="12" t="s">
        <v>24</v>
      </c>
      <c r="J515" s="652" t="str">
        <f t="shared" si="24"/>
        <v>Devizy</v>
      </c>
      <c r="K515" s="652" t="str">
        <f t="shared" si="25"/>
        <v/>
      </c>
      <c r="L515" s="652" t="str">
        <f t="shared" si="23"/>
        <v/>
      </c>
    </row>
    <row r="516" spans="1:12">
      <c r="A516" s="12" t="s">
        <v>24</v>
      </c>
      <c r="J516" s="652" t="str">
        <f t="shared" si="24"/>
        <v>Devizy</v>
      </c>
      <c r="K516" s="652" t="str">
        <f t="shared" si="25"/>
        <v/>
      </c>
      <c r="L516" s="652" t="str">
        <f t="shared" si="23"/>
        <v/>
      </c>
    </row>
    <row r="517" spans="1:12">
      <c r="A517" s="12" t="s">
        <v>24</v>
      </c>
      <c r="J517" s="652" t="str">
        <f t="shared" si="24"/>
        <v>Devizy</v>
      </c>
      <c r="K517" s="652" t="str">
        <f t="shared" si="25"/>
        <v/>
      </c>
      <c r="L517" s="652" t="str">
        <f t="shared" ref="L517:L529" si="26">IFERROR(K517+M517,"")</f>
        <v/>
      </c>
    </row>
    <row r="518" spans="1:12">
      <c r="A518" s="12" t="s">
        <v>24</v>
      </c>
      <c r="J518" s="652" t="str">
        <f t="shared" si="24"/>
        <v>Devizy</v>
      </c>
      <c r="K518" s="652" t="str">
        <f t="shared" si="25"/>
        <v/>
      </c>
      <c r="L518" s="652" t="str">
        <f t="shared" si="26"/>
        <v/>
      </c>
    </row>
    <row r="519" spans="1:12">
      <c r="A519" s="12" t="s">
        <v>24</v>
      </c>
      <c r="J519" s="652" t="str">
        <f t="shared" si="24"/>
        <v>Devizy</v>
      </c>
      <c r="K519" s="652" t="str">
        <f t="shared" si="25"/>
        <v/>
      </c>
      <c r="L519" s="652" t="str">
        <f t="shared" si="26"/>
        <v/>
      </c>
    </row>
    <row r="520" spans="1:12">
      <c r="A520" s="12"/>
      <c r="J520" s="652" t="str">
        <f t="shared" si="24"/>
        <v>Devizy</v>
      </c>
      <c r="K520" s="652" t="str">
        <f t="shared" si="25"/>
        <v/>
      </c>
      <c r="L520" s="652" t="str">
        <f t="shared" si="26"/>
        <v/>
      </c>
    </row>
    <row r="521" spans="1:12">
      <c r="A521" s="12" t="s">
        <v>24</v>
      </c>
      <c r="J521" s="652" t="str">
        <f t="shared" si="24"/>
        <v>Devizy</v>
      </c>
      <c r="K521" s="652" t="str">
        <f t="shared" si="25"/>
        <v/>
      </c>
      <c r="L521" s="652" t="str">
        <f t="shared" si="26"/>
        <v/>
      </c>
    </row>
    <row r="522" spans="1:12">
      <c r="A522" s="12" t="s">
        <v>24</v>
      </c>
      <c r="J522" s="652" t="str">
        <f t="shared" si="24"/>
        <v>Devizy</v>
      </c>
      <c r="K522" s="652" t="str">
        <f t="shared" si="25"/>
        <v/>
      </c>
      <c r="L522" s="652" t="str">
        <f t="shared" si="26"/>
        <v/>
      </c>
    </row>
    <row r="523" spans="1:12">
      <c r="A523" s="12" t="s">
        <v>24</v>
      </c>
      <c r="J523" s="652" t="str">
        <f t="shared" si="24"/>
        <v>Devizy</v>
      </c>
      <c r="K523" s="652" t="str">
        <f t="shared" si="25"/>
        <v/>
      </c>
      <c r="L523" s="652" t="str">
        <f t="shared" si="26"/>
        <v/>
      </c>
    </row>
    <row r="524" spans="1:12">
      <c r="A524" s="12"/>
      <c r="J524" s="652" t="str">
        <f t="shared" si="24"/>
        <v>Devizy</v>
      </c>
      <c r="K524" s="652" t="str">
        <f t="shared" si="25"/>
        <v/>
      </c>
      <c r="L524" s="652" t="str">
        <f t="shared" si="26"/>
        <v/>
      </c>
    </row>
    <row r="525" spans="1:12">
      <c r="A525" s="12" t="s">
        <v>24</v>
      </c>
      <c r="J525" s="652" t="str">
        <f t="shared" si="24"/>
        <v>Devizy</v>
      </c>
      <c r="K525" s="652" t="str">
        <f t="shared" si="25"/>
        <v/>
      </c>
      <c r="L525" s="652" t="str">
        <f t="shared" si="26"/>
        <v/>
      </c>
    </row>
    <row r="526" spans="1:12">
      <c r="A526" s="12" t="s">
        <v>24</v>
      </c>
      <c r="J526" s="652" t="str">
        <f t="shared" si="24"/>
        <v>Devizy</v>
      </c>
      <c r="K526" s="652" t="str">
        <f t="shared" si="25"/>
        <v/>
      </c>
      <c r="L526" s="652" t="str">
        <f t="shared" si="26"/>
        <v/>
      </c>
    </row>
    <row r="527" spans="1:12">
      <c r="A527" s="12" t="s">
        <v>24</v>
      </c>
      <c r="J527" s="652" t="str">
        <f t="shared" si="24"/>
        <v>Devizy</v>
      </c>
      <c r="K527" s="652" t="str">
        <f t="shared" si="25"/>
        <v/>
      </c>
      <c r="L527" s="652" t="str">
        <f t="shared" si="26"/>
        <v/>
      </c>
    </row>
    <row r="528" spans="1:12">
      <c r="A528" s="12" t="s">
        <v>24</v>
      </c>
      <c r="J528" s="652" t="str">
        <f t="shared" si="24"/>
        <v>Devizy</v>
      </c>
      <c r="K528" s="652" t="str">
        <f t="shared" si="25"/>
        <v/>
      </c>
      <c r="L528" s="652" t="str">
        <f t="shared" si="26"/>
        <v/>
      </c>
    </row>
    <row r="529" spans="1:12">
      <c r="A529" s="12" t="s">
        <v>24</v>
      </c>
      <c r="J529" s="652" t="str">
        <f t="shared" si="24"/>
        <v>Devizy</v>
      </c>
      <c r="K529" s="652" t="str">
        <f t="shared" si="25"/>
        <v/>
      </c>
      <c r="L529" s="652" t="str">
        <f t="shared" si="26"/>
        <v/>
      </c>
    </row>
    <row r="530" spans="1:12">
      <c r="A530" s="12" t="s">
        <v>24</v>
      </c>
    </row>
    <row r="531" spans="1:12">
      <c r="A531" s="12"/>
    </row>
    <row r="532" spans="1:12">
      <c r="A532" s="12" t="s">
        <v>24</v>
      </c>
    </row>
    <row r="533" spans="1:12">
      <c r="A533" s="12" t="s">
        <v>24</v>
      </c>
    </row>
    <row r="534" spans="1:12">
      <c r="A534" s="12" t="s">
        <v>24</v>
      </c>
    </row>
    <row r="535" spans="1:12">
      <c r="A535" s="12" t="s">
        <v>24</v>
      </c>
    </row>
    <row r="536" spans="1:12">
      <c r="A536" s="12" t="s">
        <v>24</v>
      </c>
    </row>
    <row r="537" spans="1:12">
      <c r="A537" s="12" t="s">
        <v>24</v>
      </c>
    </row>
    <row r="538" spans="1:12">
      <c r="A538" s="12" t="s">
        <v>24</v>
      </c>
    </row>
    <row r="539" spans="1:12">
      <c r="A539" s="12" t="s">
        <v>24</v>
      </c>
    </row>
    <row r="540" spans="1:12">
      <c r="A540" s="12"/>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t="s">
        <v>24</v>
      </c>
    </row>
    <row r="551" spans="1:1">
      <c r="A551" s="12" t="s">
        <v>24</v>
      </c>
    </row>
    <row r="552" spans="1:1">
      <c r="A552" s="12" t="s">
        <v>24</v>
      </c>
    </row>
    <row r="553" spans="1:1">
      <c r="A553" s="12"/>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t="s">
        <v>24</v>
      </c>
    </row>
    <row r="565" spans="1:1">
      <c r="A565" s="12" t="s">
        <v>24</v>
      </c>
    </row>
    <row r="566" spans="1:1">
      <c r="A566" s="12" t="s">
        <v>24</v>
      </c>
    </row>
    <row r="567" spans="1:1">
      <c r="A567" s="12" t="s">
        <v>24</v>
      </c>
    </row>
    <row r="568" spans="1:1">
      <c r="A568" s="12" t="s">
        <v>24</v>
      </c>
    </row>
    <row r="569" spans="1:1">
      <c r="A569" s="12"/>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t="s">
        <v>24</v>
      </c>
    </row>
    <row r="580" spans="1:1">
      <c r="A580" s="12" t="s">
        <v>24</v>
      </c>
    </row>
    <row r="581" spans="1:1">
      <c r="A581" s="12"/>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t="s">
        <v>24</v>
      </c>
    </row>
    <row r="629" spans="1:1">
      <c r="A629" s="12" t="s">
        <v>24</v>
      </c>
    </row>
    <row r="630" spans="1:1">
      <c r="A630" s="12" t="s">
        <v>24</v>
      </c>
    </row>
    <row r="631" spans="1:1">
      <c r="A631" s="12"/>
    </row>
    <row r="632" spans="1:1">
      <c r="A632" s="12" t="s">
        <v>24</v>
      </c>
    </row>
    <row r="633" spans="1:1">
      <c r="A633" s="12"/>
    </row>
    <row r="634" spans="1:1">
      <c r="A634" s="12" t="s">
        <v>24</v>
      </c>
    </row>
    <row r="635" spans="1:1">
      <c r="A635" s="12"/>
    </row>
    <row r="636" spans="1:1">
      <c r="A636" s="12" t="s">
        <v>24</v>
      </c>
    </row>
    <row r="637" spans="1:1">
      <c r="A637" s="12"/>
    </row>
    <row r="638" spans="1:1">
      <c r="A638" s="12" t="s">
        <v>24</v>
      </c>
    </row>
    <row r="639" spans="1:1">
      <c r="A639" s="12"/>
    </row>
    <row r="640" spans="1:1">
      <c r="A640" s="12" t="s">
        <v>24</v>
      </c>
    </row>
    <row r="641" spans="1:1">
      <c r="A641" s="12" t="s">
        <v>24</v>
      </c>
    </row>
    <row r="642" spans="1:1">
      <c r="A642" s="12"/>
    </row>
    <row r="643" spans="1:1">
      <c r="A643" s="12" t="s">
        <v>24</v>
      </c>
    </row>
    <row r="644" spans="1:1">
      <c r="A644" s="12" t="s">
        <v>24</v>
      </c>
    </row>
    <row r="645" spans="1:1">
      <c r="A645" s="12"/>
    </row>
    <row r="646" spans="1:1">
      <c r="A646" s="12" t="s">
        <v>24</v>
      </c>
    </row>
    <row r="647" spans="1:1">
      <c r="A647" s="12" t="s">
        <v>24</v>
      </c>
    </row>
    <row r="648" spans="1:1">
      <c r="A648" s="12"/>
    </row>
    <row r="649" spans="1:1">
      <c r="A649" s="12" t="s">
        <v>24</v>
      </c>
    </row>
    <row r="650" spans="1:1">
      <c r="A650" s="12" t="s">
        <v>24</v>
      </c>
    </row>
    <row r="651" spans="1:1">
      <c r="A651" s="12"/>
    </row>
    <row r="652" spans="1:1">
      <c r="A652" s="12" t="s">
        <v>24</v>
      </c>
    </row>
    <row r="653" spans="1:1">
      <c r="A653" s="12" t="s">
        <v>24</v>
      </c>
    </row>
    <row r="654" spans="1:1">
      <c r="A654" s="12" t="s">
        <v>24</v>
      </c>
    </row>
    <row r="655" spans="1:1">
      <c r="A655" s="12" t="s">
        <v>24</v>
      </c>
    </row>
    <row r="656" spans="1:1">
      <c r="A656" s="12" t="s">
        <v>24</v>
      </c>
    </row>
    <row r="657" spans="1:1">
      <c r="A657" s="12" t="s">
        <v>24</v>
      </c>
    </row>
    <row r="658" spans="1:1">
      <c r="A658" s="12"/>
    </row>
    <row r="659" spans="1:1">
      <c r="A659" s="12" t="s">
        <v>24</v>
      </c>
    </row>
    <row r="660" spans="1:1">
      <c r="A660" s="12" t="s">
        <v>24</v>
      </c>
    </row>
    <row r="661" spans="1:1">
      <c r="A661" s="12" t="s">
        <v>24</v>
      </c>
    </row>
    <row r="662" spans="1:1">
      <c r="A662" s="12" t="s">
        <v>24</v>
      </c>
    </row>
    <row r="663" spans="1:1">
      <c r="A663" s="12" t="s">
        <v>24</v>
      </c>
    </row>
    <row r="664" spans="1:1">
      <c r="A664" s="12" t="s">
        <v>24</v>
      </c>
    </row>
    <row r="665" spans="1:1">
      <c r="A665" s="12"/>
    </row>
    <row r="666" spans="1:1">
      <c r="A666" s="12" t="s">
        <v>24</v>
      </c>
    </row>
    <row r="667" spans="1:1">
      <c r="A667" s="12" t="s">
        <v>24</v>
      </c>
    </row>
    <row r="668" spans="1:1">
      <c r="A668" s="12" t="s">
        <v>24</v>
      </c>
    </row>
    <row r="669" spans="1:1">
      <c r="A669" s="12" t="s">
        <v>24</v>
      </c>
    </row>
    <row r="670" spans="1:1">
      <c r="A670" s="12" t="s">
        <v>24</v>
      </c>
    </row>
    <row r="671" spans="1:1">
      <c r="A671" s="12" t="s">
        <v>24</v>
      </c>
    </row>
    <row r="672" spans="1:1">
      <c r="A672" s="12" t="s">
        <v>24</v>
      </c>
    </row>
    <row r="673" spans="1:1">
      <c r="A673" s="12" t="s">
        <v>24</v>
      </c>
    </row>
    <row r="674" spans="1:1">
      <c r="A674" s="12"/>
    </row>
    <row r="675" spans="1:1">
      <c r="A675" s="12" t="s">
        <v>24</v>
      </c>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row>
    <row r="683" spans="1:1">
      <c r="A683" s="12" t="s">
        <v>24</v>
      </c>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row>
    <row r="694" spans="1:1">
      <c r="A694" s="12" t="s">
        <v>24</v>
      </c>
    </row>
    <row r="695" spans="1:1">
      <c r="A695" s="12" t="s">
        <v>24</v>
      </c>
    </row>
    <row r="696" spans="1:1">
      <c r="A696" s="12" t="s">
        <v>24</v>
      </c>
    </row>
    <row r="697" spans="1:1">
      <c r="A697" s="12" t="s">
        <v>24</v>
      </c>
    </row>
    <row r="698" spans="1:1">
      <c r="A698" s="12" t="s">
        <v>24</v>
      </c>
    </row>
    <row r="699" spans="1:1">
      <c r="A699" s="12" t="s">
        <v>24</v>
      </c>
    </row>
    <row r="700" spans="1:1">
      <c r="A700" s="12"/>
    </row>
    <row r="701" spans="1:1">
      <c r="A701" s="12" t="s">
        <v>24</v>
      </c>
    </row>
    <row r="702" spans="1:1">
      <c r="A702" s="12" t="s">
        <v>24</v>
      </c>
    </row>
    <row r="703" spans="1:1">
      <c r="A703" s="12" t="s">
        <v>24</v>
      </c>
    </row>
    <row r="704" spans="1:1">
      <c r="A704" s="12" t="s">
        <v>24</v>
      </c>
    </row>
    <row r="705" spans="1:1">
      <c r="A705" s="12" t="s">
        <v>24</v>
      </c>
    </row>
    <row r="706" spans="1:1">
      <c r="A706" s="12"/>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row>
    <row r="714" spans="1:1">
      <c r="A714" s="12" t="s">
        <v>24</v>
      </c>
    </row>
    <row r="715" spans="1:1">
      <c r="A715" s="12" t="s">
        <v>24</v>
      </c>
    </row>
    <row r="716" spans="1:1">
      <c r="A716" s="12"/>
    </row>
    <row r="717" spans="1:1">
      <c r="A717" s="12" t="s">
        <v>24</v>
      </c>
    </row>
    <row r="718" spans="1:1">
      <c r="A718" s="12"/>
    </row>
    <row r="719" spans="1:1">
      <c r="A719" s="12" t="s">
        <v>24</v>
      </c>
    </row>
    <row r="720" spans="1:1">
      <c r="A720" s="12" t="s">
        <v>24</v>
      </c>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row>
    <row r="745" spans="1:1">
      <c r="A745" s="12" t="s">
        <v>24</v>
      </c>
    </row>
    <row r="746" spans="1:1">
      <c r="A746" s="12" t="s">
        <v>24</v>
      </c>
    </row>
    <row r="747" spans="1:1">
      <c r="A747" s="12"/>
    </row>
    <row r="748" spans="1:1">
      <c r="A748" s="12" t="s">
        <v>24</v>
      </c>
    </row>
    <row r="749" spans="1:1">
      <c r="A749" s="12" t="s">
        <v>24</v>
      </c>
    </row>
    <row r="750" spans="1:1">
      <c r="A750" s="12" t="s">
        <v>24</v>
      </c>
    </row>
    <row r="751" spans="1:1">
      <c r="A751" s="12" t="s">
        <v>24</v>
      </c>
    </row>
    <row r="752" spans="1:1">
      <c r="A752" s="12"/>
    </row>
    <row r="753" spans="1:1">
      <c r="A753" s="12" t="s">
        <v>24</v>
      </c>
    </row>
    <row r="754" spans="1:1">
      <c r="A754" s="12" t="s">
        <v>24</v>
      </c>
    </row>
    <row r="755" spans="1:1">
      <c r="A755" s="12"/>
    </row>
    <row r="756" spans="1:1">
      <c r="A756" s="12" t="s">
        <v>24</v>
      </c>
    </row>
    <row r="757" spans="1:1">
      <c r="A757" s="12"/>
    </row>
    <row r="758" spans="1:1">
      <c r="A758" s="12" t="s">
        <v>24</v>
      </c>
    </row>
    <row r="759" spans="1:1">
      <c r="A759" s="12" t="s">
        <v>24</v>
      </c>
    </row>
    <row r="760" spans="1:1">
      <c r="A760" s="12"/>
    </row>
    <row r="761" spans="1:1">
      <c r="A761" s="12" t="s">
        <v>24</v>
      </c>
    </row>
    <row r="762" spans="1:1">
      <c r="A762" s="12" t="s">
        <v>24</v>
      </c>
    </row>
    <row r="763" spans="1:1">
      <c r="A763" s="12" t="s">
        <v>24</v>
      </c>
    </row>
    <row r="764" spans="1:1">
      <c r="A764" s="12" t="s">
        <v>24</v>
      </c>
    </row>
    <row r="765" spans="1:1">
      <c r="A765" s="12" t="s">
        <v>24</v>
      </c>
    </row>
    <row r="766" spans="1:1">
      <c r="A766" s="12" t="s">
        <v>24</v>
      </c>
    </row>
    <row r="767" spans="1:1">
      <c r="A767" s="12" t="s">
        <v>24</v>
      </c>
    </row>
    <row r="768" spans="1:1">
      <c r="A768" s="12" t="s">
        <v>24</v>
      </c>
    </row>
    <row r="769" spans="1:1">
      <c r="A769" s="12"/>
    </row>
    <row r="770" spans="1:1">
      <c r="A770" s="12" t="s">
        <v>24</v>
      </c>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row>
    <row r="779" spans="1:1">
      <c r="A779" s="12" t="s">
        <v>24</v>
      </c>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t="s">
        <v>24</v>
      </c>
    </row>
    <row r="810" spans="1:1">
      <c r="A810" s="12"/>
    </row>
    <row r="811" spans="1:1">
      <c r="A811" s="12" t="s">
        <v>24</v>
      </c>
    </row>
    <row r="812" spans="1:1">
      <c r="A812" s="12" t="s">
        <v>24</v>
      </c>
    </row>
    <row r="813" spans="1:1">
      <c r="A813" s="12" t="s">
        <v>24</v>
      </c>
    </row>
    <row r="814" spans="1:1">
      <c r="A814" s="12"/>
    </row>
    <row r="815" spans="1:1">
      <c r="A815" s="12" t="s">
        <v>24</v>
      </c>
    </row>
    <row r="816" spans="1:1">
      <c r="A816" s="12" t="s">
        <v>24</v>
      </c>
    </row>
    <row r="817" spans="1:1">
      <c r="A817" s="12"/>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t="s">
        <v>24</v>
      </c>
    </row>
    <row r="828" spans="1:1">
      <c r="A828" s="12"/>
    </row>
    <row r="829" spans="1:1">
      <c r="A829" s="12" t="s">
        <v>24</v>
      </c>
    </row>
    <row r="830" spans="1:1">
      <c r="A830" s="12" t="s">
        <v>24</v>
      </c>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t="s">
        <v>24</v>
      </c>
    </row>
    <row r="842" spans="1:1">
      <c r="A842" s="12"/>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row>
    <row r="852" spans="1:1">
      <c r="A852" s="12" t="s">
        <v>24</v>
      </c>
    </row>
    <row r="853" spans="1:1">
      <c r="A853" s="12" t="s">
        <v>24</v>
      </c>
    </row>
    <row r="854" spans="1:1">
      <c r="A854" s="12" t="s">
        <v>24</v>
      </c>
    </row>
    <row r="855" spans="1:1">
      <c r="A855" s="12" t="s">
        <v>24</v>
      </c>
    </row>
    <row r="856" spans="1:1">
      <c r="A856" s="12" t="s">
        <v>24</v>
      </c>
    </row>
    <row r="857" spans="1:1">
      <c r="A857" s="12"/>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t="s">
        <v>24</v>
      </c>
    </row>
    <row r="869" spans="1:1">
      <c r="A869" s="12" t="s">
        <v>24</v>
      </c>
    </row>
    <row r="870" spans="1:1">
      <c r="A870" s="12" t="s">
        <v>24</v>
      </c>
    </row>
    <row r="871" spans="1:1">
      <c r="A871" s="12" t="s">
        <v>24</v>
      </c>
    </row>
    <row r="872" spans="1:1">
      <c r="A872" s="12" t="s">
        <v>24</v>
      </c>
    </row>
    <row r="873" spans="1:1">
      <c r="A873" s="12"/>
    </row>
    <row r="874" spans="1:1">
      <c r="A874" s="12" t="s">
        <v>24</v>
      </c>
    </row>
    <row r="875" spans="1:1">
      <c r="A875" s="12"/>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row>
    <row r="888" spans="1:1">
      <c r="A888" s="12" t="s">
        <v>24</v>
      </c>
    </row>
    <row r="889" spans="1:1">
      <c r="A889" s="12" t="s">
        <v>24</v>
      </c>
    </row>
    <row r="890" spans="1:1">
      <c r="A890" s="12" t="s">
        <v>24</v>
      </c>
    </row>
    <row r="891" spans="1:1">
      <c r="A891" s="12" t="s">
        <v>24</v>
      </c>
    </row>
    <row r="892" spans="1:1">
      <c r="A892" s="12" t="s">
        <v>24</v>
      </c>
    </row>
    <row r="893" spans="1:1">
      <c r="A893" s="12"/>
    </row>
    <row r="894" spans="1:1">
      <c r="A894" s="12" t="s">
        <v>24</v>
      </c>
    </row>
    <row r="895" spans="1:1">
      <c r="A895" s="12" t="s">
        <v>24</v>
      </c>
    </row>
    <row r="896" spans="1:1">
      <c r="A896" s="12"/>
    </row>
    <row r="897" spans="1:1">
      <c r="A897" s="12" t="s">
        <v>24</v>
      </c>
    </row>
    <row r="898" spans="1:1">
      <c r="A898" s="12" t="s">
        <v>24</v>
      </c>
    </row>
    <row r="899" spans="1:1">
      <c r="A899" s="12" t="s">
        <v>24</v>
      </c>
    </row>
    <row r="900" spans="1:1">
      <c r="A900" s="12" t="s">
        <v>24</v>
      </c>
    </row>
    <row r="901" spans="1:1">
      <c r="A901" s="12" t="s">
        <v>24</v>
      </c>
    </row>
    <row r="902" spans="1:1">
      <c r="A902" s="12"/>
    </row>
    <row r="903" spans="1:1">
      <c r="A903" s="12" t="s">
        <v>24</v>
      </c>
    </row>
    <row r="904" spans="1:1">
      <c r="A904" s="12"/>
    </row>
    <row r="905" spans="1:1">
      <c r="A905" s="12" t="s">
        <v>24</v>
      </c>
    </row>
    <row r="906" spans="1:1">
      <c r="A906" s="12" t="s">
        <v>24</v>
      </c>
    </row>
    <row r="907" spans="1:1">
      <c r="A907" s="12" t="s">
        <v>24</v>
      </c>
    </row>
    <row r="908" spans="1:1">
      <c r="A908" s="12"/>
    </row>
    <row r="909" spans="1:1">
      <c r="A909" s="12" t="s">
        <v>24</v>
      </c>
    </row>
    <row r="910" spans="1:1">
      <c r="A910" s="12" t="s">
        <v>24</v>
      </c>
    </row>
    <row r="911" spans="1:1">
      <c r="A911" s="12"/>
    </row>
    <row r="912" spans="1:1">
      <c r="A912" s="12" t="s">
        <v>24</v>
      </c>
    </row>
    <row r="913" spans="1:1">
      <c r="A913" s="12" t="s">
        <v>24</v>
      </c>
    </row>
    <row r="914" spans="1:1">
      <c r="A914" s="12" t="s">
        <v>24</v>
      </c>
    </row>
    <row r="915" spans="1:1">
      <c r="A915" s="12"/>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t="s">
        <v>24</v>
      </c>
    </row>
    <row r="923" spans="1:1">
      <c r="A923" s="12" t="s">
        <v>24</v>
      </c>
    </row>
    <row r="924" spans="1:1">
      <c r="A924" s="12" t="s">
        <v>24</v>
      </c>
    </row>
    <row r="925" spans="1:1">
      <c r="A925" s="12" t="s">
        <v>24</v>
      </c>
    </row>
    <row r="926" spans="1:1">
      <c r="A926" s="12" t="s">
        <v>24</v>
      </c>
    </row>
    <row r="927" spans="1:1">
      <c r="A927" s="12"/>
    </row>
    <row r="928" spans="1:1">
      <c r="A928" s="12" t="s">
        <v>24</v>
      </c>
    </row>
    <row r="929" spans="1:1">
      <c r="A929" s="12"/>
    </row>
    <row r="930" spans="1:1">
      <c r="A930" s="12" t="s">
        <v>24</v>
      </c>
    </row>
    <row r="931" spans="1:1">
      <c r="A931" s="12" t="s">
        <v>24</v>
      </c>
    </row>
    <row r="932" spans="1:1">
      <c r="A932" s="12" t="s">
        <v>24</v>
      </c>
    </row>
    <row r="933" spans="1:1">
      <c r="A933" s="12" t="s">
        <v>24</v>
      </c>
    </row>
    <row r="934" spans="1:1">
      <c r="A934" s="12"/>
    </row>
    <row r="935" spans="1:1">
      <c r="A935" s="12" t="s">
        <v>24</v>
      </c>
    </row>
    <row r="936" spans="1:1">
      <c r="A936" s="12"/>
    </row>
    <row r="937" spans="1:1">
      <c r="A937" s="12" t="s">
        <v>24</v>
      </c>
    </row>
    <row r="938" spans="1:1">
      <c r="A938" s="12" t="s">
        <v>24</v>
      </c>
    </row>
    <row r="939" spans="1:1">
      <c r="A939" s="12" t="s">
        <v>24</v>
      </c>
    </row>
    <row r="940" spans="1:1">
      <c r="A940" s="12"/>
    </row>
    <row r="941" spans="1:1">
      <c r="A941" s="12" t="s">
        <v>24</v>
      </c>
    </row>
    <row r="942" spans="1:1">
      <c r="A942" s="12" t="s">
        <v>24</v>
      </c>
    </row>
    <row r="943" spans="1:1">
      <c r="A943" s="12"/>
    </row>
    <row r="944" spans="1:1">
      <c r="A944" s="12" t="s">
        <v>24</v>
      </c>
    </row>
    <row r="945" spans="1:1">
      <c r="A945" s="12" t="s">
        <v>24</v>
      </c>
    </row>
    <row r="946" spans="1:1">
      <c r="A946" s="12"/>
    </row>
    <row r="947" spans="1:1">
      <c r="A947" s="12" t="s">
        <v>24</v>
      </c>
    </row>
    <row r="948" spans="1:1">
      <c r="A948" s="12" t="s">
        <v>24</v>
      </c>
    </row>
    <row r="949" spans="1:1">
      <c r="A949" s="12" t="s">
        <v>24</v>
      </c>
    </row>
    <row r="950" spans="1:1">
      <c r="A950" s="12" t="s">
        <v>24</v>
      </c>
    </row>
    <row r="951" spans="1:1">
      <c r="A951" s="12" t="s">
        <v>24</v>
      </c>
    </row>
    <row r="952" spans="1:1">
      <c r="A952" s="12"/>
    </row>
    <row r="953" spans="1:1">
      <c r="A953" s="12" t="s">
        <v>24</v>
      </c>
    </row>
    <row r="954" spans="1:1">
      <c r="A954" s="12" t="s">
        <v>24</v>
      </c>
    </row>
    <row r="955" spans="1:1">
      <c r="A955" s="12"/>
    </row>
    <row r="956" spans="1:1">
      <c r="A956" s="12" t="s">
        <v>24</v>
      </c>
    </row>
    <row r="957" spans="1:1">
      <c r="A957" s="12" t="s">
        <v>24</v>
      </c>
    </row>
    <row r="958" spans="1:1">
      <c r="A958" s="12"/>
    </row>
    <row r="959" spans="1:1">
      <c r="A959" s="12" t="s">
        <v>24</v>
      </c>
    </row>
    <row r="960" spans="1:1">
      <c r="A960" s="12" t="s">
        <v>24</v>
      </c>
    </row>
    <row r="961" spans="1:1">
      <c r="A961" s="12" t="s">
        <v>24</v>
      </c>
    </row>
    <row r="962" spans="1:1">
      <c r="A962" s="12" t="s">
        <v>24</v>
      </c>
    </row>
    <row r="963" spans="1:1">
      <c r="A963" s="12" t="s">
        <v>24</v>
      </c>
    </row>
    <row r="964" spans="1:1">
      <c r="A964" s="12" t="s">
        <v>24</v>
      </c>
    </row>
    <row r="965" spans="1:1">
      <c r="A965" s="12"/>
    </row>
    <row r="966" spans="1:1">
      <c r="A966" s="12" t="s">
        <v>24</v>
      </c>
    </row>
    <row r="967" spans="1:1">
      <c r="A967" s="12" t="s">
        <v>24</v>
      </c>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t="s">
        <v>24</v>
      </c>
    </row>
    <row r="975" spans="1:1">
      <c r="A975" s="12" t="s">
        <v>24</v>
      </c>
    </row>
    <row r="976" spans="1:1">
      <c r="A976" s="12" t="s">
        <v>24</v>
      </c>
    </row>
    <row r="977" spans="1:1">
      <c r="A977" s="12"/>
    </row>
    <row r="978" spans="1:1">
      <c r="A978" s="12" t="s">
        <v>24</v>
      </c>
    </row>
    <row r="979" spans="1:1">
      <c r="A979" s="12"/>
    </row>
    <row r="980" spans="1:1">
      <c r="A980" s="12" t="s">
        <v>24</v>
      </c>
    </row>
    <row r="981" spans="1:1">
      <c r="A981" s="12" t="s">
        <v>24</v>
      </c>
    </row>
    <row r="982" spans="1:1">
      <c r="A982" s="12" t="s">
        <v>24</v>
      </c>
    </row>
    <row r="983" spans="1:1">
      <c r="A983" s="12" t="s">
        <v>24</v>
      </c>
    </row>
    <row r="984" spans="1:1">
      <c r="A984" s="12" t="s">
        <v>24</v>
      </c>
    </row>
    <row r="985" spans="1:1">
      <c r="A985" s="12" t="s">
        <v>24</v>
      </c>
    </row>
    <row r="986" spans="1:1">
      <c r="A986" s="12" t="s">
        <v>24</v>
      </c>
    </row>
    <row r="987" spans="1:1">
      <c r="A987" s="12" t="s">
        <v>24</v>
      </c>
    </row>
    <row r="988" spans="1:1">
      <c r="A988" s="12"/>
    </row>
    <row r="989" spans="1:1">
      <c r="A989" s="12" t="s">
        <v>24</v>
      </c>
    </row>
    <row r="990" spans="1:1">
      <c r="A990" s="12" t="s">
        <v>24</v>
      </c>
    </row>
    <row r="991" spans="1:1">
      <c r="A991" s="12" t="s">
        <v>24</v>
      </c>
    </row>
    <row r="992" spans="1:1">
      <c r="A992" s="12" t="s">
        <v>24</v>
      </c>
    </row>
    <row r="993" spans="1:1">
      <c r="A993" s="12" t="s">
        <v>24</v>
      </c>
    </row>
    <row r="994" spans="1:1">
      <c r="A994" s="12"/>
    </row>
    <row r="995" spans="1:1">
      <c r="A995" s="12" t="s">
        <v>24</v>
      </c>
    </row>
    <row r="996" spans="1:1">
      <c r="A996" s="12" t="s">
        <v>24</v>
      </c>
    </row>
    <row r="997" spans="1:1">
      <c r="A997" s="12" t="s">
        <v>24</v>
      </c>
    </row>
    <row r="998" spans="1:1">
      <c r="A998" s="12"/>
    </row>
    <row r="999" spans="1:1">
      <c r="A999" s="12" t="s">
        <v>24</v>
      </c>
    </row>
    <row r="1000" spans="1:1">
      <c r="A1000" s="12"/>
    </row>
    <row r="1001" spans="1:1">
      <c r="A1001" s="12" t="s">
        <v>24</v>
      </c>
    </row>
    <row r="1002" spans="1:1">
      <c r="A1002" s="12" t="s">
        <v>24</v>
      </c>
    </row>
    <row r="1003" spans="1:1">
      <c r="A1003" s="12"/>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t="s">
        <v>24</v>
      </c>
    </row>
    <row r="1011" spans="1:1">
      <c r="A1011" s="12" t="s">
        <v>24</v>
      </c>
    </row>
    <row r="1012" spans="1:1">
      <c r="A1012" s="12" t="s">
        <v>24</v>
      </c>
    </row>
    <row r="1013" spans="1:1">
      <c r="A1013" s="12" t="s">
        <v>24</v>
      </c>
    </row>
    <row r="1014" spans="1:1">
      <c r="A1014" s="12" t="s">
        <v>24</v>
      </c>
    </row>
    <row r="1015" spans="1:1">
      <c r="A1015" s="12"/>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row>
    <row r="1039" spans="1:1">
      <c r="A1039" s="12" t="s">
        <v>24</v>
      </c>
    </row>
    <row r="1040" spans="1:1">
      <c r="A1040" s="12"/>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t="s">
        <v>24</v>
      </c>
    </row>
    <row r="1052" spans="1:1">
      <c r="A1052" s="12"/>
    </row>
    <row r="1053" spans="1:1">
      <c r="A1053" s="12" t="s">
        <v>24</v>
      </c>
    </row>
    <row r="1054" spans="1:1">
      <c r="A1054" s="12" t="s">
        <v>24</v>
      </c>
    </row>
    <row r="1055" spans="1:1">
      <c r="A1055" s="12" t="s">
        <v>24</v>
      </c>
    </row>
    <row r="1056" spans="1:1">
      <c r="A1056" s="12"/>
    </row>
    <row r="1057" spans="1:1">
      <c r="A1057" s="12" t="s">
        <v>24</v>
      </c>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row>
    <row r="1075" spans="1:1">
      <c r="A1075" s="12" t="s">
        <v>24</v>
      </c>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row>
    <row r="1087" spans="1:1">
      <c r="A1087" s="12" t="s">
        <v>24</v>
      </c>
    </row>
    <row r="1088" spans="1:1">
      <c r="A1088" s="12"/>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t="s">
        <v>24</v>
      </c>
    </row>
    <row r="1097" spans="1:1">
      <c r="A1097" s="12" t="s">
        <v>24</v>
      </c>
    </row>
    <row r="1098" spans="1:1">
      <c r="A1098" s="12"/>
    </row>
    <row r="1099" spans="1:1">
      <c r="A1099" s="12" t="s">
        <v>24</v>
      </c>
    </row>
    <row r="1100" spans="1:1">
      <c r="A1100" s="12" t="s">
        <v>24</v>
      </c>
    </row>
    <row r="1101" spans="1:1">
      <c r="A1101" s="12" t="s">
        <v>24</v>
      </c>
    </row>
    <row r="1102" spans="1:1">
      <c r="A1102" s="12"/>
    </row>
    <row r="1103" spans="1:1">
      <c r="A1103" s="12" t="s">
        <v>24</v>
      </c>
    </row>
    <row r="1104" spans="1:1">
      <c r="A1104" s="12" t="s">
        <v>24</v>
      </c>
    </row>
    <row r="1105" spans="1:1">
      <c r="A1105" s="12"/>
    </row>
    <row r="1106" spans="1:1">
      <c r="A1106" s="12" t="s">
        <v>24</v>
      </c>
    </row>
    <row r="1107" spans="1:1">
      <c r="A1107" s="12" t="s">
        <v>24</v>
      </c>
    </row>
    <row r="1108" spans="1:1">
      <c r="A1108" s="12" t="s">
        <v>24</v>
      </c>
    </row>
    <row r="1109" spans="1:1">
      <c r="A1109" s="12"/>
    </row>
    <row r="1110" spans="1:1">
      <c r="A1110" s="12" t="s">
        <v>24</v>
      </c>
    </row>
    <row r="1111" spans="1:1">
      <c r="A1111" s="12" t="s">
        <v>24</v>
      </c>
    </row>
    <row r="1112" spans="1:1">
      <c r="A1112" s="12" t="s">
        <v>24</v>
      </c>
    </row>
    <row r="1113" spans="1:1">
      <c r="A1113" s="12"/>
    </row>
    <row r="1114" spans="1:1">
      <c r="A1114" s="12" t="s">
        <v>24</v>
      </c>
    </row>
    <row r="1115" spans="1:1">
      <c r="A1115" s="12" t="s">
        <v>24</v>
      </c>
    </row>
    <row r="1116" spans="1:1">
      <c r="A1116" s="12"/>
    </row>
    <row r="1117" spans="1:1">
      <c r="A1117" s="12" t="s">
        <v>24</v>
      </c>
    </row>
    <row r="1118" spans="1:1">
      <c r="A1118" s="12" t="s">
        <v>24</v>
      </c>
    </row>
    <row r="1119" spans="1:1">
      <c r="A1119" s="12"/>
    </row>
    <row r="1120" spans="1:1">
      <c r="A1120" s="12" t="s">
        <v>24</v>
      </c>
    </row>
    <row r="1121" spans="1:1">
      <c r="A1121" s="12" t="s">
        <v>24</v>
      </c>
    </row>
    <row r="1122" spans="1:1">
      <c r="A1122" s="12"/>
    </row>
    <row r="1123" spans="1:1">
      <c r="A1123" s="12" t="s">
        <v>24</v>
      </c>
    </row>
    <row r="1124" spans="1:1">
      <c r="A1124" s="12" t="s">
        <v>24</v>
      </c>
    </row>
    <row r="1125" spans="1:1">
      <c r="A1125" s="12"/>
    </row>
    <row r="1126" spans="1:1">
      <c r="A1126" s="12" t="s">
        <v>24</v>
      </c>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t="s">
        <v>24</v>
      </c>
    </row>
    <row r="1144" spans="1:1">
      <c r="A1144" s="12"/>
    </row>
    <row r="1145" spans="1:1">
      <c r="A1145" s="12" t="s">
        <v>24</v>
      </c>
    </row>
    <row r="1146" spans="1:1">
      <c r="A1146" s="12" t="s">
        <v>24</v>
      </c>
    </row>
    <row r="1147" spans="1:1">
      <c r="A1147" s="12"/>
    </row>
    <row r="1148" spans="1:1">
      <c r="A1148" s="12" t="s">
        <v>24</v>
      </c>
    </row>
    <row r="1149" spans="1:1">
      <c r="A1149" s="12" t="s">
        <v>24</v>
      </c>
    </row>
    <row r="1150" spans="1:1">
      <c r="A1150" s="12" t="s">
        <v>24</v>
      </c>
    </row>
    <row r="1151" spans="1:1">
      <c r="A1151" s="12" t="s">
        <v>24</v>
      </c>
    </row>
    <row r="1152" spans="1:1">
      <c r="A1152" s="12" t="s">
        <v>24</v>
      </c>
    </row>
    <row r="1153" spans="1:1">
      <c r="A1153" s="12"/>
    </row>
    <row r="1154" spans="1:1">
      <c r="A1154" s="12" t="s">
        <v>24</v>
      </c>
    </row>
    <row r="1155" spans="1:1">
      <c r="A1155" s="12" t="s">
        <v>24</v>
      </c>
    </row>
    <row r="1156" spans="1:1">
      <c r="A1156" s="12" t="s">
        <v>24</v>
      </c>
    </row>
    <row r="1157" spans="1:1">
      <c r="A1157" s="12" t="s">
        <v>24</v>
      </c>
    </row>
    <row r="1158" spans="1:1">
      <c r="A1158" s="12" t="s">
        <v>24</v>
      </c>
    </row>
    <row r="1159" spans="1:1">
      <c r="A1159" s="12" t="s">
        <v>24</v>
      </c>
    </row>
    <row r="1160" spans="1:1">
      <c r="A1160" s="12" t="s">
        <v>24</v>
      </c>
    </row>
    <row r="1161" spans="1:1">
      <c r="A1161" s="12"/>
    </row>
    <row r="1162" spans="1:1">
      <c r="A1162" s="12" t="s">
        <v>24</v>
      </c>
    </row>
    <row r="1163" spans="1:1">
      <c r="A1163" s="12" t="s">
        <v>24</v>
      </c>
    </row>
    <row r="1164" spans="1:1">
      <c r="A1164" s="12" t="s">
        <v>24</v>
      </c>
    </row>
    <row r="1165" spans="1:1">
      <c r="A1165" s="12" t="s">
        <v>24</v>
      </c>
    </row>
    <row r="1166" spans="1:1">
      <c r="A1166" s="12" t="s">
        <v>24</v>
      </c>
    </row>
    <row r="1167" spans="1:1">
      <c r="A1167" s="12" t="s">
        <v>24</v>
      </c>
    </row>
    <row r="1168" spans="1:1">
      <c r="A1168" s="12" t="s">
        <v>24</v>
      </c>
    </row>
    <row r="1169" spans="1:1">
      <c r="A1169" s="12"/>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t="s">
        <v>24</v>
      </c>
    </row>
    <row r="1180" spans="1:1">
      <c r="A1180" s="12" t="s">
        <v>24</v>
      </c>
    </row>
    <row r="1181" spans="1:1">
      <c r="A1181" s="12"/>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row>
    <row r="1189" spans="1:1">
      <c r="A1189" s="12"/>
    </row>
    <row r="1190" spans="1:1">
      <c r="A1190" s="12" t="s">
        <v>24</v>
      </c>
    </row>
    <row r="1191" spans="1:1">
      <c r="A1191" s="12" t="s">
        <v>24</v>
      </c>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t="s">
        <v>24</v>
      </c>
    </row>
    <row r="1215" spans="1:1">
      <c r="A1215" s="12" t="s">
        <v>24</v>
      </c>
    </row>
    <row r="1216" spans="1:1">
      <c r="A1216" s="12" t="s">
        <v>24</v>
      </c>
    </row>
    <row r="1217" spans="1:1">
      <c r="A1217" s="12" t="s">
        <v>24</v>
      </c>
    </row>
    <row r="1218" spans="1:1">
      <c r="A1218" s="12" t="s">
        <v>24</v>
      </c>
    </row>
    <row r="1219" spans="1:1">
      <c r="A1219" s="12"/>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row>
    <row r="1227" spans="1:1">
      <c r="A1227" s="12" t="s">
        <v>24</v>
      </c>
    </row>
    <row r="1228" spans="1:1">
      <c r="A1228" s="12" t="s">
        <v>24</v>
      </c>
    </row>
    <row r="1229" spans="1:1">
      <c r="A1229" s="12" t="s">
        <v>24</v>
      </c>
    </row>
    <row r="1230" spans="1:1">
      <c r="A1230" s="12"/>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row>
    <row r="1316" spans="1:1">
      <c r="A1316" s="12" t="s">
        <v>24</v>
      </c>
    </row>
    <row r="1317" spans="1:1">
      <c r="A1317" s="12" t="s">
        <v>24</v>
      </c>
    </row>
    <row r="1318" spans="1:1">
      <c r="A1318" s="12"/>
    </row>
    <row r="1319" spans="1:1">
      <c r="A1319" s="12" t="s">
        <v>24</v>
      </c>
    </row>
    <row r="1320" spans="1:1">
      <c r="A1320" s="12" t="s">
        <v>24</v>
      </c>
    </row>
    <row r="1321" spans="1:1">
      <c r="A1321" s="12"/>
    </row>
    <row r="1322" spans="1:1">
      <c r="A1322" s="12" t="s">
        <v>24</v>
      </c>
    </row>
    <row r="1323" spans="1:1">
      <c r="A1323" s="12"/>
    </row>
    <row r="1324" spans="1:1">
      <c r="A1324" s="12" t="s">
        <v>24</v>
      </c>
    </row>
    <row r="1325" spans="1:1">
      <c r="A1325" s="12" t="s">
        <v>24</v>
      </c>
    </row>
    <row r="1326" spans="1:1">
      <c r="A1326" s="12" t="s">
        <v>24</v>
      </c>
    </row>
    <row r="1327" spans="1:1">
      <c r="A1327" s="12" t="s">
        <v>24</v>
      </c>
    </row>
    <row r="1328" spans="1:1">
      <c r="A1328" s="12" t="s">
        <v>24</v>
      </c>
    </row>
    <row r="1329" spans="1:1">
      <c r="A1329" s="12"/>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t="s">
        <v>24</v>
      </c>
    </row>
    <row r="1367" spans="1:1">
      <c r="A1367" s="12" t="s">
        <v>24</v>
      </c>
    </row>
    <row r="1368" spans="1:1">
      <c r="A1368" s="12"/>
    </row>
    <row r="1369" spans="1:1">
      <c r="A1369" s="12" t="s">
        <v>24</v>
      </c>
    </row>
    <row r="1370" spans="1:1">
      <c r="A1370" s="12" t="s">
        <v>24</v>
      </c>
    </row>
    <row r="1371" spans="1:1">
      <c r="A1371" s="12" t="s">
        <v>24</v>
      </c>
    </row>
    <row r="1372" spans="1:1">
      <c r="A1372" s="12"/>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row>
    <row r="1394" spans="1:1">
      <c r="A1394" s="12" t="s">
        <v>24</v>
      </c>
    </row>
    <row r="1395" spans="1:1">
      <c r="A1395" s="12" t="s">
        <v>24</v>
      </c>
    </row>
    <row r="1396" spans="1:1">
      <c r="A1396" s="12"/>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t="s">
        <v>24</v>
      </c>
    </row>
    <row r="1441" spans="1:1">
      <c r="A1441" s="12"/>
    </row>
    <row r="1442" spans="1:1">
      <c r="A1442" s="12" t="s">
        <v>24</v>
      </c>
    </row>
    <row r="1443" spans="1:1">
      <c r="A1443" s="12"/>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row>
    <row r="1467" spans="1:1">
      <c r="A1467" s="12" t="s">
        <v>24</v>
      </c>
    </row>
    <row r="1468" spans="1:1">
      <c r="A1468" s="12" t="s">
        <v>24</v>
      </c>
    </row>
    <row r="1469" spans="1:1">
      <c r="A1469" s="12" t="s">
        <v>24</v>
      </c>
    </row>
    <row r="1470" spans="1:1">
      <c r="A1470" s="12" t="s">
        <v>24</v>
      </c>
    </row>
    <row r="1471" spans="1:1">
      <c r="A1471" s="12" t="s">
        <v>24</v>
      </c>
    </row>
    <row r="1472" spans="1:1">
      <c r="A1472" s="12" t="s">
        <v>24</v>
      </c>
    </row>
    <row r="1473" spans="1:1">
      <c r="A1473" s="12"/>
    </row>
    <row r="1474" spans="1:1">
      <c r="A1474" s="12" t="s">
        <v>24</v>
      </c>
    </row>
    <row r="1475" spans="1:1">
      <c r="A1475" s="12" t="s">
        <v>24</v>
      </c>
    </row>
    <row r="1476" spans="1:1">
      <c r="A1476" s="12" t="s">
        <v>24</v>
      </c>
    </row>
    <row r="1477" spans="1:1">
      <c r="A1477" s="12" t="s">
        <v>24</v>
      </c>
    </row>
    <row r="1478" spans="1:1">
      <c r="A1478" s="12" t="s">
        <v>24</v>
      </c>
    </row>
    <row r="1479" spans="1:1">
      <c r="A1479" s="12" t="s">
        <v>24</v>
      </c>
    </row>
    <row r="1480" spans="1:1">
      <c r="A1480" s="12" t="s">
        <v>24</v>
      </c>
    </row>
    <row r="1481" spans="1:1">
      <c r="A1481" s="12" t="s">
        <v>24</v>
      </c>
    </row>
    <row r="1482" spans="1:1">
      <c r="A1482" s="12"/>
    </row>
    <row r="1483" spans="1:1">
      <c r="A1483" s="12" t="s">
        <v>24</v>
      </c>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row>
    <row r="1492" spans="1:1">
      <c r="A1492" s="12" t="s">
        <v>24</v>
      </c>
    </row>
    <row r="1493" spans="1:1">
      <c r="A1493" s="12" t="s">
        <v>24</v>
      </c>
    </row>
    <row r="1494" spans="1:1">
      <c r="A1494" s="12"/>
    </row>
    <row r="1495" spans="1:1">
      <c r="A1495" s="12"/>
    </row>
    <row r="1496" spans="1:1">
      <c r="A1496" s="12" t="s">
        <v>24</v>
      </c>
    </row>
    <row r="1497" spans="1:1">
      <c r="A1497" s="12" t="s">
        <v>24</v>
      </c>
    </row>
    <row r="1498" spans="1:1">
      <c r="A1498" s="12"/>
    </row>
    <row r="1499" spans="1:1">
      <c r="A1499" s="12" t="s">
        <v>24</v>
      </c>
    </row>
    <row r="1500" spans="1:1">
      <c r="A1500" s="12"/>
    </row>
    <row r="1501" spans="1:1">
      <c r="A1501" s="12" t="s">
        <v>24</v>
      </c>
    </row>
    <row r="1502" spans="1:1">
      <c r="A1502" s="12"/>
    </row>
    <row r="1503" spans="1:1">
      <c r="A1503" s="12" t="s">
        <v>24</v>
      </c>
    </row>
    <row r="1504" spans="1:1">
      <c r="A1504" s="12"/>
    </row>
    <row r="1505" spans="1:1">
      <c r="A1505" s="12" t="s">
        <v>24</v>
      </c>
    </row>
    <row r="1506" spans="1:1">
      <c r="A1506" s="12" t="s">
        <v>24</v>
      </c>
    </row>
    <row r="1507" spans="1:1">
      <c r="A1507" s="12" t="s">
        <v>24</v>
      </c>
    </row>
    <row r="1508" spans="1:1">
      <c r="A1508" s="12" t="s">
        <v>24</v>
      </c>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row>
    <row r="1518" spans="1:1">
      <c r="A1518" s="12" t="s">
        <v>24</v>
      </c>
    </row>
    <row r="1519" spans="1:1">
      <c r="A1519" s="12"/>
    </row>
    <row r="1520" spans="1:1">
      <c r="A1520" s="12" t="s">
        <v>24</v>
      </c>
    </row>
    <row r="1521" spans="1:1">
      <c r="A1521" s="12" t="s">
        <v>24</v>
      </c>
    </row>
    <row r="1522" spans="1:1">
      <c r="A1522" s="12" t="s">
        <v>24</v>
      </c>
    </row>
    <row r="1523" spans="1:1">
      <c r="A1523" s="12"/>
    </row>
    <row r="1524" spans="1:1">
      <c r="A1524" s="12" t="s">
        <v>24</v>
      </c>
    </row>
    <row r="1525" spans="1:1">
      <c r="A1525" s="12" t="s">
        <v>24</v>
      </c>
    </row>
    <row r="1526" spans="1:1">
      <c r="A1526" s="12" t="s">
        <v>24</v>
      </c>
    </row>
    <row r="1527" spans="1:1">
      <c r="A1527" s="12" t="s">
        <v>24</v>
      </c>
    </row>
    <row r="1528" spans="1:1">
      <c r="A1528" s="12" t="s">
        <v>24</v>
      </c>
    </row>
    <row r="1529" spans="1:1">
      <c r="A1529" s="12"/>
    </row>
    <row r="1530" spans="1:1">
      <c r="A1530" s="12" t="s">
        <v>24</v>
      </c>
    </row>
    <row r="1531" spans="1:1">
      <c r="A1531" s="12"/>
    </row>
    <row r="1532" spans="1:1">
      <c r="A1532" s="12" t="s">
        <v>24</v>
      </c>
    </row>
    <row r="1533" spans="1:1">
      <c r="A1533" s="12"/>
    </row>
    <row r="1534" spans="1:1">
      <c r="A1534" s="12" t="s">
        <v>24</v>
      </c>
    </row>
    <row r="1535" spans="1:1">
      <c r="A1535" s="12" t="s">
        <v>24</v>
      </c>
    </row>
    <row r="1536" spans="1:1">
      <c r="A1536" s="12" t="s">
        <v>24</v>
      </c>
    </row>
    <row r="1537" spans="1:1">
      <c r="A1537" s="12"/>
    </row>
    <row r="1538" spans="1:1">
      <c r="A1538" s="12" t="s">
        <v>24</v>
      </c>
    </row>
    <row r="1539" spans="1:1">
      <c r="A1539" s="12"/>
    </row>
    <row r="1540" spans="1:1">
      <c r="A1540" s="12" t="s">
        <v>24</v>
      </c>
    </row>
    <row r="1541" spans="1:1">
      <c r="A1541" s="12" t="s">
        <v>24</v>
      </c>
    </row>
    <row r="1542" spans="1:1">
      <c r="A1542" s="12" t="s">
        <v>24</v>
      </c>
    </row>
    <row r="1543" spans="1:1">
      <c r="A1543" s="12" t="s">
        <v>24</v>
      </c>
    </row>
    <row r="1544" spans="1:1">
      <c r="A1544" s="12"/>
    </row>
    <row r="1545" spans="1:1">
      <c r="A1545" s="12" t="s">
        <v>24</v>
      </c>
    </row>
    <row r="1546" spans="1:1">
      <c r="A1546" s="12"/>
    </row>
    <row r="1547" spans="1:1">
      <c r="A1547" s="12" t="s">
        <v>24</v>
      </c>
    </row>
    <row r="1548" spans="1:1">
      <c r="A1548" s="12" t="s">
        <v>24</v>
      </c>
    </row>
    <row r="1549" spans="1:1">
      <c r="A1549" s="12" t="s">
        <v>24</v>
      </c>
    </row>
    <row r="1550" spans="1:1">
      <c r="A1550" s="12" t="s">
        <v>24</v>
      </c>
    </row>
    <row r="1551" spans="1:1">
      <c r="A1551" s="12"/>
    </row>
    <row r="1552" spans="1:1">
      <c r="A1552" s="12" t="s">
        <v>24</v>
      </c>
    </row>
    <row r="1553" spans="1:1">
      <c r="A1553" s="12" t="s">
        <v>24</v>
      </c>
    </row>
    <row r="1554" spans="1:1">
      <c r="A1554" s="12"/>
    </row>
    <row r="1555" spans="1:1">
      <c r="A1555" s="12" t="s">
        <v>24</v>
      </c>
    </row>
    <row r="1556" spans="1:1">
      <c r="A1556" s="12" t="s">
        <v>24</v>
      </c>
    </row>
    <row r="1557" spans="1:1">
      <c r="A1557" s="12" t="s">
        <v>24</v>
      </c>
    </row>
    <row r="1558" spans="1:1">
      <c r="A1558" s="12" t="s">
        <v>24</v>
      </c>
    </row>
    <row r="1559" spans="1:1">
      <c r="A1559" s="12"/>
    </row>
    <row r="1560" spans="1:1">
      <c r="A1560" s="12" t="s">
        <v>24</v>
      </c>
    </row>
    <row r="1561" spans="1:1">
      <c r="A1561" s="12" t="s">
        <v>24</v>
      </c>
    </row>
    <row r="1562" spans="1:1">
      <c r="A1562" s="12"/>
    </row>
    <row r="1563" spans="1:1">
      <c r="A1563" s="12" t="s">
        <v>24</v>
      </c>
    </row>
    <row r="1564" spans="1:1">
      <c r="A1564" s="12"/>
    </row>
    <row r="1565" spans="1:1">
      <c r="A1565" s="12" t="s">
        <v>24</v>
      </c>
    </row>
    <row r="1566" spans="1:1">
      <c r="A1566" s="12"/>
    </row>
    <row r="1567" spans="1:1">
      <c r="A1567" s="12" t="s">
        <v>24</v>
      </c>
    </row>
    <row r="1568" spans="1:1">
      <c r="A1568" s="12"/>
    </row>
    <row r="1569" spans="1:1">
      <c r="A1569" s="12" t="s">
        <v>24</v>
      </c>
    </row>
    <row r="1570" spans="1:1">
      <c r="A1570" s="12"/>
    </row>
    <row r="1571" spans="1:1">
      <c r="A1571" s="12" t="s">
        <v>24</v>
      </c>
    </row>
    <row r="1572" spans="1:1">
      <c r="A1572" s="12"/>
    </row>
    <row r="1573" spans="1:1">
      <c r="A1573" s="12" t="s">
        <v>24</v>
      </c>
    </row>
    <row r="1574" spans="1:1">
      <c r="A1574" s="12" t="s">
        <v>24</v>
      </c>
    </row>
    <row r="1575" spans="1:1">
      <c r="A1575" s="12"/>
    </row>
    <row r="1576" spans="1:1">
      <c r="A1576" s="12" t="s">
        <v>24</v>
      </c>
    </row>
    <row r="1577" spans="1:1">
      <c r="A1577" s="12"/>
    </row>
    <row r="1578" spans="1:1">
      <c r="A1578" s="12" t="s">
        <v>24</v>
      </c>
    </row>
    <row r="1579" spans="1:1">
      <c r="A1579" s="12"/>
    </row>
    <row r="1580" spans="1:1">
      <c r="A1580" s="12" t="s">
        <v>24</v>
      </c>
    </row>
    <row r="1581" spans="1:1">
      <c r="A1581" s="12"/>
    </row>
    <row r="1582" spans="1:1">
      <c r="A1582" s="12" t="s">
        <v>24</v>
      </c>
    </row>
    <row r="1583" spans="1:1">
      <c r="A1583" s="12"/>
    </row>
    <row r="1584" spans="1:1">
      <c r="A1584" s="12" t="s">
        <v>24</v>
      </c>
    </row>
    <row r="1585" spans="1:1">
      <c r="A1585" s="12" t="s">
        <v>24</v>
      </c>
    </row>
    <row r="1586" spans="1:1">
      <c r="A1586" s="12" t="s">
        <v>24</v>
      </c>
    </row>
    <row r="1587" spans="1:1">
      <c r="A1587" s="12"/>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t="s">
        <v>24</v>
      </c>
    </row>
    <row r="1596" spans="1:1">
      <c r="A1596" s="12"/>
    </row>
    <row r="1597" spans="1:1">
      <c r="A1597" s="12" t="s">
        <v>24</v>
      </c>
    </row>
    <row r="1598" spans="1:1">
      <c r="A1598" s="12" t="s">
        <v>24</v>
      </c>
    </row>
    <row r="1599" spans="1:1">
      <c r="A1599" s="12" t="s">
        <v>24</v>
      </c>
    </row>
    <row r="1600" spans="1:1">
      <c r="A1600" s="12"/>
    </row>
    <row r="1601" spans="1:1">
      <c r="A1601" s="12" t="s">
        <v>24</v>
      </c>
    </row>
    <row r="1602" spans="1:1">
      <c r="A1602" s="12"/>
    </row>
    <row r="1603" spans="1:1">
      <c r="A1603" s="12" t="s">
        <v>24</v>
      </c>
    </row>
    <row r="1604" spans="1:1">
      <c r="A1604" s="12" t="s">
        <v>24</v>
      </c>
    </row>
    <row r="1605" spans="1:1">
      <c r="A1605" s="12" t="s">
        <v>24</v>
      </c>
    </row>
    <row r="1606" spans="1:1">
      <c r="A1606" s="12" t="s">
        <v>24</v>
      </c>
    </row>
    <row r="1607" spans="1:1">
      <c r="A1607" s="12" t="s">
        <v>24</v>
      </c>
    </row>
    <row r="1608" spans="1:1">
      <c r="A1608" s="12"/>
    </row>
    <row r="1609" spans="1:1">
      <c r="A1609" s="12" t="s">
        <v>24</v>
      </c>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row>
    <row r="1617" spans="1:1">
      <c r="A1617" s="12" t="s">
        <v>24</v>
      </c>
    </row>
    <row r="1618" spans="1:1">
      <c r="A1618" s="12" t="s">
        <v>24</v>
      </c>
    </row>
    <row r="1619" spans="1:1">
      <c r="A1619" s="12"/>
    </row>
    <row r="1620" spans="1:1">
      <c r="A1620" s="12" t="s">
        <v>24</v>
      </c>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row>
    <row r="1631" spans="1:1">
      <c r="A1631" s="12" t="s">
        <v>24</v>
      </c>
    </row>
    <row r="1632" spans="1:1">
      <c r="A1632" s="12" t="s">
        <v>24</v>
      </c>
    </row>
    <row r="1633" spans="1:1">
      <c r="A1633" s="12"/>
    </row>
    <row r="1634" spans="1:1">
      <c r="A1634" s="12" t="s">
        <v>24</v>
      </c>
    </row>
    <row r="1635" spans="1:1">
      <c r="A1635" s="12" t="s">
        <v>24</v>
      </c>
    </row>
    <row r="1636" spans="1:1">
      <c r="A1636" s="12"/>
    </row>
    <row r="1637" spans="1:1">
      <c r="A1637" s="12" t="s">
        <v>24</v>
      </c>
    </row>
    <row r="1638" spans="1:1">
      <c r="A1638" s="12"/>
    </row>
    <row r="1639" spans="1:1">
      <c r="A1639" s="12" t="s">
        <v>24</v>
      </c>
    </row>
    <row r="1640" spans="1:1">
      <c r="A1640" s="12"/>
    </row>
    <row r="1641" spans="1:1">
      <c r="A1641" s="12" t="s">
        <v>24</v>
      </c>
    </row>
    <row r="1642" spans="1:1">
      <c r="A1642" s="12"/>
    </row>
    <row r="1643" spans="1:1">
      <c r="A1643" s="12" t="s">
        <v>24</v>
      </c>
    </row>
    <row r="1644" spans="1:1">
      <c r="A1644" s="12" t="s">
        <v>24</v>
      </c>
    </row>
    <row r="1645" spans="1:1">
      <c r="A1645" s="12" t="s">
        <v>24</v>
      </c>
    </row>
    <row r="1646" spans="1:1">
      <c r="A1646" s="12"/>
    </row>
    <row r="1647" spans="1:1">
      <c r="A1647" s="12" t="s">
        <v>24</v>
      </c>
    </row>
    <row r="1648" spans="1:1">
      <c r="A1648" s="12" t="s">
        <v>24</v>
      </c>
    </row>
    <row r="1649" spans="1:1">
      <c r="A1649" s="12" t="s">
        <v>24</v>
      </c>
    </row>
    <row r="1650" spans="1:1">
      <c r="A1650" s="12" t="s">
        <v>24</v>
      </c>
    </row>
    <row r="1651" spans="1:1">
      <c r="A1651" s="12" t="s">
        <v>24</v>
      </c>
    </row>
    <row r="1652" spans="1:1">
      <c r="A1652" s="12"/>
    </row>
    <row r="1653" spans="1:1">
      <c r="A1653" s="12" t="s">
        <v>24</v>
      </c>
    </row>
    <row r="1654" spans="1:1">
      <c r="A1654" s="12"/>
    </row>
    <row r="1655" spans="1:1">
      <c r="A1655" s="12" t="s">
        <v>24</v>
      </c>
    </row>
    <row r="1656" spans="1:1">
      <c r="A1656" s="12"/>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row>
    <row r="1664" spans="1:1">
      <c r="A1664" s="12" t="s">
        <v>24</v>
      </c>
    </row>
    <row r="1665" spans="1:1">
      <c r="A1665" s="12"/>
    </row>
    <row r="1666" spans="1:1">
      <c r="A1666" s="12" t="s">
        <v>24</v>
      </c>
    </row>
    <row r="1667" spans="1:1">
      <c r="A1667" s="12" t="s">
        <v>24</v>
      </c>
    </row>
    <row r="1668" spans="1:1">
      <c r="A1668" s="12" t="s">
        <v>24</v>
      </c>
    </row>
    <row r="1669" spans="1:1">
      <c r="A1669" s="12" t="s">
        <v>24</v>
      </c>
    </row>
    <row r="1670" spans="1:1">
      <c r="A1670" s="12" t="s">
        <v>24</v>
      </c>
    </row>
    <row r="1671" spans="1:1">
      <c r="A1671" s="12"/>
    </row>
    <row r="1672" spans="1:1">
      <c r="A1672" s="12" t="s">
        <v>24</v>
      </c>
    </row>
    <row r="1673" spans="1:1">
      <c r="A1673" s="12"/>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row>
    <row r="1683" spans="1:27">
      <c r="A1683" s="12" t="s">
        <v>24</v>
      </c>
    </row>
    <row r="1684" spans="1:27">
      <c r="A1684" s="12" t="s">
        <v>24</v>
      </c>
    </row>
    <row r="1685" spans="1:27">
      <c r="A1685" s="12"/>
    </row>
    <row r="1686" spans="1:27">
      <c r="A1686" s="12" t="s">
        <v>24</v>
      </c>
    </row>
    <row r="1687" spans="1:27">
      <c r="A1687" s="12" t="s">
        <v>24</v>
      </c>
    </row>
    <row r="1688" spans="1:27">
      <c r="A1688" s="12"/>
    </row>
    <row r="1689" spans="1:27">
      <c r="A1689" s="12" t="s">
        <v>24</v>
      </c>
    </row>
    <row r="1690" spans="1:27">
      <c r="A1690" s="12"/>
    </row>
    <row r="1691" spans="1:27">
      <c r="A1691" s="12" t="s">
        <v>24</v>
      </c>
    </row>
    <row r="1692" spans="1:27">
      <c r="A1692" s="12"/>
    </row>
    <row r="1693" spans="1:27">
      <c r="A1693" s="12" t="s">
        <v>24</v>
      </c>
      <c r="AA1693" t="s">
        <v>2978</v>
      </c>
    </row>
    <row r="1694" spans="1:27" ht="15" customHeight="1">
      <c r="A1694" s="12"/>
    </row>
    <row r="1695" spans="1:27" ht="15" customHeight="1">
      <c r="A1695" s="12" t="s">
        <v>24</v>
      </c>
    </row>
    <row r="1696" spans="1:27" ht="15" customHeight="1">
      <c r="A1696" s="12" t="s">
        <v>24</v>
      </c>
    </row>
    <row r="1697" spans="1:1" ht="15" customHeight="1">
      <c r="A1697" s="12"/>
    </row>
    <row r="1698" spans="1:1" ht="15" customHeight="1">
      <c r="A1698" s="12" t="s">
        <v>24</v>
      </c>
    </row>
    <row r="1699" spans="1:1" ht="15" customHeight="1">
      <c r="A1699" s="12" t="s">
        <v>24</v>
      </c>
    </row>
    <row r="1700" spans="1:1" ht="15" customHeight="1">
      <c r="A1700" s="12" t="s">
        <v>24</v>
      </c>
    </row>
    <row r="1701" spans="1:1" ht="15" customHeight="1">
      <c r="A1701" s="12"/>
    </row>
    <row r="1702" spans="1:1" ht="15" customHeight="1">
      <c r="A1702" s="12" t="s">
        <v>24</v>
      </c>
    </row>
    <row r="1703" spans="1:1" ht="15" customHeight="1">
      <c r="A1703" s="12"/>
    </row>
    <row r="1704" spans="1:1" ht="15" customHeight="1">
      <c r="A1704" s="12"/>
    </row>
    <row r="1705" spans="1:1" ht="15" customHeight="1">
      <c r="A1705" s="12" t="s">
        <v>24</v>
      </c>
    </row>
    <row r="1706" spans="1:1" ht="15" customHeight="1">
      <c r="A1706" s="12"/>
    </row>
    <row r="1707" spans="1:1" ht="15" customHeight="1">
      <c r="A1707" s="12" t="s">
        <v>24</v>
      </c>
    </row>
    <row r="1708" spans="1:1" ht="15" customHeight="1">
      <c r="A1708" s="12" t="s">
        <v>24</v>
      </c>
    </row>
    <row r="1709" spans="1:1" ht="15" customHeight="1">
      <c r="A1709" s="12" t="s">
        <v>24</v>
      </c>
    </row>
    <row r="1710" spans="1:1" ht="15" customHeight="1">
      <c r="A1710" t="s">
        <v>2419</v>
      </c>
    </row>
    <row r="1727" spans="1:1" ht="15" customHeight="1">
      <c r="A1727" s="10" t="s">
        <v>2462</v>
      </c>
    </row>
    <row r="1729" spans="1:1" ht="15" customHeight="1">
      <c r="A1729" s="10" t="s">
        <v>2461</v>
      </c>
    </row>
    <row r="1779" spans="2:18" ht="15" customHeight="1">
      <c r="B1779" s="211"/>
    </row>
    <row r="1781" spans="2:18" ht="15" customHeight="1">
      <c r="C1781" s="211"/>
      <c r="D1781" s="211"/>
      <c r="E1781" s="211"/>
      <c r="F1781" s="211"/>
      <c r="G1781" s="211"/>
      <c r="H1781" s="211"/>
      <c r="I1781" s="211"/>
      <c r="J1781" s="211"/>
      <c r="K1781" s="211"/>
      <c r="L1781" s="211"/>
      <c r="M1781" s="211"/>
      <c r="N1781" s="211"/>
      <c r="O1781" s="211"/>
      <c r="P1781" s="211"/>
      <c r="Q1781" s="211"/>
      <c r="R1781" s="211"/>
    </row>
    <row r="1879" spans="1:1" ht="15" customHeight="1">
      <c r="A1879" s="211"/>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6"/>
  <sheetViews>
    <sheetView workbookViewId="0">
      <selection activeCell="S12" sqref="S12"/>
    </sheetView>
  </sheetViews>
  <sheetFormatPr defaultRowHeight="15"/>
  <cols>
    <col min="3" max="3" width="9.140625" style="684"/>
    <col min="23" max="23" width="11.85546875" bestFit="1" customWidth="1"/>
    <col min="24" max="24" width="9.140625" style="185"/>
    <col min="25" max="25" width="9.140625" style="685"/>
    <col min="26" max="26" width="11.85546875" bestFit="1" customWidth="1"/>
  </cols>
  <sheetData>
    <row r="1" spans="14:27">
      <c r="X1"/>
    </row>
    <row r="2" spans="14:27">
      <c r="X2"/>
      <c r="AA2" s="705"/>
    </row>
    <row r="3" spans="14:27">
      <c r="O3" s="776"/>
      <c r="P3" s="776">
        <v>1</v>
      </c>
      <c r="Q3" s="776">
        <v>2</v>
      </c>
      <c r="R3" s="776">
        <v>3</v>
      </c>
      <c r="S3" s="776">
        <v>4</v>
      </c>
      <c r="T3" s="777">
        <v>5</v>
      </c>
      <c r="U3" s="778">
        <v>1</v>
      </c>
      <c r="V3" s="776">
        <f>P6</f>
        <v>0</v>
      </c>
      <c r="W3" s="776"/>
      <c r="X3"/>
    </row>
    <row r="4" spans="14:27">
      <c r="O4" s="776" t="s">
        <v>14708</v>
      </c>
      <c r="P4" s="776">
        <v>100</v>
      </c>
      <c r="Q4" s="776"/>
      <c r="R4" s="776"/>
      <c r="S4" s="776"/>
      <c r="T4" s="777"/>
      <c r="U4" s="778">
        <v>2</v>
      </c>
      <c r="V4" s="776">
        <f>Q6</f>
        <v>0</v>
      </c>
      <c r="W4" s="776" t="s">
        <v>14714</v>
      </c>
      <c r="X4"/>
    </row>
    <row r="5" spans="14:27">
      <c r="O5" s="776" t="s">
        <v>14709</v>
      </c>
      <c r="P5" s="776">
        <v>50</v>
      </c>
      <c r="Q5" s="776"/>
      <c r="R5" s="776"/>
      <c r="S5" s="776"/>
      <c r="T5" s="777"/>
      <c r="U5" s="778">
        <v>3</v>
      </c>
      <c r="V5" s="776" t="str">
        <f>R6</f>
        <v/>
      </c>
      <c r="W5" s="776" t="s">
        <v>14715</v>
      </c>
      <c r="X5"/>
    </row>
    <row r="6" spans="14:27">
      <c r="O6" s="776" t="s">
        <v>14710</v>
      </c>
      <c r="P6" s="776">
        <f>IF($W$20&lt;101,$W$20,Q6)</f>
        <v>0</v>
      </c>
      <c r="Q6" s="776">
        <f>IF(AND($W$19=Q3,$W$20&lt;101),R6,CEILING($W$20/Q3,1))</f>
        <v>0</v>
      </c>
      <c r="R6" s="776" t="str">
        <f>IF($W$19=R3,CEILING($W$20/R3,1),S6)</f>
        <v/>
      </c>
      <c r="S6" s="776" t="str">
        <f>IF($W$19=S3,CEILING($W$20/S3,1),T6)</f>
        <v/>
      </c>
      <c r="T6" s="777" t="str">
        <f>IF($W$19&gt;=T3,CEILING($W$20/T3,1),"")</f>
        <v/>
      </c>
      <c r="U6" s="778">
        <v>4</v>
      </c>
      <c r="V6" s="776" t="str">
        <f>S6</f>
        <v/>
      </c>
      <c r="W6" s="776" t="s">
        <v>14716</v>
      </c>
      <c r="X6"/>
    </row>
    <row r="7" spans="14:27">
      <c r="N7" s="705" t="s">
        <v>14711</v>
      </c>
      <c r="O7" s="776">
        <f>SUM(P7:T7)</f>
        <v>1</v>
      </c>
      <c r="P7" s="776">
        <f>IF(P6&lt;&gt;"",1,"")</f>
        <v>1</v>
      </c>
      <c r="Q7" s="776" t="str">
        <f>IF(Q6&lt;&gt;0,1,"")</f>
        <v/>
      </c>
      <c r="R7" s="776" t="str">
        <f>IF(R6&lt;&gt;"",1,"")</f>
        <v/>
      </c>
      <c r="S7" s="776" t="str">
        <f>IF(S6&lt;&gt;"",1,"")</f>
        <v/>
      </c>
      <c r="T7" s="779" t="str">
        <f>IF(T6&lt;&gt;"",1,"")</f>
        <v/>
      </c>
      <c r="U7" s="778">
        <v>5</v>
      </c>
      <c r="V7" s="776" t="str">
        <f>T6</f>
        <v/>
      </c>
      <c r="W7" s="776" t="s">
        <v>14717</v>
      </c>
      <c r="X7"/>
    </row>
    <row r="8" spans="14:27">
      <c r="N8" s="705"/>
      <c r="X8"/>
    </row>
    <row r="9" spans="14:27">
      <c r="X9"/>
    </row>
    <row r="10" spans="14:27">
      <c r="X10"/>
    </row>
    <row r="11" spans="14:27">
      <c r="X11"/>
    </row>
    <row r="12" spans="14:27">
      <c r="X12"/>
    </row>
    <row r="13" spans="14:27">
      <c r="X13"/>
    </row>
    <row r="14" spans="14:27">
      <c r="O14" s="705"/>
      <c r="X14"/>
    </row>
    <row r="15" spans="14:27">
      <c r="O15" s="705"/>
      <c r="V15" s="705" t="s">
        <v>14731</v>
      </c>
      <c r="W15" s="782">
        <f>SUM(Z:Z)</f>
        <v>0</v>
      </c>
      <c r="X15"/>
    </row>
    <row r="16" spans="14:27">
      <c r="V16" s="705" t="s">
        <v>14732</v>
      </c>
      <c r="W16" s="782">
        <f>SUM(AA:AA)</f>
        <v>0</v>
      </c>
      <c r="X16"/>
    </row>
    <row r="17" spans="1:27">
      <c r="C17" s="698"/>
      <c r="D17" s="699" t="s">
        <v>14687</v>
      </c>
      <c r="E17" s="694" t="e">
        <f>VLOOKUP(1,A:C,3,FALSE)&amp;", ř."&amp;VLOOKUP(1,A:C,2,FALSE)&amp;" - "&amp;VLOOKUP($C$21,A:C,3,FALSE)&amp;", ř."&amp;VLOOKUP($C$21,A:C,2,FALSE)</f>
        <v>#N/A</v>
      </c>
      <c r="F17" s="694"/>
      <c r="G17" s="694"/>
      <c r="X17"/>
    </row>
    <row r="18" spans="1:27">
      <c r="C18" s="695">
        <v>1</v>
      </c>
      <c r="D18" s="690">
        <v>2</v>
      </c>
      <c r="E18" s="690">
        <v>3</v>
      </c>
      <c r="F18" s="690">
        <v>4</v>
      </c>
      <c r="G18" s="690">
        <v>5</v>
      </c>
    </row>
    <row r="19" spans="1:27">
      <c r="C19" s="696" t="str">
        <f>"0 - "&amp;W21-1</f>
        <v>0 - -1</v>
      </c>
      <c r="D19" s="2" t="str">
        <f>W21&amp;" - "&amp;W21+W21-1</f>
        <v>0 - -1</v>
      </c>
      <c r="E19" s="2" t="str">
        <f>W21+W21&amp;" - "&amp;W21*3-1</f>
        <v>0 - -1</v>
      </c>
      <c r="F19" s="2" t="str">
        <f>W21*3&amp;" - "&amp;W21*4-1</f>
        <v>0 - -1</v>
      </c>
      <c r="G19" s="2" t="str">
        <f>W21*4&amp;" - "&amp;W21*5</f>
        <v>0 - 0</v>
      </c>
      <c r="V19" s="705" t="s">
        <v>14712</v>
      </c>
      <c r="W19">
        <f>ROUND($W$20/50,0)</f>
        <v>0</v>
      </c>
      <c r="X19" s="706" t="s">
        <v>14691</v>
      </c>
    </row>
    <row r="20" spans="1:27">
      <c r="C20" s="696">
        <v>0</v>
      </c>
      <c r="D20">
        <f>W21</f>
        <v>0</v>
      </c>
      <c r="E20">
        <f>W21*2</f>
        <v>0</v>
      </c>
      <c r="F20">
        <f>W21*3</f>
        <v>0</v>
      </c>
      <c r="G20">
        <f>W21*4</f>
        <v>0</v>
      </c>
      <c r="V20" s="705" t="s">
        <v>14685</v>
      </c>
      <c r="W20">
        <f>SUM(W22:W1185)</f>
        <v>0</v>
      </c>
      <c r="X20" s="706" t="s">
        <v>12187</v>
      </c>
    </row>
    <row r="21" spans="1:27" s="27" customFormat="1">
      <c r="C21" s="697">
        <f>W21-1</f>
        <v>-1</v>
      </c>
      <c r="D21" s="27">
        <f>W21*2-1</f>
        <v>-1</v>
      </c>
      <c r="E21" s="27">
        <f>W21*3-1</f>
        <v>-1</v>
      </c>
      <c r="F21" s="27">
        <f>W21*4-1</f>
        <v>-1</v>
      </c>
      <c r="G21" s="27">
        <f>W21*5</f>
        <v>0</v>
      </c>
      <c r="V21" s="708" t="s">
        <v>14686</v>
      </c>
      <c r="W21" s="707">
        <f>VLOOKUP(O7,U3:V7,2,FALSE)</f>
        <v>0</v>
      </c>
      <c r="X21" s="781" t="s">
        <v>14692</v>
      </c>
      <c r="Y21" s="112"/>
      <c r="Z21" s="27" t="s">
        <v>14729</v>
      </c>
      <c r="AA21" s="27" t="s">
        <v>14730</v>
      </c>
    </row>
    <row r="22" spans="1:27">
      <c r="A22" t="str">
        <f>W22</f>
        <v/>
      </c>
      <c r="B22">
        <v>22</v>
      </c>
      <c r="C22" s="684" t="s">
        <v>2466</v>
      </c>
      <c r="W22" t="str">
        <f>IF(Y22+1=1,"",1)</f>
        <v/>
      </c>
      <c r="X22" s="185" t="str">
        <f>IF(Y22+1=1,"",Y22)</f>
        <v/>
      </c>
      <c r="Y22" s="685">
        <f>'General price list'!$AB22</f>
        <v>0</v>
      </c>
      <c r="Z22" s="782" t="str">
        <f>IFERROR(X22*VLOOKUP(C22,'General price list'!C:I,7,FALSE),"")</f>
        <v/>
      </c>
      <c r="AA22" s="782" t="str">
        <f>IF(X22&lt;&gt;"",VLOOKUP(C22,'General price list'!C22:AN1203,MATCH("HM",Tabulka1[[#Headers],[KÓD]:[NEQ]],0),FALSE),"")</f>
        <v/>
      </c>
    </row>
    <row r="23" spans="1:27">
      <c r="A23">
        <f>COUNTIF($W$22:W23,1)</f>
        <v>0</v>
      </c>
      <c r="B23">
        <v>23</v>
      </c>
      <c r="C23" s="684" t="s">
        <v>2657</v>
      </c>
      <c r="W23" t="str">
        <f t="shared" ref="W23:W86" si="0">IF(Y23+1=1,"",1)</f>
        <v/>
      </c>
      <c r="X23" s="185" t="str">
        <f>IF(A23&gt;$C$21,"",IF(Y23=0,"",Y23))</f>
        <v/>
      </c>
      <c r="Y23" s="685">
        <f>'General price list'!$AB23</f>
        <v>0</v>
      </c>
      <c r="Z23" t="str">
        <f>IFERROR(X23*VLOOKUP(C23,'General price list'!C:I,7,FALSE),"")</f>
        <v/>
      </c>
      <c r="AA23" t="str">
        <f>IF(X23&lt;&gt;"",VLOOKUP(C23,'General price list'!C23:AN1204,MATCH("HM",Tabulka1[[#Headers],[KÓD]:[NEQ]],0),FALSE),"")</f>
        <v/>
      </c>
    </row>
    <row r="24" spans="1:27">
      <c r="A24">
        <f>COUNTIF($W$22:W24,1)</f>
        <v>0</v>
      </c>
      <c r="B24">
        <v>24</v>
      </c>
      <c r="C24" s="684" t="s">
        <v>2468</v>
      </c>
      <c r="W24" t="str">
        <f t="shared" si="0"/>
        <v/>
      </c>
      <c r="X24" s="185" t="str">
        <f t="shared" ref="X24:X87" si="1">IF(A24&gt;$C$21,"",IF(Y24=0,"",Y24))</f>
        <v/>
      </c>
      <c r="Y24" s="685">
        <f>'General price list'!$AB24</f>
        <v>0</v>
      </c>
      <c r="Z24" t="str">
        <f>IFERROR(X24*VLOOKUP(C24,'General price list'!C:I,7,FALSE),"")</f>
        <v/>
      </c>
      <c r="AA24" t="str">
        <f>IF(X24&lt;&gt;"",VLOOKUP(C24,'General price list'!C24:AN1205,MATCH("HM",Tabulka1[[#Headers],[KÓD]:[NEQ]],0),FALSE),"")</f>
        <v/>
      </c>
    </row>
    <row r="25" spans="1:27">
      <c r="A25">
        <f>COUNTIF($W$22:W25,1)</f>
        <v>0</v>
      </c>
      <c r="B25">
        <v>25</v>
      </c>
      <c r="C25" s="684" t="s">
        <v>2658</v>
      </c>
      <c r="W25" t="str">
        <f t="shared" si="0"/>
        <v/>
      </c>
      <c r="X25" s="185" t="str">
        <f t="shared" si="1"/>
        <v/>
      </c>
      <c r="Y25" s="685">
        <f>'General price list'!$AB25</f>
        <v>0</v>
      </c>
      <c r="Z25" t="str">
        <f>IFERROR(X25*VLOOKUP(C25,'General price list'!C:I,7,FALSE),"")</f>
        <v/>
      </c>
      <c r="AA25" t="str">
        <f>IF(X25&lt;&gt;"",VLOOKUP(C25,'General price list'!C25:AN1206,MATCH("HM",Tabulka1[[#Headers],[KÓD]:[NEQ]],0),FALSE),"")</f>
        <v/>
      </c>
    </row>
    <row r="26" spans="1:27">
      <c r="A26">
        <f>COUNTIF($W$22:W26,1)</f>
        <v>0</v>
      </c>
      <c r="B26">
        <v>26</v>
      </c>
      <c r="C26" s="684" t="s">
        <v>20</v>
      </c>
      <c r="W26" t="str">
        <f t="shared" si="0"/>
        <v/>
      </c>
      <c r="X26" s="185" t="str">
        <f t="shared" si="1"/>
        <v/>
      </c>
      <c r="Y26" s="685">
        <f>'General price list'!$AB26</f>
        <v>0</v>
      </c>
      <c r="Z26" t="str">
        <f>IFERROR(X26*VLOOKUP(C26,'General price list'!C:I,7,FALSE),"")</f>
        <v/>
      </c>
      <c r="AA26" t="str">
        <f>IF(X26&lt;&gt;"",VLOOKUP(C26,'General price list'!C26:AN1207,MATCH("HM",Tabulka1[[#Headers],[KÓD]:[NEQ]],0),FALSE),"")</f>
        <v/>
      </c>
    </row>
    <row r="27" spans="1:27">
      <c r="A27">
        <f>COUNTIF($W$22:W27,1)</f>
        <v>0</v>
      </c>
      <c r="B27">
        <v>27</v>
      </c>
      <c r="C27" s="684" t="s">
        <v>29</v>
      </c>
      <c r="W27" t="str">
        <f t="shared" si="0"/>
        <v/>
      </c>
      <c r="X27" s="185" t="str">
        <f t="shared" si="1"/>
        <v/>
      </c>
      <c r="Y27" s="685">
        <f>'General price list'!$AB27</f>
        <v>0</v>
      </c>
      <c r="Z27" t="str">
        <f>IFERROR(X27*VLOOKUP(C27,'General price list'!C:I,7,FALSE),"")</f>
        <v/>
      </c>
      <c r="AA27" t="str">
        <f>IF(X27&lt;&gt;"",VLOOKUP(C27,'General price list'!C27:AN1208,MATCH("HM",Tabulka1[[#Headers],[KÓD]:[NEQ]],0),FALSE),"")</f>
        <v/>
      </c>
    </row>
    <row r="28" spans="1:27">
      <c r="A28">
        <f>COUNTIF($W$22:W28,1)</f>
        <v>0</v>
      </c>
      <c r="B28">
        <v>28</v>
      </c>
      <c r="C28" s="684" t="s">
        <v>2470</v>
      </c>
      <c r="W28" t="str">
        <f t="shared" si="0"/>
        <v/>
      </c>
      <c r="X28" s="185" t="str">
        <f t="shared" si="1"/>
        <v/>
      </c>
      <c r="Y28" s="685">
        <f>'General price list'!$AB28</f>
        <v>0</v>
      </c>
      <c r="Z28" t="str">
        <f>IFERROR(X28*VLOOKUP(C28,'General price list'!C:I,7,FALSE),"")</f>
        <v/>
      </c>
      <c r="AA28" t="str">
        <f>IF(X28&lt;&gt;"",VLOOKUP(C28,'General price list'!C28:AN1209,MATCH("HM",Tabulka1[[#Headers],[KÓD]:[NEQ]],0),FALSE),"")</f>
        <v/>
      </c>
    </row>
    <row r="29" spans="1:27">
      <c r="A29">
        <f>COUNTIF($W$22:W29,1)</f>
        <v>0</v>
      </c>
      <c r="B29">
        <v>29</v>
      </c>
      <c r="C29" s="684" t="s">
        <v>30</v>
      </c>
      <c r="W29" t="str">
        <f t="shared" si="0"/>
        <v/>
      </c>
      <c r="X29" s="185" t="str">
        <f t="shared" si="1"/>
        <v/>
      </c>
      <c r="Y29" s="685">
        <f>'General price list'!$AB29</f>
        <v>0</v>
      </c>
      <c r="Z29" t="str">
        <f>IFERROR(X29*VLOOKUP(C29,'General price list'!C:I,7,FALSE),"")</f>
        <v/>
      </c>
      <c r="AA29" t="str">
        <f>IF(X29&lt;&gt;"",VLOOKUP(C29,'General price list'!C29:AN1210,MATCH("HM",Tabulka1[[#Headers],[KÓD]:[NEQ]],0),FALSE),"")</f>
        <v/>
      </c>
    </row>
    <row r="30" spans="1:27">
      <c r="A30">
        <f>COUNTIF($W$22:W30,1)</f>
        <v>0</v>
      </c>
      <c r="B30">
        <v>30</v>
      </c>
      <c r="C30" s="684" t="s">
        <v>3189</v>
      </c>
      <c r="W30" t="str">
        <f t="shared" si="0"/>
        <v/>
      </c>
      <c r="X30" s="185" t="str">
        <f t="shared" si="1"/>
        <v/>
      </c>
      <c r="Y30" s="685">
        <f>'General price list'!$AB30</f>
        <v>0</v>
      </c>
      <c r="Z30" t="str">
        <f>IFERROR(X30*VLOOKUP(C30,'General price list'!C:I,7,FALSE),"")</f>
        <v/>
      </c>
      <c r="AA30" t="str">
        <f>IF(X30&lt;&gt;"",VLOOKUP(C30,'General price list'!C30:AN1211,MATCH("HM",Tabulka1[[#Headers],[KÓD]:[NEQ]],0),FALSE),"")</f>
        <v/>
      </c>
    </row>
    <row r="31" spans="1:27">
      <c r="A31">
        <f>COUNTIF($W$22:W31,1)</f>
        <v>0</v>
      </c>
      <c r="B31">
        <v>31</v>
      </c>
      <c r="C31" s="684" t="s">
        <v>36</v>
      </c>
      <c r="W31" t="str">
        <f t="shared" si="0"/>
        <v/>
      </c>
      <c r="X31" s="185" t="str">
        <f t="shared" si="1"/>
        <v/>
      </c>
      <c r="Y31" s="685">
        <f>'General price list'!$AB31</f>
        <v>0</v>
      </c>
      <c r="Z31" t="str">
        <f>IFERROR(X31*VLOOKUP(C31,'General price list'!C:I,7,FALSE),"")</f>
        <v/>
      </c>
      <c r="AA31" t="str">
        <f>IF(X31&lt;&gt;"",VLOOKUP(C31,'General price list'!C31:AN1212,MATCH("HM",Tabulka1[[#Headers],[KÓD]:[NEQ]],0),FALSE),"")</f>
        <v/>
      </c>
    </row>
    <row r="32" spans="1:27">
      <c r="A32">
        <f>COUNTIF($W$22:W32,1)</f>
        <v>0</v>
      </c>
      <c r="B32">
        <v>32</v>
      </c>
      <c r="C32" s="684" t="s">
        <v>41</v>
      </c>
      <c r="W32" t="str">
        <f t="shared" si="0"/>
        <v/>
      </c>
      <c r="X32" s="185" t="str">
        <f t="shared" si="1"/>
        <v/>
      </c>
      <c r="Y32" s="685">
        <f>'General price list'!$AB32</f>
        <v>0</v>
      </c>
      <c r="Z32" t="str">
        <f>IFERROR(X32*VLOOKUP(C32,'General price list'!C:I,7,FALSE),"")</f>
        <v/>
      </c>
      <c r="AA32" t="str">
        <f>IF(X32&lt;&gt;"",VLOOKUP(C32,'General price list'!C32:AN1213,MATCH("HM",Tabulka1[[#Headers],[KÓD]:[NEQ]],0),FALSE),"")</f>
        <v/>
      </c>
    </row>
    <row r="33" spans="1:27">
      <c r="A33">
        <f>COUNTIF($W$22:W33,1)</f>
        <v>0</v>
      </c>
      <c r="B33">
        <v>33</v>
      </c>
      <c r="C33" s="684" t="s">
        <v>43</v>
      </c>
      <c r="W33" t="str">
        <f t="shared" si="0"/>
        <v/>
      </c>
      <c r="X33" s="185" t="str">
        <f t="shared" si="1"/>
        <v/>
      </c>
      <c r="Y33" s="685">
        <f>'General price list'!$AB33</f>
        <v>0</v>
      </c>
      <c r="Z33" t="str">
        <f>IFERROR(X33*VLOOKUP(C33,'General price list'!C:I,7,FALSE),"")</f>
        <v/>
      </c>
      <c r="AA33" t="str">
        <f>IF(X33&lt;&gt;"",VLOOKUP(C33,'General price list'!C33:AN1214,MATCH("HM",Tabulka1[[#Headers],[KÓD]:[NEQ]],0),FALSE),"")</f>
        <v/>
      </c>
    </row>
    <row r="34" spans="1:27">
      <c r="A34">
        <f>COUNTIF($W$22:W34,1)</f>
        <v>0</v>
      </c>
      <c r="B34">
        <v>34</v>
      </c>
      <c r="C34" s="684" t="s">
        <v>11995</v>
      </c>
      <c r="W34" t="str">
        <f t="shared" si="0"/>
        <v/>
      </c>
      <c r="X34" s="185" t="str">
        <f t="shared" si="1"/>
        <v/>
      </c>
      <c r="Y34" s="685">
        <f>'General price list'!$AB34</f>
        <v>0</v>
      </c>
      <c r="Z34" t="str">
        <f>IFERROR(X34*VLOOKUP(C34,'General price list'!C:I,7,FALSE),"")</f>
        <v/>
      </c>
      <c r="AA34" t="str">
        <f>IF(X34&lt;&gt;"",VLOOKUP(C34,'General price list'!C34:AN1215,MATCH("HM",Tabulka1[[#Headers],[KÓD]:[NEQ]],0),FALSE),"")</f>
        <v/>
      </c>
    </row>
    <row r="35" spans="1:27">
      <c r="A35">
        <f>COUNTIF($W$22:W35,1)</f>
        <v>0</v>
      </c>
      <c r="B35">
        <v>35</v>
      </c>
      <c r="C35" s="684" t="s">
        <v>12352</v>
      </c>
      <c r="W35" t="str">
        <f t="shared" si="0"/>
        <v/>
      </c>
      <c r="X35" s="185" t="str">
        <f t="shared" si="1"/>
        <v/>
      </c>
      <c r="Y35" s="685">
        <f>'General price list'!$AB35</f>
        <v>0</v>
      </c>
      <c r="Z35" t="str">
        <f>IFERROR(X35*VLOOKUP(C35,'General price list'!C:I,7,FALSE),"")</f>
        <v/>
      </c>
      <c r="AA35" t="str">
        <f>IF(X35&lt;&gt;"",VLOOKUP(C35,'General price list'!C35:AN1216,MATCH("HM",Tabulka1[[#Headers],[KÓD]:[NEQ]],0),FALSE),"")</f>
        <v/>
      </c>
    </row>
    <row r="36" spans="1:27">
      <c r="A36">
        <f>COUNTIF($W$22:W36,1)</f>
        <v>0</v>
      </c>
      <c r="B36">
        <v>36</v>
      </c>
      <c r="C36" s="684" t="s">
        <v>12353</v>
      </c>
      <c r="W36" t="str">
        <f t="shared" si="0"/>
        <v/>
      </c>
      <c r="X36" s="185" t="str">
        <f t="shared" si="1"/>
        <v/>
      </c>
      <c r="Y36" s="685">
        <f>'General price list'!$AB36</f>
        <v>0</v>
      </c>
      <c r="Z36" t="str">
        <f>IFERROR(X36*VLOOKUP(C36,'General price list'!C:I,7,FALSE),"")</f>
        <v/>
      </c>
      <c r="AA36" t="str">
        <f>IF(X36&lt;&gt;"",VLOOKUP(C36,'General price list'!C36:AN1217,MATCH("HM",Tabulka1[[#Headers],[KÓD]:[NEQ]],0),FALSE),"")</f>
        <v/>
      </c>
    </row>
    <row r="37" spans="1:27">
      <c r="A37">
        <f>COUNTIF($W$22:W37,1)</f>
        <v>0</v>
      </c>
      <c r="B37">
        <v>37</v>
      </c>
      <c r="C37" s="684" t="s">
        <v>81</v>
      </c>
      <c r="W37" t="str">
        <f t="shared" si="0"/>
        <v/>
      </c>
      <c r="X37" s="185" t="str">
        <f t="shared" si="1"/>
        <v/>
      </c>
      <c r="Y37" s="685">
        <f>'General price list'!$AB37</f>
        <v>0</v>
      </c>
      <c r="Z37" t="str">
        <f>IFERROR(X37*VLOOKUP(C37,'General price list'!C:I,7,FALSE),"")</f>
        <v/>
      </c>
      <c r="AA37" t="str">
        <f>IF(X37&lt;&gt;"",VLOOKUP(C37,'General price list'!C37:AN1218,MATCH("HM",Tabulka1[[#Headers],[KÓD]:[NEQ]],0),FALSE),"")</f>
        <v/>
      </c>
    </row>
    <row r="38" spans="1:27">
      <c r="A38">
        <f>COUNTIF($W$22:W38,1)</f>
        <v>0</v>
      </c>
      <c r="B38">
        <v>38</v>
      </c>
      <c r="C38" s="684" t="s">
        <v>87</v>
      </c>
      <c r="W38" t="str">
        <f t="shared" si="0"/>
        <v/>
      </c>
      <c r="X38" s="185" t="str">
        <f t="shared" si="1"/>
        <v/>
      </c>
      <c r="Y38" s="685">
        <f>'General price list'!$AB38</f>
        <v>0</v>
      </c>
      <c r="Z38" t="str">
        <f>IFERROR(X38*VLOOKUP(C38,'General price list'!C:I,7,FALSE),"")</f>
        <v/>
      </c>
      <c r="AA38" t="str">
        <f>IF(X38&lt;&gt;"",VLOOKUP(C38,'General price list'!C38:AN1219,MATCH("HM",Tabulka1[[#Headers],[KÓD]:[NEQ]],0),FALSE),"")</f>
        <v/>
      </c>
    </row>
    <row r="39" spans="1:27">
      <c r="A39">
        <f>COUNTIF($W$22:W39,1)</f>
        <v>0</v>
      </c>
      <c r="B39">
        <v>39</v>
      </c>
      <c r="C39" s="684" t="s">
        <v>93</v>
      </c>
      <c r="W39" t="str">
        <f t="shared" si="0"/>
        <v/>
      </c>
      <c r="X39" s="185" t="str">
        <f t="shared" si="1"/>
        <v/>
      </c>
      <c r="Y39" s="685">
        <f>'General price list'!$AB39</f>
        <v>0</v>
      </c>
      <c r="Z39" t="str">
        <f>IFERROR(X39*VLOOKUP(C39,'General price list'!C:I,7,FALSE),"")</f>
        <v/>
      </c>
      <c r="AA39" t="str">
        <f>IF(X39&lt;&gt;"",VLOOKUP(C39,'General price list'!C39:AN1220,MATCH("HM",Tabulka1[[#Headers],[KÓD]:[NEQ]],0),FALSE),"")</f>
        <v/>
      </c>
    </row>
    <row r="40" spans="1:27">
      <c r="A40">
        <f>COUNTIF($W$22:W40,1)</f>
        <v>0</v>
      </c>
      <c r="B40">
        <v>40</v>
      </c>
      <c r="C40" s="684" t="s">
        <v>4579</v>
      </c>
      <c r="W40" t="str">
        <f t="shared" si="0"/>
        <v/>
      </c>
      <c r="X40" s="185" t="str">
        <f t="shared" si="1"/>
        <v/>
      </c>
      <c r="Y40" s="685">
        <f>'General price list'!$AB40</f>
        <v>0</v>
      </c>
      <c r="Z40" t="str">
        <f>IFERROR(X40*VLOOKUP(C40,'General price list'!C:I,7,FALSE),"")</f>
        <v/>
      </c>
      <c r="AA40" t="str">
        <f>IF(X40&lt;&gt;"",VLOOKUP(C40,'General price list'!C40:AN1221,MATCH("HM",Tabulka1[[#Headers],[KÓD]:[NEQ]],0),FALSE),"")</f>
        <v/>
      </c>
    </row>
    <row r="41" spans="1:27">
      <c r="A41">
        <f>COUNTIF($W$22:W41,1)</f>
        <v>0</v>
      </c>
      <c r="B41">
        <v>41</v>
      </c>
      <c r="C41" s="684" t="s">
        <v>99</v>
      </c>
      <c r="W41" t="str">
        <f t="shared" si="0"/>
        <v/>
      </c>
      <c r="X41" s="185" t="str">
        <f t="shared" si="1"/>
        <v/>
      </c>
      <c r="Y41" s="685">
        <f>'General price list'!$AB41</f>
        <v>0</v>
      </c>
      <c r="Z41" t="str">
        <f>IFERROR(X41*VLOOKUP(C41,'General price list'!C:I,7,FALSE),"")</f>
        <v/>
      </c>
      <c r="AA41" t="str">
        <f>IF(X41&lt;&gt;"",VLOOKUP(C41,'General price list'!C41:AN1222,MATCH("HM",Tabulka1[[#Headers],[KÓD]:[NEQ]],0),FALSE),"")</f>
        <v/>
      </c>
    </row>
    <row r="42" spans="1:27">
      <c r="A42">
        <f>COUNTIF($W$22:W42,1)</f>
        <v>0</v>
      </c>
      <c r="B42">
        <v>42</v>
      </c>
      <c r="C42" s="684" t="s">
        <v>104</v>
      </c>
      <c r="W42" t="str">
        <f t="shared" si="0"/>
        <v/>
      </c>
      <c r="X42" s="185" t="str">
        <f t="shared" si="1"/>
        <v/>
      </c>
      <c r="Y42" s="685">
        <f>'General price list'!$AB42</f>
        <v>0</v>
      </c>
      <c r="Z42" t="str">
        <f>IFERROR(X42*VLOOKUP(C42,'General price list'!C:I,7,FALSE),"")</f>
        <v/>
      </c>
      <c r="AA42" t="str">
        <f>IF(X42&lt;&gt;"",VLOOKUP(C42,'General price list'!C42:AN1223,MATCH("HM",Tabulka1[[#Headers],[KÓD]:[NEQ]],0),FALSE),"")</f>
        <v/>
      </c>
    </row>
    <row r="43" spans="1:27">
      <c r="A43">
        <f>COUNTIF($W$22:W43,1)</f>
        <v>0</v>
      </c>
      <c r="B43">
        <v>43</v>
      </c>
      <c r="C43" s="684" t="s">
        <v>3229</v>
      </c>
      <c r="W43" t="str">
        <f t="shared" si="0"/>
        <v/>
      </c>
      <c r="X43" s="185" t="str">
        <f t="shared" si="1"/>
        <v/>
      </c>
      <c r="Y43" s="685">
        <f>'General price list'!$AB43</f>
        <v>0</v>
      </c>
      <c r="Z43" t="str">
        <f>IFERROR(X43*VLOOKUP(C43,'General price list'!C:I,7,FALSE),"")</f>
        <v/>
      </c>
      <c r="AA43" t="str">
        <f>IF(X43&lt;&gt;"",VLOOKUP(C43,'General price list'!C43:AN1224,MATCH("HM",Tabulka1[[#Headers],[KÓD]:[NEQ]],0),FALSE),"")</f>
        <v/>
      </c>
    </row>
    <row r="44" spans="1:27">
      <c r="A44">
        <f>COUNTIF($W$22:W44,1)</f>
        <v>0</v>
      </c>
      <c r="B44">
        <v>44</v>
      </c>
      <c r="C44" s="684" t="s">
        <v>105</v>
      </c>
      <c r="W44" t="str">
        <f t="shared" si="0"/>
        <v/>
      </c>
      <c r="X44" s="185" t="str">
        <f t="shared" si="1"/>
        <v/>
      </c>
      <c r="Y44" s="685">
        <f>'General price list'!$AB44</f>
        <v>0</v>
      </c>
      <c r="Z44" t="str">
        <f>IFERROR(X44*VLOOKUP(C44,'General price list'!C:I,7,FALSE),"")</f>
        <v/>
      </c>
      <c r="AA44" t="str">
        <f>IF(X44&lt;&gt;"",VLOOKUP(C44,'General price list'!C44:AN1225,MATCH("HM",Tabulka1[[#Headers],[KÓD]:[NEQ]],0),FALSE),"")</f>
        <v/>
      </c>
    </row>
    <row r="45" spans="1:27">
      <c r="A45">
        <f>COUNTIF($W$22:W45,1)</f>
        <v>0</v>
      </c>
      <c r="B45">
        <v>45</v>
      </c>
      <c r="C45" s="684" t="s">
        <v>11916</v>
      </c>
      <c r="W45" t="str">
        <f t="shared" si="0"/>
        <v/>
      </c>
      <c r="X45" s="185" t="str">
        <f t="shared" si="1"/>
        <v/>
      </c>
      <c r="Y45" s="685">
        <f>'General price list'!$AB45</f>
        <v>0</v>
      </c>
      <c r="Z45" t="str">
        <f>IFERROR(X45*VLOOKUP(C45,'General price list'!C:I,7,FALSE),"")</f>
        <v/>
      </c>
      <c r="AA45" t="str">
        <f>IF(X45&lt;&gt;"",VLOOKUP(C45,'General price list'!C45:AN1226,MATCH("HM",Tabulka1[[#Headers],[KÓD]:[NEQ]],0),FALSE),"")</f>
        <v/>
      </c>
    </row>
    <row r="46" spans="1:27">
      <c r="A46">
        <f>COUNTIF($W$22:W46,1)</f>
        <v>0</v>
      </c>
      <c r="B46">
        <v>46</v>
      </c>
      <c r="C46" s="684" t="s">
        <v>116</v>
      </c>
      <c r="W46" t="str">
        <f t="shared" si="0"/>
        <v/>
      </c>
      <c r="X46" s="185" t="str">
        <f t="shared" si="1"/>
        <v/>
      </c>
      <c r="Y46" s="685">
        <f>'General price list'!$AB46</f>
        <v>0</v>
      </c>
      <c r="Z46" t="str">
        <f>IFERROR(X46*VLOOKUP(C46,'General price list'!C:I,7,FALSE),"")</f>
        <v/>
      </c>
      <c r="AA46" t="str">
        <f>IF(X46&lt;&gt;"",VLOOKUP(C46,'General price list'!C46:AN1227,MATCH("HM",Tabulka1[[#Headers],[KÓD]:[NEQ]],0),FALSE),"")</f>
        <v/>
      </c>
    </row>
    <row r="47" spans="1:27">
      <c r="A47">
        <f>COUNTIF($W$22:W47,1)</f>
        <v>0</v>
      </c>
      <c r="B47">
        <v>47</v>
      </c>
      <c r="C47" s="684" t="s">
        <v>11999</v>
      </c>
      <c r="W47" t="str">
        <f t="shared" si="0"/>
        <v/>
      </c>
      <c r="X47" s="185" t="str">
        <f t="shared" si="1"/>
        <v/>
      </c>
      <c r="Y47" s="685">
        <f>'General price list'!$AB47</f>
        <v>0</v>
      </c>
      <c r="Z47" t="str">
        <f>IFERROR(X47*VLOOKUP(C47,'General price list'!C:I,7,FALSE),"")</f>
        <v/>
      </c>
      <c r="AA47" t="str">
        <f>IF(X47&lt;&gt;"",VLOOKUP(C47,'General price list'!C47:AN1228,MATCH("HM",Tabulka1[[#Headers],[KÓD]:[NEQ]],0),FALSE),"")</f>
        <v/>
      </c>
    </row>
    <row r="48" spans="1:27">
      <c r="A48">
        <f>COUNTIF($W$22:W48,1)</f>
        <v>0</v>
      </c>
      <c r="B48">
        <v>48</v>
      </c>
      <c r="C48" s="684" t="s">
        <v>118</v>
      </c>
      <c r="W48" t="str">
        <f t="shared" si="0"/>
        <v/>
      </c>
      <c r="X48" s="185" t="str">
        <f t="shared" si="1"/>
        <v/>
      </c>
      <c r="Y48" s="685">
        <f>'General price list'!$AB48</f>
        <v>0</v>
      </c>
      <c r="Z48" t="str">
        <f>IFERROR(X48*VLOOKUP(C48,'General price list'!C:I,7,FALSE),"")</f>
        <v/>
      </c>
      <c r="AA48" t="str">
        <f>IF(X48&lt;&gt;"",VLOOKUP(C48,'General price list'!C48:AN1229,MATCH("HM",Tabulka1[[#Headers],[KÓD]:[NEQ]],0),FALSE),"")</f>
        <v/>
      </c>
    </row>
    <row r="49" spans="1:27">
      <c r="A49">
        <f>COUNTIF($W$22:W49,1)</f>
        <v>0</v>
      </c>
      <c r="B49">
        <v>49</v>
      </c>
      <c r="C49" s="684" t="s">
        <v>124</v>
      </c>
      <c r="W49" t="str">
        <f t="shared" si="0"/>
        <v/>
      </c>
      <c r="X49" s="185" t="str">
        <f t="shared" si="1"/>
        <v/>
      </c>
      <c r="Y49" s="685">
        <f>'General price list'!$AB49</f>
        <v>0</v>
      </c>
      <c r="Z49" t="str">
        <f>IFERROR(X49*VLOOKUP(C49,'General price list'!C:I,7,FALSE),"")</f>
        <v/>
      </c>
      <c r="AA49" t="str">
        <f>IF(X49&lt;&gt;"",VLOOKUP(C49,'General price list'!C49:AN1230,MATCH("HM",Tabulka1[[#Headers],[KÓD]:[NEQ]],0),FALSE),"")</f>
        <v/>
      </c>
    </row>
    <row r="50" spans="1:27">
      <c r="A50">
        <f>COUNTIF($W$22:W50,1)</f>
        <v>0</v>
      </c>
      <c r="B50">
        <v>50</v>
      </c>
      <c r="C50" s="684" t="s">
        <v>2480</v>
      </c>
      <c r="W50" t="str">
        <f t="shared" si="0"/>
        <v/>
      </c>
      <c r="X50" s="185" t="str">
        <f t="shared" si="1"/>
        <v/>
      </c>
      <c r="Y50" s="685">
        <f>'General price list'!$AB50</f>
        <v>0</v>
      </c>
      <c r="Z50" t="str">
        <f>IFERROR(X50*VLOOKUP(C50,'General price list'!C:I,7,FALSE),"")</f>
        <v/>
      </c>
      <c r="AA50" t="str">
        <f>IF(X50&lt;&gt;"",VLOOKUP(C50,'General price list'!C50:AN1231,MATCH("HM",Tabulka1[[#Headers],[KÓD]:[NEQ]],0),FALSE),"")</f>
        <v/>
      </c>
    </row>
    <row r="51" spans="1:27">
      <c r="A51">
        <f>COUNTIF($W$22:W51,1)</f>
        <v>0</v>
      </c>
      <c r="B51">
        <v>51</v>
      </c>
      <c r="C51" s="684" t="s">
        <v>12354</v>
      </c>
      <c r="W51" t="str">
        <f t="shared" si="0"/>
        <v/>
      </c>
      <c r="X51" s="185" t="str">
        <f t="shared" si="1"/>
        <v/>
      </c>
      <c r="Y51" s="685">
        <f>'General price list'!$AB51</f>
        <v>0</v>
      </c>
      <c r="Z51" t="str">
        <f>IFERROR(X51*VLOOKUP(C51,'General price list'!C:I,7,FALSE),"")</f>
        <v/>
      </c>
      <c r="AA51" t="str">
        <f>IF(X51&lt;&gt;"",VLOOKUP(C51,'General price list'!C51:AN1232,MATCH("HM",Tabulka1[[#Headers],[KÓD]:[NEQ]],0),FALSE),"")</f>
        <v/>
      </c>
    </row>
    <row r="52" spans="1:27">
      <c r="A52">
        <f>COUNTIF($W$22:W52,1)</f>
        <v>0</v>
      </c>
      <c r="B52">
        <v>52</v>
      </c>
      <c r="C52" s="684" t="s">
        <v>129</v>
      </c>
      <c r="W52" t="str">
        <f t="shared" si="0"/>
        <v/>
      </c>
      <c r="X52" s="185" t="str">
        <f t="shared" si="1"/>
        <v/>
      </c>
      <c r="Y52" s="685">
        <f>'General price list'!$AB52</f>
        <v>0</v>
      </c>
      <c r="Z52" t="str">
        <f>IFERROR(X52*VLOOKUP(C52,'General price list'!C:I,7,FALSE),"")</f>
        <v/>
      </c>
      <c r="AA52" t="str">
        <f>IF(X52&lt;&gt;"",VLOOKUP(C52,'General price list'!C52:AN1233,MATCH("HM",Tabulka1[[#Headers],[KÓD]:[NEQ]],0),FALSE),"")</f>
        <v/>
      </c>
    </row>
    <row r="53" spans="1:27">
      <c r="A53">
        <f>COUNTIF($W$22:W53,1)</f>
        <v>0</v>
      </c>
      <c r="B53">
        <v>53</v>
      </c>
      <c r="C53" s="684" t="s">
        <v>132</v>
      </c>
      <c r="W53" t="str">
        <f t="shared" si="0"/>
        <v/>
      </c>
      <c r="X53" s="185" t="str">
        <f t="shared" si="1"/>
        <v/>
      </c>
      <c r="Y53" s="685">
        <f>'General price list'!$AB53</f>
        <v>0</v>
      </c>
      <c r="Z53" t="str">
        <f>IFERROR(X53*VLOOKUP(C53,'General price list'!C:I,7,FALSE),"")</f>
        <v/>
      </c>
      <c r="AA53" t="str">
        <f>IF(X53&lt;&gt;"",VLOOKUP(C53,'General price list'!C53:AN1234,MATCH("HM",Tabulka1[[#Headers],[KÓD]:[NEQ]],0),FALSE),"")</f>
        <v/>
      </c>
    </row>
    <row r="54" spans="1:27">
      <c r="A54">
        <f>COUNTIF($W$22:W54,1)</f>
        <v>0</v>
      </c>
      <c r="B54">
        <v>54</v>
      </c>
      <c r="C54" s="684" t="s">
        <v>133</v>
      </c>
      <c r="W54" t="str">
        <f t="shared" si="0"/>
        <v/>
      </c>
      <c r="X54" s="185" t="str">
        <f t="shared" si="1"/>
        <v/>
      </c>
      <c r="Y54" s="685">
        <f>'General price list'!$AB54</f>
        <v>0</v>
      </c>
      <c r="Z54" t="str">
        <f>IFERROR(X54*VLOOKUP(C54,'General price list'!C:I,7,FALSE),"")</f>
        <v/>
      </c>
      <c r="AA54" t="str">
        <f>IF(X54&lt;&gt;"",VLOOKUP(C54,'General price list'!C54:AN1235,MATCH("HM",Tabulka1[[#Headers],[KÓD]:[NEQ]],0),FALSE),"")</f>
        <v/>
      </c>
    </row>
    <row r="55" spans="1:27">
      <c r="A55">
        <f>COUNTIF($W$22:W55,1)</f>
        <v>0</v>
      </c>
      <c r="B55">
        <v>55</v>
      </c>
      <c r="C55" s="684" t="s">
        <v>135</v>
      </c>
      <c r="W55" t="str">
        <f t="shared" si="0"/>
        <v/>
      </c>
      <c r="X55" s="185" t="str">
        <f t="shared" si="1"/>
        <v/>
      </c>
      <c r="Y55" s="685">
        <f>'General price list'!$AB55</f>
        <v>0</v>
      </c>
      <c r="Z55" t="str">
        <f>IFERROR(X55*VLOOKUP(C55,'General price list'!C:I,7,FALSE),"")</f>
        <v/>
      </c>
      <c r="AA55" t="str">
        <f>IF(X55&lt;&gt;"",VLOOKUP(C55,'General price list'!C55:AN1236,MATCH("HM",Tabulka1[[#Headers],[KÓD]:[NEQ]],0),FALSE),"")</f>
        <v/>
      </c>
    </row>
    <row r="56" spans="1:27">
      <c r="A56">
        <f>COUNTIF($W$22:W56,1)</f>
        <v>0</v>
      </c>
      <c r="B56">
        <v>56</v>
      </c>
      <c r="W56" t="str">
        <f t="shared" si="0"/>
        <v/>
      </c>
      <c r="X56" s="185" t="str">
        <f t="shared" si="1"/>
        <v/>
      </c>
      <c r="Y56" s="685">
        <f>'General price list'!$AB56</f>
        <v>0</v>
      </c>
      <c r="Z56" t="str">
        <f>IFERROR(X56*VLOOKUP(C56,'General price list'!C:I,7,FALSE),"")</f>
        <v/>
      </c>
      <c r="AA56" t="str">
        <f>IF(X56&lt;&gt;"",VLOOKUP(C56,'General price list'!C56:AN1237,MATCH("HM",Tabulka1[[#Headers],[KÓD]:[NEQ]],0),FALSE),"")</f>
        <v/>
      </c>
    </row>
    <row r="57" spans="1:27">
      <c r="A57">
        <f>COUNTIF($W$22:W57,1)</f>
        <v>0</v>
      </c>
      <c r="B57">
        <v>57</v>
      </c>
      <c r="C57" s="684" t="s">
        <v>3275</v>
      </c>
      <c r="W57" t="str">
        <f t="shared" si="0"/>
        <v/>
      </c>
      <c r="X57" s="185" t="str">
        <f t="shared" si="1"/>
        <v/>
      </c>
      <c r="Y57" s="685">
        <f>'General price list'!$AB57</f>
        <v>0</v>
      </c>
      <c r="Z57" t="str">
        <f>IFERROR(X57*VLOOKUP(C57,'General price list'!C:I,7,FALSE),"")</f>
        <v/>
      </c>
      <c r="AA57" t="str">
        <f>IF(X57&lt;&gt;"",VLOOKUP(C57,'General price list'!C57:AN1238,MATCH("HM",Tabulka1[[#Headers],[KÓD]:[NEQ]],0),FALSE),"")</f>
        <v/>
      </c>
    </row>
    <row r="58" spans="1:27">
      <c r="A58">
        <f>COUNTIF($W$22:W58,1)</f>
        <v>0</v>
      </c>
      <c r="B58">
        <v>58</v>
      </c>
      <c r="C58" s="684" t="s">
        <v>11310</v>
      </c>
      <c r="W58" t="str">
        <f t="shared" si="0"/>
        <v/>
      </c>
      <c r="X58" s="185" t="str">
        <f t="shared" si="1"/>
        <v/>
      </c>
      <c r="Y58" s="685">
        <f>'General price list'!$AB58</f>
        <v>0</v>
      </c>
      <c r="Z58" t="str">
        <f>IFERROR(X58*VLOOKUP(C58,'General price list'!C:I,7,FALSE),"")</f>
        <v/>
      </c>
      <c r="AA58" t="str">
        <f>IF(X58&lt;&gt;"",VLOOKUP(C58,'General price list'!C58:AN1239,MATCH("HM",Tabulka1[[#Headers],[KÓD]:[NEQ]],0),FALSE),"")</f>
        <v/>
      </c>
    </row>
    <row r="59" spans="1:27">
      <c r="A59">
        <f>COUNTIF($W$22:W59,1)</f>
        <v>0</v>
      </c>
      <c r="B59">
        <v>59</v>
      </c>
      <c r="C59" s="684" t="s">
        <v>75</v>
      </c>
      <c r="W59" t="str">
        <f t="shared" si="0"/>
        <v/>
      </c>
      <c r="X59" s="185" t="str">
        <f t="shared" si="1"/>
        <v/>
      </c>
      <c r="Y59" s="685">
        <f>'General price list'!$AB59</f>
        <v>0</v>
      </c>
      <c r="Z59" t="str">
        <f>IFERROR(X59*VLOOKUP(C59,'General price list'!C:I,7,FALSE),"")</f>
        <v/>
      </c>
      <c r="AA59" t="str">
        <f>IF(X59&lt;&gt;"",VLOOKUP(C59,'General price list'!C59:AN1240,MATCH("HM",Tabulka1[[#Headers],[KÓD]:[NEQ]],0),FALSE),"")</f>
        <v/>
      </c>
    </row>
    <row r="60" spans="1:27">
      <c r="A60">
        <f>COUNTIF($W$22:W60,1)</f>
        <v>0</v>
      </c>
      <c r="B60">
        <v>60</v>
      </c>
      <c r="C60" s="684" t="s">
        <v>70</v>
      </c>
      <c r="W60" t="str">
        <f t="shared" si="0"/>
        <v/>
      </c>
      <c r="X60" s="185" t="str">
        <f t="shared" si="1"/>
        <v/>
      </c>
      <c r="Y60" s="685">
        <f>'General price list'!$AB60</f>
        <v>0</v>
      </c>
      <c r="Z60" t="str">
        <f>IFERROR(X60*VLOOKUP(C60,'General price list'!C:I,7,FALSE),"")</f>
        <v/>
      </c>
      <c r="AA60" t="str">
        <f>IF(X60&lt;&gt;"",VLOOKUP(C60,'General price list'!C60:AN1241,MATCH("HM",Tabulka1[[#Headers],[KÓD]:[NEQ]],0),FALSE),"")</f>
        <v/>
      </c>
    </row>
    <row r="61" spans="1:27">
      <c r="A61">
        <f>COUNTIF($W$22:W61,1)</f>
        <v>0</v>
      </c>
      <c r="B61">
        <v>61</v>
      </c>
      <c r="C61" s="684" t="s">
        <v>64</v>
      </c>
      <c r="W61" t="str">
        <f t="shared" si="0"/>
        <v/>
      </c>
      <c r="X61" s="185" t="str">
        <f t="shared" si="1"/>
        <v/>
      </c>
      <c r="Y61" s="685">
        <f>'General price list'!$AB61</f>
        <v>0</v>
      </c>
      <c r="Z61" t="str">
        <f>IFERROR(X61*VLOOKUP(C61,'General price list'!C:I,7,FALSE),"")</f>
        <v/>
      </c>
      <c r="AA61" t="str">
        <f>IF(X61&lt;&gt;"",VLOOKUP(C61,'General price list'!C61:AN1242,MATCH("HM",Tabulka1[[#Headers],[KÓD]:[NEQ]],0),FALSE),"")</f>
        <v/>
      </c>
    </row>
    <row r="62" spans="1:27">
      <c r="A62">
        <f>COUNTIF($W$22:W62,1)</f>
        <v>0</v>
      </c>
      <c r="B62">
        <v>62</v>
      </c>
      <c r="C62" s="684" t="s">
        <v>58</v>
      </c>
      <c r="W62" t="str">
        <f t="shared" si="0"/>
        <v/>
      </c>
      <c r="X62" s="185" t="str">
        <f t="shared" si="1"/>
        <v/>
      </c>
      <c r="Y62" s="685">
        <f>'General price list'!$AB62</f>
        <v>0</v>
      </c>
      <c r="Z62" t="str">
        <f>IFERROR(X62*VLOOKUP(C62,'General price list'!C:I,7,FALSE),"")</f>
        <v/>
      </c>
      <c r="AA62" t="str">
        <f>IF(X62&lt;&gt;"",VLOOKUP(C62,'General price list'!C62:AN1243,MATCH("HM",Tabulka1[[#Headers],[KÓD]:[NEQ]],0),FALSE),"")</f>
        <v/>
      </c>
    </row>
    <row r="63" spans="1:27">
      <c r="A63">
        <f>COUNTIF($W$22:W63,1)</f>
        <v>0</v>
      </c>
      <c r="B63">
        <v>63</v>
      </c>
      <c r="C63" s="684" t="s">
        <v>52</v>
      </c>
      <c r="W63" t="str">
        <f t="shared" si="0"/>
        <v/>
      </c>
      <c r="X63" s="185" t="str">
        <f t="shared" si="1"/>
        <v/>
      </c>
      <c r="Y63" s="685">
        <f>'General price list'!$AB63</f>
        <v>0</v>
      </c>
      <c r="Z63" t="str">
        <f>IFERROR(X63*VLOOKUP(C63,'General price list'!C:I,7,FALSE),"")</f>
        <v/>
      </c>
      <c r="AA63" t="str">
        <f>IF(X63&lt;&gt;"",VLOOKUP(C63,'General price list'!C63:AN1244,MATCH("HM",Tabulka1[[#Headers],[KÓD]:[NEQ]],0),FALSE),"")</f>
        <v/>
      </c>
    </row>
    <row r="64" spans="1:27">
      <c r="A64">
        <f>COUNTIF($W$22:W64,1)</f>
        <v>0</v>
      </c>
      <c r="B64">
        <v>64</v>
      </c>
      <c r="C64" s="684" t="s">
        <v>2472</v>
      </c>
      <c r="W64" t="str">
        <f t="shared" si="0"/>
        <v/>
      </c>
      <c r="X64" s="185" t="str">
        <f t="shared" si="1"/>
        <v/>
      </c>
      <c r="Y64" s="685">
        <f>'General price list'!$AB64</f>
        <v>0</v>
      </c>
      <c r="Z64" t="str">
        <f>IFERROR(X64*VLOOKUP(C64,'General price list'!C:I,7,FALSE),"")</f>
        <v/>
      </c>
      <c r="AA64" t="str">
        <f>IF(X64&lt;&gt;"",VLOOKUP(C64,'General price list'!C64:AN1245,MATCH("HM",Tabulka1[[#Headers],[KÓD]:[NEQ]],0),FALSE),"")</f>
        <v/>
      </c>
    </row>
    <row r="65" spans="1:27">
      <c r="A65">
        <f>COUNTIF($W$22:W65,1)</f>
        <v>0</v>
      </c>
      <c r="B65">
        <v>65</v>
      </c>
      <c r="C65" s="684" t="s">
        <v>2474</v>
      </c>
      <c r="W65" t="str">
        <f t="shared" si="0"/>
        <v/>
      </c>
      <c r="X65" s="185" t="str">
        <f t="shared" si="1"/>
        <v/>
      </c>
      <c r="Y65" s="685">
        <f>'General price list'!$AB65</f>
        <v>0</v>
      </c>
      <c r="Z65" t="str">
        <f>IFERROR(X65*VLOOKUP(C65,'General price list'!C:I,7,FALSE),"")</f>
        <v/>
      </c>
      <c r="AA65" t="str">
        <f>IF(X65&lt;&gt;"",VLOOKUP(C65,'General price list'!C65:AN1246,MATCH("HM",Tabulka1[[#Headers],[KÓD]:[NEQ]],0),FALSE),"")</f>
        <v/>
      </c>
    </row>
    <row r="66" spans="1:27">
      <c r="A66">
        <f>COUNTIF($W$22:W66,1)</f>
        <v>0</v>
      </c>
      <c r="B66">
        <v>66</v>
      </c>
      <c r="C66" s="684" t="s">
        <v>2476</v>
      </c>
      <c r="W66" t="str">
        <f t="shared" si="0"/>
        <v/>
      </c>
      <c r="X66" s="185" t="str">
        <f t="shared" si="1"/>
        <v/>
      </c>
      <c r="Y66" s="685">
        <f>'General price list'!$AB66</f>
        <v>0</v>
      </c>
      <c r="Z66" t="str">
        <f>IFERROR(X66*VLOOKUP(C66,'General price list'!C:I,7,FALSE),"")</f>
        <v/>
      </c>
      <c r="AA66" t="str">
        <f>IF(X66&lt;&gt;"",VLOOKUP(C66,'General price list'!C66:AN1247,MATCH("HM",Tabulka1[[#Headers],[KÓD]:[NEQ]],0),FALSE),"")</f>
        <v/>
      </c>
    </row>
    <row r="67" spans="1:27">
      <c r="A67">
        <f>COUNTIF($W$22:W67,1)</f>
        <v>0</v>
      </c>
      <c r="B67">
        <v>67</v>
      </c>
      <c r="C67" s="684" t="s">
        <v>3335</v>
      </c>
      <c r="W67" t="str">
        <f t="shared" si="0"/>
        <v/>
      </c>
      <c r="X67" s="185" t="str">
        <f t="shared" si="1"/>
        <v/>
      </c>
      <c r="Y67" s="685">
        <f>'General price list'!$AB67</f>
        <v>0</v>
      </c>
      <c r="Z67" t="str">
        <f>IFERROR(X67*VLOOKUP(C67,'General price list'!C:I,7,FALSE),"")</f>
        <v/>
      </c>
      <c r="AA67" t="str">
        <f>IF(X67&lt;&gt;"",VLOOKUP(C67,'General price list'!C67:AN1248,MATCH("HM",Tabulka1[[#Headers],[KÓD]:[NEQ]],0),FALSE),"")</f>
        <v/>
      </c>
    </row>
    <row r="68" spans="1:27">
      <c r="A68">
        <f>COUNTIF($W$22:W68,1)</f>
        <v>0</v>
      </c>
      <c r="B68">
        <v>68</v>
      </c>
      <c r="C68" s="684" t="s">
        <v>12724</v>
      </c>
      <c r="W68" t="str">
        <f t="shared" si="0"/>
        <v/>
      </c>
      <c r="X68" s="185" t="str">
        <f t="shared" si="1"/>
        <v/>
      </c>
      <c r="Y68" s="685">
        <f>'General price list'!$AB68</f>
        <v>0</v>
      </c>
      <c r="Z68" t="str">
        <f>IFERROR(X68*VLOOKUP(C68,'General price list'!C:I,7,FALSE),"")</f>
        <v/>
      </c>
      <c r="AA68" t="str">
        <f>IF(X68&lt;&gt;"",VLOOKUP(C68,'General price list'!C68:AN1249,MATCH("HM",Tabulka1[[#Headers],[KÓD]:[NEQ]],0),FALSE),"")</f>
        <v/>
      </c>
    </row>
    <row r="69" spans="1:27">
      <c r="A69">
        <f>COUNTIF($W$22:W69,1)</f>
        <v>0</v>
      </c>
      <c r="B69">
        <v>69</v>
      </c>
      <c r="W69" t="str">
        <f t="shared" si="0"/>
        <v/>
      </c>
      <c r="X69" s="185" t="str">
        <f t="shared" si="1"/>
        <v/>
      </c>
      <c r="Y69" s="685">
        <f>'General price list'!$AB69</f>
        <v>0</v>
      </c>
      <c r="Z69" t="str">
        <f>IFERROR(X69*VLOOKUP(C69,'General price list'!C:I,7,FALSE),"")</f>
        <v/>
      </c>
      <c r="AA69" t="str">
        <f>IF(X69&lt;&gt;"",VLOOKUP(C69,'General price list'!C69:AN1250,MATCH("HM",Tabulka1[[#Headers],[KÓD]:[NEQ]],0),FALSE),"")</f>
        <v/>
      </c>
    </row>
    <row r="70" spans="1:27">
      <c r="A70">
        <f>COUNTIF($W$22:W70,1)</f>
        <v>0</v>
      </c>
      <c r="B70">
        <v>70</v>
      </c>
      <c r="C70" s="684" t="s">
        <v>139</v>
      </c>
      <c r="W70" t="str">
        <f t="shared" si="0"/>
        <v/>
      </c>
      <c r="X70" s="185" t="str">
        <f t="shared" si="1"/>
        <v/>
      </c>
      <c r="Y70" s="685">
        <f>'General price list'!$AB70</f>
        <v>0</v>
      </c>
      <c r="Z70" t="str">
        <f>IFERROR(X70*VLOOKUP(C70,'General price list'!C:I,7,FALSE),"")</f>
        <v/>
      </c>
      <c r="AA70" t="str">
        <f>IF(X70&lt;&gt;"",VLOOKUP(C70,'General price list'!C70:AN1251,MATCH("HM",Tabulka1[[#Headers],[KÓD]:[NEQ]],0),FALSE),"")</f>
        <v/>
      </c>
    </row>
    <row r="71" spans="1:27">
      <c r="A71">
        <f>COUNTIF($W$22:W71,1)</f>
        <v>0</v>
      </c>
      <c r="B71">
        <v>71</v>
      </c>
      <c r="C71" s="684" t="s">
        <v>3351</v>
      </c>
      <c r="W71" t="str">
        <f t="shared" si="0"/>
        <v/>
      </c>
      <c r="X71" s="185" t="str">
        <f t="shared" si="1"/>
        <v/>
      </c>
      <c r="Y71" s="685">
        <f>'General price list'!$AB71</f>
        <v>0</v>
      </c>
      <c r="Z71" t="str">
        <f>IFERROR(X71*VLOOKUP(C71,'General price list'!C:I,7,FALSE),"")</f>
        <v/>
      </c>
      <c r="AA71" t="str">
        <f>IF(X71&lt;&gt;"",VLOOKUP(C71,'General price list'!C71:AN1252,MATCH("HM",Tabulka1[[#Headers],[KÓD]:[NEQ]],0),FALSE),"")</f>
        <v/>
      </c>
    </row>
    <row r="72" spans="1:27">
      <c r="A72">
        <f>COUNTIF($W$22:W72,1)</f>
        <v>0</v>
      </c>
      <c r="B72">
        <v>72</v>
      </c>
      <c r="C72" s="684" t="s">
        <v>144</v>
      </c>
      <c r="W72" t="str">
        <f t="shared" si="0"/>
        <v/>
      </c>
      <c r="X72" s="185" t="str">
        <f t="shared" si="1"/>
        <v/>
      </c>
      <c r="Y72" s="685">
        <f>'General price list'!$AB72</f>
        <v>0</v>
      </c>
      <c r="Z72" t="str">
        <f>IFERROR(X72*VLOOKUP(C72,'General price list'!C:I,7,FALSE),"")</f>
        <v/>
      </c>
      <c r="AA72" t="str">
        <f>IF(X72&lt;&gt;"",VLOOKUP(C72,'General price list'!C72:AN1253,MATCH("HM",Tabulka1[[#Headers],[KÓD]:[NEQ]],0),FALSE),"")</f>
        <v/>
      </c>
    </row>
    <row r="73" spans="1:27">
      <c r="A73">
        <f>COUNTIF($W$22:W73,1)</f>
        <v>0</v>
      </c>
      <c r="B73">
        <v>73</v>
      </c>
      <c r="C73" s="684" t="s">
        <v>2482</v>
      </c>
      <c r="W73" t="str">
        <f t="shared" si="0"/>
        <v/>
      </c>
      <c r="X73" s="185" t="str">
        <f t="shared" si="1"/>
        <v/>
      </c>
      <c r="Y73" s="685">
        <f>'General price list'!$AB73</f>
        <v>0</v>
      </c>
      <c r="Z73" t="str">
        <f>IFERROR(X73*VLOOKUP(C73,'General price list'!C:I,7,FALSE),"")</f>
        <v/>
      </c>
      <c r="AA73" t="str">
        <f>IF(X73&lt;&gt;"",VLOOKUP(C73,'General price list'!C73:AN1254,MATCH("HM",Tabulka1[[#Headers],[KÓD]:[NEQ]],0),FALSE),"")</f>
        <v/>
      </c>
    </row>
    <row r="74" spans="1:27">
      <c r="A74">
        <f>COUNTIF($W$22:W74,1)</f>
        <v>0</v>
      </c>
      <c r="B74">
        <v>74</v>
      </c>
      <c r="W74" t="str">
        <f t="shared" si="0"/>
        <v/>
      </c>
      <c r="X74" s="185" t="str">
        <f t="shared" si="1"/>
        <v/>
      </c>
      <c r="Y74" s="685">
        <f>'General price list'!$AB74</f>
        <v>0</v>
      </c>
      <c r="Z74" t="str">
        <f>IFERROR(X74*VLOOKUP(C74,'General price list'!C:I,7,FALSE),"")</f>
        <v/>
      </c>
      <c r="AA74" t="str">
        <f>IF(X74&lt;&gt;"",VLOOKUP(C74,'General price list'!C74:AN1255,MATCH("HM",Tabulka1[[#Headers],[KÓD]:[NEQ]],0),FALSE),"")</f>
        <v/>
      </c>
    </row>
    <row r="75" spans="1:27">
      <c r="A75">
        <f>COUNTIF($W$22:W75,1)</f>
        <v>0</v>
      </c>
      <c r="B75">
        <v>75</v>
      </c>
      <c r="C75" s="684" t="s">
        <v>151</v>
      </c>
      <c r="W75" t="str">
        <f t="shared" si="0"/>
        <v/>
      </c>
      <c r="X75" s="185" t="str">
        <f t="shared" si="1"/>
        <v/>
      </c>
      <c r="Y75" s="685">
        <f>'General price list'!$AB75</f>
        <v>0</v>
      </c>
      <c r="Z75" t="str">
        <f>IFERROR(X75*VLOOKUP(C75,'General price list'!C:I,7,FALSE),"")</f>
        <v/>
      </c>
      <c r="AA75" t="str">
        <f>IF(X75&lt;&gt;"",VLOOKUP(C75,'General price list'!C75:AN1256,MATCH("HM",Tabulka1[[#Headers],[KÓD]:[NEQ]],0),FALSE),"")</f>
        <v/>
      </c>
    </row>
    <row r="76" spans="1:27">
      <c r="A76">
        <f>COUNTIF($W$22:W76,1)</f>
        <v>0</v>
      </c>
      <c r="B76">
        <v>76</v>
      </c>
      <c r="C76" s="684" t="s">
        <v>156</v>
      </c>
      <c r="W76" t="str">
        <f t="shared" si="0"/>
        <v/>
      </c>
      <c r="X76" s="185" t="str">
        <f t="shared" si="1"/>
        <v/>
      </c>
      <c r="Y76" s="685">
        <f>'General price list'!$AB76</f>
        <v>0</v>
      </c>
      <c r="Z76" t="str">
        <f>IFERROR(X76*VLOOKUP(C76,'General price list'!C:I,7,FALSE),"")</f>
        <v/>
      </c>
      <c r="AA76" t="str">
        <f>IF(X76&lt;&gt;"",VLOOKUP(C76,'General price list'!C76:AN1257,MATCH("HM",Tabulka1[[#Headers],[KÓD]:[NEQ]],0),FALSE),"")</f>
        <v/>
      </c>
    </row>
    <row r="77" spans="1:27">
      <c r="A77">
        <f>COUNTIF($W$22:W77,1)</f>
        <v>0</v>
      </c>
      <c r="B77">
        <v>77</v>
      </c>
      <c r="C77" s="684" t="s">
        <v>164</v>
      </c>
      <c r="W77" t="str">
        <f t="shared" si="0"/>
        <v/>
      </c>
      <c r="X77" s="185" t="str">
        <f t="shared" si="1"/>
        <v/>
      </c>
      <c r="Y77" s="685">
        <f>'General price list'!$AB77</f>
        <v>0</v>
      </c>
      <c r="Z77" t="str">
        <f>IFERROR(X77*VLOOKUP(C77,'General price list'!C:I,7,FALSE),"")</f>
        <v/>
      </c>
      <c r="AA77" t="str">
        <f>IF(X77&lt;&gt;"",VLOOKUP(C77,'General price list'!C77:AN1258,MATCH("HM",Tabulka1[[#Headers],[KÓD]:[NEQ]],0),FALSE),"")</f>
        <v/>
      </c>
    </row>
    <row r="78" spans="1:27">
      <c r="A78">
        <f>COUNTIF($W$22:W78,1)</f>
        <v>0</v>
      </c>
      <c r="B78">
        <v>78</v>
      </c>
      <c r="W78" t="str">
        <f t="shared" si="0"/>
        <v/>
      </c>
      <c r="X78" s="185" t="str">
        <f t="shared" si="1"/>
        <v/>
      </c>
      <c r="Y78" s="685">
        <f>'General price list'!$AB78</f>
        <v>0</v>
      </c>
      <c r="Z78" t="str">
        <f>IFERROR(X78*VLOOKUP(C78,'General price list'!C:I,7,FALSE),"")</f>
        <v/>
      </c>
      <c r="AA78" t="str">
        <f>IF(X78&lt;&gt;"",VLOOKUP(C78,'General price list'!C78:AN1259,MATCH("HM",Tabulka1[[#Headers],[KÓD]:[NEQ]],0),FALSE),"")</f>
        <v/>
      </c>
    </row>
    <row r="79" spans="1:27">
      <c r="A79">
        <f>COUNTIF($W$22:W79,1)</f>
        <v>0</v>
      </c>
      <c r="B79">
        <v>79</v>
      </c>
      <c r="C79" s="684" t="s">
        <v>170</v>
      </c>
      <c r="W79" t="str">
        <f t="shared" si="0"/>
        <v/>
      </c>
      <c r="X79" s="185" t="str">
        <f t="shared" si="1"/>
        <v/>
      </c>
      <c r="Y79" s="685">
        <f>'General price list'!$AB79</f>
        <v>0</v>
      </c>
      <c r="Z79" t="str">
        <f>IFERROR(X79*VLOOKUP(C79,'General price list'!C:I,7,FALSE),"")</f>
        <v/>
      </c>
      <c r="AA79" t="str">
        <f>IF(X79&lt;&gt;"",VLOOKUP(C79,'General price list'!C79:AN1260,MATCH("HM",Tabulka1[[#Headers],[KÓD]:[NEQ]],0),FALSE),"")</f>
        <v/>
      </c>
    </row>
    <row r="80" spans="1:27">
      <c r="A80">
        <f>COUNTIF($W$22:W80,1)</f>
        <v>0</v>
      </c>
      <c r="B80">
        <v>80</v>
      </c>
      <c r="C80" s="684" t="s">
        <v>176</v>
      </c>
      <c r="W80" t="str">
        <f t="shared" si="0"/>
        <v/>
      </c>
      <c r="X80" s="185" t="str">
        <f t="shared" si="1"/>
        <v/>
      </c>
      <c r="Y80" s="685">
        <f>'General price list'!$AB80</f>
        <v>0</v>
      </c>
      <c r="Z80" t="str">
        <f>IFERROR(X80*VLOOKUP(C80,'General price list'!C:I,7,FALSE),"")</f>
        <v/>
      </c>
      <c r="AA80" t="str">
        <f>IF(X80&lt;&gt;"",VLOOKUP(C80,'General price list'!C80:AN1261,MATCH("HM",Tabulka1[[#Headers],[KÓD]:[NEQ]],0),FALSE),"")</f>
        <v/>
      </c>
    </row>
    <row r="81" spans="1:27">
      <c r="A81">
        <f>COUNTIF($W$22:W81,1)</f>
        <v>0</v>
      </c>
      <c r="B81">
        <v>81</v>
      </c>
      <c r="C81" s="684" t="s">
        <v>12002</v>
      </c>
      <c r="W81" t="str">
        <f t="shared" si="0"/>
        <v/>
      </c>
      <c r="X81" s="185" t="str">
        <f t="shared" si="1"/>
        <v/>
      </c>
      <c r="Y81" s="685">
        <f>'General price list'!$AB81</f>
        <v>0</v>
      </c>
      <c r="Z81" t="str">
        <f>IFERROR(X81*VLOOKUP(C81,'General price list'!C:I,7,FALSE),"")</f>
        <v/>
      </c>
      <c r="AA81" t="str">
        <f>IF(X81&lt;&gt;"",VLOOKUP(C81,'General price list'!C81:AN1262,MATCH("HM",Tabulka1[[#Headers],[KÓD]:[NEQ]],0),FALSE),"")</f>
        <v/>
      </c>
    </row>
    <row r="82" spans="1:27">
      <c r="A82">
        <f>COUNTIF($W$22:W82,1)</f>
        <v>0</v>
      </c>
      <c r="B82">
        <v>82</v>
      </c>
      <c r="C82" s="684" t="s">
        <v>182</v>
      </c>
      <c r="W82" t="str">
        <f t="shared" si="0"/>
        <v/>
      </c>
      <c r="X82" s="185" t="str">
        <f t="shared" si="1"/>
        <v/>
      </c>
      <c r="Y82" s="685">
        <f>'General price list'!$AB82</f>
        <v>0</v>
      </c>
      <c r="Z82" t="str">
        <f>IFERROR(X82*VLOOKUP(C82,'General price list'!C:I,7,FALSE),"")</f>
        <v/>
      </c>
      <c r="AA82" t="str">
        <f>IF(X82&lt;&gt;"",VLOOKUP(C82,'General price list'!C82:AN1263,MATCH("HM",Tabulka1[[#Headers],[KÓD]:[NEQ]],0),FALSE),"")</f>
        <v/>
      </c>
    </row>
    <row r="83" spans="1:27">
      <c r="A83">
        <f>COUNTIF($W$22:W83,1)</f>
        <v>0</v>
      </c>
      <c r="B83">
        <v>83</v>
      </c>
      <c r="C83" s="684" t="s">
        <v>187</v>
      </c>
      <c r="W83" t="str">
        <f t="shared" si="0"/>
        <v/>
      </c>
      <c r="X83" s="185" t="str">
        <f t="shared" si="1"/>
        <v/>
      </c>
      <c r="Y83" s="685">
        <f>'General price list'!$AB83</f>
        <v>0</v>
      </c>
      <c r="Z83" t="str">
        <f>IFERROR(X83*VLOOKUP(C83,'General price list'!C:I,7,FALSE),"")</f>
        <v/>
      </c>
      <c r="AA83" t="str">
        <f>IF(X83&lt;&gt;"",VLOOKUP(C83,'General price list'!C83:AN1264,MATCH("HM",Tabulka1[[#Headers],[KÓD]:[NEQ]],0),FALSE),"")</f>
        <v/>
      </c>
    </row>
    <row r="84" spans="1:27">
      <c r="A84">
        <f>COUNTIF($W$22:W84,1)</f>
        <v>0</v>
      </c>
      <c r="B84">
        <v>84</v>
      </c>
      <c r="C84" s="684" t="s">
        <v>12004</v>
      </c>
      <c r="W84" t="str">
        <f t="shared" si="0"/>
        <v/>
      </c>
      <c r="X84" s="185" t="str">
        <f t="shared" si="1"/>
        <v/>
      </c>
      <c r="Y84" s="685">
        <f>'General price list'!$AB84</f>
        <v>0</v>
      </c>
      <c r="Z84" t="str">
        <f>IFERROR(X84*VLOOKUP(C84,'General price list'!C:I,7,FALSE),"")</f>
        <v/>
      </c>
      <c r="AA84" t="str">
        <f>IF(X84&lt;&gt;"",VLOOKUP(C84,'General price list'!C84:AN1265,MATCH("HM",Tabulka1[[#Headers],[KÓD]:[NEQ]],0),FALSE),"")</f>
        <v/>
      </c>
    </row>
    <row r="85" spans="1:27">
      <c r="A85">
        <f>COUNTIF($W$22:W85,1)</f>
        <v>0</v>
      </c>
      <c r="B85">
        <v>85</v>
      </c>
      <c r="C85" s="684" t="s">
        <v>189</v>
      </c>
      <c r="W85" t="str">
        <f t="shared" si="0"/>
        <v/>
      </c>
      <c r="X85" s="185" t="str">
        <f t="shared" si="1"/>
        <v/>
      </c>
      <c r="Y85" s="685">
        <f>'General price list'!$AB85</f>
        <v>0</v>
      </c>
      <c r="Z85" t="str">
        <f>IFERROR(X85*VLOOKUP(C85,'General price list'!C:I,7,FALSE),"")</f>
        <v/>
      </c>
      <c r="AA85" t="str">
        <f>IF(X85&lt;&gt;"",VLOOKUP(C85,'General price list'!C85:AN1266,MATCH("HM",Tabulka1[[#Headers],[KÓD]:[NEQ]],0),FALSE),"")</f>
        <v/>
      </c>
    </row>
    <row r="86" spans="1:27">
      <c r="A86">
        <f>COUNTIF($W$22:W86,1)</f>
        <v>0</v>
      </c>
      <c r="B86">
        <v>86</v>
      </c>
      <c r="C86" s="684" t="s">
        <v>194</v>
      </c>
      <c r="W86" t="str">
        <f t="shared" si="0"/>
        <v/>
      </c>
      <c r="X86" s="185" t="str">
        <f t="shared" si="1"/>
        <v/>
      </c>
      <c r="Y86" s="685">
        <f>'General price list'!$AB86</f>
        <v>0</v>
      </c>
      <c r="Z86" t="str">
        <f>IFERROR(X86*VLOOKUP(C86,'General price list'!C:I,7,FALSE),"")</f>
        <v/>
      </c>
      <c r="AA86" t="str">
        <f>IF(X86&lt;&gt;"",VLOOKUP(C86,'General price list'!C86:AN1267,MATCH("HM",Tabulka1[[#Headers],[KÓD]:[NEQ]],0),FALSE),"")</f>
        <v/>
      </c>
    </row>
    <row r="87" spans="1:27">
      <c r="A87">
        <f>COUNTIF($W$22:W87,1)</f>
        <v>0</v>
      </c>
      <c r="B87">
        <v>87</v>
      </c>
      <c r="C87" s="684" t="s">
        <v>200</v>
      </c>
      <c r="W87" t="str">
        <f t="shared" ref="W87:W150" si="2">IF(Y87+1=1,"",1)</f>
        <v/>
      </c>
      <c r="X87" s="185" t="str">
        <f t="shared" si="1"/>
        <v/>
      </c>
      <c r="Y87" s="685">
        <f>'General price list'!$AB87</f>
        <v>0</v>
      </c>
      <c r="Z87" t="str">
        <f>IFERROR(X87*VLOOKUP(C87,'General price list'!C:I,7,FALSE),"")</f>
        <v/>
      </c>
      <c r="AA87" t="str">
        <f>IF(X87&lt;&gt;"",VLOOKUP(C87,'General price list'!C87:AN1268,MATCH("HM",Tabulka1[[#Headers],[KÓD]:[NEQ]],0),FALSE),"")</f>
        <v/>
      </c>
    </row>
    <row r="88" spans="1:27">
      <c r="A88">
        <f>COUNTIF($W$22:W88,1)</f>
        <v>0</v>
      </c>
      <c r="B88">
        <v>88</v>
      </c>
      <c r="W88" t="str">
        <f t="shared" si="2"/>
        <v/>
      </c>
      <c r="X88" s="185" t="str">
        <f t="shared" ref="X88:X151" si="3">IF(A88&gt;$C$21,"",IF(Y88=0,"",Y88))</f>
        <v/>
      </c>
      <c r="Y88" s="685">
        <f>'General price list'!$AB88</f>
        <v>0</v>
      </c>
      <c r="Z88" t="str">
        <f>IFERROR(X88*VLOOKUP(C88,'General price list'!C:I,7,FALSE),"")</f>
        <v/>
      </c>
      <c r="AA88" t="str">
        <f>IF(X88&lt;&gt;"",VLOOKUP(C88,'General price list'!C88:AN1269,MATCH("HM",Tabulka1[[#Headers],[KÓD]:[NEQ]],0),FALSE),"")</f>
        <v/>
      </c>
    </row>
    <row r="89" spans="1:27">
      <c r="A89">
        <f>COUNTIF($W$22:W89,1)</f>
        <v>0</v>
      </c>
      <c r="B89">
        <v>89</v>
      </c>
      <c r="C89" s="684" t="s">
        <v>201</v>
      </c>
      <c r="W89" t="str">
        <f t="shared" si="2"/>
        <v/>
      </c>
      <c r="X89" s="185" t="str">
        <f t="shared" si="3"/>
        <v/>
      </c>
      <c r="Y89" s="685">
        <f>'General price list'!$AB89</f>
        <v>0</v>
      </c>
      <c r="Z89" t="str">
        <f>IFERROR(X89*VLOOKUP(C89,'General price list'!C:I,7,FALSE),"")</f>
        <v/>
      </c>
      <c r="AA89" t="str">
        <f>IF(X89&lt;&gt;"",VLOOKUP(C89,'General price list'!C89:AN1270,MATCH("HM",Tabulka1[[#Headers],[KÓD]:[NEQ]],0),FALSE),"")</f>
        <v/>
      </c>
    </row>
    <row r="90" spans="1:27">
      <c r="A90">
        <f>COUNTIF($W$22:W90,1)</f>
        <v>0</v>
      </c>
      <c r="B90">
        <v>90</v>
      </c>
      <c r="C90" s="684" t="s">
        <v>204</v>
      </c>
      <c r="W90" t="str">
        <f t="shared" si="2"/>
        <v/>
      </c>
      <c r="X90" s="185" t="str">
        <f t="shared" si="3"/>
        <v/>
      </c>
      <c r="Y90" s="685">
        <f>'General price list'!$AB90</f>
        <v>0</v>
      </c>
      <c r="Z90" t="str">
        <f>IFERROR(X90*VLOOKUP(C90,'General price list'!C:I,7,FALSE),"")</f>
        <v/>
      </c>
      <c r="AA90" t="str">
        <f>IF(X90&lt;&gt;"",VLOOKUP(C90,'General price list'!C90:AN1271,MATCH("HM",Tabulka1[[#Headers],[KÓD]:[NEQ]],0),FALSE),"")</f>
        <v/>
      </c>
    </row>
    <row r="91" spans="1:27">
      <c r="A91">
        <f>COUNTIF($W$22:W91,1)</f>
        <v>0</v>
      </c>
      <c r="B91">
        <v>91</v>
      </c>
      <c r="C91" s="684" t="s">
        <v>214</v>
      </c>
      <c r="W91" t="str">
        <f t="shared" si="2"/>
        <v/>
      </c>
      <c r="X91" s="185" t="str">
        <f t="shared" si="3"/>
        <v/>
      </c>
      <c r="Y91" s="685">
        <f>'General price list'!$AB91</f>
        <v>0</v>
      </c>
      <c r="Z91" t="str">
        <f>IFERROR(X91*VLOOKUP(C91,'General price list'!C:I,7,FALSE),"")</f>
        <v/>
      </c>
      <c r="AA91" t="str">
        <f>IF(X91&lt;&gt;"",VLOOKUP(C91,'General price list'!C91:AN1272,MATCH("HM",Tabulka1[[#Headers],[KÓD]:[NEQ]],0),FALSE),"")</f>
        <v/>
      </c>
    </row>
    <row r="92" spans="1:27">
      <c r="A92">
        <f>COUNTIF($W$22:W92,1)</f>
        <v>0</v>
      </c>
      <c r="B92">
        <v>92</v>
      </c>
      <c r="C92" s="684" t="s">
        <v>221</v>
      </c>
      <c r="W92" t="str">
        <f t="shared" si="2"/>
        <v/>
      </c>
      <c r="X92" s="185" t="str">
        <f t="shared" si="3"/>
        <v/>
      </c>
      <c r="Y92" s="685">
        <f>'General price list'!$AB92</f>
        <v>0</v>
      </c>
      <c r="Z92" t="str">
        <f>IFERROR(X92*VLOOKUP(C92,'General price list'!C:I,7,FALSE),"")</f>
        <v/>
      </c>
      <c r="AA92" t="str">
        <f>IF(X92&lt;&gt;"",VLOOKUP(C92,'General price list'!C92:AN1273,MATCH("HM",Tabulka1[[#Headers],[KÓD]:[NEQ]],0),FALSE),"")</f>
        <v/>
      </c>
    </row>
    <row r="93" spans="1:27">
      <c r="A93">
        <f>COUNTIF($W$22:W93,1)</f>
        <v>0</v>
      </c>
      <c r="B93">
        <v>93</v>
      </c>
      <c r="C93" s="684" t="s">
        <v>226</v>
      </c>
      <c r="W93" t="str">
        <f t="shared" si="2"/>
        <v/>
      </c>
      <c r="X93" s="185" t="str">
        <f t="shared" si="3"/>
        <v/>
      </c>
      <c r="Y93" s="685">
        <f>'General price list'!$AB93</f>
        <v>0</v>
      </c>
      <c r="Z93" t="str">
        <f>IFERROR(X93*VLOOKUP(C93,'General price list'!C:I,7,FALSE),"")</f>
        <v/>
      </c>
      <c r="AA93" t="str">
        <f>IF(X93&lt;&gt;"",VLOOKUP(C93,'General price list'!C93:AN1274,MATCH("HM",Tabulka1[[#Headers],[KÓD]:[NEQ]],0),FALSE),"")</f>
        <v/>
      </c>
    </row>
    <row r="94" spans="1:27">
      <c r="A94">
        <f>COUNTIF($W$22:W94,1)</f>
        <v>0</v>
      </c>
      <c r="B94">
        <v>94</v>
      </c>
      <c r="C94" s="684" t="s">
        <v>231</v>
      </c>
      <c r="W94" t="str">
        <f t="shared" si="2"/>
        <v/>
      </c>
      <c r="X94" s="185" t="str">
        <f t="shared" si="3"/>
        <v/>
      </c>
      <c r="Y94" s="685">
        <f>'General price list'!$AB94</f>
        <v>0</v>
      </c>
      <c r="Z94" t="str">
        <f>IFERROR(X94*VLOOKUP(C94,'General price list'!C:I,7,FALSE),"")</f>
        <v/>
      </c>
      <c r="AA94" t="str">
        <f>IF(X94&lt;&gt;"",VLOOKUP(C94,'General price list'!C94:AN1275,MATCH("HM",Tabulka1[[#Headers],[KÓD]:[NEQ]],0),FALSE),"")</f>
        <v/>
      </c>
    </row>
    <row r="95" spans="1:27">
      <c r="A95">
        <f>COUNTIF($W$22:W95,1)</f>
        <v>0</v>
      </c>
      <c r="B95">
        <v>95</v>
      </c>
      <c r="C95" s="684" t="s">
        <v>2973</v>
      </c>
      <c r="W95" t="str">
        <f t="shared" si="2"/>
        <v/>
      </c>
      <c r="X95" s="185" t="str">
        <f t="shared" si="3"/>
        <v/>
      </c>
      <c r="Y95" s="685">
        <f>'General price list'!$AB95</f>
        <v>0</v>
      </c>
      <c r="Z95" t="str">
        <f>IFERROR(X95*VLOOKUP(C95,'General price list'!C:I,7,FALSE),"")</f>
        <v/>
      </c>
      <c r="AA95" t="str">
        <f>IF(X95&lt;&gt;"",VLOOKUP(C95,'General price list'!C95:AN1276,MATCH("HM",Tabulka1[[#Headers],[KÓD]:[NEQ]],0),FALSE),"")</f>
        <v/>
      </c>
    </row>
    <row r="96" spans="1:27">
      <c r="A96">
        <f>COUNTIF($W$22:W96,1)</f>
        <v>0</v>
      </c>
      <c r="B96">
        <v>96</v>
      </c>
      <c r="W96" t="str">
        <f t="shared" si="2"/>
        <v/>
      </c>
      <c r="X96" s="185" t="str">
        <f t="shared" si="3"/>
        <v/>
      </c>
      <c r="Y96" s="685">
        <f>'General price list'!$AB96</f>
        <v>0</v>
      </c>
      <c r="Z96" t="str">
        <f>IFERROR(X96*VLOOKUP(C96,'General price list'!C:I,7,FALSE),"")</f>
        <v/>
      </c>
      <c r="AA96" t="str">
        <f>IF(X96&lt;&gt;"",VLOOKUP(C96,'General price list'!C96:AN1277,MATCH("HM",Tabulka1[[#Headers],[KÓD]:[NEQ]],0),FALSE),"")</f>
        <v/>
      </c>
    </row>
    <row r="97" spans="1:27">
      <c r="A97">
        <f>COUNTIF($W$22:W97,1)</f>
        <v>0</v>
      </c>
      <c r="B97">
        <v>97</v>
      </c>
      <c r="C97" s="684" t="s">
        <v>237</v>
      </c>
      <c r="W97" t="str">
        <f t="shared" si="2"/>
        <v/>
      </c>
      <c r="X97" s="185" t="str">
        <f t="shared" si="3"/>
        <v/>
      </c>
      <c r="Y97" s="685">
        <f>'General price list'!$AB97</f>
        <v>0</v>
      </c>
      <c r="Z97" t="str">
        <f>IFERROR(X97*VLOOKUP(C97,'General price list'!C:I,7,FALSE),"")</f>
        <v/>
      </c>
      <c r="AA97" t="str">
        <f>IF(X97&lt;&gt;"",VLOOKUP(C97,'General price list'!C97:AN1278,MATCH("HM",Tabulka1[[#Headers],[KÓD]:[NEQ]],0),FALSE),"")</f>
        <v/>
      </c>
    </row>
    <row r="98" spans="1:27">
      <c r="A98">
        <f>COUNTIF($W$22:W98,1)</f>
        <v>0</v>
      </c>
      <c r="B98">
        <v>98</v>
      </c>
      <c r="C98" s="684" t="s">
        <v>13472</v>
      </c>
      <c r="W98" t="str">
        <f t="shared" si="2"/>
        <v/>
      </c>
      <c r="X98" s="185" t="str">
        <f t="shared" si="3"/>
        <v/>
      </c>
      <c r="Y98" s="685">
        <f>'General price list'!$AB98</f>
        <v>0</v>
      </c>
      <c r="Z98" t="str">
        <f>IFERROR(X98*VLOOKUP(C98,'General price list'!C:I,7,FALSE),"")</f>
        <v/>
      </c>
      <c r="AA98" t="str">
        <f>IF(X98&lt;&gt;"",VLOOKUP(C98,'General price list'!C98:AN1279,MATCH("HM",Tabulka1[[#Headers],[KÓD]:[NEQ]],0),FALSE),"")</f>
        <v/>
      </c>
    </row>
    <row r="99" spans="1:27">
      <c r="A99">
        <f>COUNTIF($W$22:W99,1)</f>
        <v>0</v>
      </c>
      <c r="B99">
        <v>99</v>
      </c>
      <c r="C99" s="684" t="s">
        <v>244</v>
      </c>
      <c r="W99" t="str">
        <f t="shared" si="2"/>
        <v/>
      </c>
      <c r="X99" s="185" t="str">
        <f t="shared" si="3"/>
        <v/>
      </c>
      <c r="Y99" s="685">
        <f>'General price list'!$AB99</f>
        <v>0</v>
      </c>
      <c r="Z99" t="str">
        <f>IFERROR(X99*VLOOKUP(C99,'General price list'!C:I,7,FALSE),"")</f>
        <v/>
      </c>
      <c r="AA99" t="str">
        <f>IF(X99&lt;&gt;"",VLOOKUP(C99,'General price list'!C99:AN1280,MATCH("HM",Tabulka1[[#Headers],[KÓD]:[NEQ]],0),FALSE),"")</f>
        <v/>
      </c>
    </row>
    <row r="100" spans="1:27">
      <c r="A100">
        <f>COUNTIF($W$22:W100,1)</f>
        <v>0</v>
      </c>
      <c r="B100">
        <v>100</v>
      </c>
      <c r="C100" s="684" t="s">
        <v>249</v>
      </c>
      <c r="W100" t="str">
        <f t="shared" si="2"/>
        <v/>
      </c>
      <c r="X100" s="185" t="str">
        <f t="shared" si="3"/>
        <v/>
      </c>
      <c r="Y100" s="685">
        <f>'General price list'!$AB100</f>
        <v>0</v>
      </c>
      <c r="Z100" t="str">
        <f>IFERROR(X100*VLOOKUP(C100,'General price list'!C:I,7,FALSE),"")</f>
        <v/>
      </c>
      <c r="AA100" t="str">
        <f>IF(X100&lt;&gt;"",VLOOKUP(C100,'General price list'!C100:AN1281,MATCH("HM",Tabulka1[[#Headers],[KÓD]:[NEQ]],0),FALSE),"")</f>
        <v/>
      </c>
    </row>
    <row r="101" spans="1:27">
      <c r="A101">
        <f>COUNTIF($W$22:W101,1)</f>
        <v>0</v>
      </c>
      <c r="B101">
        <v>101</v>
      </c>
      <c r="C101" s="684" t="s">
        <v>3489</v>
      </c>
      <c r="W101" t="str">
        <f t="shared" si="2"/>
        <v/>
      </c>
      <c r="X101" s="185" t="str">
        <f t="shared" si="3"/>
        <v/>
      </c>
      <c r="Y101" s="685">
        <f>'General price list'!$AB101</f>
        <v>0</v>
      </c>
      <c r="Z101" t="str">
        <f>IFERROR(X101*VLOOKUP(C101,'General price list'!C:I,7,FALSE),"")</f>
        <v/>
      </c>
      <c r="AA101" t="str">
        <f>IF(X101&lt;&gt;"",VLOOKUP(C101,'General price list'!C101:AN1282,MATCH("HM",Tabulka1[[#Headers],[KÓD]:[NEQ]],0),FALSE),"")</f>
        <v/>
      </c>
    </row>
    <row r="102" spans="1:27">
      <c r="A102">
        <f>COUNTIF($W$22:W102,1)</f>
        <v>0</v>
      </c>
      <c r="B102">
        <v>102</v>
      </c>
      <c r="C102" s="684" t="s">
        <v>3490</v>
      </c>
      <c r="W102" t="str">
        <f t="shared" si="2"/>
        <v/>
      </c>
      <c r="X102" s="185" t="str">
        <f t="shared" si="3"/>
        <v/>
      </c>
      <c r="Y102" s="685">
        <f>'General price list'!$AB102</f>
        <v>0</v>
      </c>
      <c r="Z102" t="str">
        <f>IFERROR(X102*VLOOKUP(C102,'General price list'!C:I,7,FALSE),"")</f>
        <v/>
      </c>
      <c r="AA102" t="str">
        <f>IF(X102&lt;&gt;"",VLOOKUP(C102,'General price list'!C102:AN1283,MATCH("HM",Tabulka1[[#Headers],[KÓD]:[NEQ]],0),FALSE),"")</f>
        <v/>
      </c>
    </row>
    <row r="103" spans="1:27">
      <c r="A103">
        <f>COUNTIF($W$22:W103,1)</f>
        <v>0</v>
      </c>
      <c r="B103">
        <v>103</v>
      </c>
      <c r="C103" s="684" t="s">
        <v>2484</v>
      </c>
      <c r="W103" t="str">
        <f t="shared" si="2"/>
        <v/>
      </c>
      <c r="X103" s="185" t="str">
        <f t="shared" si="3"/>
        <v/>
      </c>
      <c r="Y103" s="685">
        <f>'General price list'!$AB103</f>
        <v>0</v>
      </c>
      <c r="Z103" t="str">
        <f>IFERROR(X103*VLOOKUP(C103,'General price list'!C:I,7,FALSE),"")</f>
        <v/>
      </c>
      <c r="AA103" t="str">
        <f>IF(X103&lt;&gt;"",VLOOKUP(C103,'General price list'!C103:AN1284,MATCH("HM",Tabulka1[[#Headers],[KÓD]:[NEQ]],0),FALSE),"")</f>
        <v/>
      </c>
    </row>
    <row r="104" spans="1:27">
      <c r="A104">
        <f>COUNTIF($W$22:W104,1)</f>
        <v>0</v>
      </c>
      <c r="B104">
        <v>104</v>
      </c>
      <c r="C104" s="684" t="s">
        <v>254</v>
      </c>
      <c r="W104" t="str">
        <f t="shared" si="2"/>
        <v/>
      </c>
      <c r="X104" s="185" t="str">
        <f t="shared" si="3"/>
        <v/>
      </c>
      <c r="Y104" s="685">
        <f>'General price list'!$AB104</f>
        <v>0</v>
      </c>
      <c r="Z104" t="str">
        <f>IFERROR(X104*VLOOKUP(C104,'General price list'!C:I,7,FALSE),"")</f>
        <v/>
      </c>
      <c r="AA104" t="str">
        <f>IF(X104&lt;&gt;"",VLOOKUP(C104,'General price list'!C104:AN1285,MATCH("HM",Tabulka1[[#Headers],[KÓD]:[NEQ]],0),FALSE),"")</f>
        <v/>
      </c>
    </row>
    <row r="105" spans="1:27">
      <c r="A105">
        <f>COUNTIF($W$22:W105,1)</f>
        <v>0</v>
      </c>
      <c r="B105">
        <v>105</v>
      </c>
      <c r="C105" s="684" t="s">
        <v>261</v>
      </c>
      <c r="W105" t="str">
        <f t="shared" si="2"/>
        <v/>
      </c>
      <c r="X105" s="185" t="str">
        <f t="shared" si="3"/>
        <v/>
      </c>
      <c r="Y105" s="685">
        <f>'General price list'!$AB105</f>
        <v>0</v>
      </c>
      <c r="Z105" t="str">
        <f>IFERROR(X105*VLOOKUP(C105,'General price list'!C:I,7,FALSE),"")</f>
        <v/>
      </c>
      <c r="AA105" t="str">
        <f>IF(X105&lt;&gt;"",VLOOKUP(C105,'General price list'!C105:AN1286,MATCH("HM",Tabulka1[[#Headers],[KÓD]:[NEQ]],0),FALSE),"")</f>
        <v/>
      </c>
    </row>
    <row r="106" spans="1:27">
      <c r="A106">
        <f>COUNTIF($W$22:W106,1)</f>
        <v>0</v>
      </c>
      <c r="B106">
        <v>106</v>
      </c>
      <c r="C106" s="684" t="s">
        <v>262</v>
      </c>
      <c r="W106" t="str">
        <f t="shared" si="2"/>
        <v/>
      </c>
      <c r="X106" s="185" t="str">
        <f t="shared" si="3"/>
        <v/>
      </c>
      <c r="Y106" s="685">
        <f>'General price list'!$AB106</f>
        <v>0</v>
      </c>
      <c r="Z106" t="str">
        <f>IFERROR(X106*VLOOKUP(C106,'General price list'!C:I,7,FALSE),"")</f>
        <v/>
      </c>
      <c r="AA106" t="str">
        <f>IF(X106&lt;&gt;"",VLOOKUP(C106,'General price list'!C106:AN1287,MATCH("HM",Tabulka1[[#Headers],[KÓD]:[NEQ]],0),FALSE),"")</f>
        <v/>
      </c>
    </row>
    <row r="107" spans="1:27">
      <c r="A107">
        <f>COUNTIF($W$22:W107,1)</f>
        <v>0</v>
      </c>
      <c r="B107">
        <v>107</v>
      </c>
      <c r="C107" s="684" t="s">
        <v>267</v>
      </c>
      <c r="W107" t="str">
        <f t="shared" si="2"/>
        <v/>
      </c>
      <c r="X107" s="185" t="str">
        <f t="shared" si="3"/>
        <v/>
      </c>
      <c r="Y107" s="685">
        <f>'General price list'!$AB107</f>
        <v>0</v>
      </c>
      <c r="Z107" t="str">
        <f>IFERROR(X107*VLOOKUP(C107,'General price list'!C:I,7,FALSE),"")</f>
        <v/>
      </c>
      <c r="AA107" t="str">
        <f>IF(X107&lt;&gt;"",VLOOKUP(C107,'General price list'!C107:AN1288,MATCH("HM",Tabulka1[[#Headers],[KÓD]:[NEQ]],0),FALSE),"")</f>
        <v/>
      </c>
    </row>
    <row r="108" spans="1:27">
      <c r="A108">
        <f>COUNTIF($W$22:W108,1)</f>
        <v>0</v>
      </c>
      <c r="B108">
        <v>108</v>
      </c>
      <c r="C108" s="684" t="s">
        <v>268</v>
      </c>
      <c r="W108" t="str">
        <f t="shared" si="2"/>
        <v/>
      </c>
      <c r="X108" s="185" t="str">
        <f t="shared" si="3"/>
        <v/>
      </c>
      <c r="Y108" s="685">
        <f>'General price list'!$AB108</f>
        <v>0</v>
      </c>
      <c r="Z108" t="str">
        <f>IFERROR(X108*VLOOKUP(C108,'General price list'!C:I,7,FALSE),"")</f>
        <v/>
      </c>
      <c r="AA108" t="str">
        <f>IF(X108&lt;&gt;"",VLOOKUP(C108,'General price list'!C108:AN1289,MATCH("HM",Tabulka1[[#Headers],[KÓD]:[NEQ]],0),FALSE),"")</f>
        <v/>
      </c>
    </row>
    <row r="109" spans="1:27">
      <c r="A109">
        <f>COUNTIF($W$22:W109,1)</f>
        <v>0</v>
      </c>
      <c r="B109">
        <v>109</v>
      </c>
      <c r="C109" s="684" t="s">
        <v>274</v>
      </c>
      <c r="W109" t="str">
        <f t="shared" si="2"/>
        <v/>
      </c>
      <c r="X109" s="185" t="str">
        <f t="shared" si="3"/>
        <v/>
      </c>
      <c r="Y109" s="685">
        <f>'General price list'!$AB109</f>
        <v>0</v>
      </c>
      <c r="Z109" t="str">
        <f>IFERROR(X109*VLOOKUP(C109,'General price list'!C:I,7,FALSE),"")</f>
        <v/>
      </c>
      <c r="AA109" t="str">
        <f>IF(X109&lt;&gt;"",VLOOKUP(C109,'General price list'!C109:AN1290,MATCH("HM",Tabulka1[[#Headers],[KÓD]:[NEQ]],0),FALSE),"")</f>
        <v/>
      </c>
    </row>
    <row r="110" spans="1:27">
      <c r="A110">
        <f>COUNTIF($W$22:W110,1)</f>
        <v>0</v>
      </c>
      <c r="B110">
        <v>110</v>
      </c>
      <c r="C110" s="684" t="s">
        <v>279</v>
      </c>
      <c r="W110" t="str">
        <f t="shared" si="2"/>
        <v/>
      </c>
      <c r="X110" s="185" t="str">
        <f t="shared" si="3"/>
        <v/>
      </c>
      <c r="Y110" s="685">
        <f>'General price list'!$AB110</f>
        <v>0</v>
      </c>
      <c r="Z110" t="str">
        <f>IFERROR(X110*VLOOKUP(C110,'General price list'!C:I,7,FALSE),"")</f>
        <v/>
      </c>
      <c r="AA110" t="str">
        <f>IF(X110&lt;&gt;"",VLOOKUP(C110,'General price list'!C110:AN1291,MATCH("HM",Tabulka1[[#Headers],[KÓD]:[NEQ]],0),FALSE),"")</f>
        <v/>
      </c>
    </row>
    <row r="111" spans="1:27">
      <c r="A111">
        <f>COUNTIF($W$22:W111,1)</f>
        <v>0</v>
      </c>
      <c r="B111">
        <v>111</v>
      </c>
      <c r="C111" s="684" t="s">
        <v>280</v>
      </c>
      <c r="W111" t="str">
        <f t="shared" si="2"/>
        <v/>
      </c>
      <c r="X111" s="185" t="str">
        <f t="shared" si="3"/>
        <v/>
      </c>
      <c r="Y111" s="685">
        <f>'General price list'!$AB111</f>
        <v>0</v>
      </c>
      <c r="Z111" t="str">
        <f>IFERROR(X111*VLOOKUP(C111,'General price list'!C:I,7,FALSE),"")</f>
        <v/>
      </c>
      <c r="AA111" t="str">
        <f>IF(X111&lt;&gt;"",VLOOKUP(C111,'General price list'!C111:AN1292,MATCH("HM",Tabulka1[[#Headers],[KÓD]:[NEQ]],0),FALSE),"")</f>
        <v/>
      </c>
    </row>
    <row r="112" spans="1:27">
      <c r="A112">
        <f>COUNTIF($W$22:W112,1)</f>
        <v>0</v>
      </c>
      <c r="B112">
        <v>112</v>
      </c>
      <c r="C112" s="684" t="s">
        <v>285</v>
      </c>
      <c r="W112" t="str">
        <f t="shared" si="2"/>
        <v/>
      </c>
      <c r="X112" s="185" t="str">
        <f t="shared" si="3"/>
        <v/>
      </c>
      <c r="Y112" s="685">
        <f>'General price list'!$AB112</f>
        <v>0</v>
      </c>
      <c r="Z112" t="str">
        <f>IFERROR(X112*VLOOKUP(C112,'General price list'!C:I,7,FALSE),"")</f>
        <v/>
      </c>
      <c r="AA112" t="str">
        <f>IF(X112&lt;&gt;"",VLOOKUP(C112,'General price list'!C112:AN1293,MATCH("HM",Tabulka1[[#Headers],[KÓD]:[NEQ]],0),FALSE),"")</f>
        <v/>
      </c>
    </row>
    <row r="113" spans="1:27">
      <c r="A113">
        <f>COUNTIF($W$22:W113,1)</f>
        <v>0</v>
      </c>
      <c r="B113">
        <v>113</v>
      </c>
      <c r="C113" s="684" t="s">
        <v>286</v>
      </c>
      <c r="W113" t="str">
        <f t="shared" si="2"/>
        <v/>
      </c>
      <c r="X113" s="185" t="str">
        <f t="shared" si="3"/>
        <v/>
      </c>
      <c r="Y113" s="685">
        <f>'General price list'!$AB113</f>
        <v>0</v>
      </c>
      <c r="Z113" t="str">
        <f>IFERROR(X113*VLOOKUP(C113,'General price list'!C:I,7,FALSE),"")</f>
        <v/>
      </c>
      <c r="AA113" t="str">
        <f>IF(X113&lt;&gt;"",VLOOKUP(C113,'General price list'!C113:AN1294,MATCH("HM",Tabulka1[[#Headers],[KÓD]:[NEQ]],0),FALSE),"")</f>
        <v/>
      </c>
    </row>
    <row r="114" spans="1:27">
      <c r="A114">
        <f>COUNTIF($W$22:W114,1)</f>
        <v>0</v>
      </c>
      <c r="B114">
        <v>114</v>
      </c>
      <c r="C114" s="684" t="s">
        <v>291</v>
      </c>
      <c r="W114" t="str">
        <f t="shared" si="2"/>
        <v/>
      </c>
      <c r="X114" s="185" t="str">
        <f t="shared" si="3"/>
        <v/>
      </c>
      <c r="Y114" s="685">
        <f>'General price list'!$AB114</f>
        <v>0</v>
      </c>
      <c r="Z114" t="str">
        <f>IFERROR(X114*VLOOKUP(C114,'General price list'!C:I,7,FALSE),"")</f>
        <v/>
      </c>
      <c r="AA114" t="str">
        <f>IF(X114&lt;&gt;"",VLOOKUP(C114,'General price list'!C114:AN1295,MATCH("HM",Tabulka1[[#Headers],[KÓD]:[NEQ]],0),FALSE),"")</f>
        <v/>
      </c>
    </row>
    <row r="115" spans="1:27">
      <c r="A115">
        <f>COUNTIF($W$22:W115,1)</f>
        <v>0</v>
      </c>
      <c r="B115">
        <v>115</v>
      </c>
      <c r="C115" s="684" t="s">
        <v>292</v>
      </c>
      <c r="W115" t="str">
        <f t="shared" si="2"/>
        <v/>
      </c>
      <c r="X115" s="185" t="str">
        <f t="shared" si="3"/>
        <v/>
      </c>
      <c r="Y115" s="685">
        <f>'General price list'!$AB115</f>
        <v>0</v>
      </c>
      <c r="Z115" t="str">
        <f>IFERROR(X115*VLOOKUP(C115,'General price list'!C:I,7,FALSE),"")</f>
        <v/>
      </c>
      <c r="AA115" t="str">
        <f>IF(X115&lt;&gt;"",VLOOKUP(C115,'General price list'!C115:AN1296,MATCH("HM",Tabulka1[[#Headers],[KÓD]:[NEQ]],0),FALSE),"")</f>
        <v/>
      </c>
    </row>
    <row r="116" spans="1:27">
      <c r="A116">
        <f>COUNTIF($W$22:W116,1)</f>
        <v>0</v>
      </c>
      <c r="B116">
        <v>116</v>
      </c>
      <c r="C116" s="684" t="s">
        <v>297</v>
      </c>
      <c r="W116" t="str">
        <f t="shared" si="2"/>
        <v/>
      </c>
      <c r="X116" s="185" t="str">
        <f t="shared" si="3"/>
        <v/>
      </c>
      <c r="Y116" s="685">
        <f>'General price list'!$AB116</f>
        <v>0</v>
      </c>
      <c r="Z116" t="str">
        <f>IFERROR(X116*VLOOKUP(C116,'General price list'!C:I,7,FALSE),"")</f>
        <v/>
      </c>
      <c r="AA116" t="str">
        <f>IF(X116&lt;&gt;"",VLOOKUP(C116,'General price list'!C116:AN1297,MATCH("HM",Tabulka1[[#Headers],[KÓD]:[NEQ]],0),FALSE),"")</f>
        <v/>
      </c>
    </row>
    <row r="117" spans="1:27">
      <c r="A117">
        <f>COUNTIF($W$22:W117,1)</f>
        <v>0</v>
      </c>
      <c r="B117">
        <v>117</v>
      </c>
      <c r="C117" s="684" t="s">
        <v>302</v>
      </c>
      <c r="W117" t="str">
        <f t="shared" si="2"/>
        <v/>
      </c>
      <c r="X117" s="185" t="str">
        <f t="shared" si="3"/>
        <v/>
      </c>
      <c r="Y117" s="685">
        <f>'General price list'!$AB117</f>
        <v>0</v>
      </c>
      <c r="Z117" t="str">
        <f>IFERROR(X117*VLOOKUP(C117,'General price list'!C:I,7,FALSE),"")</f>
        <v/>
      </c>
      <c r="AA117" t="str">
        <f>IF(X117&lt;&gt;"",VLOOKUP(C117,'General price list'!C117:AN1298,MATCH("HM",Tabulka1[[#Headers],[KÓD]:[NEQ]],0),FALSE),"")</f>
        <v/>
      </c>
    </row>
    <row r="118" spans="1:27">
      <c r="A118">
        <f>COUNTIF($W$22:W118,1)</f>
        <v>0</v>
      </c>
      <c r="B118">
        <v>118</v>
      </c>
      <c r="W118" t="str">
        <f t="shared" si="2"/>
        <v/>
      </c>
      <c r="X118" s="185" t="str">
        <f t="shared" si="3"/>
        <v/>
      </c>
      <c r="Y118" s="685">
        <f>'General price list'!$AB118</f>
        <v>0</v>
      </c>
      <c r="Z118" t="str">
        <f>IFERROR(X118*VLOOKUP(C118,'General price list'!C:I,7,FALSE),"")</f>
        <v/>
      </c>
      <c r="AA118" t="str">
        <f>IF(X118&lt;&gt;"",VLOOKUP(C118,'General price list'!C118:AN1299,MATCH("HM",Tabulka1[[#Headers],[KÓD]:[NEQ]],0),FALSE),"")</f>
        <v/>
      </c>
    </row>
    <row r="119" spans="1:27">
      <c r="A119">
        <f>COUNTIF($W$22:W119,1)</f>
        <v>0</v>
      </c>
      <c r="B119">
        <v>119</v>
      </c>
      <c r="C119" s="684" t="s">
        <v>12355</v>
      </c>
      <c r="W119" t="str">
        <f t="shared" si="2"/>
        <v/>
      </c>
      <c r="X119" s="185" t="str">
        <f t="shared" si="3"/>
        <v/>
      </c>
      <c r="Y119" s="685">
        <f>'General price list'!$AB119</f>
        <v>0</v>
      </c>
      <c r="Z119" t="str">
        <f>IFERROR(X119*VLOOKUP(C119,'General price list'!C:I,7,FALSE),"")</f>
        <v/>
      </c>
      <c r="AA119" t="str">
        <f>IF(X119&lt;&gt;"",VLOOKUP(C119,'General price list'!C119:AN1300,MATCH("HM",Tabulka1[[#Headers],[KÓD]:[NEQ]],0),FALSE),"")</f>
        <v/>
      </c>
    </row>
    <row r="120" spans="1:27">
      <c r="A120">
        <f>COUNTIF($W$22:W120,1)</f>
        <v>0</v>
      </c>
      <c r="B120">
        <v>120</v>
      </c>
      <c r="C120" s="684" t="s">
        <v>12357</v>
      </c>
      <c r="W120" t="str">
        <f t="shared" si="2"/>
        <v/>
      </c>
      <c r="X120" s="185" t="str">
        <f t="shared" si="3"/>
        <v/>
      </c>
      <c r="Y120" s="685">
        <f>'General price list'!$AB120</f>
        <v>0</v>
      </c>
      <c r="Z120" t="str">
        <f>IFERROR(X120*VLOOKUP(C120,'General price list'!C:I,7,FALSE),"")</f>
        <v/>
      </c>
      <c r="AA120" t="str">
        <f>IF(X120&lt;&gt;"",VLOOKUP(C120,'General price list'!C120:AN1301,MATCH("HM",Tabulka1[[#Headers],[KÓD]:[NEQ]],0),FALSE),"")</f>
        <v/>
      </c>
    </row>
    <row r="121" spans="1:27">
      <c r="A121">
        <f>COUNTIF($W$22:W121,1)</f>
        <v>0</v>
      </c>
      <c r="B121">
        <v>121</v>
      </c>
      <c r="C121" s="684" t="s">
        <v>12360</v>
      </c>
      <c r="W121" t="str">
        <f t="shared" si="2"/>
        <v/>
      </c>
      <c r="X121" s="185" t="str">
        <f t="shared" si="3"/>
        <v/>
      </c>
      <c r="Y121" s="685">
        <f>'General price list'!$AB121</f>
        <v>0</v>
      </c>
      <c r="Z121" t="str">
        <f>IFERROR(X121*VLOOKUP(C121,'General price list'!C:I,7,FALSE),"")</f>
        <v/>
      </c>
      <c r="AA121" t="str">
        <f>IF(X121&lt;&gt;"",VLOOKUP(C121,'General price list'!C121:AN1302,MATCH("HM",Tabulka1[[#Headers],[KÓD]:[NEQ]],0),FALSE),"")</f>
        <v/>
      </c>
    </row>
    <row r="122" spans="1:27">
      <c r="A122">
        <f>COUNTIF($W$22:W122,1)</f>
        <v>0</v>
      </c>
      <c r="B122">
        <v>122</v>
      </c>
      <c r="C122" s="684" t="s">
        <v>12361</v>
      </c>
      <c r="W122" t="str">
        <f t="shared" si="2"/>
        <v/>
      </c>
      <c r="X122" s="185" t="str">
        <f t="shared" si="3"/>
        <v/>
      </c>
      <c r="Y122" s="685">
        <f>'General price list'!$AB122</f>
        <v>0</v>
      </c>
      <c r="Z122" t="str">
        <f>IFERROR(X122*VLOOKUP(C122,'General price list'!C:I,7,FALSE),"")</f>
        <v/>
      </c>
      <c r="AA122" t="str">
        <f>IF(X122&lt;&gt;"",VLOOKUP(C122,'General price list'!C122:AN1303,MATCH("HM",Tabulka1[[#Headers],[KÓD]:[NEQ]],0),FALSE),"")</f>
        <v/>
      </c>
    </row>
    <row r="123" spans="1:27">
      <c r="A123">
        <f>COUNTIF($W$22:W123,1)</f>
        <v>0</v>
      </c>
      <c r="B123">
        <v>123</v>
      </c>
      <c r="C123" s="684" t="s">
        <v>12362</v>
      </c>
      <c r="W123" t="str">
        <f t="shared" si="2"/>
        <v/>
      </c>
      <c r="X123" s="185" t="str">
        <f t="shared" si="3"/>
        <v/>
      </c>
      <c r="Y123" s="685">
        <f>'General price list'!$AB123</f>
        <v>0</v>
      </c>
      <c r="Z123" t="str">
        <f>IFERROR(X123*VLOOKUP(C123,'General price list'!C:I,7,FALSE),"")</f>
        <v/>
      </c>
      <c r="AA123" t="str">
        <f>IF(X123&lt;&gt;"",VLOOKUP(C123,'General price list'!C123:AN1304,MATCH("HM",Tabulka1[[#Headers],[KÓD]:[NEQ]],0),FALSE),"")</f>
        <v/>
      </c>
    </row>
    <row r="124" spans="1:27">
      <c r="A124">
        <f>COUNTIF($W$22:W124,1)</f>
        <v>0</v>
      </c>
      <c r="B124">
        <v>124</v>
      </c>
      <c r="C124" s="684" t="s">
        <v>12365</v>
      </c>
      <c r="W124" t="str">
        <f t="shared" si="2"/>
        <v/>
      </c>
      <c r="X124" s="185" t="str">
        <f t="shared" si="3"/>
        <v/>
      </c>
      <c r="Y124" s="685">
        <f>'General price list'!$AB124</f>
        <v>0</v>
      </c>
      <c r="Z124" t="str">
        <f>IFERROR(X124*VLOOKUP(C124,'General price list'!C:I,7,FALSE),"")</f>
        <v/>
      </c>
      <c r="AA124" t="str">
        <f>IF(X124&lt;&gt;"",VLOOKUP(C124,'General price list'!C124:AN1305,MATCH("HM",Tabulka1[[#Headers],[KÓD]:[NEQ]],0),FALSE),"")</f>
        <v/>
      </c>
    </row>
    <row r="125" spans="1:27">
      <c r="A125">
        <f>COUNTIF($W$22:W125,1)</f>
        <v>0</v>
      </c>
      <c r="B125">
        <v>125</v>
      </c>
      <c r="C125" s="684" t="s">
        <v>12366</v>
      </c>
      <c r="W125" t="str">
        <f t="shared" si="2"/>
        <v/>
      </c>
      <c r="X125" s="185" t="str">
        <f t="shared" si="3"/>
        <v/>
      </c>
      <c r="Y125" s="685">
        <f>'General price list'!$AB125</f>
        <v>0</v>
      </c>
      <c r="Z125" t="str">
        <f>IFERROR(X125*VLOOKUP(C125,'General price list'!C:I,7,FALSE),"")</f>
        <v/>
      </c>
      <c r="AA125" t="str">
        <f>IF(X125&lt;&gt;"",VLOOKUP(C125,'General price list'!C125:AN1306,MATCH("HM",Tabulka1[[#Headers],[KÓD]:[NEQ]],0),FALSE),"")</f>
        <v/>
      </c>
    </row>
    <row r="126" spans="1:27">
      <c r="A126">
        <f>COUNTIF($W$22:W126,1)</f>
        <v>0</v>
      </c>
      <c r="B126">
        <v>126</v>
      </c>
      <c r="C126" s="684" t="s">
        <v>12367</v>
      </c>
      <c r="W126" t="str">
        <f t="shared" si="2"/>
        <v/>
      </c>
      <c r="X126" s="185" t="str">
        <f t="shared" si="3"/>
        <v/>
      </c>
      <c r="Y126" s="685">
        <f>'General price list'!$AB126</f>
        <v>0</v>
      </c>
      <c r="Z126" t="str">
        <f>IFERROR(X126*VLOOKUP(C126,'General price list'!C:I,7,FALSE),"")</f>
        <v/>
      </c>
      <c r="AA126" t="str">
        <f>IF(X126&lt;&gt;"",VLOOKUP(C126,'General price list'!C126:AN1307,MATCH("HM",Tabulka1[[#Headers],[KÓD]:[NEQ]],0),FALSE),"")</f>
        <v/>
      </c>
    </row>
    <row r="127" spans="1:27">
      <c r="A127">
        <f>COUNTIF($W$22:W127,1)</f>
        <v>0</v>
      </c>
      <c r="B127">
        <v>127</v>
      </c>
      <c r="C127" s="684" t="s">
        <v>12368</v>
      </c>
      <c r="W127" t="str">
        <f t="shared" si="2"/>
        <v/>
      </c>
      <c r="X127" s="185" t="str">
        <f t="shared" si="3"/>
        <v/>
      </c>
      <c r="Y127" s="685">
        <f>'General price list'!$AB127</f>
        <v>0</v>
      </c>
      <c r="Z127" t="str">
        <f>IFERROR(X127*VLOOKUP(C127,'General price list'!C:I,7,FALSE),"")</f>
        <v/>
      </c>
      <c r="AA127" t="str">
        <f>IF(X127&lt;&gt;"",VLOOKUP(C127,'General price list'!C127:AN1308,MATCH("HM",Tabulka1[[#Headers],[KÓD]:[NEQ]],0),FALSE),"")</f>
        <v/>
      </c>
    </row>
    <row r="128" spans="1:27">
      <c r="A128">
        <f>COUNTIF($W$22:W128,1)</f>
        <v>0</v>
      </c>
      <c r="B128">
        <v>128</v>
      </c>
      <c r="W128" t="str">
        <f t="shared" si="2"/>
        <v/>
      </c>
      <c r="X128" s="185" t="str">
        <f t="shared" si="3"/>
        <v/>
      </c>
      <c r="Y128" s="685">
        <f>'General price list'!$AB128</f>
        <v>0</v>
      </c>
      <c r="Z128" t="str">
        <f>IFERROR(X128*VLOOKUP(C128,'General price list'!C:I,7,FALSE),"")</f>
        <v/>
      </c>
      <c r="AA128" t="str">
        <f>IF(X128&lt;&gt;"",VLOOKUP(C128,'General price list'!C128:AN1309,MATCH("HM",Tabulka1[[#Headers],[KÓD]:[NEQ]],0),FALSE),"")</f>
        <v/>
      </c>
    </row>
    <row r="129" spans="1:27">
      <c r="A129">
        <f>COUNTIF($W$22:W129,1)</f>
        <v>0</v>
      </c>
      <c r="B129">
        <v>129</v>
      </c>
      <c r="C129" s="684" t="s">
        <v>3635</v>
      </c>
      <c r="W129" t="str">
        <f t="shared" si="2"/>
        <v/>
      </c>
      <c r="X129" s="185" t="str">
        <f t="shared" si="3"/>
        <v/>
      </c>
      <c r="Y129" s="685">
        <f>'General price list'!$AB129</f>
        <v>0</v>
      </c>
      <c r="Z129" t="str">
        <f>IFERROR(X129*VLOOKUP(C129,'General price list'!C:I,7,FALSE),"")</f>
        <v/>
      </c>
      <c r="AA129" t="str">
        <f>IF(X129&lt;&gt;"",VLOOKUP(C129,'General price list'!C129:AN1310,MATCH("HM",Tabulka1[[#Headers],[KÓD]:[NEQ]],0),FALSE),"")</f>
        <v/>
      </c>
    </row>
    <row r="130" spans="1:27">
      <c r="A130">
        <f>COUNTIF($W$22:W130,1)</f>
        <v>0</v>
      </c>
      <c r="B130">
        <v>130</v>
      </c>
      <c r="C130" s="684" t="s">
        <v>3646</v>
      </c>
      <c r="W130" t="str">
        <f t="shared" si="2"/>
        <v/>
      </c>
      <c r="X130" s="185" t="str">
        <f t="shared" si="3"/>
        <v/>
      </c>
      <c r="Y130" s="685">
        <f>'General price list'!$AB130</f>
        <v>0</v>
      </c>
      <c r="Z130" t="str">
        <f>IFERROR(X130*VLOOKUP(C130,'General price list'!C:I,7,FALSE),"")</f>
        <v/>
      </c>
      <c r="AA130" t="str">
        <f>IF(X130&lt;&gt;"",VLOOKUP(C130,'General price list'!C130:AN1311,MATCH("HM",Tabulka1[[#Headers],[KÓD]:[NEQ]],0),FALSE),"")</f>
        <v/>
      </c>
    </row>
    <row r="131" spans="1:27">
      <c r="A131">
        <f>COUNTIF($W$22:W131,1)</f>
        <v>0</v>
      </c>
      <c r="B131">
        <v>131</v>
      </c>
      <c r="C131" s="684" t="s">
        <v>3657</v>
      </c>
      <c r="W131" t="str">
        <f t="shared" si="2"/>
        <v/>
      </c>
      <c r="X131" s="185" t="str">
        <f t="shared" si="3"/>
        <v/>
      </c>
      <c r="Y131" s="685">
        <f>'General price list'!$AB131</f>
        <v>0</v>
      </c>
      <c r="Z131" t="str">
        <f>IFERROR(X131*VLOOKUP(C131,'General price list'!C:I,7,FALSE),"")</f>
        <v/>
      </c>
      <c r="AA131" t="str">
        <f>IF(X131&lt;&gt;"",VLOOKUP(C131,'General price list'!C131:AN1312,MATCH("HM",Tabulka1[[#Headers],[KÓD]:[NEQ]],0),FALSE),"")</f>
        <v/>
      </c>
    </row>
    <row r="132" spans="1:27">
      <c r="A132">
        <f>COUNTIF($W$22:W132,1)</f>
        <v>0</v>
      </c>
      <c r="B132">
        <v>132</v>
      </c>
      <c r="C132" s="684" t="s">
        <v>3668</v>
      </c>
      <c r="W132" t="str">
        <f t="shared" si="2"/>
        <v/>
      </c>
      <c r="X132" s="185" t="str">
        <f t="shared" si="3"/>
        <v/>
      </c>
      <c r="Y132" s="685">
        <f>'General price list'!$AB132</f>
        <v>0</v>
      </c>
      <c r="Z132" t="str">
        <f>IFERROR(X132*VLOOKUP(C132,'General price list'!C:I,7,FALSE),"")</f>
        <v/>
      </c>
      <c r="AA132" t="str">
        <f>IF(X132&lt;&gt;"",VLOOKUP(C132,'General price list'!C132:AN1313,MATCH("HM",Tabulka1[[#Headers],[KÓD]:[NEQ]],0),FALSE),"")</f>
        <v/>
      </c>
    </row>
    <row r="133" spans="1:27">
      <c r="A133">
        <f>COUNTIF($W$22:W133,1)</f>
        <v>0</v>
      </c>
      <c r="B133">
        <v>133</v>
      </c>
      <c r="C133" s="684" t="s">
        <v>3679</v>
      </c>
      <c r="W133" t="str">
        <f t="shared" si="2"/>
        <v/>
      </c>
      <c r="X133" s="185" t="str">
        <f t="shared" si="3"/>
        <v/>
      </c>
      <c r="Y133" s="685">
        <f>'General price list'!$AB133</f>
        <v>0</v>
      </c>
      <c r="Z133" t="str">
        <f>IFERROR(X133*VLOOKUP(C133,'General price list'!C:I,7,FALSE),"")</f>
        <v/>
      </c>
      <c r="AA133" t="str">
        <f>IF(X133&lt;&gt;"",VLOOKUP(C133,'General price list'!C133:AN1314,MATCH("HM",Tabulka1[[#Headers],[KÓD]:[NEQ]],0),FALSE),"")</f>
        <v/>
      </c>
    </row>
    <row r="134" spans="1:27">
      <c r="A134">
        <f>COUNTIF($W$22:W134,1)</f>
        <v>0</v>
      </c>
      <c r="B134">
        <v>134</v>
      </c>
      <c r="C134" s="684" t="s">
        <v>3690</v>
      </c>
      <c r="W134" t="str">
        <f t="shared" si="2"/>
        <v/>
      </c>
      <c r="X134" s="185" t="str">
        <f t="shared" si="3"/>
        <v/>
      </c>
      <c r="Y134" s="685">
        <f>'General price list'!$AB134</f>
        <v>0</v>
      </c>
      <c r="Z134" t="str">
        <f>IFERROR(X134*VLOOKUP(C134,'General price list'!C:I,7,FALSE),"")</f>
        <v/>
      </c>
      <c r="AA134" t="str">
        <f>IF(X134&lt;&gt;"",VLOOKUP(C134,'General price list'!C134:AN1315,MATCH("HM",Tabulka1[[#Headers],[KÓD]:[NEQ]],0),FALSE),"")</f>
        <v/>
      </c>
    </row>
    <row r="135" spans="1:27">
      <c r="A135">
        <f>COUNTIF($W$22:W135,1)</f>
        <v>0</v>
      </c>
      <c r="B135">
        <v>135</v>
      </c>
      <c r="C135" s="684" t="s">
        <v>3701</v>
      </c>
      <c r="W135" t="str">
        <f t="shared" si="2"/>
        <v/>
      </c>
      <c r="X135" s="185" t="str">
        <f t="shared" si="3"/>
        <v/>
      </c>
      <c r="Y135" s="685">
        <f>'General price list'!$AB135</f>
        <v>0</v>
      </c>
      <c r="Z135" t="str">
        <f>IFERROR(X135*VLOOKUP(C135,'General price list'!C:I,7,FALSE),"")</f>
        <v/>
      </c>
      <c r="AA135" t="str">
        <f>IF(X135&lt;&gt;"",VLOOKUP(C135,'General price list'!C135:AN1316,MATCH("HM",Tabulka1[[#Headers],[KÓD]:[NEQ]],0),FALSE),"")</f>
        <v/>
      </c>
    </row>
    <row r="136" spans="1:27">
      <c r="A136">
        <f>COUNTIF($W$22:W136,1)</f>
        <v>0</v>
      </c>
      <c r="B136">
        <v>136</v>
      </c>
      <c r="C136" s="684" t="s">
        <v>3712</v>
      </c>
      <c r="W136" t="str">
        <f t="shared" si="2"/>
        <v/>
      </c>
      <c r="X136" s="185" t="str">
        <f t="shared" si="3"/>
        <v/>
      </c>
      <c r="Y136" s="685">
        <f>'General price list'!$AB136</f>
        <v>0</v>
      </c>
      <c r="Z136" t="str">
        <f>IFERROR(X136*VLOOKUP(C136,'General price list'!C:I,7,FALSE),"")</f>
        <v/>
      </c>
      <c r="AA136" t="str">
        <f>IF(X136&lt;&gt;"",VLOOKUP(C136,'General price list'!C136:AN1317,MATCH("HM",Tabulka1[[#Headers],[KÓD]:[NEQ]],0),FALSE),"")</f>
        <v/>
      </c>
    </row>
    <row r="137" spans="1:27">
      <c r="A137">
        <f>COUNTIF($W$22:W137,1)</f>
        <v>0</v>
      </c>
      <c r="B137">
        <v>137</v>
      </c>
      <c r="W137" t="str">
        <f t="shared" si="2"/>
        <v/>
      </c>
      <c r="X137" s="185" t="str">
        <f t="shared" si="3"/>
        <v/>
      </c>
      <c r="Y137" s="685">
        <f>'General price list'!$AB137</f>
        <v>0</v>
      </c>
      <c r="Z137" t="str">
        <f>IFERROR(X137*VLOOKUP(C137,'General price list'!C:I,7,FALSE),"")</f>
        <v/>
      </c>
      <c r="AA137" t="str">
        <f>IF(X137&lt;&gt;"",VLOOKUP(C137,'General price list'!C137:AN1318,MATCH("HM",Tabulka1[[#Headers],[KÓD]:[NEQ]],0),FALSE),"")</f>
        <v/>
      </c>
    </row>
    <row r="138" spans="1:27">
      <c r="A138">
        <f>COUNTIF($W$22:W138,1)</f>
        <v>0</v>
      </c>
      <c r="B138">
        <v>138</v>
      </c>
      <c r="C138" s="684" t="s">
        <v>361</v>
      </c>
      <c r="W138" t="str">
        <f t="shared" si="2"/>
        <v/>
      </c>
      <c r="X138" s="185" t="str">
        <f t="shared" si="3"/>
        <v/>
      </c>
      <c r="Y138" s="685">
        <f>'General price list'!$AB138</f>
        <v>0</v>
      </c>
      <c r="Z138" t="str">
        <f>IFERROR(X138*VLOOKUP(C138,'General price list'!C:I,7,FALSE),"")</f>
        <v/>
      </c>
      <c r="AA138" t="str">
        <f>IF(X138&lt;&gt;"",VLOOKUP(C138,'General price list'!C138:AN1319,MATCH("HM",Tabulka1[[#Headers],[KÓD]:[NEQ]],0),FALSE),"")</f>
        <v/>
      </c>
    </row>
    <row r="139" spans="1:27">
      <c r="A139">
        <f>COUNTIF($W$22:W139,1)</f>
        <v>0</v>
      </c>
      <c r="B139">
        <v>139</v>
      </c>
      <c r="C139" s="684" t="s">
        <v>367</v>
      </c>
      <c r="W139" t="str">
        <f t="shared" si="2"/>
        <v/>
      </c>
      <c r="X139" s="185" t="str">
        <f t="shared" si="3"/>
        <v/>
      </c>
      <c r="Y139" s="685">
        <f>'General price list'!$AB139</f>
        <v>0</v>
      </c>
      <c r="Z139" t="str">
        <f>IFERROR(X139*VLOOKUP(C139,'General price list'!C:I,7,FALSE),"")</f>
        <v/>
      </c>
      <c r="AA139" t="str">
        <f>IF(X139&lt;&gt;"",VLOOKUP(C139,'General price list'!C139:AN1320,MATCH("HM",Tabulka1[[#Headers],[KÓD]:[NEQ]],0),FALSE),"")</f>
        <v/>
      </c>
    </row>
    <row r="140" spans="1:27">
      <c r="A140">
        <f>COUNTIF($W$22:W140,1)</f>
        <v>0</v>
      </c>
      <c r="B140">
        <v>140</v>
      </c>
      <c r="C140" s="684" t="s">
        <v>371</v>
      </c>
      <c r="W140" t="str">
        <f t="shared" si="2"/>
        <v/>
      </c>
      <c r="X140" s="185" t="str">
        <f t="shared" si="3"/>
        <v/>
      </c>
      <c r="Y140" s="685">
        <f>'General price list'!$AB140</f>
        <v>0</v>
      </c>
      <c r="Z140" t="str">
        <f>IFERROR(X140*VLOOKUP(C140,'General price list'!C:I,7,FALSE),"")</f>
        <v/>
      </c>
      <c r="AA140" t="str">
        <f>IF(X140&lt;&gt;"",VLOOKUP(C140,'General price list'!C140:AN1321,MATCH("HM",Tabulka1[[#Headers],[KÓD]:[NEQ]],0),FALSE),"")</f>
        <v/>
      </c>
    </row>
    <row r="141" spans="1:27">
      <c r="A141">
        <f>COUNTIF($W$22:W141,1)</f>
        <v>0</v>
      </c>
      <c r="B141">
        <v>141</v>
      </c>
      <c r="C141" s="684" t="s">
        <v>376</v>
      </c>
      <c r="W141" t="str">
        <f t="shared" si="2"/>
        <v/>
      </c>
      <c r="X141" s="185" t="str">
        <f t="shared" si="3"/>
        <v/>
      </c>
      <c r="Y141" s="685">
        <f>'General price list'!$AB141</f>
        <v>0</v>
      </c>
      <c r="Z141" t="str">
        <f>IFERROR(X141*VLOOKUP(C141,'General price list'!C:I,7,FALSE),"")</f>
        <v/>
      </c>
      <c r="AA141" t="str">
        <f>IF(X141&lt;&gt;"",VLOOKUP(C141,'General price list'!C141:AN1322,MATCH("HM",Tabulka1[[#Headers],[KÓD]:[NEQ]],0),FALSE),"")</f>
        <v/>
      </c>
    </row>
    <row r="142" spans="1:27">
      <c r="A142">
        <f>COUNTIF($W$22:W142,1)</f>
        <v>0</v>
      </c>
      <c r="B142">
        <v>142</v>
      </c>
      <c r="C142" s="684" t="s">
        <v>380</v>
      </c>
      <c r="W142" t="str">
        <f t="shared" si="2"/>
        <v/>
      </c>
      <c r="X142" s="185" t="str">
        <f t="shared" si="3"/>
        <v/>
      </c>
      <c r="Y142" s="685">
        <f>'General price list'!$AB142</f>
        <v>0</v>
      </c>
      <c r="Z142" t="str">
        <f>IFERROR(X142*VLOOKUP(C142,'General price list'!C:I,7,FALSE),"")</f>
        <v/>
      </c>
      <c r="AA142" t="str">
        <f>IF(X142&lt;&gt;"",VLOOKUP(C142,'General price list'!C142:AN1323,MATCH("HM",Tabulka1[[#Headers],[KÓD]:[NEQ]],0),FALSE),"")</f>
        <v/>
      </c>
    </row>
    <row r="143" spans="1:27">
      <c r="A143">
        <f>COUNTIF($W$22:W143,1)</f>
        <v>0</v>
      </c>
      <c r="B143">
        <v>143</v>
      </c>
      <c r="C143" s="684" t="s">
        <v>381</v>
      </c>
      <c r="W143" t="str">
        <f t="shared" si="2"/>
        <v/>
      </c>
      <c r="X143" s="185" t="str">
        <f t="shared" si="3"/>
        <v/>
      </c>
      <c r="Y143" s="685">
        <f>'General price list'!$AB143</f>
        <v>0</v>
      </c>
      <c r="Z143" t="str">
        <f>IFERROR(X143*VLOOKUP(C143,'General price list'!C:I,7,FALSE),"")</f>
        <v/>
      </c>
      <c r="AA143" t="str">
        <f>IF(X143&lt;&gt;"",VLOOKUP(C143,'General price list'!C143:AN1324,MATCH("HM",Tabulka1[[#Headers],[KÓD]:[NEQ]],0),FALSE),"")</f>
        <v/>
      </c>
    </row>
    <row r="144" spans="1:27">
      <c r="A144">
        <f>COUNTIF($W$22:W144,1)</f>
        <v>0</v>
      </c>
      <c r="B144">
        <v>144</v>
      </c>
      <c r="C144" s="684" t="s">
        <v>385</v>
      </c>
      <c r="W144" t="str">
        <f t="shared" si="2"/>
        <v/>
      </c>
      <c r="X144" s="185" t="str">
        <f t="shared" si="3"/>
        <v/>
      </c>
      <c r="Y144" s="685">
        <f>'General price list'!$AB144</f>
        <v>0</v>
      </c>
      <c r="Z144" t="str">
        <f>IFERROR(X144*VLOOKUP(C144,'General price list'!C:I,7,FALSE),"")</f>
        <v/>
      </c>
      <c r="AA144" t="str">
        <f>IF(X144&lt;&gt;"",VLOOKUP(C144,'General price list'!C144:AN1325,MATCH("HM",Tabulka1[[#Headers],[KÓD]:[NEQ]],0),FALSE),"")</f>
        <v/>
      </c>
    </row>
    <row r="145" spans="1:27">
      <c r="A145">
        <f>COUNTIF($W$22:W145,1)</f>
        <v>0</v>
      </c>
      <c r="B145">
        <v>145</v>
      </c>
      <c r="C145" s="684" t="s">
        <v>386</v>
      </c>
      <c r="W145" t="str">
        <f t="shared" si="2"/>
        <v/>
      </c>
      <c r="X145" s="185" t="str">
        <f t="shared" si="3"/>
        <v/>
      </c>
      <c r="Y145" s="685">
        <f>'General price list'!$AB145</f>
        <v>0</v>
      </c>
      <c r="Z145" t="str">
        <f>IFERROR(X145*VLOOKUP(C145,'General price list'!C:I,7,FALSE),"")</f>
        <v/>
      </c>
      <c r="AA145" t="str">
        <f>IF(X145&lt;&gt;"",VLOOKUP(C145,'General price list'!C145:AN1326,MATCH("HM",Tabulka1[[#Headers],[KÓD]:[NEQ]],0),FALSE),"")</f>
        <v/>
      </c>
    </row>
    <row r="146" spans="1:27">
      <c r="A146">
        <f>COUNTIF($W$22:W146,1)</f>
        <v>0</v>
      </c>
      <c r="B146">
        <v>146</v>
      </c>
      <c r="C146" s="684" t="s">
        <v>390</v>
      </c>
      <c r="W146" t="str">
        <f t="shared" si="2"/>
        <v/>
      </c>
      <c r="X146" s="185" t="str">
        <f t="shared" si="3"/>
        <v/>
      </c>
      <c r="Y146" s="685">
        <f>'General price list'!$AB146</f>
        <v>0</v>
      </c>
      <c r="Z146" t="str">
        <f>IFERROR(X146*VLOOKUP(C146,'General price list'!C:I,7,FALSE),"")</f>
        <v/>
      </c>
      <c r="AA146" t="str">
        <f>IF(X146&lt;&gt;"",VLOOKUP(C146,'General price list'!C146:AN1327,MATCH("HM",Tabulka1[[#Headers],[KÓD]:[NEQ]],0),FALSE),"")</f>
        <v/>
      </c>
    </row>
    <row r="147" spans="1:27">
      <c r="A147">
        <f>COUNTIF($W$22:W147,1)</f>
        <v>0</v>
      </c>
      <c r="B147">
        <v>147</v>
      </c>
      <c r="W147" t="str">
        <f t="shared" si="2"/>
        <v/>
      </c>
      <c r="X147" s="185" t="str">
        <f t="shared" si="3"/>
        <v/>
      </c>
      <c r="Y147" s="685">
        <f>'General price list'!$AB147</f>
        <v>0</v>
      </c>
      <c r="Z147" t="str">
        <f>IFERROR(X147*VLOOKUP(C147,'General price list'!C:I,7,FALSE),"")</f>
        <v/>
      </c>
      <c r="AA147" t="str">
        <f>IF(X147&lt;&gt;"",VLOOKUP(C147,'General price list'!C147:AN1328,MATCH("HM",Tabulka1[[#Headers],[KÓD]:[NEQ]],0),FALSE),"")</f>
        <v/>
      </c>
    </row>
    <row r="148" spans="1:27">
      <c r="A148">
        <f>COUNTIF($W$22:W148,1)</f>
        <v>0</v>
      </c>
      <c r="B148">
        <v>148</v>
      </c>
      <c r="C148" s="684" t="s">
        <v>12453</v>
      </c>
      <c r="W148" t="str">
        <f t="shared" si="2"/>
        <v/>
      </c>
      <c r="X148" s="185" t="str">
        <f t="shared" si="3"/>
        <v/>
      </c>
      <c r="Y148" s="685">
        <f>'General price list'!$AB148</f>
        <v>0</v>
      </c>
      <c r="Z148" t="str">
        <f>IFERROR(X148*VLOOKUP(C148,'General price list'!C:I,7,FALSE),"")</f>
        <v/>
      </c>
      <c r="AA148" t="str">
        <f>IF(X148&lt;&gt;"",VLOOKUP(C148,'General price list'!C148:AN1329,MATCH("HM",Tabulka1[[#Headers],[KÓD]:[NEQ]],0),FALSE),"")</f>
        <v/>
      </c>
    </row>
    <row r="149" spans="1:27">
      <c r="A149">
        <f>COUNTIF($W$22:W149,1)</f>
        <v>0</v>
      </c>
      <c r="B149">
        <v>149</v>
      </c>
      <c r="C149" s="684" t="s">
        <v>12454</v>
      </c>
      <c r="W149" t="str">
        <f t="shared" si="2"/>
        <v/>
      </c>
      <c r="X149" s="185" t="str">
        <f t="shared" si="3"/>
        <v/>
      </c>
      <c r="Y149" s="685">
        <f>'General price list'!$AB149</f>
        <v>0</v>
      </c>
      <c r="Z149" t="str">
        <f>IFERROR(X149*VLOOKUP(C149,'General price list'!C:I,7,FALSE),"")</f>
        <v/>
      </c>
      <c r="AA149" t="str">
        <f>IF(X149&lt;&gt;"",VLOOKUP(C149,'General price list'!C149:AN1330,MATCH("HM",Tabulka1[[#Headers],[KÓD]:[NEQ]],0),FALSE),"")</f>
        <v/>
      </c>
    </row>
    <row r="150" spans="1:27">
      <c r="A150">
        <f>COUNTIF($W$22:W150,1)</f>
        <v>0</v>
      </c>
      <c r="B150">
        <v>150</v>
      </c>
      <c r="C150" s="684" t="s">
        <v>12372</v>
      </c>
      <c r="W150" t="str">
        <f t="shared" si="2"/>
        <v/>
      </c>
      <c r="X150" s="185" t="str">
        <f t="shared" si="3"/>
        <v/>
      </c>
      <c r="Y150" s="685">
        <f>'General price list'!$AB150</f>
        <v>0</v>
      </c>
      <c r="Z150" t="str">
        <f>IFERROR(X150*VLOOKUP(C150,'General price list'!C:I,7,FALSE),"")</f>
        <v/>
      </c>
      <c r="AA150" t="str">
        <f>IF(X150&lt;&gt;"",VLOOKUP(C150,'General price list'!C150:AN1331,MATCH("HM",Tabulka1[[#Headers],[KÓD]:[NEQ]],0),FALSE),"")</f>
        <v/>
      </c>
    </row>
    <row r="151" spans="1:27">
      <c r="A151">
        <f>COUNTIF($W$22:W151,1)</f>
        <v>0</v>
      </c>
      <c r="B151">
        <v>151</v>
      </c>
      <c r="C151" s="684" t="s">
        <v>3782</v>
      </c>
      <c r="W151" t="str">
        <f t="shared" ref="W151:W214" si="4">IF(Y151+1=1,"",1)</f>
        <v/>
      </c>
      <c r="X151" s="185" t="str">
        <f t="shared" si="3"/>
        <v/>
      </c>
      <c r="Y151" s="685">
        <f>'General price list'!$AB151</f>
        <v>0</v>
      </c>
      <c r="Z151" t="str">
        <f>IFERROR(X151*VLOOKUP(C151,'General price list'!C:I,7,FALSE),"")</f>
        <v/>
      </c>
      <c r="AA151" t="str">
        <f>IF(X151&lt;&gt;"",VLOOKUP(C151,'General price list'!C151:AN1332,MATCH("HM",Tabulka1[[#Headers],[KÓD]:[NEQ]],0),FALSE),"")</f>
        <v/>
      </c>
    </row>
    <row r="152" spans="1:27">
      <c r="A152">
        <f>COUNTIF($W$22:W152,1)</f>
        <v>0</v>
      </c>
      <c r="B152">
        <v>152</v>
      </c>
      <c r="C152" s="684" t="s">
        <v>3793</v>
      </c>
      <c r="W152" t="str">
        <f t="shared" si="4"/>
        <v/>
      </c>
      <c r="X152" s="185" t="str">
        <f t="shared" ref="X152:X215" si="5">IF(A152&gt;$C$21,"",IF(Y152=0,"",Y152))</f>
        <v/>
      </c>
      <c r="Y152" s="685">
        <f>'General price list'!$AB152</f>
        <v>0</v>
      </c>
      <c r="Z152" t="str">
        <f>IFERROR(X152*VLOOKUP(C152,'General price list'!C:I,7,FALSE),"")</f>
        <v/>
      </c>
      <c r="AA152" t="str">
        <f>IF(X152&lt;&gt;"",VLOOKUP(C152,'General price list'!C152:AN1333,MATCH("HM",Tabulka1[[#Headers],[KÓD]:[NEQ]],0),FALSE),"")</f>
        <v/>
      </c>
    </row>
    <row r="153" spans="1:27">
      <c r="A153">
        <f>COUNTIF($W$22:W153,1)</f>
        <v>0</v>
      </c>
      <c r="B153">
        <v>153</v>
      </c>
      <c r="C153" s="684" t="s">
        <v>3804</v>
      </c>
      <c r="W153" t="str">
        <f t="shared" si="4"/>
        <v/>
      </c>
      <c r="X153" s="185" t="str">
        <f t="shared" si="5"/>
        <v/>
      </c>
      <c r="Y153" s="685">
        <f>'General price list'!$AB153</f>
        <v>0</v>
      </c>
      <c r="Z153" t="str">
        <f>IFERROR(X153*VLOOKUP(C153,'General price list'!C:I,7,FALSE),"")</f>
        <v/>
      </c>
      <c r="AA153" t="str">
        <f>IF(X153&lt;&gt;"",VLOOKUP(C153,'General price list'!C153:AN1334,MATCH("HM",Tabulka1[[#Headers],[KÓD]:[NEQ]],0),FALSE),"")</f>
        <v/>
      </c>
    </row>
    <row r="154" spans="1:27">
      <c r="A154">
        <f>COUNTIF($W$22:W154,1)</f>
        <v>0</v>
      </c>
      <c r="B154">
        <v>154</v>
      </c>
      <c r="C154" s="684" t="s">
        <v>3815</v>
      </c>
      <c r="W154" t="str">
        <f t="shared" si="4"/>
        <v/>
      </c>
      <c r="X154" s="185" t="str">
        <f t="shared" si="5"/>
        <v/>
      </c>
      <c r="Y154" s="685">
        <f>'General price list'!$AB154</f>
        <v>0</v>
      </c>
      <c r="Z154" t="str">
        <f>IFERROR(X154*VLOOKUP(C154,'General price list'!C:I,7,FALSE),"")</f>
        <v/>
      </c>
      <c r="AA154" t="str">
        <f>IF(X154&lt;&gt;"",VLOOKUP(C154,'General price list'!C154:AN1335,MATCH("HM",Tabulka1[[#Headers],[KÓD]:[NEQ]],0),FALSE),"")</f>
        <v/>
      </c>
    </row>
    <row r="155" spans="1:27">
      <c r="A155">
        <f>COUNTIF($W$22:W155,1)</f>
        <v>0</v>
      </c>
      <c r="B155">
        <v>155</v>
      </c>
      <c r="C155" s="684" t="s">
        <v>3826</v>
      </c>
      <c r="W155" t="str">
        <f t="shared" si="4"/>
        <v/>
      </c>
      <c r="X155" s="185" t="str">
        <f t="shared" si="5"/>
        <v/>
      </c>
      <c r="Y155" s="685">
        <f>'General price list'!$AB155</f>
        <v>0</v>
      </c>
      <c r="Z155" t="str">
        <f>IFERROR(X155*VLOOKUP(C155,'General price list'!C:I,7,FALSE),"")</f>
        <v/>
      </c>
      <c r="AA155" t="str">
        <f>IF(X155&lt;&gt;"",VLOOKUP(C155,'General price list'!C155:AN1336,MATCH("HM",Tabulka1[[#Headers],[KÓD]:[NEQ]],0),FALSE),"")</f>
        <v/>
      </c>
    </row>
    <row r="156" spans="1:27">
      <c r="A156">
        <f>COUNTIF($W$22:W156,1)</f>
        <v>0</v>
      </c>
      <c r="B156">
        <v>156</v>
      </c>
      <c r="C156" s="684" t="s">
        <v>3837</v>
      </c>
      <c r="W156" t="str">
        <f t="shared" si="4"/>
        <v/>
      </c>
      <c r="X156" s="185" t="str">
        <f t="shared" si="5"/>
        <v/>
      </c>
      <c r="Y156" s="685">
        <f>'General price list'!$AB156</f>
        <v>0</v>
      </c>
      <c r="Z156" t="str">
        <f>IFERROR(X156*VLOOKUP(C156,'General price list'!C:I,7,FALSE),"")</f>
        <v/>
      </c>
      <c r="AA156" t="str">
        <f>IF(X156&lt;&gt;"",VLOOKUP(C156,'General price list'!C156:AN1337,MATCH("HM",Tabulka1[[#Headers],[KÓD]:[NEQ]],0),FALSE),"")</f>
        <v/>
      </c>
    </row>
    <row r="157" spans="1:27">
      <c r="A157">
        <f>COUNTIF($W$22:W157,1)</f>
        <v>0</v>
      </c>
      <c r="B157">
        <v>157</v>
      </c>
      <c r="C157" s="684" t="s">
        <v>3848</v>
      </c>
      <c r="W157" t="str">
        <f t="shared" si="4"/>
        <v/>
      </c>
      <c r="X157" s="185" t="str">
        <f t="shared" si="5"/>
        <v/>
      </c>
      <c r="Y157" s="685">
        <f>'General price list'!$AB157</f>
        <v>0</v>
      </c>
      <c r="Z157" t="str">
        <f>IFERROR(X157*VLOOKUP(C157,'General price list'!C:I,7,FALSE),"")</f>
        <v/>
      </c>
      <c r="AA157" t="str">
        <f>IF(X157&lt;&gt;"",VLOOKUP(C157,'General price list'!C157:AN1338,MATCH("HM",Tabulka1[[#Headers],[KÓD]:[NEQ]],0),FALSE),"")</f>
        <v/>
      </c>
    </row>
    <row r="158" spans="1:27">
      <c r="A158">
        <f>COUNTIF($W$22:W158,1)</f>
        <v>0</v>
      </c>
      <c r="B158">
        <v>158</v>
      </c>
      <c r="W158" t="str">
        <f t="shared" si="4"/>
        <v/>
      </c>
      <c r="X158" s="185" t="str">
        <f t="shared" si="5"/>
        <v/>
      </c>
      <c r="Y158" s="685">
        <f>'General price list'!$AB158</f>
        <v>0</v>
      </c>
      <c r="Z158" t="str">
        <f>IFERROR(X158*VLOOKUP(C158,'General price list'!C:I,7,FALSE),"")</f>
        <v/>
      </c>
      <c r="AA158" t="str">
        <f>IF(X158&lt;&gt;"",VLOOKUP(C158,'General price list'!C158:AN1339,MATCH("HM",Tabulka1[[#Headers],[KÓD]:[NEQ]],0),FALSE),"")</f>
        <v/>
      </c>
    </row>
    <row r="159" spans="1:27">
      <c r="A159">
        <f>COUNTIF($W$22:W159,1)</f>
        <v>0</v>
      </c>
      <c r="B159">
        <v>159</v>
      </c>
      <c r="C159" s="684" t="s">
        <v>944</v>
      </c>
      <c r="W159" t="str">
        <f t="shared" si="4"/>
        <v/>
      </c>
      <c r="X159" s="185" t="str">
        <f t="shared" si="5"/>
        <v/>
      </c>
      <c r="Y159" s="685">
        <f>'General price list'!$AB159</f>
        <v>0</v>
      </c>
      <c r="Z159" t="str">
        <f>IFERROR(X159*VLOOKUP(C159,'General price list'!C:I,7,FALSE),"")</f>
        <v/>
      </c>
      <c r="AA159" t="str">
        <f>IF(X159&lt;&gt;"",VLOOKUP(C159,'General price list'!C159:AN1340,MATCH("HM",Tabulka1[[#Headers],[KÓD]:[NEQ]],0),FALSE),"")</f>
        <v/>
      </c>
    </row>
    <row r="160" spans="1:27">
      <c r="A160">
        <f>COUNTIF($W$22:W160,1)</f>
        <v>0</v>
      </c>
      <c r="B160">
        <v>160</v>
      </c>
      <c r="C160" s="684" t="s">
        <v>946</v>
      </c>
      <c r="W160" t="str">
        <f t="shared" si="4"/>
        <v/>
      </c>
      <c r="X160" s="185" t="str">
        <f t="shared" si="5"/>
        <v/>
      </c>
      <c r="Y160" s="685">
        <f>'General price list'!$AB160</f>
        <v>0</v>
      </c>
      <c r="Z160" t="str">
        <f>IFERROR(X160*VLOOKUP(C160,'General price list'!C:I,7,FALSE),"")</f>
        <v/>
      </c>
      <c r="AA160" t="str">
        <f>IF(X160&lt;&gt;"",VLOOKUP(C160,'General price list'!C160:AN1341,MATCH("HM",Tabulka1[[#Headers],[KÓD]:[NEQ]],0),FALSE),"")</f>
        <v/>
      </c>
    </row>
    <row r="161" spans="1:27">
      <c r="A161">
        <f>COUNTIF($W$22:W161,1)</f>
        <v>0</v>
      </c>
      <c r="B161">
        <v>161</v>
      </c>
      <c r="C161" s="684" t="s">
        <v>3870</v>
      </c>
      <c r="W161" t="str">
        <f t="shared" si="4"/>
        <v/>
      </c>
      <c r="X161" s="185" t="str">
        <f t="shared" si="5"/>
        <v/>
      </c>
      <c r="Y161" s="685">
        <f>'General price list'!$AB161</f>
        <v>0</v>
      </c>
      <c r="Z161" t="str">
        <f>IFERROR(X161*VLOOKUP(C161,'General price list'!C:I,7,FALSE),"")</f>
        <v/>
      </c>
      <c r="AA161" t="str">
        <f>IF(X161&lt;&gt;"",VLOOKUP(C161,'General price list'!C161:AN1342,MATCH("HM",Tabulka1[[#Headers],[KÓD]:[NEQ]],0),FALSE),"")</f>
        <v/>
      </c>
    </row>
    <row r="162" spans="1:27">
      <c r="A162">
        <f>COUNTIF($W$22:W162,1)</f>
        <v>0</v>
      </c>
      <c r="B162">
        <v>162</v>
      </c>
      <c r="C162" s="684" t="s">
        <v>947</v>
      </c>
      <c r="W162" t="str">
        <f t="shared" si="4"/>
        <v/>
      </c>
      <c r="X162" s="185" t="str">
        <f t="shared" si="5"/>
        <v/>
      </c>
      <c r="Y162" s="685">
        <f>'General price list'!$AB162</f>
        <v>0</v>
      </c>
      <c r="Z162" t="str">
        <f>IFERROR(X162*VLOOKUP(C162,'General price list'!C:I,7,FALSE),"")</f>
        <v/>
      </c>
      <c r="AA162" t="str">
        <f>IF(X162&lt;&gt;"",VLOOKUP(C162,'General price list'!C162:AN1343,MATCH("HM",Tabulka1[[#Headers],[KÓD]:[NEQ]],0),FALSE),"")</f>
        <v/>
      </c>
    </row>
    <row r="163" spans="1:27">
      <c r="A163">
        <f>COUNTIF($W$22:W163,1)</f>
        <v>0</v>
      </c>
      <c r="B163">
        <v>163</v>
      </c>
      <c r="C163" s="684" t="s">
        <v>2518</v>
      </c>
      <c r="W163" t="str">
        <f t="shared" si="4"/>
        <v/>
      </c>
      <c r="X163" s="185" t="str">
        <f t="shared" si="5"/>
        <v/>
      </c>
      <c r="Y163" s="685">
        <f>'General price list'!$AB163</f>
        <v>0</v>
      </c>
      <c r="Z163" t="str">
        <f>IFERROR(X163*VLOOKUP(C163,'General price list'!C:I,7,FALSE),"")</f>
        <v/>
      </c>
      <c r="AA163" t="str">
        <f>IF(X163&lt;&gt;"",VLOOKUP(C163,'General price list'!C163:AN1344,MATCH("HM",Tabulka1[[#Headers],[KÓD]:[NEQ]],0),FALSE),"")</f>
        <v/>
      </c>
    </row>
    <row r="164" spans="1:27">
      <c r="A164">
        <f>COUNTIF($W$22:W164,1)</f>
        <v>0</v>
      </c>
      <c r="B164">
        <v>164</v>
      </c>
      <c r="C164" s="684" t="s">
        <v>2520</v>
      </c>
      <c r="W164" t="str">
        <f t="shared" si="4"/>
        <v/>
      </c>
      <c r="X164" s="185" t="str">
        <f t="shared" si="5"/>
        <v/>
      </c>
      <c r="Y164" s="685">
        <f>'General price list'!$AB164</f>
        <v>0</v>
      </c>
      <c r="Z164" t="str">
        <f>IFERROR(X164*VLOOKUP(C164,'General price list'!C:I,7,FALSE),"")</f>
        <v/>
      </c>
      <c r="AA164" t="str">
        <f>IF(X164&lt;&gt;"",VLOOKUP(C164,'General price list'!C164:AN1345,MATCH("HM",Tabulka1[[#Headers],[KÓD]:[NEQ]],0),FALSE),"")</f>
        <v/>
      </c>
    </row>
    <row r="165" spans="1:27">
      <c r="A165">
        <f>COUNTIF($W$22:W165,1)</f>
        <v>0</v>
      </c>
      <c r="B165">
        <v>165</v>
      </c>
      <c r="W165" t="str">
        <f t="shared" si="4"/>
        <v/>
      </c>
      <c r="X165" s="185" t="str">
        <f t="shared" si="5"/>
        <v/>
      </c>
      <c r="Y165" s="685">
        <f>'General price list'!$AB165</f>
        <v>0</v>
      </c>
      <c r="Z165" t="str">
        <f>IFERROR(X165*VLOOKUP(C165,'General price list'!C:I,7,FALSE),"")</f>
        <v/>
      </c>
      <c r="AA165" t="str">
        <f>IF(X165&lt;&gt;"",VLOOKUP(C165,'General price list'!C165:AN1346,MATCH("HM",Tabulka1[[#Headers],[KÓD]:[NEQ]],0),FALSE),"")</f>
        <v/>
      </c>
    </row>
    <row r="166" spans="1:27">
      <c r="A166">
        <f>COUNTIF($W$22:W166,1)</f>
        <v>0</v>
      </c>
      <c r="B166">
        <v>166</v>
      </c>
      <c r="C166" s="684" t="s">
        <v>922</v>
      </c>
      <c r="W166" t="str">
        <f t="shared" si="4"/>
        <v/>
      </c>
      <c r="X166" s="185" t="str">
        <f t="shared" si="5"/>
        <v/>
      </c>
      <c r="Y166" s="685">
        <f>'General price list'!$AB166</f>
        <v>0</v>
      </c>
      <c r="Z166" t="str">
        <f>IFERROR(X166*VLOOKUP(C166,'General price list'!C:I,7,FALSE),"")</f>
        <v/>
      </c>
      <c r="AA166" t="str">
        <f>IF(X166&lt;&gt;"",VLOOKUP(C166,'General price list'!C166:AN1347,MATCH("HM",Tabulka1[[#Headers],[KÓD]:[NEQ]],0),FALSE),"")</f>
        <v/>
      </c>
    </row>
    <row r="167" spans="1:27">
      <c r="A167">
        <f>COUNTIF($W$22:W167,1)</f>
        <v>0</v>
      </c>
      <c r="B167">
        <v>167</v>
      </c>
      <c r="C167" s="684" t="s">
        <v>928</v>
      </c>
      <c r="W167" t="str">
        <f t="shared" si="4"/>
        <v/>
      </c>
      <c r="X167" s="185" t="str">
        <f t="shared" si="5"/>
        <v/>
      </c>
      <c r="Y167" s="685">
        <f>'General price list'!$AB167</f>
        <v>0</v>
      </c>
      <c r="Z167" t="str">
        <f>IFERROR(X167*VLOOKUP(C167,'General price list'!C:I,7,FALSE),"")</f>
        <v/>
      </c>
      <c r="AA167" t="str">
        <f>IF(X167&lt;&gt;"",VLOOKUP(C167,'General price list'!C167:AN1348,MATCH("HM",Tabulka1[[#Headers],[KÓD]:[NEQ]],0),FALSE),"")</f>
        <v/>
      </c>
    </row>
    <row r="168" spans="1:27">
      <c r="A168">
        <f>COUNTIF($W$22:W168,1)</f>
        <v>0</v>
      </c>
      <c r="B168">
        <v>168</v>
      </c>
      <c r="W168" t="str">
        <f t="shared" si="4"/>
        <v/>
      </c>
      <c r="X168" s="185" t="str">
        <f t="shared" si="5"/>
        <v/>
      </c>
      <c r="Y168" s="685">
        <f>'General price list'!$AB168</f>
        <v>0</v>
      </c>
      <c r="Z168" t="str">
        <f>IFERROR(X168*VLOOKUP(C168,'General price list'!C:I,7,FALSE),"")</f>
        <v/>
      </c>
      <c r="AA168" t="str">
        <f>IF(X168&lt;&gt;"",VLOOKUP(C168,'General price list'!C168:AN1349,MATCH("HM",Tabulka1[[#Headers],[KÓD]:[NEQ]],0),FALSE),"")</f>
        <v/>
      </c>
    </row>
    <row r="169" spans="1:27">
      <c r="A169">
        <f>COUNTIF($W$22:W169,1)</f>
        <v>0</v>
      </c>
      <c r="B169">
        <v>169</v>
      </c>
      <c r="C169" s="684" t="s">
        <v>392</v>
      </c>
      <c r="W169" t="str">
        <f t="shared" si="4"/>
        <v/>
      </c>
      <c r="X169" s="185" t="str">
        <f t="shared" si="5"/>
        <v/>
      </c>
      <c r="Y169" s="685">
        <f>'General price list'!$AB169</f>
        <v>0</v>
      </c>
      <c r="Z169" t="str">
        <f>IFERROR(X169*VLOOKUP(C169,'General price list'!C:I,7,FALSE),"")</f>
        <v/>
      </c>
      <c r="AA169" t="str">
        <f>IF(X169&lt;&gt;"",VLOOKUP(C169,'General price list'!C169:AN1350,MATCH("HM",Tabulka1[[#Headers],[KÓD]:[NEQ]],0),FALSE),"")</f>
        <v/>
      </c>
    </row>
    <row r="170" spans="1:27">
      <c r="A170">
        <f>COUNTIF($W$22:W170,1)</f>
        <v>0</v>
      </c>
      <c r="B170">
        <v>170</v>
      </c>
      <c r="C170" s="684" t="s">
        <v>397</v>
      </c>
      <c r="W170" t="str">
        <f t="shared" si="4"/>
        <v/>
      </c>
      <c r="X170" s="185" t="str">
        <f t="shared" si="5"/>
        <v/>
      </c>
      <c r="Y170" s="685">
        <f>'General price list'!$AB170</f>
        <v>0</v>
      </c>
      <c r="Z170" t="str">
        <f>IFERROR(X170*VLOOKUP(C170,'General price list'!C:I,7,FALSE),"")</f>
        <v/>
      </c>
      <c r="AA170" t="str">
        <f>IF(X170&lt;&gt;"",VLOOKUP(C170,'General price list'!C170:AN1351,MATCH("HM",Tabulka1[[#Headers],[KÓD]:[NEQ]],0),FALSE),"")</f>
        <v/>
      </c>
    </row>
    <row r="171" spans="1:27">
      <c r="A171">
        <f>COUNTIF($W$22:W171,1)</f>
        <v>0</v>
      </c>
      <c r="B171">
        <v>171</v>
      </c>
      <c r="C171" s="684" t="s">
        <v>3928</v>
      </c>
      <c r="W171" t="str">
        <f t="shared" si="4"/>
        <v/>
      </c>
      <c r="X171" s="185" t="str">
        <f t="shared" si="5"/>
        <v/>
      </c>
      <c r="Y171" s="685">
        <f>'General price list'!$AB171</f>
        <v>0</v>
      </c>
      <c r="Z171" t="str">
        <f>IFERROR(X171*VLOOKUP(C171,'General price list'!C:I,7,FALSE),"")</f>
        <v/>
      </c>
      <c r="AA171" t="str">
        <f>IF(X171&lt;&gt;"",VLOOKUP(C171,'General price list'!C171:AN1352,MATCH("HM",Tabulka1[[#Headers],[KÓD]:[NEQ]],0),FALSE),"")</f>
        <v/>
      </c>
    </row>
    <row r="172" spans="1:27">
      <c r="A172">
        <f>COUNTIF($W$22:W172,1)</f>
        <v>0</v>
      </c>
      <c r="B172">
        <v>172</v>
      </c>
      <c r="C172" s="684" t="s">
        <v>409</v>
      </c>
      <c r="W172" t="str">
        <f t="shared" si="4"/>
        <v/>
      </c>
      <c r="X172" s="185" t="str">
        <f t="shared" si="5"/>
        <v/>
      </c>
      <c r="Y172" s="685">
        <f>'General price list'!$AB172</f>
        <v>0</v>
      </c>
      <c r="Z172" t="str">
        <f>IFERROR(X172*VLOOKUP(C172,'General price list'!C:I,7,FALSE),"")</f>
        <v/>
      </c>
      <c r="AA172" t="str">
        <f>IF(X172&lt;&gt;"",VLOOKUP(C172,'General price list'!C172:AN1353,MATCH("HM",Tabulka1[[#Headers],[KÓD]:[NEQ]],0),FALSE),"")</f>
        <v/>
      </c>
    </row>
    <row r="173" spans="1:27">
      <c r="A173">
        <f>COUNTIF($W$22:W173,1)</f>
        <v>0</v>
      </c>
      <c r="B173">
        <v>173</v>
      </c>
      <c r="C173" s="684" t="s">
        <v>3961</v>
      </c>
      <c r="W173" t="str">
        <f t="shared" si="4"/>
        <v/>
      </c>
      <c r="X173" s="185" t="str">
        <f t="shared" si="5"/>
        <v/>
      </c>
      <c r="Y173" s="685">
        <f>'General price list'!$AB173</f>
        <v>0</v>
      </c>
      <c r="Z173" t="str">
        <f>IFERROR(X173*VLOOKUP(C173,'General price list'!C:I,7,FALSE),"")</f>
        <v/>
      </c>
      <c r="AA173" t="str">
        <f>IF(X173&lt;&gt;"",VLOOKUP(C173,'General price list'!C173:AN1354,MATCH("HM",Tabulka1[[#Headers],[KÓD]:[NEQ]],0),FALSE),"")</f>
        <v/>
      </c>
    </row>
    <row r="174" spans="1:27">
      <c r="A174">
        <f>COUNTIF($W$22:W174,1)</f>
        <v>0</v>
      </c>
      <c r="B174">
        <v>174</v>
      </c>
      <c r="C174" s="684" t="s">
        <v>419</v>
      </c>
      <c r="W174" t="str">
        <f t="shared" si="4"/>
        <v/>
      </c>
      <c r="X174" s="185" t="str">
        <f t="shared" si="5"/>
        <v/>
      </c>
      <c r="Y174" s="685">
        <f>'General price list'!$AB174</f>
        <v>0</v>
      </c>
      <c r="Z174" t="str">
        <f>IFERROR(X174*VLOOKUP(C174,'General price list'!C:I,7,FALSE),"")</f>
        <v/>
      </c>
      <c r="AA174" t="str">
        <f>IF(X174&lt;&gt;"",VLOOKUP(C174,'General price list'!C174:AN1355,MATCH("HM",Tabulka1[[#Headers],[KÓD]:[NEQ]],0),FALSE),"")</f>
        <v/>
      </c>
    </row>
    <row r="175" spans="1:27">
      <c r="A175">
        <f>COUNTIF($W$22:W175,1)</f>
        <v>0</v>
      </c>
      <c r="B175">
        <v>175</v>
      </c>
      <c r="C175" s="684" t="s">
        <v>2486</v>
      </c>
      <c r="W175" t="str">
        <f t="shared" si="4"/>
        <v/>
      </c>
      <c r="X175" s="185" t="str">
        <f t="shared" si="5"/>
        <v/>
      </c>
      <c r="Y175" s="685">
        <f>'General price list'!$AB175</f>
        <v>0</v>
      </c>
      <c r="Z175" t="str">
        <f>IFERROR(X175*VLOOKUP(C175,'General price list'!C:I,7,FALSE),"")</f>
        <v/>
      </c>
      <c r="AA175" t="str">
        <f>IF(X175&lt;&gt;"",VLOOKUP(C175,'General price list'!C175:AN1356,MATCH("HM",Tabulka1[[#Headers],[KÓD]:[NEQ]],0),FALSE),"")</f>
        <v/>
      </c>
    </row>
    <row r="176" spans="1:27">
      <c r="A176">
        <f>COUNTIF($W$22:W176,1)</f>
        <v>0</v>
      </c>
      <c r="B176">
        <v>176</v>
      </c>
      <c r="C176" s="684" t="s">
        <v>430</v>
      </c>
      <c r="W176" t="str">
        <f t="shared" si="4"/>
        <v/>
      </c>
      <c r="X176" s="185" t="str">
        <f t="shared" si="5"/>
        <v/>
      </c>
      <c r="Y176" s="685">
        <f>'General price list'!$AB176</f>
        <v>0</v>
      </c>
      <c r="Z176" t="str">
        <f>IFERROR(X176*VLOOKUP(C176,'General price list'!C:I,7,FALSE),"")</f>
        <v/>
      </c>
      <c r="AA176" t="str">
        <f>IF(X176&lt;&gt;"",VLOOKUP(C176,'General price list'!C176:AN1357,MATCH("HM",Tabulka1[[#Headers],[KÓD]:[NEQ]],0),FALSE),"")</f>
        <v/>
      </c>
    </row>
    <row r="177" spans="1:27">
      <c r="A177">
        <f>COUNTIF($W$22:W177,1)</f>
        <v>0</v>
      </c>
      <c r="B177">
        <v>177</v>
      </c>
      <c r="C177" s="684" t="s">
        <v>433</v>
      </c>
      <c r="W177" t="str">
        <f t="shared" si="4"/>
        <v/>
      </c>
      <c r="X177" s="185" t="str">
        <f t="shared" si="5"/>
        <v/>
      </c>
      <c r="Y177" s="685">
        <f>'General price list'!$AB177</f>
        <v>0</v>
      </c>
      <c r="Z177" t="str">
        <f>IFERROR(X177*VLOOKUP(C177,'General price list'!C:I,7,FALSE),"")</f>
        <v/>
      </c>
      <c r="AA177" t="str">
        <f>IF(X177&lt;&gt;"",VLOOKUP(C177,'General price list'!C177:AN1358,MATCH("HM",Tabulka1[[#Headers],[KÓD]:[NEQ]],0),FALSE),"")</f>
        <v/>
      </c>
    </row>
    <row r="178" spans="1:27">
      <c r="A178">
        <f>COUNTIF($W$22:W178,1)</f>
        <v>0</v>
      </c>
      <c r="B178">
        <v>178</v>
      </c>
      <c r="C178" s="684" t="s">
        <v>12278</v>
      </c>
      <c r="W178" t="str">
        <f t="shared" si="4"/>
        <v/>
      </c>
      <c r="X178" s="185" t="str">
        <f t="shared" si="5"/>
        <v/>
      </c>
      <c r="Y178" s="685">
        <f>'General price list'!$AB178</f>
        <v>0</v>
      </c>
      <c r="Z178" t="str">
        <f>IFERROR(X178*VLOOKUP(C178,'General price list'!C:I,7,FALSE),"")</f>
        <v/>
      </c>
      <c r="AA178" t="str">
        <f>IF(X178&lt;&gt;"",VLOOKUP(C178,'General price list'!C178:AN1359,MATCH("HM",Tabulka1[[#Headers],[KÓD]:[NEQ]],0),FALSE),"")</f>
        <v/>
      </c>
    </row>
    <row r="179" spans="1:27">
      <c r="A179">
        <f>COUNTIF($W$22:W179,1)</f>
        <v>0</v>
      </c>
      <c r="B179">
        <v>179</v>
      </c>
      <c r="C179" s="684" t="s">
        <v>4000</v>
      </c>
      <c r="W179" t="str">
        <f t="shared" si="4"/>
        <v/>
      </c>
      <c r="X179" s="185" t="str">
        <f t="shared" si="5"/>
        <v/>
      </c>
      <c r="Y179" s="685">
        <f>'General price list'!$AB179</f>
        <v>0</v>
      </c>
      <c r="Z179" t="str">
        <f>IFERROR(X179*VLOOKUP(C179,'General price list'!C:I,7,FALSE),"")</f>
        <v/>
      </c>
      <c r="AA179" t="str">
        <f>IF(X179&lt;&gt;"",VLOOKUP(C179,'General price list'!C179:AN1360,MATCH("HM",Tabulka1[[#Headers],[KÓD]:[NEQ]],0),FALSE),"")</f>
        <v/>
      </c>
    </row>
    <row r="180" spans="1:27">
      <c r="A180">
        <f>COUNTIF($W$22:W180,1)</f>
        <v>0</v>
      </c>
      <c r="B180">
        <v>180</v>
      </c>
      <c r="W180" t="str">
        <f t="shared" si="4"/>
        <v/>
      </c>
      <c r="X180" s="185" t="str">
        <f t="shared" si="5"/>
        <v/>
      </c>
      <c r="Y180" s="685">
        <f>'General price list'!$AB180</f>
        <v>0</v>
      </c>
      <c r="Z180" t="str">
        <f>IFERROR(X180*VLOOKUP(C180,'General price list'!C:I,7,FALSE),"")</f>
        <v/>
      </c>
      <c r="AA180" t="str">
        <f>IF(X180&lt;&gt;"",VLOOKUP(C180,'General price list'!C180:AN1361,MATCH("HM",Tabulka1[[#Headers],[KÓD]:[NEQ]],0),FALSE),"")</f>
        <v/>
      </c>
    </row>
    <row r="181" spans="1:27">
      <c r="A181">
        <f>COUNTIF($W$22:W181,1)</f>
        <v>0</v>
      </c>
      <c r="B181">
        <v>181</v>
      </c>
      <c r="C181" s="684" t="s">
        <v>438</v>
      </c>
      <c r="W181" t="str">
        <f t="shared" si="4"/>
        <v/>
      </c>
      <c r="X181" s="185" t="str">
        <f t="shared" si="5"/>
        <v/>
      </c>
      <c r="Y181" s="685">
        <f>'General price list'!$AB181</f>
        <v>0</v>
      </c>
      <c r="Z181" t="str">
        <f>IFERROR(X181*VLOOKUP(C181,'General price list'!C:I,7,FALSE),"")</f>
        <v/>
      </c>
      <c r="AA181" t="str">
        <f>IF(X181&lt;&gt;"",VLOOKUP(C181,'General price list'!C181:AN1362,MATCH("HM",Tabulka1[[#Headers],[KÓD]:[NEQ]],0),FALSE),"")</f>
        <v/>
      </c>
    </row>
    <row r="182" spans="1:27">
      <c r="A182">
        <f>COUNTIF($W$22:W182,1)</f>
        <v>0</v>
      </c>
      <c r="B182">
        <v>182</v>
      </c>
      <c r="C182" s="684" t="s">
        <v>442</v>
      </c>
      <c r="W182" t="str">
        <f t="shared" si="4"/>
        <v/>
      </c>
      <c r="X182" s="185" t="str">
        <f t="shared" si="5"/>
        <v/>
      </c>
      <c r="Y182" s="685">
        <f>'General price list'!$AB182</f>
        <v>0</v>
      </c>
      <c r="Z182" t="str">
        <f>IFERROR(X182*VLOOKUP(C182,'General price list'!C:I,7,FALSE),"")</f>
        <v/>
      </c>
      <c r="AA182" t="str">
        <f>IF(X182&lt;&gt;"",VLOOKUP(C182,'General price list'!C182:AN1363,MATCH("HM",Tabulka1[[#Headers],[KÓD]:[NEQ]],0),FALSE),"")</f>
        <v/>
      </c>
    </row>
    <row r="183" spans="1:27">
      <c r="A183">
        <f>COUNTIF($W$22:W183,1)</f>
        <v>0</v>
      </c>
      <c r="B183">
        <v>183</v>
      </c>
      <c r="C183" s="684" t="s">
        <v>443</v>
      </c>
      <c r="W183" t="str">
        <f t="shared" si="4"/>
        <v/>
      </c>
      <c r="X183" s="185" t="str">
        <f t="shared" si="5"/>
        <v/>
      </c>
      <c r="Y183" s="685">
        <f>'General price list'!$AB183</f>
        <v>0</v>
      </c>
      <c r="Z183" t="str">
        <f>IFERROR(X183*VLOOKUP(C183,'General price list'!C:I,7,FALSE),"")</f>
        <v/>
      </c>
      <c r="AA183" t="str">
        <f>IF(X183&lt;&gt;"",VLOOKUP(C183,'General price list'!C183:AN1364,MATCH("HM",Tabulka1[[#Headers],[KÓD]:[NEQ]],0),FALSE),"")</f>
        <v/>
      </c>
    </row>
    <row r="184" spans="1:27">
      <c r="A184">
        <f>COUNTIF($W$22:W184,1)</f>
        <v>0</v>
      </c>
      <c r="B184">
        <v>184</v>
      </c>
      <c r="C184" s="684" t="s">
        <v>448</v>
      </c>
      <c r="W184" t="str">
        <f t="shared" si="4"/>
        <v/>
      </c>
      <c r="X184" s="185" t="str">
        <f t="shared" si="5"/>
        <v/>
      </c>
      <c r="Y184" s="685">
        <f>'General price list'!$AB184</f>
        <v>0</v>
      </c>
      <c r="Z184" t="str">
        <f>IFERROR(X184*VLOOKUP(C184,'General price list'!C:I,7,FALSE),"")</f>
        <v/>
      </c>
      <c r="AA184" t="str">
        <f>IF(X184&lt;&gt;"",VLOOKUP(C184,'General price list'!C184:AN1365,MATCH("HM",Tabulka1[[#Headers],[KÓD]:[NEQ]],0),FALSE),"")</f>
        <v/>
      </c>
    </row>
    <row r="185" spans="1:27">
      <c r="A185">
        <f>COUNTIF($W$22:W185,1)</f>
        <v>0</v>
      </c>
      <c r="B185">
        <v>185</v>
      </c>
      <c r="C185" s="684" t="s">
        <v>452</v>
      </c>
      <c r="W185" t="str">
        <f t="shared" si="4"/>
        <v/>
      </c>
      <c r="X185" s="185" t="str">
        <f t="shared" si="5"/>
        <v/>
      </c>
      <c r="Y185" s="685">
        <f>'General price list'!$AB185</f>
        <v>0</v>
      </c>
      <c r="Z185" t="str">
        <f>IFERROR(X185*VLOOKUP(C185,'General price list'!C:I,7,FALSE),"")</f>
        <v/>
      </c>
      <c r="AA185" t="str">
        <f>IF(X185&lt;&gt;"",VLOOKUP(C185,'General price list'!C185:AN1366,MATCH("HM",Tabulka1[[#Headers],[KÓD]:[NEQ]],0),FALSE),"")</f>
        <v/>
      </c>
    </row>
    <row r="186" spans="1:27">
      <c r="A186">
        <f>COUNTIF($W$22:W186,1)</f>
        <v>0</v>
      </c>
      <c r="B186">
        <v>186</v>
      </c>
      <c r="C186" s="684" t="s">
        <v>454</v>
      </c>
      <c r="W186" t="str">
        <f t="shared" si="4"/>
        <v/>
      </c>
      <c r="X186" s="185" t="str">
        <f t="shared" si="5"/>
        <v/>
      </c>
      <c r="Y186" s="685">
        <f>'General price list'!$AB186</f>
        <v>0</v>
      </c>
      <c r="Z186" t="str">
        <f>IFERROR(X186*VLOOKUP(C186,'General price list'!C:I,7,FALSE),"")</f>
        <v/>
      </c>
      <c r="AA186" t="str">
        <f>IF(X186&lt;&gt;"",VLOOKUP(C186,'General price list'!C186:AN1367,MATCH("HM",Tabulka1[[#Headers],[KÓD]:[NEQ]],0),FALSE),"")</f>
        <v/>
      </c>
    </row>
    <row r="187" spans="1:27">
      <c r="A187">
        <f>COUNTIF($W$22:W187,1)</f>
        <v>0</v>
      </c>
      <c r="B187">
        <v>187</v>
      </c>
      <c r="C187" s="684" t="s">
        <v>464</v>
      </c>
      <c r="W187" t="str">
        <f t="shared" si="4"/>
        <v/>
      </c>
      <c r="X187" s="185" t="str">
        <f t="shared" si="5"/>
        <v/>
      </c>
      <c r="Y187" s="685">
        <f>'General price list'!$AB187</f>
        <v>0</v>
      </c>
      <c r="Z187" t="str">
        <f>IFERROR(X187*VLOOKUP(C187,'General price list'!C:I,7,FALSE),"")</f>
        <v/>
      </c>
      <c r="AA187" t="str">
        <f>IF(X187&lt;&gt;"",VLOOKUP(C187,'General price list'!C187:AN1368,MATCH("HM",Tabulka1[[#Headers],[KÓD]:[NEQ]],0),FALSE),"")</f>
        <v/>
      </c>
    </row>
    <row r="188" spans="1:27">
      <c r="A188">
        <f>COUNTIF($W$22:W188,1)</f>
        <v>0</v>
      </c>
      <c r="B188">
        <v>188</v>
      </c>
      <c r="C188" s="684" t="s">
        <v>468</v>
      </c>
      <c r="W188" t="str">
        <f t="shared" si="4"/>
        <v/>
      </c>
      <c r="X188" s="185" t="str">
        <f t="shared" si="5"/>
        <v/>
      </c>
      <c r="Y188" s="685">
        <f>'General price list'!$AB188</f>
        <v>0</v>
      </c>
      <c r="Z188" t="str">
        <f>IFERROR(X188*VLOOKUP(C188,'General price list'!C:I,7,FALSE),"")</f>
        <v/>
      </c>
      <c r="AA188" t="str">
        <f>IF(X188&lt;&gt;"",VLOOKUP(C188,'General price list'!C188:AN1369,MATCH("HM",Tabulka1[[#Headers],[KÓD]:[NEQ]],0),FALSE),"")</f>
        <v/>
      </c>
    </row>
    <row r="189" spans="1:27">
      <c r="A189">
        <f>COUNTIF($W$22:W189,1)</f>
        <v>0</v>
      </c>
      <c r="B189">
        <v>189</v>
      </c>
      <c r="C189" s="684" t="s">
        <v>472</v>
      </c>
      <c r="W189" t="str">
        <f t="shared" si="4"/>
        <v/>
      </c>
      <c r="X189" s="185" t="str">
        <f t="shared" si="5"/>
        <v/>
      </c>
      <c r="Y189" s="685">
        <f>'General price list'!$AB189</f>
        <v>0</v>
      </c>
      <c r="Z189" t="str">
        <f>IFERROR(X189*VLOOKUP(C189,'General price list'!C:I,7,FALSE),"")</f>
        <v/>
      </c>
      <c r="AA189" t="str">
        <f>IF(X189&lt;&gt;"",VLOOKUP(C189,'General price list'!C189:AN1370,MATCH("HM",Tabulka1[[#Headers],[KÓD]:[NEQ]],0),FALSE),"")</f>
        <v/>
      </c>
    </row>
    <row r="190" spans="1:27">
      <c r="A190">
        <f>COUNTIF($W$22:W190,1)</f>
        <v>0</v>
      </c>
      <c r="B190">
        <v>190</v>
      </c>
      <c r="C190" s="684" t="s">
        <v>476</v>
      </c>
      <c r="W190" t="str">
        <f t="shared" si="4"/>
        <v/>
      </c>
      <c r="X190" s="185" t="str">
        <f t="shared" si="5"/>
        <v/>
      </c>
      <c r="Y190" s="685">
        <f>'General price list'!$AB190</f>
        <v>0</v>
      </c>
      <c r="Z190" t="str">
        <f>IFERROR(X190*VLOOKUP(C190,'General price list'!C:I,7,FALSE),"")</f>
        <v/>
      </c>
      <c r="AA190" t="str">
        <f>IF(X190&lt;&gt;"",VLOOKUP(C190,'General price list'!C190:AN1371,MATCH("HM",Tabulka1[[#Headers],[KÓD]:[NEQ]],0),FALSE),"")</f>
        <v/>
      </c>
    </row>
    <row r="191" spans="1:27">
      <c r="A191">
        <f>COUNTIF($W$22:W191,1)</f>
        <v>0</v>
      </c>
      <c r="B191">
        <v>191</v>
      </c>
      <c r="C191" s="684" t="s">
        <v>484</v>
      </c>
      <c r="W191" t="str">
        <f t="shared" si="4"/>
        <v/>
      </c>
      <c r="X191" s="185" t="str">
        <f t="shared" si="5"/>
        <v/>
      </c>
      <c r="Y191" s="685">
        <f>'General price list'!$AB191</f>
        <v>0</v>
      </c>
      <c r="Z191" t="str">
        <f>IFERROR(X191*VLOOKUP(C191,'General price list'!C:I,7,FALSE),"")</f>
        <v/>
      </c>
      <c r="AA191" t="str">
        <f>IF(X191&lt;&gt;"",VLOOKUP(C191,'General price list'!C191:AN1372,MATCH("HM",Tabulka1[[#Headers],[KÓD]:[NEQ]],0),FALSE),"")</f>
        <v/>
      </c>
    </row>
    <row r="192" spans="1:27">
      <c r="A192">
        <f>COUNTIF($W$22:W192,1)</f>
        <v>0</v>
      </c>
      <c r="B192">
        <v>192</v>
      </c>
      <c r="C192" s="684" t="s">
        <v>487</v>
      </c>
      <c r="W192" t="str">
        <f t="shared" si="4"/>
        <v/>
      </c>
      <c r="X192" s="185" t="str">
        <f t="shared" si="5"/>
        <v/>
      </c>
      <c r="Y192" s="685">
        <f>'General price list'!$AB192</f>
        <v>0</v>
      </c>
      <c r="Z192" t="str">
        <f>IFERROR(X192*VLOOKUP(C192,'General price list'!C:I,7,FALSE),"")</f>
        <v/>
      </c>
      <c r="AA192" t="str">
        <f>IF(X192&lt;&gt;"",VLOOKUP(C192,'General price list'!C192:AN1373,MATCH("HM",Tabulka1[[#Headers],[KÓD]:[NEQ]],0),FALSE),"")</f>
        <v/>
      </c>
    </row>
    <row r="193" spans="1:27">
      <c r="A193">
        <f>COUNTIF($W$22:W193,1)</f>
        <v>0</v>
      </c>
      <c r="B193">
        <v>193</v>
      </c>
      <c r="W193" t="str">
        <f t="shared" si="4"/>
        <v/>
      </c>
      <c r="X193" s="185" t="str">
        <f t="shared" si="5"/>
        <v/>
      </c>
      <c r="Y193" s="685">
        <f>'General price list'!$AB193</f>
        <v>0</v>
      </c>
      <c r="Z193" t="str">
        <f>IFERROR(X193*VLOOKUP(C193,'General price list'!C:I,7,FALSE),"")</f>
        <v/>
      </c>
      <c r="AA193" t="str">
        <f>IF(X193&lt;&gt;"",VLOOKUP(C193,'General price list'!C193:AN1374,MATCH("HM",Tabulka1[[#Headers],[KÓD]:[NEQ]],0),FALSE),"")</f>
        <v/>
      </c>
    </row>
    <row r="194" spans="1:27">
      <c r="A194">
        <f>COUNTIF($W$22:W194,1)</f>
        <v>0</v>
      </c>
      <c r="B194">
        <v>194</v>
      </c>
      <c r="C194" s="684" t="s">
        <v>491</v>
      </c>
      <c r="W194" t="str">
        <f t="shared" si="4"/>
        <v/>
      </c>
      <c r="X194" s="185" t="str">
        <f t="shared" si="5"/>
        <v/>
      </c>
      <c r="Y194" s="685">
        <f>'General price list'!$AB194</f>
        <v>0</v>
      </c>
      <c r="Z194" t="str">
        <f>IFERROR(X194*VLOOKUP(C194,'General price list'!C:I,7,FALSE),"")</f>
        <v/>
      </c>
      <c r="AA194" t="str">
        <f>IF(X194&lt;&gt;"",VLOOKUP(C194,'General price list'!C194:AN1375,MATCH("HM",Tabulka1[[#Headers],[KÓD]:[NEQ]],0),FALSE),"")</f>
        <v/>
      </c>
    </row>
    <row r="195" spans="1:27">
      <c r="A195">
        <f>COUNTIF($W$22:W195,1)</f>
        <v>0</v>
      </c>
      <c r="B195">
        <v>195</v>
      </c>
      <c r="C195" s="684" t="s">
        <v>497</v>
      </c>
      <c r="W195" t="str">
        <f t="shared" si="4"/>
        <v/>
      </c>
      <c r="X195" s="185" t="str">
        <f t="shared" si="5"/>
        <v/>
      </c>
      <c r="Y195" s="685">
        <f>'General price list'!$AB195</f>
        <v>0</v>
      </c>
      <c r="Z195" t="str">
        <f>IFERROR(X195*VLOOKUP(C195,'General price list'!C:I,7,FALSE),"")</f>
        <v/>
      </c>
      <c r="AA195" t="str">
        <f>IF(X195&lt;&gt;"",VLOOKUP(C195,'General price list'!C195:AN1376,MATCH("HM",Tabulka1[[#Headers],[KÓD]:[NEQ]],0),FALSE),"")</f>
        <v/>
      </c>
    </row>
    <row r="196" spans="1:27">
      <c r="A196">
        <f>COUNTIF($W$22:W196,1)</f>
        <v>0</v>
      </c>
      <c r="B196">
        <v>196</v>
      </c>
      <c r="C196" s="684" t="s">
        <v>503</v>
      </c>
      <c r="W196" t="str">
        <f t="shared" si="4"/>
        <v/>
      </c>
      <c r="X196" s="185" t="str">
        <f t="shared" si="5"/>
        <v/>
      </c>
      <c r="Y196" s="685">
        <f>'General price list'!$AB196</f>
        <v>0</v>
      </c>
      <c r="Z196" t="str">
        <f>IFERROR(X196*VLOOKUP(C196,'General price list'!C:I,7,FALSE),"")</f>
        <v/>
      </c>
      <c r="AA196" t="str">
        <f>IF(X196&lt;&gt;"",VLOOKUP(C196,'General price list'!C196:AN1377,MATCH("HM",Tabulka1[[#Headers],[KÓD]:[NEQ]],0),FALSE),"")</f>
        <v/>
      </c>
    </row>
    <row r="197" spans="1:27">
      <c r="A197">
        <f>COUNTIF($W$22:W197,1)</f>
        <v>0</v>
      </c>
      <c r="B197">
        <v>197</v>
      </c>
      <c r="C197" s="684" t="s">
        <v>511</v>
      </c>
      <c r="W197" t="str">
        <f t="shared" si="4"/>
        <v/>
      </c>
      <c r="X197" s="185" t="str">
        <f t="shared" si="5"/>
        <v/>
      </c>
      <c r="Y197" s="685">
        <f>'General price list'!$AB197</f>
        <v>0</v>
      </c>
      <c r="Z197" t="str">
        <f>IFERROR(X197*VLOOKUP(C197,'General price list'!C:I,7,FALSE),"")</f>
        <v/>
      </c>
      <c r="AA197" t="str">
        <f>IF(X197&lt;&gt;"",VLOOKUP(C197,'General price list'!C197:AN1378,MATCH("HM",Tabulka1[[#Headers],[KÓD]:[NEQ]],0),FALSE),"")</f>
        <v/>
      </c>
    </row>
    <row r="198" spans="1:27">
      <c r="A198">
        <f>COUNTIF($W$22:W198,1)</f>
        <v>0</v>
      </c>
      <c r="B198">
        <v>198</v>
      </c>
      <c r="C198" s="684" t="s">
        <v>516</v>
      </c>
      <c r="W198" t="str">
        <f t="shared" si="4"/>
        <v/>
      </c>
      <c r="X198" s="185" t="str">
        <f t="shared" si="5"/>
        <v/>
      </c>
      <c r="Y198" s="685">
        <f>'General price list'!$AB198</f>
        <v>0</v>
      </c>
      <c r="Z198" t="str">
        <f>IFERROR(X198*VLOOKUP(C198,'General price list'!C:I,7,FALSE),"")</f>
        <v/>
      </c>
      <c r="AA198" t="str">
        <f>IF(X198&lt;&gt;"",VLOOKUP(C198,'General price list'!C198:AN1379,MATCH("HM",Tabulka1[[#Headers],[KÓD]:[NEQ]],0),FALSE),"")</f>
        <v/>
      </c>
    </row>
    <row r="199" spans="1:27">
      <c r="A199">
        <f>COUNTIF($W$22:W199,1)</f>
        <v>0</v>
      </c>
      <c r="B199">
        <v>199</v>
      </c>
      <c r="W199" t="str">
        <f t="shared" si="4"/>
        <v/>
      </c>
      <c r="X199" s="185" t="str">
        <f t="shared" si="5"/>
        <v/>
      </c>
      <c r="Y199" s="685">
        <f>'General price list'!$AB199</f>
        <v>0</v>
      </c>
      <c r="Z199" t="str">
        <f>IFERROR(X199*VLOOKUP(C199,'General price list'!C:I,7,FALSE),"")</f>
        <v/>
      </c>
      <c r="AA199" t="str">
        <f>IF(X199&lt;&gt;"",VLOOKUP(C199,'General price list'!C199:AN1380,MATCH("HM",Tabulka1[[#Headers],[KÓD]:[NEQ]],0),FALSE),"")</f>
        <v/>
      </c>
    </row>
    <row r="200" spans="1:27">
      <c r="A200">
        <f>COUNTIF($W$22:W200,1)</f>
        <v>0</v>
      </c>
      <c r="B200">
        <v>200</v>
      </c>
      <c r="C200" s="684" t="s">
        <v>557</v>
      </c>
      <c r="W200" t="str">
        <f t="shared" si="4"/>
        <v/>
      </c>
      <c r="X200" s="185" t="str">
        <f t="shared" si="5"/>
        <v/>
      </c>
      <c r="Y200" s="685">
        <f>'General price list'!$AB200</f>
        <v>0</v>
      </c>
      <c r="Z200" t="str">
        <f>IFERROR(X200*VLOOKUP(C200,'General price list'!C:I,7,FALSE),"")</f>
        <v/>
      </c>
      <c r="AA200" t="str">
        <f>IF(X200&lt;&gt;"",VLOOKUP(C200,'General price list'!C200:AN1381,MATCH("HM",Tabulka1[[#Headers],[KÓD]:[NEQ]],0),FALSE),"")</f>
        <v/>
      </c>
    </row>
    <row r="201" spans="1:27">
      <c r="A201">
        <f>COUNTIF($W$22:W201,1)</f>
        <v>0</v>
      </c>
      <c r="B201">
        <v>201</v>
      </c>
      <c r="C201" s="684" t="s">
        <v>563</v>
      </c>
      <c r="W201" t="str">
        <f t="shared" si="4"/>
        <v/>
      </c>
      <c r="X201" s="185" t="str">
        <f t="shared" si="5"/>
        <v/>
      </c>
      <c r="Y201" s="685">
        <f>'General price list'!$AB201</f>
        <v>0</v>
      </c>
      <c r="Z201" t="str">
        <f>IFERROR(X201*VLOOKUP(C201,'General price list'!C:I,7,FALSE),"")</f>
        <v/>
      </c>
      <c r="AA201" t="str">
        <f>IF(X201&lt;&gt;"",VLOOKUP(C201,'General price list'!C201:AN1382,MATCH("HM",Tabulka1[[#Headers],[KÓD]:[NEQ]],0),FALSE),"")</f>
        <v/>
      </c>
    </row>
    <row r="202" spans="1:27">
      <c r="A202">
        <f>COUNTIF($W$22:W202,1)</f>
        <v>0</v>
      </c>
      <c r="B202">
        <v>202</v>
      </c>
      <c r="C202" s="684" t="s">
        <v>568</v>
      </c>
      <c r="W202" t="str">
        <f t="shared" si="4"/>
        <v/>
      </c>
      <c r="X202" s="185" t="str">
        <f t="shared" si="5"/>
        <v/>
      </c>
      <c r="Y202" s="685">
        <f>'General price list'!$AB202</f>
        <v>0</v>
      </c>
      <c r="Z202" t="str">
        <f>IFERROR(X202*VLOOKUP(C202,'General price list'!C:I,7,FALSE),"")</f>
        <v/>
      </c>
      <c r="AA202" t="str">
        <f>IF(X202&lt;&gt;"",VLOOKUP(C202,'General price list'!C202:AN1383,MATCH("HM",Tabulka1[[#Headers],[KÓD]:[NEQ]],0),FALSE),"")</f>
        <v/>
      </c>
    </row>
    <row r="203" spans="1:27">
      <c r="A203">
        <f>COUNTIF($W$22:W203,1)</f>
        <v>0</v>
      </c>
      <c r="B203">
        <v>203</v>
      </c>
      <c r="C203" s="684" t="s">
        <v>573</v>
      </c>
      <c r="W203" t="str">
        <f t="shared" si="4"/>
        <v/>
      </c>
      <c r="X203" s="185" t="str">
        <f t="shared" si="5"/>
        <v/>
      </c>
      <c r="Y203" s="685">
        <f>'General price list'!$AB203</f>
        <v>0</v>
      </c>
      <c r="Z203" t="str">
        <f>IFERROR(X203*VLOOKUP(C203,'General price list'!C:I,7,FALSE),"")</f>
        <v/>
      </c>
      <c r="AA203" t="str">
        <f>IF(X203&lt;&gt;"",VLOOKUP(C203,'General price list'!C203:AN1384,MATCH("HM",Tabulka1[[#Headers],[KÓD]:[NEQ]],0),FALSE),"")</f>
        <v/>
      </c>
    </row>
    <row r="204" spans="1:27">
      <c r="A204">
        <f>COUNTIF($W$22:W204,1)</f>
        <v>0</v>
      </c>
      <c r="B204">
        <v>204</v>
      </c>
      <c r="W204" t="str">
        <f t="shared" si="4"/>
        <v/>
      </c>
      <c r="X204" s="185" t="str">
        <f t="shared" si="5"/>
        <v/>
      </c>
      <c r="Y204" s="685">
        <f>'General price list'!$AB204</f>
        <v>0</v>
      </c>
      <c r="Z204" t="str">
        <f>IFERROR(X204*VLOOKUP(C204,'General price list'!C:I,7,FALSE),"")</f>
        <v/>
      </c>
      <c r="AA204" t="str">
        <f>IF(X204&lt;&gt;"",VLOOKUP(C204,'General price list'!C204:AN1385,MATCH("HM",Tabulka1[[#Headers],[KÓD]:[NEQ]],0),FALSE),"")</f>
        <v/>
      </c>
    </row>
    <row r="205" spans="1:27">
      <c r="A205">
        <f>COUNTIF($W$22:W205,1)</f>
        <v>0</v>
      </c>
      <c r="B205">
        <v>205</v>
      </c>
      <c r="C205" s="684" t="s">
        <v>587</v>
      </c>
      <c r="W205" t="str">
        <f t="shared" si="4"/>
        <v/>
      </c>
      <c r="X205" s="185" t="str">
        <f t="shared" si="5"/>
        <v/>
      </c>
      <c r="Y205" s="685">
        <f>'General price list'!$AB205</f>
        <v>0</v>
      </c>
      <c r="Z205" t="str">
        <f>IFERROR(X205*VLOOKUP(C205,'General price list'!C:I,7,FALSE),"")</f>
        <v/>
      </c>
      <c r="AA205" t="str">
        <f>IF(X205&lt;&gt;"",VLOOKUP(C205,'General price list'!C205:AN1386,MATCH("HM",Tabulka1[[#Headers],[KÓD]:[NEQ]],0),FALSE),"")</f>
        <v/>
      </c>
    </row>
    <row r="206" spans="1:27">
      <c r="A206">
        <f>COUNTIF($W$22:W206,1)</f>
        <v>0</v>
      </c>
      <c r="B206">
        <v>206</v>
      </c>
      <c r="C206" s="684" t="s">
        <v>2489</v>
      </c>
      <c r="W206" t="str">
        <f t="shared" si="4"/>
        <v/>
      </c>
      <c r="X206" s="185" t="str">
        <f t="shared" si="5"/>
        <v/>
      </c>
      <c r="Y206" s="685">
        <f>'General price list'!$AB206</f>
        <v>0</v>
      </c>
      <c r="Z206" t="str">
        <f>IFERROR(X206*VLOOKUP(C206,'General price list'!C:I,7,FALSE),"")</f>
        <v/>
      </c>
      <c r="AA206" t="str">
        <f>IF(X206&lt;&gt;"",VLOOKUP(C206,'General price list'!C206:AN1387,MATCH("HM",Tabulka1[[#Headers],[KÓD]:[NEQ]],0),FALSE),"")</f>
        <v/>
      </c>
    </row>
    <row r="207" spans="1:27">
      <c r="A207">
        <f>COUNTIF($W$22:W207,1)</f>
        <v>0</v>
      </c>
      <c r="B207">
        <v>207</v>
      </c>
      <c r="W207" t="str">
        <f t="shared" si="4"/>
        <v/>
      </c>
      <c r="X207" s="185" t="str">
        <f t="shared" si="5"/>
        <v/>
      </c>
      <c r="Y207" s="685">
        <f>'General price list'!$AB207</f>
        <v>0</v>
      </c>
      <c r="Z207" t="str">
        <f>IFERROR(X207*VLOOKUP(C207,'General price list'!C:I,7,FALSE),"")</f>
        <v/>
      </c>
      <c r="AA207" t="str">
        <f>IF(X207&lt;&gt;"",VLOOKUP(C207,'General price list'!C207:AN1388,MATCH("HM",Tabulka1[[#Headers],[KÓD]:[NEQ]],0),FALSE),"")</f>
        <v/>
      </c>
    </row>
    <row r="208" spans="1:27">
      <c r="A208">
        <f>COUNTIF($W$22:W208,1)</f>
        <v>0</v>
      </c>
      <c r="B208">
        <v>208</v>
      </c>
      <c r="C208" s="684" t="s">
        <v>597</v>
      </c>
      <c r="W208" t="str">
        <f t="shared" si="4"/>
        <v/>
      </c>
      <c r="X208" s="185" t="str">
        <f t="shared" si="5"/>
        <v/>
      </c>
      <c r="Y208" s="685">
        <f>'General price list'!$AB208</f>
        <v>0</v>
      </c>
      <c r="Z208" t="str">
        <f>IFERROR(X208*VLOOKUP(C208,'General price list'!C:I,7,FALSE),"")</f>
        <v/>
      </c>
      <c r="AA208" t="str">
        <f>IF(X208&lt;&gt;"",VLOOKUP(C208,'General price list'!C208:AN1389,MATCH("HM",Tabulka1[[#Headers],[KÓD]:[NEQ]],0),FALSE),"")</f>
        <v/>
      </c>
    </row>
    <row r="209" spans="1:27">
      <c r="A209">
        <f>COUNTIF($W$22:W209,1)</f>
        <v>0</v>
      </c>
      <c r="B209">
        <v>209</v>
      </c>
      <c r="C209" s="684" t="s">
        <v>603</v>
      </c>
      <c r="W209" t="str">
        <f t="shared" si="4"/>
        <v/>
      </c>
      <c r="X209" s="185" t="str">
        <f t="shared" si="5"/>
        <v/>
      </c>
      <c r="Y209" s="685">
        <f>'General price list'!$AB209</f>
        <v>0</v>
      </c>
      <c r="Z209" t="str">
        <f>IFERROR(X209*VLOOKUP(C209,'General price list'!C:I,7,FALSE),"")</f>
        <v/>
      </c>
      <c r="AA209" t="str">
        <f>IF(X209&lt;&gt;"",VLOOKUP(C209,'General price list'!C209:AN1390,MATCH("HM",Tabulka1[[#Headers],[KÓD]:[NEQ]],0),FALSE),"")</f>
        <v/>
      </c>
    </row>
    <row r="210" spans="1:27">
      <c r="A210">
        <f>COUNTIF($W$22:W210,1)</f>
        <v>0</v>
      </c>
      <c r="B210">
        <v>210</v>
      </c>
      <c r="C210" s="684" t="s">
        <v>609</v>
      </c>
      <c r="W210" t="str">
        <f t="shared" si="4"/>
        <v/>
      </c>
      <c r="X210" s="185" t="str">
        <f t="shared" si="5"/>
        <v/>
      </c>
      <c r="Y210" s="685">
        <f>'General price list'!$AB210</f>
        <v>0</v>
      </c>
      <c r="Z210" t="str">
        <f>IFERROR(X210*VLOOKUP(C210,'General price list'!C:I,7,FALSE),"")</f>
        <v/>
      </c>
      <c r="AA210" t="str">
        <f>IF(X210&lt;&gt;"",VLOOKUP(C210,'General price list'!C210:AN1391,MATCH("HM",Tabulka1[[#Headers],[KÓD]:[NEQ]],0),FALSE),"")</f>
        <v/>
      </c>
    </row>
    <row r="211" spans="1:27">
      <c r="A211">
        <f>COUNTIF($W$22:W211,1)</f>
        <v>0</v>
      </c>
      <c r="B211">
        <v>211</v>
      </c>
      <c r="C211" s="684" t="s">
        <v>613</v>
      </c>
      <c r="W211" t="str">
        <f t="shared" si="4"/>
        <v/>
      </c>
      <c r="X211" s="185" t="str">
        <f t="shared" si="5"/>
        <v/>
      </c>
      <c r="Y211" s="685">
        <f>'General price list'!$AB211</f>
        <v>0</v>
      </c>
      <c r="Z211" t="str">
        <f>IFERROR(X211*VLOOKUP(C211,'General price list'!C:I,7,FALSE),"")</f>
        <v/>
      </c>
      <c r="AA211" t="str">
        <f>IF(X211&lt;&gt;"",VLOOKUP(C211,'General price list'!C211:AN1392,MATCH("HM",Tabulka1[[#Headers],[KÓD]:[NEQ]],0),FALSE),"")</f>
        <v/>
      </c>
    </row>
    <row r="212" spans="1:27">
      <c r="A212">
        <f>COUNTIF($W$22:W212,1)</f>
        <v>0</v>
      </c>
      <c r="B212">
        <v>212</v>
      </c>
      <c r="C212" s="684" t="s">
        <v>623</v>
      </c>
      <c r="W212" t="str">
        <f t="shared" si="4"/>
        <v/>
      </c>
      <c r="X212" s="185" t="str">
        <f t="shared" si="5"/>
        <v/>
      </c>
      <c r="Y212" s="685">
        <f>'General price list'!$AB212</f>
        <v>0</v>
      </c>
      <c r="Z212" t="str">
        <f>IFERROR(X212*VLOOKUP(C212,'General price list'!C:I,7,FALSE),"")</f>
        <v/>
      </c>
      <c r="AA212" t="str">
        <f>IF(X212&lt;&gt;"",VLOOKUP(C212,'General price list'!C212:AN1393,MATCH("HM",Tabulka1[[#Headers],[KÓD]:[NEQ]],0),FALSE),"")</f>
        <v/>
      </c>
    </row>
    <row r="213" spans="1:27">
      <c r="A213">
        <f>COUNTIF($W$22:W213,1)</f>
        <v>0</v>
      </c>
      <c r="B213">
        <v>213</v>
      </c>
      <c r="C213" s="684" t="s">
        <v>626</v>
      </c>
      <c r="W213" t="str">
        <f t="shared" si="4"/>
        <v/>
      </c>
      <c r="X213" s="185" t="str">
        <f t="shared" si="5"/>
        <v/>
      </c>
      <c r="Y213" s="685">
        <f>'General price list'!$AB213</f>
        <v>0</v>
      </c>
      <c r="Z213" t="str">
        <f>IFERROR(X213*VLOOKUP(C213,'General price list'!C:I,7,FALSE),"")</f>
        <v/>
      </c>
      <c r="AA213" t="str">
        <f>IF(X213&lt;&gt;"",VLOOKUP(C213,'General price list'!C213:AN1394,MATCH("HM",Tabulka1[[#Headers],[KÓD]:[NEQ]],0),FALSE),"")</f>
        <v/>
      </c>
    </row>
    <row r="214" spans="1:27">
      <c r="A214">
        <f>COUNTIF($W$22:W214,1)</f>
        <v>0</v>
      </c>
      <c r="B214">
        <v>214</v>
      </c>
      <c r="C214" s="684" t="s">
        <v>631</v>
      </c>
      <c r="W214" t="str">
        <f t="shared" si="4"/>
        <v/>
      </c>
      <c r="X214" s="185" t="str">
        <f t="shared" si="5"/>
        <v/>
      </c>
      <c r="Y214" s="685">
        <f>'General price list'!$AB214</f>
        <v>0</v>
      </c>
      <c r="Z214" t="str">
        <f>IFERROR(X214*VLOOKUP(C214,'General price list'!C:I,7,FALSE),"")</f>
        <v/>
      </c>
      <c r="AA214" t="str">
        <f>IF(X214&lt;&gt;"",VLOOKUP(C214,'General price list'!C214:AN1395,MATCH("HM",Tabulka1[[#Headers],[KÓD]:[NEQ]],0),FALSE),"")</f>
        <v/>
      </c>
    </row>
    <row r="215" spans="1:27">
      <c r="A215">
        <f>COUNTIF($W$22:W215,1)</f>
        <v>0</v>
      </c>
      <c r="B215">
        <v>215</v>
      </c>
      <c r="W215" t="str">
        <f t="shared" ref="W215:W278" si="6">IF(Y215+1=1,"",1)</f>
        <v/>
      </c>
      <c r="X215" s="185" t="str">
        <f t="shared" si="5"/>
        <v/>
      </c>
      <c r="Y215" s="685">
        <f>'General price list'!$AB215</f>
        <v>0</v>
      </c>
      <c r="Z215" t="str">
        <f>IFERROR(X215*VLOOKUP(C215,'General price list'!C:I,7,FALSE),"")</f>
        <v/>
      </c>
      <c r="AA215" t="str">
        <f>IF(X215&lt;&gt;"",VLOOKUP(C215,'General price list'!C215:AN1396,MATCH("HM",Tabulka1[[#Headers],[KÓD]:[NEQ]],0),FALSE),"")</f>
        <v/>
      </c>
    </row>
    <row r="216" spans="1:27">
      <c r="A216">
        <f>COUNTIF($W$22:W216,1)</f>
        <v>0</v>
      </c>
      <c r="B216">
        <v>216</v>
      </c>
      <c r="C216" s="684" t="s">
        <v>641</v>
      </c>
      <c r="W216" t="str">
        <f t="shared" si="6"/>
        <v/>
      </c>
      <c r="X216" s="185" t="str">
        <f t="shared" ref="X216:X279" si="7">IF(A216&gt;$C$21,"",IF(Y216=0,"",Y216))</f>
        <v/>
      </c>
      <c r="Y216" s="685">
        <f>'General price list'!$AB216</f>
        <v>0</v>
      </c>
      <c r="Z216" t="str">
        <f>IFERROR(X216*VLOOKUP(C216,'General price list'!C:I,7,FALSE),"")</f>
        <v/>
      </c>
      <c r="AA216" t="str">
        <f>IF(X216&lt;&gt;"",VLOOKUP(C216,'General price list'!C216:AN1397,MATCH("HM",Tabulka1[[#Headers],[KÓD]:[NEQ]],0),FALSE),"")</f>
        <v/>
      </c>
    </row>
    <row r="217" spans="1:27">
      <c r="A217">
        <f>COUNTIF($W$22:W217,1)</f>
        <v>0</v>
      </c>
      <c r="B217">
        <v>217</v>
      </c>
      <c r="C217" s="684" t="s">
        <v>648</v>
      </c>
      <c r="W217" t="str">
        <f t="shared" si="6"/>
        <v/>
      </c>
      <c r="X217" s="185" t="str">
        <f t="shared" si="7"/>
        <v/>
      </c>
      <c r="Y217" s="685">
        <f>'General price list'!$AB217</f>
        <v>0</v>
      </c>
      <c r="Z217" t="str">
        <f>IFERROR(X217*VLOOKUP(C217,'General price list'!C:I,7,FALSE),"")</f>
        <v/>
      </c>
      <c r="AA217" t="str">
        <f>IF(X217&lt;&gt;"",VLOOKUP(C217,'General price list'!C217:AN1398,MATCH("HM",Tabulka1[[#Headers],[KÓD]:[NEQ]],0),FALSE),"")</f>
        <v/>
      </c>
    </row>
    <row r="218" spans="1:27">
      <c r="A218">
        <f>COUNTIF($W$22:W218,1)</f>
        <v>0</v>
      </c>
      <c r="B218">
        <v>218</v>
      </c>
      <c r="C218" s="684" t="s">
        <v>653</v>
      </c>
      <c r="W218" t="str">
        <f t="shared" si="6"/>
        <v/>
      </c>
      <c r="X218" s="185" t="str">
        <f t="shared" si="7"/>
        <v/>
      </c>
      <c r="Y218" s="685">
        <f>'General price list'!$AB218</f>
        <v>0</v>
      </c>
      <c r="Z218" t="str">
        <f>IFERROR(X218*VLOOKUP(C218,'General price list'!C:I,7,FALSE),"")</f>
        <v/>
      </c>
      <c r="AA218" t="str">
        <f>IF(X218&lt;&gt;"",VLOOKUP(C218,'General price list'!C218:AN1399,MATCH("HM",Tabulka1[[#Headers],[KÓD]:[NEQ]],0),FALSE),"")</f>
        <v/>
      </c>
    </row>
    <row r="219" spans="1:27">
      <c r="A219">
        <f>COUNTIF($W$22:W219,1)</f>
        <v>0</v>
      </c>
      <c r="B219">
        <v>219</v>
      </c>
      <c r="C219" s="684" t="s">
        <v>2490</v>
      </c>
      <c r="W219" t="str">
        <f t="shared" si="6"/>
        <v/>
      </c>
      <c r="X219" s="185" t="str">
        <f t="shared" si="7"/>
        <v/>
      </c>
      <c r="Y219" s="685">
        <f>'General price list'!$AB219</f>
        <v>0</v>
      </c>
      <c r="Z219" t="str">
        <f>IFERROR(X219*VLOOKUP(C219,'General price list'!C:I,7,FALSE),"")</f>
        <v/>
      </c>
      <c r="AA219" t="str">
        <f>IF(X219&lt;&gt;"",VLOOKUP(C219,'General price list'!C219:AN1400,MATCH("HM",Tabulka1[[#Headers],[KÓD]:[NEQ]],0),FALSE),"")</f>
        <v/>
      </c>
    </row>
    <row r="220" spans="1:27">
      <c r="A220">
        <f>COUNTIF($W$22:W220,1)</f>
        <v>0</v>
      </c>
      <c r="B220">
        <v>220</v>
      </c>
      <c r="C220" s="684" t="s">
        <v>657</v>
      </c>
      <c r="W220" t="str">
        <f t="shared" si="6"/>
        <v/>
      </c>
      <c r="X220" s="185" t="str">
        <f t="shared" si="7"/>
        <v/>
      </c>
      <c r="Y220" s="685">
        <f>'General price list'!$AB220</f>
        <v>0</v>
      </c>
      <c r="Z220" t="str">
        <f>IFERROR(X220*VLOOKUP(C220,'General price list'!C:I,7,FALSE),"")</f>
        <v/>
      </c>
      <c r="AA220" t="str">
        <f>IF(X220&lt;&gt;"",VLOOKUP(C220,'General price list'!C220:AN1401,MATCH("HM",Tabulka1[[#Headers],[KÓD]:[NEQ]],0),FALSE),"")</f>
        <v/>
      </c>
    </row>
    <row r="221" spans="1:27">
      <c r="A221">
        <f>COUNTIF($W$22:W221,1)</f>
        <v>0</v>
      </c>
      <c r="B221">
        <v>221</v>
      </c>
      <c r="C221" s="684" t="s">
        <v>4318</v>
      </c>
      <c r="W221" t="str">
        <f t="shared" si="6"/>
        <v/>
      </c>
      <c r="X221" s="185" t="str">
        <f t="shared" si="7"/>
        <v/>
      </c>
      <c r="Y221" s="685">
        <f>'General price list'!$AB221</f>
        <v>0</v>
      </c>
      <c r="Z221" t="str">
        <f>IFERROR(X221*VLOOKUP(C221,'General price list'!C:I,7,FALSE),"")</f>
        <v/>
      </c>
      <c r="AA221" t="str">
        <f>IF(X221&lt;&gt;"",VLOOKUP(C221,'General price list'!C221:AN1402,MATCH("HM",Tabulka1[[#Headers],[KÓD]:[NEQ]],0),FALSE),"")</f>
        <v/>
      </c>
    </row>
    <row r="222" spans="1:27">
      <c r="A222">
        <f>COUNTIF($W$22:W222,1)</f>
        <v>0</v>
      </c>
      <c r="B222">
        <v>222</v>
      </c>
      <c r="W222" t="str">
        <f t="shared" si="6"/>
        <v/>
      </c>
      <c r="X222" s="185" t="str">
        <f t="shared" si="7"/>
        <v/>
      </c>
      <c r="Y222" s="685">
        <f>'General price list'!$AB222</f>
        <v>0</v>
      </c>
      <c r="Z222" t="str">
        <f>IFERROR(X222*VLOOKUP(C222,'General price list'!C:I,7,FALSE),"")</f>
        <v/>
      </c>
      <c r="AA222" t="str">
        <f>IF(X222&lt;&gt;"",VLOOKUP(C222,'General price list'!C222:AN1403,MATCH("HM",Tabulka1[[#Headers],[KÓD]:[NEQ]],0),FALSE),"")</f>
        <v/>
      </c>
    </row>
    <row r="223" spans="1:27">
      <c r="A223">
        <f>COUNTIF($W$22:W223,1)</f>
        <v>0</v>
      </c>
      <c r="B223">
        <v>223</v>
      </c>
      <c r="C223" s="684" t="s">
        <v>661</v>
      </c>
      <c r="W223" t="str">
        <f t="shared" si="6"/>
        <v/>
      </c>
      <c r="X223" s="185" t="str">
        <f t="shared" si="7"/>
        <v/>
      </c>
      <c r="Y223" s="685">
        <f>'General price list'!$AB223</f>
        <v>0</v>
      </c>
      <c r="Z223" t="str">
        <f>IFERROR(X223*VLOOKUP(C223,'General price list'!C:I,7,FALSE),"")</f>
        <v/>
      </c>
      <c r="AA223" t="str">
        <f>IF(X223&lt;&gt;"",VLOOKUP(C223,'General price list'!C223:AN1404,MATCH("HM",Tabulka1[[#Headers],[KÓD]:[NEQ]],0),FALSE),"")</f>
        <v/>
      </c>
    </row>
    <row r="224" spans="1:27">
      <c r="A224">
        <f>COUNTIF($W$22:W224,1)</f>
        <v>0</v>
      </c>
      <c r="B224">
        <v>224</v>
      </c>
      <c r="C224" s="684" t="s">
        <v>666</v>
      </c>
      <c r="W224" t="str">
        <f t="shared" si="6"/>
        <v/>
      </c>
      <c r="X224" s="185" t="str">
        <f t="shared" si="7"/>
        <v/>
      </c>
      <c r="Y224" s="685">
        <f>'General price list'!$AB224</f>
        <v>0</v>
      </c>
      <c r="Z224" t="str">
        <f>IFERROR(X224*VLOOKUP(C224,'General price list'!C:I,7,FALSE),"")</f>
        <v/>
      </c>
      <c r="AA224" t="str">
        <f>IF(X224&lt;&gt;"",VLOOKUP(C224,'General price list'!C224:AN1405,MATCH("HM",Tabulka1[[#Headers],[KÓD]:[NEQ]],0),FALSE),"")</f>
        <v/>
      </c>
    </row>
    <row r="225" spans="1:27">
      <c r="A225">
        <f>COUNTIF($W$22:W225,1)</f>
        <v>0</v>
      </c>
      <c r="B225">
        <v>225</v>
      </c>
      <c r="C225" s="684" t="s">
        <v>667</v>
      </c>
      <c r="W225" t="str">
        <f t="shared" si="6"/>
        <v/>
      </c>
      <c r="X225" s="185" t="str">
        <f t="shared" si="7"/>
        <v/>
      </c>
      <c r="Y225" s="685">
        <f>'General price list'!$AB225</f>
        <v>0</v>
      </c>
      <c r="Z225" t="str">
        <f>IFERROR(X225*VLOOKUP(C225,'General price list'!C:I,7,FALSE),"")</f>
        <v/>
      </c>
      <c r="AA225" t="str">
        <f>IF(X225&lt;&gt;"",VLOOKUP(C225,'General price list'!C225:AN1406,MATCH("HM",Tabulka1[[#Headers],[KÓD]:[NEQ]],0),FALSE),"")</f>
        <v/>
      </c>
    </row>
    <row r="226" spans="1:27">
      <c r="A226">
        <f>COUNTIF($W$22:W226,1)</f>
        <v>0</v>
      </c>
      <c r="B226">
        <v>226</v>
      </c>
      <c r="W226" t="str">
        <f t="shared" si="6"/>
        <v/>
      </c>
      <c r="X226" s="185" t="str">
        <f t="shared" si="7"/>
        <v/>
      </c>
      <c r="Y226" s="685">
        <f>'General price list'!$AB226</f>
        <v>0</v>
      </c>
      <c r="Z226" t="str">
        <f>IFERROR(X226*VLOOKUP(C226,'General price list'!C:I,7,FALSE),"")</f>
        <v/>
      </c>
      <c r="AA226" t="str">
        <f>IF(X226&lt;&gt;"",VLOOKUP(C226,'General price list'!C226:AN1407,MATCH("HM",Tabulka1[[#Headers],[KÓD]:[NEQ]],0),FALSE),"")</f>
        <v/>
      </c>
    </row>
    <row r="227" spans="1:27">
      <c r="A227">
        <f>COUNTIF($W$22:W227,1)</f>
        <v>0</v>
      </c>
      <c r="B227">
        <v>227</v>
      </c>
      <c r="C227" s="684" t="s">
        <v>671</v>
      </c>
      <c r="W227" t="str">
        <f t="shared" si="6"/>
        <v/>
      </c>
      <c r="X227" s="185" t="str">
        <f t="shared" si="7"/>
        <v/>
      </c>
      <c r="Y227" s="685">
        <f>'General price list'!$AB227</f>
        <v>0</v>
      </c>
      <c r="Z227" t="str">
        <f>IFERROR(X227*VLOOKUP(C227,'General price list'!C:I,7,FALSE),"")</f>
        <v/>
      </c>
      <c r="AA227" t="str">
        <f>IF(X227&lt;&gt;"",VLOOKUP(C227,'General price list'!C227:AN1408,MATCH("HM",Tabulka1[[#Headers],[KÓD]:[NEQ]],0),FALSE),"")</f>
        <v/>
      </c>
    </row>
    <row r="228" spans="1:27">
      <c r="A228">
        <f>COUNTIF($W$22:W228,1)</f>
        <v>0</v>
      </c>
      <c r="B228">
        <v>228</v>
      </c>
      <c r="W228" t="str">
        <f t="shared" si="6"/>
        <v/>
      </c>
      <c r="X228" s="185" t="str">
        <f t="shared" si="7"/>
        <v/>
      </c>
      <c r="Y228" s="685">
        <f>'General price list'!$AB228</f>
        <v>0</v>
      </c>
      <c r="Z228" t="str">
        <f>IFERROR(X228*VLOOKUP(C228,'General price list'!C:I,7,FALSE),"")</f>
        <v/>
      </c>
      <c r="AA228" t="str">
        <f>IF(X228&lt;&gt;"",VLOOKUP(C228,'General price list'!C228:AN1409,MATCH("HM",Tabulka1[[#Headers],[KÓD]:[NEQ]],0),FALSE),"")</f>
        <v/>
      </c>
    </row>
    <row r="229" spans="1:27">
      <c r="A229">
        <f>COUNTIF($W$22:W229,1)</f>
        <v>0</v>
      </c>
      <c r="B229">
        <v>229</v>
      </c>
      <c r="C229" s="684" t="s">
        <v>676</v>
      </c>
      <c r="W229" t="str">
        <f t="shared" si="6"/>
        <v/>
      </c>
      <c r="X229" s="185" t="str">
        <f t="shared" si="7"/>
        <v/>
      </c>
      <c r="Y229" s="685">
        <f>'General price list'!$AB229</f>
        <v>0</v>
      </c>
      <c r="Z229" t="str">
        <f>IFERROR(X229*VLOOKUP(C229,'General price list'!C:I,7,FALSE),"")</f>
        <v/>
      </c>
      <c r="AA229" t="str">
        <f>IF(X229&lt;&gt;"",VLOOKUP(C229,'General price list'!C229:AN1410,MATCH("HM",Tabulka1[[#Headers],[KÓD]:[NEQ]],0),FALSE),"")</f>
        <v/>
      </c>
    </row>
    <row r="230" spans="1:27">
      <c r="A230">
        <f>COUNTIF($W$22:W230,1)</f>
        <v>0</v>
      </c>
      <c r="B230">
        <v>230</v>
      </c>
      <c r="C230" s="684" t="s">
        <v>2492</v>
      </c>
      <c r="W230" t="str">
        <f t="shared" si="6"/>
        <v/>
      </c>
      <c r="X230" s="185" t="str">
        <f t="shared" si="7"/>
        <v/>
      </c>
      <c r="Y230" s="685">
        <f>'General price list'!$AB230</f>
        <v>0</v>
      </c>
      <c r="Z230" t="str">
        <f>IFERROR(X230*VLOOKUP(C230,'General price list'!C:I,7,FALSE),"")</f>
        <v/>
      </c>
      <c r="AA230" t="str">
        <f>IF(X230&lt;&gt;"",VLOOKUP(C230,'General price list'!C230:AN1411,MATCH("HM",Tabulka1[[#Headers],[KÓD]:[NEQ]],0),FALSE),"")</f>
        <v/>
      </c>
    </row>
    <row r="231" spans="1:27">
      <c r="A231">
        <f>COUNTIF($W$22:W231,1)</f>
        <v>0</v>
      </c>
      <c r="B231">
        <v>231</v>
      </c>
      <c r="C231" s="684" t="s">
        <v>687</v>
      </c>
      <c r="W231" t="str">
        <f t="shared" si="6"/>
        <v/>
      </c>
      <c r="X231" s="185" t="str">
        <f t="shared" si="7"/>
        <v/>
      </c>
      <c r="Y231" s="685">
        <f>'General price list'!$AB231</f>
        <v>0</v>
      </c>
      <c r="Z231" t="str">
        <f>IFERROR(X231*VLOOKUP(C231,'General price list'!C:I,7,FALSE),"")</f>
        <v/>
      </c>
      <c r="AA231" t="str">
        <f>IF(X231&lt;&gt;"",VLOOKUP(C231,'General price list'!C231:AN1412,MATCH("HM",Tabulka1[[#Headers],[KÓD]:[NEQ]],0),FALSE),"")</f>
        <v/>
      </c>
    </row>
    <row r="232" spans="1:27">
      <c r="A232">
        <f>COUNTIF($W$22:W232,1)</f>
        <v>0</v>
      </c>
      <c r="B232">
        <v>232</v>
      </c>
      <c r="W232" t="str">
        <f t="shared" si="6"/>
        <v/>
      </c>
      <c r="X232" s="185" t="str">
        <f t="shared" si="7"/>
        <v/>
      </c>
      <c r="Y232" s="685">
        <f>'General price list'!$AB232</f>
        <v>0</v>
      </c>
      <c r="Z232" t="str">
        <f>IFERROR(X232*VLOOKUP(C232,'General price list'!C:I,7,FALSE),"")</f>
        <v/>
      </c>
      <c r="AA232" t="str">
        <f>IF(X232&lt;&gt;"",VLOOKUP(C232,'General price list'!C232:AN1413,MATCH("HM",Tabulka1[[#Headers],[KÓD]:[NEQ]],0),FALSE),"")</f>
        <v/>
      </c>
    </row>
    <row r="233" spans="1:27">
      <c r="A233">
        <f>COUNTIF($W$22:W233,1)</f>
        <v>0</v>
      </c>
      <c r="B233">
        <v>233</v>
      </c>
      <c r="C233" s="684" t="s">
        <v>694</v>
      </c>
      <c r="W233" t="str">
        <f t="shared" si="6"/>
        <v/>
      </c>
      <c r="X233" s="185" t="str">
        <f t="shared" si="7"/>
        <v/>
      </c>
      <c r="Y233" s="685">
        <f>'General price list'!$AB233</f>
        <v>0</v>
      </c>
      <c r="Z233" t="str">
        <f>IFERROR(X233*VLOOKUP(C233,'General price list'!C:I,7,FALSE),"")</f>
        <v/>
      </c>
      <c r="AA233" t="str">
        <f>IF(X233&lt;&gt;"",VLOOKUP(C233,'General price list'!C233:AN1414,MATCH("HM",Tabulka1[[#Headers],[KÓD]:[NEQ]],0),FALSE),"")</f>
        <v/>
      </c>
    </row>
    <row r="234" spans="1:27">
      <c r="A234">
        <f>COUNTIF($W$22:W234,1)</f>
        <v>0</v>
      </c>
      <c r="B234">
        <v>234</v>
      </c>
      <c r="C234" s="684" t="s">
        <v>696</v>
      </c>
      <c r="W234" t="str">
        <f t="shared" si="6"/>
        <v/>
      </c>
      <c r="X234" s="185" t="str">
        <f t="shared" si="7"/>
        <v/>
      </c>
      <c r="Y234" s="685">
        <f>'General price list'!$AB234</f>
        <v>0</v>
      </c>
      <c r="Z234" t="str">
        <f>IFERROR(X234*VLOOKUP(C234,'General price list'!C:I,7,FALSE),"")</f>
        <v/>
      </c>
      <c r="AA234" t="str">
        <f>IF(X234&lt;&gt;"",VLOOKUP(C234,'General price list'!C234:AN1415,MATCH("HM",Tabulka1[[#Headers],[KÓD]:[NEQ]],0),FALSE),"")</f>
        <v/>
      </c>
    </row>
    <row r="235" spans="1:27">
      <c r="A235">
        <f>COUNTIF($W$22:W235,1)</f>
        <v>0</v>
      </c>
      <c r="B235">
        <v>235</v>
      </c>
      <c r="C235" s="684" t="s">
        <v>699</v>
      </c>
      <c r="W235" t="str">
        <f t="shared" si="6"/>
        <v/>
      </c>
      <c r="X235" s="185" t="str">
        <f t="shared" si="7"/>
        <v/>
      </c>
      <c r="Y235" s="685">
        <f>'General price list'!$AB235</f>
        <v>0</v>
      </c>
      <c r="Z235" t="str">
        <f>IFERROR(X235*VLOOKUP(C235,'General price list'!C:I,7,FALSE),"")</f>
        <v/>
      </c>
      <c r="AA235" t="str">
        <f>IF(X235&lt;&gt;"",VLOOKUP(C235,'General price list'!C235:AN1416,MATCH("HM",Tabulka1[[#Headers],[KÓD]:[NEQ]],0),FALSE),"")</f>
        <v/>
      </c>
    </row>
    <row r="236" spans="1:27">
      <c r="A236">
        <f>COUNTIF($W$22:W236,1)</f>
        <v>0</v>
      </c>
      <c r="B236">
        <v>236</v>
      </c>
      <c r="C236" s="684" t="s">
        <v>702</v>
      </c>
      <c r="W236" t="str">
        <f t="shared" si="6"/>
        <v/>
      </c>
      <c r="X236" s="185" t="str">
        <f t="shared" si="7"/>
        <v/>
      </c>
      <c r="Y236" s="685">
        <f>'General price list'!$AB236</f>
        <v>0</v>
      </c>
      <c r="Z236" t="str">
        <f>IFERROR(X236*VLOOKUP(C236,'General price list'!C:I,7,FALSE),"")</f>
        <v/>
      </c>
      <c r="AA236" t="str">
        <f>IF(X236&lt;&gt;"",VLOOKUP(C236,'General price list'!C236:AN1417,MATCH("HM",Tabulka1[[#Headers],[KÓD]:[NEQ]],0),FALSE),"")</f>
        <v/>
      </c>
    </row>
    <row r="237" spans="1:27">
      <c r="A237">
        <f>COUNTIF($W$22:W237,1)</f>
        <v>0</v>
      </c>
      <c r="B237">
        <v>237</v>
      </c>
      <c r="W237" t="str">
        <f t="shared" si="6"/>
        <v/>
      </c>
      <c r="X237" s="185" t="str">
        <f t="shared" si="7"/>
        <v/>
      </c>
      <c r="Y237" s="685">
        <f>'General price list'!$AB237</f>
        <v>0</v>
      </c>
      <c r="Z237" t="str">
        <f>IFERROR(X237*VLOOKUP(C237,'General price list'!C:I,7,FALSE),"")</f>
        <v/>
      </c>
      <c r="AA237" t="str">
        <f>IF(X237&lt;&gt;"",VLOOKUP(C237,'General price list'!C237:AN1418,MATCH("HM",Tabulka1[[#Headers],[KÓD]:[NEQ]],0),FALSE),"")</f>
        <v/>
      </c>
    </row>
    <row r="238" spans="1:27">
      <c r="A238">
        <f>COUNTIF($W$22:W238,1)</f>
        <v>0</v>
      </c>
      <c r="B238">
        <v>238</v>
      </c>
      <c r="C238" s="684" t="s">
        <v>2876</v>
      </c>
      <c r="W238" t="str">
        <f t="shared" si="6"/>
        <v/>
      </c>
      <c r="X238" s="185" t="str">
        <f t="shared" si="7"/>
        <v/>
      </c>
      <c r="Y238" s="685">
        <f>'General price list'!$AB238</f>
        <v>0</v>
      </c>
      <c r="Z238" t="str">
        <f>IFERROR(X238*VLOOKUP(C238,'General price list'!C:I,7,FALSE),"")</f>
        <v/>
      </c>
      <c r="AA238" t="str">
        <f>IF(X238&lt;&gt;"",VLOOKUP(C238,'General price list'!C238:AN1419,MATCH("HM",Tabulka1[[#Headers],[KÓD]:[NEQ]],0),FALSE),"")</f>
        <v/>
      </c>
    </row>
    <row r="239" spans="1:27">
      <c r="A239">
        <f>COUNTIF($W$22:W239,1)</f>
        <v>0</v>
      </c>
      <c r="B239">
        <v>239</v>
      </c>
      <c r="W239" t="str">
        <f t="shared" si="6"/>
        <v/>
      </c>
      <c r="X239" s="185" t="str">
        <f t="shared" si="7"/>
        <v/>
      </c>
      <c r="Y239" s="685">
        <f>'General price list'!$AB239</f>
        <v>0</v>
      </c>
      <c r="Z239" t="str">
        <f>IFERROR(X239*VLOOKUP(C239,'General price list'!C:I,7,FALSE),"")</f>
        <v/>
      </c>
      <c r="AA239" t="str">
        <f>IF(X239&lt;&gt;"",VLOOKUP(C239,'General price list'!C239:AN1420,MATCH("HM",Tabulka1[[#Headers],[KÓD]:[NEQ]],0),FALSE),"")</f>
        <v/>
      </c>
    </row>
    <row r="240" spans="1:27">
      <c r="A240">
        <f>COUNTIF($W$22:W240,1)</f>
        <v>0</v>
      </c>
      <c r="B240">
        <v>240</v>
      </c>
      <c r="C240" s="684" t="s">
        <v>2559</v>
      </c>
      <c r="W240" t="str">
        <f t="shared" si="6"/>
        <v/>
      </c>
      <c r="X240" s="185" t="str">
        <f t="shared" si="7"/>
        <v/>
      </c>
      <c r="Y240" s="685">
        <f>'General price list'!$AB240</f>
        <v>0</v>
      </c>
      <c r="Z240" t="str">
        <f>IFERROR(X240*VLOOKUP(C240,'General price list'!C:I,7,FALSE),"")</f>
        <v/>
      </c>
      <c r="AA240" t="str">
        <f>IF(X240&lt;&gt;"",VLOOKUP(C240,'General price list'!C240:AN1421,MATCH("HM",Tabulka1[[#Headers],[KÓD]:[NEQ]],0),FALSE),"")</f>
        <v/>
      </c>
    </row>
    <row r="241" spans="1:27">
      <c r="A241">
        <f>COUNTIF($W$22:W241,1)</f>
        <v>0</v>
      </c>
      <c r="B241">
        <v>241</v>
      </c>
      <c r="W241" t="str">
        <f t="shared" si="6"/>
        <v/>
      </c>
      <c r="X241" s="185" t="str">
        <f t="shared" si="7"/>
        <v/>
      </c>
      <c r="Y241" s="685">
        <f>'General price list'!$AB241</f>
        <v>0</v>
      </c>
      <c r="Z241" t="str">
        <f>IFERROR(X241*VLOOKUP(C241,'General price list'!C:I,7,FALSE),"")</f>
        <v/>
      </c>
      <c r="AA241" t="str">
        <f>IF(X241&lt;&gt;"",VLOOKUP(C241,'General price list'!C241:AN1422,MATCH("HM",Tabulka1[[#Headers],[KÓD]:[NEQ]],0),FALSE),"")</f>
        <v/>
      </c>
    </row>
    <row r="242" spans="1:27">
      <c r="A242">
        <f>COUNTIF($W$22:W242,1)</f>
        <v>0</v>
      </c>
      <c r="B242">
        <v>242</v>
      </c>
      <c r="C242" s="684" t="s">
        <v>2494</v>
      </c>
      <c r="W242" t="str">
        <f t="shared" si="6"/>
        <v/>
      </c>
      <c r="X242" s="185" t="str">
        <f t="shared" si="7"/>
        <v/>
      </c>
      <c r="Y242" s="685">
        <f>'General price list'!$AB242</f>
        <v>0</v>
      </c>
      <c r="Z242" t="str">
        <f>IFERROR(X242*VLOOKUP(C242,'General price list'!C:I,7,FALSE),"")</f>
        <v/>
      </c>
      <c r="AA242" t="str">
        <f>IF(X242&lt;&gt;"",VLOOKUP(C242,'General price list'!C242:AN1423,MATCH("HM",Tabulka1[[#Headers],[KÓD]:[NEQ]],0),FALSE),"")</f>
        <v/>
      </c>
    </row>
    <row r="243" spans="1:27">
      <c r="A243">
        <f>COUNTIF($W$22:W243,1)</f>
        <v>0</v>
      </c>
      <c r="B243">
        <v>243</v>
      </c>
      <c r="W243" t="str">
        <f t="shared" si="6"/>
        <v/>
      </c>
      <c r="X243" s="185" t="str">
        <f t="shared" si="7"/>
        <v/>
      </c>
      <c r="Y243" s="685">
        <f>'General price list'!$AB243</f>
        <v>0</v>
      </c>
      <c r="Z243" t="str">
        <f>IFERROR(X243*VLOOKUP(C243,'General price list'!C:I,7,FALSE),"")</f>
        <v/>
      </c>
      <c r="AA243" t="str">
        <f>IF(X243&lt;&gt;"",VLOOKUP(C243,'General price list'!C243:AN1424,MATCH("HM",Tabulka1[[#Headers],[KÓD]:[NEQ]],0),FALSE),"")</f>
        <v/>
      </c>
    </row>
    <row r="244" spans="1:27">
      <c r="A244">
        <f>COUNTIF($W$22:W244,1)</f>
        <v>0</v>
      </c>
      <c r="B244">
        <v>244</v>
      </c>
      <c r="C244" s="684" t="s">
        <v>2495</v>
      </c>
      <c r="W244" t="str">
        <f t="shared" si="6"/>
        <v/>
      </c>
      <c r="X244" s="185" t="str">
        <f t="shared" si="7"/>
        <v/>
      </c>
      <c r="Y244" s="685">
        <f>'General price list'!$AB244</f>
        <v>0</v>
      </c>
      <c r="Z244" t="str">
        <f>IFERROR(X244*VLOOKUP(C244,'General price list'!C:I,7,FALSE),"")</f>
        <v/>
      </c>
      <c r="AA244" t="str">
        <f>IF(X244&lt;&gt;"",VLOOKUP(C244,'General price list'!C244:AN1425,MATCH("HM",Tabulka1[[#Headers],[KÓD]:[NEQ]],0),FALSE),"")</f>
        <v/>
      </c>
    </row>
    <row r="245" spans="1:27">
      <c r="A245">
        <f>COUNTIF($W$22:W245,1)</f>
        <v>0</v>
      </c>
      <c r="B245">
        <v>245</v>
      </c>
      <c r="C245" s="684" t="s">
        <v>4390</v>
      </c>
      <c r="W245" t="str">
        <f t="shared" si="6"/>
        <v/>
      </c>
      <c r="X245" s="185" t="str">
        <f t="shared" si="7"/>
        <v/>
      </c>
      <c r="Y245" s="685">
        <f>'General price list'!$AB245</f>
        <v>0</v>
      </c>
      <c r="Z245" t="str">
        <f>IFERROR(X245*VLOOKUP(C245,'General price list'!C:I,7,FALSE),"")</f>
        <v/>
      </c>
      <c r="AA245" t="str">
        <f>IF(X245&lt;&gt;"",VLOOKUP(C245,'General price list'!C245:AN1426,MATCH("HM",Tabulka1[[#Headers],[KÓD]:[NEQ]],0),FALSE),"")</f>
        <v/>
      </c>
    </row>
    <row r="246" spans="1:27">
      <c r="A246">
        <f>COUNTIF($W$22:W246,1)</f>
        <v>0</v>
      </c>
      <c r="B246">
        <v>246</v>
      </c>
      <c r="C246" s="684" t="s">
        <v>4391</v>
      </c>
      <c r="W246" t="str">
        <f t="shared" si="6"/>
        <v/>
      </c>
      <c r="X246" s="185" t="str">
        <f t="shared" si="7"/>
        <v/>
      </c>
      <c r="Y246" s="685">
        <f>'General price list'!$AB246</f>
        <v>0</v>
      </c>
      <c r="Z246" t="str">
        <f>IFERROR(X246*VLOOKUP(C246,'General price list'!C:I,7,FALSE),"")</f>
        <v/>
      </c>
      <c r="AA246" t="str">
        <f>IF(X246&lt;&gt;"",VLOOKUP(C246,'General price list'!C246:AN1427,MATCH("HM",Tabulka1[[#Headers],[KÓD]:[NEQ]],0),FALSE),"")</f>
        <v/>
      </c>
    </row>
    <row r="247" spans="1:27">
      <c r="A247">
        <f>COUNTIF($W$22:W247,1)</f>
        <v>0</v>
      </c>
      <c r="B247">
        <v>247</v>
      </c>
      <c r="C247" s="684" t="s">
        <v>4402</v>
      </c>
      <c r="W247" t="str">
        <f t="shared" si="6"/>
        <v/>
      </c>
      <c r="X247" s="185" t="str">
        <f t="shared" si="7"/>
        <v/>
      </c>
      <c r="Y247" s="685">
        <f>'General price list'!$AB247</f>
        <v>0</v>
      </c>
      <c r="Z247" t="str">
        <f>IFERROR(X247*VLOOKUP(C247,'General price list'!C:I,7,FALSE),"")</f>
        <v/>
      </c>
      <c r="AA247" t="str">
        <f>IF(X247&lt;&gt;"",VLOOKUP(C247,'General price list'!C247:AN1428,MATCH("HM",Tabulka1[[#Headers],[KÓD]:[NEQ]],0),FALSE),"")</f>
        <v/>
      </c>
    </row>
    <row r="248" spans="1:27">
      <c r="A248">
        <f>COUNTIF($W$22:W248,1)</f>
        <v>0</v>
      </c>
      <c r="B248">
        <v>248</v>
      </c>
      <c r="C248" s="684" t="s">
        <v>4403</v>
      </c>
      <c r="W248" t="str">
        <f t="shared" si="6"/>
        <v/>
      </c>
      <c r="X248" s="185" t="str">
        <f t="shared" si="7"/>
        <v/>
      </c>
      <c r="Y248" s="685">
        <f>'General price list'!$AB248</f>
        <v>0</v>
      </c>
      <c r="Z248" t="str">
        <f>IFERROR(X248*VLOOKUP(C248,'General price list'!C:I,7,FALSE),"")</f>
        <v/>
      </c>
      <c r="AA248" t="str">
        <f>IF(X248&lt;&gt;"",VLOOKUP(C248,'General price list'!C248:AN1429,MATCH("HM",Tabulka1[[#Headers],[KÓD]:[NEQ]],0),FALSE),"")</f>
        <v/>
      </c>
    </row>
    <row r="249" spans="1:27">
      <c r="A249">
        <f>COUNTIF($W$22:W249,1)</f>
        <v>0</v>
      </c>
      <c r="B249">
        <v>249</v>
      </c>
      <c r="C249" s="684" t="s">
        <v>4413</v>
      </c>
      <c r="W249" t="str">
        <f t="shared" si="6"/>
        <v/>
      </c>
      <c r="X249" s="185" t="str">
        <f t="shared" si="7"/>
        <v/>
      </c>
      <c r="Y249" s="685">
        <f>'General price list'!$AB249</f>
        <v>0</v>
      </c>
      <c r="Z249" t="str">
        <f>IFERROR(X249*VLOOKUP(C249,'General price list'!C:I,7,FALSE),"")</f>
        <v/>
      </c>
      <c r="AA249" t="str">
        <f>IF(X249&lt;&gt;"",VLOOKUP(C249,'General price list'!C249:AN1430,MATCH("HM",Tabulka1[[#Headers],[KÓD]:[NEQ]],0),FALSE),"")</f>
        <v/>
      </c>
    </row>
    <row r="250" spans="1:27">
      <c r="A250">
        <f>COUNTIF($W$22:W250,1)</f>
        <v>0</v>
      </c>
      <c r="B250">
        <v>250</v>
      </c>
      <c r="W250" t="str">
        <f t="shared" si="6"/>
        <v/>
      </c>
      <c r="X250" s="185" t="str">
        <f t="shared" si="7"/>
        <v/>
      </c>
      <c r="Y250" s="685">
        <f>'General price list'!$AB250</f>
        <v>0</v>
      </c>
      <c r="Z250" t="str">
        <f>IFERROR(X250*VLOOKUP(C250,'General price list'!C:I,7,FALSE),"")</f>
        <v/>
      </c>
      <c r="AA250" t="str">
        <f>IF(X250&lt;&gt;"",VLOOKUP(C250,'General price list'!C250:AN1431,MATCH("HM",Tabulka1[[#Headers],[KÓD]:[NEQ]],0),FALSE),"")</f>
        <v/>
      </c>
    </row>
    <row r="251" spans="1:27">
      <c r="A251">
        <f>COUNTIF($W$22:W251,1)</f>
        <v>0</v>
      </c>
      <c r="B251">
        <v>251</v>
      </c>
      <c r="C251" s="684" t="s">
        <v>4468</v>
      </c>
      <c r="W251" t="str">
        <f t="shared" si="6"/>
        <v/>
      </c>
      <c r="X251" s="185" t="str">
        <f t="shared" si="7"/>
        <v/>
      </c>
      <c r="Y251" s="685">
        <f>'General price list'!$AB251</f>
        <v>0</v>
      </c>
      <c r="Z251" t="str">
        <f>IFERROR(X251*VLOOKUP(C251,'General price list'!C:I,7,FALSE),"")</f>
        <v/>
      </c>
      <c r="AA251" t="str">
        <f>IF(X251&lt;&gt;"",VLOOKUP(C251,'General price list'!C251:AN1432,MATCH("HM",Tabulka1[[#Headers],[KÓD]:[NEQ]],0),FALSE),"")</f>
        <v/>
      </c>
    </row>
    <row r="252" spans="1:27">
      <c r="A252">
        <f>COUNTIF($W$22:W252,1)</f>
        <v>0</v>
      </c>
      <c r="B252">
        <v>252</v>
      </c>
      <c r="C252" s="684" t="s">
        <v>14054</v>
      </c>
      <c r="W252" t="str">
        <f t="shared" si="6"/>
        <v/>
      </c>
      <c r="X252" s="185" t="str">
        <f t="shared" si="7"/>
        <v/>
      </c>
      <c r="Y252" s="685">
        <f>'General price list'!$AB252</f>
        <v>0</v>
      </c>
      <c r="Z252" t="str">
        <f>IFERROR(X252*VLOOKUP(C252,'General price list'!C:I,7,FALSE),"")</f>
        <v/>
      </c>
      <c r="AA252" t="str">
        <f>IF(X252&lt;&gt;"",VLOOKUP(C252,'General price list'!C252:AN1433,MATCH("HM",Tabulka1[[#Headers],[KÓD]:[NEQ]],0),FALSE),"")</f>
        <v/>
      </c>
    </row>
    <row r="253" spans="1:27">
      <c r="A253">
        <f>COUNTIF($W$22:W253,1)</f>
        <v>0</v>
      </c>
      <c r="B253">
        <v>253</v>
      </c>
      <c r="C253" s="684" t="s">
        <v>14055</v>
      </c>
      <c r="W253" t="str">
        <f t="shared" si="6"/>
        <v/>
      </c>
      <c r="X253" s="185" t="str">
        <f t="shared" si="7"/>
        <v/>
      </c>
      <c r="Y253" s="685">
        <f>'General price list'!$AB253</f>
        <v>0</v>
      </c>
      <c r="Z253" t="str">
        <f>IFERROR(X253*VLOOKUP(C253,'General price list'!C:I,7,FALSE),"")</f>
        <v/>
      </c>
      <c r="AA253" t="str">
        <f>IF(X253&lt;&gt;"",VLOOKUP(C253,'General price list'!C253:AN1434,MATCH("HM",Tabulka1[[#Headers],[KÓD]:[NEQ]],0),FALSE),"")</f>
        <v/>
      </c>
    </row>
    <row r="254" spans="1:27">
      <c r="A254">
        <f>COUNTIF($W$22:W254,1)</f>
        <v>0</v>
      </c>
      <c r="B254">
        <v>254</v>
      </c>
      <c r="C254" s="684" t="s">
        <v>14056</v>
      </c>
      <c r="W254" t="str">
        <f t="shared" si="6"/>
        <v/>
      </c>
      <c r="X254" s="185" t="str">
        <f t="shared" si="7"/>
        <v/>
      </c>
      <c r="Y254" s="685">
        <f>'General price list'!$AB254</f>
        <v>0</v>
      </c>
      <c r="Z254" t="str">
        <f>IFERROR(X254*VLOOKUP(C254,'General price list'!C:I,7,FALSE),"")</f>
        <v/>
      </c>
      <c r="AA254" t="str">
        <f>IF(X254&lt;&gt;"",VLOOKUP(C254,'General price list'!C254:AN1435,MATCH("HM",Tabulka1[[#Headers],[KÓD]:[NEQ]],0),FALSE),"")</f>
        <v/>
      </c>
    </row>
    <row r="255" spans="1:27">
      <c r="A255">
        <f>COUNTIF($W$22:W255,1)</f>
        <v>0</v>
      </c>
      <c r="B255">
        <v>255</v>
      </c>
      <c r="W255" t="str">
        <f t="shared" si="6"/>
        <v/>
      </c>
      <c r="X255" s="185" t="str">
        <f t="shared" si="7"/>
        <v/>
      </c>
      <c r="Y255" s="685">
        <f>'General price list'!$AB255</f>
        <v>0</v>
      </c>
      <c r="Z255" t="str">
        <f>IFERROR(X255*VLOOKUP(C255,'General price list'!C:I,7,FALSE),"")</f>
        <v/>
      </c>
      <c r="AA255" t="str">
        <f>IF(X255&lt;&gt;"",VLOOKUP(C255,'General price list'!C255:AN1436,MATCH("HM",Tabulka1[[#Headers],[KÓD]:[NEQ]],0),FALSE),"")</f>
        <v/>
      </c>
    </row>
    <row r="256" spans="1:27">
      <c r="A256">
        <f>COUNTIF($W$22:W256,1)</f>
        <v>0</v>
      </c>
      <c r="B256">
        <v>256</v>
      </c>
      <c r="C256" s="684" t="s">
        <v>723</v>
      </c>
      <c r="W256" t="str">
        <f t="shared" si="6"/>
        <v/>
      </c>
      <c r="X256" s="185" t="str">
        <f t="shared" si="7"/>
        <v/>
      </c>
      <c r="Y256" s="685">
        <f>'General price list'!$AB256</f>
        <v>0</v>
      </c>
      <c r="Z256" t="str">
        <f>IFERROR(X256*VLOOKUP(C256,'General price list'!C:I,7,FALSE),"")</f>
        <v/>
      </c>
      <c r="AA256" t="str">
        <f>IF(X256&lt;&gt;"",VLOOKUP(C256,'General price list'!C256:AN1437,MATCH("HM",Tabulka1[[#Headers],[KÓD]:[NEQ]],0),FALSE),"")</f>
        <v/>
      </c>
    </row>
    <row r="257" spans="1:27">
      <c r="A257">
        <f>COUNTIF($W$22:W257,1)</f>
        <v>0</v>
      </c>
      <c r="B257">
        <v>257</v>
      </c>
      <c r="C257" s="684" t="s">
        <v>725</v>
      </c>
      <c r="W257" t="str">
        <f t="shared" si="6"/>
        <v/>
      </c>
      <c r="X257" s="185" t="str">
        <f t="shared" si="7"/>
        <v/>
      </c>
      <c r="Y257" s="685">
        <f>'General price list'!$AB257</f>
        <v>0</v>
      </c>
      <c r="Z257" t="str">
        <f>IFERROR(X257*VLOOKUP(C257,'General price list'!C:I,7,FALSE),"")</f>
        <v/>
      </c>
      <c r="AA257" t="str">
        <f>IF(X257&lt;&gt;"",VLOOKUP(C257,'General price list'!C257:AN1438,MATCH("HM",Tabulka1[[#Headers],[KÓD]:[NEQ]],0),FALSE),"")</f>
        <v/>
      </c>
    </row>
    <row r="258" spans="1:27">
      <c r="A258">
        <f>COUNTIF($W$22:W258,1)</f>
        <v>0</v>
      </c>
      <c r="B258">
        <v>258</v>
      </c>
      <c r="C258" s="684" t="s">
        <v>732</v>
      </c>
      <c r="W258" t="str">
        <f t="shared" si="6"/>
        <v/>
      </c>
      <c r="X258" s="185" t="str">
        <f t="shared" si="7"/>
        <v/>
      </c>
      <c r="Y258" s="685">
        <f>'General price list'!$AB258</f>
        <v>0</v>
      </c>
      <c r="Z258" t="str">
        <f>IFERROR(X258*VLOOKUP(C258,'General price list'!C:I,7,FALSE),"")</f>
        <v/>
      </c>
      <c r="AA258" t="str">
        <f>IF(X258&lt;&gt;"",VLOOKUP(C258,'General price list'!C258:AN1439,MATCH("HM",Tabulka1[[#Headers],[KÓD]:[NEQ]],0),FALSE),"")</f>
        <v/>
      </c>
    </row>
    <row r="259" spans="1:27">
      <c r="A259">
        <f>COUNTIF($W$22:W259,1)</f>
        <v>0</v>
      </c>
      <c r="B259">
        <v>259</v>
      </c>
      <c r="C259" s="684" t="s">
        <v>4466</v>
      </c>
      <c r="W259" t="str">
        <f t="shared" si="6"/>
        <v/>
      </c>
      <c r="X259" s="185" t="str">
        <f t="shared" si="7"/>
        <v/>
      </c>
      <c r="Y259" s="685">
        <f>'General price list'!$AB259</f>
        <v>0</v>
      </c>
      <c r="Z259" t="str">
        <f>IFERROR(X259*VLOOKUP(C259,'General price list'!C:I,7,FALSE),"")</f>
        <v/>
      </c>
      <c r="AA259" t="str">
        <f>IF(X259&lt;&gt;"",VLOOKUP(C259,'General price list'!C259:AN1440,MATCH("HM",Tabulka1[[#Headers],[KÓD]:[NEQ]],0),FALSE),"")</f>
        <v/>
      </c>
    </row>
    <row r="260" spans="1:27">
      <c r="A260">
        <f>COUNTIF($W$22:W260,1)</f>
        <v>0</v>
      </c>
      <c r="B260">
        <v>260</v>
      </c>
      <c r="C260" s="684" t="s">
        <v>737</v>
      </c>
      <c r="W260" t="str">
        <f t="shared" si="6"/>
        <v/>
      </c>
      <c r="X260" s="185" t="str">
        <f t="shared" si="7"/>
        <v/>
      </c>
      <c r="Y260" s="685">
        <f>'General price list'!$AB260</f>
        <v>0</v>
      </c>
      <c r="Z260" t="str">
        <f>IFERROR(X260*VLOOKUP(C260,'General price list'!C:I,7,FALSE),"")</f>
        <v/>
      </c>
      <c r="AA260" t="str">
        <f>IF(X260&lt;&gt;"",VLOOKUP(C260,'General price list'!C260:AN1441,MATCH("HM",Tabulka1[[#Headers],[KÓD]:[NEQ]],0),FALSE),"")</f>
        <v/>
      </c>
    </row>
    <row r="261" spans="1:27">
      <c r="A261">
        <f>COUNTIF($W$22:W261,1)</f>
        <v>0</v>
      </c>
      <c r="B261">
        <v>261</v>
      </c>
      <c r="C261" s="684" t="s">
        <v>742</v>
      </c>
      <c r="W261" t="str">
        <f t="shared" si="6"/>
        <v/>
      </c>
      <c r="X261" s="185" t="str">
        <f t="shared" si="7"/>
        <v/>
      </c>
      <c r="Y261" s="685">
        <f>'General price list'!$AB261</f>
        <v>0</v>
      </c>
      <c r="Z261" t="str">
        <f>IFERROR(X261*VLOOKUP(C261,'General price list'!C:I,7,FALSE),"")</f>
        <v/>
      </c>
      <c r="AA261" t="str">
        <f>IF(X261&lt;&gt;"",VLOOKUP(C261,'General price list'!C261:AN1442,MATCH("HM",Tabulka1[[#Headers],[KÓD]:[NEQ]],0),FALSE),"")</f>
        <v/>
      </c>
    </row>
    <row r="262" spans="1:27">
      <c r="A262">
        <f>COUNTIF($W$22:W262,1)</f>
        <v>0</v>
      </c>
      <c r="B262">
        <v>262</v>
      </c>
      <c r="C262" s="684" t="s">
        <v>13775</v>
      </c>
      <c r="W262" t="str">
        <f t="shared" si="6"/>
        <v/>
      </c>
      <c r="X262" s="185" t="str">
        <f t="shared" si="7"/>
        <v/>
      </c>
      <c r="Y262" s="685">
        <f>'General price list'!$AB262</f>
        <v>0</v>
      </c>
      <c r="Z262" t="str">
        <f>IFERROR(X262*VLOOKUP(C262,'General price list'!C:I,7,FALSE),"")</f>
        <v/>
      </c>
      <c r="AA262" t="str">
        <f>IF(X262&lt;&gt;"",VLOOKUP(C262,'General price list'!C262:AN1443,MATCH("HM",Tabulka1[[#Headers],[KÓD]:[NEQ]],0),FALSE),"")</f>
        <v/>
      </c>
    </row>
    <row r="263" spans="1:27">
      <c r="A263">
        <f>COUNTIF($W$22:W263,1)</f>
        <v>0</v>
      </c>
      <c r="B263">
        <v>263</v>
      </c>
      <c r="C263" s="684" t="s">
        <v>13776</v>
      </c>
      <c r="W263" t="str">
        <f t="shared" si="6"/>
        <v/>
      </c>
      <c r="X263" s="185" t="str">
        <f t="shared" si="7"/>
        <v/>
      </c>
      <c r="Y263" s="685">
        <f>'General price list'!$AB263</f>
        <v>0</v>
      </c>
      <c r="Z263" t="str">
        <f>IFERROR(X263*VLOOKUP(C263,'General price list'!C:I,7,FALSE),"")</f>
        <v/>
      </c>
      <c r="AA263" t="str">
        <f>IF(X263&lt;&gt;"",VLOOKUP(C263,'General price list'!C263:AN1444,MATCH("HM",Tabulka1[[#Headers],[KÓD]:[NEQ]],0),FALSE),"")</f>
        <v/>
      </c>
    </row>
    <row r="264" spans="1:27">
      <c r="A264">
        <f>COUNTIF($W$22:W264,1)</f>
        <v>0</v>
      </c>
      <c r="B264">
        <v>264</v>
      </c>
      <c r="W264" t="str">
        <f t="shared" si="6"/>
        <v/>
      </c>
      <c r="X264" s="185" t="str">
        <f t="shared" si="7"/>
        <v/>
      </c>
      <c r="Y264" s="685">
        <f>'General price list'!$AB264</f>
        <v>0</v>
      </c>
      <c r="Z264" t="str">
        <f>IFERROR(X264*VLOOKUP(C264,'General price list'!C:I,7,FALSE),"")</f>
        <v/>
      </c>
      <c r="AA264" t="str">
        <f>IF(X264&lt;&gt;"",VLOOKUP(C264,'General price list'!C264:AN1445,MATCH("HM",Tabulka1[[#Headers],[KÓD]:[NEQ]],0),FALSE),"")</f>
        <v/>
      </c>
    </row>
    <row r="265" spans="1:27">
      <c r="A265">
        <f>COUNTIF($W$22:W265,1)</f>
        <v>0</v>
      </c>
      <c r="B265">
        <v>265</v>
      </c>
      <c r="C265" s="684" t="s">
        <v>747</v>
      </c>
      <c r="W265" t="str">
        <f t="shared" si="6"/>
        <v/>
      </c>
      <c r="X265" s="185" t="str">
        <f t="shared" si="7"/>
        <v/>
      </c>
      <c r="Y265" s="685">
        <f>'General price list'!$AB265</f>
        <v>0</v>
      </c>
      <c r="Z265" t="str">
        <f>IFERROR(X265*VLOOKUP(C265,'General price list'!C:I,7,FALSE),"")</f>
        <v/>
      </c>
      <c r="AA265" t="str">
        <f>IF(X265&lt;&gt;"",VLOOKUP(C265,'General price list'!C265:AN1446,MATCH("HM",Tabulka1[[#Headers],[KÓD]:[NEQ]],0),FALSE),"")</f>
        <v/>
      </c>
    </row>
    <row r="266" spans="1:27">
      <c r="A266">
        <f>COUNTIF($W$22:W266,1)</f>
        <v>0</v>
      </c>
      <c r="B266">
        <v>266</v>
      </c>
      <c r="C266" s="684" t="s">
        <v>751</v>
      </c>
      <c r="W266" t="str">
        <f t="shared" si="6"/>
        <v/>
      </c>
      <c r="X266" s="185" t="str">
        <f t="shared" si="7"/>
        <v/>
      </c>
      <c r="Y266" s="685">
        <f>'General price list'!$AB266</f>
        <v>0</v>
      </c>
      <c r="Z266" t="str">
        <f>IFERROR(X266*VLOOKUP(C266,'General price list'!C:I,7,FALSE),"")</f>
        <v/>
      </c>
      <c r="AA266" t="str">
        <f>IF(X266&lt;&gt;"",VLOOKUP(C266,'General price list'!C266:AN1447,MATCH("HM",Tabulka1[[#Headers],[KÓD]:[NEQ]],0),FALSE),"")</f>
        <v/>
      </c>
    </row>
    <row r="267" spans="1:27">
      <c r="A267">
        <f>COUNTIF($W$22:W267,1)</f>
        <v>0</v>
      </c>
      <c r="B267">
        <v>267</v>
      </c>
      <c r="C267" s="684" t="s">
        <v>4488</v>
      </c>
      <c r="W267" t="str">
        <f t="shared" si="6"/>
        <v/>
      </c>
      <c r="X267" s="185" t="str">
        <f t="shared" si="7"/>
        <v/>
      </c>
      <c r="Y267" s="685">
        <f>'General price list'!$AB267</f>
        <v>0</v>
      </c>
      <c r="Z267" t="str">
        <f>IFERROR(X267*VLOOKUP(C267,'General price list'!C:I,7,FALSE),"")</f>
        <v/>
      </c>
      <c r="AA267" t="str">
        <f>IF(X267&lt;&gt;"",VLOOKUP(C267,'General price list'!C267:AN1448,MATCH("HM",Tabulka1[[#Headers],[KÓD]:[NEQ]],0),FALSE),"")</f>
        <v/>
      </c>
    </row>
    <row r="268" spans="1:27">
      <c r="A268">
        <f>COUNTIF($W$22:W268,1)</f>
        <v>0</v>
      </c>
      <c r="B268">
        <v>268</v>
      </c>
      <c r="C268" s="684" t="s">
        <v>12130</v>
      </c>
      <c r="W268" t="str">
        <f t="shared" si="6"/>
        <v/>
      </c>
      <c r="X268" s="185" t="str">
        <f t="shared" si="7"/>
        <v/>
      </c>
      <c r="Y268" s="685">
        <f>'General price list'!$AB268</f>
        <v>0</v>
      </c>
      <c r="Z268" t="str">
        <f>IFERROR(X268*VLOOKUP(C268,'General price list'!C:I,7,FALSE),"")</f>
        <v/>
      </c>
      <c r="AA268" t="str">
        <f>IF(X268&lt;&gt;"",VLOOKUP(C268,'General price list'!C268:AN1449,MATCH("HM",Tabulka1[[#Headers],[KÓD]:[NEQ]],0),FALSE),"")</f>
        <v/>
      </c>
    </row>
    <row r="269" spans="1:27">
      <c r="A269">
        <f>COUNTIF($W$22:W269,1)</f>
        <v>0</v>
      </c>
      <c r="B269">
        <v>269</v>
      </c>
      <c r="C269" s="684" t="s">
        <v>4497</v>
      </c>
      <c r="W269" t="str">
        <f t="shared" si="6"/>
        <v/>
      </c>
      <c r="X269" s="185" t="str">
        <f t="shared" si="7"/>
        <v/>
      </c>
      <c r="Y269" s="685">
        <f>'General price list'!$AB269</f>
        <v>0</v>
      </c>
      <c r="Z269" t="str">
        <f>IFERROR(X269*VLOOKUP(C269,'General price list'!C:I,7,FALSE),"")</f>
        <v/>
      </c>
      <c r="AA269" t="str">
        <f>IF(X269&lt;&gt;"",VLOOKUP(C269,'General price list'!C269:AN1450,MATCH("HM",Tabulka1[[#Headers],[KÓD]:[NEQ]],0),FALSE),"")</f>
        <v/>
      </c>
    </row>
    <row r="270" spans="1:27">
      <c r="A270">
        <f>COUNTIF($W$22:W270,1)</f>
        <v>0</v>
      </c>
      <c r="B270">
        <v>270</v>
      </c>
      <c r="C270" s="684" t="s">
        <v>757</v>
      </c>
      <c r="W270" t="str">
        <f t="shared" si="6"/>
        <v/>
      </c>
      <c r="X270" s="185" t="str">
        <f t="shared" si="7"/>
        <v/>
      </c>
      <c r="Y270" s="685">
        <f>'General price list'!$AB270</f>
        <v>0</v>
      </c>
      <c r="Z270" t="str">
        <f>IFERROR(X270*VLOOKUP(C270,'General price list'!C:I,7,FALSE),"")</f>
        <v/>
      </c>
      <c r="AA270" t="str">
        <f>IF(X270&lt;&gt;"",VLOOKUP(C270,'General price list'!C270:AN1451,MATCH("HM",Tabulka1[[#Headers],[KÓD]:[NEQ]],0),FALSE),"")</f>
        <v/>
      </c>
    </row>
    <row r="271" spans="1:27">
      <c r="A271">
        <f>COUNTIF($W$22:W271,1)</f>
        <v>0</v>
      </c>
      <c r="B271">
        <v>271</v>
      </c>
      <c r="C271" s="684" t="s">
        <v>759</v>
      </c>
      <c r="W271" t="str">
        <f t="shared" si="6"/>
        <v/>
      </c>
      <c r="X271" s="185" t="str">
        <f t="shared" si="7"/>
        <v/>
      </c>
      <c r="Y271" s="685">
        <f>'General price list'!$AB271</f>
        <v>0</v>
      </c>
      <c r="Z271" t="str">
        <f>IFERROR(X271*VLOOKUP(C271,'General price list'!C:I,7,FALSE),"")</f>
        <v/>
      </c>
      <c r="AA271" t="str">
        <f>IF(X271&lt;&gt;"",VLOOKUP(C271,'General price list'!C271:AN1452,MATCH("HM",Tabulka1[[#Headers],[KÓD]:[NEQ]],0),FALSE),"")</f>
        <v/>
      </c>
    </row>
    <row r="272" spans="1:27">
      <c r="A272">
        <f>COUNTIF($W$22:W272,1)</f>
        <v>0</v>
      </c>
      <c r="B272">
        <v>272</v>
      </c>
      <c r="C272" s="684" t="s">
        <v>763</v>
      </c>
      <c r="W272" t="str">
        <f t="shared" si="6"/>
        <v/>
      </c>
      <c r="X272" s="185" t="str">
        <f t="shared" si="7"/>
        <v/>
      </c>
      <c r="Y272" s="685">
        <f>'General price list'!$AB272</f>
        <v>0</v>
      </c>
      <c r="Z272" t="str">
        <f>IFERROR(X272*VLOOKUP(C272,'General price list'!C:I,7,FALSE),"")</f>
        <v/>
      </c>
      <c r="AA272" t="str">
        <f>IF(X272&lt;&gt;"",VLOOKUP(C272,'General price list'!C272:AN1453,MATCH("HM",Tabulka1[[#Headers],[KÓD]:[NEQ]],0),FALSE),"")</f>
        <v/>
      </c>
    </row>
    <row r="273" spans="1:27">
      <c r="A273">
        <f>COUNTIF($W$22:W273,1)</f>
        <v>0</v>
      </c>
      <c r="B273">
        <v>273</v>
      </c>
      <c r="C273" s="684" t="s">
        <v>4518</v>
      </c>
      <c r="W273" t="str">
        <f t="shared" si="6"/>
        <v/>
      </c>
      <c r="X273" s="185" t="str">
        <f t="shared" si="7"/>
        <v/>
      </c>
      <c r="Y273" s="685">
        <f>'General price list'!$AB273</f>
        <v>0</v>
      </c>
      <c r="Z273" t="str">
        <f>IFERROR(X273*VLOOKUP(C273,'General price list'!C:I,7,FALSE),"")</f>
        <v/>
      </c>
      <c r="AA273" t="str">
        <f>IF(X273&lt;&gt;"",VLOOKUP(C273,'General price list'!C273:AN1454,MATCH("HM",Tabulka1[[#Headers],[KÓD]:[NEQ]],0),FALSE),"")</f>
        <v/>
      </c>
    </row>
    <row r="274" spans="1:27">
      <c r="A274">
        <f>COUNTIF($W$22:W274,1)</f>
        <v>0</v>
      </c>
      <c r="B274">
        <v>274</v>
      </c>
      <c r="C274" s="684" t="s">
        <v>768</v>
      </c>
      <c r="W274" t="str">
        <f t="shared" si="6"/>
        <v/>
      </c>
      <c r="X274" s="185" t="str">
        <f t="shared" si="7"/>
        <v/>
      </c>
      <c r="Y274" s="685">
        <f>'General price list'!$AB274</f>
        <v>0</v>
      </c>
      <c r="Z274" t="str">
        <f>IFERROR(X274*VLOOKUP(C274,'General price list'!C:I,7,FALSE),"")</f>
        <v/>
      </c>
      <c r="AA274" t="str">
        <f>IF(X274&lt;&gt;"",VLOOKUP(C274,'General price list'!C274:AN1455,MATCH("HM",Tabulka1[[#Headers],[KÓD]:[NEQ]],0),FALSE),"")</f>
        <v/>
      </c>
    </row>
    <row r="275" spans="1:27">
      <c r="A275">
        <f>COUNTIF($W$22:W275,1)</f>
        <v>0</v>
      </c>
      <c r="B275">
        <v>275</v>
      </c>
      <c r="C275" s="684" t="s">
        <v>769</v>
      </c>
      <c r="W275" t="str">
        <f t="shared" si="6"/>
        <v/>
      </c>
      <c r="X275" s="185" t="str">
        <f t="shared" si="7"/>
        <v/>
      </c>
      <c r="Y275" s="685">
        <f>'General price list'!$AB275</f>
        <v>0</v>
      </c>
      <c r="Z275" t="str">
        <f>IFERROR(X275*VLOOKUP(C275,'General price list'!C:I,7,FALSE),"")</f>
        <v/>
      </c>
      <c r="AA275" t="str">
        <f>IF(X275&lt;&gt;"",VLOOKUP(C275,'General price list'!C275:AN1456,MATCH("HM",Tabulka1[[#Headers],[KÓD]:[NEQ]],0),FALSE),"")</f>
        <v/>
      </c>
    </row>
    <row r="276" spans="1:27">
      <c r="A276">
        <f>COUNTIF($W$22:W276,1)</f>
        <v>0</v>
      </c>
      <c r="B276">
        <v>276</v>
      </c>
      <c r="C276" s="684" t="s">
        <v>771</v>
      </c>
      <c r="W276" t="str">
        <f t="shared" si="6"/>
        <v/>
      </c>
      <c r="X276" s="185" t="str">
        <f t="shared" si="7"/>
        <v/>
      </c>
      <c r="Y276" s="685">
        <f>'General price list'!$AB276</f>
        <v>0</v>
      </c>
      <c r="Z276" t="str">
        <f>IFERROR(X276*VLOOKUP(C276,'General price list'!C:I,7,FALSE),"")</f>
        <v/>
      </c>
      <c r="AA276" t="str">
        <f>IF(X276&lt;&gt;"",VLOOKUP(C276,'General price list'!C276:AN1457,MATCH("HM",Tabulka1[[#Headers],[KÓD]:[NEQ]],0),FALSE),"")</f>
        <v/>
      </c>
    </row>
    <row r="277" spans="1:27">
      <c r="A277">
        <f>COUNTIF($W$22:W277,1)</f>
        <v>0</v>
      </c>
      <c r="B277">
        <v>277</v>
      </c>
      <c r="C277" s="684" t="s">
        <v>2502</v>
      </c>
      <c r="W277" t="str">
        <f t="shared" si="6"/>
        <v/>
      </c>
      <c r="X277" s="185" t="str">
        <f t="shared" si="7"/>
        <v/>
      </c>
      <c r="Y277" s="685">
        <f>'General price list'!$AB277</f>
        <v>0</v>
      </c>
      <c r="Z277" t="str">
        <f>IFERROR(X277*VLOOKUP(C277,'General price list'!C:I,7,FALSE),"")</f>
        <v/>
      </c>
      <c r="AA277" t="str">
        <f>IF(X277&lt;&gt;"",VLOOKUP(C277,'General price list'!C277:AN1458,MATCH("HM",Tabulka1[[#Headers],[KÓD]:[NEQ]],0),FALSE),"")</f>
        <v/>
      </c>
    </row>
    <row r="278" spans="1:27">
      <c r="A278">
        <f>COUNTIF($W$22:W278,1)</f>
        <v>0</v>
      </c>
      <c r="B278">
        <v>278</v>
      </c>
      <c r="C278" s="684" t="s">
        <v>4525</v>
      </c>
      <c r="W278" t="str">
        <f t="shared" si="6"/>
        <v/>
      </c>
      <c r="X278" s="185" t="str">
        <f t="shared" si="7"/>
        <v/>
      </c>
      <c r="Y278" s="685">
        <f>'General price list'!$AB278</f>
        <v>0</v>
      </c>
      <c r="Z278" t="str">
        <f>IFERROR(X278*VLOOKUP(C278,'General price list'!C:I,7,FALSE),"")</f>
        <v/>
      </c>
      <c r="AA278" t="str">
        <f>IF(X278&lt;&gt;"",VLOOKUP(C278,'General price list'!C278:AN1459,MATCH("HM",Tabulka1[[#Headers],[KÓD]:[NEQ]],0),FALSE),"")</f>
        <v/>
      </c>
    </row>
    <row r="279" spans="1:27">
      <c r="A279">
        <f>COUNTIF($W$22:W279,1)</f>
        <v>0</v>
      </c>
      <c r="B279">
        <v>279</v>
      </c>
      <c r="C279" s="684" t="s">
        <v>4528</v>
      </c>
      <c r="W279" t="str">
        <f t="shared" ref="W279:W342" si="8">IF(Y279+1=1,"",1)</f>
        <v/>
      </c>
      <c r="X279" s="185" t="str">
        <f t="shared" si="7"/>
        <v/>
      </c>
      <c r="Y279" s="685">
        <f>'General price list'!$AB279</f>
        <v>0</v>
      </c>
      <c r="Z279" t="str">
        <f>IFERROR(X279*VLOOKUP(C279,'General price list'!C:I,7,FALSE),"")</f>
        <v/>
      </c>
      <c r="AA279" t="str">
        <f>IF(X279&lt;&gt;"",VLOOKUP(C279,'General price list'!C279:AN1460,MATCH("HM",Tabulka1[[#Headers],[KÓD]:[NEQ]],0),FALSE),"")</f>
        <v/>
      </c>
    </row>
    <row r="280" spans="1:27">
      <c r="A280">
        <f>COUNTIF($W$22:W280,1)</f>
        <v>0</v>
      </c>
      <c r="B280">
        <v>280</v>
      </c>
      <c r="C280" s="684" t="s">
        <v>4538</v>
      </c>
      <c r="W280" t="str">
        <f t="shared" si="8"/>
        <v/>
      </c>
      <c r="X280" s="185" t="str">
        <f t="shared" ref="X280:X343" si="9">IF(A280&gt;$C$21,"",IF(Y280=0,"",Y280))</f>
        <v/>
      </c>
      <c r="Y280" s="685">
        <f>'General price list'!$AB280</f>
        <v>0</v>
      </c>
      <c r="Z280" t="str">
        <f>IFERROR(X280*VLOOKUP(C280,'General price list'!C:I,7,FALSE),"")</f>
        <v/>
      </c>
      <c r="AA280" t="str">
        <f>IF(X280&lt;&gt;"",VLOOKUP(C280,'General price list'!C280:AN1461,MATCH("HM",Tabulka1[[#Headers],[KÓD]:[NEQ]],0),FALSE),"")</f>
        <v/>
      </c>
    </row>
    <row r="281" spans="1:27">
      <c r="A281">
        <f>COUNTIF($W$22:W281,1)</f>
        <v>0</v>
      </c>
      <c r="B281">
        <v>281</v>
      </c>
      <c r="W281" t="str">
        <f t="shared" si="8"/>
        <v/>
      </c>
      <c r="X281" s="185" t="str">
        <f t="shared" si="9"/>
        <v/>
      </c>
      <c r="Y281" s="685">
        <f>'General price list'!$AB281</f>
        <v>0</v>
      </c>
      <c r="Z281" t="str">
        <f>IFERROR(X281*VLOOKUP(C281,'General price list'!C:I,7,FALSE),"")</f>
        <v/>
      </c>
      <c r="AA281" t="str">
        <f>IF(X281&lt;&gt;"",VLOOKUP(C281,'General price list'!C281:AN1462,MATCH("HM",Tabulka1[[#Headers],[KÓD]:[NEQ]],0),FALSE),"")</f>
        <v/>
      </c>
    </row>
    <row r="282" spans="1:27">
      <c r="A282">
        <f>COUNTIF($W$22:W282,1)</f>
        <v>0</v>
      </c>
      <c r="B282">
        <v>282</v>
      </c>
      <c r="C282" s="684" t="s">
        <v>775</v>
      </c>
      <c r="W282" t="str">
        <f t="shared" si="8"/>
        <v/>
      </c>
      <c r="X282" s="185" t="str">
        <f t="shared" si="9"/>
        <v/>
      </c>
      <c r="Y282" s="685">
        <f>'General price list'!$AB282</f>
        <v>0</v>
      </c>
      <c r="Z282" t="str">
        <f>IFERROR(X282*VLOOKUP(C282,'General price list'!C:I,7,FALSE),"")</f>
        <v/>
      </c>
      <c r="AA282" t="str">
        <f>IF(X282&lt;&gt;"",VLOOKUP(C282,'General price list'!C282:AN1463,MATCH("HM",Tabulka1[[#Headers],[KÓD]:[NEQ]],0),FALSE),"")</f>
        <v/>
      </c>
    </row>
    <row r="283" spans="1:27">
      <c r="A283">
        <f>COUNTIF($W$22:W283,1)</f>
        <v>0</v>
      </c>
      <c r="B283">
        <v>283</v>
      </c>
      <c r="W283" t="str">
        <f t="shared" si="8"/>
        <v/>
      </c>
      <c r="X283" s="185" t="str">
        <f t="shared" si="9"/>
        <v/>
      </c>
      <c r="Y283" s="685">
        <f>'General price list'!$AB286</f>
        <v>0</v>
      </c>
      <c r="Z283" t="str">
        <f>IFERROR(X283*VLOOKUP(C283,'General price list'!C:I,7,FALSE),"")</f>
        <v/>
      </c>
      <c r="AA283" t="str">
        <f>IF(X283&lt;&gt;"",VLOOKUP(C283,'General price list'!C286:AN1464,MATCH("HM",Tabulka1[[#Headers],[KÓD]:[NEQ]],0),FALSE),"")</f>
        <v/>
      </c>
    </row>
    <row r="284" spans="1:27">
      <c r="A284">
        <f>COUNTIF($W$22:W284,1)</f>
        <v>0</v>
      </c>
      <c r="B284">
        <v>284</v>
      </c>
      <c r="C284" s="684" t="s">
        <v>94</v>
      </c>
      <c r="W284" t="str">
        <f t="shared" si="8"/>
        <v/>
      </c>
      <c r="X284" s="185" t="str">
        <f t="shared" si="9"/>
        <v/>
      </c>
      <c r="Y284" s="685">
        <f>'General price list'!$AB287</f>
        <v>0</v>
      </c>
      <c r="Z284" t="str">
        <f>IFERROR(X284*VLOOKUP(C284,'General price list'!C:I,7,FALSE),"")</f>
        <v/>
      </c>
      <c r="AA284" t="str">
        <f>IF(X284&lt;&gt;"",VLOOKUP(C284,'General price list'!C287:AN1465,MATCH("HM",Tabulka1[[#Headers],[KÓD]:[NEQ]],0),FALSE),"")</f>
        <v/>
      </c>
    </row>
    <row r="285" spans="1:27">
      <c r="A285">
        <f>COUNTIF($W$22:W285,1)</f>
        <v>0</v>
      </c>
      <c r="B285">
        <v>285</v>
      </c>
      <c r="C285" s="684" t="s">
        <v>2478</v>
      </c>
      <c r="W285" t="str">
        <f t="shared" si="8"/>
        <v/>
      </c>
      <c r="X285" s="185" t="str">
        <f t="shared" si="9"/>
        <v/>
      </c>
      <c r="Y285" s="685">
        <f>'General price list'!$AB288</f>
        <v>0</v>
      </c>
      <c r="Z285" t="str">
        <f>IFERROR(X285*VLOOKUP(C285,'General price list'!C:I,7,FALSE),"")</f>
        <v/>
      </c>
      <c r="AA285" t="str">
        <f>IF(X285&lt;&gt;"",VLOOKUP(C285,'General price list'!C288:AN1466,MATCH("HM",Tabulka1[[#Headers],[KÓD]:[NEQ]],0),FALSE),"")</f>
        <v/>
      </c>
    </row>
    <row r="286" spans="1:27">
      <c r="A286">
        <f>COUNTIF($W$22:W286,1)</f>
        <v>0</v>
      </c>
      <c r="B286">
        <v>286</v>
      </c>
      <c r="C286" s="684" t="s">
        <v>790</v>
      </c>
      <c r="W286" t="str">
        <f t="shared" si="8"/>
        <v/>
      </c>
      <c r="X286" s="185" t="str">
        <f t="shared" si="9"/>
        <v/>
      </c>
      <c r="Y286" s="685">
        <f>'General price list'!$AB289</f>
        <v>0</v>
      </c>
      <c r="Z286" t="str">
        <f>IFERROR(X286*VLOOKUP(C286,'General price list'!C:I,7,FALSE),"")</f>
        <v/>
      </c>
      <c r="AA286" t="str">
        <f>IF(X286&lt;&gt;"",VLOOKUP(C286,'General price list'!C289:AN1467,MATCH("HM",Tabulka1[[#Headers],[KÓD]:[NEQ]],0),FALSE),"")</f>
        <v/>
      </c>
    </row>
    <row r="287" spans="1:27">
      <c r="A287">
        <f>COUNTIF($W$22:W287,1)</f>
        <v>0</v>
      </c>
      <c r="B287">
        <v>287</v>
      </c>
      <c r="C287" s="684" t="s">
        <v>791</v>
      </c>
      <c r="W287" t="str">
        <f t="shared" si="8"/>
        <v/>
      </c>
      <c r="X287" s="185" t="str">
        <f t="shared" si="9"/>
        <v/>
      </c>
      <c r="Y287" s="685">
        <f>'General price list'!$AB290</f>
        <v>0</v>
      </c>
      <c r="Z287" t="str">
        <f>IFERROR(X287*VLOOKUP(C287,'General price list'!C:I,7,FALSE),"")</f>
        <v/>
      </c>
      <c r="AA287" t="str">
        <f>IF(X287&lt;&gt;"",VLOOKUP(C287,'General price list'!C290:AN1468,MATCH("HM",Tabulka1[[#Headers],[KÓD]:[NEQ]],0),FALSE),"")</f>
        <v/>
      </c>
    </row>
    <row r="288" spans="1:27">
      <c r="A288">
        <f>COUNTIF($W$22:W288,1)</f>
        <v>0</v>
      </c>
      <c r="B288">
        <v>288</v>
      </c>
      <c r="C288" s="684" t="s">
        <v>792</v>
      </c>
      <c r="W288" t="str">
        <f t="shared" si="8"/>
        <v/>
      </c>
      <c r="X288" s="185" t="str">
        <f t="shared" si="9"/>
        <v/>
      </c>
      <c r="Y288" s="685">
        <f>'General price list'!$AB291</f>
        <v>0</v>
      </c>
      <c r="Z288" t="str">
        <f>IFERROR(X288*VLOOKUP(C288,'General price list'!C:I,7,FALSE),"")</f>
        <v/>
      </c>
      <c r="AA288" t="str">
        <f>IF(X288&lt;&gt;"",VLOOKUP(C288,'General price list'!C291:AN1469,MATCH("HM",Tabulka1[[#Headers],[KÓD]:[NEQ]],0),FALSE),"")</f>
        <v/>
      </c>
    </row>
    <row r="289" spans="1:27">
      <c r="A289">
        <f>COUNTIF($W$22:W289,1)</f>
        <v>0</v>
      </c>
      <c r="B289">
        <v>289</v>
      </c>
      <c r="C289" s="684" t="s">
        <v>796</v>
      </c>
      <c r="W289" t="str">
        <f t="shared" si="8"/>
        <v/>
      </c>
      <c r="X289" s="185" t="str">
        <f t="shared" si="9"/>
        <v/>
      </c>
      <c r="Y289" s="685">
        <f>'General price list'!$AB292</f>
        <v>0</v>
      </c>
      <c r="Z289" t="str">
        <f>IFERROR(X289*VLOOKUP(C289,'General price list'!C:I,7,FALSE),"")</f>
        <v/>
      </c>
      <c r="AA289" t="str">
        <f>IF(X289&lt;&gt;"",VLOOKUP(C289,'General price list'!C292:AN1470,MATCH("HM",Tabulka1[[#Headers],[KÓD]:[NEQ]],0),FALSE),"")</f>
        <v/>
      </c>
    </row>
    <row r="290" spans="1:27">
      <c r="A290">
        <f>COUNTIF($W$22:W290,1)</f>
        <v>0</v>
      </c>
      <c r="B290">
        <v>290</v>
      </c>
      <c r="C290" s="684" t="s">
        <v>801</v>
      </c>
      <c r="W290" t="str">
        <f t="shared" si="8"/>
        <v/>
      </c>
      <c r="X290" s="185" t="str">
        <f t="shared" si="9"/>
        <v/>
      </c>
      <c r="Y290" s="685">
        <f>'General price list'!$AB293</f>
        <v>0</v>
      </c>
      <c r="Z290" t="str">
        <f>IFERROR(X290*VLOOKUP(C290,'General price list'!C:I,7,FALSE),"")</f>
        <v/>
      </c>
      <c r="AA290" t="str">
        <f>IF(X290&lt;&gt;"",VLOOKUP(C290,'General price list'!C293:AN1471,MATCH("HM",Tabulka1[[#Headers],[KÓD]:[NEQ]],0),FALSE),"")</f>
        <v/>
      </c>
    </row>
    <row r="291" spans="1:27">
      <c r="A291">
        <f>COUNTIF($W$22:W291,1)</f>
        <v>0</v>
      </c>
      <c r="B291">
        <v>291</v>
      </c>
      <c r="C291" s="684" t="s">
        <v>805</v>
      </c>
      <c r="W291" t="str">
        <f t="shared" si="8"/>
        <v/>
      </c>
      <c r="X291" s="185" t="str">
        <f t="shared" si="9"/>
        <v/>
      </c>
      <c r="Y291" s="685">
        <f>'General price list'!$AB294</f>
        <v>0</v>
      </c>
      <c r="Z291" t="str">
        <f>IFERROR(X291*VLOOKUP(C291,'General price list'!C:I,7,FALSE),"")</f>
        <v/>
      </c>
      <c r="AA291" t="str">
        <f>IF(X291&lt;&gt;"",VLOOKUP(C291,'General price list'!C294:AN1472,MATCH("HM",Tabulka1[[#Headers],[KÓD]:[NEQ]],0),FALSE),"")</f>
        <v/>
      </c>
    </row>
    <row r="292" spans="1:27">
      <c r="A292">
        <f>COUNTIF($W$22:W292,1)</f>
        <v>0</v>
      </c>
      <c r="B292">
        <v>292</v>
      </c>
      <c r="C292" s="684" t="s">
        <v>814</v>
      </c>
      <c r="W292" t="str">
        <f t="shared" si="8"/>
        <v/>
      </c>
      <c r="X292" s="185" t="str">
        <f t="shared" si="9"/>
        <v/>
      </c>
      <c r="Y292" s="685">
        <f>'General price list'!$AB295</f>
        <v>0</v>
      </c>
      <c r="Z292" t="str">
        <f>IFERROR(X292*VLOOKUP(C292,'General price list'!C:I,7,FALSE),"")</f>
        <v/>
      </c>
      <c r="AA292" t="str">
        <f>IF(X292&lt;&gt;"",VLOOKUP(C292,'General price list'!C295:AN1473,MATCH("HM",Tabulka1[[#Headers],[KÓD]:[NEQ]],0),FALSE),"")</f>
        <v/>
      </c>
    </row>
    <row r="293" spans="1:27">
      <c r="A293">
        <f>COUNTIF($W$22:W293,1)</f>
        <v>0</v>
      </c>
      <c r="B293">
        <v>293</v>
      </c>
      <c r="C293" s="684" t="s">
        <v>816</v>
      </c>
      <c r="W293" t="str">
        <f t="shared" si="8"/>
        <v/>
      </c>
      <c r="X293" s="185" t="str">
        <f t="shared" si="9"/>
        <v/>
      </c>
      <c r="Y293" s="685">
        <f>'General price list'!$AB296</f>
        <v>0</v>
      </c>
      <c r="Z293" t="str">
        <f>IFERROR(X293*VLOOKUP(C293,'General price list'!C:I,7,FALSE),"")</f>
        <v/>
      </c>
      <c r="AA293" t="str">
        <f>IF(X293&lt;&gt;"",VLOOKUP(C293,'General price list'!C296:AN1474,MATCH("HM",Tabulka1[[#Headers],[KÓD]:[NEQ]],0),FALSE),"")</f>
        <v/>
      </c>
    </row>
    <row r="294" spans="1:27">
      <c r="A294">
        <f>COUNTIF($W$22:W294,1)</f>
        <v>0</v>
      </c>
      <c r="B294">
        <v>294</v>
      </c>
      <c r="C294" s="684" t="s">
        <v>11986</v>
      </c>
      <c r="W294" t="str">
        <f t="shared" si="8"/>
        <v/>
      </c>
      <c r="X294" s="185" t="str">
        <f t="shared" si="9"/>
        <v/>
      </c>
      <c r="Y294" s="685">
        <f>'General price list'!$AB297</f>
        <v>0</v>
      </c>
      <c r="Z294" t="str">
        <f>IFERROR(X294*VLOOKUP(C294,'General price list'!C:I,7,FALSE),"")</f>
        <v/>
      </c>
      <c r="AA294" t="str">
        <f>IF(X294&lt;&gt;"",VLOOKUP(C294,'General price list'!C297:AN1475,MATCH("HM",Tabulka1[[#Headers],[KÓD]:[NEQ]],0),FALSE),"")</f>
        <v/>
      </c>
    </row>
    <row r="295" spans="1:27">
      <c r="A295">
        <f>COUNTIF($W$22:W295,1)</f>
        <v>0</v>
      </c>
      <c r="B295">
        <v>295</v>
      </c>
      <c r="C295" s="684" t="s">
        <v>4639</v>
      </c>
      <c r="W295" t="str">
        <f t="shared" si="8"/>
        <v/>
      </c>
      <c r="X295" s="185" t="str">
        <f t="shared" si="9"/>
        <v/>
      </c>
      <c r="Y295" s="685">
        <f>'General price list'!$AB298</f>
        <v>0</v>
      </c>
      <c r="Z295" t="str">
        <f>IFERROR(X295*VLOOKUP(C295,'General price list'!C:I,7,FALSE),"")</f>
        <v/>
      </c>
      <c r="AA295" t="str">
        <f>IF(X295&lt;&gt;"",VLOOKUP(C295,'General price list'!C298:AN1476,MATCH("HM",Tabulka1[[#Headers],[KÓD]:[NEQ]],0),FALSE),"")</f>
        <v/>
      </c>
    </row>
    <row r="296" spans="1:27">
      <c r="A296">
        <f>COUNTIF($W$22:W296,1)</f>
        <v>0</v>
      </c>
      <c r="B296">
        <v>296</v>
      </c>
      <c r="W296" t="str">
        <f t="shared" si="8"/>
        <v/>
      </c>
      <c r="X296" s="185" t="str">
        <f t="shared" si="9"/>
        <v/>
      </c>
      <c r="Y296" s="685">
        <f>'General price list'!$AB299</f>
        <v>0</v>
      </c>
      <c r="Z296" t="str">
        <f>IFERROR(X296*VLOOKUP(C296,'General price list'!C:I,7,FALSE),"")</f>
        <v/>
      </c>
      <c r="AA296" t="str">
        <f>IF(X296&lt;&gt;"",VLOOKUP(C296,'General price list'!C299:AN1477,MATCH("HM",Tabulka1[[#Headers],[KÓD]:[NEQ]],0),FALSE),"")</f>
        <v/>
      </c>
    </row>
    <row r="297" spans="1:27">
      <c r="A297">
        <f>COUNTIF($W$22:W297,1)</f>
        <v>0</v>
      </c>
      <c r="B297">
        <v>297</v>
      </c>
      <c r="C297" s="684" t="s">
        <v>824</v>
      </c>
      <c r="W297" t="str">
        <f t="shared" si="8"/>
        <v/>
      </c>
      <c r="X297" s="185" t="str">
        <f t="shared" si="9"/>
        <v/>
      </c>
      <c r="Y297" s="685">
        <f>'General price list'!$AB300</f>
        <v>0</v>
      </c>
      <c r="Z297" t="str">
        <f>IFERROR(X297*VLOOKUP(C297,'General price list'!C:I,7,FALSE),"")</f>
        <v/>
      </c>
      <c r="AA297" t="str">
        <f>IF(X297&lt;&gt;"",VLOOKUP(C297,'General price list'!C300:AN1478,MATCH("HM",Tabulka1[[#Headers],[KÓD]:[NEQ]],0),FALSE),"")</f>
        <v/>
      </c>
    </row>
    <row r="298" spans="1:27">
      <c r="A298">
        <f>COUNTIF($W$22:W298,1)</f>
        <v>0</v>
      </c>
      <c r="B298">
        <v>298</v>
      </c>
      <c r="C298" s="684" t="s">
        <v>829</v>
      </c>
      <c r="W298" t="str">
        <f t="shared" si="8"/>
        <v/>
      </c>
      <c r="X298" s="185" t="str">
        <f t="shared" si="9"/>
        <v/>
      </c>
      <c r="Y298" s="685">
        <f>'General price list'!$AB301</f>
        <v>0</v>
      </c>
      <c r="Z298" t="str">
        <f>IFERROR(X298*VLOOKUP(C298,'General price list'!C:I,7,FALSE),"")</f>
        <v/>
      </c>
      <c r="AA298" t="str">
        <f>IF(X298&lt;&gt;"",VLOOKUP(C298,'General price list'!C301:AN1479,MATCH("HM",Tabulka1[[#Headers],[KÓD]:[NEQ]],0),FALSE),"")</f>
        <v/>
      </c>
    </row>
    <row r="299" spans="1:27">
      <c r="A299">
        <f>COUNTIF($W$22:W299,1)</f>
        <v>0</v>
      </c>
      <c r="B299">
        <v>299</v>
      </c>
      <c r="C299" s="684" t="s">
        <v>833</v>
      </c>
      <c r="W299" t="str">
        <f t="shared" si="8"/>
        <v/>
      </c>
      <c r="X299" s="185" t="str">
        <f t="shared" si="9"/>
        <v/>
      </c>
      <c r="Y299" s="685">
        <f>'General price list'!$AB302</f>
        <v>0</v>
      </c>
      <c r="Z299" t="str">
        <f>IFERROR(X299*VLOOKUP(C299,'General price list'!C:I,7,FALSE),"")</f>
        <v/>
      </c>
      <c r="AA299" t="str">
        <f>IF(X299&lt;&gt;"",VLOOKUP(C299,'General price list'!C302:AN1480,MATCH("HM",Tabulka1[[#Headers],[KÓD]:[NEQ]],0),FALSE),"")</f>
        <v/>
      </c>
    </row>
    <row r="300" spans="1:27">
      <c r="A300">
        <f>COUNTIF($W$22:W300,1)</f>
        <v>0</v>
      </c>
      <c r="B300">
        <v>300</v>
      </c>
      <c r="C300" s="684" t="s">
        <v>838</v>
      </c>
      <c r="W300" t="str">
        <f t="shared" si="8"/>
        <v/>
      </c>
      <c r="X300" s="185" t="str">
        <f t="shared" si="9"/>
        <v/>
      </c>
      <c r="Y300" s="685">
        <f>'General price list'!$AB303</f>
        <v>0</v>
      </c>
      <c r="Z300" t="str">
        <f>IFERROR(X300*VLOOKUP(C300,'General price list'!C:I,7,FALSE),"")</f>
        <v/>
      </c>
      <c r="AA300" t="str">
        <f>IF(X300&lt;&gt;"",VLOOKUP(C300,'General price list'!C303:AN1481,MATCH("HM",Tabulka1[[#Headers],[KÓD]:[NEQ]],0),FALSE),"")</f>
        <v/>
      </c>
    </row>
    <row r="301" spans="1:27">
      <c r="A301">
        <f>COUNTIF($W$22:W301,1)</f>
        <v>0</v>
      </c>
      <c r="B301">
        <v>301</v>
      </c>
      <c r="C301" s="684" t="s">
        <v>843</v>
      </c>
      <c r="W301" t="str">
        <f t="shared" si="8"/>
        <v/>
      </c>
      <c r="X301" s="185" t="str">
        <f t="shared" si="9"/>
        <v/>
      </c>
      <c r="Y301" s="685">
        <f>'General price list'!$AB304</f>
        <v>0</v>
      </c>
      <c r="Z301" t="str">
        <f>IFERROR(X301*VLOOKUP(C301,'General price list'!C:I,7,FALSE),"")</f>
        <v/>
      </c>
      <c r="AA301" t="str">
        <f>IF(X301&lt;&gt;"",VLOOKUP(C301,'General price list'!C304:AN1482,MATCH("HM",Tabulka1[[#Headers],[KÓD]:[NEQ]],0),FALSE),"")</f>
        <v/>
      </c>
    </row>
    <row r="302" spans="1:27">
      <c r="A302">
        <f>COUNTIF($W$22:W302,1)</f>
        <v>0</v>
      </c>
      <c r="B302">
        <v>302</v>
      </c>
      <c r="C302" s="684" t="s">
        <v>2505</v>
      </c>
      <c r="W302" t="str">
        <f t="shared" si="8"/>
        <v/>
      </c>
      <c r="X302" s="185" t="str">
        <f t="shared" si="9"/>
        <v/>
      </c>
      <c r="Y302" s="685">
        <f>'General price list'!$AB305</f>
        <v>0</v>
      </c>
      <c r="Z302" t="str">
        <f>IFERROR(X302*VLOOKUP(C302,'General price list'!C:I,7,FALSE),"")</f>
        <v/>
      </c>
      <c r="AA302" t="str">
        <f>IF(X302&lt;&gt;"",VLOOKUP(C302,'General price list'!C305:AN1483,MATCH("HM",Tabulka1[[#Headers],[KÓD]:[NEQ]],0),FALSE),"")</f>
        <v/>
      </c>
    </row>
    <row r="303" spans="1:27">
      <c r="A303">
        <f>COUNTIF($W$22:W303,1)</f>
        <v>0</v>
      </c>
      <c r="B303">
        <v>303</v>
      </c>
      <c r="C303" s="684" t="s">
        <v>11900</v>
      </c>
      <c r="W303" t="str">
        <f t="shared" si="8"/>
        <v/>
      </c>
      <c r="X303" s="185" t="str">
        <f t="shared" si="9"/>
        <v/>
      </c>
      <c r="Y303" s="685">
        <f>'General price list'!$AB306</f>
        <v>0</v>
      </c>
      <c r="Z303" t="str">
        <f>IFERROR(X303*VLOOKUP(C303,'General price list'!C:I,7,FALSE),"")</f>
        <v/>
      </c>
      <c r="AA303" t="str">
        <f>IF(X303&lt;&gt;"",VLOOKUP(C303,'General price list'!C306:AN1484,MATCH("HM",Tabulka1[[#Headers],[KÓD]:[NEQ]],0),FALSE),"")</f>
        <v/>
      </c>
    </row>
    <row r="304" spans="1:27">
      <c r="A304">
        <f>COUNTIF($W$22:W304,1)</f>
        <v>0</v>
      </c>
      <c r="B304">
        <v>304</v>
      </c>
      <c r="C304" s="684" t="s">
        <v>853</v>
      </c>
      <c r="W304" t="str">
        <f t="shared" si="8"/>
        <v/>
      </c>
      <c r="X304" s="185" t="str">
        <f t="shared" si="9"/>
        <v/>
      </c>
      <c r="Y304" s="685">
        <f>'General price list'!$AB307</f>
        <v>0</v>
      </c>
      <c r="Z304" t="str">
        <f>IFERROR(X304*VLOOKUP(C304,'General price list'!C:I,7,FALSE),"")</f>
        <v/>
      </c>
      <c r="AA304" t="str">
        <f>IF(X304&lt;&gt;"",VLOOKUP(C304,'General price list'!C307:AN1485,MATCH("HM",Tabulka1[[#Headers],[KÓD]:[NEQ]],0),FALSE),"")</f>
        <v/>
      </c>
    </row>
    <row r="305" spans="1:27">
      <c r="A305">
        <f>COUNTIF($W$22:W305,1)</f>
        <v>0</v>
      </c>
      <c r="B305">
        <v>305</v>
      </c>
      <c r="C305" s="684" t="s">
        <v>2507</v>
      </c>
      <c r="W305" t="str">
        <f t="shared" si="8"/>
        <v/>
      </c>
      <c r="X305" s="185" t="str">
        <f t="shared" si="9"/>
        <v/>
      </c>
      <c r="Y305" s="685">
        <f>'General price list'!$AB308</f>
        <v>0</v>
      </c>
      <c r="Z305" t="str">
        <f>IFERROR(X305*VLOOKUP(C305,'General price list'!C:I,7,FALSE),"")</f>
        <v/>
      </c>
      <c r="AA305" t="str">
        <f>IF(X305&lt;&gt;"",VLOOKUP(C305,'General price list'!C308:AN1486,MATCH("HM",Tabulka1[[#Headers],[KÓD]:[NEQ]],0),FALSE),"")</f>
        <v/>
      </c>
    </row>
    <row r="306" spans="1:27">
      <c r="A306">
        <f>COUNTIF($W$22:W306,1)</f>
        <v>0</v>
      </c>
      <c r="B306">
        <v>306</v>
      </c>
      <c r="C306" s="684" t="s">
        <v>858</v>
      </c>
      <c r="W306" t="str">
        <f t="shared" si="8"/>
        <v/>
      </c>
      <c r="X306" s="185" t="str">
        <f t="shared" si="9"/>
        <v/>
      </c>
      <c r="Y306" s="685">
        <f>'General price list'!$AB309</f>
        <v>0</v>
      </c>
      <c r="Z306" t="str">
        <f>IFERROR(X306*VLOOKUP(C306,'General price list'!C:I,7,FALSE),"")</f>
        <v/>
      </c>
      <c r="AA306" t="str">
        <f>IF(X306&lt;&gt;"",VLOOKUP(C306,'General price list'!C309:AN1487,MATCH("HM",Tabulka1[[#Headers],[KÓD]:[NEQ]],0),FALSE),"")</f>
        <v/>
      </c>
    </row>
    <row r="307" spans="1:27">
      <c r="A307">
        <f>COUNTIF($W$22:W307,1)</f>
        <v>0</v>
      </c>
      <c r="B307">
        <v>307</v>
      </c>
      <c r="C307" s="684" t="s">
        <v>860</v>
      </c>
      <c r="W307" t="str">
        <f t="shared" si="8"/>
        <v/>
      </c>
      <c r="X307" s="185" t="str">
        <f t="shared" si="9"/>
        <v/>
      </c>
      <c r="Y307" s="685">
        <f>'General price list'!$AB310</f>
        <v>0</v>
      </c>
      <c r="Z307" t="str">
        <f>IFERROR(X307*VLOOKUP(C307,'General price list'!C:I,7,FALSE),"")</f>
        <v/>
      </c>
      <c r="AA307" t="str">
        <f>IF(X307&lt;&gt;"",VLOOKUP(C307,'General price list'!C310:AN1488,MATCH("HM",Tabulka1[[#Headers],[KÓD]:[NEQ]],0),FALSE),"")</f>
        <v/>
      </c>
    </row>
    <row r="308" spans="1:27">
      <c r="A308">
        <f>COUNTIF($W$22:W308,1)</f>
        <v>0</v>
      </c>
      <c r="B308">
        <v>308</v>
      </c>
      <c r="C308" s="684" t="s">
        <v>867</v>
      </c>
      <c r="W308" t="str">
        <f t="shared" si="8"/>
        <v/>
      </c>
      <c r="X308" s="185" t="str">
        <f t="shared" si="9"/>
        <v/>
      </c>
      <c r="Y308" s="685">
        <f>'General price list'!$AB311</f>
        <v>0</v>
      </c>
      <c r="Z308" t="str">
        <f>IFERROR(X308*VLOOKUP(C308,'General price list'!C:I,7,FALSE),"")</f>
        <v/>
      </c>
      <c r="AA308" t="str">
        <f>IF(X308&lt;&gt;"",VLOOKUP(C308,'General price list'!C311:AN1489,MATCH("HM",Tabulka1[[#Headers],[KÓD]:[NEQ]],0),FALSE),"")</f>
        <v/>
      </c>
    </row>
    <row r="309" spans="1:27">
      <c r="A309">
        <f>COUNTIF($W$22:W309,1)</f>
        <v>0</v>
      </c>
      <c r="B309">
        <v>309</v>
      </c>
      <c r="C309" s="684" t="s">
        <v>872</v>
      </c>
      <c r="W309" t="str">
        <f t="shared" si="8"/>
        <v/>
      </c>
      <c r="X309" s="185" t="str">
        <f t="shared" si="9"/>
        <v/>
      </c>
      <c r="Y309" s="685">
        <f>'General price list'!$AB312</f>
        <v>0</v>
      </c>
      <c r="Z309" t="str">
        <f>IFERROR(X309*VLOOKUP(C309,'General price list'!C:I,7,FALSE),"")</f>
        <v/>
      </c>
      <c r="AA309" t="str">
        <f>IF(X309&lt;&gt;"",VLOOKUP(C309,'General price list'!C312:AN1490,MATCH("HM",Tabulka1[[#Headers],[KÓD]:[NEQ]],0),FALSE),"")</f>
        <v/>
      </c>
    </row>
    <row r="310" spans="1:27">
      <c r="A310">
        <f>COUNTIF($W$22:W310,1)</f>
        <v>0</v>
      </c>
      <c r="B310">
        <v>310</v>
      </c>
      <c r="C310" s="684" t="s">
        <v>874</v>
      </c>
      <c r="W310" t="str">
        <f t="shared" si="8"/>
        <v/>
      </c>
      <c r="X310" s="185" t="str">
        <f t="shared" si="9"/>
        <v/>
      </c>
      <c r="Y310" s="685">
        <f>'General price list'!$AB313</f>
        <v>0</v>
      </c>
      <c r="Z310" t="str">
        <f>IFERROR(X310*VLOOKUP(C310,'General price list'!C:I,7,FALSE),"")</f>
        <v/>
      </c>
      <c r="AA310" t="str">
        <f>IF(X310&lt;&gt;"",VLOOKUP(C310,'General price list'!C313:AN1491,MATCH("HM",Tabulka1[[#Headers],[KÓD]:[NEQ]],0),FALSE),"")</f>
        <v/>
      </c>
    </row>
    <row r="311" spans="1:27">
      <c r="A311">
        <f>COUNTIF($W$22:W311,1)</f>
        <v>0</v>
      </c>
      <c r="B311">
        <v>311</v>
      </c>
      <c r="C311" s="684" t="s">
        <v>2509</v>
      </c>
      <c r="W311" t="str">
        <f t="shared" si="8"/>
        <v/>
      </c>
      <c r="X311" s="185" t="str">
        <f t="shared" si="9"/>
        <v/>
      </c>
      <c r="Y311" s="685">
        <f>'General price list'!$AB314</f>
        <v>0</v>
      </c>
      <c r="Z311" t="str">
        <f>IFERROR(X311*VLOOKUP(C311,'General price list'!C:I,7,FALSE),"")</f>
        <v/>
      </c>
      <c r="AA311" t="str">
        <f>IF(X311&lt;&gt;"",VLOOKUP(C311,'General price list'!C314:AN1492,MATCH("HM",Tabulka1[[#Headers],[KÓD]:[NEQ]],0),FALSE),"")</f>
        <v/>
      </c>
    </row>
    <row r="312" spans="1:27">
      <c r="A312">
        <f>COUNTIF($W$22:W312,1)</f>
        <v>0</v>
      </c>
      <c r="B312">
        <v>312</v>
      </c>
      <c r="C312" s="684" t="s">
        <v>2511</v>
      </c>
      <c r="W312" t="str">
        <f t="shared" si="8"/>
        <v/>
      </c>
      <c r="X312" s="185" t="str">
        <f t="shared" si="9"/>
        <v/>
      </c>
      <c r="Y312" s="685">
        <f>'General price list'!$AB315</f>
        <v>0</v>
      </c>
      <c r="Z312" t="str">
        <f>IFERROR(X312*VLOOKUP(C312,'General price list'!C:I,7,FALSE),"")</f>
        <v/>
      </c>
      <c r="AA312" t="str">
        <f>IF(X312&lt;&gt;"",VLOOKUP(C312,'General price list'!C315:AN1493,MATCH("HM",Tabulka1[[#Headers],[KÓD]:[NEQ]],0),FALSE),"")</f>
        <v/>
      </c>
    </row>
    <row r="313" spans="1:27">
      <c r="A313">
        <f>COUNTIF($W$22:W313,1)</f>
        <v>0</v>
      </c>
      <c r="B313">
        <v>313</v>
      </c>
      <c r="W313" t="str">
        <f t="shared" si="8"/>
        <v/>
      </c>
      <c r="X313" s="185" t="str">
        <f t="shared" si="9"/>
        <v/>
      </c>
      <c r="Y313" s="685">
        <f>'General price list'!$AB316</f>
        <v>0</v>
      </c>
      <c r="Z313" t="str">
        <f>IFERROR(X313*VLOOKUP(C313,'General price list'!C:I,7,FALSE),"")</f>
        <v/>
      </c>
      <c r="AA313" t="str">
        <f>IF(X313&lt;&gt;"",VLOOKUP(C313,'General price list'!C316:AN1494,MATCH("HM",Tabulka1[[#Headers],[KÓD]:[NEQ]],0),FALSE),"")</f>
        <v/>
      </c>
    </row>
    <row r="314" spans="1:27">
      <c r="A314">
        <f>COUNTIF($W$22:W314,1)</f>
        <v>0</v>
      </c>
      <c r="B314">
        <v>314</v>
      </c>
      <c r="C314" s="684" t="s">
        <v>896</v>
      </c>
      <c r="W314" t="str">
        <f t="shared" si="8"/>
        <v/>
      </c>
      <c r="X314" s="185" t="str">
        <f t="shared" si="9"/>
        <v/>
      </c>
      <c r="Y314" s="685">
        <f>'General price list'!$AB317</f>
        <v>0</v>
      </c>
      <c r="Z314" t="str">
        <f>IFERROR(X314*VLOOKUP(C314,'General price list'!C:I,7,FALSE),"")</f>
        <v/>
      </c>
      <c r="AA314" t="str">
        <f>IF(X314&lt;&gt;"",VLOOKUP(C314,'General price list'!C317:AN1495,MATCH("HM",Tabulka1[[#Headers],[KÓD]:[NEQ]],0),FALSE),"")</f>
        <v/>
      </c>
    </row>
    <row r="315" spans="1:27">
      <c r="A315">
        <f>COUNTIF($W$22:W315,1)</f>
        <v>0</v>
      </c>
      <c r="B315">
        <v>315</v>
      </c>
      <c r="C315" s="684" t="s">
        <v>901</v>
      </c>
      <c r="W315" t="str">
        <f t="shared" si="8"/>
        <v/>
      </c>
      <c r="X315" s="185" t="str">
        <f t="shared" si="9"/>
        <v/>
      </c>
      <c r="Y315" s="685">
        <f>'General price list'!$AB318</f>
        <v>0</v>
      </c>
      <c r="Z315" t="str">
        <f>IFERROR(X315*VLOOKUP(C315,'General price list'!C:I,7,FALSE),"")</f>
        <v/>
      </c>
      <c r="AA315" t="str">
        <f>IF(X315&lt;&gt;"",VLOOKUP(C315,'General price list'!C318:AN1496,MATCH("HM",Tabulka1[[#Headers],[KÓD]:[NEQ]],0),FALSE),"")</f>
        <v/>
      </c>
    </row>
    <row r="316" spans="1:27">
      <c r="A316">
        <f>COUNTIF($W$22:W316,1)</f>
        <v>0</v>
      </c>
      <c r="B316">
        <v>316</v>
      </c>
      <c r="C316" s="684" t="s">
        <v>906</v>
      </c>
      <c r="W316" t="str">
        <f t="shared" si="8"/>
        <v/>
      </c>
      <c r="X316" s="185" t="str">
        <f t="shared" si="9"/>
        <v/>
      </c>
      <c r="Y316" s="685">
        <f>'General price list'!$AB319</f>
        <v>0</v>
      </c>
      <c r="Z316" t="str">
        <f>IFERROR(X316*VLOOKUP(C316,'General price list'!C:I,7,FALSE),"")</f>
        <v/>
      </c>
      <c r="AA316" t="str">
        <f>IF(X316&lt;&gt;"",VLOOKUP(C316,'General price list'!C319:AN1497,MATCH("HM",Tabulka1[[#Headers],[KÓD]:[NEQ]],0),FALSE),"")</f>
        <v/>
      </c>
    </row>
    <row r="317" spans="1:27">
      <c r="A317">
        <f>COUNTIF($W$22:W317,1)</f>
        <v>0</v>
      </c>
      <c r="B317">
        <v>317</v>
      </c>
      <c r="C317" s="684" t="s">
        <v>907</v>
      </c>
      <c r="W317" t="str">
        <f t="shared" si="8"/>
        <v/>
      </c>
      <c r="X317" s="185" t="str">
        <f t="shared" si="9"/>
        <v/>
      </c>
      <c r="Y317" s="685">
        <f>'General price list'!$AB320</f>
        <v>0</v>
      </c>
      <c r="Z317" t="str">
        <f>IFERROR(X317*VLOOKUP(C317,'General price list'!C:I,7,FALSE),"")</f>
        <v/>
      </c>
      <c r="AA317" t="str">
        <f>IF(X317&lt;&gt;"",VLOOKUP(C317,'General price list'!C320:AN1498,MATCH("HM",Tabulka1[[#Headers],[KÓD]:[NEQ]],0),FALSE),"")</f>
        <v/>
      </c>
    </row>
    <row r="318" spans="1:27">
      <c r="A318">
        <f>COUNTIF($W$22:W318,1)</f>
        <v>0</v>
      </c>
      <c r="B318">
        <v>318</v>
      </c>
      <c r="C318" s="684" t="s">
        <v>908</v>
      </c>
      <c r="W318" t="str">
        <f t="shared" si="8"/>
        <v/>
      </c>
      <c r="X318" s="185" t="str">
        <f t="shared" si="9"/>
        <v/>
      </c>
      <c r="Y318" s="685">
        <f>'General price list'!$AB321</f>
        <v>0</v>
      </c>
      <c r="Z318" t="str">
        <f>IFERROR(X318*VLOOKUP(C318,'General price list'!C:I,7,FALSE),"")</f>
        <v/>
      </c>
      <c r="AA318" t="str">
        <f>IF(X318&lt;&gt;"",VLOOKUP(C318,'General price list'!C321:AN1499,MATCH("HM",Tabulka1[[#Headers],[KÓD]:[NEQ]],0),FALSE),"")</f>
        <v/>
      </c>
    </row>
    <row r="319" spans="1:27">
      <c r="A319">
        <f>COUNTIF($W$22:W319,1)</f>
        <v>0</v>
      </c>
      <c r="B319">
        <v>319</v>
      </c>
      <c r="C319" s="684" t="s">
        <v>909</v>
      </c>
      <c r="W319" t="str">
        <f t="shared" si="8"/>
        <v/>
      </c>
      <c r="X319" s="185" t="str">
        <f t="shared" si="9"/>
        <v/>
      </c>
      <c r="Y319" s="685">
        <f>'General price list'!$AB322</f>
        <v>0</v>
      </c>
      <c r="Z319" t="str">
        <f>IFERROR(X319*VLOOKUP(C319,'General price list'!C:I,7,FALSE),"")</f>
        <v/>
      </c>
      <c r="AA319" t="str">
        <f>IF(X319&lt;&gt;"",VLOOKUP(C319,'General price list'!C322:AN1500,MATCH("HM",Tabulka1[[#Headers],[KÓD]:[NEQ]],0),FALSE),"")</f>
        <v/>
      </c>
    </row>
    <row r="320" spans="1:27">
      <c r="A320">
        <f>COUNTIF($W$22:W320,1)</f>
        <v>0</v>
      </c>
      <c r="B320">
        <v>320</v>
      </c>
      <c r="C320" s="684" t="s">
        <v>2513</v>
      </c>
      <c r="W320" t="str">
        <f t="shared" si="8"/>
        <v/>
      </c>
      <c r="X320" s="185" t="str">
        <f t="shared" si="9"/>
        <v/>
      </c>
      <c r="Y320" s="685">
        <f>'General price list'!$AB323</f>
        <v>0</v>
      </c>
      <c r="Z320" t="str">
        <f>IFERROR(X320*VLOOKUP(C320,'General price list'!C:I,7,FALSE),"")</f>
        <v/>
      </c>
      <c r="AA320" t="str">
        <f>IF(X320&lt;&gt;"",VLOOKUP(C320,'General price list'!C323:AN1501,MATCH("HM",Tabulka1[[#Headers],[KÓD]:[NEQ]],0),FALSE),"")</f>
        <v/>
      </c>
    </row>
    <row r="321" spans="1:27">
      <c r="A321">
        <f>COUNTIF($W$22:W321,1)</f>
        <v>0</v>
      </c>
      <c r="B321">
        <v>321</v>
      </c>
      <c r="C321" s="684" t="s">
        <v>910</v>
      </c>
      <c r="W321" t="str">
        <f t="shared" si="8"/>
        <v/>
      </c>
      <c r="X321" s="185" t="str">
        <f t="shared" si="9"/>
        <v/>
      </c>
      <c r="Y321" s="685">
        <f>'General price list'!$AB324</f>
        <v>0</v>
      </c>
      <c r="Z321" t="str">
        <f>IFERROR(X321*VLOOKUP(C321,'General price list'!C:I,7,FALSE),"")</f>
        <v/>
      </c>
      <c r="AA321" t="str">
        <f>IF(X321&lt;&gt;"",VLOOKUP(C321,'General price list'!C324:AN1502,MATCH("HM",Tabulka1[[#Headers],[KÓD]:[NEQ]],0),FALSE),"")</f>
        <v/>
      </c>
    </row>
    <row r="322" spans="1:27">
      <c r="A322">
        <f>COUNTIF($W$22:W322,1)</f>
        <v>0</v>
      </c>
      <c r="B322">
        <v>322</v>
      </c>
      <c r="C322" s="684" t="s">
        <v>912</v>
      </c>
      <c r="W322" t="str">
        <f t="shared" si="8"/>
        <v/>
      </c>
      <c r="X322" s="185" t="str">
        <f t="shared" si="9"/>
        <v/>
      </c>
      <c r="Y322" s="685">
        <f>'General price list'!$AB325</f>
        <v>0</v>
      </c>
      <c r="Z322" t="str">
        <f>IFERROR(X322*VLOOKUP(C322,'General price list'!C:I,7,FALSE),"")</f>
        <v/>
      </c>
      <c r="AA322" t="str">
        <f>IF(X322&lt;&gt;"",VLOOKUP(C322,'General price list'!C325:AN1503,MATCH("HM",Tabulka1[[#Headers],[KÓD]:[NEQ]],0),FALSE),"")</f>
        <v/>
      </c>
    </row>
    <row r="323" spans="1:27">
      <c r="A323">
        <f>COUNTIF($W$22:W323,1)</f>
        <v>0</v>
      </c>
      <c r="B323">
        <v>323</v>
      </c>
      <c r="C323" s="684" t="s">
        <v>914</v>
      </c>
      <c r="W323" t="str">
        <f t="shared" si="8"/>
        <v/>
      </c>
      <c r="X323" s="185" t="str">
        <f t="shared" si="9"/>
        <v/>
      </c>
      <c r="Y323" s="685">
        <f>'General price list'!$AB326</f>
        <v>0</v>
      </c>
      <c r="Z323" t="str">
        <f>IFERROR(X323*VLOOKUP(C323,'General price list'!C:I,7,FALSE),"")</f>
        <v/>
      </c>
      <c r="AA323" t="str">
        <f>IF(X323&lt;&gt;"",VLOOKUP(C323,'General price list'!C326:AN1504,MATCH("HM",Tabulka1[[#Headers],[KÓD]:[NEQ]],0),FALSE),"")</f>
        <v/>
      </c>
    </row>
    <row r="324" spans="1:27">
      <c r="A324">
        <f>COUNTIF($W$22:W324,1)</f>
        <v>0</v>
      </c>
      <c r="B324">
        <v>324</v>
      </c>
      <c r="C324" s="684" t="s">
        <v>2514</v>
      </c>
      <c r="W324" t="str">
        <f t="shared" si="8"/>
        <v/>
      </c>
      <c r="X324" s="185" t="str">
        <f t="shared" si="9"/>
        <v/>
      </c>
      <c r="Y324" s="685">
        <f>'General price list'!$AB327</f>
        <v>0</v>
      </c>
      <c r="Z324" t="str">
        <f>IFERROR(X324*VLOOKUP(C324,'General price list'!C:I,7,FALSE),"")</f>
        <v/>
      </c>
      <c r="AA324" t="str">
        <f>IF(X324&lt;&gt;"",VLOOKUP(C324,'General price list'!C327:AN1505,MATCH("HM",Tabulka1[[#Headers],[KÓD]:[NEQ]],0),FALSE),"")</f>
        <v/>
      </c>
    </row>
    <row r="325" spans="1:27">
      <c r="A325">
        <f>COUNTIF($W$22:W325,1)</f>
        <v>0</v>
      </c>
      <c r="B325">
        <v>325</v>
      </c>
      <c r="C325" s="684" t="s">
        <v>2516</v>
      </c>
      <c r="W325" t="str">
        <f t="shared" si="8"/>
        <v/>
      </c>
      <c r="X325" s="185" t="str">
        <f t="shared" si="9"/>
        <v/>
      </c>
      <c r="Y325" s="685">
        <f>'General price list'!$AB328</f>
        <v>0</v>
      </c>
      <c r="Z325" t="str">
        <f>IFERROR(X325*VLOOKUP(C325,'General price list'!C:I,7,FALSE),"")</f>
        <v/>
      </c>
      <c r="AA325" t="str">
        <f>IF(X325&lt;&gt;"",VLOOKUP(C325,'General price list'!C328:AN1506,MATCH("HM",Tabulka1[[#Headers],[KÓD]:[NEQ]],0),FALSE),"")</f>
        <v/>
      </c>
    </row>
    <row r="326" spans="1:27">
      <c r="A326">
        <f>COUNTIF($W$22:W326,1)</f>
        <v>0</v>
      </c>
      <c r="B326">
        <v>326</v>
      </c>
      <c r="C326" s="684" t="s">
        <v>919</v>
      </c>
      <c r="W326" t="str">
        <f t="shared" si="8"/>
        <v/>
      </c>
      <c r="X326" s="185" t="str">
        <f t="shared" si="9"/>
        <v/>
      </c>
      <c r="Y326" s="685">
        <f>'General price list'!$AB329</f>
        <v>0</v>
      </c>
      <c r="Z326" t="str">
        <f>IFERROR(X326*VLOOKUP(C326,'General price list'!C:I,7,FALSE),"")</f>
        <v/>
      </c>
      <c r="AA326" t="str">
        <f>IF(X326&lt;&gt;"",VLOOKUP(C326,'General price list'!C329:AN1507,MATCH("HM",Tabulka1[[#Headers],[KÓD]:[NEQ]],0),FALSE),"")</f>
        <v/>
      </c>
    </row>
    <row r="327" spans="1:27">
      <c r="A327">
        <f>COUNTIF($W$22:W327,1)</f>
        <v>0</v>
      </c>
      <c r="B327">
        <v>327</v>
      </c>
      <c r="W327" t="str">
        <f t="shared" si="8"/>
        <v/>
      </c>
      <c r="X327" s="185" t="str">
        <f t="shared" si="9"/>
        <v/>
      </c>
      <c r="Y327" s="685">
        <f>'General price list'!$AB330</f>
        <v>0</v>
      </c>
      <c r="Z327" t="str">
        <f>IFERROR(X327*VLOOKUP(C327,'General price list'!C:I,7,FALSE),"")</f>
        <v/>
      </c>
      <c r="AA327" t="str">
        <f>IF(X327&lt;&gt;"",VLOOKUP(C327,'General price list'!C330:AN1508,MATCH("HM",Tabulka1[[#Headers],[KÓD]:[NEQ]],0),FALSE),"")</f>
        <v/>
      </c>
    </row>
    <row r="328" spans="1:27">
      <c r="A328">
        <f>COUNTIF($W$22:W328,1)</f>
        <v>0</v>
      </c>
      <c r="B328">
        <v>328</v>
      </c>
      <c r="C328" s="684" t="s">
        <v>962</v>
      </c>
      <c r="W328" t="str">
        <f t="shared" si="8"/>
        <v/>
      </c>
      <c r="X328" s="185" t="str">
        <f t="shared" si="9"/>
        <v/>
      </c>
      <c r="Y328" s="685">
        <f>'General price list'!$AB331</f>
        <v>0</v>
      </c>
      <c r="Z328" t="str">
        <f>IFERROR(X328*VLOOKUP(C328,'General price list'!C:I,7,FALSE),"")</f>
        <v/>
      </c>
      <c r="AA328" t="str">
        <f>IF(X328&lt;&gt;"",VLOOKUP(C328,'General price list'!C331:AN1509,MATCH("HM",Tabulka1[[#Headers],[KÓD]:[NEQ]],0),FALSE),"")</f>
        <v/>
      </c>
    </row>
    <row r="329" spans="1:27">
      <c r="A329">
        <f>COUNTIF($W$22:W329,1)</f>
        <v>0</v>
      </c>
      <c r="B329">
        <v>329</v>
      </c>
      <c r="C329" s="684" t="s">
        <v>968</v>
      </c>
      <c r="W329" t="str">
        <f t="shared" si="8"/>
        <v/>
      </c>
      <c r="X329" s="185" t="str">
        <f t="shared" si="9"/>
        <v/>
      </c>
      <c r="Y329" s="685">
        <f>'General price list'!$AB332</f>
        <v>0</v>
      </c>
      <c r="Z329" t="str">
        <f>IFERROR(X329*VLOOKUP(C329,'General price list'!C:I,7,FALSE),"")</f>
        <v/>
      </c>
      <c r="AA329" t="str">
        <f>IF(X329&lt;&gt;"",VLOOKUP(C329,'General price list'!C332:AN1510,MATCH("HM",Tabulka1[[#Headers],[KÓD]:[NEQ]],0),FALSE),"")</f>
        <v/>
      </c>
    </row>
    <row r="330" spans="1:27">
      <c r="A330">
        <f>COUNTIF($W$22:W330,1)</f>
        <v>0</v>
      </c>
      <c r="B330">
        <v>330</v>
      </c>
      <c r="C330" s="684" t="s">
        <v>969</v>
      </c>
      <c r="W330" t="str">
        <f t="shared" si="8"/>
        <v/>
      </c>
      <c r="X330" s="185" t="str">
        <f t="shared" si="9"/>
        <v/>
      </c>
      <c r="Y330" s="685">
        <f>'General price list'!$AB333</f>
        <v>0</v>
      </c>
      <c r="Z330" t="str">
        <f>IFERROR(X330*VLOOKUP(C330,'General price list'!C:I,7,FALSE),"")</f>
        <v/>
      </c>
      <c r="AA330" t="str">
        <f>IF(X330&lt;&gt;"",VLOOKUP(C330,'General price list'!C333:AN1511,MATCH("HM",Tabulka1[[#Headers],[KÓD]:[NEQ]],0),FALSE),"")</f>
        <v/>
      </c>
    </row>
    <row r="331" spans="1:27">
      <c r="A331">
        <f>COUNTIF($W$22:W331,1)</f>
        <v>0</v>
      </c>
      <c r="B331">
        <v>331</v>
      </c>
      <c r="C331" s="684" t="s">
        <v>970</v>
      </c>
      <c r="W331" t="str">
        <f t="shared" si="8"/>
        <v/>
      </c>
      <c r="X331" s="185" t="str">
        <f t="shared" si="9"/>
        <v/>
      </c>
      <c r="Y331" s="685">
        <f>'General price list'!$AB334</f>
        <v>0</v>
      </c>
      <c r="Z331" t="str">
        <f>IFERROR(X331*VLOOKUP(C331,'General price list'!C:I,7,FALSE),"")</f>
        <v/>
      </c>
      <c r="AA331" t="str">
        <f>IF(X331&lt;&gt;"",VLOOKUP(C331,'General price list'!C334:AN1512,MATCH("HM",Tabulka1[[#Headers],[KÓD]:[NEQ]],0),FALSE),"")</f>
        <v/>
      </c>
    </row>
    <row r="332" spans="1:27">
      <c r="A332">
        <f>COUNTIF($W$22:W332,1)</f>
        <v>0</v>
      </c>
      <c r="B332">
        <v>332</v>
      </c>
      <c r="C332" s="684" t="s">
        <v>975</v>
      </c>
      <c r="W332" t="str">
        <f t="shared" si="8"/>
        <v/>
      </c>
      <c r="X332" s="185" t="str">
        <f t="shared" si="9"/>
        <v/>
      </c>
      <c r="Y332" s="685">
        <f>'General price list'!$AB335</f>
        <v>0</v>
      </c>
      <c r="Z332" t="str">
        <f>IFERROR(X332*VLOOKUP(C332,'General price list'!C:I,7,FALSE),"")</f>
        <v/>
      </c>
      <c r="AA332" t="str">
        <f>IF(X332&lt;&gt;"",VLOOKUP(C332,'General price list'!C335:AN1513,MATCH("HM",Tabulka1[[#Headers],[KÓD]:[NEQ]],0),FALSE),"")</f>
        <v/>
      </c>
    </row>
    <row r="333" spans="1:27">
      <c r="A333">
        <f>COUNTIF($W$22:W333,1)</f>
        <v>0</v>
      </c>
      <c r="B333">
        <v>333</v>
      </c>
      <c r="W333" t="str">
        <f t="shared" si="8"/>
        <v/>
      </c>
      <c r="X333" s="185" t="str">
        <f t="shared" si="9"/>
        <v/>
      </c>
      <c r="Y333" s="685">
        <f>'General price list'!$AB336</f>
        <v>0</v>
      </c>
      <c r="Z333" t="str">
        <f>IFERROR(X333*VLOOKUP(C333,'General price list'!C:I,7,FALSE),"")</f>
        <v/>
      </c>
      <c r="AA333" t="str">
        <f>IF(X333&lt;&gt;"",VLOOKUP(C333,'General price list'!C336:AN1514,MATCH("HM",Tabulka1[[#Headers],[KÓD]:[NEQ]],0),FALSE),"")</f>
        <v/>
      </c>
    </row>
    <row r="334" spans="1:27">
      <c r="A334">
        <f>COUNTIF($W$22:W334,1)</f>
        <v>0</v>
      </c>
      <c r="B334">
        <v>334</v>
      </c>
      <c r="C334" s="684" t="s">
        <v>2671</v>
      </c>
      <c r="W334" t="str">
        <f t="shared" si="8"/>
        <v/>
      </c>
      <c r="X334" s="185" t="str">
        <f t="shared" si="9"/>
        <v/>
      </c>
      <c r="Y334" s="685">
        <f>'General price list'!$AB337</f>
        <v>0</v>
      </c>
      <c r="Z334" t="str">
        <f>IFERROR(X334*VLOOKUP(C334,'General price list'!C:I,7,FALSE),"")</f>
        <v/>
      </c>
      <c r="AA334" t="str">
        <f>IF(X334&lt;&gt;"",VLOOKUP(C334,'General price list'!C337:AN1515,MATCH("HM",Tabulka1[[#Headers],[KÓD]:[NEQ]],0),FALSE),"")</f>
        <v/>
      </c>
    </row>
    <row r="335" spans="1:27">
      <c r="A335">
        <f>COUNTIF($W$22:W335,1)</f>
        <v>0</v>
      </c>
      <c r="B335">
        <v>335</v>
      </c>
      <c r="C335" s="684" t="s">
        <v>2673</v>
      </c>
      <c r="W335" t="str">
        <f t="shared" si="8"/>
        <v/>
      </c>
      <c r="X335" s="185" t="str">
        <f t="shared" si="9"/>
        <v/>
      </c>
      <c r="Y335" s="685">
        <f>'General price list'!$AB338</f>
        <v>0</v>
      </c>
      <c r="Z335" t="str">
        <f>IFERROR(X335*VLOOKUP(C335,'General price list'!C:I,7,FALSE),"")</f>
        <v/>
      </c>
      <c r="AA335" t="str">
        <f>IF(X335&lt;&gt;"",VLOOKUP(C335,'General price list'!C338:AN1516,MATCH("HM",Tabulka1[[#Headers],[KÓD]:[NEQ]],0),FALSE),"")</f>
        <v/>
      </c>
    </row>
    <row r="336" spans="1:27">
      <c r="A336">
        <f>COUNTIF($W$22:W336,1)</f>
        <v>0</v>
      </c>
      <c r="B336">
        <v>336</v>
      </c>
      <c r="C336" s="684" t="s">
        <v>2675</v>
      </c>
      <c r="W336" t="str">
        <f t="shared" si="8"/>
        <v/>
      </c>
      <c r="X336" s="185" t="str">
        <f t="shared" si="9"/>
        <v/>
      </c>
      <c r="Y336" s="685">
        <f>'General price list'!$AB339</f>
        <v>0</v>
      </c>
      <c r="Z336" t="str">
        <f>IFERROR(X336*VLOOKUP(C336,'General price list'!C:I,7,FALSE),"")</f>
        <v/>
      </c>
      <c r="AA336" t="str">
        <f>IF(X336&lt;&gt;"",VLOOKUP(C336,'General price list'!C339:AN1517,MATCH("HM",Tabulka1[[#Headers],[KÓD]:[NEQ]],0),FALSE),"")</f>
        <v/>
      </c>
    </row>
    <row r="337" spans="1:27">
      <c r="A337">
        <f>COUNTIF($W$22:W337,1)</f>
        <v>0</v>
      </c>
      <c r="B337">
        <v>337</v>
      </c>
      <c r="C337" s="684" t="s">
        <v>2677</v>
      </c>
      <c r="W337" t="str">
        <f t="shared" si="8"/>
        <v/>
      </c>
      <c r="X337" s="185" t="str">
        <f t="shared" si="9"/>
        <v/>
      </c>
      <c r="Y337" s="685">
        <f>'General price list'!$AB340</f>
        <v>0</v>
      </c>
      <c r="Z337" t="str">
        <f>IFERROR(X337*VLOOKUP(C337,'General price list'!C:I,7,FALSE),"")</f>
        <v/>
      </c>
      <c r="AA337" t="str">
        <f>IF(X337&lt;&gt;"",VLOOKUP(C337,'General price list'!C340:AN1518,MATCH("HM",Tabulka1[[#Headers],[KÓD]:[NEQ]],0),FALSE),"")</f>
        <v/>
      </c>
    </row>
    <row r="338" spans="1:27">
      <c r="A338">
        <f>COUNTIF($W$22:W338,1)</f>
        <v>0</v>
      </c>
      <c r="B338">
        <v>338</v>
      </c>
      <c r="C338" s="684" t="s">
        <v>2679</v>
      </c>
      <c r="W338" t="str">
        <f t="shared" si="8"/>
        <v/>
      </c>
      <c r="X338" s="185" t="str">
        <f t="shared" si="9"/>
        <v/>
      </c>
      <c r="Y338" s="685">
        <f>'General price list'!$AB341</f>
        <v>0</v>
      </c>
      <c r="Z338" t="str">
        <f>IFERROR(X338*VLOOKUP(C338,'General price list'!C:I,7,FALSE),"")</f>
        <v/>
      </c>
      <c r="AA338" t="str">
        <f>IF(X338&lt;&gt;"",VLOOKUP(C338,'General price list'!C341:AN1519,MATCH("HM",Tabulka1[[#Headers],[KÓD]:[NEQ]],0),FALSE),"")</f>
        <v/>
      </c>
    </row>
    <row r="339" spans="1:27">
      <c r="A339">
        <f>COUNTIF($W$22:W339,1)</f>
        <v>0</v>
      </c>
      <c r="B339">
        <v>339</v>
      </c>
      <c r="C339" s="684" t="s">
        <v>2681</v>
      </c>
      <c r="W339" t="str">
        <f t="shared" si="8"/>
        <v/>
      </c>
      <c r="X339" s="185" t="str">
        <f t="shared" si="9"/>
        <v/>
      </c>
      <c r="Y339" s="685">
        <f>'General price list'!$AB342</f>
        <v>0</v>
      </c>
      <c r="Z339" t="str">
        <f>IFERROR(X339*VLOOKUP(C339,'General price list'!C:I,7,FALSE),"")</f>
        <v/>
      </c>
      <c r="AA339" t="str">
        <f>IF(X339&lt;&gt;"",VLOOKUP(C339,'General price list'!C342:AN1520,MATCH("HM",Tabulka1[[#Headers],[KÓD]:[NEQ]],0),FALSE),"")</f>
        <v/>
      </c>
    </row>
    <row r="340" spans="1:27">
      <c r="A340">
        <f>COUNTIF($W$22:W340,1)</f>
        <v>0</v>
      </c>
      <c r="B340">
        <v>340</v>
      </c>
      <c r="C340" s="684" t="s">
        <v>2683</v>
      </c>
      <c r="W340" t="str">
        <f t="shared" si="8"/>
        <v/>
      </c>
      <c r="X340" s="185" t="str">
        <f t="shared" si="9"/>
        <v/>
      </c>
      <c r="Y340" s="685">
        <f>'General price list'!$AB343</f>
        <v>0</v>
      </c>
      <c r="Z340" t="str">
        <f>IFERROR(X340*VLOOKUP(C340,'General price list'!C:I,7,FALSE),"")</f>
        <v/>
      </c>
      <c r="AA340" t="str">
        <f>IF(X340&lt;&gt;"",VLOOKUP(C340,'General price list'!C343:AN1521,MATCH("HM",Tabulka1[[#Headers],[KÓD]:[NEQ]],0),FALSE),"")</f>
        <v/>
      </c>
    </row>
    <row r="341" spans="1:27">
      <c r="A341">
        <f>COUNTIF($W$22:W341,1)</f>
        <v>0</v>
      </c>
      <c r="B341">
        <v>341</v>
      </c>
      <c r="C341" s="684" t="s">
        <v>2685</v>
      </c>
      <c r="W341" t="str">
        <f t="shared" si="8"/>
        <v/>
      </c>
      <c r="X341" s="185" t="str">
        <f t="shared" si="9"/>
        <v/>
      </c>
      <c r="Y341" s="685">
        <f>'General price list'!$AB344</f>
        <v>0</v>
      </c>
      <c r="Z341" t="str">
        <f>IFERROR(X341*VLOOKUP(C341,'General price list'!C:I,7,FALSE),"")</f>
        <v/>
      </c>
      <c r="AA341" t="str">
        <f>IF(X341&lt;&gt;"",VLOOKUP(C341,'General price list'!C344:AN1522,MATCH("HM",Tabulka1[[#Headers],[KÓD]:[NEQ]],0),FALSE),"")</f>
        <v/>
      </c>
    </row>
    <row r="342" spans="1:27">
      <c r="A342">
        <f>COUNTIF($W$22:W342,1)</f>
        <v>0</v>
      </c>
      <c r="B342">
        <v>342</v>
      </c>
      <c r="C342" s="684" t="s">
        <v>2687</v>
      </c>
      <c r="W342" t="str">
        <f t="shared" si="8"/>
        <v/>
      </c>
      <c r="X342" s="185" t="str">
        <f t="shared" si="9"/>
        <v/>
      </c>
      <c r="Y342" s="685">
        <f>'General price list'!$AB345</f>
        <v>0</v>
      </c>
      <c r="Z342" t="str">
        <f>IFERROR(X342*VLOOKUP(C342,'General price list'!C:I,7,FALSE),"")</f>
        <v/>
      </c>
      <c r="AA342" t="str">
        <f>IF(X342&lt;&gt;"",VLOOKUP(C342,'General price list'!C345:AN1523,MATCH("HM",Tabulka1[[#Headers],[KÓD]:[NEQ]],0),FALSE),"")</f>
        <v/>
      </c>
    </row>
    <row r="343" spans="1:27">
      <c r="A343">
        <f>COUNTIF($W$22:W343,1)</f>
        <v>0</v>
      </c>
      <c r="B343">
        <v>343</v>
      </c>
      <c r="C343" s="684" t="s">
        <v>2689</v>
      </c>
      <c r="W343" t="str">
        <f t="shared" ref="W343:W406" si="10">IF(Y343+1=1,"",1)</f>
        <v/>
      </c>
      <c r="X343" s="185" t="str">
        <f t="shared" si="9"/>
        <v/>
      </c>
      <c r="Y343" s="685">
        <f>'General price list'!$AB346</f>
        <v>0</v>
      </c>
      <c r="Z343" t="str">
        <f>IFERROR(X343*VLOOKUP(C343,'General price list'!C:I,7,FALSE),"")</f>
        <v/>
      </c>
      <c r="AA343" t="str">
        <f>IF(X343&lt;&gt;"",VLOOKUP(C343,'General price list'!C346:AN1524,MATCH("HM",Tabulka1[[#Headers],[KÓD]:[NEQ]],0),FALSE),"")</f>
        <v/>
      </c>
    </row>
    <row r="344" spans="1:27">
      <c r="A344">
        <f>COUNTIF($W$22:W344,1)</f>
        <v>0</v>
      </c>
      <c r="B344">
        <v>344</v>
      </c>
      <c r="C344" s="684" t="s">
        <v>2691</v>
      </c>
      <c r="W344" t="str">
        <f t="shared" si="10"/>
        <v/>
      </c>
      <c r="X344" s="185" t="str">
        <f t="shared" ref="X344:X407" si="11">IF(A344&gt;$C$21,"",IF(Y344=0,"",Y344))</f>
        <v/>
      </c>
      <c r="Y344" s="685">
        <f>'General price list'!$AB347</f>
        <v>0</v>
      </c>
      <c r="Z344" t="str">
        <f>IFERROR(X344*VLOOKUP(C344,'General price list'!C:I,7,FALSE),"")</f>
        <v/>
      </c>
      <c r="AA344" t="str">
        <f>IF(X344&lt;&gt;"",VLOOKUP(C344,'General price list'!C347:AN1525,MATCH("HM",Tabulka1[[#Headers],[KÓD]:[NEQ]],0),FALSE),"")</f>
        <v/>
      </c>
    </row>
    <row r="345" spans="1:27">
      <c r="A345">
        <f>COUNTIF($W$22:W345,1)</f>
        <v>0</v>
      </c>
      <c r="B345">
        <v>345</v>
      </c>
      <c r="C345" s="684" t="s">
        <v>2693</v>
      </c>
      <c r="W345" t="str">
        <f t="shared" si="10"/>
        <v/>
      </c>
      <c r="X345" s="185" t="str">
        <f t="shared" si="11"/>
        <v/>
      </c>
      <c r="Y345" s="685">
        <f>'General price list'!$AB348</f>
        <v>0</v>
      </c>
      <c r="Z345" t="str">
        <f>IFERROR(X345*VLOOKUP(C345,'General price list'!C:I,7,FALSE),"")</f>
        <v/>
      </c>
      <c r="AA345" t="str">
        <f>IF(X345&lt;&gt;"",VLOOKUP(C345,'General price list'!C348:AN1526,MATCH("HM",Tabulka1[[#Headers],[KÓD]:[NEQ]],0),FALSE),"")</f>
        <v/>
      </c>
    </row>
    <row r="346" spans="1:27">
      <c r="A346">
        <f>COUNTIF($W$22:W346,1)</f>
        <v>0</v>
      </c>
      <c r="B346">
        <v>346</v>
      </c>
      <c r="C346" s="684" t="s">
        <v>2695</v>
      </c>
      <c r="W346" t="str">
        <f t="shared" si="10"/>
        <v/>
      </c>
      <c r="X346" s="185" t="str">
        <f t="shared" si="11"/>
        <v/>
      </c>
      <c r="Y346" s="685">
        <f>'General price list'!$AB349</f>
        <v>0</v>
      </c>
      <c r="Z346" t="str">
        <f>IFERROR(X346*VLOOKUP(C346,'General price list'!C:I,7,FALSE),"")</f>
        <v/>
      </c>
      <c r="AA346" t="str">
        <f>IF(X346&lt;&gt;"",VLOOKUP(C346,'General price list'!C349:AN1527,MATCH("HM",Tabulka1[[#Headers],[KÓD]:[NEQ]],0),FALSE),"")</f>
        <v/>
      </c>
    </row>
    <row r="347" spans="1:27">
      <c r="A347">
        <f>COUNTIF($W$22:W347,1)</f>
        <v>0</v>
      </c>
      <c r="B347">
        <v>347</v>
      </c>
      <c r="C347" s="684" t="s">
        <v>2697</v>
      </c>
      <c r="W347" t="str">
        <f t="shared" si="10"/>
        <v/>
      </c>
      <c r="X347" s="185" t="str">
        <f t="shared" si="11"/>
        <v/>
      </c>
      <c r="Y347" s="685">
        <f>'General price list'!$AB350</f>
        <v>0</v>
      </c>
      <c r="Z347" t="str">
        <f>IFERROR(X347*VLOOKUP(C347,'General price list'!C:I,7,FALSE),"")</f>
        <v/>
      </c>
      <c r="AA347" t="str">
        <f>IF(X347&lt;&gt;"",VLOOKUP(C347,'General price list'!C350:AN1528,MATCH("HM",Tabulka1[[#Headers],[KÓD]:[NEQ]],0),FALSE),"")</f>
        <v/>
      </c>
    </row>
    <row r="348" spans="1:27">
      <c r="A348">
        <f>COUNTIF($W$22:W348,1)</f>
        <v>0</v>
      </c>
      <c r="B348">
        <v>348</v>
      </c>
      <c r="C348" s="684" t="s">
        <v>2699</v>
      </c>
      <c r="W348" t="str">
        <f t="shared" si="10"/>
        <v/>
      </c>
      <c r="X348" s="185" t="str">
        <f t="shared" si="11"/>
        <v/>
      </c>
      <c r="Y348" s="685">
        <f>'General price list'!$AB351</f>
        <v>0</v>
      </c>
      <c r="Z348" t="str">
        <f>IFERROR(X348*VLOOKUP(C348,'General price list'!C:I,7,FALSE),"")</f>
        <v/>
      </c>
      <c r="AA348" t="str">
        <f>IF(X348&lt;&gt;"",VLOOKUP(C348,'General price list'!C351:AN1529,MATCH("HM",Tabulka1[[#Headers],[KÓD]:[NEQ]],0),FALSE),"")</f>
        <v/>
      </c>
    </row>
    <row r="349" spans="1:27">
      <c r="A349">
        <f>COUNTIF($W$22:W349,1)</f>
        <v>0</v>
      </c>
      <c r="B349">
        <v>349</v>
      </c>
      <c r="C349" s="684" t="s">
        <v>2701</v>
      </c>
      <c r="W349" t="str">
        <f t="shared" si="10"/>
        <v/>
      </c>
      <c r="X349" s="185" t="str">
        <f t="shared" si="11"/>
        <v/>
      </c>
      <c r="Y349" s="685">
        <f>'General price list'!$AB352</f>
        <v>0</v>
      </c>
      <c r="Z349" t="str">
        <f>IFERROR(X349*VLOOKUP(C349,'General price list'!C:I,7,FALSE),"")</f>
        <v/>
      </c>
      <c r="AA349" t="str">
        <f>IF(X349&lt;&gt;"",VLOOKUP(C349,'General price list'!C352:AN1530,MATCH("HM",Tabulka1[[#Headers],[KÓD]:[NEQ]],0),FALSE),"")</f>
        <v/>
      </c>
    </row>
    <row r="350" spans="1:27">
      <c r="A350">
        <f>COUNTIF($W$22:W350,1)</f>
        <v>0</v>
      </c>
      <c r="B350">
        <v>350</v>
      </c>
      <c r="C350" s="684" t="s">
        <v>2703</v>
      </c>
      <c r="W350" t="str">
        <f t="shared" si="10"/>
        <v/>
      </c>
      <c r="X350" s="185" t="str">
        <f t="shared" si="11"/>
        <v/>
      </c>
      <c r="Y350" s="685">
        <f>'General price list'!$AB353</f>
        <v>0</v>
      </c>
      <c r="Z350" t="str">
        <f>IFERROR(X350*VLOOKUP(C350,'General price list'!C:I,7,FALSE),"")</f>
        <v/>
      </c>
      <c r="AA350" t="str">
        <f>IF(X350&lt;&gt;"",VLOOKUP(C350,'General price list'!C353:AN1531,MATCH("HM",Tabulka1[[#Headers],[KÓD]:[NEQ]],0),FALSE),"")</f>
        <v/>
      </c>
    </row>
    <row r="351" spans="1:27">
      <c r="A351">
        <f>COUNTIF($W$22:W351,1)</f>
        <v>0</v>
      </c>
      <c r="B351">
        <v>351</v>
      </c>
      <c r="C351" s="684" t="s">
        <v>2705</v>
      </c>
      <c r="W351" t="str">
        <f t="shared" si="10"/>
        <v/>
      </c>
      <c r="X351" s="185" t="str">
        <f t="shared" si="11"/>
        <v/>
      </c>
      <c r="Y351" s="685">
        <f>'General price list'!$AB354</f>
        <v>0</v>
      </c>
      <c r="Z351" t="str">
        <f>IFERROR(X351*VLOOKUP(C351,'General price list'!C:I,7,FALSE),"")</f>
        <v/>
      </c>
      <c r="AA351" t="str">
        <f>IF(X351&lt;&gt;"",VLOOKUP(C351,'General price list'!C354:AN1532,MATCH("HM",Tabulka1[[#Headers],[KÓD]:[NEQ]],0),FALSE),"")</f>
        <v/>
      </c>
    </row>
    <row r="352" spans="1:27">
      <c r="A352">
        <f>COUNTIF($W$22:W352,1)</f>
        <v>0</v>
      </c>
      <c r="B352">
        <v>352</v>
      </c>
      <c r="C352" s="684" t="s">
        <v>2707</v>
      </c>
      <c r="W352" t="str">
        <f t="shared" si="10"/>
        <v/>
      </c>
      <c r="X352" s="185" t="str">
        <f t="shared" si="11"/>
        <v/>
      </c>
      <c r="Y352" s="685">
        <f>'General price list'!$AB355</f>
        <v>0</v>
      </c>
      <c r="Z352" t="str">
        <f>IFERROR(X352*VLOOKUP(C352,'General price list'!C:I,7,FALSE),"")</f>
        <v/>
      </c>
      <c r="AA352" t="str">
        <f>IF(X352&lt;&gt;"",VLOOKUP(C352,'General price list'!C355:AN1533,MATCH("HM",Tabulka1[[#Headers],[KÓD]:[NEQ]],0),FALSE),"")</f>
        <v/>
      </c>
    </row>
    <row r="353" spans="1:27">
      <c r="A353">
        <f>COUNTIF($W$22:W353,1)</f>
        <v>0</v>
      </c>
      <c r="B353">
        <v>353</v>
      </c>
      <c r="C353" s="684" t="s">
        <v>2709</v>
      </c>
      <c r="W353" t="str">
        <f t="shared" si="10"/>
        <v/>
      </c>
      <c r="X353" s="185" t="str">
        <f t="shared" si="11"/>
        <v/>
      </c>
      <c r="Y353" s="685">
        <f>'General price list'!$AB356</f>
        <v>0</v>
      </c>
      <c r="Z353" t="str">
        <f>IFERROR(X353*VLOOKUP(C353,'General price list'!C:I,7,FALSE),"")</f>
        <v/>
      </c>
      <c r="AA353" t="str">
        <f>IF(X353&lt;&gt;"",VLOOKUP(C353,'General price list'!C356:AN1534,MATCH("HM",Tabulka1[[#Headers],[KÓD]:[NEQ]],0),FALSE),"")</f>
        <v/>
      </c>
    </row>
    <row r="354" spans="1:27">
      <c r="A354">
        <f>COUNTIF($W$22:W354,1)</f>
        <v>0</v>
      </c>
      <c r="B354">
        <v>354</v>
      </c>
      <c r="C354" s="684" t="s">
        <v>14057</v>
      </c>
      <c r="W354" t="str">
        <f t="shared" si="10"/>
        <v/>
      </c>
      <c r="X354" s="185" t="str">
        <f t="shared" si="11"/>
        <v/>
      </c>
      <c r="Y354" s="685">
        <f>'General price list'!$AB357</f>
        <v>0</v>
      </c>
      <c r="Z354" t="str">
        <f>IFERROR(X354*VLOOKUP(C354,'General price list'!C:I,7,FALSE),"")</f>
        <v/>
      </c>
      <c r="AA354" t="str">
        <f>IF(X354&lt;&gt;"",VLOOKUP(C354,'General price list'!C357:AN1535,MATCH("HM",Tabulka1[[#Headers],[KÓD]:[NEQ]],0),FALSE),"")</f>
        <v/>
      </c>
    </row>
    <row r="355" spans="1:27">
      <c r="A355">
        <f>COUNTIF($W$22:W355,1)</f>
        <v>0</v>
      </c>
      <c r="B355">
        <v>355</v>
      </c>
      <c r="C355" s="684" t="s">
        <v>14059</v>
      </c>
      <c r="W355" t="str">
        <f t="shared" si="10"/>
        <v/>
      </c>
      <c r="X355" s="185" t="str">
        <f t="shared" si="11"/>
        <v/>
      </c>
      <c r="Y355" s="685">
        <f>'General price list'!$AB358</f>
        <v>0</v>
      </c>
      <c r="Z355" t="str">
        <f>IFERROR(X355*VLOOKUP(C355,'General price list'!C:I,7,FALSE),"")</f>
        <v/>
      </c>
      <c r="AA355" t="str">
        <f>IF(X355&lt;&gt;"",VLOOKUP(C355,'General price list'!C358:AN1536,MATCH("HM",Tabulka1[[#Headers],[KÓD]:[NEQ]],0),FALSE),"")</f>
        <v/>
      </c>
    </row>
    <row r="356" spans="1:27">
      <c r="A356">
        <f>COUNTIF($W$22:W356,1)</f>
        <v>0</v>
      </c>
      <c r="B356">
        <v>356</v>
      </c>
      <c r="C356" s="684" t="s">
        <v>14061</v>
      </c>
      <c r="W356" t="str">
        <f t="shared" si="10"/>
        <v/>
      </c>
      <c r="X356" s="185" t="str">
        <f t="shared" si="11"/>
        <v/>
      </c>
      <c r="Y356" s="685">
        <f>'General price list'!$AB359</f>
        <v>0</v>
      </c>
      <c r="Z356" t="str">
        <f>IFERROR(X356*VLOOKUP(C356,'General price list'!C:I,7,FALSE),"")</f>
        <v/>
      </c>
      <c r="AA356" t="str">
        <f>IF(X356&lt;&gt;"",VLOOKUP(C356,'General price list'!C359:AN1537,MATCH("HM",Tabulka1[[#Headers],[KÓD]:[NEQ]],0),FALSE),"")</f>
        <v/>
      </c>
    </row>
    <row r="357" spans="1:27">
      <c r="A357">
        <f>COUNTIF($W$22:W357,1)</f>
        <v>0</v>
      </c>
      <c r="B357">
        <v>357</v>
      </c>
      <c r="C357" s="684" t="s">
        <v>14063</v>
      </c>
      <c r="W357" t="str">
        <f t="shared" si="10"/>
        <v/>
      </c>
      <c r="X357" s="185" t="str">
        <f t="shared" si="11"/>
        <v/>
      </c>
      <c r="Y357" s="685">
        <f>'General price list'!$AB360</f>
        <v>0</v>
      </c>
      <c r="Z357" t="str">
        <f>IFERROR(X357*VLOOKUP(C357,'General price list'!C:I,7,FALSE),"")</f>
        <v/>
      </c>
      <c r="AA357" t="str">
        <f>IF(X357&lt;&gt;"",VLOOKUP(C357,'General price list'!C360:AN1538,MATCH("HM",Tabulka1[[#Headers],[KÓD]:[NEQ]],0),FALSE),"")</f>
        <v/>
      </c>
    </row>
    <row r="358" spans="1:27">
      <c r="A358">
        <f>COUNTIF($W$22:W358,1)</f>
        <v>0</v>
      </c>
      <c r="B358">
        <v>358</v>
      </c>
      <c r="C358" s="684" t="s">
        <v>2711</v>
      </c>
      <c r="W358" t="str">
        <f t="shared" si="10"/>
        <v/>
      </c>
      <c r="X358" s="185" t="str">
        <f t="shared" si="11"/>
        <v/>
      </c>
      <c r="Y358" s="685">
        <f>'General price list'!$AB361</f>
        <v>0</v>
      </c>
      <c r="Z358" t="str">
        <f>IFERROR(X358*VLOOKUP(C358,'General price list'!C:I,7,FALSE),"")</f>
        <v/>
      </c>
      <c r="AA358" t="str">
        <f>IF(X358&lt;&gt;"",VLOOKUP(C358,'General price list'!C361:AN1539,MATCH("HM",Tabulka1[[#Headers],[KÓD]:[NEQ]],0),FALSE),"")</f>
        <v/>
      </c>
    </row>
    <row r="359" spans="1:27">
      <c r="A359">
        <f>COUNTIF($W$22:W359,1)</f>
        <v>0</v>
      </c>
      <c r="B359">
        <v>359</v>
      </c>
      <c r="C359" s="684" t="s">
        <v>2713</v>
      </c>
      <c r="W359" t="str">
        <f t="shared" si="10"/>
        <v/>
      </c>
      <c r="X359" s="185" t="str">
        <f t="shared" si="11"/>
        <v/>
      </c>
      <c r="Y359" s="685">
        <f>'General price list'!$AB362</f>
        <v>0</v>
      </c>
      <c r="Z359" t="str">
        <f>IFERROR(X359*VLOOKUP(C359,'General price list'!C:I,7,FALSE),"")</f>
        <v/>
      </c>
      <c r="AA359" t="str">
        <f>IF(X359&lt;&gt;"",VLOOKUP(C359,'General price list'!C362:AN1540,MATCH("HM",Tabulka1[[#Headers],[KÓD]:[NEQ]],0),FALSE),"")</f>
        <v/>
      </c>
    </row>
    <row r="360" spans="1:27">
      <c r="A360">
        <f>COUNTIF($W$22:W360,1)</f>
        <v>0</v>
      </c>
      <c r="B360">
        <v>360</v>
      </c>
      <c r="W360" t="str">
        <f t="shared" si="10"/>
        <v/>
      </c>
      <c r="X360" s="185" t="str">
        <f t="shared" si="11"/>
        <v/>
      </c>
      <c r="Y360" s="685">
        <f>'General price list'!$AB363</f>
        <v>0</v>
      </c>
      <c r="Z360" t="str">
        <f>IFERROR(X360*VLOOKUP(C360,'General price list'!C:I,7,FALSE),"")</f>
        <v/>
      </c>
      <c r="AA360" t="str">
        <f>IF(X360&lt;&gt;"",VLOOKUP(C360,'General price list'!C363:AN1541,MATCH("HM",Tabulka1[[#Headers],[KÓD]:[NEQ]],0),FALSE),"")</f>
        <v/>
      </c>
    </row>
    <row r="361" spans="1:27">
      <c r="A361">
        <f>COUNTIF($W$22:W361,1)</f>
        <v>0</v>
      </c>
      <c r="B361">
        <v>361</v>
      </c>
      <c r="C361" s="684" t="s">
        <v>984</v>
      </c>
      <c r="W361" t="str">
        <f t="shared" si="10"/>
        <v/>
      </c>
      <c r="X361" s="185" t="str">
        <f t="shared" si="11"/>
        <v/>
      </c>
      <c r="Y361" s="685">
        <f>'General price list'!$AB364</f>
        <v>0</v>
      </c>
      <c r="Z361" t="str">
        <f>IFERROR(X361*VLOOKUP(C361,'General price list'!C:I,7,FALSE),"")</f>
        <v/>
      </c>
      <c r="AA361" t="str">
        <f>IF(X361&lt;&gt;"",VLOOKUP(C361,'General price list'!C364:AN1542,MATCH("HM",Tabulka1[[#Headers],[KÓD]:[NEQ]],0),FALSE),"")</f>
        <v/>
      </c>
    </row>
    <row r="362" spans="1:27">
      <c r="A362">
        <f>COUNTIF($W$22:W362,1)</f>
        <v>0</v>
      </c>
      <c r="B362">
        <v>362</v>
      </c>
      <c r="C362" s="684" t="s">
        <v>997</v>
      </c>
      <c r="W362" t="str">
        <f t="shared" si="10"/>
        <v/>
      </c>
      <c r="X362" s="185" t="str">
        <f t="shared" si="11"/>
        <v/>
      </c>
      <c r="Y362" s="685">
        <f>'General price list'!$AB365</f>
        <v>0</v>
      </c>
      <c r="Z362" t="str">
        <f>IFERROR(X362*VLOOKUP(C362,'General price list'!C:I,7,FALSE),"")</f>
        <v/>
      </c>
      <c r="AA362" t="str">
        <f>IF(X362&lt;&gt;"",VLOOKUP(C362,'General price list'!C365:AN1543,MATCH("HM",Tabulka1[[#Headers],[KÓD]:[NEQ]],0),FALSE),"")</f>
        <v/>
      </c>
    </row>
    <row r="363" spans="1:27">
      <c r="A363">
        <f>COUNTIF($W$22:W363,1)</f>
        <v>0</v>
      </c>
      <c r="B363">
        <v>363</v>
      </c>
      <c r="C363" s="684" t="s">
        <v>13778</v>
      </c>
      <c r="W363" t="str">
        <f t="shared" si="10"/>
        <v/>
      </c>
      <c r="X363" s="185" t="str">
        <f t="shared" si="11"/>
        <v/>
      </c>
      <c r="Y363" s="685">
        <f>'General price list'!$AB366</f>
        <v>0</v>
      </c>
      <c r="Z363" t="str">
        <f>IFERROR(X363*VLOOKUP(C363,'General price list'!C:I,7,FALSE),"")</f>
        <v/>
      </c>
      <c r="AA363" t="str">
        <f>IF(X363&lt;&gt;"",VLOOKUP(C363,'General price list'!C366:AN1544,MATCH("HM",Tabulka1[[#Headers],[KÓD]:[NEQ]],0),FALSE),"")</f>
        <v/>
      </c>
    </row>
    <row r="364" spans="1:27">
      <c r="A364">
        <f>COUNTIF($W$22:W364,1)</f>
        <v>0</v>
      </c>
      <c r="B364">
        <v>364</v>
      </c>
      <c r="C364" s="684" t="s">
        <v>1021</v>
      </c>
      <c r="W364" t="str">
        <f t="shared" si="10"/>
        <v/>
      </c>
      <c r="X364" s="185" t="str">
        <f t="shared" si="11"/>
        <v/>
      </c>
      <c r="Y364" s="685">
        <f>'General price list'!$AB367</f>
        <v>0</v>
      </c>
      <c r="Z364" t="str">
        <f>IFERROR(X364*VLOOKUP(C364,'General price list'!C:I,7,FALSE),"")</f>
        <v/>
      </c>
      <c r="AA364" t="str">
        <f>IF(X364&lt;&gt;"",VLOOKUP(C364,'General price list'!C367:AN1545,MATCH("HM",Tabulka1[[#Headers],[KÓD]:[NEQ]],0),FALSE),"")</f>
        <v/>
      </c>
    </row>
    <row r="365" spans="1:27">
      <c r="A365">
        <f>COUNTIF($W$22:W365,1)</f>
        <v>0</v>
      </c>
      <c r="B365">
        <v>365</v>
      </c>
      <c r="C365" s="684" t="s">
        <v>1024</v>
      </c>
      <c r="W365" t="str">
        <f t="shared" si="10"/>
        <v/>
      </c>
      <c r="X365" s="185" t="str">
        <f t="shared" si="11"/>
        <v/>
      </c>
      <c r="Y365" s="685">
        <f>'General price list'!$AB368</f>
        <v>0</v>
      </c>
      <c r="Z365" t="str">
        <f>IFERROR(X365*VLOOKUP(C365,'General price list'!C:I,7,FALSE),"")</f>
        <v/>
      </c>
      <c r="AA365" t="str">
        <f>IF(X365&lt;&gt;"",VLOOKUP(C365,'General price list'!C368:AN1546,MATCH("HM",Tabulka1[[#Headers],[KÓD]:[NEQ]],0),FALSE),"")</f>
        <v/>
      </c>
    </row>
    <row r="366" spans="1:27">
      <c r="A366">
        <f>COUNTIF($W$22:W366,1)</f>
        <v>0</v>
      </c>
      <c r="B366">
        <v>366</v>
      </c>
      <c r="C366" s="684" t="s">
        <v>1030</v>
      </c>
      <c r="W366" t="str">
        <f t="shared" si="10"/>
        <v/>
      </c>
      <c r="X366" s="185" t="str">
        <f t="shared" si="11"/>
        <v/>
      </c>
      <c r="Y366" s="685">
        <f>'General price list'!$AB369</f>
        <v>0</v>
      </c>
      <c r="Z366" t="str">
        <f>IFERROR(X366*VLOOKUP(C366,'General price list'!C:I,7,FALSE),"")</f>
        <v/>
      </c>
      <c r="AA366" t="str">
        <f>IF(X366&lt;&gt;"",VLOOKUP(C366,'General price list'!C369:AN1547,MATCH("HM",Tabulka1[[#Headers],[KÓD]:[NEQ]],0),FALSE),"")</f>
        <v/>
      </c>
    </row>
    <row r="367" spans="1:27">
      <c r="A367">
        <f>COUNTIF($W$22:W367,1)</f>
        <v>0</v>
      </c>
      <c r="B367">
        <v>367</v>
      </c>
      <c r="C367" s="684" t="s">
        <v>1034</v>
      </c>
      <c r="W367" t="str">
        <f t="shared" si="10"/>
        <v/>
      </c>
      <c r="X367" s="185" t="str">
        <f t="shared" si="11"/>
        <v/>
      </c>
      <c r="Y367" s="685">
        <f>'General price list'!$AB370</f>
        <v>0</v>
      </c>
      <c r="Z367" t="str">
        <f>IFERROR(X367*VLOOKUP(C367,'General price list'!C:I,7,FALSE),"")</f>
        <v/>
      </c>
      <c r="AA367" t="str">
        <f>IF(X367&lt;&gt;"",VLOOKUP(C367,'General price list'!C370:AN1548,MATCH("HM",Tabulka1[[#Headers],[KÓD]:[NEQ]],0),FALSE),"")</f>
        <v/>
      </c>
    </row>
    <row r="368" spans="1:27">
      <c r="A368">
        <f>COUNTIF($W$22:W368,1)</f>
        <v>0</v>
      </c>
      <c r="B368">
        <v>368</v>
      </c>
      <c r="C368" s="684" t="s">
        <v>240</v>
      </c>
      <c r="W368" t="str">
        <f t="shared" si="10"/>
        <v/>
      </c>
      <c r="X368" s="185" t="str">
        <f t="shared" si="11"/>
        <v/>
      </c>
      <c r="Y368" s="685">
        <f>'General price list'!$AB371</f>
        <v>0</v>
      </c>
      <c r="Z368" t="str">
        <f>IFERROR(X368*VLOOKUP(C368,'General price list'!C:I,7,FALSE),"")</f>
        <v/>
      </c>
      <c r="AA368" t="str">
        <f>IF(X368&lt;&gt;"",VLOOKUP(C368,'General price list'!C371:AN1549,MATCH("HM",Tabulka1[[#Headers],[KÓD]:[NEQ]],0),FALSE),"")</f>
        <v/>
      </c>
    </row>
    <row r="369" spans="1:27">
      <c r="A369">
        <f>COUNTIF($W$22:W369,1)</f>
        <v>0</v>
      </c>
      <c r="B369">
        <v>369</v>
      </c>
      <c r="C369" s="684" t="s">
        <v>777</v>
      </c>
      <c r="W369" t="str">
        <f t="shared" si="10"/>
        <v/>
      </c>
      <c r="X369" s="185" t="str">
        <f t="shared" si="11"/>
        <v/>
      </c>
      <c r="Y369" s="685">
        <f>'General price list'!$AB372</f>
        <v>0</v>
      </c>
      <c r="Z369" t="str">
        <f>IFERROR(X369*VLOOKUP(C369,'General price list'!C:I,7,FALSE),"")</f>
        <v/>
      </c>
      <c r="AA369" t="str">
        <f>IF(X369&lt;&gt;"",VLOOKUP(C369,'General price list'!C372:AN1550,MATCH("HM",Tabulka1[[#Headers],[KÓD]:[NEQ]],0),FALSE),"")</f>
        <v/>
      </c>
    </row>
    <row r="370" spans="1:27">
      <c r="A370">
        <f>COUNTIF($W$22:W370,1)</f>
        <v>0</v>
      </c>
      <c r="B370">
        <v>370</v>
      </c>
      <c r="C370" s="684" t="s">
        <v>13780</v>
      </c>
      <c r="W370" t="str">
        <f t="shared" si="10"/>
        <v/>
      </c>
      <c r="X370" s="185" t="str">
        <f t="shared" si="11"/>
        <v/>
      </c>
      <c r="Y370" s="685">
        <f>'General price list'!$AB373</f>
        <v>0</v>
      </c>
      <c r="Z370" t="str">
        <f>IFERROR(X370*VLOOKUP(C370,'General price list'!C:I,7,FALSE),"")</f>
        <v/>
      </c>
      <c r="AA370" t="str">
        <f>IF(X370&lt;&gt;"",VLOOKUP(C370,'General price list'!C373:AN1551,MATCH("HM",Tabulka1[[#Headers],[KÓD]:[NEQ]],0),FALSE),"")</f>
        <v/>
      </c>
    </row>
    <row r="371" spans="1:27">
      <c r="A371">
        <f>COUNTIF($W$22:W371,1)</f>
        <v>0</v>
      </c>
      <c r="B371">
        <v>371</v>
      </c>
      <c r="C371" s="684" t="s">
        <v>1046</v>
      </c>
      <c r="W371" t="str">
        <f t="shared" si="10"/>
        <v/>
      </c>
      <c r="X371" s="185" t="str">
        <f t="shared" si="11"/>
        <v/>
      </c>
      <c r="Y371" s="685">
        <f>'General price list'!$AB374</f>
        <v>0</v>
      </c>
      <c r="Z371" t="str">
        <f>IFERROR(X371*VLOOKUP(C371,'General price list'!C:I,7,FALSE),"")</f>
        <v/>
      </c>
      <c r="AA371" t="str">
        <f>IF(X371&lt;&gt;"",VLOOKUP(C371,'General price list'!C374:AN1552,MATCH("HM",Tabulka1[[#Headers],[KÓD]:[NEQ]],0),FALSE),"")</f>
        <v/>
      </c>
    </row>
    <row r="372" spans="1:27">
      <c r="A372">
        <f>COUNTIF($W$22:W372,1)</f>
        <v>0</v>
      </c>
      <c r="B372">
        <v>372</v>
      </c>
      <c r="C372" s="684" t="s">
        <v>1051</v>
      </c>
      <c r="W372" t="str">
        <f t="shared" si="10"/>
        <v/>
      </c>
      <c r="X372" s="185" t="str">
        <f t="shared" si="11"/>
        <v/>
      </c>
      <c r="Y372" s="685">
        <f>'General price list'!$AB375</f>
        <v>0</v>
      </c>
      <c r="Z372" t="str">
        <f>IFERROR(X372*VLOOKUP(C372,'General price list'!C:I,7,FALSE),"")</f>
        <v/>
      </c>
      <c r="AA372" t="str">
        <f>IF(X372&lt;&gt;"",VLOOKUP(C372,'General price list'!C375:AN1553,MATCH("HM",Tabulka1[[#Headers],[KÓD]:[NEQ]],0),FALSE),"")</f>
        <v/>
      </c>
    </row>
    <row r="373" spans="1:27">
      <c r="A373">
        <f>COUNTIF($W$22:W373,1)</f>
        <v>0</v>
      </c>
      <c r="B373">
        <v>373</v>
      </c>
      <c r="C373" s="684" t="s">
        <v>1056</v>
      </c>
      <c r="W373" t="str">
        <f t="shared" si="10"/>
        <v/>
      </c>
      <c r="X373" s="185" t="str">
        <f t="shared" si="11"/>
        <v/>
      </c>
      <c r="Y373" s="685">
        <f>'General price list'!$AB376</f>
        <v>0</v>
      </c>
      <c r="Z373" t="str">
        <f>IFERROR(X373*VLOOKUP(C373,'General price list'!C:I,7,FALSE),"")</f>
        <v/>
      </c>
      <c r="AA373" t="str">
        <f>IF(X373&lt;&gt;"",VLOOKUP(C373,'General price list'!C376:AN1554,MATCH("HM",Tabulka1[[#Headers],[KÓD]:[NEQ]],0),FALSE),"")</f>
        <v/>
      </c>
    </row>
    <row r="374" spans="1:27">
      <c r="A374">
        <f>COUNTIF($W$22:W374,1)</f>
        <v>0</v>
      </c>
      <c r="B374">
        <v>374</v>
      </c>
      <c r="C374" s="684" t="s">
        <v>13473</v>
      </c>
      <c r="W374" t="str">
        <f t="shared" si="10"/>
        <v/>
      </c>
      <c r="X374" s="185" t="str">
        <f t="shared" si="11"/>
        <v/>
      </c>
      <c r="Y374" s="685">
        <f>'General price list'!$AB377</f>
        <v>0</v>
      </c>
      <c r="Z374" t="str">
        <f>IFERROR(X374*VLOOKUP(C374,'General price list'!C:I,7,FALSE),"")</f>
        <v/>
      </c>
      <c r="AA374" t="str">
        <f>IF(X374&lt;&gt;"",VLOOKUP(C374,'General price list'!C377:AN1555,MATCH("HM",Tabulka1[[#Headers],[KÓD]:[NEQ]],0),FALSE),"")</f>
        <v/>
      </c>
    </row>
    <row r="375" spans="1:27">
      <c r="A375">
        <f>COUNTIF($W$22:W375,1)</f>
        <v>0</v>
      </c>
      <c r="B375">
        <v>375</v>
      </c>
      <c r="W375" t="str">
        <f t="shared" si="10"/>
        <v/>
      </c>
      <c r="X375" s="185" t="str">
        <f t="shared" si="11"/>
        <v/>
      </c>
      <c r="Y375" s="685">
        <f>'General price list'!$AB378</f>
        <v>0</v>
      </c>
      <c r="Z375" t="str">
        <f>IFERROR(X375*VLOOKUP(C375,'General price list'!C:I,7,FALSE),"")</f>
        <v/>
      </c>
      <c r="AA375" t="str">
        <f>IF(X375&lt;&gt;"",VLOOKUP(C375,'General price list'!C378:AN1556,MATCH("HM",Tabulka1[[#Headers],[KÓD]:[NEQ]],0),FALSE),"")</f>
        <v/>
      </c>
    </row>
    <row r="376" spans="1:27">
      <c r="A376">
        <f>COUNTIF($W$22:W376,1)</f>
        <v>0</v>
      </c>
      <c r="B376">
        <v>376</v>
      </c>
      <c r="C376" s="684" t="s">
        <v>1064</v>
      </c>
      <c r="W376" t="str">
        <f t="shared" si="10"/>
        <v/>
      </c>
      <c r="X376" s="185" t="str">
        <f t="shared" si="11"/>
        <v/>
      </c>
      <c r="Y376" s="685">
        <f>'General price list'!$AB379</f>
        <v>0</v>
      </c>
      <c r="Z376" t="str">
        <f>IFERROR(X376*VLOOKUP(C376,'General price list'!C:I,7,FALSE),"")</f>
        <v/>
      </c>
      <c r="AA376" t="str">
        <f>IF(X376&lt;&gt;"",VLOOKUP(C376,'General price list'!C379:AN1557,MATCH("HM",Tabulka1[[#Headers],[KÓD]:[NEQ]],0),FALSE),"")</f>
        <v/>
      </c>
    </row>
    <row r="377" spans="1:27">
      <c r="A377">
        <f>COUNTIF($W$22:W377,1)</f>
        <v>0</v>
      </c>
      <c r="B377">
        <v>377</v>
      </c>
      <c r="C377" s="684" t="s">
        <v>1069</v>
      </c>
      <c r="W377" t="str">
        <f t="shared" si="10"/>
        <v/>
      </c>
      <c r="X377" s="185" t="str">
        <f t="shared" si="11"/>
        <v/>
      </c>
      <c r="Y377" s="685">
        <f>'General price list'!$AB380</f>
        <v>0</v>
      </c>
      <c r="Z377" t="str">
        <f>IFERROR(X377*VLOOKUP(C377,'General price list'!C:I,7,FALSE),"")</f>
        <v/>
      </c>
      <c r="AA377" t="str">
        <f>IF(X377&lt;&gt;"",VLOOKUP(C377,'General price list'!C380:AN1558,MATCH("HM",Tabulka1[[#Headers],[KÓD]:[NEQ]],0),FALSE),"")</f>
        <v/>
      </c>
    </row>
    <row r="378" spans="1:27">
      <c r="A378">
        <f>COUNTIF($W$22:W378,1)</f>
        <v>0</v>
      </c>
      <c r="B378">
        <v>378</v>
      </c>
      <c r="W378" t="str">
        <f t="shared" si="10"/>
        <v/>
      </c>
      <c r="X378" s="185" t="str">
        <f t="shared" si="11"/>
        <v/>
      </c>
      <c r="Y378" s="685">
        <f>'General price list'!$AB381</f>
        <v>0</v>
      </c>
      <c r="Z378" t="str">
        <f>IFERROR(X378*VLOOKUP(C378,'General price list'!C:I,7,FALSE),"")</f>
        <v/>
      </c>
      <c r="AA378" t="str">
        <f>IF(X378&lt;&gt;"",VLOOKUP(C378,'General price list'!C381:AN1559,MATCH("HM",Tabulka1[[#Headers],[KÓD]:[NEQ]],0),FALSE),"")</f>
        <v/>
      </c>
    </row>
    <row r="379" spans="1:27">
      <c r="A379">
        <f>COUNTIF($W$22:W379,1)</f>
        <v>0</v>
      </c>
      <c r="B379">
        <v>379</v>
      </c>
      <c r="C379" s="684" t="s">
        <v>1079</v>
      </c>
      <c r="W379" t="str">
        <f t="shared" si="10"/>
        <v/>
      </c>
      <c r="X379" s="185" t="str">
        <f t="shared" si="11"/>
        <v/>
      </c>
      <c r="Y379" s="685">
        <f>'General price list'!$AB382</f>
        <v>0</v>
      </c>
      <c r="Z379" t="str">
        <f>IFERROR(X379*VLOOKUP(C379,'General price list'!C:I,7,FALSE),"")</f>
        <v/>
      </c>
      <c r="AA379" t="str">
        <f>IF(X379&lt;&gt;"",VLOOKUP(C379,'General price list'!C382:AN1560,MATCH("HM",Tabulka1[[#Headers],[KÓD]:[NEQ]],0),FALSE),"")</f>
        <v/>
      </c>
    </row>
    <row r="380" spans="1:27">
      <c r="A380">
        <f>COUNTIF($W$22:W380,1)</f>
        <v>0</v>
      </c>
      <c r="B380">
        <v>380</v>
      </c>
      <c r="C380" s="684" t="s">
        <v>1083</v>
      </c>
      <c r="W380" t="str">
        <f t="shared" si="10"/>
        <v/>
      </c>
      <c r="X380" s="185" t="str">
        <f t="shared" si="11"/>
        <v/>
      </c>
      <c r="Y380" s="685">
        <f>'General price list'!$AB383</f>
        <v>0</v>
      </c>
      <c r="Z380" t="str">
        <f>IFERROR(X380*VLOOKUP(C380,'General price list'!C:I,7,FALSE),"")</f>
        <v/>
      </c>
      <c r="AA380" t="str">
        <f>IF(X380&lt;&gt;"",VLOOKUP(C380,'General price list'!C383:AN1561,MATCH("HM",Tabulka1[[#Headers],[KÓD]:[NEQ]],0),FALSE),"")</f>
        <v/>
      </c>
    </row>
    <row r="381" spans="1:27">
      <c r="A381">
        <f>COUNTIF($W$22:W381,1)</f>
        <v>0</v>
      </c>
      <c r="B381">
        <v>381</v>
      </c>
      <c r="C381" s="684" t="s">
        <v>1086</v>
      </c>
      <c r="W381" t="str">
        <f t="shared" si="10"/>
        <v/>
      </c>
      <c r="X381" s="185" t="str">
        <f t="shared" si="11"/>
        <v/>
      </c>
      <c r="Y381" s="685">
        <f>'General price list'!$AB384</f>
        <v>0</v>
      </c>
      <c r="Z381" t="str">
        <f>IFERROR(X381*VLOOKUP(C381,'General price list'!C:I,7,FALSE),"")</f>
        <v/>
      </c>
      <c r="AA381" t="str">
        <f>IF(X381&lt;&gt;"",VLOOKUP(C381,'General price list'!C384:AN1562,MATCH("HM",Tabulka1[[#Headers],[KÓD]:[NEQ]],0),FALSE),"")</f>
        <v/>
      </c>
    </row>
    <row r="382" spans="1:27">
      <c r="A382">
        <f>COUNTIF($W$22:W382,1)</f>
        <v>0</v>
      </c>
      <c r="B382">
        <v>382</v>
      </c>
      <c r="C382" s="684" t="s">
        <v>1087</v>
      </c>
      <c r="W382" t="str">
        <f t="shared" si="10"/>
        <v/>
      </c>
      <c r="X382" s="185" t="str">
        <f t="shared" si="11"/>
        <v/>
      </c>
      <c r="Y382" s="685">
        <f>'General price list'!$AB385</f>
        <v>0</v>
      </c>
      <c r="Z382" t="str">
        <f>IFERROR(X382*VLOOKUP(C382,'General price list'!C:I,7,FALSE),"")</f>
        <v/>
      </c>
      <c r="AA382" t="str">
        <f>IF(X382&lt;&gt;"",VLOOKUP(C382,'General price list'!C385:AN1563,MATCH("HM",Tabulka1[[#Headers],[KÓD]:[NEQ]],0),FALSE),"")</f>
        <v/>
      </c>
    </row>
    <row r="383" spans="1:27">
      <c r="A383">
        <f>COUNTIF($W$22:W383,1)</f>
        <v>0</v>
      </c>
      <c r="B383">
        <v>383</v>
      </c>
      <c r="W383" t="str">
        <f t="shared" si="10"/>
        <v/>
      </c>
      <c r="X383" s="185" t="str">
        <f t="shared" si="11"/>
        <v/>
      </c>
      <c r="Y383" s="685">
        <f>'General price list'!$AB386</f>
        <v>0</v>
      </c>
      <c r="Z383" t="str">
        <f>IFERROR(X383*VLOOKUP(C383,'General price list'!C:I,7,FALSE),"")</f>
        <v/>
      </c>
      <c r="AA383" t="str">
        <f>IF(X383&lt;&gt;"",VLOOKUP(C383,'General price list'!C386:AN1564,MATCH("HM",Tabulka1[[#Headers],[KÓD]:[NEQ]],0),FALSE),"")</f>
        <v/>
      </c>
    </row>
    <row r="384" spans="1:27">
      <c r="A384">
        <f>COUNTIF($W$22:W384,1)</f>
        <v>0</v>
      </c>
      <c r="B384">
        <v>384</v>
      </c>
      <c r="C384" s="684" t="s">
        <v>5061</v>
      </c>
      <c r="W384" t="str">
        <f t="shared" si="10"/>
        <v/>
      </c>
      <c r="X384" s="185" t="str">
        <f t="shared" si="11"/>
        <v/>
      </c>
      <c r="Y384" s="685">
        <f>'General price list'!$AB387</f>
        <v>0</v>
      </c>
      <c r="Z384" t="str">
        <f>IFERROR(X384*VLOOKUP(C384,'General price list'!C:I,7,FALSE),"")</f>
        <v/>
      </c>
      <c r="AA384" t="str">
        <f>IF(X384&lt;&gt;"",VLOOKUP(C384,'General price list'!C387:AN1565,MATCH("HM",Tabulka1[[#Headers],[KÓD]:[NEQ]],0),FALSE),"")</f>
        <v/>
      </c>
    </row>
    <row r="385" spans="1:27">
      <c r="A385">
        <f>COUNTIF($W$22:W385,1)</f>
        <v>0</v>
      </c>
      <c r="B385">
        <v>385</v>
      </c>
      <c r="W385" t="str">
        <f t="shared" si="10"/>
        <v/>
      </c>
      <c r="X385" s="185" t="str">
        <f t="shared" si="11"/>
        <v/>
      </c>
      <c r="Y385" s="685">
        <f>'General price list'!$AB388</f>
        <v>0</v>
      </c>
      <c r="Z385" t="str">
        <f>IFERROR(X385*VLOOKUP(C385,'General price list'!C:I,7,FALSE),"")</f>
        <v/>
      </c>
      <c r="AA385" t="str">
        <f>IF(X385&lt;&gt;"",VLOOKUP(C385,'General price list'!C388:AN1566,MATCH("HM",Tabulka1[[#Headers],[KÓD]:[NEQ]],0),FALSE),"")</f>
        <v/>
      </c>
    </row>
    <row r="386" spans="1:27">
      <c r="A386">
        <f>COUNTIF($W$22:W386,1)</f>
        <v>0</v>
      </c>
      <c r="B386">
        <v>386</v>
      </c>
      <c r="C386" s="684" t="s">
        <v>1089</v>
      </c>
      <c r="W386" t="str">
        <f t="shared" si="10"/>
        <v/>
      </c>
      <c r="X386" s="185" t="str">
        <f t="shared" si="11"/>
        <v/>
      </c>
      <c r="Y386" s="685">
        <f>'General price list'!$AB389</f>
        <v>0</v>
      </c>
      <c r="Z386" t="str">
        <f>IFERROR(X386*VLOOKUP(C386,'General price list'!C:I,7,FALSE),"")</f>
        <v/>
      </c>
      <c r="AA386" t="str">
        <f>IF(X386&lt;&gt;"",VLOOKUP(C386,'General price list'!C389:AN1567,MATCH("HM",Tabulka1[[#Headers],[KÓD]:[NEQ]],0),FALSE),"")</f>
        <v/>
      </c>
    </row>
    <row r="387" spans="1:27">
      <c r="A387">
        <f>COUNTIF($W$22:W387,1)</f>
        <v>0</v>
      </c>
      <c r="B387">
        <v>387</v>
      </c>
      <c r="W387" t="str">
        <f t="shared" si="10"/>
        <v/>
      </c>
      <c r="X387" s="185" t="str">
        <f t="shared" si="11"/>
        <v/>
      </c>
      <c r="Y387" s="685">
        <f>'General price list'!$AB390</f>
        <v>0</v>
      </c>
      <c r="Z387" t="str">
        <f>IFERROR(X387*VLOOKUP(C387,'General price list'!C:I,7,FALSE),"")</f>
        <v/>
      </c>
      <c r="AA387" t="str">
        <f>IF(X387&lt;&gt;"",VLOOKUP(C387,'General price list'!C390:AN1568,MATCH("HM",Tabulka1[[#Headers],[KÓD]:[NEQ]],0),FALSE),"")</f>
        <v/>
      </c>
    </row>
    <row r="388" spans="1:27">
      <c r="A388">
        <f>COUNTIF($W$22:W388,1)</f>
        <v>0</v>
      </c>
      <c r="B388">
        <v>388</v>
      </c>
      <c r="C388" s="684" t="s">
        <v>1090</v>
      </c>
      <c r="W388" t="str">
        <f t="shared" si="10"/>
        <v/>
      </c>
      <c r="X388" s="185" t="str">
        <f t="shared" si="11"/>
        <v/>
      </c>
      <c r="Y388" s="685">
        <f>'General price list'!$AB391</f>
        <v>0</v>
      </c>
      <c r="Z388" t="str">
        <f>IFERROR(X388*VLOOKUP(C388,'General price list'!C:I,7,FALSE),"")</f>
        <v/>
      </c>
      <c r="AA388" t="str">
        <f>IF(X388&lt;&gt;"",VLOOKUP(C388,'General price list'!C391:AN1569,MATCH("HM",Tabulka1[[#Headers],[KÓD]:[NEQ]],0),FALSE),"")</f>
        <v/>
      </c>
    </row>
    <row r="389" spans="1:27">
      <c r="A389">
        <f>COUNTIF($W$22:W389,1)</f>
        <v>0</v>
      </c>
      <c r="B389">
        <v>389</v>
      </c>
      <c r="W389" t="str">
        <f t="shared" si="10"/>
        <v/>
      </c>
      <c r="X389" s="185" t="str">
        <f t="shared" si="11"/>
        <v/>
      </c>
      <c r="Y389" s="685">
        <f>'General price list'!$AB392</f>
        <v>0</v>
      </c>
      <c r="Z389" t="str">
        <f>IFERROR(X389*VLOOKUP(C389,'General price list'!C:I,7,FALSE),"")</f>
        <v/>
      </c>
      <c r="AA389" t="str">
        <f>IF(X389&lt;&gt;"",VLOOKUP(C389,'General price list'!C392:AN1570,MATCH("HM",Tabulka1[[#Headers],[KÓD]:[NEQ]],0),FALSE),"")</f>
        <v/>
      </c>
    </row>
    <row r="390" spans="1:27">
      <c r="A390">
        <f>COUNTIF($W$22:W390,1)</f>
        <v>0</v>
      </c>
      <c r="B390">
        <v>390</v>
      </c>
      <c r="C390" s="684" t="s">
        <v>2523</v>
      </c>
      <c r="W390" t="str">
        <f t="shared" si="10"/>
        <v/>
      </c>
      <c r="X390" s="185" t="str">
        <f t="shared" si="11"/>
        <v/>
      </c>
      <c r="Y390" s="685">
        <f>'General price list'!$AB393</f>
        <v>0</v>
      </c>
      <c r="Z390" t="str">
        <f>IFERROR(X390*VLOOKUP(C390,'General price list'!C:I,7,FALSE),"")</f>
        <v/>
      </c>
      <c r="AA390" t="str">
        <f>IF(X390&lt;&gt;"",VLOOKUP(C390,'General price list'!C393:AN1571,MATCH("HM",Tabulka1[[#Headers],[KÓD]:[NEQ]],0),FALSE),"")</f>
        <v/>
      </c>
    </row>
    <row r="391" spans="1:27">
      <c r="A391">
        <f>COUNTIF($W$22:W391,1)</f>
        <v>0</v>
      </c>
      <c r="B391">
        <v>391</v>
      </c>
      <c r="W391" t="str">
        <f t="shared" si="10"/>
        <v/>
      </c>
      <c r="X391" s="185" t="str">
        <f t="shared" si="11"/>
        <v/>
      </c>
      <c r="Y391" s="685">
        <f>'General price list'!$AB394</f>
        <v>0</v>
      </c>
      <c r="Z391" t="str">
        <f>IFERROR(X391*VLOOKUP(C391,'General price list'!C:I,7,FALSE),"")</f>
        <v/>
      </c>
      <c r="AA391" t="str">
        <f>IF(X391&lt;&gt;"",VLOOKUP(C391,'General price list'!C394:AN1572,MATCH("HM",Tabulka1[[#Headers],[KÓD]:[NEQ]],0),FALSE),"")</f>
        <v/>
      </c>
    </row>
    <row r="392" spans="1:27">
      <c r="A392">
        <f>COUNTIF($W$22:W392,1)</f>
        <v>0</v>
      </c>
      <c r="B392">
        <v>392</v>
      </c>
      <c r="C392" s="684" t="s">
        <v>1094</v>
      </c>
      <c r="W392" t="str">
        <f t="shared" si="10"/>
        <v/>
      </c>
      <c r="X392" s="185" t="str">
        <f t="shared" si="11"/>
        <v/>
      </c>
      <c r="Y392" s="685">
        <f>'General price list'!$AB395</f>
        <v>0</v>
      </c>
      <c r="Z392" t="str">
        <f>IFERROR(X392*VLOOKUP(C392,'General price list'!C:I,7,FALSE),"")</f>
        <v/>
      </c>
      <c r="AA392" t="str">
        <f>IF(X392&lt;&gt;"",VLOOKUP(C392,'General price list'!C395:AN1573,MATCH("HM",Tabulka1[[#Headers],[KÓD]:[NEQ]],0),FALSE),"")</f>
        <v/>
      </c>
    </row>
    <row r="393" spans="1:27">
      <c r="A393">
        <f>COUNTIF($W$22:W393,1)</f>
        <v>0</v>
      </c>
      <c r="B393">
        <v>393</v>
      </c>
      <c r="C393" s="684" t="s">
        <v>1099</v>
      </c>
      <c r="W393" t="str">
        <f t="shared" si="10"/>
        <v/>
      </c>
      <c r="X393" s="185" t="str">
        <f t="shared" si="11"/>
        <v/>
      </c>
      <c r="Y393" s="685">
        <f>'General price list'!$AB396</f>
        <v>0</v>
      </c>
      <c r="Z393" t="str">
        <f>IFERROR(X393*VLOOKUP(C393,'General price list'!C:I,7,FALSE),"")</f>
        <v/>
      </c>
      <c r="AA393" t="str">
        <f>IF(X393&lt;&gt;"",VLOOKUP(C393,'General price list'!C396:AN1574,MATCH("HM",Tabulka1[[#Headers],[KÓD]:[NEQ]],0),FALSE),"")</f>
        <v/>
      </c>
    </row>
    <row r="394" spans="1:27">
      <c r="A394">
        <f>COUNTIF($W$22:W394,1)</f>
        <v>0</v>
      </c>
      <c r="B394">
        <v>394</v>
      </c>
      <c r="W394" t="str">
        <f t="shared" si="10"/>
        <v/>
      </c>
      <c r="X394" s="185" t="str">
        <f t="shared" si="11"/>
        <v/>
      </c>
      <c r="Y394" s="685">
        <f>'General price list'!$AB397</f>
        <v>0</v>
      </c>
      <c r="Z394" t="str">
        <f>IFERROR(X394*VLOOKUP(C394,'General price list'!C:I,7,FALSE),"")</f>
        <v/>
      </c>
      <c r="AA394" t="str">
        <f>IF(X394&lt;&gt;"",VLOOKUP(C394,'General price list'!C397:AN1575,MATCH("HM",Tabulka1[[#Headers],[KÓD]:[NEQ]],0),FALSE),"")</f>
        <v/>
      </c>
    </row>
    <row r="395" spans="1:27">
      <c r="A395">
        <f>COUNTIF($W$22:W395,1)</f>
        <v>0</v>
      </c>
      <c r="B395">
        <v>395</v>
      </c>
      <c r="C395" s="684" t="s">
        <v>1101</v>
      </c>
      <c r="W395" t="str">
        <f t="shared" si="10"/>
        <v/>
      </c>
      <c r="X395" s="185" t="str">
        <f t="shared" si="11"/>
        <v/>
      </c>
      <c r="Y395" s="685">
        <f>'General price list'!$AB398</f>
        <v>0</v>
      </c>
      <c r="Z395" t="str">
        <f>IFERROR(X395*VLOOKUP(C395,'General price list'!C:I,7,FALSE),"")</f>
        <v/>
      </c>
      <c r="AA395" t="str">
        <f>IF(X395&lt;&gt;"",VLOOKUP(C395,'General price list'!C398:AN1576,MATCH("HM",Tabulka1[[#Headers],[KÓD]:[NEQ]],0),FALSE),"")</f>
        <v/>
      </c>
    </row>
    <row r="396" spans="1:27">
      <c r="A396">
        <f>COUNTIF($W$22:W396,1)</f>
        <v>0</v>
      </c>
      <c r="B396">
        <v>396</v>
      </c>
      <c r="C396" s="684" t="s">
        <v>5092</v>
      </c>
      <c r="W396" t="str">
        <f t="shared" si="10"/>
        <v/>
      </c>
      <c r="X396" s="185" t="str">
        <f t="shared" si="11"/>
        <v/>
      </c>
      <c r="Y396" s="685">
        <f>'General price list'!$AB399</f>
        <v>0</v>
      </c>
      <c r="Z396" t="str">
        <f>IFERROR(X396*VLOOKUP(C396,'General price list'!C:I,7,FALSE),"")</f>
        <v/>
      </c>
      <c r="AA396" t="str">
        <f>IF(X396&lt;&gt;"",VLOOKUP(C396,'General price list'!C399:AN1577,MATCH("HM",Tabulka1[[#Headers],[KÓD]:[NEQ]],0),FALSE),"")</f>
        <v/>
      </c>
    </row>
    <row r="397" spans="1:27">
      <c r="A397">
        <f>COUNTIF($W$22:W397,1)</f>
        <v>0</v>
      </c>
      <c r="B397">
        <v>397</v>
      </c>
      <c r="C397" s="684" t="s">
        <v>5102</v>
      </c>
      <c r="W397" t="str">
        <f t="shared" si="10"/>
        <v/>
      </c>
      <c r="X397" s="185" t="str">
        <f t="shared" si="11"/>
        <v/>
      </c>
      <c r="Y397" s="685">
        <f>'General price list'!$AB400</f>
        <v>0</v>
      </c>
      <c r="Z397" t="str">
        <f>IFERROR(X397*VLOOKUP(C397,'General price list'!C:I,7,FALSE),"")</f>
        <v/>
      </c>
      <c r="AA397" t="str">
        <f>IF(X397&lt;&gt;"",VLOOKUP(C397,'General price list'!C400:AN1578,MATCH("HM",Tabulka1[[#Headers],[KÓD]:[NEQ]],0),FALSE),"")</f>
        <v/>
      </c>
    </row>
    <row r="398" spans="1:27">
      <c r="A398">
        <f>COUNTIF($W$22:W398,1)</f>
        <v>0</v>
      </c>
      <c r="B398">
        <v>398</v>
      </c>
      <c r="C398" s="684" t="s">
        <v>1105</v>
      </c>
      <c r="W398" t="str">
        <f t="shared" si="10"/>
        <v/>
      </c>
      <c r="X398" s="185" t="str">
        <f t="shared" si="11"/>
        <v/>
      </c>
      <c r="Y398" s="685">
        <f>'General price list'!$AB401</f>
        <v>0</v>
      </c>
      <c r="Z398" t="str">
        <f>IFERROR(X398*VLOOKUP(C398,'General price list'!C:I,7,FALSE),"")</f>
        <v/>
      </c>
      <c r="AA398" t="str">
        <f>IF(X398&lt;&gt;"",VLOOKUP(C398,'General price list'!C401:AN1579,MATCH("HM",Tabulka1[[#Headers],[KÓD]:[NEQ]],0),FALSE),"")</f>
        <v/>
      </c>
    </row>
    <row r="399" spans="1:27">
      <c r="A399">
        <f>COUNTIF($W$22:W399,1)</f>
        <v>0</v>
      </c>
      <c r="B399">
        <v>399</v>
      </c>
      <c r="C399" s="684" t="s">
        <v>1106</v>
      </c>
      <c r="W399" t="str">
        <f t="shared" si="10"/>
        <v/>
      </c>
      <c r="X399" s="185" t="str">
        <f t="shared" si="11"/>
        <v/>
      </c>
      <c r="Y399" s="685">
        <f>'General price list'!$AB402</f>
        <v>0</v>
      </c>
      <c r="Z399" t="str">
        <f>IFERROR(X399*VLOOKUP(C399,'General price list'!C:I,7,FALSE),"")</f>
        <v/>
      </c>
      <c r="AA399" t="str">
        <f>IF(X399&lt;&gt;"",VLOOKUP(C399,'General price list'!C402:AN1580,MATCH("HM",Tabulka1[[#Headers],[KÓD]:[NEQ]],0),FALSE),"")</f>
        <v/>
      </c>
    </row>
    <row r="400" spans="1:27">
      <c r="A400">
        <f>COUNTIF($W$22:W400,1)</f>
        <v>0</v>
      </c>
      <c r="B400">
        <v>400</v>
      </c>
      <c r="C400" s="684" t="s">
        <v>1108</v>
      </c>
      <c r="W400" t="str">
        <f t="shared" si="10"/>
        <v/>
      </c>
      <c r="X400" s="185" t="str">
        <f t="shared" si="11"/>
        <v/>
      </c>
      <c r="Y400" s="685">
        <f>'General price list'!$AB403</f>
        <v>0</v>
      </c>
      <c r="Z400" t="str">
        <f>IFERROR(X400*VLOOKUP(C400,'General price list'!C:I,7,FALSE),"")</f>
        <v/>
      </c>
      <c r="AA400" t="str">
        <f>IF(X400&lt;&gt;"",VLOOKUP(C400,'General price list'!C403:AN1581,MATCH("HM",Tabulka1[[#Headers],[KÓD]:[NEQ]],0),FALSE),"")</f>
        <v/>
      </c>
    </row>
    <row r="401" spans="1:27">
      <c r="A401">
        <f>COUNTIF($W$22:W401,1)</f>
        <v>0</v>
      </c>
      <c r="B401">
        <v>401</v>
      </c>
      <c r="C401" s="684" t="s">
        <v>1111</v>
      </c>
      <c r="W401" t="str">
        <f t="shared" si="10"/>
        <v/>
      </c>
      <c r="X401" s="185" t="str">
        <f t="shared" si="11"/>
        <v/>
      </c>
      <c r="Y401" s="685">
        <f>'General price list'!$AB404</f>
        <v>0</v>
      </c>
      <c r="Z401" t="str">
        <f>IFERROR(X401*VLOOKUP(C401,'General price list'!C:I,7,FALSE),"")</f>
        <v/>
      </c>
      <c r="AA401" t="str">
        <f>IF(X401&lt;&gt;"",VLOOKUP(C401,'General price list'!C404:AN1582,MATCH("HM",Tabulka1[[#Headers],[KÓD]:[NEQ]],0),FALSE),"")</f>
        <v/>
      </c>
    </row>
    <row r="402" spans="1:27">
      <c r="A402">
        <f>COUNTIF($W$22:W402,1)</f>
        <v>0</v>
      </c>
      <c r="B402">
        <v>402</v>
      </c>
      <c r="C402" s="684" t="s">
        <v>1113</v>
      </c>
      <c r="W402" t="str">
        <f t="shared" si="10"/>
        <v/>
      </c>
      <c r="X402" s="185" t="str">
        <f t="shared" si="11"/>
        <v/>
      </c>
      <c r="Y402" s="685">
        <f>'General price list'!$AB405</f>
        <v>0</v>
      </c>
      <c r="Z402" t="str">
        <f>IFERROR(X402*VLOOKUP(C402,'General price list'!C:I,7,FALSE),"")</f>
        <v/>
      </c>
      <c r="AA402" t="str">
        <f>IF(X402&lt;&gt;"",VLOOKUP(C402,'General price list'!C405:AN1583,MATCH("HM",Tabulka1[[#Headers],[KÓD]:[NEQ]],0),FALSE),"")</f>
        <v/>
      </c>
    </row>
    <row r="403" spans="1:27">
      <c r="A403">
        <f>COUNTIF($W$22:W403,1)</f>
        <v>0</v>
      </c>
      <c r="B403">
        <v>403</v>
      </c>
      <c r="W403" t="str">
        <f t="shared" si="10"/>
        <v/>
      </c>
      <c r="X403" s="185" t="str">
        <f t="shared" si="11"/>
        <v/>
      </c>
      <c r="Y403" s="685">
        <f>'General price list'!$AB406</f>
        <v>0</v>
      </c>
      <c r="Z403" t="str">
        <f>IFERROR(X403*VLOOKUP(C403,'General price list'!C:I,7,FALSE),"")</f>
        <v/>
      </c>
      <c r="AA403" t="str">
        <f>IF(X403&lt;&gt;"",VLOOKUP(C403,'General price list'!C406:AN1584,MATCH("HM",Tabulka1[[#Headers],[KÓD]:[NEQ]],0),FALSE),"")</f>
        <v/>
      </c>
    </row>
    <row r="404" spans="1:27">
      <c r="A404">
        <f>COUNTIF($W$22:W404,1)</f>
        <v>0</v>
      </c>
      <c r="B404">
        <v>404</v>
      </c>
      <c r="C404" s="684" t="s">
        <v>1116</v>
      </c>
      <c r="W404" t="str">
        <f t="shared" si="10"/>
        <v/>
      </c>
      <c r="X404" s="185" t="str">
        <f t="shared" si="11"/>
        <v/>
      </c>
      <c r="Y404" s="685">
        <f>'General price list'!$AB407</f>
        <v>0</v>
      </c>
      <c r="Z404" t="str">
        <f>IFERROR(X404*VLOOKUP(C404,'General price list'!C:I,7,FALSE),"")</f>
        <v/>
      </c>
      <c r="AA404" t="str">
        <f>IF(X404&lt;&gt;"",VLOOKUP(C404,'General price list'!C407:AN1585,MATCH("HM",Tabulka1[[#Headers],[KÓD]:[NEQ]],0),FALSE),"")</f>
        <v/>
      </c>
    </row>
    <row r="405" spans="1:27">
      <c r="A405">
        <f>COUNTIF($W$22:W405,1)</f>
        <v>0</v>
      </c>
      <c r="B405">
        <v>405</v>
      </c>
      <c r="C405" s="684" t="s">
        <v>1117</v>
      </c>
      <c r="W405" t="str">
        <f t="shared" si="10"/>
        <v/>
      </c>
      <c r="X405" s="185" t="str">
        <f t="shared" si="11"/>
        <v/>
      </c>
      <c r="Y405" s="685">
        <f>'General price list'!$AB408</f>
        <v>0</v>
      </c>
      <c r="Z405" t="str">
        <f>IFERROR(X405*VLOOKUP(C405,'General price list'!C:I,7,FALSE),"")</f>
        <v/>
      </c>
      <c r="AA405" t="str">
        <f>IF(X405&lt;&gt;"",VLOOKUP(C405,'General price list'!C408:AN1586,MATCH("HM",Tabulka1[[#Headers],[KÓD]:[NEQ]],0),FALSE),"")</f>
        <v/>
      </c>
    </row>
    <row r="406" spans="1:27">
      <c r="A406">
        <f>COUNTIF($W$22:W406,1)</f>
        <v>0</v>
      </c>
      <c r="B406">
        <v>406</v>
      </c>
      <c r="C406" s="684" t="s">
        <v>1118</v>
      </c>
      <c r="W406" t="str">
        <f t="shared" si="10"/>
        <v/>
      </c>
      <c r="X406" s="185" t="str">
        <f t="shared" si="11"/>
        <v/>
      </c>
      <c r="Y406" s="685">
        <f>'General price list'!$AB409</f>
        <v>0</v>
      </c>
      <c r="Z406" t="str">
        <f>IFERROR(X406*VLOOKUP(C406,'General price list'!C:I,7,FALSE),"")</f>
        <v/>
      </c>
      <c r="AA406" t="str">
        <f>IF(X406&lt;&gt;"",VLOOKUP(C406,'General price list'!C409:AN1587,MATCH("HM",Tabulka1[[#Headers],[KÓD]:[NEQ]],0),FALSE),"")</f>
        <v/>
      </c>
    </row>
    <row r="407" spans="1:27">
      <c r="A407">
        <f>COUNTIF($W$22:W407,1)</f>
        <v>0</v>
      </c>
      <c r="B407">
        <v>407</v>
      </c>
      <c r="C407" s="684" t="s">
        <v>1119</v>
      </c>
      <c r="W407" t="str">
        <f t="shared" ref="W407:W470" si="12">IF(Y407+1=1,"",1)</f>
        <v/>
      </c>
      <c r="X407" s="185" t="str">
        <f t="shared" si="11"/>
        <v/>
      </c>
      <c r="Y407" s="685">
        <f>'General price list'!$AB410</f>
        <v>0</v>
      </c>
      <c r="Z407" t="str">
        <f>IFERROR(X407*VLOOKUP(C407,'General price list'!C:I,7,FALSE),"")</f>
        <v/>
      </c>
      <c r="AA407" t="str">
        <f>IF(X407&lt;&gt;"",VLOOKUP(C407,'General price list'!C410:AN1588,MATCH("HM",Tabulka1[[#Headers],[KÓD]:[NEQ]],0),FALSE),"")</f>
        <v/>
      </c>
    </row>
    <row r="408" spans="1:27">
      <c r="A408">
        <f>COUNTIF($W$22:W408,1)</f>
        <v>0</v>
      </c>
      <c r="B408">
        <v>408</v>
      </c>
      <c r="W408" t="str">
        <f t="shared" si="12"/>
        <v/>
      </c>
      <c r="X408" s="185" t="str">
        <f t="shared" ref="X408:X471" si="13">IF(A408&gt;$C$21,"",IF(Y408=0,"",Y408))</f>
        <v/>
      </c>
      <c r="Y408" s="685">
        <f>'General price list'!$AB411</f>
        <v>0</v>
      </c>
      <c r="Z408" t="str">
        <f>IFERROR(X408*VLOOKUP(C408,'General price list'!C:I,7,FALSE),"")</f>
        <v/>
      </c>
      <c r="AA408" t="str">
        <f>IF(X408&lt;&gt;"",VLOOKUP(C408,'General price list'!C411:AN1589,MATCH("HM",Tabulka1[[#Headers],[KÓD]:[NEQ]],0),FALSE),"")</f>
        <v/>
      </c>
    </row>
    <row r="409" spans="1:27">
      <c r="A409">
        <f>COUNTIF($W$22:W409,1)</f>
        <v>0</v>
      </c>
      <c r="B409">
        <v>409</v>
      </c>
      <c r="C409" s="684" t="s">
        <v>2526</v>
      </c>
      <c r="W409" t="str">
        <f t="shared" si="12"/>
        <v/>
      </c>
      <c r="X409" s="185" t="str">
        <f t="shared" si="13"/>
        <v/>
      </c>
      <c r="Y409" s="685">
        <f>'General price list'!$AB412</f>
        <v>0</v>
      </c>
      <c r="Z409" t="str">
        <f>IFERROR(X409*VLOOKUP(C409,'General price list'!C:I,7,FALSE),"")</f>
        <v/>
      </c>
      <c r="AA409" t="str">
        <f>IF(X409&lt;&gt;"",VLOOKUP(C409,'General price list'!C412:AN1590,MATCH("HM",Tabulka1[[#Headers],[KÓD]:[NEQ]],0),FALSE),"")</f>
        <v/>
      </c>
    </row>
    <row r="410" spans="1:27">
      <c r="A410">
        <f>COUNTIF($W$22:W410,1)</f>
        <v>0</v>
      </c>
      <c r="B410">
        <v>410</v>
      </c>
      <c r="C410" s="684" t="s">
        <v>2528</v>
      </c>
      <c r="W410" t="str">
        <f t="shared" si="12"/>
        <v/>
      </c>
      <c r="X410" s="185" t="str">
        <f t="shared" si="13"/>
        <v/>
      </c>
      <c r="Y410" s="685">
        <f>'General price list'!$AB413</f>
        <v>0</v>
      </c>
      <c r="Z410" t="str">
        <f>IFERROR(X410*VLOOKUP(C410,'General price list'!C:I,7,FALSE),"")</f>
        <v/>
      </c>
      <c r="AA410" t="str">
        <f>IF(X410&lt;&gt;"",VLOOKUP(C410,'General price list'!C413:AN1591,MATCH("HM",Tabulka1[[#Headers],[KÓD]:[NEQ]],0),FALSE),"")</f>
        <v/>
      </c>
    </row>
    <row r="411" spans="1:27">
      <c r="A411">
        <f>COUNTIF($W$22:W411,1)</f>
        <v>0</v>
      </c>
      <c r="B411">
        <v>411</v>
      </c>
      <c r="W411" t="str">
        <f t="shared" si="12"/>
        <v/>
      </c>
      <c r="X411" s="185" t="str">
        <f t="shared" si="13"/>
        <v/>
      </c>
      <c r="Y411" s="685">
        <f>'General price list'!$AB414</f>
        <v>0</v>
      </c>
      <c r="Z411" t="str">
        <f>IFERROR(X411*VLOOKUP(C411,'General price list'!C:I,7,FALSE),"")</f>
        <v/>
      </c>
      <c r="AA411" t="str">
        <f>IF(X411&lt;&gt;"",VLOOKUP(C411,'General price list'!C414:AN1592,MATCH("HM",Tabulka1[[#Headers],[KÓD]:[NEQ]],0),FALSE),"")</f>
        <v/>
      </c>
    </row>
    <row r="412" spans="1:27">
      <c r="A412">
        <f>COUNTIF($W$22:W412,1)</f>
        <v>0</v>
      </c>
      <c r="B412">
        <v>412</v>
      </c>
      <c r="C412" s="684" t="s">
        <v>1120</v>
      </c>
      <c r="W412" t="str">
        <f t="shared" si="12"/>
        <v/>
      </c>
      <c r="X412" s="185" t="str">
        <f t="shared" si="13"/>
        <v/>
      </c>
      <c r="Y412" s="685">
        <f>'General price list'!$AB415</f>
        <v>0</v>
      </c>
      <c r="Z412" t="str">
        <f>IFERROR(X412*VLOOKUP(C412,'General price list'!C:I,7,FALSE),"")</f>
        <v/>
      </c>
      <c r="AA412" t="str">
        <f>IF(X412&lt;&gt;"",VLOOKUP(C412,'General price list'!C415:AN1593,MATCH("HM",Tabulka1[[#Headers],[KÓD]:[NEQ]],0),FALSE),"")</f>
        <v/>
      </c>
    </row>
    <row r="413" spans="1:27">
      <c r="A413">
        <f>COUNTIF($W$22:W413,1)</f>
        <v>0</v>
      </c>
      <c r="B413">
        <v>413</v>
      </c>
      <c r="C413" s="684" t="s">
        <v>1122</v>
      </c>
      <c r="W413" t="str">
        <f t="shared" si="12"/>
        <v/>
      </c>
      <c r="X413" s="185" t="str">
        <f t="shared" si="13"/>
        <v/>
      </c>
      <c r="Y413" s="685">
        <f>'General price list'!$AB416</f>
        <v>0</v>
      </c>
      <c r="Z413" t="str">
        <f>IFERROR(X413*VLOOKUP(C413,'General price list'!C:I,7,FALSE),"")</f>
        <v/>
      </c>
      <c r="AA413" t="str">
        <f>IF(X413&lt;&gt;"",VLOOKUP(C413,'General price list'!C416:AN1594,MATCH("HM",Tabulka1[[#Headers],[KÓD]:[NEQ]],0),FALSE),"")</f>
        <v/>
      </c>
    </row>
    <row r="414" spans="1:27">
      <c r="A414">
        <f>COUNTIF($W$22:W414,1)</f>
        <v>0</v>
      </c>
      <c r="B414">
        <v>414</v>
      </c>
      <c r="C414" s="684" t="s">
        <v>1123</v>
      </c>
      <c r="W414" t="str">
        <f t="shared" si="12"/>
        <v/>
      </c>
      <c r="X414" s="185" t="str">
        <f t="shared" si="13"/>
        <v/>
      </c>
      <c r="Y414" s="685">
        <f>'General price list'!$AB417</f>
        <v>0</v>
      </c>
      <c r="Z414" t="str">
        <f>IFERROR(X414*VLOOKUP(C414,'General price list'!C:I,7,FALSE),"")</f>
        <v/>
      </c>
      <c r="AA414" t="str">
        <f>IF(X414&lt;&gt;"",VLOOKUP(C414,'General price list'!C417:AN1595,MATCH("HM",Tabulka1[[#Headers],[KÓD]:[NEQ]],0),FALSE),"")</f>
        <v/>
      </c>
    </row>
    <row r="415" spans="1:27">
      <c r="A415">
        <f>COUNTIF($W$22:W415,1)</f>
        <v>0</v>
      </c>
      <c r="B415">
        <v>415</v>
      </c>
      <c r="C415" s="684" t="s">
        <v>1126</v>
      </c>
      <c r="W415" t="str">
        <f t="shared" si="12"/>
        <v/>
      </c>
      <c r="X415" s="185" t="str">
        <f t="shared" si="13"/>
        <v/>
      </c>
      <c r="Y415" s="685">
        <f>'General price list'!$AB418</f>
        <v>0</v>
      </c>
      <c r="Z415" t="str">
        <f>IFERROR(X415*VLOOKUP(C415,'General price list'!C:I,7,FALSE),"")</f>
        <v/>
      </c>
      <c r="AA415" t="str">
        <f>IF(X415&lt;&gt;"",VLOOKUP(C415,'General price list'!C418:AN1596,MATCH("HM",Tabulka1[[#Headers],[KÓD]:[NEQ]],0),FALSE),"")</f>
        <v/>
      </c>
    </row>
    <row r="416" spans="1:27">
      <c r="A416">
        <f>COUNTIF($W$22:W416,1)</f>
        <v>0</v>
      </c>
      <c r="B416">
        <v>416</v>
      </c>
      <c r="C416" s="684" t="s">
        <v>1128</v>
      </c>
      <c r="W416" t="str">
        <f t="shared" si="12"/>
        <v/>
      </c>
      <c r="X416" s="185" t="str">
        <f t="shared" si="13"/>
        <v/>
      </c>
      <c r="Y416" s="685">
        <f>'General price list'!$AB419</f>
        <v>0</v>
      </c>
      <c r="Z416" t="str">
        <f>IFERROR(X416*VLOOKUP(C416,'General price list'!C:I,7,FALSE),"")</f>
        <v/>
      </c>
      <c r="AA416" t="str">
        <f>IF(X416&lt;&gt;"",VLOOKUP(C416,'General price list'!C419:AN1597,MATCH("HM",Tabulka1[[#Headers],[KÓD]:[NEQ]],0),FALSE),"")</f>
        <v/>
      </c>
    </row>
    <row r="417" spans="1:27">
      <c r="A417">
        <f>COUNTIF($W$22:W417,1)</f>
        <v>0</v>
      </c>
      <c r="B417">
        <v>417</v>
      </c>
      <c r="C417" s="684" t="s">
        <v>1130</v>
      </c>
      <c r="W417" t="str">
        <f t="shared" si="12"/>
        <v/>
      </c>
      <c r="X417" s="185" t="str">
        <f t="shared" si="13"/>
        <v/>
      </c>
      <c r="Y417" s="685">
        <f>'General price list'!$AB420</f>
        <v>0</v>
      </c>
      <c r="Z417" t="str">
        <f>IFERROR(X417*VLOOKUP(C417,'General price list'!C:I,7,FALSE),"")</f>
        <v/>
      </c>
      <c r="AA417" t="str">
        <f>IF(X417&lt;&gt;"",VLOOKUP(C417,'General price list'!C420:AN1598,MATCH("HM",Tabulka1[[#Headers],[KÓD]:[NEQ]],0),FALSE),"")</f>
        <v/>
      </c>
    </row>
    <row r="418" spans="1:27">
      <c r="A418">
        <f>COUNTIF($W$22:W418,1)</f>
        <v>0</v>
      </c>
      <c r="B418">
        <v>418</v>
      </c>
      <c r="C418" s="684" t="s">
        <v>1135</v>
      </c>
      <c r="W418" t="str">
        <f t="shared" si="12"/>
        <v/>
      </c>
      <c r="X418" s="185" t="str">
        <f t="shared" si="13"/>
        <v/>
      </c>
      <c r="Y418" s="685">
        <f>'General price list'!$AB421</f>
        <v>0</v>
      </c>
      <c r="Z418" t="str">
        <f>IFERROR(X418*VLOOKUP(C418,'General price list'!C:I,7,FALSE),"")</f>
        <v/>
      </c>
      <c r="AA418" t="str">
        <f>IF(X418&lt;&gt;"",VLOOKUP(C418,'General price list'!C421:AN1599,MATCH("HM",Tabulka1[[#Headers],[KÓD]:[NEQ]],0),FALSE),"")</f>
        <v/>
      </c>
    </row>
    <row r="419" spans="1:27">
      <c r="A419">
        <f>COUNTIF($W$22:W419,1)</f>
        <v>0</v>
      </c>
      <c r="B419">
        <v>419</v>
      </c>
      <c r="C419" s="684" t="s">
        <v>1140</v>
      </c>
      <c r="W419" t="str">
        <f t="shared" si="12"/>
        <v/>
      </c>
      <c r="X419" s="185" t="str">
        <f t="shared" si="13"/>
        <v/>
      </c>
      <c r="Y419" s="685">
        <f>'General price list'!$AB422</f>
        <v>0</v>
      </c>
      <c r="Z419" t="str">
        <f>IFERROR(X419*VLOOKUP(C419,'General price list'!C:I,7,FALSE),"")</f>
        <v/>
      </c>
      <c r="AA419" t="str">
        <f>IF(X419&lt;&gt;"",VLOOKUP(C419,'General price list'!C422:AN1600,MATCH("HM",Tabulka1[[#Headers],[KÓD]:[NEQ]],0),FALSE),"")</f>
        <v/>
      </c>
    </row>
    <row r="420" spans="1:27">
      <c r="A420">
        <f>COUNTIF($W$22:W420,1)</f>
        <v>0</v>
      </c>
      <c r="B420">
        <v>420</v>
      </c>
      <c r="C420" s="684" t="s">
        <v>1145</v>
      </c>
      <c r="W420" t="str">
        <f t="shared" si="12"/>
        <v/>
      </c>
      <c r="X420" s="185" t="str">
        <f t="shared" si="13"/>
        <v/>
      </c>
      <c r="Y420" s="685">
        <f>'General price list'!$AB423</f>
        <v>0</v>
      </c>
      <c r="Z420" t="str">
        <f>IFERROR(X420*VLOOKUP(C420,'General price list'!C:I,7,FALSE),"")</f>
        <v/>
      </c>
      <c r="AA420" t="str">
        <f>IF(X420&lt;&gt;"",VLOOKUP(C420,'General price list'!C423:AN1601,MATCH("HM",Tabulka1[[#Headers],[KÓD]:[NEQ]],0),FALSE),"")</f>
        <v/>
      </c>
    </row>
    <row r="421" spans="1:27">
      <c r="A421">
        <f>COUNTIF($W$22:W421,1)</f>
        <v>0</v>
      </c>
      <c r="B421">
        <v>421</v>
      </c>
      <c r="C421" s="684" t="s">
        <v>1154</v>
      </c>
      <c r="W421" t="str">
        <f t="shared" si="12"/>
        <v/>
      </c>
      <c r="X421" s="185" t="str">
        <f t="shared" si="13"/>
        <v/>
      </c>
      <c r="Y421" s="685">
        <f>'General price list'!$AB424</f>
        <v>0</v>
      </c>
      <c r="Z421" t="str">
        <f>IFERROR(X421*VLOOKUP(C421,'General price list'!C:I,7,FALSE),"")</f>
        <v/>
      </c>
      <c r="AA421" t="str">
        <f>IF(X421&lt;&gt;"",VLOOKUP(C421,'General price list'!C424:AN1602,MATCH("HM",Tabulka1[[#Headers],[KÓD]:[NEQ]],0),FALSE),"")</f>
        <v/>
      </c>
    </row>
    <row r="422" spans="1:27">
      <c r="A422">
        <f>COUNTIF($W$22:W422,1)</f>
        <v>0</v>
      </c>
      <c r="B422">
        <v>422</v>
      </c>
      <c r="W422" t="str">
        <f t="shared" si="12"/>
        <v/>
      </c>
      <c r="X422" s="185" t="str">
        <f t="shared" si="13"/>
        <v/>
      </c>
      <c r="Y422" s="685">
        <f>'General price list'!$AB425</f>
        <v>0</v>
      </c>
      <c r="Z422" t="str">
        <f>IFERROR(X422*VLOOKUP(C422,'General price list'!C:I,7,FALSE),"")</f>
        <v/>
      </c>
      <c r="AA422" t="str">
        <f>IF(X422&lt;&gt;"",VLOOKUP(C422,'General price list'!C425:AN1603,MATCH("HM",Tabulka1[[#Headers],[KÓD]:[NEQ]],0),FALSE),"")</f>
        <v/>
      </c>
    </row>
    <row r="423" spans="1:27">
      <c r="A423">
        <f>COUNTIF($W$22:W423,1)</f>
        <v>0</v>
      </c>
      <c r="B423">
        <v>423</v>
      </c>
      <c r="C423" s="684" t="s">
        <v>1132</v>
      </c>
      <c r="W423" t="str">
        <f t="shared" si="12"/>
        <v/>
      </c>
      <c r="X423" s="185" t="str">
        <f t="shared" si="13"/>
        <v/>
      </c>
      <c r="Y423" s="685">
        <f>'General price list'!$AB426</f>
        <v>0</v>
      </c>
      <c r="Z423" t="str">
        <f>IFERROR(X423*VLOOKUP(C423,'General price list'!C:I,7,FALSE),"")</f>
        <v/>
      </c>
      <c r="AA423" t="str">
        <f>IF(X423&lt;&gt;"",VLOOKUP(C423,'General price list'!C426:AN1604,MATCH("HM",Tabulka1[[#Headers],[KÓD]:[NEQ]],0),FALSE),"")</f>
        <v/>
      </c>
    </row>
    <row r="424" spans="1:27">
      <c r="A424">
        <f>COUNTIF($W$22:W424,1)</f>
        <v>0</v>
      </c>
      <c r="B424">
        <v>424</v>
      </c>
      <c r="C424" s="684" t="s">
        <v>1133</v>
      </c>
      <c r="W424" t="str">
        <f t="shared" si="12"/>
        <v/>
      </c>
      <c r="X424" s="185" t="str">
        <f t="shared" si="13"/>
        <v/>
      </c>
      <c r="Y424" s="685">
        <f>'General price list'!$AB427</f>
        <v>0</v>
      </c>
      <c r="Z424" t="str">
        <f>IFERROR(X424*VLOOKUP(C424,'General price list'!C:I,7,FALSE),"")</f>
        <v/>
      </c>
      <c r="AA424" t="str">
        <f>IF(X424&lt;&gt;"",VLOOKUP(C424,'General price list'!C427:AN1605,MATCH("HM",Tabulka1[[#Headers],[KÓD]:[NEQ]],0),FALSE),"")</f>
        <v/>
      </c>
    </row>
    <row r="425" spans="1:27">
      <c r="A425">
        <f>COUNTIF($W$22:W425,1)</f>
        <v>0</v>
      </c>
      <c r="B425">
        <v>425</v>
      </c>
      <c r="C425" s="684" t="s">
        <v>1134</v>
      </c>
      <c r="W425" t="str">
        <f t="shared" si="12"/>
        <v/>
      </c>
      <c r="X425" s="185" t="str">
        <f t="shared" si="13"/>
        <v/>
      </c>
      <c r="Y425" s="685">
        <f>'General price list'!$AB428</f>
        <v>0</v>
      </c>
      <c r="Z425" t="str">
        <f>IFERROR(X425*VLOOKUP(C425,'General price list'!C:I,7,FALSE),"")</f>
        <v/>
      </c>
      <c r="AA425" t="str">
        <f>IF(X425&lt;&gt;"",VLOOKUP(C425,'General price list'!C428:AN1606,MATCH("HM",Tabulka1[[#Headers],[KÓD]:[NEQ]],0),FALSE),"")</f>
        <v/>
      </c>
    </row>
    <row r="426" spans="1:27">
      <c r="A426">
        <f>COUNTIF($W$22:W426,1)</f>
        <v>0</v>
      </c>
      <c r="B426">
        <v>426</v>
      </c>
      <c r="W426" t="str">
        <f t="shared" si="12"/>
        <v/>
      </c>
      <c r="X426" s="185" t="str">
        <f t="shared" si="13"/>
        <v/>
      </c>
      <c r="Y426" s="685">
        <f>'General price list'!$AB429</f>
        <v>0</v>
      </c>
      <c r="Z426" t="str">
        <f>IFERROR(X426*VLOOKUP(C426,'General price list'!C:I,7,FALSE),"")</f>
        <v/>
      </c>
      <c r="AA426" t="str">
        <f>IF(X426&lt;&gt;"",VLOOKUP(C426,'General price list'!C429:AN1607,MATCH("HM",Tabulka1[[#Headers],[KÓD]:[NEQ]],0),FALSE),"")</f>
        <v/>
      </c>
    </row>
    <row r="427" spans="1:27">
      <c r="A427">
        <f>COUNTIF($W$22:W427,1)</f>
        <v>0</v>
      </c>
      <c r="B427">
        <v>427</v>
      </c>
      <c r="C427" s="684" t="s">
        <v>1156</v>
      </c>
      <c r="W427" t="str">
        <f t="shared" si="12"/>
        <v/>
      </c>
      <c r="X427" s="185" t="str">
        <f t="shared" si="13"/>
        <v/>
      </c>
      <c r="Y427" s="685">
        <f>'General price list'!$AB430</f>
        <v>0</v>
      </c>
      <c r="Z427" t="str">
        <f>IFERROR(X427*VLOOKUP(C427,'General price list'!C:I,7,FALSE),"")</f>
        <v/>
      </c>
      <c r="AA427" t="str">
        <f>IF(X427&lt;&gt;"",VLOOKUP(C427,'General price list'!C430:AN1608,MATCH("HM",Tabulka1[[#Headers],[KÓD]:[NEQ]],0),FALSE),"")</f>
        <v/>
      </c>
    </row>
    <row r="428" spans="1:27">
      <c r="A428">
        <f>COUNTIF($W$22:W428,1)</f>
        <v>0</v>
      </c>
      <c r="B428">
        <v>428</v>
      </c>
      <c r="C428" s="684" t="s">
        <v>1158</v>
      </c>
      <c r="W428" t="str">
        <f t="shared" si="12"/>
        <v/>
      </c>
      <c r="X428" s="185" t="str">
        <f t="shared" si="13"/>
        <v/>
      </c>
      <c r="Y428" s="685">
        <f>'General price list'!$AB431</f>
        <v>0</v>
      </c>
      <c r="Z428" t="str">
        <f>IFERROR(X428*VLOOKUP(C428,'General price list'!C:I,7,FALSE),"")</f>
        <v/>
      </c>
      <c r="AA428" t="str">
        <f>IF(X428&lt;&gt;"",VLOOKUP(C428,'General price list'!C431:AN1609,MATCH("HM",Tabulka1[[#Headers],[KÓD]:[NEQ]],0),FALSE),"")</f>
        <v/>
      </c>
    </row>
    <row r="429" spans="1:27">
      <c r="A429">
        <f>COUNTIF($W$22:W429,1)</f>
        <v>0</v>
      </c>
      <c r="B429">
        <v>429</v>
      </c>
      <c r="C429" s="684" t="s">
        <v>1160</v>
      </c>
      <c r="W429" t="str">
        <f t="shared" si="12"/>
        <v/>
      </c>
      <c r="X429" s="185" t="str">
        <f t="shared" si="13"/>
        <v/>
      </c>
      <c r="Y429" s="685">
        <f>'General price list'!$AB432</f>
        <v>0</v>
      </c>
      <c r="Z429" t="str">
        <f>IFERROR(X429*VLOOKUP(C429,'General price list'!C:I,7,FALSE),"")</f>
        <v/>
      </c>
      <c r="AA429" t="str">
        <f>IF(X429&lt;&gt;"",VLOOKUP(C429,'General price list'!C432:AN1610,MATCH("HM",Tabulka1[[#Headers],[KÓD]:[NEQ]],0),FALSE),"")</f>
        <v/>
      </c>
    </row>
    <row r="430" spans="1:27">
      <c r="A430">
        <f>COUNTIF($W$22:W430,1)</f>
        <v>0</v>
      </c>
      <c r="B430">
        <v>430</v>
      </c>
      <c r="C430" s="684" t="s">
        <v>1161</v>
      </c>
      <c r="W430" t="str">
        <f t="shared" si="12"/>
        <v/>
      </c>
      <c r="X430" s="185" t="str">
        <f t="shared" si="13"/>
        <v/>
      </c>
      <c r="Y430" s="685">
        <f>'General price list'!$AB433</f>
        <v>0</v>
      </c>
      <c r="Z430" t="str">
        <f>IFERROR(X430*VLOOKUP(C430,'General price list'!C:I,7,FALSE),"")</f>
        <v/>
      </c>
      <c r="AA430" t="str">
        <f>IF(X430&lt;&gt;"",VLOOKUP(C430,'General price list'!C433:AN1611,MATCH("HM",Tabulka1[[#Headers],[KÓD]:[NEQ]],0),FALSE),"")</f>
        <v/>
      </c>
    </row>
    <row r="431" spans="1:27">
      <c r="A431">
        <f>COUNTIF($W$22:W431,1)</f>
        <v>0</v>
      </c>
      <c r="B431">
        <v>431</v>
      </c>
      <c r="C431" s="684" t="s">
        <v>1163</v>
      </c>
      <c r="W431" t="str">
        <f t="shared" si="12"/>
        <v/>
      </c>
      <c r="X431" s="185" t="str">
        <f t="shared" si="13"/>
        <v/>
      </c>
      <c r="Y431" s="685">
        <f>'General price list'!$AB434</f>
        <v>0</v>
      </c>
      <c r="Z431" t="str">
        <f>IFERROR(X431*VLOOKUP(C431,'General price list'!C:I,7,FALSE),"")</f>
        <v/>
      </c>
      <c r="AA431" t="str">
        <f>IF(X431&lt;&gt;"",VLOOKUP(C431,'General price list'!C434:AN1612,MATCH("HM",Tabulka1[[#Headers],[KÓD]:[NEQ]],0),FALSE),"")</f>
        <v/>
      </c>
    </row>
    <row r="432" spans="1:27">
      <c r="A432">
        <f>COUNTIF($W$22:W432,1)</f>
        <v>0</v>
      </c>
      <c r="B432">
        <v>432</v>
      </c>
      <c r="C432" s="684" t="s">
        <v>1166</v>
      </c>
      <c r="W432" t="str">
        <f t="shared" si="12"/>
        <v/>
      </c>
      <c r="X432" s="185" t="str">
        <f t="shared" si="13"/>
        <v/>
      </c>
      <c r="Y432" s="685">
        <f>'General price list'!$AB435</f>
        <v>0</v>
      </c>
      <c r="Z432" t="str">
        <f>IFERROR(X432*VLOOKUP(C432,'General price list'!C:I,7,FALSE),"")</f>
        <v/>
      </c>
      <c r="AA432" t="str">
        <f>IF(X432&lt;&gt;"",VLOOKUP(C432,'General price list'!C435:AN1613,MATCH("HM",Tabulka1[[#Headers],[KÓD]:[NEQ]],0),FALSE),"")</f>
        <v/>
      </c>
    </row>
    <row r="433" spans="1:27">
      <c r="A433">
        <f>COUNTIF($W$22:W433,1)</f>
        <v>0</v>
      </c>
      <c r="B433">
        <v>433</v>
      </c>
      <c r="W433" t="str">
        <f t="shared" si="12"/>
        <v/>
      </c>
      <c r="X433" s="185" t="str">
        <f t="shared" si="13"/>
        <v/>
      </c>
      <c r="Y433" s="685">
        <f>'General price list'!$AB436</f>
        <v>0</v>
      </c>
      <c r="Z433" t="str">
        <f>IFERROR(X433*VLOOKUP(C433,'General price list'!C:I,7,FALSE),"")</f>
        <v/>
      </c>
      <c r="AA433" t="str">
        <f>IF(X433&lt;&gt;"",VLOOKUP(C433,'General price list'!C436:AN1614,MATCH("HM",Tabulka1[[#Headers],[KÓD]:[NEQ]],0),FALSE),"")</f>
        <v/>
      </c>
    </row>
    <row r="434" spans="1:27">
      <c r="A434">
        <f>COUNTIF($W$22:W434,1)</f>
        <v>0</v>
      </c>
      <c r="B434">
        <v>434</v>
      </c>
      <c r="C434" s="684" t="s">
        <v>1168</v>
      </c>
      <c r="W434" t="str">
        <f t="shared" si="12"/>
        <v/>
      </c>
      <c r="X434" s="185" t="str">
        <f t="shared" si="13"/>
        <v/>
      </c>
      <c r="Y434" s="685">
        <f>'General price list'!$AB437</f>
        <v>0</v>
      </c>
      <c r="Z434" t="str">
        <f>IFERROR(X434*VLOOKUP(C434,'General price list'!C:I,7,FALSE),"")</f>
        <v/>
      </c>
      <c r="AA434" t="str">
        <f>IF(X434&lt;&gt;"",VLOOKUP(C434,'General price list'!C437:AN1615,MATCH("HM",Tabulka1[[#Headers],[KÓD]:[NEQ]],0),FALSE),"")</f>
        <v/>
      </c>
    </row>
    <row r="435" spans="1:27">
      <c r="A435">
        <f>COUNTIF($W$22:W435,1)</f>
        <v>0</v>
      </c>
      <c r="B435">
        <v>435</v>
      </c>
      <c r="C435" s="684" t="s">
        <v>1169</v>
      </c>
      <c r="W435" t="str">
        <f t="shared" si="12"/>
        <v/>
      </c>
      <c r="X435" s="185" t="str">
        <f t="shared" si="13"/>
        <v/>
      </c>
      <c r="Y435" s="685">
        <f>'General price list'!$AB438</f>
        <v>0</v>
      </c>
      <c r="Z435" t="str">
        <f>IFERROR(X435*VLOOKUP(C435,'General price list'!C:I,7,FALSE),"")</f>
        <v/>
      </c>
      <c r="AA435" t="str">
        <f>IF(X435&lt;&gt;"",VLOOKUP(C435,'General price list'!C438:AN1616,MATCH("HM",Tabulka1[[#Headers],[KÓD]:[NEQ]],0),FALSE),"")</f>
        <v/>
      </c>
    </row>
    <row r="436" spans="1:27">
      <c r="A436">
        <f>COUNTIF($W$22:W436,1)</f>
        <v>0</v>
      </c>
      <c r="B436">
        <v>436</v>
      </c>
      <c r="C436" s="684" t="s">
        <v>1171</v>
      </c>
      <c r="W436" t="str">
        <f t="shared" si="12"/>
        <v/>
      </c>
      <c r="X436" s="185" t="str">
        <f t="shared" si="13"/>
        <v/>
      </c>
      <c r="Y436" s="685">
        <f>'General price list'!$AB439</f>
        <v>0</v>
      </c>
      <c r="Z436" t="str">
        <f>IFERROR(X436*VLOOKUP(C436,'General price list'!C:I,7,FALSE),"")</f>
        <v/>
      </c>
      <c r="AA436" t="str">
        <f>IF(X436&lt;&gt;"",VLOOKUP(C436,'General price list'!C439:AN1617,MATCH("HM",Tabulka1[[#Headers],[KÓD]:[NEQ]],0),FALSE),"")</f>
        <v/>
      </c>
    </row>
    <row r="437" spans="1:27">
      <c r="A437">
        <f>COUNTIF($W$22:W437,1)</f>
        <v>0</v>
      </c>
      <c r="B437">
        <v>437</v>
      </c>
      <c r="W437" t="str">
        <f t="shared" si="12"/>
        <v/>
      </c>
      <c r="X437" s="185" t="str">
        <f t="shared" si="13"/>
        <v/>
      </c>
      <c r="Y437" s="685">
        <f>'General price list'!$AB440</f>
        <v>0</v>
      </c>
      <c r="Z437" t="str">
        <f>IFERROR(X437*VLOOKUP(C437,'General price list'!C:I,7,FALSE),"")</f>
        <v/>
      </c>
      <c r="AA437" t="str">
        <f>IF(X437&lt;&gt;"",VLOOKUP(C437,'General price list'!C440:AN1618,MATCH("HM",Tabulka1[[#Headers],[KÓD]:[NEQ]],0),FALSE),"")</f>
        <v/>
      </c>
    </row>
    <row r="438" spans="1:27">
      <c r="A438">
        <f>COUNTIF($W$22:W438,1)</f>
        <v>0</v>
      </c>
      <c r="B438">
        <v>438</v>
      </c>
      <c r="C438" s="684" t="s">
        <v>1172</v>
      </c>
      <c r="W438" t="str">
        <f t="shared" si="12"/>
        <v/>
      </c>
      <c r="X438" s="185" t="str">
        <f t="shared" si="13"/>
        <v/>
      </c>
      <c r="Y438" s="685">
        <f>'General price list'!$AB441</f>
        <v>0</v>
      </c>
      <c r="Z438" t="str">
        <f>IFERROR(X438*VLOOKUP(C438,'General price list'!C:I,7,FALSE),"")</f>
        <v/>
      </c>
      <c r="AA438" t="str">
        <f>IF(X438&lt;&gt;"",VLOOKUP(C438,'General price list'!C441:AN1619,MATCH("HM",Tabulka1[[#Headers],[KÓD]:[NEQ]],0),FALSE),"")</f>
        <v/>
      </c>
    </row>
    <row r="439" spans="1:27">
      <c r="A439">
        <f>COUNTIF($W$22:W439,1)</f>
        <v>0</v>
      </c>
      <c r="B439">
        <v>439</v>
      </c>
      <c r="C439" s="684" t="s">
        <v>1174</v>
      </c>
      <c r="W439" t="str">
        <f t="shared" si="12"/>
        <v/>
      </c>
      <c r="X439" s="185" t="str">
        <f t="shared" si="13"/>
        <v/>
      </c>
      <c r="Y439" s="685">
        <f>'General price list'!$AB442</f>
        <v>0</v>
      </c>
      <c r="Z439" t="str">
        <f>IFERROR(X439*VLOOKUP(C439,'General price list'!C:I,7,FALSE),"")</f>
        <v/>
      </c>
      <c r="AA439" t="str">
        <f>IF(X439&lt;&gt;"",VLOOKUP(C439,'General price list'!C442:AN1620,MATCH("HM",Tabulka1[[#Headers],[KÓD]:[NEQ]],0),FALSE),"")</f>
        <v/>
      </c>
    </row>
    <row r="440" spans="1:27">
      <c r="A440">
        <f>COUNTIF($W$22:W440,1)</f>
        <v>0</v>
      </c>
      <c r="B440">
        <v>440</v>
      </c>
      <c r="C440" s="684" t="s">
        <v>1176</v>
      </c>
      <c r="W440" t="str">
        <f t="shared" si="12"/>
        <v/>
      </c>
      <c r="X440" s="185" t="str">
        <f t="shared" si="13"/>
        <v/>
      </c>
      <c r="Y440" s="685">
        <f>'General price list'!$AB443</f>
        <v>0</v>
      </c>
      <c r="Z440" t="str">
        <f>IFERROR(X440*VLOOKUP(C440,'General price list'!C:I,7,FALSE),"")</f>
        <v/>
      </c>
      <c r="AA440" t="str">
        <f>IF(X440&lt;&gt;"",VLOOKUP(C440,'General price list'!C443:AN1621,MATCH("HM",Tabulka1[[#Headers],[KÓD]:[NEQ]],0),FALSE),"")</f>
        <v/>
      </c>
    </row>
    <row r="441" spans="1:27">
      <c r="A441">
        <f>COUNTIF($W$22:W441,1)</f>
        <v>0</v>
      </c>
      <c r="B441">
        <v>441</v>
      </c>
      <c r="C441" s="684" t="s">
        <v>1179</v>
      </c>
      <c r="W441" t="str">
        <f t="shared" si="12"/>
        <v/>
      </c>
      <c r="X441" s="185" t="str">
        <f t="shared" si="13"/>
        <v/>
      </c>
      <c r="Y441" s="685">
        <f>'General price list'!$AB444</f>
        <v>0</v>
      </c>
      <c r="Z441" t="str">
        <f>IFERROR(X441*VLOOKUP(C441,'General price list'!C:I,7,FALSE),"")</f>
        <v/>
      </c>
      <c r="AA441" t="str">
        <f>IF(X441&lt;&gt;"",VLOOKUP(C441,'General price list'!C444:AN1622,MATCH("HM",Tabulka1[[#Headers],[KÓD]:[NEQ]],0),FALSE),"")</f>
        <v/>
      </c>
    </row>
    <row r="442" spans="1:27">
      <c r="A442">
        <f>COUNTIF($W$22:W442,1)</f>
        <v>0</v>
      </c>
      <c r="B442">
        <v>442</v>
      </c>
      <c r="W442" t="str">
        <f t="shared" si="12"/>
        <v/>
      </c>
      <c r="X442" s="185" t="str">
        <f t="shared" si="13"/>
        <v/>
      </c>
      <c r="Y442" s="685">
        <f>'General price list'!$AB445</f>
        <v>0</v>
      </c>
      <c r="Z442" t="str">
        <f>IFERROR(X442*VLOOKUP(C442,'General price list'!C:I,7,FALSE),"")</f>
        <v/>
      </c>
      <c r="AA442" t="str">
        <f>IF(X442&lt;&gt;"",VLOOKUP(C442,'General price list'!C445:AN1623,MATCH("HM",Tabulka1[[#Headers],[KÓD]:[NEQ]],0),FALSE),"")</f>
        <v/>
      </c>
    </row>
    <row r="443" spans="1:27">
      <c r="A443">
        <f>COUNTIF($W$22:W443,1)</f>
        <v>0</v>
      </c>
      <c r="B443">
        <v>443</v>
      </c>
      <c r="C443" s="684" t="s">
        <v>1178</v>
      </c>
      <c r="W443" t="str">
        <f t="shared" si="12"/>
        <v/>
      </c>
      <c r="X443" s="185" t="str">
        <f t="shared" si="13"/>
        <v/>
      </c>
      <c r="Y443" s="685">
        <f>'General price list'!$AB446</f>
        <v>0</v>
      </c>
      <c r="Z443" t="str">
        <f>IFERROR(X443*VLOOKUP(C443,'General price list'!C:I,7,FALSE),"")</f>
        <v/>
      </c>
      <c r="AA443" t="str">
        <f>IF(X443&lt;&gt;"",VLOOKUP(C443,'General price list'!C446:AN1624,MATCH("HM",Tabulka1[[#Headers],[KÓD]:[NEQ]],0),FALSE),"")</f>
        <v/>
      </c>
    </row>
    <row r="444" spans="1:27">
      <c r="A444">
        <f>COUNTIF($W$22:W444,1)</f>
        <v>0</v>
      </c>
      <c r="B444">
        <v>444</v>
      </c>
      <c r="W444" t="str">
        <f t="shared" si="12"/>
        <v/>
      </c>
      <c r="X444" s="185" t="str">
        <f t="shared" si="13"/>
        <v/>
      </c>
      <c r="Y444" s="685">
        <f>'General price list'!$AB447</f>
        <v>0</v>
      </c>
      <c r="Z444" t="str">
        <f>IFERROR(X444*VLOOKUP(C444,'General price list'!C:I,7,FALSE),"")</f>
        <v/>
      </c>
      <c r="AA444" t="str">
        <f>IF(X444&lt;&gt;"",VLOOKUP(C444,'General price list'!C447:AN1625,MATCH("HM",Tabulka1[[#Headers],[KÓD]:[NEQ]],0),FALSE),"")</f>
        <v/>
      </c>
    </row>
    <row r="445" spans="1:27">
      <c r="A445">
        <f>COUNTIF($W$22:W445,1)</f>
        <v>0</v>
      </c>
      <c r="B445">
        <v>445</v>
      </c>
      <c r="C445" s="684" t="s">
        <v>2530</v>
      </c>
      <c r="W445" t="str">
        <f t="shared" si="12"/>
        <v/>
      </c>
      <c r="X445" s="185" t="str">
        <f t="shared" si="13"/>
        <v/>
      </c>
      <c r="Y445" s="685">
        <f>'General price list'!$AB448</f>
        <v>0</v>
      </c>
      <c r="Z445" t="str">
        <f>IFERROR(X445*VLOOKUP(C445,'General price list'!C:I,7,FALSE),"")</f>
        <v/>
      </c>
      <c r="AA445" t="str">
        <f>IF(X445&lt;&gt;"",VLOOKUP(C445,'General price list'!C448:AN1626,MATCH("HM",Tabulka1[[#Headers],[KÓD]:[NEQ]],0),FALSE),"")</f>
        <v/>
      </c>
    </row>
    <row r="446" spans="1:27">
      <c r="A446">
        <f>COUNTIF($W$22:W446,1)</f>
        <v>0</v>
      </c>
      <c r="B446">
        <v>446</v>
      </c>
      <c r="C446" s="684" t="s">
        <v>1182</v>
      </c>
      <c r="W446" t="str">
        <f t="shared" si="12"/>
        <v/>
      </c>
      <c r="X446" s="185" t="str">
        <f t="shared" si="13"/>
        <v/>
      </c>
      <c r="Y446" s="685">
        <f>'General price list'!$AB449</f>
        <v>0</v>
      </c>
      <c r="Z446" t="str">
        <f>IFERROR(X446*VLOOKUP(C446,'General price list'!C:I,7,FALSE),"")</f>
        <v/>
      </c>
      <c r="AA446" t="str">
        <f>IF(X446&lt;&gt;"",VLOOKUP(C446,'General price list'!C449:AN1627,MATCH("HM",Tabulka1[[#Headers],[KÓD]:[NEQ]],0),FALSE),"")</f>
        <v/>
      </c>
    </row>
    <row r="447" spans="1:27">
      <c r="A447">
        <f>COUNTIF($W$22:W447,1)</f>
        <v>0</v>
      </c>
      <c r="B447">
        <v>447</v>
      </c>
      <c r="C447" s="684" t="s">
        <v>1187</v>
      </c>
      <c r="W447" t="str">
        <f t="shared" si="12"/>
        <v/>
      </c>
      <c r="X447" s="185" t="str">
        <f t="shared" si="13"/>
        <v/>
      </c>
      <c r="Y447" s="685">
        <f>'General price list'!$AB450</f>
        <v>0</v>
      </c>
      <c r="Z447" t="str">
        <f>IFERROR(X447*VLOOKUP(C447,'General price list'!C:I,7,FALSE),"")</f>
        <v/>
      </c>
      <c r="AA447" t="str">
        <f>IF(X447&lt;&gt;"",VLOOKUP(C447,'General price list'!C450:AN1628,MATCH("HM",Tabulka1[[#Headers],[KÓD]:[NEQ]],0),FALSE),"")</f>
        <v/>
      </c>
    </row>
    <row r="448" spans="1:27">
      <c r="A448">
        <f>COUNTIF($W$22:W448,1)</f>
        <v>0</v>
      </c>
      <c r="B448">
        <v>448</v>
      </c>
      <c r="C448" s="684" t="s">
        <v>1189</v>
      </c>
      <c r="W448" t="str">
        <f t="shared" si="12"/>
        <v/>
      </c>
      <c r="X448" s="185" t="str">
        <f t="shared" si="13"/>
        <v/>
      </c>
      <c r="Y448" s="685">
        <f>'General price list'!$AB451</f>
        <v>0</v>
      </c>
      <c r="Z448" t="str">
        <f>IFERROR(X448*VLOOKUP(C448,'General price list'!C:I,7,FALSE),"")</f>
        <v/>
      </c>
      <c r="AA448" t="str">
        <f>IF(X448&lt;&gt;"",VLOOKUP(C448,'General price list'!C451:AN1629,MATCH("HM",Tabulka1[[#Headers],[KÓD]:[NEQ]],0),FALSE),"")</f>
        <v/>
      </c>
    </row>
    <row r="449" spans="1:27">
      <c r="A449">
        <f>COUNTIF($W$22:W449,1)</f>
        <v>0</v>
      </c>
      <c r="B449">
        <v>449</v>
      </c>
      <c r="W449" t="str">
        <f t="shared" si="12"/>
        <v/>
      </c>
      <c r="X449" s="185" t="str">
        <f t="shared" si="13"/>
        <v/>
      </c>
      <c r="Y449" s="685">
        <f>'General price list'!$AB452</f>
        <v>0</v>
      </c>
      <c r="Z449" t="str">
        <f>IFERROR(X449*VLOOKUP(C449,'General price list'!C:I,7,FALSE),"")</f>
        <v/>
      </c>
      <c r="AA449" t="str">
        <f>IF(X449&lt;&gt;"",VLOOKUP(C449,'General price list'!C452:AN1630,MATCH("HM",Tabulka1[[#Headers],[KÓD]:[NEQ]],0),FALSE),"")</f>
        <v/>
      </c>
    </row>
    <row r="450" spans="1:27">
      <c r="A450">
        <f>COUNTIF($W$22:W450,1)</f>
        <v>0</v>
      </c>
      <c r="B450">
        <v>450</v>
      </c>
      <c r="C450" s="684" t="s">
        <v>1191</v>
      </c>
      <c r="W450" t="str">
        <f t="shared" si="12"/>
        <v/>
      </c>
      <c r="X450" s="185" t="str">
        <f t="shared" si="13"/>
        <v/>
      </c>
      <c r="Y450" s="685">
        <f>'General price list'!$AB453</f>
        <v>0</v>
      </c>
      <c r="Z450" t="str">
        <f>IFERROR(X450*VLOOKUP(C450,'General price list'!C:I,7,FALSE),"")</f>
        <v/>
      </c>
      <c r="AA450" t="str">
        <f>IF(X450&lt;&gt;"",VLOOKUP(C450,'General price list'!C453:AN1631,MATCH("HM",Tabulka1[[#Headers],[KÓD]:[NEQ]],0),FALSE),"")</f>
        <v/>
      </c>
    </row>
    <row r="451" spans="1:27">
      <c r="A451">
        <f>COUNTIF($W$22:W451,1)</f>
        <v>0</v>
      </c>
      <c r="B451">
        <v>451</v>
      </c>
      <c r="C451" s="684" t="s">
        <v>1192</v>
      </c>
      <c r="W451" t="str">
        <f t="shared" si="12"/>
        <v/>
      </c>
      <c r="X451" s="185" t="str">
        <f t="shared" si="13"/>
        <v/>
      </c>
      <c r="Y451" s="685">
        <f>'General price list'!$AB454</f>
        <v>0</v>
      </c>
      <c r="Z451" t="str">
        <f>IFERROR(X451*VLOOKUP(C451,'General price list'!C:I,7,FALSE),"")</f>
        <v/>
      </c>
      <c r="AA451" t="str">
        <f>IF(X451&lt;&gt;"",VLOOKUP(C451,'General price list'!C454:AN1632,MATCH("HM",Tabulka1[[#Headers],[KÓD]:[NEQ]],0),FALSE),"")</f>
        <v/>
      </c>
    </row>
    <row r="452" spans="1:27">
      <c r="A452">
        <f>COUNTIF($W$22:W452,1)</f>
        <v>0</v>
      </c>
      <c r="B452">
        <v>452</v>
      </c>
      <c r="W452" t="str">
        <f t="shared" si="12"/>
        <v/>
      </c>
      <c r="X452" s="185" t="str">
        <f t="shared" si="13"/>
        <v/>
      </c>
      <c r="Y452" s="685">
        <f>'General price list'!$AB455</f>
        <v>0</v>
      </c>
      <c r="Z452" t="str">
        <f>IFERROR(X452*VLOOKUP(C452,'General price list'!C:I,7,FALSE),"")</f>
        <v/>
      </c>
      <c r="AA452" t="str">
        <f>IF(X452&lt;&gt;"",VLOOKUP(C452,'General price list'!C455:AN1633,MATCH("HM",Tabulka1[[#Headers],[KÓD]:[NEQ]],0),FALSE),"")</f>
        <v/>
      </c>
    </row>
    <row r="453" spans="1:27">
      <c r="A453">
        <f>COUNTIF($W$22:W453,1)</f>
        <v>0</v>
      </c>
      <c r="B453">
        <v>453</v>
      </c>
      <c r="C453" s="684" t="s">
        <v>1193</v>
      </c>
      <c r="W453" t="str">
        <f t="shared" si="12"/>
        <v/>
      </c>
      <c r="X453" s="185" t="str">
        <f t="shared" si="13"/>
        <v/>
      </c>
      <c r="Y453" s="685">
        <f>'General price list'!$AB456</f>
        <v>0</v>
      </c>
      <c r="Z453" t="str">
        <f>IFERROR(X453*VLOOKUP(C453,'General price list'!C:I,7,FALSE),"")</f>
        <v/>
      </c>
      <c r="AA453" t="str">
        <f>IF(X453&lt;&gt;"",VLOOKUP(C453,'General price list'!C456:AN1634,MATCH("HM",Tabulka1[[#Headers],[KÓD]:[NEQ]],0),FALSE),"")</f>
        <v/>
      </c>
    </row>
    <row r="454" spans="1:27">
      <c r="A454">
        <f>COUNTIF($W$22:W454,1)</f>
        <v>0</v>
      </c>
      <c r="B454">
        <v>454</v>
      </c>
      <c r="C454" s="684" t="s">
        <v>1197</v>
      </c>
      <c r="W454" t="str">
        <f t="shared" si="12"/>
        <v/>
      </c>
      <c r="X454" s="185" t="str">
        <f t="shared" si="13"/>
        <v/>
      </c>
      <c r="Y454" s="685">
        <f>'General price list'!$AB457</f>
        <v>0</v>
      </c>
      <c r="Z454" t="str">
        <f>IFERROR(X454*VLOOKUP(C454,'General price list'!C:I,7,FALSE),"")</f>
        <v/>
      </c>
      <c r="AA454" t="str">
        <f>IF(X454&lt;&gt;"",VLOOKUP(C454,'General price list'!C457:AN1635,MATCH("HM",Tabulka1[[#Headers],[KÓD]:[NEQ]],0),FALSE),"")</f>
        <v/>
      </c>
    </row>
    <row r="455" spans="1:27">
      <c r="A455">
        <f>COUNTIF($W$22:W455,1)</f>
        <v>0</v>
      </c>
      <c r="B455">
        <v>455</v>
      </c>
      <c r="C455" s="684" t="s">
        <v>1199</v>
      </c>
      <c r="W455" t="str">
        <f t="shared" si="12"/>
        <v/>
      </c>
      <c r="X455" s="185" t="str">
        <f t="shared" si="13"/>
        <v/>
      </c>
      <c r="Y455" s="685">
        <f>'General price list'!$AB458</f>
        <v>0</v>
      </c>
      <c r="Z455" t="str">
        <f>IFERROR(X455*VLOOKUP(C455,'General price list'!C:I,7,FALSE),"")</f>
        <v/>
      </c>
      <c r="AA455" t="str">
        <f>IF(X455&lt;&gt;"",VLOOKUP(C455,'General price list'!C458:AN1636,MATCH("HM",Tabulka1[[#Headers],[KÓD]:[NEQ]],0),FALSE),"")</f>
        <v/>
      </c>
    </row>
    <row r="456" spans="1:27">
      <c r="A456">
        <f>COUNTIF($W$22:W456,1)</f>
        <v>0</v>
      </c>
      <c r="B456">
        <v>456</v>
      </c>
      <c r="W456" t="str">
        <f t="shared" si="12"/>
        <v/>
      </c>
      <c r="X456" s="185" t="str">
        <f t="shared" si="13"/>
        <v/>
      </c>
      <c r="Y456" s="685">
        <f>'General price list'!$AB459</f>
        <v>0</v>
      </c>
      <c r="Z456" t="str">
        <f>IFERROR(X456*VLOOKUP(C456,'General price list'!C:I,7,FALSE),"")</f>
        <v/>
      </c>
      <c r="AA456" t="str">
        <f>IF(X456&lt;&gt;"",VLOOKUP(C456,'General price list'!C459:AN1637,MATCH("HM",Tabulka1[[#Headers],[KÓD]:[NEQ]],0),FALSE),"")</f>
        <v/>
      </c>
    </row>
    <row r="457" spans="1:27">
      <c r="A457">
        <f>COUNTIF($W$22:W457,1)</f>
        <v>0</v>
      </c>
      <c r="B457">
        <v>457</v>
      </c>
      <c r="C457" s="684" t="s">
        <v>1202</v>
      </c>
      <c r="W457" t="str">
        <f t="shared" si="12"/>
        <v/>
      </c>
      <c r="X457" s="185" t="str">
        <f t="shared" si="13"/>
        <v/>
      </c>
      <c r="Y457" s="685">
        <f>'General price list'!$AB460</f>
        <v>0</v>
      </c>
      <c r="Z457" t="str">
        <f>IFERROR(X457*VLOOKUP(C457,'General price list'!C:I,7,FALSE),"")</f>
        <v/>
      </c>
      <c r="AA457" t="str">
        <f>IF(X457&lt;&gt;"",VLOOKUP(C457,'General price list'!C460:AN1638,MATCH("HM",Tabulka1[[#Headers],[KÓD]:[NEQ]],0),FALSE),"")</f>
        <v/>
      </c>
    </row>
    <row r="458" spans="1:27">
      <c r="A458">
        <f>COUNTIF($W$22:W458,1)</f>
        <v>0</v>
      </c>
      <c r="B458">
        <v>458</v>
      </c>
      <c r="C458" s="684" t="s">
        <v>1203</v>
      </c>
      <c r="W458" t="str">
        <f t="shared" si="12"/>
        <v/>
      </c>
      <c r="X458" s="185" t="str">
        <f t="shared" si="13"/>
        <v/>
      </c>
      <c r="Y458" s="685">
        <f>'General price list'!$AB461</f>
        <v>0</v>
      </c>
      <c r="Z458" t="str">
        <f>IFERROR(X458*VLOOKUP(C458,'General price list'!C:I,7,FALSE),"")</f>
        <v/>
      </c>
      <c r="AA458" t="str">
        <f>IF(X458&lt;&gt;"",VLOOKUP(C458,'General price list'!C461:AN1639,MATCH("HM",Tabulka1[[#Headers],[KÓD]:[NEQ]],0),FALSE),"")</f>
        <v/>
      </c>
    </row>
    <row r="459" spans="1:27">
      <c r="A459">
        <f>COUNTIF($W$22:W459,1)</f>
        <v>0</v>
      </c>
      <c r="B459">
        <v>459</v>
      </c>
      <c r="W459" t="str">
        <f t="shared" si="12"/>
        <v/>
      </c>
      <c r="X459" s="185" t="str">
        <f t="shared" si="13"/>
        <v/>
      </c>
      <c r="Y459" s="685">
        <f>'General price list'!$AB462</f>
        <v>0</v>
      </c>
      <c r="Z459" t="str">
        <f>IFERROR(X459*VLOOKUP(C459,'General price list'!C:I,7,FALSE),"")</f>
        <v/>
      </c>
      <c r="AA459" t="str">
        <f>IF(X459&lt;&gt;"",VLOOKUP(C459,'General price list'!C462:AN1640,MATCH("HM",Tabulka1[[#Headers],[KÓD]:[NEQ]],0),FALSE),"")</f>
        <v/>
      </c>
    </row>
    <row r="460" spans="1:27">
      <c r="A460">
        <f>COUNTIF($W$22:W460,1)</f>
        <v>0</v>
      </c>
      <c r="B460">
        <v>460</v>
      </c>
      <c r="C460" s="684" t="s">
        <v>1204</v>
      </c>
      <c r="W460" t="str">
        <f t="shared" si="12"/>
        <v/>
      </c>
      <c r="X460" s="185" t="str">
        <f t="shared" si="13"/>
        <v/>
      </c>
      <c r="Y460" s="685">
        <f>'General price list'!$AB463</f>
        <v>0</v>
      </c>
      <c r="Z460" t="str">
        <f>IFERROR(X460*VLOOKUP(C460,'General price list'!C:I,7,FALSE),"")</f>
        <v/>
      </c>
      <c r="AA460" t="str">
        <f>IF(X460&lt;&gt;"",VLOOKUP(C460,'General price list'!C463:AN1641,MATCH("HM",Tabulka1[[#Headers],[KÓD]:[NEQ]],0),FALSE),"")</f>
        <v/>
      </c>
    </row>
    <row r="461" spans="1:27">
      <c r="A461">
        <f>COUNTIF($W$22:W461,1)</f>
        <v>0</v>
      </c>
      <c r="B461">
        <v>461</v>
      </c>
      <c r="C461" s="684" t="s">
        <v>1205</v>
      </c>
      <c r="W461" t="str">
        <f t="shared" si="12"/>
        <v/>
      </c>
      <c r="X461" s="185" t="str">
        <f t="shared" si="13"/>
        <v/>
      </c>
      <c r="Y461" s="685">
        <f>'General price list'!$AB464</f>
        <v>0</v>
      </c>
      <c r="Z461" t="str">
        <f>IFERROR(X461*VLOOKUP(C461,'General price list'!C:I,7,FALSE),"")</f>
        <v/>
      </c>
      <c r="AA461" t="str">
        <f>IF(X461&lt;&gt;"",VLOOKUP(C461,'General price list'!C464:AN1642,MATCH("HM",Tabulka1[[#Headers],[KÓD]:[NEQ]],0),FALSE),"")</f>
        <v/>
      </c>
    </row>
    <row r="462" spans="1:27">
      <c r="A462">
        <f>COUNTIF($W$22:W462,1)</f>
        <v>0</v>
      </c>
      <c r="B462">
        <v>462</v>
      </c>
      <c r="C462" s="684" t="s">
        <v>1207</v>
      </c>
      <c r="W462" t="str">
        <f t="shared" si="12"/>
        <v/>
      </c>
      <c r="X462" s="185" t="str">
        <f t="shared" si="13"/>
        <v/>
      </c>
      <c r="Y462" s="685">
        <f>'General price list'!$AB465</f>
        <v>0</v>
      </c>
      <c r="Z462" t="str">
        <f>IFERROR(X462*VLOOKUP(C462,'General price list'!C:I,7,FALSE),"")</f>
        <v/>
      </c>
      <c r="AA462" t="str">
        <f>IF(X462&lt;&gt;"",VLOOKUP(C462,'General price list'!C465:AN1643,MATCH("HM",Tabulka1[[#Headers],[KÓD]:[NEQ]],0),FALSE),"")</f>
        <v/>
      </c>
    </row>
    <row r="463" spans="1:27">
      <c r="A463">
        <f>COUNTIF($W$22:W463,1)</f>
        <v>0</v>
      </c>
      <c r="B463">
        <v>463</v>
      </c>
      <c r="W463" t="str">
        <f t="shared" si="12"/>
        <v/>
      </c>
      <c r="X463" s="185" t="str">
        <f t="shared" si="13"/>
        <v/>
      </c>
      <c r="Y463" s="685">
        <f>'General price list'!$AB466</f>
        <v>0</v>
      </c>
      <c r="Z463" t="str">
        <f>IFERROR(X463*VLOOKUP(C463,'General price list'!C:I,7,FALSE),"")</f>
        <v/>
      </c>
      <c r="AA463" t="str">
        <f>IF(X463&lt;&gt;"",VLOOKUP(C463,'General price list'!C466:AN1644,MATCH("HM",Tabulka1[[#Headers],[KÓD]:[NEQ]],0),FALSE),"")</f>
        <v/>
      </c>
    </row>
    <row r="464" spans="1:27">
      <c r="A464">
        <f>COUNTIF($W$22:W464,1)</f>
        <v>0</v>
      </c>
      <c r="B464">
        <v>464</v>
      </c>
      <c r="C464" s="684" t="s">
        <v>1209</v>
      </c>
      <c r="W464" t="str">
        <f t="shared" si="12"/>
        <v/>
      </c>
      <c r="X464" s="185" t="str">
        <f t="shared" si="13"/>
        <v/>
      </c>
      <c r="Y464" s="685">
        <f>'General price list'!$AB467</f>
        <v>0</v>
      </c>
      <c r="Z464" t="str">
        <f>IFERROR(X464*VLOOKUP(C464,'General price list'!C:I,7,FALSE),"")</f>
        <v/>
      </c>
      <c r="AA464" t="str">
        <f>IF(X464&lt;&gt;"",VLOOKUP(C464,'General price list'!C467:AN1645,MATCH("HM",Tabulka1[[#Headers],[KÓD]:[NEQ]],0),FALSE),"")</f>
        <v/>
      </c>
    </row>
    <row r="465" spans="1:27">
      <c r="A465">
        <f>COUNTIF($W$22:W465,1)</f>
        <v>0</v>
      </c>
      <c r="B465">
        <v>465</v>
      </c>
      <c r="C465" s="684" t="s">
        <v>1210</v>
      </c>
      <c r="W465" t="str">
        <f t="shared" si="12"/>
        <v/>
      </c>
      <c r="X465" s="185" t="str">
        <f t="shared" si="13"/>
        <v/>
      </c>
      <c r="Y465" s="685">
        <f>'General price list'!$AB468</f>
        <v>0</v>
      </c>
      <c r="Z465" t="str">
        <f>IFERROR(X465*VLOOKUP(C465,'General price list'!C:I,7,FALSE),"")</f>
        <v/>
      </c>
      <c r="AA465" t="str">
        <f>IF(X465&lt;&gt;"",VLOOKUP(C465,'General price list'!C468:AN1646,MATCH("HM",Tabulka1[[#Headers],[KÓD]:[NEQ]],0),FALSE),"")</f>
        <v/>
      </c>
    </row>
    <row r="466" spans="1:27">
      <c r="A466">
        <f>COUNTIF($W$22:W466,1)</f>
        <v>0</v>
      </c>
      <c r="B466">
        <v>466</v>
      </c>
      <c r="C466" s="684" t="s">
        <v>5152</v>
      </c>
      <c r="W466" t="str">
        <f t="shared" si="12"/>
        <v/>
      </c>
      <c r="X466" s="185" t="str">
        <f t="shared" si="13"/>
        <v/>
      </c>
      <c r="Y466" s="685">
        <f>'General price list'!$AB469</f>
        <v>0</v>
      </c>
      <c r="Z466" t="str">
        <f>IFERROR(X466*VLOOKUP(C466,'General price list'!C:I,7,FALSE),"")</f>
        <v/>
      </c>
      <c r="AA466" t="str">
        <f>IF(X466&lt;&gt;"",VLOOKUP(C466,'General price list'!C469:AN1647,MATCH("HM",Tabulka1[[#Headers],[KÓD]:[NEQ]],0),FALSE),"")</f>
        <v/>
      </c>
    </row>
    <row r="467" spans="1:27">
      <c r="A467">
        <f>COUNTIF($W$22:W467,1)</f>
        <v>0</v>
      </c>
      <c r="B467">
        <v>467</v>
      </c>
      <c r="C467" s="684" t="s">
        <v>1211</v>
      </c>
      <c r="W467" t="str">
        <f t="shared" si="12"/>
        <v/>
      </c>
      <c r="X467" s="185" t="str">
        <f t="shared" si="13"/>
        <v/>
      </c>
      <c r="Y467" s="685">
        <f>'General price list'!$AB470</f>
        <v>0</v>
      </c>
      <c r="Z467" t="str">
        <f>IFERROR(X467*VLOOKUP(C467,'General price list'!C:I,7,FALSE),"")</f>
        <v/>
      </c>
      <c r="AA467" t="str">
        <f>IF(X467&lt;&gt;"",VLOOKUP(C467,'General price list'!C470:AN1648,MATCH("HM",Tabulka1[[#Headers],[KÓD]:[NEQ]],0),FALSE),"")</f>
        <v/>
      </c>
    </row>
    <row r="468" spans="1:27">
      <c r="A468">
        <f>COUNTIF($W$22:W468,1)</f>
        <v>0</v>
      </c>
      <c r="B468">
        <v>468</v>
      </c>
      <c r="W468" t="str">
        <f t="shared" si="12"/>
        <v/>
      </c>
      <c r="X468" s="185" t="str">
        <f t="shared" si="13"/>
        <v/>
      </c>
      <c r="Y468" s="685">
        <f>'General price list'!$AB471</f>
        <v>0</v>
      </c>
      <c r="Z468" t="str">
        <f>IFERROR(X468*VLOOKUP(C468,'General price list'!C:I,7,FALSE),"")</f>
        <v/>
      </c>
      <c r="AA468" t="str">
        <f>IF(X468&lt;&gt;"",VLOOKUP(C468,'General price list'!C471:AN1649,MATCH("HM",Tabulka1[[#Headers],[KÓD]:[NEQ]],0),FALSE),"")</f>
        <v/>
      </c>
    </row>
    <row r="469" spans="1:27">
      <c r="A469">
        <f>COUNTIF($W$22:W469,1)</f>
        <v>0</v>
      </c>
      <c r="B469">
        <v>469</v>
      </c>
      <c r="C469" s="684" t="s">
        <v>2531</v>
      </c>
      <c r="W469" t="str">
        <f t="shared" si="12"/>
        <v/>
      </c>
      <c r="X469" s="185" t="str">
        <f t="shared" si="13"/>
        <v/>
      </c>
      <c r="Y469" s="685">
        <f>'General price list'!$AB472</f>
        <v>0</v>
      </c>
      <c r="Z469" t="str">
        <f>IFERROR(X469*VLOOKUP(C469,'General price list'!C:I,7,FALSE),"")</f>
        <v/>
      </c>
      <c r="AA469" t="str">
        <f>IF(X469&lt;&gt;"",VLOOKUP(C469,'General price list'!C472:AN1650,MATCH("HM",Tabulka1[[#Headers],[KÓD]:[NEQ]],0),FALSE),"")</f>
        <v/>
      </c>
    </row>
    <row r="470" spans="1:27">
      <c r="A470">
        <f>COUNTIF($W$22:W470,1)</f>
        <v>0</v>
      </c>
      <c r="B470">
        <v>470</v>
      </c>
      <c r="C470" s="684" t="s">
        <v>2532</v>
      </c>
      <c r="W470" t="str">
        <f t="shared" si="12"/>
        <v/>
      </c>
      <c r="X470" s="185" t="str">
        <f t="shared" si="13"/>
        <v/>
      </c>
      <c r="Y470" s="685">
        <f>'General price list'!$AB473</f>
        <v>0</v>
      </c>
      <c r="Z470" t="str">
        <f>IFERROR(X470*VLOOKUP(C470,'General price list'!C:I,7,FALSE),"")</f>
        <v/>
      </c>
      <c r="AA470" t="str">
        <f>IF(X470&lt;&gt;"",VLOOKUP(C470,'General price list'!C473:AN1651,MATCH("HM",Tabulka1[[#Headers],[KÓD]:[NEQ]],0),FALSE),"")</f>
        <v/>
      </c>
    </row>
    <row r="471" spans="1:27">
      <c r="A471">
        <f>COUNTIF($W$22:W471,1)</f>
        <v>0</v>
      </c>
      <c r="B471">
        <v>471</v>
      </c>
      <c r="C471" s="684" t="s">
        <v>5154</v>
      </c>
      <c r="W471" t="str">
        <f t="shared" ref="W471:W534" si="14">IF(Y471+1=1,"",1)</f>
        <v/>
      </c>
      <c r="X471" s="185" t="str">
        <f t="shared" si="13"/>
        <v/>
      </c>
      <c r="Y471" s="685">
        <f>'General price list'!$AB474</f>
        <v>0</v>
      </c>
      <c r="Z471" t="str">
        <f>IFERROR(X471*VLOOKUP(C471,'General price list'!C:I,7,FALSE),"")</f>
        <v/>
      </c>
      <c r="AA471" t="str">
        <f>IF(X471&lt;&gt;"",VLOOKUP(C471,'General price list'!C474:AN1652,MATCH("HM",Tabulka1[[#Headers],[KÓD]:[NEQ]],0),FALSE),"")</f>
        <v/>
      </c>
    </row>
    <row r="472" spans="1:27">
      <c r="A472">
        <f>COUNTIF($W$22:W472,1)</f>
        <v>0</v>
      </c>
      <c r="B472">
        <v>472</v>
      </c>
      <c r="C472" s="684" t="s">
        <v>2533</v>
      </c>
      <c r="W472" t="str">
        <f t="shared" si="14"/>
        <v/>
      </c>
      <c r="X472" s="185" t="str">
        <f t="shared" ref="X472:X535" si="15">IF(A472&gt;$C$21,"",IF(Y472=0,"",Y472))</f>
        <v/>
      </c>
      <c r="Y472" s="685">
        <f>'General price list'!$AB475</f>
        <v>0</v>
      </c>
      <c r="Z472" t="str">
        <f>IFERROR(X472*VLOOKUP(C472,'General price list'!C:I,7,FALSE),"")</f>
        <v/>
      </c>
      <c r="AA472" t="str">
        <f>IF(X472&lt;&gt;"",VLOOKUP(C472,'General price list'!C475:AN1653,MATCH("HM",Tabulka1[[#Headers],[KÓD]:[NEQ]],0),FALSE),"")</f>
        <v/>
      </c>
    </row>
    <row r="473" spans="1:27">
      <c r="A473">
        <f>COUNTIF($W$22:W473,1)</f>
        <v>0</v>
      </c>
      <c r="B473">
        <v>473</v>
      </c>
      <c r="W473" t="str">
        <f t="shared" si="14"/>
        <v/>
      </c>
      <c r="X473" s="185" t="str">
        <f t="shared" si="15"/>
        <v/>
      </c>
      <c r="Y473" s="685">
        <f>'General price list'!$AB476</f>
        <v>0</v>
      </c>
      <c r="Z473" t="str">
        <f>IFERROR(X473*VLOOKUP(C473,'General price list'!C:I,7,FALSE),"")</f>
        <v/>
      </c>
      <c r="AA473" t="str">
        <f>IF(X473&lt;&gt;"",VLOOKUP(C473,'General price list'!C476:AN1654,MATCH("HM",Tabulka1[[#Headers],[KÓD]:[NEQ]],0),FALSE),"")</f>
        <v/>
      </c>
    </row>
    <row r="474" spans="1:27">
      <c r="A474">
        <f>COUNTIF($W$22:W474,1)</f>
        <v>0</v>
      </c>
      <c r="B474">
        <v>474</v>
      </c>
      <c r="C474" s="684" t="s">
        <v>1212</v>
      </c>
      <c r="W474" t="str">
        <f t="shared" si="14"/>
        <v/>
      </c>
      <c r="X474" s="185" t="str">
        <f t="shared" si="15"/>
        <v/>
      </c>
      <c r="Y474" s="685">
        <f>'General price list'!$AB477</f>
        <v>0</v>
      </c>
      <c r="Z474" t="str">
        <f>IFERROR(X474*VLOOKUP(C474,'General price list'!C:I,7,FALSE),"")</f>
        <v/>
      </c>
      <c r="AA474" t="str">
        <f>IF(X474&lt;&gt;"",VLOOKUP(C474,'General price list'!C477:AN1655,MATCH("HM",Tabulka1[[#Headers],[KÓD]:[NEQ]],0),FALSE),"")</f>
        <v/>
      </c>
    </row>
    <row r="475" spans="1:27">
      <c r="A475">
        <f>COUNTIF($W$22:W475,1)</f>
        <v>0</v>
      </c>
      <c r="B475">
        <v>475</v>
      </c>
      <c r="C475" s="684" t="s">
        <v>1217</v>
      </c>
      <c r="W475" t="str">
        <f t="shared" si="14"/>
        <v/>
      </c>
      <c r="X475" s="185" t="str">
        <f t="shared" si="15"/>
        <v/>
      </c>
      <c r="Y475" s="685">
        <f>'General price list'!$AB478</f>
        <v>0</v>
      </c>
      <c r="Z475" t="str">
        <f>IFERROR(X475*VLOOKUP(C475,'General price list'!C:I,7,FALSE),"")</f>
        <v/>
      </c>
      <c r="AA475" t="str">
        <f>IF(X475&lt;&gt;"",VLOOKUP(C475,'General price list'!C478:AN1656,MATCH("HM",Tabulka1[[#Headers],[KÓD]:[NEQ]],0),FALSE),"")</f>
        <v/>
      </c>
    </row>
    <row r="476" spans="1:27">
      <c r="A476">
        <f>COUNTIF($W$22:W476,1)</f>
        <v>0</v>
      </c>
      <c r="B476">
        <v>476</v>
      </c>
      <c r="W476" t="str">
        <f t="shared" si="14"/>
        <v/>
      </c>
      <c r="X476" s="185" t="str">
        <f t="shared" si="15"/>
        <v/>
      </c>
      <c r="Y476" s="685">
        <f>'General price list'!$AB479</f>
        <v>0</v>
      </c>
      <c r="Z476" t="str">
        <f>IFERROR(X476*VLOOKUP(C476,'General price list'!C:I,7,FALSE),"")</f>
        <v/>
      </c>
      <c r="AA476" t="str">
        <f>IF(X476&lt;&gt;"",VLOOKUP(C476,'General price list'!C479:AN1657,MATCH("HM",Tabulka1[[#Headers],[KÓD]:[NEQ]],0),FALSE),"")</f>
        <v/>
      </c>
    </row>
    <row r="477" spans="1:27">
      <c r="A477">
        <f>COUNTIF($W$22:W477,1)</f>
        <v>0</v>
      </c>
      <c r="B477">
        <v>477</v>
      </c>
      <c r="C477" s="684" t="s">
        <v>2534</v>
      </c>
      <c r="W477" t="str">
        <f t="shared" si="14"/>
        <v/>
      </c>
      <c r="X477" s="185" t="str">
        <f t="shared" si="15"/>
        <v/>
      </c>
      <c r="Y477" s="685">
        <f>'General price list'!$AB480</f>
        <v>0</v>
      </c>
      <c r="Z477" t="str">
        <f>IFERROR(X477*VLOOKUP(C477,'General price list'!C:I,7,FALSE),"")</f>
        <v/>
      </c>
      <c r="AA477" t="str">
        <f>IF(X477&lt;&gt;"",VLOOKUP(C477,'General price list'!C480:AN1658,MATCH("HM",Tabulka1[[#Headers],[KÓD]:[NEQ]],0),FALSE),"")</f>
        <v/>
      </c>
    </row>
    <row r="478" spans="1:27">
      <c r="A478">
        <f>COUNTIF($W$22:W478,1)</f>
        <v>0</v>
      </c>
      <c r="B478">
        <v>478</v>
      </c>
      <c r="C478" s="684" t="s">
        <v>1219</v>
      </c>
      <c r="W478" t="str">
        <f t="shared" si="14"/>
        <v/>
      </c>
      <c r="X478" s="185" t="str">
        <f t="shared" si="15"/>
        <v/>
      </c>
      <c r="Y478" s="685">
        <f>'General price list'!$AB481</f>
        <v>0</v>
      </c>
      <c r="Z478" t="str">
        <f>IFERROR(X478*VLOOKUP(C478,'General price list'!C:I,7,FALSE),"")</f>
        <v/>
      </c>
      <c r="AA478" t="str">
        <f>IF(X478&lt;&gt;"",VLOOKUP(C478,'General price list'!C481:AN1659,MATCH("HM",Tabulka1[[#Headers],[KÓD]:[NEQ]],0),FALSE),"")</f>
        <v/>
      </c>
    </row>
    <row r="479" spans="1:27">
      <c r="A479">
        <f>COUNTIF($W$22:W479,1)</f>
        <v>0</v>
      </c>
      <c r="B479">
        <v>479</v>
      </c>
      <c r="C479" s="684" t="s">
        <v>1224</v>
      </c>
      <c r="W479" t="str">
        <f t="shared" si="14"/>
        <v/>
      </c>
      <c r="X479" s="185" t="str">
        <f t="shared" si="15"/>
        <v/>
      </c>
      <c r="Y479" s="685">
        <f>'General price list'!$AB482</f>
        <v>0</v>
      </c>
      <c r="Z479" t="str">
        <f>IFERROR(X479*VLOOKUP(C479,'General price list'!C:I,7,FALSE),"")</f>
        <v/>
      </c>
      <c r="AA479" t="str">
        <f>IF(X479&lt;&gt;"",VLOOKUP(C479,'General price list'!C482:AN1660,MATCH("HM",Tabulka1[[#Headers],[KÓD]:[NEQ]],0),FALSE),"")</f>
        <v/>
      </c>
    </row>
    <row r="480" spans="1:27">
      <c r="A480">
        <f>COUNTIF($W$22:W480,1)</f>
        <v>0</v>
      </c>
      <c r="B480">
        <v>480</v>
      </c>
      <c r="W480" t="str">
        <f t="shared" si="14"/>
        <v/>
      </c>
      <c r="X480" s="185" t="str">
        <f t="shared" si="15"/>
        <v/>
      </c>
      <c r="Y480" s="685">
        <f>'General price list'!$AB483</f>
        <v>0</v>
      </c>
      <c r="Z480" t="str">
        <f>IFERROR(X480*VLOOKUP(C480,'General price list'!C:I,7,FALSE),"")</f>
        <v/>
      </c>
      <c r="AA480" t="str">
        <f>IF(X480&lt;&gt;"",VLOOKUP(C480,'General price list'!C483:AN1661,MATCH("HM",Tabulka1[[#Headers],[KÓD]:[NEQ]],0),FALSE),"")</f>
        <v/>
      </c>
    </row>
    <row r="481" spans="1:27">
      <c r="A481">
        <f>COUNTIF($W$22:W481,1)</f>
        <v>0</v>
      </c>
      <c r="B481">
        <v>481</v>
      </c>
      <c r="C481" s="684" t="s">
        <v>1225</v>
      </c>
      <c r="W481" t="str">
        <f t="shared" si="14"/>
        <v/>
      </c>
      <c r="X481" s="185" t="str">
        <f t="shared" si="15"/>
        <v/>
      </c>
      <c r="Y481" s="685">
        <f>'General price list'!$AB484</f>
        <v>0</v>
      </c>
      <c r="Z481" t="str">
        <f>IFERROR(X481*VLOOKUP(C481,'General price list'!C:I,7,FALSE),"")</f>
        <v/>
      </c>
      <c r="AA481" t="str">
        <f>IF(X481&lt;&gt;"",VLOOKUP(C481,'General price list'!C484:AN1662,MATCH("HM",Tabulka1[[#Headers],[KÓD]:[NEQ]],0),FALSE),"")</f>
        <v/>
      </c>
    </row>
    <row r="482" spans="1:27">
      <c r="A482">
        <f>COUNTIF($W$22:W482,1)</f>
        <v>0</v>
      </c>
      <c r="B482">
        <v>482</v>
      </c>
      <c r="C482" s="684" t="s">
        <v>1229</v>
      </c>
      <c r="W482" t="str">
        <f t="shared" si="14"/>
        <v/>
      </c>
      <c r="X482" s="185" t="str">
        <f t="shared" si="15"/>
        <v/>
      </c>
      <c r="Y482" s="685">
        <f>'General price list'!$AB485</f>
        <v>0</v>
      </c>
      <c r="Z482" t="str">
        <f>IFERROR(X482*VLOOKUP(C482,'General price list'!C:I,7,FALSE),"")</f>
        <v/>
      </c>
      <c r="AA482" t="str">
        <f>IF(X482&lt;&gt;"",VLOOKUP(C482,'General price list'!C485:AN1663,MATCH("HM",Tabulka1[[#Headers],[KÓD]:[NEQ]],0),FALSE),"")</f>
        <v/>
      </c>
    </row>
    <row r="483" spans="1:27">
      <c r="A483">
        <f>COUNTIF($W$22:W483,1)</f>
        <v>0</v>
      </c>
      <c r="B483">
        <v>483</v>
      </c>
      <c r="W483" t="str">
        <f t="shared" si="14"/>
        <v/>
      </c>
      <c r="X483" s="185" t="str">
        <f t="shared" si="15"/>
        <v/>
      </c>
      <c r="Y483" s="685">
        <f>'General price list'!$AB486</f>
        <v>0</v>
      </c>
      <c r="Z483" t="str">
        <f>IFERROR(X483*VLOOKUP(C483,'General price list'!C:I,7,FALSE),"")</f>
        <v/>
      </c>
      <c r="AA483" t="str">
        <f>IF(X483&lt;&gt;"",VLOOKUP(C483,'General price list'!C486:AN1664,MATCH("HM",Tabulka1[[#Headers],[KÓD]:[NEQ]],0),FALSE),"")</f>
        <v/>
      </c>
    </row>
    <row r="484" spans="1:27">
      <c r="A484">
        <f>COUNTIF($W$22:W484,1)</f>
        <v>0</v>
      </c>
      <c r="B484">
        <v>484</v>
      </c>
      <c r="C484" s="684" t="s">
        <v>1232</v>
      </c>
      <c r="W484" t="str">
        <f t="shared" si="14"/>
        <v/>
      </c>
      <c r="X484" s="185" t="str">
        <f t="shared" si="15"/>
        <v/>
      </c>
      <c r="Y484" s="685">
        <f>'General price list'!$AB487</f>
        <v>0</v>
      </c>
      <c r="Z484" t="str">
        <f>IFERROR(X484*VLOOKUP(C484,'General price list'!C:I,7,FALSE),"")</f>
        <v/>
      </c>
      <c r="AA484" t="str">
        <f>IF(X484&lt;&gt;"",VLOOKUP(C484,'General price list'!C487:AN1665,MATCH("HM",Tabulka1[[#Headers],[KÓD]:[NEQ]],0),FALSE),"")</f>
        <v/>
      </c>
    </row>
    <row r="485" spans="1:27">
      <c r="A485">
        <f>COUNTIF($W$22:W485,1)</f>
        <v>0</v>
      </c>
      <c r="B485">
        <v>485</v>
      </c>
      <c r="C485" s="684" t="s">
        <v>1236</v>
      </c>
      <c r="W485" t="str">
        <f t="shared" si="14"/>
        <v/>
      </c>
      <c r="X485" s="185" t="str">
        <f t="shared" si="15"/>
        <v/>
      </c>
      <c r="Y485" s="685">
        <f>'General price list'!$AB488</f>
        <v>0</v>
      </c>
      <c r="Z485" t="str">
        <f>IFERROR(X485*VLOOKUP(C485,'General price list'!C:I,7,FALSE),"")</f>
        <v/>
      </c>
      <c r="AA485" t="str">
        <f>IF(X485&lt;&gt;"",VLOOKUP(C485,'General price list'!C488:AN1666,MATCH("HM",Tabulka1[[#Headers],[KÓD]:[NEQ]],0),FALSE),"")</f>
        <v/>
      </c>
    </row>
    <row r="486" spans="1:27">
      <c r="A486">
        <f>COUNTIF($W$22:W486,1)</f>
        <v>0</v>
      </c>
      <c r="B486">
        <v>486</v>
      </c>
      <c r="C486" s="684" t="s">
        <v>5175</v>
      </c>
      <c r="W486" t="str">
        <f t="shared" si="14"/>
        <v/>
      </c>
      <c r="X486" s="185" t="str">
        <f t="shared" si="15"/>
        <v/>
      </c>
      <c r="Y486" s="685">
        <f>'General price list'!$AB489</f>
        <v>0</v>
      </c>
      <c r="Z486" t="str">
        <f>IFERROR(X486*VLOOKUP(C486,'General price list'!C:I,7,FALSE),"")</f>
        <v/>
      </c>
      <c r="AA486" t="str">
        <f>IF(X486&lt;&gt;"",VLOOKUP(C486,'General price list'!C489:AN1667,MATCH("HM",Tabulka1[[#Headers],[KÓD]:[NEQ]],0),FALSE),"")</f>
        <v/>
      </c>
    </row>
    <row r="487" spans="1:27">
      <c r="A487">
        <f>COUNTIF($W$22:W487,1)</f>
        <v>0</v>
      </c>
      <c r="B487">
        <v>487</v>
      </c>
      <c r="C487" s="684" t="s">
        <v>2535</v>
      </c>
      <c r="W487" t="str">
        <f t="shared" si="14"/>
        <v/>
      </c>
      <c r="X487" s="185" t="str">
        <f t="shared" si="15"/>
        <v/>
      </c>
      <c r="Y487" s="685">
        <f>'General price list'!$AB490</f>
        <v>0</v>
      </c>
      <c r="Z487" t="str">
        <f>IFERROR(X487*VLOOKUP(C487,'General price list'!C:I,7,FALSE),"")</f>
        <v/>
      </c>
      <c r="AA487" t="str">
        <f>IF(X487&lt;&gt;"",VLOOKUP(C487,'General price list'!C490:AN1668,MATCH("HM",Tabulka1[[#Headers],[KÓD]:[NEQ]],0),FALSE),"")</f>
        <v/>
      </c>
    </row>
    <row r="488" spans="1:27">
      <c r="A488">
        <f>COUNTIF($W$22:W488,1)</f>
        <v>0</v>
      </c>
      <c r="B488">
        <v>488</v>
      </c>
      <c r="W488" t="str">
        <f t="shared" si="14"/>
        <v/>
      </c>
      <c r="X488" s="185" t="str">
        <f t="shared" si="15"/>
        <v/>
      </c>
      <c r="Y488" s="685">
        <f>'General price list'!$AB491</f>
        <v>0</v>
      </c>
      <c r="Z488" t="str">
        <f>IFERROR(X488*VLOOKUP(C488,'General price list'!C:I,7,FALSE),"")</f>
        <v/>
      </c>
      <c r="AA488" t="str">
        <f>IF(X488&lt;&gt;"",VLOOKUP(C488,'General price list'!C491:AN1669,MATCH("HM",Tabulka1[[#Headers],[KÓD]:[NEQ]],0),FALSE),"")</f>
        <v/>
      </c>
    </row>
    <row r="489" spans="1:27">
      <c r="A489">
        <f>COUNTIF($W$22:W489,1)</f>
        <v>0</v>
      </c>
      <c r="B489">
        <v>489</v>
      </c>
      <c r="C489" s="684" t="s">
        <v>2536</v>
      </c>
      <c r="W489" t="str">
        <f t="shared" si="14"/>
        <v/>
      </c>
      <c r="X489" s="185" t="str">
        <f t="shared" si="15"/>
        <v/>
      </c>
      <c r="Y489" s="685">
        <f>'General price list'!$AB492</f>
        <v>0</v>
      </c>
      <c r="Z489" t="str">
        <f>IFERROR(X489*VLOOKUP(C489,'General price list'!C:I,7,FALSE),"")</f>
        <v/>
      </c>
      <c r="AA489" t="str">
        <f>IF(X489&lt;&gt;"",VLOOKUP(C489,'General price list'!C492:AN1670,MATCH("HM",Tabulka1[[#Headers],[KÓD]:[NEQ]],0),FALSE),"")</f>
        <v/>
      </c>
    </row>
    <row r="490" spans="1:27">
      <c r="A490">
        <f>COUNTIF($W$22:W490,1)</f>
        <v>0</v>
      </c>
      <c r="B490">
        <v>490</v>
      </c>
      <c r="C490" s="684" t="s">
        <v>2537</v>
      </c>
      <c r="W490" t="str">
        <f t="shared" si="14"/>
        <v/>
      </c>
      <c r="X490" s="185" t="str">
        <f t="shared" si="15"/>
        <v/>
      </c>
      <c r="Y490" s="685">
        <f>'General price list'!$AB493</f>
        <v>0</v>
      </c>
      <c r="Z490" t="str">
        <f>IFERROR(X490*VLOOKUP(C490,'General price list'!C:I,7,FALSE),"")</f>
        <v/>
      </c>
      <c r="AA490" t="str">
        <f>IF(X490&lt;&gt;"",VLOOKUP(C490,'General price list'!C493:AN1671,MATCH("HM",Tabulka1[[#Headers],[KÓD]:[NEQ]],0),FALSE),"")</f>
        <v/>
      </c>
    </row>
    <row r="491" spans="1:27">
      <c r="A491">
        <f>COUNTIF($W$22:W491,1)</f>
        <v>0</v>
      </c>
      <c r="B491">
        <v>491</v>
      </c>
      <c r="C491" s="684" t="s">
        <v>2538</v>
      </c>
      <c r="W491" t="str">
        <f t="shared" si="14"/>
        <v/>
      </c>
      <c r="X491" s="185" t="str">
        <f t="shared" si="15"/>
        <v/>
      </c>
      <c r="Y491" s="685">
        <f>'General price list'!$AB494</f>
        <v>0</v>
      </c>
      <c r="Z491" t="str">
        <f>IFERROR(X491*VLOOKUP(C491,'General price list'!C:I,7,FALSE),"")</f>
        <v/>
      </c>
      <c r="AA491" t="str">
        <f>IF(X491&lt;&gt;"",VLOOKUP(C491,'General price list'!C494:AN1672,MATCH("HM",Tabulka1[[#Headers],[KÓD]:[NEQ]],0),FALSE),"")</f>
        <v/>
      </c>
    </row>
    <row r="492" spans="1:27">
      <c r="A492">
        <f>COUNTIF($W$22:W492,1)</f>
        <v>0</v>
      </c>
      <c r="B492">
        <v>492</v>
      </c>
      <c r="W492" t="str">
        <f t="shared" si="14"/>
        <v/>
      </c>
      <c r="X492" s="185" t="str">
        <f t="shared" si="15"/>
        <v/>
      </c>
      <c r="Y492" s="685">
        <f>'General price list'!$AB495</f>
        <v>0</v>
      </c>
      <c r="Z492" t="str">
        <f>IFERROR(X492*VLOOKUP(C492,'General price list'!C:I,7,FALSE),"")</f>
        <v/>
      </c>
      <c r="AA492" t="str">
        <f>IF(X492&lt;&gt;"",VLOOKUP(C492,'General price list'!C495:AN1673,MATCH("HM",Tabulka1[[#Headers],[KÓD]:[NEQ]],0),FALSE),"")</f>
        <v/>
      </c>
    </row>
    <row r="493" spans="1:27">
      <c r="A493">
        <f>COUNTIF($W$22:W493,1)</f>
        <v>0</v>
      </c>
      <c r="B493">
        <v>493</v>
      </c>
      <c r="C493" s="684" t="s">
        <v>1238</v>
      </c>
      <c r="W493" t="str">
        <f t="shared" si="14"/>
        <v/>
      </c>
      <c r="X493" s="185" t="str">
        <f t="shared" si="15"/>
        <v/>
      </c>
      <c r="Y493" s="685">
        <f>'General price list'!$AB496</f>
        <v>0</v>
      </c>
      <c r="Z493" t="str">
        <f>IFERROR(X493*VLOOKUP(C493,'General price list'!C:I,7,FALSE),"")</f>
        <v/>
      </c>
      <c r="AA493" t="str">
        <f>IF(X493&lt;&gt;"",VLOOKUP(C493,'General price list'!C496:AN1674,MATCH("HM",Tabulka1[[#Headers],[KÓD]:[NEQ]],0),FALSE),"")</f>
        <v/>
      </c>
    </row>
    <row r="494" spans="1:27">
      <c r="A494">
        <f>COUNTIF($W$22:W494,1)</f>
        <v>0</v>
      </c>
      <c r="B494">
        <v>494</v>
      </c>
      <c r="C494" s="684" t="s">
        <v>1242</v>
      </c>
      <c r="W494" t="str">
        <f t="shared" si="14"/>
        <v/>
      </c>
      <c r="X494" s="185" t="str">
        <f t="shared" si="15"/>
        <v/>
      </c>
      <c r="Y494" s="685">
        <f>'General price list'!$AB497</f>
        <v>0</v>
      </c>
      <c r="Z494" t="str">
        <f>IFERROR(X494*VLOOKUP(C494,'General price list'!C:I,7,FALSE),"")</f>
        <v/>
      </c>
      <c r="AA494" t="str">
        <f>IF(X494&lt;&gt;"",VLOOKUP(C494,'General price list'!C497:AN1675,MATCH("HM",Tabulka1[[#Headers],[KÓD]:[NEQ]],0),FALSE),"")</f>
        <v/>
      </c>
    </row>
    <row r="495" spans="1:27">
      <c r="A495">
        <f>COUNTIF($W$22:W495,1)</f>
        <v>0</v>
      </c>
      <c r="B495">
        <v>495</v>
      </c>
      <c r="C495" s="684" t="s">
        <v>5184</v>
      </c>
      <c r="W495" t="str">
        <f t="shared" si="14"/>
        <v/>
      </c>
      <c r="X495" s="185" t="str">
        <f t="shared" si="15"/>
        <v/>
      </c>
      <c r="Y495" s="685">
        <f>'General price list'!$AB498</f>
        <v>0</v>
      </c>
      <c r="Z495" t="str">
        <f>IFERROR(X495*VLOOKUP(C495,'General price list'!C:I,7,FALSE),"")</f>
        <v/>
      </c>
      <c r="AA495" t="str">
        <f>IF(X495&lt;&gt;"",VLOOKUP(C495,'General price list'!C498:AN1676,MATCH("HM",Tabulka1[[#Headers],[KÓD]:[NEQ]],0),FALSE),"")</f>
        <v/>
      </c>
    </row>
    <row r="496" spans="1:27">
      <c r="A496">
        <f>COUNTIF($W$22:W496,1)</f>
        <v>0</v>
      </c>
      <c r="B496">
        <v>496</v>
      </c>
      <c r="C496" s="684" t="s">
        <v>2539</v>
      </c>
      <c r="W496" t="str">
        <f t="shared" si="14"/>
        <v/>
      </c>
      <c r="X496" s="185" t="str">
        <f t="shared" si="15"/>
        <v/>
      </c>
      <c r="Y496" s="685">
        <f>'General price list'!$AB499</f>
        <v>0</v>
      </c>
      <c r="Z496" t="str">
        <f>IFERROR(X496*VLOOKUP(C496,'General price list'!C:I,7,FALSE),"")</f>
        <v/>
      </c>
      <c r="AA496" t="str">
        <f>IF(X496&lt;&gt;"",VLOOKUP(C496,'General price list'!C499:AN1677,MATCH("HM",Tabulka1[[#Headers],[KÓD]:[NEQ]],0),FALSE),"")</f>
        <v/>
      </c>
    </row>
    <row r="497" spans="1:27">
      <c r="A497">
        <f>COUNTIF($W$22:W497,1)</f>
        <v>0</v>
      </c>
      <c r="B497">
        <v>497</v>
      </c>
      <c r="C497" s="684" t="s">
        <v>5186</v>
      </c>
      <c r="W497" t="str">
        <f t="shared" si="14"/>
        <v/>
      </c>
      <c r="X497" s="185" t="str">
        <f t="shared" si="15"/>
        <v/>
      </c>
      <c r="Y497" s="685">
        <f>'General price list'!$AB500</f>
        <v>0</v>
      </c>
      <c r="Z497" t="str">
        <f>IFERROR(X497*VLOOKUP(C497,'General price list'!C:I,7,FALSE),"")</f>
        <v/>
      </c>
      <c r="AA497" t="str">
        <f>IF(X497&lt;&gt;"",VLOOKUP(C497,'General price list'!C500:AN1678,MATCH("HM",Tabulka1[[#Headers],[KÓD]:[NEQ]],0),FALSE),"")</f>
        <v/>
      </c>
    </row>
    <row r="498" spans="1:27">
      <c r="A498">
        <f>COUNTIF($W$22:W498,1)</f>
        <v>0</v>
      </c>
      <c r="B498">
        <v>498</v>
      </c>
      <c r="C498" s="684" t="s">
        <v>1245</v>
      </c>
      <c r="W498" t="str">
        <f t="shared" si="14"/>
        <v/>
      </c>
      <c r="X498" s="185" t="str">
        <f t="shared" si="15"/>
        <v/>
      </c>
      <c r="Y498" s="685">
        <f>'General price list'!$AB501</f>
        <v>0</v>
      </c>
      <c r="Z498" t="str">
        <f>IFERROR(X498*VLOOKUP(C498,'General price list'!C:I,7,FALSE),"")</f>
        <v/>
      </c>
      <c r="AA498" t="str">
        <f>IF(X498&lt;&gt;"",VLOOKUP(C498,'General price list'!C501:AN1679,MATCH("HM",Tabulka1[[#Headers],[KÓD]:[NEQ]],0),FALSE),"")</f>
        <v/>
      </c>
    </row>
    <row r="499" spans="1:27">
      <c r="A499">
        <f>COUNTIF($W$22:W499,1)</f>
        <v>0</v>
      </c>
      <c r="B499">
        <v>499</v>
      </c>
      <c r="C499" s="684" t="s">
        <v>2540</v>
      </c>
      <c r="W499" t="str">
        <f t="shared" si="14"/>
        <v/>
      </c>
      <c r="X499" s="185" t="str">
        <f t="shared" si="15"/>
        <v/>
      </c>
      <c r="Y499" s="685">
        <f>'General price list'!$AB502</f>
        <v>0</v>
      </c>
      <c r="Z499" t="str">
        <f>IFERROR(X499*VLOOKUP(C499,'General price list'!C:I,7,FALSE),"")</f>
        <v/>
      </c>
      <c r="AA499" t="str">
        <f>IF(X499&lt;&gt;"",VLOOKUP(C499,'General price list'!C502:AN1680,MATCH("HM",Tabulka1[[#Headers],[KÓD]:[NEQ]],0),FALSE),"")</f>
        <v/>
      </c>
    </row>
    <row r="500" spans="1:27">
      <c r="A500">
        <f>COUNTIF($W$22:W500,1)</f>
        <v>0</v>
      </c>
      <c r="B500">
        <v>500</v>
      </c>
      <c r="C500" s="684" t="s">
        <v>1250</v>
      </c>
      <c r="W500" t="str">
        <f t="shared" si="14"/>
        <v/>
      </c>
      <c r="X500" s="185" t="str">
        <f t="shared" si="15"/>
        <v/>
      </c>
      <c r="Y500" s="685">
        <f>'General price list'!$AB503</f>
        <v>0</v>
      </c>
      <c r="Z500" t="str">
        <f>IFERROR(X500*VLOOKUP(C500,'General price list'!C:I,7,FALSE),"")</f>
        <v/>
      </c>
      <c r="AA500" t="str">
        <f>IF(X500&lt;&gt;"",VLOOKUP(C500,'General price list'!C503:AN1681,MATCH("HM",Tabulka1[[#Headers],[KÓD]:[NEQ]],0),FALSE),"")</f>
        <v/>
      </c>
    </row>
    <row r="501" spans="1:27">
      <c r="A501">
        <f>COUNTIF($W$22:W501,1)</f>
        <v>0</v>
      </c>
      <c r="B501">
        <v>501</v>
      </c>
      <c r="C501" s="684" t="s">
        <v>1255</v>
      </c>
      <c r="W501" t="str">
        <f t="shared" si="14"/>
        <v/>
      </c>
      <c r="X501" s="185" t="str">
        <f t="shared" si="15"/>
        <v/>
      </c>
      <c r="Y501" s="685">
        <f>'General price list'!$AB504</f>
        <v>0</v>
      </c>
      <c r="Z501" t="str">
        <f>IFERROR(X501*VLOOKUP(C501,'General price list'!C:I,7,FALSE),"")</f>
        <v/>
      </c>
      <c r="AA501" t="str">
        <f>IF(X501&lt;&gt;"",VLOOKUP(C501,'General price list'!C504:AN1682,MATCH("HM",Tabulka1[[#Headers],[KÓD]:[NEQ]],0),FALSE),"")</f>
        <v/>
      </c>
    </row>
    <row r="502" spans="1:27">
      <c r="A502">
        <f>COUNTIF($W$22:W502,1)</f>
        <v>0</v>
      </c>
      <c r="B502">
        <v>502</v>
      </c>
      <c r="C502" s="684" t="s">
        <v>2542</v>
      </c>
      <c r="W502" t="str">
        <f t="shared" si="14"/>
        <v/>
      </c>
      <c r="X502" s="185" t="str">
        <f t="shared" si="15"/>
        <v/>
      </c>
      <c r="Y502" s="685">
        <f>'General price list'!$AB505</f>
        <v>0</v>
      </c>
      <c r="Z502" t="str">
        <f>IFERROR(X502*VLOOKUP(C502,'General price list'!C:I,7,FALSE),"")</f>
        <v/>
      </c>
      <c r="AA502" t="str">
        <f>IF(X502&lt;&gt;"",VLOOKUP(C502,'General price list'!C505:AN1683,MATCH("HM",Tabulka1[[#Headers],[KÓD]:[NEQ]],0),FALSE),"")</f>
        <v/>
      </c>
    </row>
    <row r="503" spans="1:27">
      <c r="A503">
        <f>COUNTIF($W$22:W503,1)</f>
        <v>0</v>
      </c>
      <c r="B503">
        <v>503</v>
      </c>
      <c r="W503" t="str">
        <f t="shared" si="14"/>
        <v/>
      </c>
      <c r="X503" s="185" t="str">
        <f t="shared" si="15"/>
        <v/>
      </c>
      <c r="Y503" s="685">
        <f>'General price list'!$AB506</f>
        <v>0</v>
      </c>
      <c r="Z503" t="str">
        <f>IFERROR(X503*VLOOKUP(C503,'General price list'!C:I,7,FALSE),"")</f>
        <v/>
      </c>
      <c r="AA503" t="str">
        <f>IF(X503&lt;&gt;"",VLOOKUP(C503,'General price list'!C506:AN1684,MATCH("HM",Tabulka1[[#Headers],[KÓD]:[NEQ]],0),FALSE),"")</f>
        <v/>
      </c>
    </row>
    <row r="504" spans="1:27">
      <c r="A504">
        <f>COUNTIF($W$22:W504,1)</f>
        <v>0</v>
      </c>
      <c r="B504">
        <v>504</v>
      </c>
      <c r="C504" s="684" t="s">
        <v>2715</v>
      </c>
      <c r="W504" t="str">
        <f t="shared" si="14"/>
        <v/>
      </c>
      <c r="X504" s="185" t="str">
        <f t="shared" si="15"/>
        <v/>
      </c>
      <c r="Y504" s="685">
        <f>'General price list'!$AB507</f>
        <v>0</v>
      </c>
      <c r="Z504" t="str">
        <f>IFERROR(X504*VLOOKUP(C504,'General price list'!C:I,7,FALSE),"")</f>
        <v/>
      </c>
      <c r="AA504" t="str">
        <f>IF(X504&lt;&gt;"",VLOOKUP(C504,'General price list'!C507:AN1685,MATCH("HM",Tabulka1[[#Headers],[KÓD]:[NEQ]],0),FALSE),"")</f>
        <v/>
      </c>
    </row>
    <row r="505" spans="1:27">
      <c r="A505">
        <f>COUNTIF($W$22:W505,1)</f>
        <v>0</v>
      </c>
      <c r="B505">
        <v>505</v>
      </c>
      <c r="C505" s="684" t="s">
        <v>2716</v>
      </c>
      <c r="W505" t="str">
        <f t="shared" si="14"/>
        <v/>
      </c>
      <c r="X505" s="185" t="str">
        <f t="shared" si="15"/>
        <v/>
      </c>
      <c r="Y505" s="685">
        <f>'General price list'!$AB508</f>
        <v>0</v>
      </c>
      <c r="Z505" t="str">
        <f>IFERROR(X505*VLOOKUP(C505,'General price list'!C:I,7,FALSE),"")</f>
        <v/>
      </c>
      <c r="AA505" t="str">
        <f>IF(X505&lt;&gt;"",VLOOKUP(C505,'General price list'!C508:AN1686,MATCH("HM",Tabulka1[[#Headers],[KÓD]:[NEQ]],0),FALSE),"")</f>
        <v/>
      </c>
    </row>
    <row r="506" spans="1:27">
      <c r="A506">
        <f>COUNTIF($W$22:W506,1)</f>
        <v>0</v>
      </c>
      <c r="B506">
        <v>506</v>
      </c>
      <c r="C506" s="684" t="s">
        <v>5204</v>
      </c>
      <c r="W506" t="str">
        <f t="shared" si="14"/>
        <v/>
      </c>
      <c r="X506" s="185" t="str">
        <f t="shared" si="15"/>
        <v/>
      </c>
      <c r="Y506" s="685">
        <f>'General price list'!$AB509</f>
        <v>0</v>
      </c>
      <c r="Z506" t="str">
        <f>IFERROR(X506*VLOOKUP(C506,'General price list'!C:I,7,FALSE),"")</f>
        <v/>
      </c>
      <c r="AA506" t="str">
        <f>IF(X506&lt;&gt;"",VLOOKUP(C506,'General price list'!C509:AN1687,MATCH("HM",Tabulka1[[#Headers],[KÓD]:[NEQ]],0),FALSE),"")</f>
        <v/>
      </c>
    </row>
    <row r="507" spans="1:27">
      <c r="A507">
        <f>COUNTIF($W$22:W507,1)</f>
        <v>0</v>
      </c>
      <c r="B507">
        <v>507</v>
      </c>
      <c r="C507" s="684" t="s">
        <v>2717</v>
      </c>
      <c r="W507" t="str">
        <f t="shared" si="14"/>
        <v/>
      </c>
      <c r="X507" s="185" t="str">
        <f t="shared" si="15"/>
        <v/>
      </c>
      <c r="Y507" s="685">
        <f>'General price list'!$AB510</f>
        <v>0</v>
      </c>
      <c r="Z507" t="str">
        <f>IFERROR(X507*VLOOKUP(C507,'General price list'!C:I,7,FALSE),"")</f>
        <v/>
      </c>
      <c r="AA507" t="str">
        <f>IF(X507&lt;&gt;"",VLOOKUP(C507,'General price list'!C510:AN1688,MATCH("HM",Tabulka1[[#Headers],[KÓD]:[NEQ]],0),FALSE),"")</f>
        <v/>
      </c>
    </row>
    <row r="508" spans="1:27">
      <c r="A508">
        <f>COUNTIF($W$22:W508,1)</f>
        <v>0</v>
      </c>
      <c r="B508">
        <v>508</v>
      </c>
      <c r="C508" s="684" t="s">
        <v>5205</v>
      </c>
      <c r="W508" t="str">
        <f t="shared" si="14"/>
        <v/>
      </c>
      <c r="X508" s="185" t="str">
        <f t="shared" si="15"/>
        <v/>
      </c>
      <c r="Y508" s="685">
        <f>'General price list'!$AB511</f>
        <v>0</v>
      </c>
      <c r="Z508" t="str">
        <f>IFERROR(X508*VLOOKUP(C508,'General price list'!C:I,7,FALSE),"")</f>
        <v/>
      </c>
      <c r="AA508" t="str">
        <f>IF(X508&lt;&gt;"",VLOOKUP(C508,'General price list'!C511:AN1689,MATCH("HM",Tabulka1[[#Headers],[KÓD]:[NEQ]],0),FALSE),"")</f>
        <v/>
      </c>
    </row>
    <row r="509" spans="1:27">
      <c r="A509">
        <f>COUNTIF($W$22:W509,1)</f>
        <v>0</v>
      </c>
      <c r="B509">
        <v>509</v>
      </c>
      <c r="C509" s="684" t="s">
        <v>5206</v>
      </c>
      <c r="W509" t="str">
        <f t="shared" si="14"/>
        <v/>
      </c>
      <c r="X509" s="185" t="str">
        <f t="shared" si="15"/>
        <v/>
      </c>
      <c r="Y509" s="685">
        <f>'General price list'!$AB512</f>
        <v>0</v>
      </c>
      <c r="Z509" t="str">
        <f>IFERROR(X509*VLOOKUP(C509,'General price list'!C:I,7,FALSE),"")</f>
        <v/>
      </c>
      <c r="AA509" t="str">
        <f>IF(X509&lt;&gt;"",VLOOKUP(C509,'General price list'!C512:AN1690,MATCH("HM",Tabulka1[[#Headers],[KÓD]:[NEQ]],0),FALSE),"")</f>
        <v/>
      </c>
    </row>
    <row r="510" spans="1:27">
      <c r="A510">
        <f>COUNTIF($W$22:W510,1)</f>
        <v>0</v>
      </c>
      <c r="B510">
        <v>510</v>
      </c>
      <c r="C510" s="684" t="s">
        <v>2718</v>
      </c>
      <c r="W510" t="str">
        <f t="shared" si="14"/>
        <v/>
      </c>
      <c r="X510" s="185" t="str">
        <f t="shared" si="15"/>
        <v/>
      </c>
      <c r="Y510" s="685">
        <f>'General price list'!$AB513</f>
        <v>0</v>
      </c>
      <c r="Z510" t="str">
        <f>IFERROR(X510*VLOOKUP(C510,'General price list'!C:I,7,FALSE),"")</f>
        <v/>
      </c>
      <c r="AA510" t="str">
        <f>IF(X510&lt;&gt;"",VLOOKUP(C510,'General price list'!C513:AN1691,MATCH("HM",Tabulka1[[#Headers],[KÓD]:[NEQ]],0),FALSE),"")</f>
        <v/>
      </c>
    </row>
    <row r="511" spans="1:27">
      <c r="A511">
        <f>COUNTIF($W$22:W511,1)</f>
        <v>0</v>
      </c>
      <c r="B511">
        <v>511</v>
      </c>
      <c r="C511" s="684" t="s">
        <v>5208</v>
      </c>
      <c r="W511" t="str">
        <f t="shared" si="14"/>
        <v/>
      </c>
      <c r="X511" s="185" t="str">
        <f t="shared" si="15"/>
        <v/>
      </c>
      <c r="Y511" s="685">
        <f>'General price list'!$AB514</f>
        <v>0</v>
      </c>
      <c r="Z511" t="str">
        <f>IFERROR(X511*VLOOKUP(C511,'General price list'!C:I,7,FALSE),"")</f>
        <v/>
      </c>
      <c r="AA511" t="str">
        <f>IF(X511&lt;&gt;"",VLOOKUP(C511,'General price list'!C514:AN1692,MATCH("HM",Tabulka1[[#Headers],[KÓD]:[NEQ]],0),FALSE),"")</f>
        <v/>
      </c>
    </row>
    <row r="512" spans="1:27">
      <c r="A512">
        <f>COUNTIF($W$22:W512,1)</f>
        <v>0</v>
      </c>
      <c r="B512">
        <v>512</v>
      </c>
      <c r="C512" s="684" t="s">
        <v>5209</v>
      </c>
      <c r="W512" t="str">
        <f t="shared" si="14"/>
        <v/>
      </c>
      <c r="X512" s="185" t="str">
        <f t="shared" si="15"/>
        <v/>
      </c>
      <c r="Y512" s="685">
        <f>'General price list'!$AB515</f>
        <v>0</v>
      </c>
      <c r="Z512" t="str">
        <f>IFERROR(X512*VLOOKUP(C512,'General price list'!C:I,7,FALSE),"")</f>
        <v/>
      </c>
      <c r="AA512" t="str">
        <f>IF(X512&lt;&gt;"",VLOOKUP(C512,'General price list'!C515:AN1693,MATCH("HM",Tabulka1[[#Headers],[KÓD]:[NEQ]],0),FALSE),"")</f>
        <v/>
      </c>
    </row>
    <row r="513" spans="1:27">
      <c r="A513">
        <f>COUNTIF($W$22:W513,1)</f>
        <v>0</v>
      </c>
      <c r="B513">
        <v>513</v>
      </c>
      <c r="C513" s="684" t="s">
        <v>2719</v>
      </c>
      <c r="W513" t="str">
        <f t="shared" si="14"/>
        <v/>
      </c>
      <c r="X513" s="185" t="str">
        <f t="shared" si="15"/>
        <v/>
      </c>
      <c r="Y513" s="685">
        <f>'General price list'!$AB516</f>
        <v>0</v>
      </c>
      <c r="Z513" t="str">
        <f>IFERROR(X513*VLOOKUP(C513,'General price list'!C:I,7,FALSE),"")</f>
        <v/>
      </c>
      <c r="AA513" t="str">
        <f>IF(X513&lt;&gt;"",VLOOKUP(C513,'General price list'!C516:AN1694,MATCH("HM",Tabulka1[[#Headers],[KÓD]:[NEQ]],0),FALSE),"")</f>
        <v/>
      </c>
    </row>
    <row r="514" spans="1:27">
      <c r="A514">
        <f>COUNTIF($W$22:W514,1)</f>
        <v>0</v>
      </c>
      <c r="B514">
        <v>514</v>
      </c>
      <c r="W514" t="str">
        <f t="shared" si="14"/>
        <v/>
      </c>
      <c r="X514" s="185" t="str">
        <f t="shared" si="15"/>
        <v/>
      </c>
      <c r="Y514" s="685">
        <f>'General price list'!$AB517</f>
        <v>0</v>
      </c>
      <c r="Z514" t="str">
        <f>IFERROR(X514*VLOOKUP(C514,'General price list'!C:I,7,FALSE),"")</f>
        <v/>
      </c>
      <c r="AA514" t="str">
        <f>IF(X514&lt;&gt;"",VLOOKUP(C514,'General price list'!C517:AN1695,MATCH("HM",Tabulka1[[#Headers],[KÓD]:[NEQ]],0),FALSE),"")</f>
        <v/>
      </c>
    </row>
    <row r="515" spans="1:27">
      <c r="A515">
        <f>COUNTIF($W$22:W515,1)</f>
        <v>0</v>
      </c>
      <c r="B515">
        <v>515</v>
      </c>
      <c r="C515" s="684" t="s">
        <v>1257</v>
      </c>
      <c r="W515" t="str">
        <f t="shared" si="14"/>
        <v/>
      </c>
      <c r="X515" s="185" t="str">
        <f t="shared" si="15"/>
        <v/>
      </c>
      <c r="Y515" s="685">
        <f>'General price list'!$AB518</f>
        <v>0</v>
      </c>
      <c r="Z515" t="str">
        <f>IFERROR(X515*VLOOKUP(C515,'General price list'!C:I,7,FALSE),"")</f>
        <v/>
      </c>
      <c r="AA515" t="str">
        <f>IF(X515&lt;&gt;"",VLOOKUP(C515,'General price list'!C518:AN1696,MATCH("HM",Tabulka1[[#Headers],[KÓD]:[NEQ]],0),FALSE),"")</f>
        <v/>
      </c>
    </row>
    <row r="516" spans="1:27">
      <c r="A516">
        <f>COUNTIF($W$22:W516,1)</f>
        <v>0</v>
      </c>
      <c r="B516">
        <v>516</v>
      </c>
      <c r="C516" s="684" t="s">
        <v>1258</v>
      </c>
      <c r="W516" t="str">
        <f t="shared" si="14"/>
        <v/>
      </c>
      <c r="X516" s="185" t="str">
        <f t="shared" si="15"/>
        <v/>
      </c>
      <c r="Y516" s="685">
        <f>'General price list'!$AB519</f>
        <v>0</v>
      </c>
      <c r="Z516" t="str">
        <f>IFERROR(X516*VLOOKUP(C516,'General price list'!C:I,7,FALSE),"")</f>
        <v/>
      </c>
      <c r="AA516" t="str">
        <f>IF(X516&lt;&gt;"",VLOOKUP(C516,'General price list'!C519:AN1697,MATCH("HM",Tabulka1[[#Headers],[KÓD]:[NEQ]],0),FALSE),"")</f>
        <v/>
      </c>
    </row>
    <row r="517" spans="1:27">
      <c r="A517">
        <f>COUNTIF($W$22:W517,1)</f>
        <v>0</v>
      </c>
      <c r="B517">
        <v>517</v>
      </c>
      <c r="C517" s="684" t="s">
        <v>1259</v>
      </c>
      <c r="W517" t="str">
        <f t="shared" si="14"/>
        <v/>
      </c>
      <c r="X517" s="185" t="str">
        <f t="shared" si="15"/>
        <v/>
      </c>
      <c r="Y517" s="685">
        <f>'General price list'!$AB520</f>
        <v>0</v>
      </c>
      <c r="Z517" t="str">
        <f>IFERROR(X517*VLOOKUP(C517,'General price list'!C:I,7,FALSE),"")</f>
        <v/>
      </c>
      <c r="AA517" t="str">
        <f>IF(X517&lt;&gt;"",VLOOKUP(C517,'General price list'!C520:AN1698,MATCH("HM",Tabulka1[[#Headers],[KÓD]:[NEQ]],0),FALSE),"")</f>
        <v/>
      </c>
    </row>
    <row r="518" spans="1:27">
      <c r="A518">
        <f>COUNTIF($W$22:W518,1)</f>
        <v>0</v>
      </c>
      <c r="B518">
        <v>518</v>
      </c>
      <c r="C518" s="684" t="s">
        <v>1261</v>
      </c>
      <c r="W518" t="str">
        <f t="shared" si="14"/>
        <v/>
      </c>
      <c r="X518" s="185" t="str">
        <f t="shared" si="15"/>
        <v/>
      </c>
      <c r="Y518" s="685">
        <f>'General price list'!$AB521</f>
        <v>0</v>
      </c>
      <c r="Z518" t="str">
        <f>IFERROR(X518*VLOOKUP(C518,'General price list'!C:I,7,FALSE),"")</f>
        <v/>
      </c>
      <c r="AA518" t="str">
        <f>IF(X518&lt;&gt;"",VLOOKUP(C518,'General price list'!C521:AN1699,MATCH("HM",Tabulka1[[#Headers],[KÓD]:[NEQ]],0),FALSE),"")</f>
        <v/>
      </c>
    </row>
    <row r="519" spans="1:27">
      <c r="A519">
        <f>COUNTIF($W$22:W519,1)</f>
        <v>0</v>
      </c>
      <c r="B519">
        <v>519</v>
      </c>
      <c r="C519" s="684" t="s">
        <v>1263</v>
      </c>
      <c r="W519" t="str">
        <f t="shared" si="14"/>
        <v/>
      </c>
      <c r="X519" s="185" t="str">
        <f t="shared" si="15"/>
        <v/>
      </c>
      <c r="Y519" s="685">
        <f>'General price list'!$AB522</f>
        <v>0</v>
      </c>
      <c r="Z519" t="str">
        <f>IFERROR(X519*VLOOKUP(C519,'General price list'!C:I,7,FALSE),"")</f>
        <v/>
      </c>
      <c r="AA519" t="str">
        <f>IF(X519&lt;&gt;"",VLOOKUP(C519,'General price list'!C522:AN1700,MATCH("HM",Tabulka1[[#Headers],[KÓD]:[NEQ]],0),FALSE),"")</f>
        <v/>
      </c>
    </row>
    <row r="520" spans="1:27">
      <c r="A520">
        <f>COUNTIF($W$22:W520,1)</f>
        <v>0</v>
      </c>
      <c r="B520">
        <v>520</v>
      </c>
      <c r="C520" s="684" t="s">
        <v>1264</v>
      </c>
      <c r="W520" t="str">
        <f t="shared" si="14"/>
        <v/>
      </c>
      <c r="X520" s="185" t="str">
        <f t="shared" si="15"/>
        <v/>
      </c>
      <c r="Y520" s="685">
        <f>'General price list'!$AB523</f>
        <v>0</v>
      </c>
      <c r="Z520" t="str">
        <f>IFERROR(X520*VLOOKUP(C520,'General price list'!C:I,7,FALSE),"")</f>
        <v/>
      </c>
      <c r="AA520" t="str">
        <f>IF(X520&lt;&gt;"",VLOOKUP(C520,'General price list'!C523:AN1701,MATCH("HM",Tabulka1[[#Headers],[KÓD]:[NEQ]],0),FALSE),"")</f>
        <v/>
      </c>
    </row>
    <row r="521" spans="1:27">
      <c r="A521">
        <f>COUNTIF($W$22:W521,1)</f>
        <v>0</v>
      </c>
      <c r="B521">
        <v>521</v>
      </c>
      <c r="C521" s="684" t="s">
        <v>2543</v>
      </c>
      <c r="W521" t="str">
        <f t="shared" si="14"/>
        <v/>
      </c>
      <c r="X521" s="185" t="str">
        <f t="shared" si="15"/>
        <v/>
      </c>
      <c r="Y521" s="685">
        <f>'General price list'!$AB524</f>
        <v>0</v>
      </c>
      <c r="Z521" t="str">
        <f>IFERROR(X521*VLOOKUP(C521,'General price list'!C:I,7,FALSE),"")</f>
        <v/>
      </c>
      <c r="AA521" t="str">
        <f>IF(X521&lt;&gt;"",VLOOKUP(C521,'General price list'!C524:AN1702,MATCH("HM",Tabulka1[[#Headers],[KÓD]:[NEQ]],0),FALSE),"")</f>
        <v/>
      </c>
    </row>
    <row r="522" spans="1:27">
      <c r="A522">
        <f>COUNTIF($W$22:W522,1)</f>
        <v>0</v>
      </c>
      <c r="B522">
        <v>522</v>
      </c>
      <c r="C522" s="684" t="s">
        <v>1265</v>
      </c>
      <c r="W522" t="str">
        <f t="shared" si="14"/>
        <v/>
      </c>
      <c r="X522" s="185" t="str">
        <f t="shared" si="15"/>
        <v/>
      </c>
      <c r="Y522" s="685">
        <f>'General price list'!$AB525</f>
        <v>0</v>
      </c>
      <c r="Z522" t="str">
        <f>IFERROR(X522*VLOOKUP(C522,'General price list'!C:I,7,FALSE),"")</f>
        <v/>
      </c>
      <c r="AA522" t="str">
        <f>IF(X522&lt;&gt;"",VLOOKUP(C522,'General price list'!C525:AN1703,MATCH("HM",Tabulka1[[#Headers],[KÓD]:[NEQ]],0),FALSE),"")</f>
        <v/>
      </c>
    </row>
    <row r="523" spans="1:27">
      <c r="A523">
        <f>COUNTIF($W$22:W523,1)</f>
        <v>0</v>
      </c>
      <c r="B523">
        <v>523</v>
      </c>
      <c r="C523" s="684" t="s">
        <v>1266</v>
      </c>
      <c r="W523" t="str">
        <f t="shared" si="14"/>
        <v/>
      </c>
      <c r="X523" s="185" t="str">
        <f t="shared" si="15"/>
        <v/>
      </c>
      <c r="Y523" s="685">
        <f>'General price list'!$AB526</f>
        <v>0</v>
      </c>
      <c r="Z523" t="str">
        <f>IFERROR(X523*VLOOKUP(C523,'General price list'!C:I,7,FALSE),"")</f>
        <v/>
      </c>
      <c r="AA523" t="str">
        <f>IF(X523&lt;&gt;"",VLOOKUP(C523,'General price list'!C526:AN1704,MATCH("HM",Tabulka1[[#Headers],[KÓD]:[NEQ]],0),FALSE),"")</f>
        <v/>
      </c>
    </row>
    <row r="524" spans="1:27">
      <c r="A524">
        <f>COUNTIF($W$22:W524,1)</f>
        <v>0</v>
      </c>
      <c r="B524">
        <v>524</v>
      </c>
      <c r="W524" t="str">
        <f t="shared" si="14"/>
        <v/>
      </c>
      <c r="X524" s="185" t="str">
        <f t="shared" si="15"/>
        <v/>
      </c>
      <c r="Y524" s="685">
        <f>'General price list'!$AB527</f>
        <v>0</v>
      </c>
      <c r="Z524" t="str">
        <f>IFERROR(X524*VLOOKUP(C524,'General price list'!C:I,7,FALSE),"")</f>
        <v/>
      </c>
      <c r="AA524" t="str">
        <f>IF(X524&lt;&gt;"",VLOOKUP(C524,'General price list'!C527:AN1705,MATCH("HM",Tabulka1[[#Headers],[KÓD]:[NEQ]],0),FALSE),"")</f>
        <v/>
      </c>
    </row>
    <row r="525" spans="1:27">
      <c r="A525">
        <f>COUNTIF($W$22:W525,1)</f>
        <v>0</v>
      </c>
      <c r="B525">
        <v>525</v>
      </c>
      <c r="C525" s="684" t="s">
        <v>2720</v>
      </c>
      <c r="W525" t="str">
        <f t="shared" si="14"/>
        <v/>
      </c>
      <c r="X525" s="185" t="str">
        <f t="shared" si="15"/>
        <v/>
      </c>
      <c r="Y525" s="685">
        <f>'General price list'!$AB528</f>
        <v>0</v>
      </c>
      <c r="Z525" t="str">
        <f>IFERROR(X525*VLOOKUP(C525,'General price list'!C:I,7,FALSE),"")</f>
        <v/>
      </c>
      <c r="AA525" t="str">
        <f>IF(X525&lt;&gt;"",VLOOKUP(C525,'General price list'!C528:AN1706,MATCH("HM",Tabulka1[[#Headers],[KÓD]:[NEQ]],0),FALSE),"")</f>
        <v/>
      </c>
    </row>
    <row r="526" spans="1:27">
      <c r="A526">
        <f>COUNTIF($W$22:W526,1)</f>
        <v>0</v>
      </c>
      <c r="B526">
        <v>526</v>
      </c>
      <c r="C526" s="684" t="s">
        <v>5211</v>
      </c>
      <c r="W526" t="str">
        <f t="shared" si="14"/>
        <v/>
      </c>
      <c r="X526" s="185" t="str">
        <f t="shared" si="15"/>
        <v/>
      </c>
      <c r="Y526" s="685">
        <f>'General price list'!$AB529</f>
        <v>0</v>
      </c>
      <c r="Z526" t="str">
        <f>IFERROR(X526*VLOOKUP(C526,'General price list'!C:I,7,FALSE),"")</f>
        <v/>
      </c>
      <c r="AA526" t="str">
        <f>IF(X526&lt;&gt;"",VLOOKUP(C526,'General price list'!C529:AN1707,MATCH("HM",Tabulka1[[#Headers],[KÓD]:[NEQ]],0),FALSE),"")</f>
        <v/>
      </c>
    </row>
    <row r="527" spans="1:27">
      <c r="A527">
        <f>COUNTIF($W$22:W527,1)</f>
        <v>0</v>
      </c>
      <c r="B527">
        <v>527</v>
      </c>
      <c r="C527" s="684" t="s">
        <v>5212</v>
      </c>
      <c r="W527" t="str">
        <f t="shared" si="14"/>
        <v/>
      </c>
      <c r="X527" s="185" t="str">
        <f t="shared" si="15"/>
        <v/>
      </c>
      <c r="Y527" s="685">
        <f>'General price list'!$AB530</f>
        <v>0</v>
      </c>
      <c r="Z527" t="str">
        <f>IFERROR(X527*VLOOKUP(C527,'General price list'!C:I,7,FALSE),"")</f>
        <v/>
      </c>
      <c r="AA527" t="str">
        <f>IF(X527&lt;&gt;"",VLOOKUP(C527,'General price list'!C530:AN1708,MATCH("HM",Tabulka1[[#Headers],[KÓD]:[NEQ]],0),FALSE),"")</f>
        <v/>
      </c>
    </row>
    <row r="528" spans="1:27">
      <c r="A528">
        <f>COUNTIF($W$22:W528,1)</f>
        <v>0</v>
      </c>
      <c r="B528">
        <v>528</v>
      </c>
      <c r="C528" s="684" t="s">
        <v>2721</v>
      </c>
      <c r="W528" t="str">
        <f t="shared" si="14"/>
        <v/>
      </c>
      <c r="X528" s="185" t="str">
        <f t="shared" si="15"/>
        <v/>
      </c>
      <c r="Y528" s="685">
        <f>'General price list'!$AB531</f>
        <v>0</v>
      </c>
      <c r="Z528" t="str">
        <f>IFERROR(X528*VLOOKUP(C528,'General price list'!C:I,7,FALSE),"")</f>
        <v/>
      </c>
      <c r="AA528" t="str">
        <f>IF(X528&lt;&gt;"",VLOOKUP(C528,'General price list'!C531:AN1709,MATCH("HM",Tabulka1[[#Headers],[KÓD]:[NEQ]],0),FALSE),"")</f>
        <v/>
      </c>
    </row>
    <row r="529" spans="1:27">
      <c r="A529">
        <f>COUNTIF($W$22:W529,1)</f>
        <v>0</v>
      </c>
      <c r="B529">
        <v>529</v>
      </c>
      <c r="C529" s="684" t="s">
        <v>5214</v>
      </c>
      <c r="W529" t="str">
        <f t="shared" si="14"/>
        <v/>
      </c>
      <c r="X529" s="185" t="str">
        <f t="shared" si="15"/>
        <v/>
      </c>
      <c r="Y529" s="685">
        <f>'General price list'!$AB532</f>
        <v>0</v>
      </c>
      <c r="Z529" t="str">
        <f>IFERROR(X529*VLOOKUP(C529,'General price list'!C:I,7,FALSE),"")</f>
        <v/>
      </c>
      <c r="AA529" t="str">
        <f>IF(X529&lt;&gt;"",VLOOKUP(C529,'General price list'!C532:AN1710,MATCH("HM",Tabulka1[[#Headers],[KÓD]:[NEQ]],0),FALSE),"")</f>
        <v/>
      </c>
    </row>
    <row r="530" spans="1:27">
      <c r="A530">
        <f>COUNTIF($W$22:W530,1)</f>
        <v>0</v>
      </c>
      <c r="B530">
        <v>530</v>
      </c>
      <c r="C530" s="684" t="s">
        <v>2722</v>
      </c>
      <c r="W530" t="str">
        <f t="shared" si="14"/>
        <v/>
      </c>
      <c r="X530" s="185" t="str">
        <f t="shared" si="15"/>
        <v/>
      </c>
      <c r="Y530" s="685">
        <f>'General price list'!$AB533</f>
        <v>0</v>
      </c>
      <c r="Z530" t="str">
        <f>IFERROR(X530*VLOOKUP(C530,'General price list'!C:I,7,FALSE),"")</f>
        <v/>
      </c>
      <c r="AA530" t="str">
        <f>IF(X530&lt;&gt;"",VLOOKUP(C530,'General price list'!C533:AN1711,MATCH("HM",Tabulka1[[#Headers],[KÓD]:[NEQ]],0),FALSE),"")</f>
        <v/>
      </c>
    </row>
    <row r="531" spans="1:27">
      <c r="A531">
        <f>COUNTIF($W$22:W531,1)</f>
        <v>0</v>
      </c>
      <c r="B531">
        <v>531</v>
      </c>
      <c r="C531" s="684" t="s">
        <v>2723</v>
      </c>
      <c r="W531" t="str">
        <f t="shared" si="14"/>
        <v/>
      </c>
      <c r="X531" s="185" t="str">
        <f t="shared" si="15"/>
        <v/>
      </c>
      <c r="Y531" s="685">
        <f>'General price list'!$AB534</f>
        <v>0</v>
      </c>
      <c r="Z531" t="str">
        <f>IFERROR(X531*VLOOKUP(C531,'General price list'!C:I,7,FALSE),"")</f>
        <v/>
      </c>
      <c r="AA531" t="str">
        <f>IF(X531&lt;&gt;"",VLOOKUP(C531,'General price list'!C534:AN1712,MATCH("HM",Tabulka1[[#Headers],[KÓD]:[NEQ]],0),FALSE),"")</f>
        <v/>
      </c>
    </row>
    <row r="532" spans="1:27">
      <c r="A532">
        <f>COUNTIF($W$22:W532,1)</f>
        <v>0</v>
      </c>
      <c r="B532">
        <v>532</v>
      </c>
      <c r="C532" s="684" t="s">
        <v>2724</v>
      </c>
      <c r="W532" t="str">
        <f t="shared" si="14"/>
        <v/>
      </c>
      <c r="X532" s="185" t="str">
        <f t="shared" si="15"/>
        <v/>
      </c>
      <c r="Y532" s="685">
        <f>'General price list'!$AB535</f>
        <v>0</v>
      </c>
      <c r="Z532" t="str">
        <f>IFERROR(X532*VLOOKUP(C532,'General price list'!C:I,7,FALSE),"")</f>
        <v/>
      </c>
      <c r="AA532" t="str">
        <f>IF(X532&lt;&gt;"",VLOOKUP(C532,'General price list'!C535:AN1713,MATCH("HM",Tabulka1[[#Headers],[KÓD]:[NEQ]],0),FALSE),"")</f>
        <v/>
      </c>
    </row>
    <row r="533" spans="1:27">
      <c r="A533">
        <f>COUNTIF($W$22:W533,1)</f>
        <v>0</v>
      </c>
      <c r="B533">
        <v>533</v>
      </c>
      <c r="W533" t="str">
        <f t="shared" si="14"/>
        <v/>
      </c>
      <c r="X533" s="185" t="str">
        <f t="shared" si="15"/>
        <v/>
      </c>
      <c r="Y533" s="685">
        <f>'General price list'!$AB536</f>
        <v>0</v>
      </c>
      <c r="Z533" t="str">
        <f>IFERROR(X533*VLOOKUP(C533,'General price list'!C:I,7,FALSE),"")</f>
        <v/>
      </c>
      <c r="AA533" t="str">
        <f>IF(X533&lt;&gt;"",VLOOKUP(C533,'General price list'!C536:AN1714,MATCH("HM",Tabulka1[[#Headers],[KÓD]:[NEQ]],0),FALSE),"")</f>
        <v/>
      </c>
    </row>
    <row r="534" spans="1:27">
      <c r="A534">
        <f>COUNTIF($W$22:W534,1)</f>
        <v>0</v>
      </c>
      <c r="B534">
        <v>534</v>
      </c>
      <c r="C534" s="684" t="s">
        <v>1279</v>
      </c>
      <c r="W534" t="str">
        <f t="shared" si="14"/>
        <v/>
      </c>
      <c r="X534" s="185" t="str">
        <f t="shared" si="15"/>
        <v/>
      </c>
      <c r="Y534" s="685">
        <f>'General price list'!$AB537</f>
        <v>0</v>
      </c>
      <c r="Z534" t="str">
        <f>IFERROR(X534*VLOOKUP(C534,'General price list'!C:I,7,FALSE),"")</f>
        <v/>
      </c>
      <c r="AA534" t="str">
        <f>IF(X534&lt;&gt;"",VLOOKUP(C534,'General price list'!C537:AN1715,MATCH("HM",Tabulka1[[#Headers],[KÓD]:[NEQ]],0),FALSE),"")</f>
        <v/>
      </c>
    </row>
    <row r="535" spans="1:27">
      <c r="A535">
        <f>COUNTIF($W$22:W535,1)</f>
        <v>0</v>
      </c>
      <c r="B535">
        <v>535</v>
      </c>
      <c r="C535" s="684" t="s">
        <v>1282</v>
      </c>
      <c r="W535" t="str">
        <f t="shared" ref="W535:W598" si="16">IF(Y535+1=1,"",1)</f>
        <v/>
      </c>
      <c r="X535" s="185" t="str">
        <f t="shared" si="15"/>
        <v/>
      </c>
      <c r="Y535" s="685">
        <f>'General price list'!$AB538</f>
        <v>0</v>
      </c>
      <c r="Z535" t="str">
        <f>IFERROR(X535*VLOOKUP(C535,'General price list'!C:I,7,FALSE),"")</f>
        <v/>
      </c>
      <c r="AA535" t="str">
        <f>IF(X535&lt;&gt;"",VLOOKUP(C535,'General price list'!C538:AN1716,MATCH("HM",Tabulka1[[#Headers],[KÓD]:[NEQ]],0),FALSE),"")</f>
        <v/>
      </c>
    </row>
    <row r="536" spans="1:27">
      <c r="A536">
        <f>COUNTIF($W$22:W536,1)</f>
        <v>0</v>
      </c>
      <c r="B536">
        <v>536</v>
      </c>
      <c r="C536" s="684" t="s">
        <v>1284</v>
      </c>
      <c r="W536" t="str">
        <f t="shared" si="16"/>
        <v/>
      </c>
      <c r="X536" s="185" t="str">
        <f t="shared" ref="X536:X599" si="17">IF(A536&gt;$C$21,"",IF(Y536=0,"",Y536))</f>
        <v/>
      </c>
      <c r="Y536" s="685">
        <f>'General price list'!$AB539</f>
        <v>0</v>
      </c>
      <c r="Z536" t="str">
        <f>IFERROR(X536*VLOOKUP(C536,'General price list'!C:I,7,FALSE),"")</f>
        <v/>
      </c>
      <c r="AA536" t="str">
        <f>IF(X536&lt;&gt;"",VLOOKUP(C536,'General price list'!C539:AN1717,MATCH("HM",Tabulka1[[#Headers],[KÓD]:[NEQ]],0),FALSE),"")</f>
        <v/>
      </c>
    </row>
    <row r="537" spans="1:27">
      <c r="A537">
        <f>COUNTIF($W$22:W537,1)</f>
        <v>0</v>
      </c>
      <c r="B537">
        <v>537</v>
      </c>
      <c r="C537" s="684" t="s">
        <v>1286</v>
      </c>
      <c r="W537" t="str">
        <f t="shared" si="16"/>
        <v/>
      </c>
      <c r="X537" s="185" t="str">
        <f t="shared" si="17"/>
        <v/>
      </c>
      <c r="Y537" s="685">
        <f>'General price list'!$AB540</f>
        <v>0</v>
      </c>
      <c r="Z537" t="str">
        <f>IFERROR(X537*VLOOKUP(C537,'General price list'!C:I,7,FALSE),"")</f>
        <v/>
      </c>
      <c r="AA537" t="str">
        <f>IF(X537&lt;&gt;"",VLOOKUP(C537,'General price list'!C540:AN1718,MATCH("HM",Tabulka1[[#Headers],[KÓD]:[NEQ]],0),FALSE),"")</f>
        <v/>
      </c>
    </row>
    <row r="538" spans="1:27">
      <c r="A538">
        <f>COUNTIF($W$22:W538,1)</f>
        <v>0</v>
      </c>
      <c r="B538">
        <v>538</v>
      </c>
      <c r="C538" s="684" t="s">
        <v>1287</v>
      </c>
      <c r="W538" t="str">
        <f t="shared" si="16"/>
        <v/>
      </c>
      <c r="X538" s="185" t="str">
        <f t="shared" si="17"/>
        <v/>
      </c>
      <c r="Y538" s="685">
        <f>'General price list'!$AB541</f>
        <v>0</v>
      </c>
      <c r="Z538" t="str">
        <f>IFERROR(X538*VLOOKUP(C538,'General price list'!C:I,7,FALSE),"")</f>
        <v/>
      </c>
      <c r="AA538" t="str">
        <f>IF(X538&lt;&gt;"",VLOOKUP(C538,'General price list'!C541:AN1719,MATCH("HM",Tabulka1[[#Headers],[KÓD]:[NEQ]],0),FALSE),"")</f>
        <v/>
      </c>
    </row>
    <row r="539" spans="1:27">
      <c r="A539">
        <f>COUNTIF($W$22:W539,1)</f>
        <v>0</v>
      </c>
      <c r="B539">
        <v>539</v>
      </c>
      <c r="C539" s="684" t="s">
        <v>1288</v>
      </c>
      <c r="W539" t="str">
        <f t="shared" si="16"/>
        <v/>
      </c>
      <c r="X539" s="185" t="str">
        <f t="shared" si="17"/>
        <v/>
      </c>
      <c r="Y539" s="685">
        <f>'General price list'!$AB542</f>
        <v>0</v>
      </c>
      <c r="Z539" t="str">
        <f>IFERROR(X539*VLOOKUP(C539,'General price list'!C:I,7,FALSE),"")</f>
        <v/>
      </c>
      <c r="AA539" t="str">
        <f>IF(X539&lt;&gt;"",VLOOKUP(C539,'General price list'!C542:AN1720,MATCH("HM",Tabulka1[[#Headers],[KÓD]:[NEQ]],0),FALSE),"")</f>
        <v/>
      </c>
    </row>
    <row r="540" spans="1:27">
      <c r="A540">
        <f>COUNTIF($W$22:W540,1)</f>
        <v>0</v>
      </c>
      <c r="B540">
        <v>540</v>
      </c>
      <c r="C540" s="684" t="s">
        <v>1289</v>
      </c>
      <c r="W540" t="str">
        <f t="shared" si="16"/>
        <v/>
      </c>
      <c r="X540" s="185" t="str">
        <f t="shared" si="17"/>
        <v/>
      </c>
      <c r="Y540" s="685">
        <f>'General price list'!$AB543</f>
        <v>0</v>
      </c>
      <c r="Z540" t="str">
        <f>IFERROR(X540*VLOOKUP(C540,'General price list'!C:I,7,FALSE),"")</f>
        <v/>
      </c>
      <c r="AA540" t="str">
        <f>IF(X540&lt;&gt;"",VLOOKUP(C540,'General price list'!C543:AN1721,MATCH("HM",Tabulka1[[#Headers],[KÓD]:[NEQ]],0),FALSE),"")</f>
        <v/>
      </c>
    </row>
    <row r="541" spans="1:27">
      <c r="A541">
        <f>COUNTIF($W$22:W541,1)</f>
        <v>0</v>
      </c>
      <c r="B541">
        <v>541</v>
      </c>
      <c r="C541" s="684" t="s">
        <v>13475</v>
      </c>
      <c r="W541" t="str">
        <f t="shared" si="16"/>
        <v/>
      </c>
      <c r="X541" s="185" t="str">
        <f t="shared" si="17"/>
        <v/>
      </c>
      <c r="Y541" s="685">
        <f>'General price list'!$AB544</f>
        <v>0</v>
      </c>
      <c r="Z541" t="str">
        <f>IFERROR(X541*VLOOKUP(C541,'General price list'!C:I,7,FALSE),"")</f>
        <v/>
      </c>
      <c r="AA541" t="str">
        <f>IF(X541&lt;&gt;"",VLOOKUP(C541,'General price list'!C544:AN1722,MATCH("HM",Tabulka1[[#Headers],[KÓD]:[NEQ]],0),FALSE),"")</f>
        <v/>
      </c>
    </row>
    <row r="542" spans="1:27">
      <c r="A542">
        <f>COUNTIF($W$22:W542,1)</f>
        <v>0</v>
      </c>
      <c r="B542">
        <v>542</v>
      </c>
      <c r="W542" t="str">
        <f t="shared" si="16"/>
        <v/>
      </c>
      <c r="X542" s="185" t="str">
        <f t="shared" si="17"/>
        <v/>
      </c>
      <c r="Y542" s="685">
        <f>'General price list'!$AB545</f>
        <v>0</v>
      </c>
      <c r="Z542" t="str">
        <f>IFERROR(X542*VLOOKUP(C542,'General price list'!C:I,7,FALSE),"")</f>
        <v/>
      </c>
      <c r="AA542" t="str">
        <f>IF(X542&lt;&gt;"",VLOOKUP(C542,'General price list'!C545:AN1723,MATCH("HM",Tabulka1[[#Headers],[KÓD]:[NEQ]],0),FALSE),"")</f>
        <v/>
      </c>
    </row>
    <row r="543" spans="1:27">
      <c r="A543">
        <f>COUNTIF($W$22:W543,1)</f>
        <v>0</v>
      </c>
      <c r="B543">
        <v>543</v>
      </c>
      <c r="C543" s="684" t="s">
        <v>2725</v>
      </c>
      <c r="W543" t="str">
        <f t="shared" si="16"/>
        <v/>
      </c>
      <c r="X543" s="185" t="str">
        <f t="shared" si="17"/>
        <v/>
      </c>
      <c r="Y543" s="685">
        <f>'General price list'!$AB546</f>
        <v>0</v>
      </c>
      <c r="Z543" t="str">
        <f>IFERROR(X543*VLOOKUP(C543,'General price list'!C:I,7,FALSE),"")</f>
        <v/>
      </c>
      <c r="AA543" t="str">
        <f>IF(X543&lt;&gt;"",VLOOKUP(C543,'General price list'!C546:AN1724,MATCH("HM",Tabulka1[[#Headers],[KÓD]:[NEQ]],0),FALSE),"")</f>
        <v/>
      </c>
    </row>
    <row r="544" spans="1:27">
      <c r="A544">
        <f>COUNTIF($W$22:W544,1)</f>
        <v>0</v>
      </c>
      <c r="B544">
        <v>544</v>
      </c>
      <c r="C544" s="684" t="s">
        <v>2726</v>
      </c>
      <c r="W544" t="str">
        <f t="shared" si="16"/>
        <v/>
      </c>
      <c r="X544" s="185" t="str">
        <f t="shared" si="17"/>
        <v/>
      </c>
      <c r="Y544" s="685">
        <f>'General price list'!$AB547</f>
        <v>0</v>
      </c>
      <c r="Z544" t="str">
        <f>IFERROR(X544*VLOOKUP(C544,'General price list'!C:I,7,FALSE),"")</f>
        <v/>
      </c>
      <c r="AA544" t="str">
        <f>IF(X544&lt;&gt;"",VLOOKUP(C544,'General price list'!C547:AN1725,MATCH("HM",Tabulka1[[#Headers],[KÓD]:[NEQ]],0),FALSE),"")</f>
        <v/>
      </c>
    </row>
    <row r="545" spans="1:27">
      <c r="A545">
        <f>COUNTIF($W$22:W545,1)</f>
        <v>0</v>
      </c>
      <c r="B545">
        <v>545</v>
      </c>
      <c r="C545" s="684" t="s">
        <v>5239</v>
      </c>
      <c r="W545" t="str">
        <f t="shared" si="16"/>
        <v/>
      </c>
      <c r="X545" s="185" t="str">
        <f t="shared" si="17"/>
        <v/>
      </c>
      <c r="Y545" s="685">
        <f>'General price list'!$AB548</f>
        <v>0</v>
      </c>
      <c r="Z545" t="str">
        <f>IFERROR(X545*VLOOKUP(C545,'General price list'!C:I,7,FALSE),"")</f>
        <v/>
      </c>
      <c r="AA545" t="str">
        <f>IF(X545&lt;&gt;"",VLOOKUP(C545,'General price list'!C548:AN1726,MATCH("HM",Tabulka1[[#Headers],[KÓD]:[NEQ]],0),FALSE),"")</f>
        <v/>
      </c>
    </row>
    <row r="546" spans="1:27">
      <c r="A546">
        <f>COUNTIF($W$22:W546,1)</f>
        <v>0</v>
      </c>
      <c r="B546">
        <v>546</v>
      </c>
      <c r="C546" s="684" t="s">
        <v>5241</v>
      </c>
      <c r="W546" t="str">
        <f t="shared" si="16"/>
        <v/>
      </c>
      <c r="X546" s="185" t="str">
        <f t="shared" si="17"/>
        <v/>
      </c>
      <c r="Y546" s="685">
        <f>'General price list'!$AB549</f>
        <v>0</v>
      </c>
      <c r="Z546" t="str">
        <f>IFERROR(X546*VLOOKUP(C546,'General price list'!C:I,7,FALSE),"")</f>
        <v/>
      </c>
      <c r="AA546" t="str">
        <f>IF(X546&lt;&gt;"",VLOOKUP(C546,'General price list'!C549:AN1727,MATCH("HM",Tabulka1[[#Headers],[KÓD]:[NEQ]],0),FALSE),"")</f>
        <v/>
      </c>
    </row>
    <row r="547" spans="1:27">
      <c r="A547">
        <f>COUNTIF($W$22:W547,1)</f>
        <v>0</v>
      </c>
      <c r="B547">
        <v>547</v>
      </c>
      <c r="C547" s="684" t="s">
        <v>2727</v>
      </c>
      <c r="W547" t="str">
        <f t="shared" si="16"/>
        <v/>
      </c>
      <c r="X547" s="185" t="str">
        <f t="shared" si="17"/>
        <v/>
      </c>
      <c r="Y547" s="685">
        <f>'General price list'!$AB550</f>
        <v>0</v>
      </c>
      <c r="Z547" t="str">
        <f>IFERROR(X547*VLOOKUP(C547,'General price list'!C:I,7,FALSE),"")</f>
        <v/>
      </c>
      <c r="AA547" t="str">
        <f>IF(X547&lt;&gt;"",VLOOKUP(C547,'General price list'!C550:AN1728,MATCH("HM",Tabulka1[[#Headers],[KÓD]:[NEQ]],0),FALSE),"")</f>
        <v/>
      </c>
    </row>
    <row r="548" spans="1:27">
      <c r="A548">
        <f>COUNTIF($W$22:W548,1)</f>
        <v>0</v>
      </c>
      <c r="B548">
        <v>548</v>
      </c>
      <c r="C548" s="684" t="s">
        <v>2728</v>
      </c>
      <c r="W548" t="str">
        <f t="shared" si="16"/>
        <v/>
      </c>
      <c r="X548" s="185" t="str">
        <f t="shared" si="17"/>
        <v/>
      </c>
      <c r="Y548" s="685">
        <f>'General price list'!$AB551</f>
        <v>0</v>
      </c>
      <c r="Z548" t="str">
        <f>IFERROR(X548*VLOOKUP(C548,'General price list'!C:I,7,FALSE),"")</f>
        <v/>
      </c>
      <c r="AA548" t="str">
        <f>IF(X548&lt;&gt;"",VLOOKUP(C548,'General price list'!C551:AN1729,MATCH("HM",Tabulka1[[#Headers],[KÓD]:[NEQ]],0),FALSE),"")</f>
        <v/>
      </c>
    </row>
    <row r="549" spans="1:27">
      <c r="A549">
        <f>COUNTIF($W$22:W549,1)</f>
        <v>0</v>
      </c>
      <c r="B549">
        <v>549</v>
      </c>
      <c r="C549" s="684" t="s">
        <v>2729</v>
      </c>
      <c r="W549" t="str">
        <f t="shared" si="16"/>
        <v/>
      </c>
      <c r="X549" s="185" t="str">
        <f t="shared" si="17"/>
        <v/>
      </c>
      <c r="Y549" s="685">
        <f>'General price list'!$AB552</f>
        <v>0</v>
      </c>
      <c r="Z549" t="str">
        <f>IFERROR(X549*VLOOKUP(C549,'General price list'!C:I,7,FALSE),"")</f>
        <v/>
      </c>
      <c r="AA549" t="str">
        <f>IF(X549&lt;&gt;"",VLOOKUP(C549,'General price list'!C552:AN1730,MATCH("HM",Tabulka1[[#Headers],[KÓD]:[NEQ]],0),FALSE),"")</f>
        <v/>
      </c>
    </row>
    <row r="550" spans="1:27">
      <c r="A550">
        <f>COUNTIF($W$22:W550,1)</f>
        <v>0</v>
      </c>
      <c r="B550">
        <v>550</v>
      </c>
      <c r="W550" t="str">
        <f t="shared" si="16"/>
        <v/>
      </c>
      <c r="X550" s="185" t="str">
        <f t="shared" si="17"/>
        <v/>
      </c>
      <c r="Y550" s="685">
        <f>'General price list'!$AB553</f>
        <v>0</v>
      </c>
      <c r="Z550" t="str">
        <f>IFERROR(X550*VLOOKUP(C550,'General price list'!C:I,7,FALSE),"")</f>
        <v/>
      </c>
      <c r="AA550" t="str">
        <f>IF(X550&lt;&gt;"",VLOOKUP(C550,'General price list'!C553:AN1731,MATCH("HM",Tabulka1[[#Headers],[KÓD]:[NEQ]],0),FALSE),"")</f>
        <v/>
      </c>
    </row>
    <row r="551" spans="1:27">
      <c r="A551">
        <f>COUNTIF($W$22:W551,1)</f>
        <v>0</v>
      </c>
      <c r="B551">
        <v>551</v>
      </c>
      <c r="C551" s="684" t="s">
        <v>1292</v>
      </c>
      <c r="W551" t="str">
        <f t="shared" si="16"/>
        <v/>
      </c>
      <c r="X551" s="185" t="str">
        <f t="shared" si="17"/>
        <v/>
      </c>
      <c r="Y551" s="685">
        <f>'General price list'!$AB554</f>
        <v>0</v>
      </c>
      <c r="Z551" t="str">
        <f>IFERROR(X551*VLOOKUP(C551,'General price list'!C:I,7,FALSE),"")</f>
        <v/>
      </c>
      <c r="AA551" t="str">
        <f>IF(X551&lt;&gt;"",VLOOKUP(C551,'General price list'!C554:AN1732,MATCH("HM",Tabulka1[[#Headers],[KÓD]:[NEQ]],0),FALSE),"")</f>
        <v/>
      </c>
    </row>
    <row r="552" spans="1:27">
      <c r="A552">
        <f>COUNTIF($W$22:W552,1)</f>
        <v>0</v>
      </c>
      <c r="B552">
        <v>552</v>
      </c>
      <c r="C552" s="684" t="s">
        <v>1294</v>
      </c>
      <c r="W552" t="str">
        <f t="shared" si="16"/>
        <v/>
      </c>
      <c r="X552" s="185" t="str">
        <f t="shared" si="17"/>
        <v/>
      </c>
      <c r="Y552" s="685">
        <f>'General price list'!$AB555</f>
        <v>0</v>
      </c>
      <c r="Z552" t="str">
        <f>IFERROR(X552*VLOOKUP(C552,'General price list'!C:I,7,FALSE),"")</f>
        <v/>
      </c>
      <c r="AA552" t="str">
        <f>IF(X552&lt;&gt;"",VLOOKUP(C552,'General price list'!C555:AN1733,MATCH("HM",Tabulka1[[#Headers],[KÓD]:[NEQ]],0),FALSE),"")</f>
        <v/>
      </c>
    </row>
    <row r="553" spans="1:27">
      <c r="A553">
        <f>COUNTIF($W$22:W553,1)</f>
        <v>0</v>
      </c>
      <c r="B553">
        <v>553</v>
      </c>
      <c r="C553" s="684" t="s">
        <v>1296</v>
      </c>
      <c r="W553" t="str">
        <f t="shared" si="16"/>
        <v/>
      </c>
      <c r="X553" s="185" t="str">
        <f t="shared" si="17"/>
        <v/>
      </c>
      <c r="Y553" s="685">
        <f>'General price list'!$AB556</f>
        <v>0</v>
      </c>
      <c r="Z553" t="str">
        <f>IFERROR(X553*VLOOKUP(C553,'General price list'!C:I,7,FALSE),"")</f>
        <v/>
      </c>
      <c r="AA553" t="str">
        <f>IF(X553&lt;&gt;"",VLOOKUP(C553,'General price list'!C556:AN1734,MATCH("HM",Tabulka1[[#Headers],[KÓD]:[NEQ]],0),FALSE),"")</f>
        <v/>
      </c>
    </row>
    <row r="554" spans="1:27">
      <c r="A554">
        <f>COUNTIF($W$22:W554,1)</f>
        <v>0</v>
      </c>
      <c r="B554">
        <v>554</v>
      </c>
      <c r="C554" s="684" t="s">
        <v>1298</v>
      </c>
      <c r="W554" t="str">
        <f t="shared" si="16"/>
        <v/>
      </c>
      <c r="X554" s="185" t="str">
        <f t="shared" si="17"/>
        <v/>
      </c>
      <c r="Y554" s="685">
        <f>'General price list'!$AB557</f>
        <v>0</v>
      </c>
      <c r="Z554" t="str">
        <f>IFERROR(X554*VLOOKUP(C554,'General price list'!C:I,7,FALSE),"")</f>
        <v/>
      </c>
      <c r="AA554" t="str">
        <f>IF(X554&lt;&gt;"",VLOOKUP(C554,'General price list'!C557:AN1735,MATCH("HM",Tabulka1[[#Headers],[KÓD]:[NEQ]],0),FALSE),"")</f>
        <v/>
      </c>
    </row>
    <row r="555" spans="1:27">
      <c r="A555">
        <f>COUNTIF($W$22:W555,1)</f>
        <v>0</v>
      </c>
      <c r="B555">
        <v>555</v>
      </c>
      <c r="W555" t="str">
        <f t="shared" si="16"/>
        <v/>
      </c>
      <c r="X555" s="185" t="str">
        <f t="shared" si="17"/>
        <v/>
      </c>
      <c r="Y555" s="685">
        <f>'General price list'!$AB558</f>
        <v>0</v>
      </c>
      <c r="Z555" t="str">
        <f>IFERROR(X555*VLOOKUP(C555,'General price list'!C:I,7,FALSE),"")</f>
        <v/>
      </c>
      <c r="AA555" t="str">
        <f>IF(X555&lt;&gt;"",VLOOKUP(C555,'General price list'!C558:AN1736,MATCH("HM",Tabulka1[[#Headers],[KÓD]:[NEQ]],0),FALSE),"")</f>
        <v/>
      </c>
    </row>
    <row r="556" spans="1:27">
      <c r="A556">
        <f>COUNTIF($W$22:W556,1)</f>
        <v>0</v>
      </c>
      <c r="B556">
        <v>556</v>
      </c>
      <c r="C556" s="684" t="s">
        <v>1300</v>
      </c>
      <c r="W556" t="str">
        <f t="shared" si="16"/>
        <v/>
      </c>
      <c r="X556" s="185" t="str">
        <f t="shared" si="17"/>
        <v/>
      </c>
      <c r="Y556" s="685">
        <f>'General price list'!$AB559</f>
        <v>0</v>
      </c>
      <c r="Z556" t="str">
        <f>IFERROR(X556*VLOOKUP(C556,'General price list'!C:I,7,FALSE),"")</f>
        <v/>
      </c>
      <c r="AA556" t="str">
        <f>IF(X556&lt;&gt;"",VLOOKUP(C556,'General price list'!C559:AN1737,MATCH("HM",Tabulka1[[#Headers],[KÓD]:[NEQ]],0),FALSE),"")</f>
        <v/>
      </c>
    </row>
    <row r="557" spans="1:27">
      <c r="A557">
        <f>COUNTIF($W$22:W557,1)</f>
        <v>0</v>
      </c>
      <c r="B557">
        <v>557</v>
      </c>
      <c r="C557" s="684" t="s">
        <v>1301</v>
      </c>
      <c r="W557" t="str">
        <f t="shared" si="16"/>
        <v/>
      </c>
      <c r="X557" s="185" t="str">
        <f t="shared" si="17"/>
        <v/>
      </c>
      <c r="Y557" s="685">
        <f>'General price list'!$AB560</f>
        <v>0</v>
      </c>
      <c r="Z557" t="str">
        <f>IFERROR(X557*VLOOKUP(C557,'General price list'!C:I,7,FALSE),"")</f>
        <v/>
      </c>
      <c r="AA557" t="str">
        <f>IF(X557&lt;&gt;"",VLOOKUP(C557,'General price list'!C560:AN1738,MATCH("HM",Tabulka1[[#Headers],[KÓD]:[NEQ]],0),FALSE),"")</f>
        <v/>
      </c>
    </row>
    <row r="558" spans="1:27">
      <c r="A558">
        <f>COUNTIF($W$22:W558,1)</f>
        <v>0</v>
      </c>
      <c r="B558">
        <v>558</v>
      </c>
      <c r="C558" s="684" t="s">
        <v>1302</v>
      </c>
      <c r="W558" t="str">
        <f t="shared" si="16"/>
        <v/>
      </c>
      <c r="X558" s="185" t="str">
        <f t="shared" si="17"/>
        <v/>
      </c>
      <c r="Y558" s="685">
        <f>'General price list'!$AB561</f>
        <v>0</v>
      </c>
      <c r="Z558" t="str">
        <f>IFERROR(X558*VLOOKUP(C558,'General price list'!C:I,7,FALSE),"")</f>
        <v/>
      </c>
      <c r="AA558" t="str">
        <f>IF(X558&lt;&gt;"",VLOOKUP(C558,'General price list'!C561:AN1739,MATCH("HM",Tabulka1[[#Headers],[KÓD]:[NEQ]],0),FALSE),"")</f>
        <v/>
      </c>
    </row>
    <row r="559" spans="1:27">
      <c r="A559">
        <f>COUNTIF($W$22:W559,1)</f>
        <v>0</v>
      </c>
      <c r="B559">
        <v>559</v>
      </c>
      <c r="W559" t="str">
        <f t="shared" si="16"/>
        <v/>
      </c>
      <c r="X559" s="185" t="str">
        <f t="shared" si="17"/>
        <v/>
      </c>
      <c r="Y559" s="685">
        <f>'General price list'!$AB562</f>
        <v>0</v>
      </c>
      <c r="Z559" t="str">
        <f>IFERROR(X559*VLOOKUP(C559,'General price list'!C:I,7,FALSE),"")</f>
        <v/>
      </c>
      <c r="AA559" t="str">
        <f>IF(X559&lt;&gt;"",VLOOKUP(C559,'General price list'!C562:AN1740,MATCH("HM",Tabulka1[[#Headers],[KÓD]:[NEQ]],0),FALSE),"")</f>
        <v/>
      </c>
    </row>
    <row r="560" spans="1:27">
      <c r="A560">
        <f>COUNTIF($W$22:W560,1)</f>
        <v>0</v>
      </c>
      <c r="B560">
        <v>560</v>
      </c>
      <c r="C560" s="684" t="s">
        <v>2545</v>
      </c>
      <c r="W560" t="str">
        <f t="shared" si="16"/>
        <v/>
      </c>
      <c r="X560" s="185" t="str">
        <f t="shared" si="17"/>
        <v/>
      </c>
      <c r="Y560" s="685">
        <f>'General price list'!$AB563</f>
        <v>0</v>
      </c>
      <c r="Z560" t="str">
        <f>IFERROR(X560*VLOOKUP(C560,'General price list'!C:I,7,FALSE),"")</f>
        <v/>
      </c>
      <c r="AA560" t="str">
        <f>IF(X560&lt;&gt;"",VLOOKUP(C560,'General price list'!C563:AN1741,MATCH("HM",Tabulka1[[#Headers],[KÓD]:[NEQ]],0),FALSE),"")</f>
        <v/>
      </c>
    </row>
    <row r="561" spans="1:27">
      <c r="A561">
        <f>COUNTIF($W$22:W561,1)</f>
        <v>0</v>
      </c>
      <c r="B561">
        <v>561</v>
      </c>
      <c r="C561" s="684" t="s">
        <v>1303</v>
      </c>
      <c r="W561" t="str">
        <f t="shared" si="16"/>
        <v/>
      </c>
      <c r="X561" s="185" t="str">
        <f t="shared" si="17"/>
        <v/>
      </c>
      <c r="Y561" s="685">
        <f>'General price list'!$AB564</f>
        <v>0</v>
      </c>
      <c r="Z561" t="str">
        <f>IFERROR(X561*VLOOKUP(C561,'General price list'!C:I,7,FALSE),"")</f>
        <v/>
      </c>
      <c r="AA561" t="str">
        <f>IF(X561&lt;&gt;"",VLOOKUP(C561,'General price list'!C564:AN1742,MATCH("HM",Tabulka1[[#Headers],[KÓD]:[NEQ]],0),FALSE),"")</f>
        <v/>
      </c>
    </row>
    <row r="562" spans="1:27">
      <c r="A562">
        <f>COUNTIF($W$22:W562,1)</f>
        <v>0</v>
      </c>
      <c r="B562">
        <v>562</v>
      </c>
      <c r="C562" s="684" t="s">
        <v>1304</v>
      </c>
      <c r="W562" t="str">
        <f t="shared" si="16"/>
        <v/>
      </c>
      <c r="X562" s="185" t="str">
        <f t="shared" si="17"/>
        <v/>
      </c>
      <c r="Y562" s="685">
        <f>'General price list'!$AB565</f>
        <v>0</v>
      </c>
      <c r="Z562" t="str">
        <f>IFERROR(X562*VLOOKUP(C562,'General price list'!C:I,7,FALSE),"")</f>
        <v/>
      </c>
      <c r="AA562" t="str">
        <f>IF(X562&lt;&gt;"",VLOOKUP(C562,'General price list'!C565:AN1743,MATCH("HM",Tabulka1[[#Headers],[KÓD]:[NEQ]],0),FALSE),"")</f>
        <v/>
      </c>
    </row>
    <row r="563" spans="1:27">
      <c r="A563">
        <f>COUNTIF($W$22:W563,1)</f>
        <v>0</v>
      </c>
      <c r="B563">
        <v>563</v>
      </c>
      <c r="C563" s="684" t="s">
        <v>1306</v>
      </c>
      <c r="W563" t="str">
        <f t="shared" si="16"/>
        <v/>
      </c>
      <c r="X563" s="185" t="str">
        <f t="shared" si="17"/>
        <v/>
      </c>
      <c r="Y563" s="685">
        <f>'General price list'!$AB566</f>
        <v>0</v>
      </c>
      <c r="Z563" t="str">
        <f>IFERROR(X563*VLOOKUP(C563,'General price list'!C:I,7,FALSE),"")</f>
        <v/>
      </c>
      <c r="AA563" t="str">
        <f>IF(X563&lt;&gt;"",VLOOKUP(C563,'General price list'!C566:AN1744,MATCH("HM",Tabulka1[[#Headers],[KÓD]:[NEQ]],0),FALSE),"")</f>
        <v/>
      </c>
    </row>
    <row r="564" spans="1:27">
      <c r="A564">
        <f>COUNTIF($W$22:W564,1)</f>
        <v>0</v>
      </c>
      <c r="B564">
        <v>564</v>
      </c>
      <c r="C564" s="684" t="s">
        <v>1308</v>
      </c>
      <c r="W564" t="str">
        <f t="shared" si="16"/>
        <v/>
      </c>
      <c r="X564" s="185" t="str">
        <f t="shared" si="17"/>
        <v/>
      </c>
      <c r="Y564" s="685">
        <f>'General price list'!$AB567</f>
        <v>0</v>
      </c>
      <c r="Z564" t="str">
        <f>IFERROR(X564*VLOOKUP(C564,'General price list'!C:I,7,FALSE),"")</f>
        <v/>
      </c>
      <c r="AA564" t="str">
        <f>IF(X564&lt;&gt;"",VLOOKUP(C564,'General price list'!C567:AN1745,MATCH("HM",Tabulka1[[#Headers],[KÓD]:[NEQ]],0),FALSE),"")</f>
        <v/>
      </c>
    </row>
    <row r="565" spans="1:27">
      <c r="A565">
        <f>COUNTIF($W$22:W565,1)</f>
        <v>0</v>
      </c>
      <c r="B565">
        <v>565</v>
      </c>
      <c r="W565" t="str">
        <f t="shared" si="16"/>
        <v/>
      </c>
      <c r="X565" s="185" t="str">
        <f t="shared" si="17"/>
        <v/>
      </c>
      <c r="Y565" s="685">
        <f>'General price list'!$AB568</f>
        <v>0</v>
      </c>
      <c r="Z565" t="str">
        <f>IFERROR(X565*VLOOKUP(C565,'General price list'!C:I,7,FALSE),"")</f>
        <v/>
      </c>
      <c r="AA565" t="str">
        <f>IF(X565&lt;&gt;"",VLOOKUP(C565,'General price list'!C568:AN1746,MATCH("HM",Tabulka1[[#Headers],[KÓD]:[NEQ]],0),FALSE),"")</f>
        <v/>
      </c>
    </row>
    <row r="566" spans="1:27">
      <c r="A566">
        <f>COUNTIF($W$22:W566,1)</f>
        <v>0</v>
      </c>
      <c r="B566">
        <v>566</v>
      </c>
      <c r="C566" s="684" t="s">
        <v>2546</v>
      </c>
      <c r="W566" t="str">
        <f t="shared" si="16"/>
        <v/>
      </c>
      <c r="X566" s="185" t="str">
        <f t="shared" si="17"/>
        <v/>
      </c>
      <c r="Y566" s="685">
        <f>'General price list'!$AB569</f>
        <v>0</v>
      </c>
      <c r="Z566" t="str">
        <f>IFERROR(X566*VLOOKUP(C566,'General price list'!C:I,7,FALSE),"")</f>
        <v/>
      </c>
      <c r="AA566" t="str">
        <f>IF(X566&lt;&gt;"",VLOOKUP(C566,'General price list'!C569:AN1747,MATCH("HM",Tabulka1[[#Headers],[KÓD]:[NEQ]],0),FALSE),"")</f>
        <v/>
      </c>
    </row>
    <row r="567" spans="1:27">
      <c r="A567">
        <f>COUNTIF($W$22:W567,1)</f>
        <v>0</v>
      </c>
      <c r="B567">
        <v>567</v>
      </c>
      <c r="W567" t="str">
        <f t="shared" si="16"/>
        <v/>
      </c>
      <c r="X567" s="185" t="str">
        <f t="shared" si="17"/>
        <v/>
      </c>
      <c r="Y567" s="685">
        <f>'General price list'!$AB570</f>
        <v>0</v>
      </c>
      <c r="Z567" t="str">
        <f>IFERROR(X567*VLOOKUP(C567,'General price list'!C:I,7,FALSE),"")</f>
        <v/>
      </c>
      <c r="AA567" t="str">
        <f>IF(X567&lt;&gt;"",VLOOKUP(C567,'General price list'!C570:AN1748,MATCH("HM",Tabulka1[[#Headers],[KÓD]:[NEQ]],0),FALSE),"")</f>
        <v/>
      </c>
    </row>
    <row r="568" spans="1:27">
      <c r="A568">
        <f>COUNTIF($W$22:W568,1)</f>
        <v>0</v>
      </c>
      <c r="B568">
        <v>568</v>
      </c>
      <c r="C568" s="684" t="s">
        <v>1310</v>
      </c>
      <c r="W568" t="str">
        <f t="shared" si="16"/>
        <v/>
      </c>
      <c r="X568" s="185" t="str">
        <f t="shared" si="17"/>
        <v/>
      </c>
      <c r="Y568" s="685">
        <f>'General price list'!$AB571</f>
        <v>0</v>
      </c>
      <c r="Z568" t="str">
        <f>IFERROR(X568*VLOOKUP(C568,'General price list'!C:I,7,FALSE),"")</f>
        <v/>
      </c>
      <c r="AA568" t="str">
        <f>IF(X568&lt;&gt;"",VLOOKUP(C568,'General price list'!C571:AN1749,MATCH("HM",Tabulka1[[#Headers],[KÓD]:[NEQ]],0),FALSE),"")</f>
        <v/>
      </c>
    </row>
    <row r="569" spans="1:27">
      <c r="A569">
        <f>COUNTIF($W$22:W569,1)</f>
        <v>0</v>
      </c>
      <c r="B569">
        <v>569</v>
      </c>
      <c r="C569" s="684" t="s">
        <v>1313</v>
      </c>
      <c r="W569" t="str">
        <f t="shared" si="16"/>
        <v/>
      </c>
      <c r="X569" s="185" t="str">
        <f t="shared" si="17"/>
        <v/>
      </c>
      <c r="Y569" s="685">
        <f>'General price list'!$AB572</f>
        <v>0</v>
      </c>
      <c r="Z569" t="str">
        <f>IFERROR(X569*VLOOKUP(C569,'General price list'!C:I,7,FALSE),"")</f>
        <v/>
      </c>
      <c r="AA569" t="str">
        <f>IF(X569&lt;&gt;"",VLOOKUP(C569,'General price list'!C572:AN1750,MATCH("HM",Tabulka1[[#Headers],[KÓD]:[NEQ]],0),FALSE),"")</f>
        <v/>
      </c>
    </row>
    <row r="570" spans="1:27">
      <c r="A570">
        <f>COUNTIF($W$22:W570,1)</f>
        <v>0</v>
      </c>
      <c r="B570">
        <v>570</v>
      </c>
      <c r="C570" s="684" t="s">
        <v>1316</v>
      </c>
      <c r="W570" t="str">
        <f t="shared" si="16"/>
        <v/>
      </c>
      <c r="X570" s="185" t="str">
        <f t="shared" si="17"/>
        <v/>
      </c>
      <c r="Y570" s="685">
        <f>'General price list'!$AB573</f>
        <v>0</v>
      </c>
      <c r="Z570" t="str">
        <f>IFERROR(X570*VLOOKUP(C570,'General price list'!C:I,7,FALSE),"")</f>
        <v/>
      </c>
      <c r="AA570" t="str">
        <f>IF(X570&lt;&gt;"",VLOOKUP(C570,'General price list'!C573:AN1751,MATCH("HM",Tabulka1[[#Headers],[KÓD]:[NEQ]],0),FALSE),"")</f>
        <v/>
      </c>
    </row>
    <row r="571" spans="1:27">
      <c r="A571">
        <f>COUNTIF($W$22:W571,1)</f>
        <v>0</v>
      </c>
      <c r="B571">
        <v>571</v>
      </c>
      <c r="W571" t="str">
        <f t="shared" si="16"/>
        <v/>
      </c>
      <c r="X571" s="185" t="str">
        <f t="shared" si="17"/>
        <v/>
      </c>
      <c r="Y571" s="685">
        <f>'General price list'!$AB574</f>
        <v>0</v>
      </c>
      <c r="Z571" t="str">
        <f>IFERROR(X571*VLOOKUP(C571,'General price list'!C:I,7,FALSE),"")</f>
        <v/>
      </c>
      <c r="AA571" t="str">
        <f>IF(X571&lt;&gt;"",VLOOKUP(C571,'General price list'!C574:AN1752,MATCH("HM",Tabulka1[[#Headers],[KÓD]:[NEQ]],0),FALSE),"")</f>
        <v/>
      </c>
    </row>
    <row r="572" spans="1:27">
      <c r="A572">
        <f>COUNTIF($W$22:W572,1)</f>
        <v>0</v>
      </c>
      <c r="B572">
        <v>572</v>
      </c>
      <c r="C572" s="684" t="s">
        <v>1318</v>
      </c>
      <c r="W572" t="str">
        <f t="shared" si="16"/>
        <v/>
      </c>
      <c r="X572" s="185" t="str">
        <f t="shared" si="17"/>
        <v/>
      </c>
      <c r="Y572" s="685">
        <f>'General price list'!$AB575</f>
        <v>0</v>
      </c>
      <c r="Z572" t="str">
        <f>IFERROR(X572*VLOOKUP(C572,'General price list'!C:I,7,FALSE),"")</f>
        <v/>
      </c>
      <c r="AA572" t="str">
        <f>IF(X572&lt;&gt;"",VLOOKUP(C572,'General price list'!C575:AN1753,MATCH("HM",Tabulka1[[#Headers],[KÓD]:[NEQ]],0),FALSE),"")</f>
        <v/>
      </c>
    </row>
    <row r="573" spans="1:27">
      <c r="A573">
        <f>COUNTIF($W$22:W573,1)</f>
        <v>0</v>
      </c>
      <c r="B573">
        <v>573</v>
      </c>
      <c r="W573" t="str">
        <f t="shared" si="16"/>
        <v/>
      </c>
      <c r="X573" s="185" t="str">
        <f t="shared" si="17"/>
        <v/>
      </c>
      <c r="Y573" s="685">
        <f>'General price list'!$AB576</f>
        <v>0</v>
      </c>
      <c r="Z573" t="str">
        <f>IFERROR(X573*VLOOKUP(C573,'General price list'!C:I,7,FALSE),"")</f>
        <v/>
      </c>
      <c r="AA573" t="str">
        <f>IF(X573&lt;&gt;"",VLOOKUP(C573,'General price list'!C576:AN1754,MATCH("HM",Tabulka1[[#Headers],[KÓD]:[NEQ]],0),FALSE),"")</f>
        <v/>
      </c>
    </row>
    <row r="574" spans="1:27">
      <c r="A574">
        <f>COUNTIF($W$22:W574,1)</f>
        <v>0</v>
      </c>
      <c r="B574">
        <v>574</v>
      </c>
      <c r="C574" s="684" t="s">
        <v>1321</v>
      </c>
      <c r="W574" t="str">
        <f t="shared" si="16"/>
        <v/>
      </c>
      <c r="X574" s="185" t="str">
        <f t="shared" si="17"/>
        <v/>
      </c>
      <c r="Y574" s="685">
        <f>'General price list'!$AB577</f>
        <v>0</v>
      </c>
      <c r="Z574" t="str">
        <f>IFERROR(X574*VLOOKUP(C574,'General price list'!C:I,7,FALSE),"")</f>
        <v/>
      </c>
      <c r="AA574" t="str">
        <f>IF(X574&lt;&gt;"",VLOOKUP(C574,'General price list'!C577:AN1755,MATCH("HM",Tabulka1[[#Headers],[KÓD]:[NEQ]],0),FALSE),"")</f>
        <v/>
      </c>
    </row>
    <row r="575" spans="1:27">
      <c r="A575">
        <f>COUNTIF($W$22:W575,1)</f>
        <v>0</v>
      </c>
      <c r="B575">
        <v>575</v>
      </c>
      <c r="C575" s="684" t="s">
        <v>1323</v>
      </c>
      <c r="W575" t="str">
        <f t="shared" si="16"/>
        <v/>
      </c>
      <c r="X575" s="185" t="str">
        <f t="shared" si="17"/>
        <v/>
      </c>
      <c r="Y575" s="685">
        <f>'General price list'!$AB578</f>
        <v>0</v>
      </c>
      <c r="Z575" t="str">
        <f>IFERROR(X575*VLOOKUP(C575,'General price list'!C:I,7,FALSE),"")</f>
        <v/>
      </c>
      <c r="AA575" t="str">
        <f>IF(X575&lt;&gt;"",VLOOKUP(C575,'General price list'!C578:AN1756,MATCH("HM",Tabulka1[[#Headers],[KÓD]:[NEQ]],0),FALSE),"")</f>
        <v/>
      </c>
    </row>
    <row r="576" spans="1:27">
      <c r="A576">
        <f>COUNTIF($W$22:W576,1)</f>
        <v>0</v>
      </c>
      <c r="B576">
        <v>576</v>
      </c>
      <c r="C576" s="684" t="s">
        <v>1324</v>
      </c>
      <c r="W576" t="str">
        <f t="shared" si="16"/>
        <v/>
      </c>
      <c r="X576" s="185" t="str">
        <f t="shared" si="17"/>
        <v/>
      </c>
      <c r="Y576" s="685">
        <f>'General price list'!$AB579</f>
        <v>0</v>
      </c>
      <c r="Z576" t="str">
        <f>IFERROR(X576*VLOOKUP(C576,'General price list'!C:I,7,FALSE),"")</f>
        <v/>
      </c>
      <c r="AA576" t="str">
        <f>IF(X576&lt;&gt;"",VLOOKUP(C576,'General price list'!C579:AN1757,MATCH("HM",Tabulka1[[#Headers],[KÓD]:[NEQ]],0),FALSE),"")</f>
        <v/>
      </c>
    </row>
    <row r="577" spans="1:27">
      <c r="A577">
        <f>COUNTIF($W$22:W577,1)</f>
        <v>0</v>
      </c>
      <c r="B577">
        <v>577</v>
      </c>
      <c r="W577" t="str">
        <f t="shared" si="16"/>
        <v/>
      </c>
      <c r="X577" s="185" t="str">
        <f t="shared" si="17"/>
        <v/>
      </c>
      <c r="Y577" s="685">
        <f>'General price list'!$AB580</f>
        <v>0</v>
      </c>
      <c r="Z577" t="str">
        <f>IFERROR(X577*VLOOKUP(C577,'General price list'!C:I,7,FALSE),"")</f>
        <v/>
      </c>
      <c r="AA577" t="str">
        <f>IF(X577&lt;&gt;"",VLOOKUP(C577,'General price list'!C580:AN1758,MATCH("HM",Tabulka1[[#Headers],[KÓD]:[NEQ]],0),FALSE),"")</f>
        <v/>
      </c>
    </row>
    <row r="578" spans="1:27">
      <c r="A578">
        <f>COUNTIF($W$22:W578,1)</f>
        <v>0</v>
      </c>
      <c r="B578">
        <v>578</v>
      </c>
      <c r="C578" s="684" t="s">
        <v>1326</v>
      </c>
      <c r="W578" t="str">
        <f t="shared" si="16"/>
        <v/>
      </c>
      <c r="X578" s="185" t="str">
        <f t="shared" si="17"/>
        <v/>
      </c>
      <c r="Y578" s="685">
        <f>'General price list'!$AB581</f>
        <v>0</v>
      </c>
      <c r="Z578" t="str">
        <f>IFERROR(X578*VLOOKUP(C578,'General price list'!C:I,7,FALSE),"")</f>
        <v/>
      </c>
      <c r="AA578" t="str">
        <f>IF(X578&lt;&gt;"",VLOOKUP(C578,'General price list'!C581:AN1759,MATCH("HM",Tabulka1[[#Headers],[KÓD]:[NEQ]],0),FALSE),"")</f>
        <v/>
      </c>
    </row>
    <row r="579" spans="1:27">
      <c r="A579">
        <f>COUNTIF($W$22:W579,1)</f>
        <v>0</v>
      </c>
      <c r="B579">
        <v>579</v>
      </c>
      <c r="C579" s="684" t="s">
        <v>1327</v>
      </c>
      <c r="W579" t="str">
        <f t="shared" si="16"/>
        <v/>
      </c>
      <c r="X579" s="185" t="str">
        <f t="shared" si="17"/>
        <v/>
      </c>
      <c r="Y579" s="685">
        <f>'General price list'!$AB582</f>
        <v>0</v>
      </c>
      <c r="Z579" t="str">
        <f>IFERROR(X579*VLOOKUP(C579,'General price list'!C:I,7,FALSE),"")</f>
        <v/>
      </c>
      <c r="AA579" t="str">
        <f>IF(X579&lt;&gt;"",VLOOKUP(C579,'General price list'!C582:AN1760,MATCH("HM",Tabulka1[[#Headers],[KÓD]:[NEQ]],0),FALSE),"")</f>
        <v/>
      </c>
    </row>
    <row r="580" spans="1:27">
      <c r="A580">
        <f>COUNTIF($W$22:W580,1)</f>
        <v>0</v>
      </c>
      <c r="B580">
        <v>580</v>
      </c>
      <c r="C580" s="684" t="s">
        <v>1331</v>
      </c>
      <c r="W580" t="str">
        <f t="shared" si="16"/>
        <v/>
      </c>
      <c r="X580" s="185" t="str">
        <f t="shared" si="17"/>
        <v/>
      </c>
      <c r="Y580" s="685">
        <f>'General price list'!$AB583</f>
        <v>0</v>
      </c>
      <c r="Z580" t="str">
        <f>IFERROR(X580*VLOOKUP(C580,'General price list'!C:I,7,FALSE),"")</f>
        <v/>
      </c>
      <c r="AA580" t="str">
        <f>IF(X580&lt;&gt;"",VLOOKUP(C580,'General price list'!C583:AN1761,MATCH("HM",Tabulka1[[#Headers],[KÓD]:[NEQ]],0),FALSE),"")</f>
        <v/>
      </c>
    </row>
    <row r="581" spans="1:27">
      <c r="A581">
        <f>COUNTIF($W$22:W581,1)</f>
        <v>0</v>
      </c>
      <c r="B581">
        <v>581</v>
      </c>
      <c r="W581" t="str">
        <f t="shared" si="16"/>
        <v/>
      </c>
      <c r="X581" s="185" t="str">
        <f t="shared" si="17"/>
        <v/>
      </c>
      <c r="Y581" s="685">
        <f>'General price list'!$AB584</f>
        <v>0</v>
      </c>
      <c r="Z581" t="str">
        <f>IFERROR(X581*VLOOKUP(C581,'General price list'!C:I,7,FALSE),"")</f>
        <v/>
      </c>
      <c r="AA581" t="str">
        <f>IF(X581&lt;&gt;"",VLOOKUP(C581,'General price list'!C584:AN1762,MATCH("HM",Tabulka1[[#Headers],[KÓD]:[NEQ]],0),FALSE),"")</f>
        <v/>
      </c>
    </row>
    <row r="582" spans="1:27">
      <c r="A582">
        <f>COUNTIF($W$22:W582,1)</f>
        <v>0</v>
      </c>
      <c r="B582">
        <v>582</v>
      </c>
      <c r="C582" s="684" t="s">
        <v>1332</v>
      </c>
      <c r="W582" t="str">
        <f t="shared" si="16"/>
        <v/>
      </c>
      <c r="X582" s="185" t="str">
        <f t="shared" si="17"/>
        <v/>
      </c>
      <c r="Y582" s="685">
        <f>'General price list'!$AB585</f>
        <v>0</v>
      </c>
      <c r="Z582" t="str">
        <f>IFERROR(X582*VLOOKUP(C582,'General price list'!C:I,7,FALSE),"")</f>
        <v/>
      </c>
      <c r="AA582" t="str">
        <f>IF(X582&lt;&gt;"",VLOOKUP(C582,'General price list'!C585:AN1763,MATCH("HM",Tabulka1[[#Headers],[KÓD]:[NEQ]],0),FALSE),"")</f>
        <v/>
      </c>
    </row>
    <row r="583" spans="1:27">
      <c r="A583">
        <f>COUNTIF($W$22:W583,1)</f>
        <v>0</v>
      </c>
      <c r="B583">
        <v>583</v>
      </c>
      <c r="C583" s="684" t="s">
        <v>1333</v>
      </c>
      <c r="W583" t="str">
        <f t="shared" si="16"/>
        <v/>
      </c>
      <c r="X583" s="185" t="str">
        <f t="shared" si="17"/>
        <v/>
      </c>
      <c r="Y583" s="685">
        <f>'General price list'!$AB586</f>
        <v>0</v>
      </c>
      <c r="Z583" t="str">
        <f>IFERROR(X583*VLOOKUP(C583,'General price list'!C:I,7,FALSE),"")</f>
        <v/>
      </c>
      <c r="AA583" t="str">
        <f>IF(X583&lt;&gt;"",VLOOKUP(C583,'General price list'!C586:AN1764,MATCH("HM",Tabulka1[[#Headers],[KÓD]:[NEQ]],0),FALSE),"")</f>
        <v/>
      </c>
    </row>
    <row r="584" spans="1:27">
      <c r="A584">
        <f>COUNTIF($W$22:W584,1)</f>
        <v>0</v>
      </c>
      <c r="B584">
        <v>584</v>
      </c>
      <c r="C584" s="684" t="s">
        <v>1334</v>
      </c>
      <c r="W584" t="str">
        <f t="shared" si="16"/>
        <v/>
      </c>
      <c r="X584" s="185" t="str">
        <f t="shared" si="17"/>
        <v/>
      </c>
      <c r="Y584" s="685">
        <f>'General price list'!$AB587</f>
        <v>0</v>
      </c>
      <c r="Z584" t="str">
        <f>IFERROR(X584*VLOOKUP(C584,'General price list'!C:I,7,FALSE),"")</f>
        <v/>
      </c>
      <c r="AA584" t="str">
        <f>IF(X584&lt;&gt;"",VLOOKUP(C584,'General price list'!C587:AN1765,MATCH("HM",Tabulka1[[#Headers],[KÓD]:[NEQ]],0),FALSE),"")</f>
        <v/>
      </c>
    </row>
    <row r="585" spans="1:27">
      <c r="A585">
        <f>COUNTIF($W$22:W585,1)</f>
        <v>0</v>
      </c>
      <c r="B585">
        <v>585</v>
      </c>
      <c r="W585" t="str">
        <f t="shared" si="16"/>
        <v/>
      </c>
      <c r="X585" s="185" t="str">
        <f t="shared" si="17"/>
        <v/>
      </c>
      <c r="Y585" s="685">
        <f>'General price list'!$AB588</f>
        <v>0</v>
      </c>
      <c r="Z585" t="str">
        <f>IFERROR(X585*VLOOKUP(C585,'General price list'!C:I,7,FALSE),"")</f>
        <v/>
      </c>
      <c r="AA585" t="str">
        <f>IF(X585&lt;&gt;"",VLOOKUP(C585,'General price list'!C588:AN1766,MATCH("HM",Tabulka1[[#Headers],[KÓD]:[NEQ]],0),FALSE),"")</f>
        <v/>
      </c>
    </row>
    <row r="586" spans="1:27">
      <c r="A586">
        <f>COUNTIF($W$22:W586,1)</f>
        <v>0</v>
      </c>
      <c r="B586">
        <v>586</v>
      </c>
      <c r="C586" s="684" t="s">
        <v>2547</v>
      </c>
      <c r="W586" t="str">
        <f t="shared" si="16"/>
        <v/>
      </c>
      <c r="X586" s="185" t="str">
        <f t="shared" si="17"/>
        <v/>
      </c>
      <c r="Y586" s="685">
        <f>'General price list'!$AB589</f>
        <v>0</v>
      </c>
      <c r="Z586" t="str">
        <f>IFERROR(X586*VLOOKUP(C586,'General price list'!C:I,7,FALSE),"")</f>
        <v/>
      </c>
      <c r="AA586" t="str">
        <f>IF(X586&lt;&gt;"",VLOOKUP(C586,'General price list'!C589:AN1767,MATCH("HM",Tabulka1[[#Headers],[KÓD]:[NEQ]],0),FALSE),"")</f>
        <v/>
      </c>
    </row>
    <row r="587" spans="1:27">
      <c r="A587">
        <f>COUNTIF($W$22:W587,1)</f>
        <v>0</v>
      </c>
      <c r="B587">
        <v>587</v>
      </c>
      <c r="C587" s="684" t="s">
        <v>1339</v>
      </c>
      <c r="W587" t="str">
        <f t="shared" si="16"/>
        <v/>
      </c>
      <c r="X587" s="185" t="str">
        <f t="shared" si="17"/>
        <v/>
      </c>
      <c r="Y587" s="685">
        <f>'General price list'!$AB590</f>
        <v>0</v>
      </c>
      <c r="Z587" t="str">
        <f>IFERROR(X587*VLOOKUP(C587,'General price list'!C:I,7,FALSE),"")</f>
        <v/>
      </c>
      <c r="AA587" t="str">
        <f>IF(X587&lt;&gt;"",VLOOKUP(C587,'General price list'!C590:AN1768,MATCH("HM",Tabulka1[[#Headers],[KÓD]:[NEQ]],0),FALSE),"")</f>
        <v/>
      </c>
    </row>
    <row r="588" spans="1:27">
      <c r="A588">
        <f>COUNTIF($W$22:W588,1)</f>
        <v>0</v>
      </c>
      <c r="B588">
        <v>588</v>
      </c>
      <c r="C588" s="684" t="s">
        <v>1341</v>
      </c>
      <c r="W588" t="str">
        <f t="shared" si="16"/>
        <v/>
      </c>
      <c r="X588" s="185" t="str">
        <f t="shared" si="17"/>
        <v/>
      </c>
      <c r="Y588" s="685">
        <f>'General price list'!$AB591</f>
        <v>0</v>
      </c>
      <c r="Z588" t="str">
        <f>IFERROR(X588*VLOOKUP(C588,'General price list'!C:I,7,FALSE),"")</f>
        <v/>
      </c>
      <c r="AA588" t="str">
        <f>IF(X588&lt;&gt;"",VLOOKUP(C588,'General price list'!C591:AN1769,MATCH("HM",Tabulka1[[#Headers],[KÓD]:[NEQ]],0),FALSE),"")</f>
        <v/>
      </c>
    </row>
    <row r="589" spans="1:27">
      <c r="A589">
        <f>COUNTIF($W$22:W589,1)</f>
        <v>0</v>
      </c>
      <c r="B589">
        <v>589</v>
      </c>
      <c r="W589" t="str">
        <f t="shared" si="16"/>
        <v/>
      </c>
      <c r="X589" s="185" t="str">
        <f t="shared" si="17"/>
        <v/>
      </c>
      <c r="Y589" s="685">
        <f>'General price list'!$AB592</f>
        <v>0</v>
      </c>
      <c r="Z589" t="str">
        <f>IFERROR(X589*VLOOKUP(C589,'General price list'!C:I,7,FALSE),"")</f>
        <v/>
      </c>
      <c r="AA589" t="str">
        <f>IF(X589&lt;&gt;"",VLOOKUP(C589,'General price list'!C592:AN1770,MATCH("HM",Tabulka1[[#Headers],[KÓD]:[NEQ]],0),FALSE),"")</f>
        <v/>
      </c>
    </row>
    <row r="590" spans="1:27">
      <c r="A590">
        <f>COUNTIF($W$22:W590,1)</f>
        <v>0</v>
      </c>
      <c r="B590">
        <v>590</v>
      </c>
      <c r="C590" s="684" t="s">
        <v>2549</v>
      </c>
      <c r="W590" t="str">
        <f t="shared" si="16"/>
        <v/>
      </c>
      <c r="X590" s="185" t="str">
        <f t="shared" si="17"/>
        <v/>
      </c>
      <c r="Y590" s="685">
        <f>'General price list'!$AB593</f>
        <v>0</v>
      </c>
      <c r="Z590" t="str">
        <f>IFERROR(X590*VLOOKUP(C590,'General price list'!C:I,7,FALSE),"")</f>
        <v/>
      </c>
      <c r="AA590" t="str">
        <f>IF(X590&lt;&gt;"",VLOOKUP(C590,'General price list'!C593:AN1771,MATCH("HM",Tabulka1[[#Headers],[KÓD]:[NEQ]],0),FALSE),"")</f>
        <v/>
      </c>
    </row>
    <row r="591" spans="1:27">
      <c r="A591">
        <f>COUNTIF($W$22:W591,1)</f>
        <v>0</v>
      </c>
      <c r="B591">
        <v>591</v>
      </c>
      <c r="W591" t="str">
        <f t="shared" si="16"/>
        <v/>
      </c>
      <c r="X591" s="185" t="str">
        <f t="shared" si="17"/>
        <v/>
      </c>
      <c r="Y591" s="685">
        <f>'General price list'!$AB594</f>
        <v>0</v>
      </c>
      <c r="Z591" t="str">
        <f>IFERROR(X591*VLOOKUP(C591,'General price list'!C:I,7,FALSE),"")</f>
        <v/>
      </c>
      <c r="AA591" t="str">
        <f>IF(X591&lt;&gt;"",VLOOKUP(C591,'General price list'!C594:AN1772,MATCH("HM",Tabulka1[[#Headers],[KÓD]:[NEQ]],0),FALSE),"")</f>
        <v/>
      </c>
    </row>
    <row r="592" spans="1:27">
      <c r="A592">
        <f>COUNTIF($W$22:W592,1)</f>
        <v>0</v>
      </c>
      <c r="B592">
        <v>592</v>
      </c>
      <c r="C592" s="684" t="s">
        <v>1346</v>
      </c>
      <c r="W592" t="str">
        <f t="shared" si="16"/>
        <v/>
      </c>
      <c r="X592" s="185" t="str">
        <f t="shared" si="17"/>
        <v/>
      </c>
      <c r="Y592" s="685">
        <f>'General price list'!$AB595</f>
        <v>0</v>
      </c>
      <c r="Z592" t="str">
        <f>IFERROR(X592*VLOOKUP(C592,'General price list'!C:I,7,FALSE),"")</f>
        <v/>
      </c>
      <c r="AA592" t="str">
        <f>IF(X592&lt;&gt;"",VLOOKUP(C592,'General price list'!C595:AN1773,MATCH("HM",Tabulka1[[#Headers],[KÓD]:[NEQ]],0),FALSE),"")</f>
        <v/>
      </c>
    </row>
    <row r="593" spans="1:27">
      <c r="A593">
        <f>COUNTIF($W$22:W593,1)</f>
        <v>0</v>
      </c>
      <c r="B593">
        <v>593</v>
      </c>
      <c r="C593" s="684" t="s">
        <v>1348</v>
      </c>
      <c r="W593" t="str">
        <f t="shared" si="16"/>
        <v/>
      </c>
      <c r="X593" s="185" t="str">
        <f t="shared" si="17"/>
        <v/>
      </c>
      <c r="Y593" s="685">
        <f>'General price list'!$AB596</f>
        <v>0</v>
      </c>
      <c r="Z593" t="str">
        <f>IFERROR(X593*VLOOKUP(C593,'General price list'!C:I,7,FALSE),"")</f>
        <v/>
      </c>
      <c r="AA593" t="str">
        <f>IF(X593&lt;&gt;"",VLOOKUP(C593,'General price list'!C596:AN1774,MATCH("HM",Tabulka1[[#Headers],[KÓD]:[NEQ]],0),FALSE),"")</f>
        <v/>
      </c>
    </row>
    <row r="594" spans="1:27">
      <c r="A594">
        <f>COUNTIF($W$22:W594,1)</f>
        <v>0</v>
      </c>
      <c r="B594">
        <v>594</v>
      </c>
      <c r="C594" s="684" t="s">
        <v>1353</v>
      </c>
      <c r="W594" t="str">
        <f t="shared" si="16"/>
        <v/>
      </c>
      <c r="X594" s="185" t="str">
        <f t="shared" si="17"/>
        <v/>
      </c>
      <c r="Y594" s="685">
        <f>'General price list'!$AB597</f>
        <v>0</v>
      </c>
      <c r="Z594" t="str">
        <f>IFERROR(X594*VLOOKUP(C594,'General price list'!C:I,7,FALSE),"")</f>
        <v/>
      </c>
      <c r="AA594" t="str">
        <f>IF(X594&lt;&gt;"",VLOOKUP(C594,'General price list'!C597:AN1775,MATCH("HM",Tabulka1[[#Headers],[KÓD]:[NEQ]],0),FALSE),"")</f>
        <v/>
      </c>
    </row>
    <row r="595" spans="1:27">
      <c r="A595">
        <f>COUNTIF($W$22:W595,1)</f>
        <v>0</v>
      </c>
      <c r="B595">
        <v>595</v>
      </c>
      <c r="C595" s="684" t="s">
        <v>1355</v>
      </c>
      <c r="W595" t="str">
        <f t="shared" si="16"/>
        <v/>
      </c>
      <c r="X595" s="185" t="str">
        <f t="shared" si="17"/>
        <v/>
      </c>
      <c r="Y595" s="685">
        <f>'General price list'!$AB598</f>
        <v>0</v>
      </c>
      <c r="Z595" t="str">
        <f>IFERROR(X595*VLOOKUP(C595,'General price list'!C:I,7,FALSE),"")</f>
        <v/>
      </c>
      <c r="AA595" t="str">
        <f>IF(X595&lt;&gt;"",VLOOKUP(C595,'General price list'!C598:AN1776,MATCH("HM",Tabulka1[[#Headers],[KÓD]:[NEQ]],0),FALSE),"")</f>
        <v/>
      </c>
    </row>
    <row r="596" spans="1:27">
      <c r="A596">
        <f>COUNTIF($W$22:W596,1)</f>
        <v>0</v>
      </c>
      <c r="B596">
        <v>596</v>
      </c>
      <c r="W596" t="str">
        <f t="shared" si="16"/>
        <v/>
      </c>
      <c r="X596" s="185" t="str">
        <f t="shared" si="17"/>
        <v/>
      </c>
      <c r="Y596" s="685">
        <f>'General price list'!$AB599</f>
        <v>0</v>
      </c>
      <c r="Z596" t="str">
        <f>IFERROR(X596*VLOOKUP(C596,'General price list'!C:I,7,FALSE),"")</f>
        <v/>
      </c>
      <c r="AA596" t="str">
        <f>IF(X596&lt;&gt;"",VLOOKUP(C596,'General price list'!C599:AN1777,MATCH("HM",Tabulka1[[#Headers],[KÓD]:[NEQ]],0),FALSE),"")</f>
        <v/>
      </c>
    </row>
    <row r="597" spans="1:27">
      <c r="A597">
        <f>COUNTIF($W$22:W597,1)</f>
        <v>0</v>
      </c>
      <c r="B597">
        <v>597</v>
      </c>
      <c r="C597" s="684" t="s">
        <v>1360</v>
      </c>
      <c r="W597" t="str">
        <f t="shared" si="16"/>
        <v/>
      </c>
      <c r="X597" s="185" t="str">
        <f t="shared" si="17"/>
        <v/>
      </c>
      <c r="Y597" s="685">
        <f>'General price list'!$AB600</f>
        <v>0</v>
      </c>
      <c r="Z597" t="str">
        <f>IFERROR(X597*VLOOKUP(C597,'General price list'!C:I,7,FALSE),"")</f>
        <v/>
      </c>
      <c r="AA597" t="str">
        <f>IF(X597&lt;&gt;"",VLOOKUP(C597,'General price list'!C600:AN1778,MATCH("HM",Tabulka1[[#Headers],[KÓD]:[NEQ]],0),FALSE),"")</f>
        <v/>
      </c>
    </row>
    <row r="598" spans="1:27">
      <c r="A598">
        <f>COUNTIF($W$22:W598,1)</f>
        <v>0</v>
      </c>
      <c r="B598">
        <v>598</v>
      </c>
      <c r="C598" s="684" t="s">
        <v>1365</v>
      </c>
      <c r="W598" t="str">
        <f t="shared" si="16"/>
        <v/>
      </c>
      <c r="X598" s="185" t="str">
        <f t="shared" si="17"/>
        <v/>
      </c>
      <c r="Y598" s="685">
        <f>'General price list'!$AB601</f>
        <v>0</v>
      </c>
      <c r="Z598" t="str">
        <f>IFERROR(X598*VLOOKUP(C598,'General price list'!C:I,7,FALSE),"")</f>
        <v/>
      </c>
      <c r="AA598" t="str">
        <f>IF(X598&lt;&gt;"",VLOOKUP(C598,'General price list'!C601:AN1779,MATCH("HM",Tabulka1[[#Headers],[KÓD]:[NEQ]],0),FALSE),"")</f>
        <v/>
      </c>
    </row>
    <row r="599" spans="1:27">
      <c r="A599">
        <f>COUNTIF($W$22:W599,1)</f>
        <v>0</v>
      </c>
      <c r="B599">
        <v>599</v>
      </c>
      <c r="W599" t="str">
        <f t="shared" ref="W599:W662" si="18">IF(Y599+1=1,"",1)</f>
        <v/>
      </c>
      <c r="X599" s="185" t="str">
        <f t="shared" si="17"/>
        <v/>
      </c>
      <c r="Y599" s="685">
        <f>'General price list'!$AB602</f>
        <v>0</v>
      </c>
      <c r="Z599" t="str">
        <f>IFERROR(X599*VLOOKUP(C599,'General price list'!C:I,7,FALSE),"")</f>
        <v/>
      </c>
      <c r="AA599" t="str">
        <f>IF(X599&lt;&gt;"",VLOOKUP(C599,'General price list'!C602:AN1780,MATCH("HM",Tabulka1[[#Headers],[KÓD]:[NEQ]],0),FALSE),"")</f>
        <v/>
      </c>
    </row>
    <row r="600" spans="1:27">
      <c r="A600">
        <f>COUNTIF($W$22:W600,1)</f>
        <v>0</v>
      </c>
      <c r="B600">
        <v>600</v>
      </c>
      <c r="C600" s="684" t="s">
        <v>1367</v>
      </c>
      <c r="W600" t="str">
        <f t="shared" si="18"/>
        <v/>
      </c>
      <c r="X600" s="185" t="str">
        <f t="shared" ref="X600:X663" si="19">IF(A600&gt;$C$21,"",IF(Y600=0,"",Y600))</f>
        <v/>
      </c>
      <c r="Y600" s="685">
        <f>'General price list'!$AB603</f>
        <v>0</v>
      </c>
      <c r="Z600" t="str">
        <f>IFERROR(X600*VLOOKUP(C600,'General price list'!C:I,7,FALSE),"")</f>
        <v/>
      </c>
      <c r="AA600" t="str">
        <f>IF(X600&lt;&gt;"",VLOOKUP(C600,'General price list'!C603:AN1781,MATCH("HM",Tabulka1[[#Headers],[KÓD]:[NEQ]],0),FALSE),"")</f>
        <v/>
      </c>
    </row>
    <row r="601" spans="1:27">
      <c r="A601">
        <f>COUNTIF($W$22:W601,1)</f>
        <v>0</v>
      </c>
      <c r="B601">
        <v>601</v>
      </c>
      <c r="C601" s="684" t="s">
        <v>5292</v>
      </c>
      <c r="W601" t="str">
        <f t="shared" si="18"/>
        <v/>
      </c>
      <c r="X601" s="185" t="str">
        <f t="shared" si="19"/>
        <v/>
      </c>
      <c r="Y601" s="685">
        <f>'General price list'!$AB604</f>
        <v>0</v>
      </c>
      <c r="Z601" t="str">
        <f>IFERROR(X601*VLOOKUP(C601,'General price list'!C:I,7,FALSE),"")</f>
        <v/>
      </c>
      <c r="AA601" t="str">
        <f>IF(X601&lt;&gt;"",VLOOKUP(C601,'General price list'!C604:AN1782,MATCH("HM",Tabulka1[[#Headers],[KÓD]:[NEQ]],0),FALSE),"")</f>
        <v/>
      </c>
    </row>
    <row r="602" spans="1:27">
      <c r="A602">
        <f>COUNTIF($W$22:W602,1)</f>
        <v>0</v>
      </c>
      <c r="B602">
        <v>602</v>
      </c>
      <c r="C602" s="684" t="s">
        <v>2550</v>
      </c>
      <c r="W602" t="str">
        <f t="shared" si="18"/>
        <v/>
      </c>
      <c r="X602" s="185" t="str">
        <f t="shared" si="19"/>
        <v/>
      </c>
      <c r="Y602" s="685">
        <f>'General price list'!$AB605</f>
        <v>0</v>
      </c>
      <c r="Z602" t="str">
        <f>IFERROR(X602*VLOOKUP(C602,'General price list'!C:I,7,FALSE),"")</f>
        <v/>
      </c>
      <c r="AA602" t="str">
        <f>IF(X602&lt;&gt;"",VLOOKUP(C602,'General price list'!C605:AN1783,MATCH("HM",Tabulka1[[#Headers],[KÓD]:[NEQ]],0),FALSE),"")</f>
        <v/>
      </c>
    </row>
    <row r="603" spans="1:27">
      <c r="A603">
        <f>COUNTIF($W$22:W603,1)</f>
        <v>0</v>
      </c>
      <c r="B603">
        <v>603</v>
      </c>
      <c r="C603" s="684" t="s">
        <v>2552</v>
      </c>
      <c r="W603" t="str">
        <f t="shared" si="18"/>
        <v/>
      </c>
      <c r="X603" s="185" t="str">
        <f t="shared" si="19"/>
        <v/>
      </c>
      <c r="Y603" s="685">
        <f>'General price list'!$AB606</f>
        <v>0</v>
      </c>
      <c r="Z603" t="str">
        <f>IFERROR(X603*VLOOKUP(C603,'General price list'!C:I,7,FALSE),"")</f>
        <v/>
      </c>
      <c r="AA603" t="str">
        <f>IF(X603&lt;&gt;"",VLOOKUP(C603,'General price list'!C606:AN1784,MATCH("HM",Tabulka1[[#Headers],[KÓD]:[NEQ]],0),FALSE),"")</f>
        <v/>
      </c>
    </row>
    <row r="604" spans="1:27">
      <c r="A604">
        <f>COUNTIF($W$22:W604,1)</f>
        <v>0</v>
      </c>
      <c r="B604">
        <v>604</v>
      </c>
      <c r="C604" s="684" t="s">
        <v>1369</v>
      </c>
      <c r="W604" t="str">
        <f t="shared" si="18"/>
        <v/>
      </c>
      <c r="X604" s="185" t="str">
        <f t="shared" si="19"/>
        <v/>
      </c>
      <c r="Y604" s="685">
        <f>'General price list'!$AB607</f>
        <v>0</v>
      </c>
      <c r="Z604" t="str">
        <f>IFERROR(X604*VLOOKUP(C604,'General price list'!C:I,7,FALSE),"")</f>
        <v/>
      </c>
      <c r="AA604" t="str">
        <f>IF(X604&lt;&gt;"",VLOOKUP(C604,'General price list'!C607:AN1785,MATCH("HM",Tabulka1[[#Headers],[KÓD]:[NEQ]],0),FALSE),"")</f>
        <v/>
      </c>
    </row>
    <row r="605" spans="1:27">
      <c r="A605">
        <f>COUNTIF($W$22:W605,1)</f>
        <v>0</v>
      </c>
      <c r="B605">
        <v>605</v>
      </c>
      <c r="W605" t="str">
        <f t="shared" si="18"/>
        <v/>
      </c>
      <c r="X605" s="185" t="str">
        <f t="shared" si="19"/>
        <v/>
      </c>
      <c r="Y605" s="685">
        <f>'General price list'!$AB608</f>
        <v>0</v>
      </c>
      <c r="Z605" t="str">
        <f>IFERROR(X605*VLOOKUP(C605,'General price list'!C:I,7,FALSE),"")</f>
        <v/>
      </c>
      <c r="AA605" t="str">
        <f>IF(X605&lt;&gt;"",VLOOKUP(C605,'General price list'!C608:AN1786,MATCH("HM",Tabulka1[[#Headers],[KÓD]:[NEQ]],0),FALSE),"")</f>
        <v/>
      </c>
    </row>
    <row r="606" spans="1:27">
      <c r="A606">
        <f>COUNTIF($W$22:W606,1)</f>
        <v>0</v>
      </c>
      <c r="B606">
        <v>606</v>
      </c>
      <c r="C606" s="684" t="s">
        <v>1371</v>
      </c>
      <c r="W606" t="str">
        <f t="shared" si="18"/>
        <v/>
      </c>
      <c r="X606" s="185" t="str">
        <f t="shared" si="19"/>
        <v/>
      </c>
      <c r="Y606" s="685">
        <f>'General price list'!$AB609</f>
        <v>0</v>
      </c>
      <c r="Z606" t="str">
        <f>IFERROR(X606*VLOOKUP(C606,'General price list'!C:I,7,FALSE),"")</f>
        <v/>
      </c>
      <c r="AA606" t="str">
        <f>IF(X606&lt;&gt;"",VLOOKUP(C606,'General price list'!C609:AN1787,MATCH("HM",Tabulka1[[#Headers],[KÓD]:[NEQ]],0),FALSE),"")</f>
        <v/>
      </c>
    </row>
    <row r="607" spans="1:27">
      <c r="A607">
        <f>COUNTIF($W$22:W607,1)</f>
        <v>0</v>
      </c>
      <c r="B607">
        <v>607</v>
      </c>
      <c r="C607" s="684" t="s">
        <v>1373</v>
      </c>
      <c r="W607" t="str">
        <f t="shared" si="18"/>
        <v/>
      </c>
      <c r="X607" s="185" t="str">
        <f t="shared" si="19"/>
        <v/>
      </c>
      <c r="Y607" s="685">
        <f>'General price list'!$AB610</f>
        <v>0</v>
      </c>
      <c r="Z607" t="str">
        <f>IFERROR(X607*VLOOKUP(C607,'General price list'!C:I,7,FALSE),"")</f>
        <v/>
      </c>
      <c r="AA607" t="str">
        <f>IF(X607&lt;&gt;"",VLOOKUP(C607,'General price list'!C610:AN1788,MATCH("HM",Tabulka1[[#Headers],[KÓD]:[NEQ]],0),FALSE),"")</f>
        <v/>
      </c>
    </row>
    <row r="608" spans="1:27">
      <c r="A608">
        <f>COUNTIF($W$22:W608,1)</f>
        <v>0</v>
      </c>
      <c r="B608">
        <v>608</v>
      </c>
      <c r="C608" s="684" t="s">
        <v>5293</v>
      </c>
      <c r="W608" t="str">
        <f t="shared" si="18"/>
        <v/>
      </c>
      <c r="X608" s="185" t="str">
        <f t="shared" si="19"/>
        <v/>
      </c>
      <c r="Y608" s="685">
        <f>'General price list'!$AB611</f>
        <v>0</v>
      </c>
      <c r="Z608" t="str">
        <f>IFERROR(X608*VLOOKUP(C608,'General price list'!C:I,7,FALSE),"")</f>
        <v/>
      </c>
      <c r="AA608" t="str">
        <f>IF(X608&lt;&gt;"",VLOOKUP(C608,'General price list'!C611:AN1789,MATCH("HM",Tabulka1[[#Headers],[KÓD]:[NEQ]],0),FALSE),"")</f>
        <v/>
      </c>
    </row>
    <row r="609" spans="1:27">
      <c r="A609">
        <f>COUNTIF($W$22:W609,1)</f>
        <v>0</v>
      </c>
      <c r="B609">
        <v>609</v>
      </c>
      <c r="C609" s="684" t="s">
        <v>2554</v>
      </c>
      <c r="W609" t="str">
        <f t="shared" si="18"/>
        <v/>
      </c>
      <c r="X609" s="185" t="str">
        <f t="shared" si="19"/>
        <v/>
      </c>
      <c r="Y609" s="685">
        <f>'General price list'!$AB612</f>
        <v>0</v>
      </c>
      <c r="Z609" t="str">
        <f>IFERROR(X609*VLOOKUP(C609,'General price list'!C:I,7,FALSE),"")</f>
        <v/>
      </c>
      <c r="AA609" t="str">
        <f>IF(X609&lt;&gt;"",VLOOKUP(C609,'General price list'!C612:AN1790,MATCH("HM",Tabulka1[[#Headers],[KÓD]:[NEQ]],0),FALSE),"")</f>
        <v/>
      </c>
    </row>
    <row r="610" spans="1:27">
      <c r="A610">
        <f>COUNTIF($W$22:W610,1)</f>
        <v>0</v>
      </c>
      <c r="B610">
        <v>610</v>
      </c>
      <c r="C610" s="684" t="s">
        <v>2555</v>
      </c>
      <c r="W610" t="str">
        <f t="shared" si="18"/>
        <v/>
      </c>
      <c r="X610" s="185" t="str">
        <f t="shared" si="19"/>
        <v/>
      </c>
      <c r="Y610" s="685">
        <f>'General price list'!$AB613</f>
        <v>0</v>
      </c>
      <c r="Z610" t="str">
        <f>IFERROR(X610*VLOOKUP(C610,'General price list'!C:I,7,FALSE),"")</f>
        <v/>
      </c>
      <c r="AA610" t="str">
        <f>IF(X610&lt;&gt;"",VLOOKUP(C610,'General price list'!C613:AN1791,MATCH("HM",Tabulka1[[#Headers],[KÓD]:[NEQ]],0),FALSE),"")</f>
        <v/>
      </c>
    </row>
    <row r="611" spans="1:27">
      <c r="A611">
        <f>COUNTIF($W$22:W611,1)</f>
        <v>0</v>
      </c>
      <c r="B611">
        <v>611</v>
      </c>
      <c r="C611" s="684" t="s">
        <v>1379</v>
      </c>
      <c r="W611" t="str">
        <f t="shared" si="18"/>
        <v/>
      </c>
      <c r="X611" s="185" t="str">
        <f t="shared" si="19"/>
        <v/>
      </c>
      <c r="Y611" s="685">
        <f>'General price list'!$AB614</f>
        <v>0</v>
      </c>
      <c r="Z611" t="str">
        <f>IFERROR(X611*VLOOKUP(C611,'General price list'!C:I,7,FALSE),"")</f>
        <v/>
      </c>
      <c r="AA611" t="str">
        <f>IF(X611&lt;&gt;"",VLOOKUP(C611,'General price list'!C614:AN1792,MATCH("HM",Tabulka1[[#Headers],[KÓD]:[NEQ]],0),FALSE),"")</f>
        <v/>
      </c>
    </row>
    <row r="612" spans="1:27">
      <c r="A612">
        <f>COUNTIF($W$22:W612,1)</f>
        <v>0</v>
      </c>
      <c r="B612">
        <v>612</v>
      </c>
      <c r="C612" s="684" t="s">
        <v>1381</v>
      </c>
      <c r="W612" t="str">
        <f t="shared" si="18"/>
        <v/>
      </c>
      <c r="X612" s="185" t="str">
        <f t="shared" si="19"/>
        <v/>
      </c>
      <c r="Y612" s="685">
        <f>'General price list'!$AB615</f>
        <v>0</v>
      </c>
      <c r="Z612" t="str">
        <f>IFERROR(X612*VLOOKUP(C612,'General price list'!C:I,7,FALSE),"")</f>
        <v/>
      </c>
      <c r="AA612" t="str">
        <f>IF(X612&lt;&gt;"",VLOOKUP(C612,'General price list'!C615:AN1793,MATCH("HM",Tabulka1[[#Headers],[KÓD]:[NEQ]],0),FALSE),"")</f>
        <v/>
      </c>
    </row>
    <row r="613" spans="1:27">
      <c r="A613">
        <f>COUNTIF($W$22:W613,1)</f>
        <v>0</v>
      </c>
      <c r="B613">
        <v>613</v>
      </c>
      <c r="W613" t="str">
        <f t="shared" si="18"/>
        <v/>
      </c>
      <c r="X613" s="185" t="str">
        <f t="shared" si="19"/>
        <v/>
      </c>
      <c r="Y613" s="685">
        <f>'General price list'!$AB616</f>
        <v>0</v>
      </c>
      <c r="Z613" t="str">
        <f>IFERROR(X613*VLOOKUP(C613,'General price list'!C:I,7,FALSE),"")</f>
        <v/>
      </c>
      <c r="AA613" t="str">
        <f>IF(X613&lt;&gt;"",VLOOKUP(C613,'General price list'!C616:AN1794,MATCH("HM",Tabulka1[[#Headers],[KÓD]:[NEQ]],0),FALSE),"")</f>
        <v/>
      </c>
    </row>
    <row r="614" spans="1:27">
      <c r="A614">
        <f>COUNTIF($W$22:W614,1)</f>
        <v>0</v>
      </c>
      <c r="B614">
        <v>614</v>
      </c>
      <c r="C614" s="684" t="s">
        <v>2730</v>
      </c>
      <c r="W614" t="str">
        <f t="shared" si="18"/>
        <v/>
      </c>
      <c r="X614" s="185" t="str">
        <f t="shared" si="19"/>
        <v/>
      </c>
      <c r="Y614" s="685">
        <f>'General price list'!$AB617</f>
        <v>0</v>
      </c>
      <c r="Z614" t="str">
        <f>IFERROR(X614*VLOOKUP(C614,'General price list'!C:I,7,FALSE),"")</f>
        <v/>
      </c>
      <c r="AA614" t="str">
        <f>IF(X614&lt;&gt;"",VLOOKUP(C614,'General price list'!C617:AN1795,MATCH("HM",Tabulka1[[#Headers],[KÓD]:[NEQ]],0),FALSE),"")</f>
        <v/>
      </c>
    </row>
    <row r="615" spans="1:27">
      <c r="A615">
        <f>COUNTIF($W$22:W615,1)</f>
        <v>0</v>
      </c>
      <c r="B615">
        <v>615</v>
      </c>
      <c r="C615" s="684" t="s">
        <v>2731</v>
      </c>
      <c r="W615" t="str">
        <f t="shared" si="18"/>
        <v/>
      </c>
      <c r="X615" s="185" t="str">
        <f t="shared" si="19"/>
        <v/>
      </c>
      <c r="Y615" s="685">
        <f>'General price list'!$AB618</f>
        <v>0</v>
      </c>
      <c r="Z615" t="str">
        <f>IFERROR(X615*VLOOKUP(C615,'General price list'!C:I,7,FALSE),"")</f>
        <v/>
      </c>
      <c r="AA615" t="str">
        <f>IF(X615&lt;&gt;"",VLOOKUP(C615,'General price list'!C618:AN1796,MATCH("HM",Tabulka1[[#Headers],[KÓD]:[NEQ]],0),FALSE),"")</f>
        <v/>
      </c>
    </row>
    <row r="616" spans="1:27">
      <c r="A616">
        <f>COUNTIF($W$22:W616,1)</f>
        <v>0</v>
      </c>
      <c r="B616">
        <v>616</v>
      </c>
      <c r="C616" s="684" t="s">
        <v>5302</v>
      </c>
      <c r="W616" t="str">
        <f t="shared" si="18"/>
        <v/>
      </c>
      <c r="X616" s="185" t="str">
        <f t="shared" si="19"/>
        <v/>
      </c>
      <c r="Y616" s="685">
        <f>'General price list'!$AB619</f>
        <v>0</v>
      </c>
      <c r="Z616" t="str">
        <f>IFERROR(X616*VLOOKUP(C616,'General price list'!C:I,7,FALSE),"")</f>
        <v/>
      </c>
      <c r="AA616" t="str">
        <f>IF(X616&lt;&gt;"",VLOOKUP(C616,'General price list'!C619:AN1797,MATCH("HM",Tabulka1[[#Headers],[KÓD]:[NEQ]],0),FALSE),"")</f>
        <v/>
      </c>
    </row>
    <row r="617" spans="1:27">
      <c r="A617">
        <f>COUNTIF($W$22:W617,1)</f>
        <v>0</v>
      </c>
      <c r="B617">
        <v>617</v>
      </c>
      <c r="C617" s="684" t="s">
        <v>2732</v>
      </c>
      <c r="W617" t="str">
        <f t="shared" si="18"/>
        <v/>
      </c>
      <c r="X617" s="185" t="str">
        <f t="shared" si="19"/>
        <v/>
      </c>
      <c r="Y617" s="685">
        <f>'General price list'!$AB620</f>
        <v>0</v>
      </c>
      <c r="Z617" t="str">
        <f>IFERROR(X617*VLOOKUP(C617,'General price list'!C:I,7,FALSE),"")</f>
        <v/>
      </c>
      <c r="AA617" t="str">
        <f>IF(X617&lt;&gt;"",VLOOKUP(C617,'General price list'!C620:AN1798,MATCH("HM",Tabulka1[[#Headers],[KÓD]:[NEQ]],0),FALSE),"")</f>
        <v/>
      </c>
    </row>
    <row r="618" spans="1:27">
      <c r="A618">
        <f>COUNTIF($W$22:W618,1)</f>
        <v>0</v>
      </c>
      <c r="B618">
        <v>618</v>
      </c>
      <c r="C618" s="684" t="s">
        <v>2733</v>
      </c>
      <c r="W618" t="str">
        <f t="shared" si="18"/>
        <v/>
      </c>
      <c r="X618" s="185" t="str">
        <f t="shared" si="19"/>
        <v/>
      </c>
      <c r="Y618" s="685">
        <f>'General price list'!$AB621</f>
        <v>0</v>
      </c>
      <c r="Z618" t="str">
        <f>IFERROR(X618*VLOOKUP(C618,'General price list'!C:I,7,FALSE),"")</f>
        <v/>
      </c>
      <c r="AA618" t="str">
        <f>IF(X618&lt;&gt;"",VLOOKUP(C618,'General price list'!C621:AN1799,MATCH("HM",Tabulka1[[#Headers],[KÓD]:[NEQ]],0),FALSE),"")</f>
        <v/>
      </c>
    </row>
    <row r="619" spans="1:27">
      <c r="A619">
        <f>COUNTIF($W$22:W619,1)</f>
        <v>0</v>
      </c>
      <c r="B619">
        <v>619</v>
      </c>
      <c r="C619" s="684" t="s">
        <v>5304</v>
      </c>
      <c r="W619" t="str">
        <f t="shared" si="18"/>
        <v/>
      </c>
      <c r="X619" s="185" t="str">
        <f t="shared" si="19"/>
        <v/>
      </c>
      <c r="Y619" s="685">
        <f>'General price list'!$AB622</f>
        <v>0</v>
      </c>
      <c r="Z619" t="str">
        <f>IFERROR(X619*VLOOKUP(C619,'General price list'!C:I,7,FALSE),"")</f>
        <v/>
      </c>
      <c r="AA619" t="str">
        <f>IF(X619&lt;&gt;"",VLOOKUP(C619,'General price list'!C622:AN1800,MATCH("HM",Tabulka1[[#Headers],[KÓD]:[NEQ]],0),FALSE),"")</f>
        <v/>
      </c>
    </row>
    <row r="620" spans="1:27">
      <c r="A620">
        <f>COUNTIF($W$22:W620,1)</f>
        <v>0</v>
      </c>
      <c r="B620">
        <v>620</v>
      </c>
      <c r="W620" t="str">
        <f t="shared" si="18"/>
        <v/>
      </c>
      <c r="X620" s="185" t="str">
        <f t="shared" si="19"/>
        <v/>
      </c>
      <c r="Y620" s="685">
        <f>'General price list'!$AB623</f>
        <v>0</v>
      </c>
      <c r="Z620" t="str">
        <f>IFERROR(X620*VLOOKUP(C620,'General price list'!C:I,7,FALSE),"")</f>
        <v/>
      </c>
      <c r="AA620" t="str">
        <f>IF(X620&lt;&gt;"",VLOOKUP(C620,'General price list'!C623:AN1801,MATCH("HM",Tabulka1[[#Headers],[KÓD]:[NEQ]],0),FALSE),"")</f>
        <v/>
      </c>
    </row>
    <row r="621" spans="1:27">
      <c r="A621">
        <f>COUNTIF($W$22:W621,1)</f>
        <v>0</v>
      </c>
      <c r="B621">
        <v>621</v>
      </c>
      <c r="C621" s="684" t="s">
        <v>1386</v>
      </c>
      <c r="W621" t="str">
        <f t="shared" si="18"/>
        <v/>
      </c>
      <c r="X621" s="185" t="str">
        <f t="shared" si="19"/>
        <v/>
      </c>
      <c r="Y621" s="685">
        <f>'General price list'!$AB624</f>
        <v>0</v>
      </c>
      <c r="Z621" t="str">
        <f>IFERROR(X621*VLOOKUP(C621,'General price list'!C:I,7,FALSE),"")</f>
        <v/>
      </c>
      <c r="AA621" t="str">
        <f>IF(X621&lt;&gt;"",VLOOKUP(C621,'General price list'!C624:AN1802,MATCH("HM",Tabulka1[[#Headers],[KÓD]:[NEQ]],0),FALSE),"")</f>
        <v/>
      </c>
    </row>
    <row r="622" spans="1:27">
      <c r="A622">
        <f>COUNTIF($W$22:W622,1)</f>
        <v>0</v>
      </c>
      <c r="B622">
        <v>622</v>
      </c>
      <c r="C622" s="684" t="s">
        <v>2557</v>
      </c>
      <c r="W622" t="str">
        <f t="shared" si="18"/>
        <v/>
      </c>
      <c r="X622" s="185" t="str">
        <f t="shared" si="19"/>
        <v/>
      </c>
      <c r="Y622" s="685">
        <f>'General price list'!$AB625</f>
        <v>0</v>
      </c>
      <c r="Z622" t="str">
        <f>IFERROR(X622*VLOOKUP(C622,'General price list'!C:I,7,FALSE),"")</f>
        <v/>
      </c>
      <c r="AA622" t="str">
        <f>IF(X622&lt;&gt;"",VLOOKUP(C622,'General price list'!C625:AN1803,MATCH("HM",Tabulka1[[#Headers],[KÓD]:[NEQ]],0),FALSE),"")</f>
        <v/>
      </c>
    </row>
    <row r="623" spans="1:27">
      <c r="A623">
        <f>COUNTIF($W$22:W623,1)</f>
        <v>0</v>
      </c>
      <c r="B623">
        <v>623</v>
      </c>
      <c r="C623" s="684" t="s">
        <v>1388</v>
      </c>
      <c r="W623" t="str">
        <f t="shared" si="18"/>
        <v/>
      </c>
      <c r="X623" s="185" t="str">
        <f t="shared" si="19"/>
        <v/>
      </c>
      <c r="Y623" s="685">
        <f>'General price list'!$AB626</f>
        <v>0</v>
      </c>
      <c r="Z623" t="str">
        <f>IFERROR(X623*VLOOKUP(C623,'General price list'!C:I,7,FALSE),"")</f>
        <v/>
      </c>
      <c r="AA623" t="str">
        <f>IF(X623&lt;&gt;"",VLOOKUP(C623,'General price list'!C626:AN1804,MATCH("HM",Tabulka1[[#Headers],[KÓD]:[NEQ]],0),FALSE),"")</f>
        <v/>
      </c>
    </row>
    <row r="624" spans="1:27">
      <c r="A624">
        <f>COUNTIF($W$22:W624,1)</f>
        <v>0</v>
      </c>
      <c r="B624">
        <v>624</v>
      </c>
      <c r="W624" t="str">
        <f t="shared" si="18"/>
        <v/>
      </c>
      <c r="X624" s="185" t="str">
        <f t="shared" si="19"/>
        <v/>
      </c>
      <c r="Y624" s="685">
        <f>'General price list'!$AB627</f>
        <v>0</v>
      </c>
      <c r="Z624" t="str">
        <f>IFERROR(X624*VLOOKUP(C624,'General price list'!C:I,7,FALSE),"")</f>
        <v/>
      </c>
      <c r="AA624" t="str">
        <f>IF(X624&lt;&gt;"",VLOOKUP(C624,'General price list'!C627:AN1805,MATCH("HM",Tabulka1[[#Headers],[KÓD]:[NEQ]],0),FALSE),"")</f>
        <v/>
      </c>
    </row>
    <row r="625" spans="1:27">
      <c r="A625">
        <f>COUNTIF($W$22:W625,1)</f>
        <v>0</v>
      </c>
      <c r="B625">
        <v>625</v>
      </c>
      <c r="C625" s="684" t="s">
        <v>2734</v>
      </c>
      <c r="W625" t="str">
        <f t="shared" si="18"/>
        <v/>
      </c>
      <c r="X625" s="185" t="str">
        <f t="shared" si="19"/>
        <v/>
      </c>
      <c r="Y625" s="685">
        <f>'General price list'!$AB628</f>
        <v>0</v>
      </c>
      <c r="Z625" t="str">
        <f>IFERROR(X625*VLOOKUP(C625,'General price list'!C:I,7,FALSE),"")</f>
        <v/>
      </c>
      <c r="AA625" t="str">
        <f>IF(X625&lt;&gt;"",VLOOKUP(C625,'General price list'!C628:AN1806,MATCH("HM",Tabulka1[[#Headers],[KÓD]:[NEQ]],0),FALSE),"")</f>
        <v/>
      </c>
    </row>
    <row r="626" spans="1:27">
      <c r="A626">
        <f>COUNTIF($W$22:W626,1)</f>
        <v>0</v>
      </c>
      <c r="B626">
        <v>626</v>
      </c>
      <c r="C626" s="684" t="s">
        <v>2735</v>
      </c>
      <c r="W626" t="str">
        <f t="shared" si="18"/>
        <v/>
      </c>
      <c r="X626" s="185" t="str">
        <f t="shared" si="19"/>
        <v/>
      </c>
      <c r="Y626" s="685">
        <f>'General price list'!$AB629</f>
        <v>0</v>
      </c>
      <c r="Z626" t="str">
        <f>IFERROR(X626*VLOOKUP(C626,'General price list'!C:I,7,FALSE),"")</f>
        <v/>
      </c>
      <c r="AA626" t="str">
        <f>IF(X626&lt;&gt;"",VLOOKUP(C626,'General price list'!C629:AN1807,MATCH("HM",Tabulka1[[#Headers],[KÓD]:[NEQ]],0),FALSE),"")</f>
        <v/>
      </c>
    </row>
    <row r="627" spans="1:27">
      <c r="A627">
        <f>COUNTIF($W$22:W627,1)</f>
        <v>0</v>
      </c>
      <c r="B627">
        <v>627</v>
      </c>
      <c r="C627" s="684" t="s">
        <v>5306</v>
      </c>
      <c r="W627" t="str">
        <f t="shared" si="18"/>
        <v/>
      </c>
      <c r="X627" s="185" t="str">
        <f t="shared" si="19"/>
        <v/>
      </c>
      <c r="Y627" s="685">
        <f>'General price list'!$AB630</f>
        <v>0</v>
      </c>
      <c r="Z627" t="str">
        <f>IFERROR(X627*VLOOKUP(C627,'General price list'!C:I,7,FALSE),"")</f>
        <v/>
      </c>
      <c r="AA627" t="str">
        <f>IF(X627&lt;&gt;"",VLOOKUP(C627,'General price list'!C630:AN1808,MATCH("HM",Tabulka1[[#Headers],[KÓD]:[NEQ]],0),FALSE),"")</f>
        <v/>
      </c>
    </row>
    <row r="628" spans="1:27">
      <c r="A628">
        <f>COUNTIF($W$22:W628,1)</f>
        <v>0</v>
      </c>
      <c r="B628">
        <v>628</v>
      </c>
      <c r="W628" t="str">
        <f t="shared" si="18"/>
        <v/>
      </c>
      <c r="X628" s="185" t="str">
        <f t="shared" si="19"/>
        <v/>
      </c>
      <c r="Y628" s="685">
        <f>'General price list'!$AB631</f>
        <v>0</v>
      </c>
      <c r="Z628" t="str">
        <f>IFERROR(X628*VLOOKUP(C628,'General price list'!C:I,7,FALSE),"")</f>
        <v/>
      </c>
      <c r="AA628" t="str">
        <f>IF(X628&lt;&gt;"",VLOOKUP(C628,'General price list'!C631:AN1809,MATCH("HM",Tabulka1[[#Headers],[KÓD]:[NEQ]],0),FALSE),"")</f>
        <v/>
      </c>
    </row>
    <row r="629" spans="1:27">
      <c r="A629">
        <f>COUNTIF($W$22:W629,1)</f>
        <v>0</v>
      </c>
      <c r="B629">
        <v>629</v>
      </c>
      <c r="C629" s="684" t="s">
        <v>1398</v>
      </c>
      <c r="W629" t="str">
        <f t="shared" si="18"/>
        <v/>
      </c>
      <c r="X629" s="185" t="str">
        <f t="shared" si="19"/>
        <v/>
      </c>
      <c r="Y629" s="685">
        <f>'General price list'!$AB632</f>
        <v>0</v>
      </c>
      <c r="Z629" t="str">
        <f>IFERROR(X629*VLOOKUP(C629,'General price list'!C:I,7,FALSE),"")</f>
        <v/>
      </c>
      <c r="AA629" t="str">
        <f>IF(X629&lt;&gt;"",VLOOKUP(C629,'General price list'!C632:AN1810,MATCH("HM",Tabulka1[[#Headers],[KÓD]:[NEQ]],0),FALSE),"")</f>
        <v/>
      </c>
    </row>
    <row r="630" spans="1:27">
      <c r="A630">
        <f>COUNTIF($W$22:W630,1)</f>
        <v>0</v>
      </c>
      <c r="B630">
        <v>630</v>
      </c>
      <c r="C630" s="684" t="s">
        <v>1400</v>
      </c>
      <c r="W630" t="str">
        <f t="shared" si="18"/>
        <v/>
      </c>
      <c r="X630" s="185" t="str">
        <f t="shared" si="19"/>
        <v/>
      </c>
      <c r="Y630" s="685">
        <f>'General price list'!$AB633</f>
        <v>0</v>
      </c>
      <c r="Z630" t="str">
        <f>IFERROR(X630*VLOOKUP(C630,'General price list'!C:I,7,FALSE),"")</f>
        <v/>
      </c>
      <c r="AA630" t="str">
        <f>IF(X630&lt;&gt;"",VLOOKUP(C630,'General price list'!C633:AN1811,MATCH("HM",Tabulka1[[#Headers],[KÓD]:[NEQ]],0),FALSE),"")</f>
        <v/>
      </c>
    </row>
    <row r="631" spans="1:27">
      <c r="A631">
        <f>COUNTIF($W$22:W631,1)</f>
        <v>0</v>
      </c>
      <c r="B631">
        <v>631</v>
      </c>
      <c r="C631" s="684" t="s">
        <v>1401</v>
      </c>
      <c r="W631" t="str">
        <f t="shared" si="18"/>
        <v/>
      </c>
      <c r="X631" s="185" t="str">
        <f t="shared" si="19"/>
        <v/>
      </c>
      <c r="Y631" s="685">
        <f>'General price list'!$AB634</f>
        <v>0</v>
      </c>
      <c r="Z631" t="str">
        <f>IFERROR(X631*VLOOKUP(C631,'General price list'!C:I,7,FALSE),"")</f>
        <v/>
      </c>
      <c r="AA631" t="str">
        <f>IF(X631&lt;&gt;"",VLOOKUP(C631,'General price list'!C634:AN1812,MATCH("HM",Tabulka1[[#Headers],[KÓD]:[NEQ]],0),FALSE),"")</f>
        <v/>
      </c>
    </row>
    <row r="632" spans="1:27">
      <c r="A632">
        <f>COUNTIF($W$22:W632,1)</f>
        <v>0</v>
      </c>
      <c r="B632">
        <v>632</v>
      </c>
      <c r="C632" s="684" t="s">
        <v>5307</v>
      </c>
      <c r="W632" t="str">
        <f t="shared" si="18"/>
        <v/>
      </c>
      <c r="X632" s="185" t="str">
        <f t="shared" si="19"/>
        <v/>
      </c>
      <c r="Y632" s="685">
        <f>'General price list'!$AB635</f>
        <v>0</v>
      </c>
      <c r="Z632" t="str">
        <f>IFERROR(X632*VLOOKUP(C632,'General price list'!C:I,7,FALSE),"")</f>
        <v/>
      </c>
      <c r="AA632" t="str">
        <f>IF(X632&lt;&gt;"",VLOOKUP(C632,'General price list'!C635:AN1813,MATCH("HM",Tabulka1[[#Headers],[KÓD]:[NEQ]],0),FALSE),"")</f>
        <v/>
      </c>
    </row>
    <row r="633" spans="1:27">
      <c r="A633">
        <f>COUNTIF($W$22:W633,1)</f>
        <v>0</v>
      </c>
      <c r="B633">
        <v>633</v>
      </c>
      <c r="C633" s="684" t="s">
        <v>1402</v>
      </c>
      <c r="W633" t="str">
        <f t="shared" si="18"/>
        <v/>
      </c>
      <c r="X633" s="185" t="str">
        <f t="shared" si="19"/>
        <v/>
      </c>
      <c r="Y633" s="685">
        <f>'General price list'!$AB636</f>
        <v>0</v>
      </c>
      <c r="Z633" t="str">
        <f>IFERROR(X633*VLOOKUP(C633,'General price list'!C:I,7,FALSE),"")</f>
        <v/>
      </c>
      <c r="AA633" t="str">
        <f>IF(X633&lt;&gt;"",VLOOKUP(C633,'General price list'!C636:AN1814,MATCH("HM",Tabulka1[[#Headers],[KÓD]:[NEQ]],0),FALSE),"")</f>
        <v/>
      </c>
    </row>
    <row r="634" spans="1:27">
      <c r="A634">
        <f>COUNTIF($W$22:W634,1)</f>
        <v>0</v>
      </c>
      <c r="B634">
        <v>634</v>
      </c>
      <c r="C634" s="684" t="s">
        <v>2558</v>
      </c>
      <c r="W634" t="str">
        <f t="shared" si="18"/>
        <v/>
      </c>
      <c r="X634" s="185" t="str">
        <f t="shared" si="19"/>
        <v/>
      </c>
      <c r="Y634" s="685">
        <f>'General price list'!$AB637</f>
        <v>0</v>
      </c>
      <c r="Z634" t="str">
        <f>IFERROR(X634*VLOOKUP(C634,'General price list'!C:I,7,FALSE),"")</f>
        <v/>
      </c>
      <c r="AA634" t="str">
        <f>IF(X634&lt;&gt;"",VLOOKUP(C634,'General price list'!C637:AN1815,MATCH("HM",Tabulka1[[#Headers],[KÓD]:[NEQ]],0),FALSE),"")</f>
        <v/>
      </c>
    </row>
    <row r="635" spans="1:27">
      <c r="A635">
        <f>COUNTIF($W$22:W635,1)</f>
        <v>0</v>
      </c>
      <c r="B635">
        <v>635</v>
      </c>
      <c r="C635" s="684" t="s">
        <v>1403</v>
      </c>
      <c r="W635" t="str">
        <f t="shared" si="18"/>
        <v/>
      </c>
      <c r="X635" s="185" t="str">
        <f t="shared" si="19"/>
        <v/>
      </c>
      <c r="Y635" s="685">
        <f>'General price list'!$AB638</f>
        <v>0</v>
      </c>
      <c r="Z635" t="str">
        <f>IFERROR(X635*VLOOKUP(C635,'General price list'!C:I,7,FALSE),"")</f>
        <v/>
      </c>
      <c r="AA635" t="str">
        <f>IF(X635&lt;&gt;"",VLOOKUP(C635,'General price list'!C638:AN1816,MATCH("HM",Tabulka1[[#Headers],[KÓD]:[NEQ]],0),FALSE),"")</f>
        <v/>
      </c>
    </row>
    <row r="636" spans="1:27">
      <c r="A636">
        <f>COUNTIF($W$22:W636,1)</f>
        <v>0</v>
      </c>
      <c r="B636">
        <v>636</v>
      </c>
      <c r="W636" t="str">
        <f t="shared" si="18"/>
        <v/>
      </c>
      <c r="X636" s="185" t="str">
        <f t="shared" si="19"/>
        <v/>
      </c>
      <c r="Y636" s="685">
        <f>'General price list'!$AB639</f>
        <v>0</v>
      </c>
      <c r="Z636" t="str">
        <f>IFERROR(X636*VLOOKUP(C636,'General price list'!C:I,7,FALSE),"")</f>
        <v/>
      </c>
      <c r="AA636" t="str">
        <f>IF(X636&lt;&gt;"",VLOOKUP(C636,'General price list'!C639:AN1817,MATCH("HM",Tabulka1[[#Headers],[KÓD]:[NEQ]],0),FALSE),"")</f>
        <v/>
      </c>
    </row>
    <row r="637" spans="1:27">
      <c r="A637">
        <f>COUNTIF($W$22:W637,1)</f>
        <v>0</v>
      </c>
      <c r="B637">
        <v>637</v>
      </c>
      <c r="C637" s="684" t="s">
        <v>5314</v>
      </c>
      <c r="W637" t="str">
        <f t="shared" si="18"/>
        <v/>
      </c>
      <c r="X637" s="185" t="str">
        <f t="shared" si="19"/>
        <v/>
      </c>
      <c r="Y637" s="685">
        <f>'General price list'!$AB640</f>
        <v>0</v>
      </c>
      <c r="Z637" t="str">
        <f>IFERROR(X637*VLOOKUP(C637,'General price list'!C:I,7,FALSE),"")</f>
        <v/>
      </c>
      <c r="AA637" t="str">
        <f>IF(X637&lt;&gt;"",VLOOKUP(C637,'General price list'!C640:AN1818,MATCH("HM",Tabulka1[[#Headers],[KÓD]:[NEQ]],0),FALSE),"")</f>
        <v/>
      </c>
    </row>
    <row r="638" spans="1:27">
      <c r="A638">
        <f>COUNTIF($W$22:W638,1)</f>
        <v>0</v>
      </c>
      <c r="B638">
        <v>638</v>
      </c>
      <c r="C638" s="684" t="s">
        <v>5315</v>
      </c>
      <c r="W638" t="str">
        <f t="shared" si="18"/>
        <v/>
      </c>
      <c r="X638" s="185" t="str">
        <f t="shared" si="19"/>
        <v/>
      </c>
      <c r="Y638" s="685">
        <f>'General price list'!$AB641</f>
        <v>0</v>
      </c>
      <c r="Z638" t="str">
        <f>IFERROR(X638*VLOOKUP(C638,'General price list'!C:I,7,FALSE),"")</f>
        <v/>
      </c>
      <c r="AA638" t="str">
        <f>IF(X638&lt;&gt;"",VLOOKUP(C638,'General price list'!C641:AN1819,MATCH("HM",Tabulka1[[#Headers],[KÓD]:[NEQ]],0),FALSE),"")</f>
        <v/>
      </c>
    </row>
    <row r="639" spans="1:27">
      <c r="A639">
        <f>COUNTIF($W$22:W639,1)</f>
        <v>0</v>
      </c>
      <c r="B639">
        <v>639</v>
      </c>
      <c r="C639" s="684" t="s">
        <v>2736</v>
      </c>
      <c r="W639" t="str">
        <f t="shared" si="18"/>
        <v/>
      </c>
      <c r="X639" s="185" t="str">
        <f t="shared" si="19"/>
        <v/>
      </c>
      <c r="Y639" s="685">
        <f>'General price list'!$AB642</f>
        <v>0</v>
      </c>
      <c r="Z639" t="str">
        <f>IFERROR(X639*VLOOKUP(C639,'General price list'!C:I,7,FALSE),"")</f>
        <v/>
      </c>
      <c r="AA639" t="str">
        <f>IF(X639&lt;&gt;"",VLOOKUP(C639,'General price list'!C642:AN1820,MATCH("HM",Tabulka1[[#Headers],[KÓD]:[NEQ]],0),FALSE),"")</f>
        <v/>
      </c>
    </row>
    <row r="640" spans="1:27">
      <c r="A640">
        <f>COUNTIF($W$22:W640,1)</f>
        <v>0</v>
      </c>
      <c r="B640">
        <v>640</v>
      </c>
      <c r="C640" s="684" t="s">
        <v>2737</v>
      </c>
      <c r="W640" t="str">
        <f t="shared" si="18"/>
        <v/>
      </c>
      <c r="X640" s="185" t="str">
        <f t="shared" si="19"/>
        <v/>
      </c>
      <c r="Y640" s="685">
        <f>'General price list'!$AB643</f>
        <v>0</v>
      </c>
      <c r="Z640" t="str">
        <f>IFERROR(X640*VLOOKUP(C640,'General price list'!C:I,7,FALSE),"")</f>
        <v/>
      </c>
      <c r="AA640" t="str">
        <f>IF(X640&lt;&gt;"",VLOOKUP(C640,'General price list'!C643:AN1821,MATCH("HM",Tabulka1[[#Headers],[KÓD]:[NEQ]],0),FALSE),"")</f>
        <v/>
      </c>
    </row>
    <row r="641" spans="1:27">
      <c r="A641">
        <f>COUNTIF($W$22:W641,1)</f>
        <v>0</v>
      </c>
      <c r="B641">
        <v>641</v>
      </c>
      <c r="C641" s="684" t="s">
        <v>2738</v>
      </c>
      <c r="W641" t="str">
        <f t="shared" si="18"/>
        <v/>
      </c>
      <c r="X641" s="185" t="str">
        <f t="shared" si="19"/>
        <v/>
      </c>
      <c r="Y641" s="685">
        <f>'General price list'!$AB644</f>
        <v>0</v>
      </c>
      <c r="Z641" t="str">
        <f>IFERROR(X641*VLOOKUP(C641,'General price list'!C:I,7,FALSE),"")</f>
        <v/>
      </c>
      <c r="AA641" t="str">
        <f>IF(X641&lt;&gt;"",VLOOKUP(C641,'General price list'!C644:AN1822,MATCH("HM",Tabulka1[[#Headers],[KÓD]:[NEQ]],0),FALSE),"")</f>
        <v/>
      </c>
    </row>
    <row r="642" spans="1:27">
      <c r="A642">
        <f>COUNTIF($W$22:W642,1)</f>
        <v>0</v>
      </c>
      <c r="B642">
        <v>642</v>
      </c>
      <c r="C642" s="684" t="s">
        <v>2739</v>
      </c>
      <c r="W642" t="str">
        <f t="shared" si="18"/>
        <v/>
      </c>
      <c r="X642" s="185" t="str">
        <f t="shared" si="19"/>
        <v/>
      </c>
      <c r="Y642" s="685">
        <f>'General price list'!$AB645</f>
        <v>0</v>
      </c>
      <c r="Z642" t="str">
        <f>IFERROR(X642*VLOOKUP(C642,'General price list'!C:I,7,FALSE),"")</f>
        <v/>
      </c>
      <c r="AA642" t="str">
        <f>IF(X642&lt;&gt;"",VLOOKUP(C642,'General price list'!C645:AN1823,MATCH("HM",Tabulka1[[#Headers],[KÓD]:[NEQ]],0),FALSE),"")</f>
        <v/>
      </c>
    </row>
    <row r="643" spans="1:27">
      <c r="A643">
        <f>COUNTIF($W$22:W643,1)</f>
        <v>0</v>
      </c>
      <c r="B643">
        <v>643</v>
      </c>
      <c r="W643" t="str">
        <f t="shared" si="18"/>
        <v/>
      </c>
      <c r="X643" s="185" t="str">
        <f t="shared" si="19"/>
        <v/>
      </c>
      <c r="Y643" s="685">
        <f>'General price list'!$AB646</f>
        <v>0</v>
      </c>
      <c r="Z643" t="str">
        <f>IFERROR(X643*VLOOKUP(C643,'General price list'!C:I,7,FALSE),"")</f>
        <v/>
      </c>
      <c r="AA643" t="str">
        <f>IF(X643&lt;&gt;"",VLOOKUP(C643,'General price list'!C646:AN1824,MATCH("HM",Tabulka1[[#Headers],[KÓD]:[NEQ]],0),FALSE),"")</f>
        <v/>
      </c>
    </row>
    <row r="644" spans="1:27">
      <c r="A644">
        <f>COUNTIF($W$22:W644,1)</f>
        <v>0</v>
      </c>
      <c r="B644">
        <v>644</v>
      </c>
      <c r="C644" s="684" t="s">
        <v>1407</v>
      </c>
      <c r="W644" t="str">
        <f t="shared" si="18"/>
        <v/>
      </c>
      <c r="X644" s="185" t="str">
        <f t="shared" si="19"/>
        <v/>
      </c>
      <c r="Y644" s="685">
        <f>'General price list'!$AB647</f>
        <v>0</v>
      </c>
      <c r="Z644" t="str">
        <f>IFERROR(X644*VLOOKUP(C644,'General price list'!C:I,7,FALSE),"")</f>
        <v/>
      </c>
      <c r="AA644" t="str">
        <f>IF(X644&lt;&gt;"",VLOOKUP(C644,'General price list'!C647:AN1825,MATCH("HM",Tabulka1[[#Headers],[KÓD]:[NEQ]],0),FALSE),"")</f>
        <v/>
      </c>
    </row>
    <row r="645" spans="1:27">
      <c r="A645">
        <f>COUNTIF($W$22:W645,1)</f>
        <v>0</v>
      </c>
      <c r="B645">
        <v>645</v>
      </c>
      <c r="C645" s="684" t="s">
        <v>1408</v>
      </c>
      <c r="W645" t="str">
        <f t="shared" si="18"/>
        <v/>
      </c>
      <c r="X645" s="185" t="str">
        <f t="shared" si="19"/>
        <v/>
      </c>
      <c r="Y645" s="685">
        <f>'General price list'!$AB648</f>
        <v>0</v>
      </c>
      <c r="Z645" t="str">
        <f>IFERROR(X645*VLOOKUP(C645,'General price list'!C:I,7,FALSE),"")</f>
        <v/>
      </c>
      <c r="AA645" t="str">
        <f>IF(X645&lt;&gt;"",VLOOKUP(C645,'General price list'!C648:AN1826,MATCH("HM",Tabulka1[[#Headers],[KÓD]:[NEQ]],0),FALSE),"")</f>
        <v/>
      </c>
    </row>
    <row r="646" spans="1:27">
      <c r="A646">
        <f>COUNTIF($W$22:W646,1)</f>
        <v>0</v>
      </c>
      <c r="B646">
        <v>646</v>
      </c>
      <c r="C646" s="684" t="s">
        <v>1409</v>
      </c>
      <c r="W646" t="str">
        <f t="shared" si="18"/>
        <v/>
      </c>
      <c r="X646" s="185" t="str">
        <f t="shared" si="19"/>
        <v/>
      </c>
      <c r="Y646" s="685">
        <f>'General price list'!$AB649</f>
        <v>0</v>
      </c>
      <c r="Z646" t="str">
        <f>IFERROR(X646*VLOOKUP(C646,'General price list'!C:I,7,FALSE),"")</f>
        <v/>
      </c>
      <c r="AA646" t="str">
        <f>IF(X646&lt;&gt;"",VLOOKUP(C646,'General price list'!C649:AN1827,MATCH("HM",Tabulka1[[#Headers],[KÓD]:[NEQ]],0),FALSE),"")</f>
        <v/>
      </c>
    </row>
    <row r="647" spans="1:27">
      <c r="A647">
        <f>COUNTIF($W$22:W647,1)</f>
        <v>0</v>
      </c>
      <c r="B647">
        <v>647</v>
      </c>
      <c r="C647" s="684" t="s">
        <v>1411</v>
      </c>
      <c r="W647" t="str">
        <f t="shared" si="18"/>
        <v/>
      </c>
      <c r="X647" s="185" t="str">
        <f t="shared" si="19"/>
        <v/>
      </c>
      <c r="Y647" s="685">
        <f>'General price list'!$AB650</f>
        <v>0</v>
      </c>
      <c r="Z647" t="str">
        <f>IFERROR(X647*VLOOKUP(C647,'General price list'!C:I,7,FALSE),"")</f>
        <v/>
      </c>
      <c r="AA647" t="str">
        <f>IF(X647&lt;&gt;"",VLOOKUP(C647,'General price list'!C650:AN1828,MATCH("HM",Tabulka1[[#Headers],[KÓD]:[NEQ]],0),FALSE),"")</f>
        <v/>
      </c>
    </row>
    <row r="648" spans="1:27">
      <c r="A648">
        <f>COUNTIF($W$22:W648,1)</f>
        <v>0</v>
      </c>
      <c r="B648">
        <v>648</v>
      </c>
      <c r="C648" s="684" t="s">
        <v>1414</v>
      </c>
      <c r="W648" t="str">
        <f t="shared" si="18"/>
        <v/>
      </c>
      <c r="X648" s="185" t="str">
        <f t="shared" si="19"/>
        <v/>
      </c>
      <c r="Y648" s="685">
        <f>'General price list'!$AB651</f>
        <v>0</v>
      </c>
      <c r="Z648" t="str">
        <f>IFERROR(X648*VLOOKUP(C648,'General price list'!C:I,7,FALSE),"")</f>
        <v/>
      </c>
      <c r="AA648" t="str">
        <f>IF(X648&lt;&gt;"",VLOOKUP(C648,'General price list'!C651:AN1829,MATCH("HM",Tabulka1[[#Headers],[KÓD]:[NEQ]],0),FALSE),"")</f>
        <v/>
      </c>
    </row>
    <row r="649" spans="1:27">
      <c r="A649">
        <f>COUNTIF($W$22:W649,1)</f>
        <v>0</v>
      </c>
      <c r="B649">
        <v>649</v>
      </c>
      <c r="C649" s="684" t="s">
        <v>1421</v>
      </c>
      <c r="W649" t="str">
        <f t="shared" si="18"/>
        <v/>
      </c>
      <c r="X649" s="185" t="str">
        <f t="shared" si="19"/>
        <v/>
      </c>
      <c r="Y649" s="685">
        <f>'General price list'!$AB652</f>
        <v>0</v>
      </c>
      <c r="Z649" t="str">
        <f>IFERROR(X649*VLOOKUP(C649,'General price list'!C:I,7,FALSE),"")</f>
        <v/>
      </c>
      <c r="AA649" t="str">
        <f>IF(X649&lt;&gt;"",VLOOKUP(C649,'General price list'!C652:AN1830,MATCH("HM",Tabulka1[[#Headers],[KÓD]:[NEQ]],0),FALSE),"")</f>
        <v/>
      </c>
    </row>
    <row r="650" spans="1:27">
      <c r="A650">
        <f>COUNTIF($W$22:W650,1)</f>
        <v>0</v>
      </c>
      <c r="B650">
        <v>650</v>
      </c>
      <c r="C650" s="684" t="s">
        <v>1426</v>
      </c>
      <c r="W650" t="str">
        <f t="shared" si="18"/>
        <v/>
      </c>
      <c r="X650" s="185" t="str">
        <f t="shared" si="19"/>
        <v/>
      </c>
      <c r="Y650" s="685">
        <f>'General price list'!$AB653</f>
        <v>0</v>
      </c>
      <c r="Z650" t="str">
        <f>IFERROR(X650*VLOOKUP(C650,'General price list'!C:I,7,FALSE),"")</f>
        <v/>
      </c>
      <c r="AA650" t="str">
        <f>IF(X650&lt;&gt;"",VLOOKUP(C650,'General price list'!C653:AN1831,MATCH("HM",Tabulka1[[#Headers],[KÓD]:[NEQ]],0),FALSE),"")</f>
        <v/>
      </c>
    </row>
    <row r="651" spans="1:27">
      <c r="A651">
        <f>COUNTIF($W$22:W651,1)</f>
        <v>0</v>
      </c>
      <c r="B651">
        <v>651</v>
      </c>
      <c r="W651" t="str">
        <f t="shared" si="18"/>
        <v/>
      </c>
      <c r="X651" s="185" t="str">
        <f t="shared" si="19"/>
        <v/>
      </c>
      <c r="Y651" s="685">
        <f>'General price list'!$AB654</f>
        <v>0</v>
      </c>
      <c r="Z651" t="str">
        <f>IFERROR(X651*VLOOKUP(C651,'General price list'!C:I,7,FALSE),"")</f>
        <v/>
      </c>
      <c r="AA651" t="str">
        <f>IF(X651&lt;&gt;"",VLOOKUP(C651,'General price list'!C654:AN1832,MATCH("HM",Tabulka1[[#Headers],[KÓD]:[NEQ]],0),FALSE),"")</f>
        <v/>
      </c>
    </row>
    <row r="652" spans="1:27">
      <c r="A652">
        <f>COUNTIF($W$22:W652,1)</f>
        <v>0</v>
      </c>
      <c r="B652">
        <v>652</v>
      </c>
      <c r="C652" s="684" t="s">
        <v>1419</v>
      </c>
      <c r="W652" t="str">
        <f t="shared" si="18"/>
        <v/>
      </c>
      <c r="X652" s="185" t="str">
        <f t="shared" si="19"/>
        <v/>
      </c>
      <c r="Y652" s="685">
        <f>'General price list'!$AB655</f>
        <v>0</v>
      </c>
      <c r="Z652" t="str">
        <f>IFERROR(X652*VLOOKUP(C652,'General price list'!C:I,7,FALSE),"")</f>
        <v/>
      </c>
      <c r="AA652" t="str">
        <f>IF(X652&lt;&gt;"",VLOOKUP(C652,'General price list'!C655:AN1833,MATCH("HM",Tabulka1[[#Headers],[KÓD]:[NEQ]],0),FALSE),"")</f>
        <v/>
      </c>
    </row>
    <row r="653" spans="1:27">
      <c r="A653">
        <f>COUNTIF($W$22:W653,1)</f>
        <v>0</v>
      </c>
      <c r="B653">
        <v>653</v>
      </c>
      <c r="W653" t="str">
        <f t="shared" si="18"/>
        <v/>
      </c>
      <c r="X653" s="185" t="str">
        <f t="shared" si="19"/>
        <v/>
      </c>
      <c r="Y653" s="685">
        <f>'General price list'!$AB656</f>
        <v>0</v>
      </c>
      <c r="Z653" t="str">
        <f>IFERROR(X653*VLOOKUP(C653,'General price list'!C:I,7,FALSE),"")</f>
        <v/>
      </c>
      <c r="AA653" t="str">
        <f>IF(X653&lt;&gt;"",VLOOKUP(C653,'General price list'!C656:AN1834,MATCH("HM",Tabulka1[[#Headers],[KÓD]:[NEQ]],0),FALSE),"")</f>
        <v/>
      </c>
    </row>
    <row r="654" spans="1:27">
      <c r="A654">
        <f>COUNTIF($W$22:W654,1)</f>
        <v>0</v>
      </c>
      <c r="B654">
        <v>654</v>
      </c>
      <c r="C654" s="684" t="s">
        <v>1432</v>
      </c>
      <c r="W654" t="str">
        <f t="shared" si="18"/>
        <v/>
      </c>
      <c r="X654" s="185" t="str">
        <f t="shared" si="19"/>
        <v/>
      </c>
      <c r="Y654" s="685">
        <f>'General price list'!$AB657</f>
        <v>0</v>
      </c>
      <c r="Z654" t="str">
        <f>IFERROR(X654*VLOOKUP(C654,'General price list'!C:I,7,FALSE),"")</f>
        <v/>
      </c>
      <c r="AA654" t="str">
        <f>IF(X654&lt;&gt;"",VLOOKUP(C654,'General price list'!C657:AN1835,MATCH("HM",Tabulka1[[#Headers],[KÓD]:[NEQ]],0),FALSE),"")</f>
        <v/>
      </c>
    </row>
    <row r="655" spans="1:27">
      <c r="A655">
        <f>COUNTIF($W$22:W655,1)</f>
        <v>0</v>
      </c>
      <c r="B655">
        <v>655</v>
      </c>
      <c r="C655" s="684" t="s">
        <v>1433</v>
      </c>
      <c r="W655" t="str">
        <f t="shared" si="18"/>
        <v/>
      </c>
      <c r="X655" s="185" t="str">
        <f t="shared" si="19"/>
        <v/>
      </c>
      <c r="Y655" s="685">
        <f>'General price list'!$AB658</f>
        <v>0</v>
      </c>
      <c r="Z655" t="str">
        <f>IFERROR(X655*VLOOKUP(C655,'General price list'!C:I,7,FALSE),"")</f>
        <v/>
      </c>
      <c r="AA655" t="str">
        <f>IF(X655&lt;&gt;"",VLOOKUP(C655,'General price list'!C658:AN1836,MATCH("HM",Tabulka1[[#Headers],[KÓD]:[NEQ]],0),FALSE),"")</f>
        <v/>
      </c>
    </row>
    <row r="656" spans="1:27">
      <c r="A656">
        <f>COUNTIF($W$22:W656,1)</f>
        <v>0</v>
      </c>
      <c r="B656">
        <v>656</v>
      </c>
      <c r="C656" s="684" t="s">
        <v>1435</v>
      </c>
      <c r="W656" t="str">
        <f t="shared" si="18"/>
        <v/>
      </c>
      <c r="X656" s="185" t="str">
        <f t="shared" si="19"/>
        <v/>
      </c>
      <c r="Y656" s="685">
        <f>'General price list'!$AB659</f>
        <v>0</v>
      </c>
      <c r="Z656" t="str">
        <f>IFERROR(X656*VLOOKUP(C656,'General price list'!C:I,7,FALSE),"")</f>
        <v/>
      </c>
      <c r="AA656" t="str">
        <f>IF(X656&lt;&gt;"",VLOOKUP(C656,'General price list'!C659:AN1837,MATCH("HM",Tabulka1[[#Headers],[KÓD]:[NEQ]],0),FALSE),"")</f>
        <v/>
      </c>
    </row>
    <row r="657" spans="1:27">
      <c r="A657">
        <f>COUNTIF($W$22:W657,1)</f>
        <v>0</v>
      </c>
      <c r="B657">
        <v>657</v>
      </c>
      <c r="C657" s="684" t="s">
        <v>1437</v>
      </c>
      <c r="W657" t="str">
        <f t="shared" si="18"/>
        <v/>
      </c>
      <c r="X657" s="185" t="str">
        <f t="shared" si="19"/>
        <v/>
      </c>
      <c r="Y657" s="685">
        <f>'General price list'!$AB660</f>
        <v>0</v>
      </c>
      <c r="Z657" t="str">
        <f>IFERROR(X657*VLOOKUP(C657,'General price list'!C:I,7,FALSE),"")</f>
        <v/>
      </c>
      <c r="AA657" t="str">
        <f>IF(X657&lt;&gt;"",VLOOKUP(C657,'General price list'!C660:AN1838,MATCH("HM",Tabulka1[[#Headers],[KÓD]:[NEQ]],0),FALSE),"")</f>
        <v/>
      </c>
    </row>
    <row r="658" spans="1:27">
      <c r="A658">
        <f>COUNTIF($W$22:W658,1)</f>
        <v>0</v>
      </c>
      <c r="B658">
        <v>658</v>
      </c>
      <c r="C658" s="684" t="s">
        <v>1439</v>
      </c>
      <c r="W658" t="str">
        <f t="shared" si="18"/>
        <v/>
      </c>
      <c r="X658" s="185" t="str">
        <f t="shared" si="19"/>
        <v/>
      </c>
      <c r="Y658" s="685">
        <f>'General price list'!$AB661</f>
        <v>0</v>
      </c>
      <c r="Z658" t="str">
        <f>IFERROR(X658*VLOOKUP(C658,'General price list'!C:I,7,FALSE),"")</f>
        <v/>
      </c>
      <c r="AA658" t="str">
        <f>IF(X658&lt;&gt;"",VLOOKUP(C658,'General price list'!C661:AN1839,MATCH("HM",Tabulka1[[#Headers],[KÓD]:[NEQ]],0),FALSE),"")</f>
        <v/>
      </c>
    </row>
    <row r="659" spans="1:27">
      <c r="A659">
        <f>COUNTIF($W$22:W659,1)</f>
        <v>0</v>
      </c>
      <c r="B659">
        <v>659</v>
      </c>
      <c r="C659" s="684" t="s">
        <v>1444</v>
      </c>
      <c r="W659" t="str">
        <f t="shared" si="18"/>
        <v/>
      </c>
      <c r="X659" s="185" t="str">
        <f t="shared" si="19"/>
        <v/>
      </c>
      <c r="Y659" s="685">
        <f>'General price list'!$AB662</f>
        <v>0</v>
      </c>
      <c r="Z659" t="str">
        <f>IFERROR(X659*VLOOKUP(C659,'General price list'!C:I,7,FALSE),"")</f>
        <v/>
      </c>
      <c r="AA659" t="str">
        <f>IF(X659&lt;&gt;"",VLOOKUP(C659,'General price list'!C662:AN1840,MATCH("HM",Tabulka1[[#Headers],[KÓD]:[NEQ]],0),FALSE),"")</f>
        <v/>
      </c>
    </row>
    <row r="660" spans="1:27">
      <c r="A660">
        <f>COUNTIF($W$22:W660,1)</f>
        <v>0</v>
      </c>
      <c r="B660">
        <v>660</v>
      </c>
      <c r="W660" t="str">
        <f t="shared" si="18"/>
        <v/>
      </c>
      <c r="X660" s="185" t="str">
        <f t="shared" si="19"/>
        <v/>
      </c>
      <c r="Y660" s="685">
        <f>'General price list'!$AB663</f>
        <v>0</v>
      </c>
      <c r="Z660" t="str">
        <f>IFERROR(X660*VLOOKUP(C660,'General price list'!C:I,7,FALSE),"")</f>
        <v/>
      </c>
      <c r="AA660" t="str">
        <f>IF(X660&lt;&gt;"",VLOOKUP(C660,'General price list'!C663:AN1841,MATCH("HM",Tabulka1[[#Headers],[KÓD]:[NEQ]],0),FALSE),"")</f>
        <v/>
      </c>
    </row>
    <row r="661" spans="1:27">
      <c r="A661">
        <f>COUNTIF($W$22:W661,1)</f>
        <v>0</v>
      </c>
      <c r="B661">
        <v>661</v>
      </c>
      <c r="C661" s="684" t="s">
        <v>1451</v>
      </c>
      <c r="W661" t="str">
        <f t="shared" si="18"/>
        <v/>
      </c>
      <c r="X661" s="185" t="str">
        <f t="shared" si="19"/>
        <v/>
      </c>
      <c r="Y661" s="685">
        <f>'General price list'!$AB664</f>
        <v>0</v>
      </c>
      <c r="Z661" t="str">
        <f>IFERROR(X661*VLOOKUP(C661,'General price list'!C:I,7,FALSE),"")</f>
        <v/>
      </c>
      <c r="AA661" t="str">
        <f>IF(X661&lt;&gt;"",VLOOKUP(C661,'General price list'!C664:AN1842,MATCH("HM",Tabulka1[[#Headers],[KÓD]:[NEQ]],0),FALSE),"")</f>
        <v/>
      </c>
    </row>
    <row r="662" spans="1:27">
      <c r="A662">
        <f>COUNTIF($W$22:W662,1)</f>
        <v>0</v>
      </c>
      <c r="B662">
        <v>662</v>
      </c>
      <c r="C662" s="684" t="s">
        <v>12728</v>
      </c>
      <c r="W662" t="str">
        <f t="shared" si="18"/>
        <v/>
      </c>
      <c r="X662" s="185" t="str">
        <f t="shared" si="19"/>
        <v/>
      </c>
      <c r="Y662" s="685">
        <f>'General price list'!$AB665</f>
        <v>0</v>
      </c>
      <c r="Z662" t="str">
        <f>IFERROR(X662*VLOOKUP(C662,'General price list'!C:I,7,FALSE),"")</f>
        <v/>
      </c>
      <c r="AA662" t="str">
        <f>IF(X662&lt;&gt;"",VLOOKUP(C662,'General price list'!C665:AN1843,MATCH("HM",Tabulka1[[#Headers],[KÓD]:[NEQ]],0),FALSE),"")</f>
        <v/>
      </c>
    </row>
    <row r="663" spans="1:27">
      <c r="A663">
        <f>COUNTIF($W$22:W663,1)</f>
        <v>0</v>
      </c>
      <c r="B663">
        <v>663</v>
      </c>
      <c r="C663" s="684" t="s">
        <v>1460</v>
      </c>
      <c r="W663" t="str">
        <f t="shared" ref="W663:W726" si="20">IF(Y663+1=1,"",1)</f>
        <v/>
      </c>
      <c r="X663" s="185" t="str">
        <f t="shared" si="19"/>
        <v/>
      </c>
      <c r="Y663" s="685">
        <f>'General price list'!$AB666</f>
        <v>0</v>
      </c>
      <c r="Z663" t="str">
        <f>IFERROR(X663*VLOOKUP(C663,'General price list'!C:I,7,FALSE),"")</f>
        <v/>
      </c>
      <c r="AA663" t="str">
        <f>IF(X663&lt;&gt;"",VLOOKUP(C663,'General price list'!C666:AN1844,MATCH("HM",Tabulka1[[#Headers],[KÓD]:[NEQ]],0),FALSE),"")</f>
        <v/>
      </c>
    </row>
    <row r="664" spans="1:27">
      <c r="A664">
        <f>COUNTIF($W$22:W664,1)</f>
        <v>0</v>
      </c>
      <c r="B664">
        <v>664</v>
      </c>
      <c r="C664" s="684" t="s">
        <v>1461</v>
      </c>
      <c r="W664" t="str">
        <f t="shared" si="20"/>
        <v/>
      </c>
      <c r="X664" s="185" t="str">
        <f t="shared" ref="X664:X727" si="21">IF(A664&gt;$C$21,"",IF(Y664=0,"",Y664))</f>
        <v/>
      </c>
      <c r="Y664" s="685">
        <f>'General price list'!$AB667</f>
        <v>0</v>
      </c>
      <c r="Z664" t="str">
        <f>IFERROR(X664*VLOOKUP(C664,'General price list'!C:I,7,FALSE),"")</f>
        <v/>
      </c>
      <c r="AA664" t="str">
        <f>IF(X664&lt;&gt;"",VLOOKUP(C664,'General price list'!C667:AN1845,MATCH("HM",Tabulka1[[#Headers],[KÓD]:[NEQ]],0),FALSE),"")</f>
        <v/>
      </c>
    </row>
    <row r="665" spans="1:27">
      <c r="A665">
        <f>COUNTIF($W$22:W665,1)</f>
        <v>0</v>
      </c>
      <c r="B665">
        <v>665</v>
      </c>
      <c r="C665" s="684" t="s">
        <v>1472</v>
      </c>
      <c r="W665" t="str">
        <f t="shared" si="20"/>
        <v/>
      </c>
      <c r="X665" s="185" t="str">
        <f t="shared" si="21"/>
        <v/>
      </c>
      <c r="Y665" s="685">
        <f>'General price list'!$AB668</f>
        <v>0</v>
      </c>
      <c r="Z665" t="str">
        <f>IFERROR(X665*VLOOKUP(C665,'General price list'!C:I,7,FALSE),"")</f>
        <v/>
      </c>
      <c r="AA665" t="str">
        <f>IF(X665&lt;&gt;"",VLOOKUP(C665,'General price list'!C668:AN1846,MATCH("HM",Tabulka1[[#Headers],[KÓD]:[NEQ]],0),FALSE),"")</f>
        <v/>
      </c>
    </row>
    <row r="666" spans="1:27">
      <c r="A666">
        <f>COUNTIF($W$22:W666,1)</f>
        <v>0</v>
      </c>
      <c r="B666">
        <v>666</v>
      </c>
      <c r="W666" t="str">
        <f t="shared" si="20"/>
        <v/>
      </c>
      <c r="X666" s="185" t="str">
        <f t="shared" si="21"/>
        <v/>
      </c>
      <c r="Y666" s="685">
        <f>'General price list'!$AB669</f>
        <v>0</v>
      </c>
      <c r="Z666" t="str">
        <f>IFERROR(X666*VLOOKUP(C666,'General price list'!C:I,7,FALSE),"")</f>
        <v/>
      </c>
      <c r="AA666" t="str">
        <f>IF(X666&lt;&gt;"",VLOOKUP(C666,'General price list'!C669:AN1847,MATCH("HM",Tabulka1[[#Headers],[KÓD]:[NEQ]],0),FALSE),"")</f>
        <v/>
      </c>
    </row>
    <row r="667" spans="1:27">
      <c r="A667">
        <f>COUNTIF($W$22:W667,1)</f>
        <v>0</v>
      </c>
      <c r="B667">
        <v>667</v>
      </c>
      <c r="C667" s="684" t="s">
        <v>1462</v>
      </c>
      <c r="W667" t="str">
        <f t="shared" si="20"/>
        <v/>
      </c>
      <c r="X667" s="185" t="str">
        <f t="shared" si="21"/>
        <v/>
      </c>
      <c r="Y667" s="685">
        <f>'General price list'!$AB670</f>
        <v>0</v>
      </c>
      <c r="Z667" t="str">
        <f>IFERROR(X667*VLOOKUP(C667,'General price list'!C:I,7,FALSE),"")</f>
        <v/>
      </c>
      <c r="AA667" t="str">
        <f>IF(X667&lt;&gt;"",VLOOKUP(C667,'General price list'!C670:AN1848,MATCH("HM",Tabulka1[[#Headers],[KÓD]:[NEQ]],0),FALSE),"")</f>
        <v/>
      </c>
    </row>
    <row r="668" spans="1:27">
      <c r="A668">
        <f>COUNTIF($W$22:W668,1)</f>
        <v>0</v>
      </c>
      <c r="B668">
        <v>668</v>
      </c>
      <c r="C668" s="684" t="s">
        <v>1463</v>
      </c>
      <c r="W668" t="str">
        <f t="shared" si="20"/>
        <v/>
      </c>
      <c r="X668" s="185" t="str">
        <f t="shared" si="21"/>
        <v/>
      </c>
      <c r="Y668" s="685">
        <f>'General price list'!$AB671</f>
        <v>0</v>
      </c>
      <c r="Z668" t="str">
        <f>IFERROR(X668*VLOOKUP(C668,'General price list'!C:I,7,FALSE),"")</f>
        <v/>
      </c>
      <c r="AA668" t="str">
        <f>IF(X668&lt;&gt;"",VLOOKUP(C668,'General price list'!C671:AN1849,MATCH("HM",Tabulka1[[#Headers],[KÓD]:[NEQ]],0),FALSE),"")</f>
        <v/>
      </c>
    </row>
    <row r="669" spans="1:27">
      <c r="A669">
        <f>COUNTIF($W$22:W669,1)</f>
        <v>0</v>
      </c>
      <c r="B669">
        <v>669</v>
      </c>
      <c r="C669" s="684" t="s">
        <v>1464</v>
      </c>
      <c r="W669" t="str">
        <f t="shared" si="20"/>
        <v/>
      </c>
      <c r="X669" s="185" t="str">
        <f t="shared" si="21"/>
        <v/>
      </c>
      <c r="Y669" s="685">
        <f>'General price list'!$AB672</f>
        <v>0</v>
      </c>
      <c r="Z669" t="str">
        <f>IFERROR(X669*VLOOKUP(C669,'General price list'!C:I,7,FALSE),"")</f>
        <v/>
      </c>
      <c r="AA669" t="str">
        <f>IF(X669&lt;&gt;"",VLOOKUP(C669,'General price list'!C672:AN1850,MATCH("HM",Tabulka1[[#Headers],[KÓD]:[NEQ]],0),FALSE),"")</f>
        <v/>
      </c>
    </row>
    <row r="670" spans="1:27">
      <c r="A670">
        <f>COUNTIF($W$22:W670,1)</f>
        <v>0</v>
      </c>
      <c r="B670">
        <v>670</v>
      </c>
      <c r="C670" s="684" t="s">
        <v>1468</v>
      </c>
      <c r="W670" t="str">
        <f t="shared" si="20"/>
        <v/>
      </c>
      <c r="X670" s="185" t="str">
        <f t="shared" si="21"/>
        <v/>
      </c>
      <c r="Y670" s="685">
        <f>'General price list'!$AB673</f>
        <v>0</v>
      </c>
      <c r="Z670" t="str">
        <f>IFERROR(X670*VLOOKUP(C670,'General price list'!C:I,7,FALSE),"")</f>
        <v/>
      </c>
      <c r="AA670" t="str">
        <f>IF(X670&lt;&gt;"",VLOOKUP(C670,'General price list'!C673:AN1851,MATCH("HM",Tabulka1[[#Headers],[KÓD]:[NEQ]],0),FALSE),"")</f>
        <v/>
      </c>
    </row>
    <row r="671" spans="1:27">
      <c r="A671">
        <f>COUNTIF($W$22:W671,1)</f>
        <v>0</v>
      </c>
      <c r="B671">
        <v>671</v>
      </c>
      <c r="C671" s="684" t="s">
        <v>1469</v>
      </c>
      <c r="W671" t="str">
        <f t="shared" si="20"/>
        <v/>
      </c>
      <c r="X671" s="185" t="str">
        <f t="shared" si="21"/>
        <v/>
      </c>
      <c r="Y671" s="685">
        <f>'General price list'!$AB674</f>
        <v>0</v>
      </c>
      <c r="Z671" t="str">
        <f>IFERROR(X671*VLOOKUP(C671,'General price list'!C:I,7,FALSE),"")</f>
        <v/>
      </c>
      <c r="AA671" t="str">
        <f>IF(X671&lt;&gt;"",VLOOKUP(C671,'General price list'!C674:AN1852,MATCH("HM",Tabulka1[[#Headers],[KÓD]:[NEQ]],0),FALSE),"")</f>
        <v/>
      </c>
    </row>
    <row r="672" spans="1:27">
      <c r="A672">
        <f>COUNTIF($W$22:W672,1)</f>
        <v>0</v>
      </c>
      <c r="B672">
        <v>672</v>
      </c>
      <c r="C672" s="684" t="s">
        <v>1470</v>
      </c>
      <c r="W672" t="str">
        <f t="shared" si="20"/>
        <v/>
      </c>
      <c r="X672" s="185" t="str">
        <f t="shared" si="21"/>
        <v/>
      </c>
      <c r="Y672" s="685">
        <f>'General price list'!$AB675</f>
        <v>0</v>
      </c>
      <c r="Z672" t="str">
        <f>IFERROR(X672*VLOOKUP(C672,'General price list'!C:I,7,FALSE),"")</f>
        <v/>
      </c>
      <c r="AA672" t="str">
        <f>IF(X672&lt;&gt;"",VLOOKUP(C672,'General price list'!C675:AN1853,MATCH("HM",Tabulka1[[#Headers],[KÓD]:[NEQ]],0),FALSE),"")</f>
        <v/>
      </c>
    </row>
    <row r="673" spans="1:27">
      <c r="A673">
        <f>COUNTIF($W$22:W673,1)</f>
        <v>0</v>
      </c>
      <c r="B673">
        <v>673</v>
      </c>
      <c r="W673" t="str">
        <f t="shared" si="20"/>
        <v/>
      </c>
      <c r="X673" s="185" t="str">
        <f t="shared" si="21"/>
        <v/>
      </c>
      <c r="Y673" s="685">
        <f>'General price list'!$AB676</f>
        <v>0</v>
      </c>
      <c r="Z673" t="str">
        <f>IFERROR(X673*VLOOKUP(C673,'General price list'!C:I,7,FALSE),"")</f>
        <v/>
      </c>
      <c r="AA673" t="str">
        <f>IF(X673&lt;&gt;"",VLOOKUP(C673,'General price list'!C676:AN1854,MATCH("HM",Tabulka1[[#Headers],[KÓD]:[NEQ]],0),FALSE),"")</f>
        <v/>
      </c>
    </row>
    <row r="674" spans="1:27">
      <c r="A674">
        <f>COUNTIF($W$22:W674,1)</f>
        <v>0</v>
      </c>
      <c r="B674">
        <v>674</v>
      </c>
      <c r="C674" s="684" t="s">
        <v>1481</v>
      </c>
      <c r="W674" t="str">
        <f t="shared" si="20"/>
        <v/>
      </c>
      <c r="X674" s="185" t="str">
        <f t="shared" si="21"/>
        <v/>
      </c>
      <c r="Y674" s="685">
        <f>'General price list'!$AB677</f>
        <v>0</v>
      </c>
      <c r="Z674" t="str">
        <f>IFERROR(X674*VLOOKUP(C674,'General price list'!C:I,7,FALSE),"")</f>
        <v/>
      </c>
      <c r="AA674" t="str">
        <f>IF(X674&lt;&gt;"",VLOOKUP(C674,'General price list'!C677:AN1855,MATCH("HM",Tabulka1[[#Headers],[KÓD]:[NEQ]],0),FALSE),"")</f>
        <v/>
      </c>
    </row>
    <row r="675" spans="1:27">
      <c r="A675">
        <f>COUNTIF($W$22:W675,1)</f>
        <v>0</v>
      </c>
      <c r="B675">
        <v>675</v>
      </c>
      <c r="W675" t="str">
        <f t="shared" si="20"/>
        <v/>
      </c>
      <c r="X675" s="185" t="str">
        <f t="shared" si="21"/>
        <v/>
      </c>
      <c r="Y675" s="685">
        <f>'General price list'!$AB678</f>
        <v>0</v>
      </c>
      <c r="Z675" t="str">
        <f>IFERROR(X675*VLOOKUP(C675,'General price list'!C:I,7,FALSE),"")</f>
        <v/>
      </c>
      <c r="AA675" t="str">
        <f>IF(X675&lt;&gt;"",VLOOKUP(C675,'General price list'!C678:AN1856,MATCH("HM",Tabulka1[[#Headers],[KÓD]:[NEQ]],0),FALSE),"")</f>
        <v/>
      </c>
    </row>
    <row r="676" spans="1:27">
      <c r="A676">
        <f>COUNTIF($W$22:W676,1)</f>
        <v>0</v>
      </c>
      <c r="B676">
        <v>676</v>
      </c>
      <c r="C676" s="684" t="s">
        <v>1486</v>
      </c>
      <c r="W676" t="str">
        <f t="shared" si="20"/>
        <v/>
      </c>
      <c r="X676" s="185" t="str">
        <f t="shared" si="21"/>
        <v/>
      </c>
      <c r="Y676" s="685">
        <f>'General price list'!$AB679</f>
        <v>0</v>
      </c>
      <c r="Z676" t="str">
        <f>IFERROR(X676*VLOOKUP(C676,'General price list'!C:I,7,FALSE),"")</f>
        <v/>
      </c>
      <c r="AA676" t="str">
        <f>IF(X676&lt;&gt;"",VLOOKUP(C676,'General price list'!C679:AN1857,MATCH("HM",Tabulka1[[#Headers],[KÓD]:[NEQ]],0),FALSE),"")</f>
        <v/>
      </c>
    </row>
    <row r="677" spans="1:27">
      <c r="A677">
        <f>COUNTIF($W$22:W677,1)</f>
        <v>0</v>
      </c>
      <c r="B677">
        <v>677</v>
      </c>
      <c r="C677" s="684" t="s">
        <v>1487</v>
      </c>
      <c r="W677" t="str">
        <f t="shared" si="20"/>
        <v/>
      </c>
      <c r="X677" s="185" t="str">
        <f t="shared" si="21"/>
        <v/>
      </c>
      <c r="Y677" s="685">
        <f>'General price list'!$AB680</f>
        <v>0</v>
      </c>
      <c r="Z677" t="str">
        <f>IFERROR(X677*VLOOKUP(C677,'General price list'!C:I,7,FALSE),"")</f>
        <v/>
      </c>
      <c r="AA677" t="str">
        <f>IF(X677&lt;&gt;"",VLOOKUP(C677,'General price list'!C680:AN1858,MATCH("HM",Tabulka1[[#Headers],[KÓD]:[NEQ]],0),FALSE),"")</f>
        <v/>
      </c>
    </row>
    <row r="678" spans="1:27">
      <c r="A678">
        <f>COUNTIF($W$22:W678,1)</f>
        <v>0</v>
      </c>
      <c r="B678">
        <v>678</v>
      </c>
      <c r="C678" s="684" t="s">
        <v>1488</v>
      </c>
      <c r="W678" t="str">
        <f t="shared" si="20"/>
        <v/>
      </c>
      <c r="X678" s="185" t="str">
        <f t="shared" si="21"/>
        <v/>
      </c>
      <c r="Y678" s="685">
        <f>'General price list'!$AB681</f>
        <v>0</v>
      </c>
      <c r="Z678" t="str">
        <f>IFERROR(X678*VLOOKUP(C678,'General price list'!C:I,7,FALSE),"")</f>
        <v/>
      </c>
      <c r="AA678" t="str">
        <f>IF(X678&lt;&gt;"",VLOOKUP(C678,'General price list'!C681:AN1859,MATCH("HM",Tabulka1[[#Headers],[KÓD]:[NEQ]],0),FALSE),"")</f>
        <v/>
      </c>
    </row>
    <row r="679" spans="1:27">
      <c r="A679">
        <f>COUNTIF($W$22:W679,1)</f>
        <v>0</v>
      </c>
      <c r="B679">
        <v>679</v>
      </c>
      <c r="W679" t="str">
        <f t="shared" si="20"/>
        <v/>
      </c>
      <c r="X679" s="185" t="str">
        <f t="shared" si="21"/>
        <v/>
      </c>
      <c r="Y679" s="685">
        <f>'General price list'!$AB682</f>
        <v>0</v>
      </c>
      <c r="Z679" t="str">
        <f>IFERROR(X679*VLOOKUP(C679,'General price list'!C:I,7,FALSE),"")</f>
        <v/>
      </c>
      <c r="AA679" t="str">
        <f>IF(X679&lt;&gt;"",VLOOKUP(C679,'General price list'!C682:AN1860,MATCH("HM",Tabulka1[[#Headers],[KÓD]:[NEQ]],0),FALSE),"")</f>
        <v/>
      </c>
    </row>
    <row r="680" spans="1:27">
      <c r="A680">
        <f>COUNTIF($W$22:W680,1)</f>
        <v>0</v>
      </c>
      <c r="B680">
        <v>680</v>
      </c>
      <c r="C680" s="684" t="s">
        <v>1496</v>
      </c>
      <c r="W680" t="str">
        <f t="shared" si="20"/>
        <v/>
      </c>
      <c r="X680" s="185" t="str">
        <f t="shared" si="21"/>
        <v/>
      </c>
      <c r="Y680" s="685">
        <f>'General price list'!$AB683</f>
        <v>0</v>
      </c>
      <c r="Z680" t="str">
        <f>IFERROR(X680*VLOOKUP(C680,'General price list'!C:I,7,FALSE),"")</f>
        <v/>
      </c>
      <c r="AA680" t="str">
        <f>IF(X680&lt;&gt;"",VLOOKUP(C680,'General price list'!C683:AN1861,MATCH("HM",Tabulka1[[#Headers],[KÓD]:[NEQ]],0),FALSE),"")</f>
        <v/>
      </c>
    </row>
    <row r="681" spans="1:27">
      <c r="A681">
        <f>COUNTIF($W$22:W681,1)</f>
        <v>0</v>
      </c>
      <c r="B681">
        <v>681</v>
      </c>
      <c r="C681" s="684" t="s">
        <v>1497</v>
      </c>
      <c r="W681" t="str">
        <f t="shared" si="20"/>
        <v/>
      </c>
      <c r="X681" s="185" t="str">
        <f t="shared" si="21"/>
        <v/>
      </c>
      <c r="Y681" s="685">
        <f>'General price list'!$AB684</f>
        <v>0</v>
      </c>
      <c r="Z681" t="str">
        <f>IFERROR(X681*VLOOKUP(C681,'General price list'!C:I,7,FALSE),"")</f>
        <v/>
      </c>
      <c r="AA681" t="str">
        <f>IF(X681&lt;&gt;"",VLOOKUP(C681,'General price list'!C684:AN1862,MATCH("HM",Tabulka1[[#Headers],[KÓD]:[NEQ]],0),FALSE),"")</f>
        <v/>
      </c>
    </row>
    <row r="682" spans="1:27">
      <c r="A682">
        <f>COUNTIF($W$22:W682,1)</f>
        <v>0</v>
      </c>
      <c r="B682">
        <v>682</v>
      </c>
      <c r="C682" s="684" t="s">
        <v>1498</v>
      </c>
      <c r="W682" t="str">
        <f t="shared" si="20"/>
        <v/>
      </c>
      <c r="X682" s="185" t="str">
        <f t="shared" si="21"/>
        <v/>
      </c>
      <c r="Y682" s="685">
        <f>'General price list'!$AB685</f>
        <v>0</v>
      </c>
      <c r="Z682" t="str">
        <f>IFERROR(X682*VLOOKUP(C682,'General price list'!C:I,7,FALSE),"")</f>
        <v/>
      </c>
      <c r="AA682" t="str">
        <f>IF(X682&lt;&gt;"",VLOOKUP(C682,'General price list'!C685:AN1863,MATCH("HM",Tabulka1[[#Headers],[KÓD]:[NEQ]],0),FALSE),"")</f>
        <v/>
      </c>
    </row>
    <row r="683" spans="1:27">
      <c r="A683">
        <f>COUNTIF($W$22:W683,1)</f>
        <v>0</v>
      </c>
      <c r="B683">
        <v>683</v>
      </c>
      <c r="C683" s="684" t="s">
        <v>1499</v>
      </c>
      <c r="W683" t="str">
        <f t="shared" si="20"/>
        <v/>
      </c>
      <c r="X683" s="185" t="str">
        <f t="shared" si="21"/>
        <v/>
      </c>
      <c r="Y683" s="685">
        <f>'General price list'!$AB686</f>
        <v>0</v>
      </c>
      <c r="Z683" t="str">
        <f>IFERROR(X683*VLOOKUP(C683,'General price list'!C:I,7,FALSE),"")</f>
        <v/>
      </c>
      <c r="AA683" t="str">
        <f>IF(X683&lt;&gt;"",VLOOKUP(C683,'General price list'!C686:AN1864,MATCH("HM",Tabulka1[[#Headers],[KÓD]:[NEQ]],0),FALSE),"")</f>
        <v/>
      </c>
    </row>
    <row r="684" spans="1:27">
      <c r="A684">
        <f>COUNTIF($W$22:W684,1)</f>
        <v>0</v>
      </c>
      <c r="B684">
        <v>684</v>
      </c>
      <c r="W684" t="str">
        <f t="shared" si="20"/>
        <v/>
      </c>
      <c r="X684" s="185" t="str">
        <f t="shared" si="21"/>
        <v/>
      </c>
      <c r="Y684" s="685">
        <f>'General price list'!$AB687</f>
        <v>0</v>
      </c>
      <c r="Z684" t="str">
        <f>IFERROR(X684*VLOOKUP(C684,'General price list'!C:I,7,FALSE),"")</f>
        <v/>
      </c>
      <c r="AA684" t="str">
        <f>IF(X684&lt;&gt;"",VLOOKUP(C684,'General price list'!C687:AN1865,MATCH("HM",Tabulka1[[#Headers],[KÓD]:[NEQ]],0),FALSE),"")</f>
        <v/>
      </c>
    </row>
    <row r="685" spans="1:27">
      <c r="A685">
        <f>COUNTIF($W$22:W685,1)</f>
        <v>0</v>
      </c>
      <c r="B685">
        <v>685</v>
      </c>
      <c r="C685" s="684" t="s">
        <v>1500</v>
      </c>
      <c r="W685" t="str">
        <f t="shared" si="20"/>
        <v/>
      </c>
      <c r="X685" s="185" t="str">
        <f t="shared" si="21"/>
        <v/>
      </c>
      <c r="Y685" s="685">
        <f>'General price list'!$AB688</f>
        <v>0</v>
      </c>
      <c r="Z685" t="str">
        <f>IFERROR(X685*VLOOKUP(C685,'General price list'!C:I,7,FALSE),"")</f>
        <v/>
      </c>
      <c r="AA685" t="str">
        <f>IF(X685&lt;&gt;"",VLOOKUP(C685,'General price list'!C688:AN1866,MATCH("HM",Tabulka1[[#Headers],[KÓD]:[NEQ]],0),FALSE),"")</f>
        <v/>
      </c>
    </row>
    <row r="686" spans="1:27">
      <c r="A686">
        <f>COUNTIF($W$22:W686,1)</f>
        <v>0</v>
      </c>
      <c r="B686">
        <v>686</v>
      </c>
      <c r="W686" t="str">
        <f t="shared" si="20"/>
        <v/>
      </c>
      <c r="X686" s="185" t="str">
        <f t="shared" si="21"/>
        <v/>
      </c>
      <c r="Y686" s="685">
        <f>'General price list'!$AB689</f>
        <v>0</v>
      </c>
      <c r="Z686" t="str">
        <f>IFERROR(X686*VLOOKUP(C686,'General price list'!C:I,7,FALSE),"")</f>
        <v/>
      </c>
      <c r="AA686" t="str">
        <f>IF(X686&lt;&gt;"",VLOOKUP(C686,'General price list'!C689:AN1867,MATCH("HM",Tabulka1[[#Headers],[KÓD]:[NEQ]],0),FALSE),"")</f>
        <v/>
      </c>
    </row>
    <row r="687" spans="1:27">
      <c r="A687">
        <f>COUNTIF($W$22:W687,1)</f>
        <v>0</v>
      </c>
      <c r="B687">
        <v>687</v>
      </c>
      <c r="C687" s="684" t="s">
        <v>1503</v>
      </c>
      <c r="W687" t="str">
        <f t="shared" si="20"/>
        <v/>
      </c>
      <c r="X687" s="185" t="str">
        <f t="shared" si="21"/>
        <v/>
      </c>
      <c r="Y687" s="685">
        <f>'General price list'!$AB690</f>
        <v>0</v>
      </c>
      <c r="Z687" t="str">
        <f>IFERROR(X687*VLOOKUP(C687,'General price list'!C:I,7,FALSE),"")</f>
        <v/>
      </c>
      <c r="AA687" t="str">
        <f>IF(X687&lt;&gt;"",VLOOKUP(C687,'General price list'!C690:AN1868,MATCH("HM",Tabulka1[[#Headers],[KÓD]:[NEQ]],0),FALSE),"")</f>
        <v/>
      </c>
    </row>
    <row r="688" spans="1:27">
      <c r="A688">
        <f>COUNTIF($W$22:W688,1)</f>
        <v>0</v>
      </c>
      <c r="B688">
        <v>688</v>
      </c>
      <c r="C688" s="684" t="s">
        <v>5389</v>
      </c>
      <c r="W688" t="str">
        <f t="shared" si="20"/>
        <v/>
      </c>
      <c r="X688" s="185" t="str">
        <f t="shared" si="21"/>
        <v/>
      </c>
      <c r="Y688" s="685">
        <f>'General price list'!$AB691</f>
        <v>0</v>
      </c>
      <c r="Z688" t="str">
        <f>IFERROR(X688*VLOOKUP(C688,'General price list'!C:I,7,FALSE),"")</f>
        <v/>
      </c>
      <c r="AA688" t="str">
        <f>IF(X688&lt;&gt;"",VLOOKUP(C688,'General price list'!C691:AN1869,MATCH("HM",Tabulka1[[#Headers],[KÓD]:[NEQ]],0),FALSE),"")</f>
        <v/>
      </c>
    </row>
    <row r="689" spans="1:27">
      <c r="A689">
        <f>COUNTIF($W$22:W689,1)</f>
        <v>0</v>
      </c>
      <c r="B689">
        <v>689</v>
      </c>
      <c r="C689" s="684" t="s">
        <v>2560</v>
      </c>
      <c r="W689" t="str">
        <f t="shared" si="20"/>
        <v/>
      </c>
      <c r="X689" s="185" t="str">
        <f t="shared" si="21"/>
        <v/>
      </c>
      <c r="Y689" s="685">
        <f>'General price list'!$AB692</f>
        <v>0</v>
      </c>
      <c r="Z689" t="str">
        <f>IFERROR(X689*VLOOKUP(C689,'General price list'!C:I,7,FALSE),"")</f>
        <v/>
      </c>
      <c r="AA689" t="str">
        <f>IF(X689&lt;&gt;"",VLOOKUP(C689,'General price list'!C692:AN1870,MATCH("HM",Tabulka1[[#Headers],[KÓD]:[NEQ]],0),FALSE),"")</f>
        <v/>
      </c>
    </row>
    <row r="690" spans="1:27">
      <c r="A690">
        <f>COUNTIF($W$22:W690,1)</f>
        <v>0</v>
      </c>
      <c r="B690">
        <v>690</v>
      </c>
      <c r="C690" s="684" t="s">
        <v>1510</v>
      </c>
      <c r="W690" t="str">
        <f t="shared" si="20"/>
        <v/>
      </c>
      <c r="X690" s="185" t="str">
        <f t="shared" si="21"/>
        <v/>
      </c>
      <c r="Y690" s="685">
        <f>'General price list'!$AB693</f>
        <v>0</v>
      </c>
      <c r="Z690" t="str">
        <f>IFERROR(X690*VLOOKUP(C690,'General price list'!C:I,7,FALSE),"")</f>
        <v/>
      </c>
      <c r="AA690" t="str">
        <f>IF(X690&lt;&gt;"",VLOOKUP(C690,'General price list'!C693:AN1871,MATCH("HM",Tabulka1[[#Headers],[KÓD]:[NEQ]],0),FALSE),"")</f>
        <v/>
      </c>
    </row>
    <row r="691" spans="1:27">
      <c r="A691">
        <f>COUNTIF($W$22:W691,1)</f>
        <v>0</v>
      </c>
      <c r="B691">
        <v>691</v>
      </c>
      <c r="C691" s="684" t="s">
        <v>1512</v>
      </c>
      <c r="W691" t="str">
        <f t="shared" si="20"/>
        <v/>
      </c>
      <c r="X691" s="185" t="str">
        <f t="shared" si="21"/>
        <v/>
      </c>
      <c r="Y691" s="685">
        <f>'General price list'!$AB694</f>
        <v>0</v>
      </c>
      <c r="Z691" t="str">
        <f>IFERROR(X691*VLOOKUP(C691,'General price list'!C:I,7,FALSE),"")</f>
        <v/>
      </c>
      <c r="AA691" t="str">
        <f>IF(X691&lt;&gt;"",VLOOKUP(C691,'General price list'!C694:AN1872,MATCH("HM",Tabulka1[[#Headers],[KÓD]:[NEQ]],0),FALSE),"")</f>
        <v/>
      </c>
    </row>
    <row r="692" spans="1:27">
      <c r="A692">
        <f>COUNTIF($W$22:W692,1)</f>
        <v>0</v>
      </c>
      <c r="B692">
        <v>692</v>
      </c>
      <c r="C692" s="684" t="s">
        <v>2465</v>
      </c>
      <c r="W692" t="str">
        <f t="shared" si="20"/>
        <v/>
      </c>
      <c r="X692" s="185" t="str">
        <f t="shared" si="21"/>
        <v/>
      </c>
      <c r="Y692" s="685">
        <f>'General price list'!$AB695</f>
        <v>0</v>
      </c>
      <c r="Z692" t="str">
        <f>IFERROR(X692*VLOOKUP(C692,'General price list'!C:I,7,FALSE),"")</f>
        <v/>
      </c>
      <c r="AA692" t="str">
        <f>IF(X692&lt;&gt;"",VLOOKUP(C692,'General price list'!C695:AN1873,MATCH("HM",Tabulka1[[#Headers],[KÓD]:[NEQ]],0),FALSE),"")</f>
        <v/>
      </c>
    </row>
    <row r="693" spans="1:27">
      <c r="A693">
        <f>COUNTIF($W$22:W693,1)</f>
        <v>0</v>
      </c>
      <c r="B693">
        <v>693</v>
      </c>
      <c r="C693" s="684" t="s">
        <v>1514</v>
      </c>
      <c r="W693" t="str">
        <f t="shared" si="20"/>
        <v/>
      </c>
      <c r="X693" s="185" t="str">
        <f t="shared" si="21"/>
        <v/>
      </c>
      <c r="Y693" s="685">
        <f>'General price list'!$AB696</f>
        <v>0</v>
      </c>
      <c r="Z693" t="str">
        <f>IFERROR(X693*VLOOKUP(C693,'General price list'!C:I,7,FALSE),"")</f>
        <v/>
      </c>
      <c r="AA693" t="str">
        <f>IF(X693&lt;&gt;"",VLOOKUP(C693,'General price list'!C696:AN1874,MATCH("HM",Tabulka1[[#Headers],[KÓD]:[NEQ]],0),FALSE),"")</f>
        <v/>
      </c>
    </row>
    <row r="694" spans="1:27">
      <c r="A694">
        <f>COUNTIF($W$22:W694,1)</f>
        <v>0</v>
      </c>
      <c r="B694">
        <v>694</v>
      </c>
      <c r="C694" s="684" t="s">
        <v>1515</v>
      </c>
      <c r="W694" t="str">
        <f t="shared" si="20"/>
        <v/>
      </c>
      <c r="X694" s="185" t="str">
        <f t="shared" si="21"/>
        <v/>
      </c>
      <c r="Y694" s="685">
        <f>'General price list'!$AB697</f>
        <v>0</v>
      </c>
      <c r="Z694" t="str">
        <f>IFERROR(X694*VLOOKUP(C694,'General price list'!C:I,7,FALSE),"")</f>
        <v/>
      </c>
      <c r="AA694" t="str">
        <f>IF(X694&lt;&gt;"",VLOOKUP(C694,'General price list'!C697:AN1875,MATCH("HM",Tabulka1[[#Headers],[KÓD]:[NEQ]],0),FALSE),"")</f>
        <v/>
      </c>
    </row>
    <row r="695" spans="1:27">
      <c r="A695">
        <f>COUNTIF($W$22:W695,1)</f>
        <v>0</v>
      </c>
      <c r="B695">
        <v>695</v>
      </c>
      <c r="C695" s="684" t="s">
        <v>1520</v>
      </c>
      <c r="W695" t="str">
        <f t="shared" si="20"/>
        <v/>
      </c>
      <c r="X695" s="185" t="str">
        <f t="shared" si="21"/>
        <v/>
      </c>
      <c r="Y695" s="685">
        <f>'General price list'!$AB698</f>
        <v>0</v>
      </c>
      <c r="Z695" t="str">
        <f>IFERROR(X695*VLOOKUP(C695,'General price list'!C:I,7,FALSE),"")</f>
        <v/>
      </c>
      <c r="AA695" t="str">
        <f>IF(X695&lt;&gt;"",VLOOKUP(C695,'General price list'!C698:AN1876,MATCH("HM",Tabulka1[[#Headers],[KÓD]:[NEQ]],0),FALSE),"")</f>
        <v/>
      </c>
    </row>
    <row r="696" spans="1:27">
      <c r="A696">
        <f>COUNTIF($W$22:W696,1)</f>
        <v>0</v>
      </c>
      <c r="B696">
        <v>696</v>
      </c>
      <c r="C696" s="684" t="s">
        <v>1525</v>
      </c>
      <c r="W696" t="str">
        <f t="shared" si="20"/>
        <v/>
      </c>
      <c r="X696" s="185" t="str">
        <f t="shared" si="21"/>
        <v/>
      </c>
      <c r="Y696" s="685">
        <f>'General price list'!$AB699</f>
        <v>0</v>
      </c>
      <c r="Z696" t="str">
        <f>IFERROR(X696*VLOOKUP(C696,'General price list'!C:I,7,FALSE),"")</f>
        <v/>
      </c>
      <c r="AA696" t="str">
        <f>IF(X696&lt;&gt;"",VLOOKUP(C696,'General price list'!C699:AN1877,MATCH("HM",Tabulka1[[#Headers],[KÓD]:[NEQ]],0),FALSE),"")</f>
        <v/>
      </c>
    </row>
    <row r="697" spans="1:27">
      <c r="A697">
        <f>COUNTIF($W$22:W697,1)</f>
        <v>0</v>
      </c>
      <c r="B697">
        <v>697</v>
      </c>
      <c r="C697" s="684" t="s">
        <v>2562</v>
      </c>
      <c r="W697" t="str">
        <f t="shared" si="20"/>
        <v/>
      </c>
      <c r="X697" s="185" t="str">
        <f t="shared" si="21"/>
        <v/>
      </c>
      <c r="Y697" s="685">
        <f>'General price list'!$AB700</f>
        <v>0</v>
      </c>
      <c r="Z697" t="str">
        <f>IFERROR(X697*VLOOKUP(C697,'General price list'!C:I,7,FALSE),"")</f>
        <v/>
      </c>
      <c r="AA697" t="str">
        <f>IF(X697&lt;&gt;"",VLOOKUP(C697,'General price list'!C700:AN1878,MATCH("HM",Tabulka1[[#Headers],[KÓD]:[NEQ]],0),FALSE),"")</f>
        <v/>
      </c>
    </row>
    <row r="698" spans="1:27">
      <c r="A698">
        <f>COUNTIF($W$22:W698,1)</f>
        <v>0</v>
      </c>
      <c r="B698">
        <v>698</v>
      </c>
      <c r="W698" t="str">
        <f t="shared" si="20"/>
        <v/>
      </c>
      <c r="X698" s="185" t="str">
        <f t="shared" si="21"/>
        <v/>
      </c>
      <c r="Y698" s="685">
        <f>'General price list'!$AB701</f>
        <v>0</v>
      </c>
      <c r="Z698" t="str">
        <f>IFERROR(X698*VLOOKUP(C698,'General price list'!C:I,7,FALSE),"")</f>
        <v/>
      </c>
      <c r="AA698" t="str">
        <f>IF(X698&lt;&gt;"",VLOOKUP(C698,'General price list'!C701:AN1879,MATCH("HM",Tabulka1[[#Headers],[KÓD]:[NEQ]],0),FALSE),"")</f>
        <v/>
      </c>
    </row>
    <row r="699" spans="1:27">
      <c r="A699">
        <f>COUNTIF($W$22:W699,1)</f>
        <v>0</v>
      </c>
      <c r="B699">
        <v>699</v>
      </c>
      <c r="C699" s="684" t="s">
        <v>1530</v>
      </c>
      <c r="W699" t="str">
        <f t="shared" si="20"/>
        <v/>
      </c>
      <c r="X699" s="185" t="str">
        <f t="shared" si="21"/>
        <v/>
      </c>
      <c r="Y699" s="685">
        <f>'General price list'!$AB702</f>
        <v>0</v>
      </c>
      <c r="Z699" t="str">
        <f>IFERROR(X699*VLOOKUP(C699,'General price list'!C:I,7,FALSE),"")</f>
        <v/>
      </c>
      <c r="AA699" t="str">
        <f>IF(X699&lt;&gt;"",VLOOKUP(C699,'General price list'!C702:AN1880,MATCH("HM",Tabulka1[[#Headers],[KÓD]:[NEQ]],0),FALSE),"")</f>
        <v/>
      </c>
    </row>
    <row r="700" spans="1:27">
      <c r="A700">
        <f>COUNTIF($W$22:W700,1)</f>
        <v>0</v>
      </c>
      <c r="B700">
        <v>700</v>
      </c>
      <c r="C700" s="684" t="s">
        <v>1531</v>
      </c>
      <c r="W700" t="str">
        <f t="shared" si="20"/>
        <v/>
      </c>
      <c r="X700" s="185" t="str">
        <f t="shared" si="21"/>
        <v/>
      </c>
      <c r="Y700" s="685">
        <f>'General price list'!$AB703</f>
        <v>0</v>
      </c>
      <c r="Z700" t="str">
        <f>IFERROR(X700*VLOOKUP(C700,'General price list'!C:I,7,FALSE),"")</f>
        <v/>
      </c>
      <c r="AA700" t="str">
        <f>IF(X700&lt;&gt;"",VLOOKUP(C700,'General price list'!C703:AN1881,MATCH("HM",Tabulka1[[#Headers],[KÓD]:[NEQ]],0),FALSE),"")</f>
        <v/>
      </c>
    </row>
    <row r="701" spans="1:27">
      <c r="A701">
        <f>COUNTIF($W$22:W701,1)</f>
        <v>0</v>
      </c>
      <c r="B701">
        <v>701</v>
      </c>
      <c r="C701" s="684" t="s">
        <v>1533</v>
      </c>
      <c r="W701" t="str">
        <f t="shared" si="20"/>
        <v/>
      </c>
      <c r="X701" s="185" t="str">
        <f t="shared" si="21"/>
        <v/>
      </c>
      <c r="Y701" s="685">
        <f>'General price list'!$AB704</f>
        <v>0</v>
      </c>
      <c r="Z701" t="str">
        <f>IFERROR(X701*VLOOKUP(C701,'General price list'!C:I,7,FALSE),"")</f>
        <v/>
      </c>
      <c r="AA701" t="str">
        <f>IF(X701&lt;&gt;"",VLOOKUP(C701,'General price list'!C704:AN1882,MATCH("HM",Tabulka1[[#Headers],[KÓD]:[NEQ]],0),FALSE),"")</f>
        <v/>
      </c>
    </row>
    <row r="702" spans="1:27">
      <c r="A702">
        <f>COUNTIF($W$22:W702,1)</f>
        <v>0</v>
      </c>
      <c r="B702">
        <v>702</v>
      </c>
      <c r="C702" s="684" t="s">
        <v>1535</v>
      </c>
      <c r="W702" t="str">
        <f t="shared" si="20"/>
        <v/>
      </c>
      <c r="X702" s="185" t="str">
        <f t="shared" si="21"/>
        <v/>
      </c>
      <c r="Y702" s="685">
        <f>'General price list'!$AB705</f>
        <v>0</v>
      </c>
      <c r="Z702" t="str">
        <f>IFERROR(X702*VLOOKUP(C702,'General price list'!C:I,7,FALSE),"")</f>
        <v/>
      </c>
      <c r="AA702" t="str">
        <f>IF(X702&lt;&gt;"",VLOOKUP(C702,'General price list'!C705:AN1883,MATCH("HM",Tabulka1[[#Headers],[KÓD]:[NEQ]],0),FALSE),"")</f>
        <v/>
      </c>
    </row>
    <row r="703" spans="1:27">
      <c r="A703">
        <f>COUNTIF($W$22:W703,1)</f>
        <v>0</v>
      </c>
      <c r="B703">
        <v>703</v>
      </c>
      <c r="W703" t="str">
        <f t="shared" si="20"/>
        <v/>
      </c>
      <c r="X703" s="185" t="str">
        <f t="shared" si="21"/>
        <v/>
      </c>
      <c r="Y703" s="685">
        <f>'General price list'!$AB706</f>
        <v>0</v>
      </c>
      <c r="Z703" t="str">
        <f>IFERROR(X703*VLOOKUP(C703,'General price list'!C:I,7,FALSE),"")</f>
        <v/>
      </c>
      <c r="AA703" t="str">
        <f>IF(X703&lt;&gt;"",VLOOKUP(C703,'General price list'!C706:AN1884,MATCH("HM",Tabulka1[[#Headers],[KÓD]:[NEQ]],0),FALSE),"")</f>
        <v/>
      </c>
    </row>
    <row r="704" spans="1:27">
      <c r="A704">
        <f>COUNTIF($W$22:W704,1)</f>
        <v>0</v>
      </c>
      <c r="B704">
        <v>704</v>
      </c>
      <c r="C704" s="684" t="s">
        <v>1537</v>
      </c>
      <c r="W704" t="str">
        <f t="shared" si="20"/>
        <v/>
      </c>
      <c r="X704" s="185" t="str">
        <f t="shared" si="21"/>
        <v/>
      </c>
      <c r="Y704" s="685">
        <f>'General price list'!$AB707</f>
        <v>0</v>
      </c>
      <c r="Z704" t="str">
        <f>IFERROR(X704*VLOOKUP(C704,'General price list'!C:I,7,FALSE),"")</f>
        <v/>
      </c>
      <c r="AA704" t="str">
        <f>IF(X704&lt;&gt;"",VLOOKUP(C704,'General price list'!C707:AN1885,MATCH("HM",Tabulka1[[#Headers],[KÓD]:[NEQ]],0),FALSE),"")</f>
        <v/>
      </c>
    </row>
    <row r="705" spans="1:27">
      <c r="A705">
        <f>COUNTIF($W$22:W705,1)</f>
        <v>0</v>
      </c>
      <c r="B705">
        <v>705</v>
      </c>
      <c r="C705" s="684" t="s">
        <v>1538</v>
      </c>
      <c r="W705" t="str">
        <f t="shared" si="20"/>
        <v/>
      </c>
      <c r="X705" s="185" t="str">
        <f t="shared" si="21"/>
        <v/>
      </c>
      <c r="Y705" s="685">
        <f>'General price list'!$AB708</f>
        <v>0</v>
      </c>
      <c r="Z705" t="str">
        <f>IFERROR(X705*VLOOKUP(C705,'General price list'!C:I,7,FALSE),"")</f>
        <v/>
      </c>
      <c r="AA705" t="str">
        <f>IF(X705&lt;&gt;"",VLOOKUP(C705,'General price list'!C708:AN1886,MATCH("HM",Tabulka1[[#Headers],[KÓD]:[NEQ]],0),FALSE),"")</f>
        <v/>
      </c>
    </row>
    <row r="706" spans="1:27">
      <c r="A706">
        <f>COUNTIF($W$22:W706,1)</f>
        <v>0</v>
      </c>
      <c r="B706">
        <v>706</v>
      </c>
      <c r="C706" s="684" t="s">
        <v>1541</v>
      </c>
      <c r="W706" t="str">
        <f t="shared" si="20"/>
        <v/>
      </c>
      <c r="X706" s="185" t="str">
        <f t="shared" si="21"/>
        <v/>
      </c>
      <c r="Y706" s="685">
        <f>'General price list'!$AB709</f>
        <v>0</v>
      </c>
      <c r="Z706" t="str">
        <f>IFERROR(X706*VLOOKUP(C706,'General price list'!C:I,7,FALSE),"")</f>
        <v/>
      </c>
      <c r="AA706" t="str">
        <f>IF(X706&lt;&gt;"",VLOOKUP(C706,'General price list'!C709:AN1887,MATCH("HM",Tabulka1[[#Headers],[KÓD]:[NEQ]],0),FALSE),"")</f>
        <v/>
      </c>
    </row>
    <row r="707" spans="1:27">
      <c r="A707">
        <f>COUNTIF($W$22:W707,1)</f>
        <v>0</v>
      </c>
      <c r="B707">
        <v>707</v>
      </c>
      <c r="C707" s="684" t="s">
        <v>1543</v>
      </c>
      <c r="W707" t="str">
        <f t="shared" si="20"/>
        <v/>
      </c>
      <c r="X707" s="185" t="str">
        <f t="shared" si="21"/>
        <v/>
      </c>
      <c r="Y707" s="685">
        <f>'General price list'!$AB710</f>
        <v>0</v>
      </c>
      <c r="Z707" t="str">
        <f>IFERROR(X707*VLOOKUP(C707,'General price list'!C:I,7,FALSE),"")</f>
        <v/>
      </c>
      <c r="AA707" t="str">
        <f>IF(X707&lt;&gt;"",VLOOKUP(C707,'General price list'!C710:AN1888,MATCH("HM",Tabulka1[[#Headers],[KÓD]:[NEQ]],0),FALSE),"")</f>
        <v/>
      </c>
    </row>
    <row r="708" spans="1:27">
      <c r="A708">
        <f>COUNTIF($W$22:W708,1)</f>
        <v>0</v>
      </c>
      <c r="B708">
        <v>708</v>
      </c>
      <c r="C708" s="684" t="s">
        <v>1545</v>
      </c>
      <c r="W708" t="str">
        <f t="shared" si="20"/>
        <v/>
      </c>
      <c r="X708" s="185" t="str">
        <f t="shared" si="21"/>
        <v/>
      </c>
      <c r="Y708" s="685">
        <f>'General price list'!$AB711</f>
        <v>0</v>
      </c>
      <c r="Z708" t="str">
        <f>IFERROR(X708*VLOOKUP(C708,'General price list'!C:I,7,FALSE),"")</f>
        <v/>
      </c>
      <c r="AA708" t="str">
        <f>IF(X708&lt;&gt;"",VLOOKUP(C708,'General price list'!C711:AN1889,MATCH("HM",Tabulka1[[#Headers],[KÓD]:[NEQ]],0),FALSE),"")</f>
        <v/>
      </c>
    </row>
    <row r="709" spans="1:27">
      <c r="A709">
        <f>COUNTIF($W$22:W709,1)</f>
        <v>0</v>
      </c>
      <c r="B709">
        <v>709</v>
      </c>
      <c r="C709" s="684" t="s">
        <v>1547</v>
      </c>
      <c r="W709" t="str">
        <f t="shared" si="20"/>
        <v/>
      </c>
      <c r="X709" s="185" t="str">
        <f t="shared" si="21"/>
        <v/>
      </c>
      <c r="Y709" s="685">
        <f>'General price list'!$AB712</f>
        <v>0</v>
      </c>
      <c r="Z709" t="str">
        <f>IFERROR(X709*VLOOKUP(C709,'General price list'!C:I,7,FALSE),"")</f>
        <v/>
      </c>
      <c r="AA709" t="str">
        <f>IF(X709&lt;&gt;"",VLOOKUP(C709,'General price list'!C712:AN1890,MATCH("HM",Tabulka1[[#Headers],[KÓD]:[NEQ]],0),FALSE),"")</f>
        <v/>
      </c>
    </row>
    <row r="710" spans="1:27">
      <c r="A710">
        <f>COUNTIF($W$22:W710,1)</f>
        <v>0</v>
      </c>
      <c r="B710">
        <v>710</v>
      </c>
      <c r="W710" t="str">
        <f t="shared" si="20"/>
        <v/>
      </c>
      <c r="X710" s="185" t="str">
        <f t="shared" si="21"/>
        <v/>
      </c>
      <c r="Y710" s="685">
        <f>'General price list'!$AB713</f>
        <v>0</v>
      </c>
      <c r="Z710" t="str">
        <f>IFERROR(X710*VLOOKUP(C710,'General price list'!C:I,7,FALSE),"")</f>
        <v/>
      </c>
      <c r="AA710" t="str">
        <f>IF(X710&lt;&gt;"",VLOOKUP(C710,'General price list'!C713:AN1891,MATCH("HM",Tabulka1[[#Headers],[KÓD]:[NEQ]],0),FALSE),"")</f>
        <v/>
      </c>
    </row>
    <row r="711" spans="1:27">
      <c r="A711">
        <f>COUNTIF($W$22:W711,1)</f>
        <v>0</v>
      </c>
      <c r="B711">
        <v>711</v>
      </c>
      <c r="C711" s="684" t="s">
        <v>1549</v>
      </c>
      <c r="W711" t="str">
        <f t="shared" si="20"/>
        <v/>
      </c>
      <c r="X711" s="185" t="str">
        <f t="shared" si="21"/>
        <v/>
      </c>
      <c r="Y711" s="685">
        <f>'General price list'!$AB714</f>
        <v>0</v>
      </c>
      <c r="Z711" t="str">
        <f>IFERROR(X711*VLOOKUP(C711,'General price list'!C:I,7,FALSE),"")</f>
        <v/>
      </c>
      <c r="AA711" t="str">
        <f>IF(X711&lt;&gt;"",VLOOKUP(C711,'General price list'!C714:AN1892,MATCH("HM",Tabulka1[[#Headers],[KÓD]:[NEQ]],0),FALSE),"")</f>
        <v/>
      </c>
    </row>
    <row r="712" spans="1:27">
      <c r="A712">
        <f>COUNTIF($W$22:W712,1)</f>
        <v>0</v>
      </c>
      <c r="B712">
        <v>712</v>
      </c>
      <c r="C712" s="684" t="s">
        <v>1550</v>
      </c>
      <c r="W712" t="str">
        <f t="shared" si="20"/>
        <v/>
      </c>
      <c r="X712" s="185" t="str">
        <f t="shared" si="21"/>
        <v/>
      </c>
      <c r="Y712" s="685">
        <f>'General price list'!$AB715</f>
        <v>0</v>
      </c>
      <c r="Z712" t="str">
        <f>IFERROR(X712*VLOOKUP(C712,'General price list'!C:I,7,FALSE),"")</f>
        <v/>
      </c>
      <c r="AA712" t="str">
        <f>IF(X712&lt;&gt;"",VLOOKUP(C712,'General price list'!C715:AN1893,MATCH("HM",Tabulka1[[#Headers],[KÓD]:[NEQ]],0),FALSE),"")</f>
        <v/>
      </c>
    </row>
    <row r="713" spans="1:27">
      <c r="A713">
        <f>COUNTIF($W$22:W713,1)</f>
        <v>0</v>
      </c>
      <c r="B713">
        <v>713</v>
      </c>
      <c r="C713" s="684" t="s">
        <v>1557</v>
      </c>
      <c r="W713" t="str">
        <f t="shared" si="20"/>
        <v/>
      </c>
      <c r="X713" s="185" t="str">
        <f t="shared" si="21"/>
        <v/>
      </c>
      <c r="Y713" s="685">
        <f>'General price list'!$AB716</f>
        <v>0</v>
      </c>
      <c r="Z713" t="str">
        <f>IFERROR(X713*VLOOKUP(C713,'General price list'!C:I,7,FALSE),"")</f>
        <v/>
      </c>
      <c r="AA713" t="str">
        <f>IF(X713&lt;&gt;"",VLOOKUP(C713,'General price list'!C716:AN1894,MATCH("HM",Tabulka1[[#Headers],[KÓD]:[NEQ]],0),FALSE),"")</f>
        <v/>
      </c>
    </row>
    <row r="714" spans="1:27">
      <c r="A714">
        <f>COUNTIF($W$22:W714,1)</f>
        <v>0</v>
      </c>
      <c r="B714">
        <v>714</v>
      </c>
      <c r="C714" s="684" t="s">
        <v>1558</v>
      </c>
      <c r="W714" t="str">
        <f t="shared" si="20"/>
        <v/>
      </c>
      <c r="X714" s="185" t="str">
        <f t="shared" si="21"/>
        <v/>
      </c>
      <c r="Y714" s="685">
        <f>'General price list'!$AB717</f>
        <v>0</v>
      </c>
      <c r="Z714" t="str">
        <f>IFERROR(X714*VLOOKUP(C714,'General price list'!C:I,7,FALSE),"")</f>
        <v/>
      </c>
      <c r="AA714" t="str">
        <f>IF(X714&lt;&gt;"",VLOOKUP(C714,'General price list'!C717:AN1895,MATCH("HM",Tabulka1[[#Headers],[KÓD]:[NEQ]],0),FALSE),"")</f>
        <v/>
      </c>
    </row>
    <row r="715" spans="1:27">
      <c r="A715">
        <f>COUNTIF($W$22:W715,1)</f>
        <v>0</v>
      </c>
      <c r="B715">
        <v>715</v>
      </c>
      <c r="W715" t="str">
        <f t="shared" si="20"/>
        <v/>
      </c>
      <c r="X715" s="185" t="str">
        <f t="shared" si="21"/>
        <v/>
      </c>
      <c r="Y715" s="685">
        <f>'General price list'!$AB718</f>
        <v>0</v>
      </c>
      <c r="Z715" t="str">
        <f>IFERROR(X715*VLOOKUP(C715,'General price list'!C:I,7,FALSE),"")</f>
        <v/>
      </c>
      <c r="AA715" t="str">
        <f>IF(X715&lt;&gt;"",VLOOKUP(C715,'General price list'!C718:AN1896,MATCH("HM",Tabulka1[[#Headers],[KÓD]:[NEQ]],0),FALSE),"")</f>
        <v/>
      </c>
    </row>
    <row r="716" spans="1:27">
      <c r="A716">
        <f>COUNTIF($W$22:W716,1)</f>
        <v>0</v>
      </c>
      <c r="B716">
        <v>716</v>
      </c>
      <c r="C716" s="684" t="s">
        <v>1563</v>
      </c>
      <c r="W716" t="str">
        <f t="shared" si="20"/>
        <v/>
      </c>
      <c r="X716" s="185" t="str">
        <f t="shared" si="21"/>
        <v/>
      </c>
      <c r="Y716" s="685">
        <f>'General price list'!$AB719</f>
        <v>0</v>
      </c>
      <c r="Z716" t="str">
        <f>IFERROR(X716*VLOOKUP(C716,'General price list'!C:I,7,FALSE),"")</f>
        <v/>
      </c>
      <c r="AA716" t="str">
        <f>IF(X716&lt;&gt;"",VLOOKUP(C716,'General price list'!C719:AN1897,MATCH("HM",Tabulka1[[#Headers],[KÓD]:[NEQ]],0),FALSE),"")</f>
        <v/>
      </c>
    </row>
    <row r="717" spans="1:27">
      <c r="A717">
        <f>COUNTIF($W$22:W717,1)</f>
        <v>0</v>
      </c>
      <c r="B717">
        <v>717</v>
      </c>
      <c r="C717" s="684" t="s">
        <v>1564</v>
      </c>
      <c r="W717" t="str">
        <f t="shared" si="20"/>
        <v/>
      </c>
      <c r="X717" s="185" t="str">
        <f t="shared" si="21"/>
        <v/>
      </c>
      <c r="Y717" s="685">
        <f>'General price list'!$AB720</f>
        <v>0</v>
      </c>
      <c r="Z717" t="str">
        <f>IFERROR(X717*VLOOKUP(C717,'General price list'!C:I,7,FALSE),"")</f>
        <v/>
      </c>
      <c r="AA717" t="str">
        <f>IF(X717&lt;&gt;"",VLOOKUP(C717,'General price list'!C720:AN1898,MATCH("HM",Tabulka1[[#Headers],[KÓD]:[NEQ]],0),FALSE),"")</f>
        <v/>
      </c>
    </row>
    <row r="718" spans="1:27">
      <c r="A718">
        <f>COUNTIF($W$22:W718,1)</f>
        <v>0</v>
      </c>
      <c r="B718">
        <v>718</v>
      </c>
      <c r="W718" t="str">
        <f t="shared" si="20"/>
        <v/>
      </c>
      <c r="X718" s="185" t="str">
        <f t="shared" si="21"/>
        <v/>
      </c>
      <c r="Y718" s="685">
        <f>'General price list'!$AB721</f>
        <v>0</v>
      </c>
      <c r="Z718" t="str">
        <f>IFERROR(X718*VLOOKUP(C718,'General price list'!C:I,7,FALSE),"")</f>
        <v/>
      </c>
      <c r="AA718" t="str">
        <f>IF(X718&lt;&gt;"",VLOOKUP(C718,'General price list'!C721:AN1899,MATCH("HM",Tabulka1[[#Headers],[KÓD]:[NEQ]],0),FALSE),"")</f>
        <v/>
      </c>
    </row>
    <row r="719" spans="1:27">
      <c r="A719">
        <f>COUNTIF($W$22:W719,1)</f>
        <v>0</v>
      </c>
      <c r="B719">
        <v>719</v>
      </c>
      <c r="C719" s="684" t="s">
        <v>1565</v>
      </c>
      <c r="W719" t="str">
        <f t="shared" si="20"/>
        <v/>
      </c>
      <c r="X719" s="185" t="str">
        <f t="shared" si="21"/>
        <v/>
      </c>
      <c r="Y719" s="685">
        <f>'General price list'!$AB722</f>
        <v>0</v>
      </c>
      <c r="Z719" t="str">
        <f>IFERROR(X719*VLOOKUP(C719,'General price list'!C:I,7,FALSE),"")</f>
        <v/>
      </c>
      <c r="AA719" t="str">
        <f>IF(X719&lt;&gt;"",VLOOKUP(C719,'General price list'!C722:AN1900,MATCH("HM",Tabulka1[[#Headers],[KÓD]:[NEQ]],0),FALSE),"")</f>
        <v/>
      </c>
    </row>
    <row r="720" spans="1:27">
      <c r="A720">
        <f>COUNTIF($W$22:W720,1)</f>
        <v>0</v>
      </c>
      <c r="B720">
        <v>720</v>
      </c>
      <c r="W720" t="str">
        <f t="shared" si="20"/>
        <v/>
      </c>
      <c r="X720" s="185" t="str">
        <f t="shared" si="21"/>
        <v/>
      </c>
      <c r="Y720" s="685">
        <f>'General price list'!$AB723</f>
        <v>0</v>
      </c>
      <c r="Z720" t="str">
        <f>IFERROR(X720*VLOOKUP(C720,'General price list'!C:I,7,FALSE),"")</f>
        <v/>
      </c>
      <c r="AA720" t="str">
        <f>IF(X720&lt;&gt;"",VLOOKUP(C720,'General price list'!C723:AN1901,MATCH("HM",Tabulka1[[#Headers],[KÓD]:[NEQ]],0),FALSE),"")</f>
        <v/>
      </c>
    </row>
    <row r="721" spans="1:27">
      <c r="A721">
        <f>COUNTIF($W$22:W721,1)</f>
        <v>0</v>
      </c>
      <c r="B721">
        <v>721</v>
      </c>
      <c r="C721" s="684" t="s">
        <v>1567</v>
      </c>
      <c r="W721" t="str">
        <f t="shared" si="20"/>
        <v/>
      </c>
      <c r="X721" s="185" t="str">
        <f t="shared" si="21"/>
        <v/>
      </c>
      <c r="Y721" s="685">
        <f>'General price list'!$AB724</f>
        <v>0</v>
      </c>
      <c r="Z721" t="str">
        <f>IFERROR(X721*VLOOKUP(C721,'General price list'!C:I,7,FALSE),"")</f>
        <v/>
      </c>
      <c r="AA721" t="str">
        <f>IF(X721&lt;&gt;"",VLOOKUP(C721,'General price list'!C724:AN1902,MATCH("HM",Tabulka1[[#Headers],[KÓD]:[NEQ]],0),FALSE),"")</f>
        <v/>
      </c>
    </row>
    <row r="722" spans="1:27">
      <c r="A722">
        <f>COUNTIF($W$22:W722,1)</f>
        <v>0</v>
      </c>
      <c r="B722">
        <v>722</v>
      </c>
      <c r="C722" s="684" t="s">
        <v>1569</v>
      </c>
      <c r="W722" t="str">
        <f t="shared" si="20"/>
        <v/>
      </c>
      <c r="X722" s="185" t="str">
        <f t="shared" si="21"/>
        <v/>
      </c>
      <c r="Y722" s="685">
        <f>'General price list'!$AB725</f>
        <v>0</v>
      </c>
      <c r="Z722" t="str">
        <f>IFERROR(X722*VLOOKUP(C722,'General price list'!C:I,7,FALSE),"")</f>
        <v/>
      </c>
      <c r="AA722" t="str">
        <f>IF(X722&lt;&gt;"",VLOOKUP(C722,'General price list'!C725:AN1903,MATCH("HM",Tabulka1[[#Headers],[KÓD]:[NEQ]],0),FALSE),"")</f>
        <v/>
      </c>
    </row>
    <row r="723" spans="1:27">
      <c r="A723">
        <f>COUNTIF($W$22:W723,1)</f>
        <v>0</v>
      </c>
      <c r="B723">
        <v>723</v>
      </c>
      <c r="W723" t="str">
        <f t="shared" si="20"/>
        <v/>
      </c>
      <c r="X723" s="185" t="str">
        <f t="shared" si="21"/>
        <v/>
      </c>
      <c r="Y723" s="685">
        <f>'General price list'!$AB726</f>
        <v>0</v>
      </c>
      <c r="Z723" t="str">
        <f>IFERROR(X723*VLOOKUP(C723,'General price list'!C:I,7,FALSE),"")</f>
        <v/>
      </c>
      <c r="AA723" t="str">
        <f>IF(X723&lt;&gt;"",VLOOKUP(C723,'General price list'!C726:AN1904,MATCH("HM",Tabulka1[[#Headers],[KÓD]:[NEQ]],0),FALSE),"")</f>
        <v/>
      </c>
    </row>
    <row r="724" spans="1:27">
      <c r="A724">
        <f>COUNTIF($W$22:W724,1)</f>
        <v>0</v>
      </c>
      <c r="B724">
        <v>724</v>
      </c>
      <c r="C724" s="684" t="s">
        <v>2564</v>
      </c>
      <c r="W724" t="str">
        <f t="shared" si="20"/>
        <v/>
      </c>
      <c r="X724" s="185" t="str">
        <f t="shared" si="21"/>
        <v/>
      </c>
      <c r="Y724" s="685">
        <f>'General price list'!$AB727</f>
        <v>0</v>
      </c>
      <c r="Z724" t="str">
        <f>IFERROR(X724*VLOOKUP(C724,'General price list'!C:I,7,FALSE),"")</f>
        <v/>
      </c>
      <c r="AA724" t="str">
        <f>IF(X724&lt;&gt;"",VLOOKUP(C724,'General price list'!C727:AN1905,MATCH("HM",Tabulka1[[#Headers],[KÓD]:[NEQ]],0),FALSE),"")</f>
        <v/>
      </c>
    </row>
    <row r="725" spans="1:27">
      <c r="A725">
        <f>COUNTIF($W$22:W725,1)</f>
        <v>0</v>
      </c>
      <c r="B725">
        <v>725</v>
      </c>
      <c r="C725" s="684" t="s">
        <v>5428</v>
      </c>
      <c r="W725" t="str">
        <f t="shared" si="20"/>
        <v/>
      </c>
      <c r="X725" s="185" t="str">
        <f t="shared" si="21"/>
        <v/>
      </c>
      <c r="Y725" s="685">
        <f>'General price list'!$AB728</f>
        <v>0</v>
      </c>
      <c r="Z725" t="str">
        <f>IFERROR(X725*VLOOKUP(C725,'General price list'!C:I,7,FALSE),"")</f>
        <v/>
      </c>
      <c r="AA725" t="str">
        <f>IF(X725&lt;&gt;"",VLOOKUP(C725,'General price list'!C728:AN1906,MATCH("HM",Tabulka1[[#Headers],[KÓD]:[NEQ]],0),FALSE),"")</f>
        <v/>
      </c>
    </row>
    <row r="726" spans="1:27">
      <c r="A726">
        <f>COUNTIF($W$22:W726,1)</f>
        <v>0</v>
      </c>
      <c r="B726">
        <v>726</v>
      </c>
      <c r="C726" s="684" t="s">
        <v>1571</v>
      </c>
      <c r="W726" t="str">
        <f t="shared" si="20"/>
        <v/>
      </c>
      <c r="X726" s="185" t="str">
        <f t="shared" si="21"/>
        <v/>
      </c>
      <c r="Y726" s="685">
        <f>'General price list'!$AB729</f>
        <v>0</v>
      </c>
      <c r="Z726" t="str">
        <f>IFERROR(X726*VLOOKUP(C726,'General price list'!C:I,7,FALSE),"")</f>
        <v/>
      </c>
      <c r="AA726" t="str">
        <f>IF(X726&lt;&gt;"",VLOOKUP(C726,'General price list'!C729:AN1907,MATCH("HM",Tabulka1[[#Headers],[KÓD]:[NEQ]],0),FALSE),"")</f>
        <v/>
      </c>
    </row>
    <row r="727" spans="1:27">
      <c r="A727">
        <f>COUNTIF($W$22:W727,1)</f>
        <v>0</v>
      </c>
      <c r="B727">
        <v>727</v>
      </c>
      <c r="C727" s="684" t="s">
        <v>1573</v>
      </c>
      <c r="W727" t="str">
        <f t="shared" ref="W727:W790" si="22">IF(Y727+1=1,"",1)</f>
        <v/>
      </c>
      <c r="X727" s="185" t="str">
        <f t="shared" si="21"/>
        <v/>
      </c>
      <c r="Y727" s="685">
        <f>'General price list'!$AB730</f>
        <v>0</v>
      </c>
      <c r="Z727" t="str">
        <f>IFERROR(X727*VLOOKUP(C727,'General price list'!C:I,7,FALSE),"")</f>
        <v/>
      </c>
      <c r="AA727" t="str">
        <f>IF(X727&lt;&gt;"",VLOOKUP(C727,'General price list'!C730:AN1908,MATCH("HM",Tabulka1[[#Headers],[KÓD]:[NEQ]],0),FALSE),"")</f>
        <v/>
      </c>
    </row>
    <row r="728" spans="1:27">
      <c r="A728">
        <f>COUNTIF($W$22:W728,1)</f>
        <v>0</v>
      </c>
      <c r="B728">
        <v>728</v>
      </c>
      <c r="C728" s="684" t="s">
        <v>1576</v>
      </c>
      <c r="W728" t="str">
        <f t="shared" si="22"/>
        <v/>
      </c>
      <c r="X728" s="185" t="str">
        <f t="shared" ref="X728:X791" si="23">IF(A728&gt;$C$21,"",IF(Y728=0,"",Y728))</f>
        <v/>
      </c>
      <c r="Y728" s="685">
        <f>'General price list'!$AB731</f>
        <v>0</v>
      </c>
      <c r="Z728" t="str">
        <f>IFERROR(X728*VLOOKUP(C728,'General price list'!C:I,7,FALSE),"")</f>
        <v/>
      </c>
      <c r="AA728" t="str">
        <f>IF(X728&lt;&gt;"",VLOOKUP(C728,'General price list'!C731:AN1909,MATCH("HM",Tabulka1[[#Headers],[KÓD]:[NEQ]],0),FALSE),"")</f>
        <v/>
      </c>
    </row>
    <row r="729" spans="1:27">
      <c r="A729">
        <f>COUNTIF($W$22:W729,1)</f>
        <v>0</v>
      </c>
      <c r="B729">
        <v>729</v>
      </c>
      <c r="C729" s="684" t="s">
        <v>1575</v>
      </c>
      <c r="W729" t="str">
        <f t="shared" si="22"/>
        <v/>
      </c>
      <c r="X729" s="185" t="str">
        <f t="shared" si="23"/>
        <v/>
      </c>
      <c r="Y729" s="685">
        <f>'General price list'!$AB732</f>
        <v>0</v>
      </c>
      <c r="Z729" t="str">
        <f>IFERROR(X729*VLOOKUP(C729,'General price list'!C:I,7,FALSE),"")</f>
        <v/>
      </c>
      <c r="AA729" t="str">
        <f>IF(X729&lt;&gt;"",VLOOKUP(C729,'General price list'!C732:AN1910,MATCH("HM",Tabulka1[[#Headers],[KÓD]:[NEQ]],0),FALSE),"")</f>
        <v/>
      </c>
    </row>
    <row r="730" spans="1:27">
      <c r="A730">
        <f>COUNTIF($W$22:W730,1)</f>
        <v>0</v>
      </c>
      <c r="B730">
        <v>730</v>
      </c>
      <c r="C730" s="684" t="s">
        <v>1578</v>
      </c>
      <c r="W730" t="str">
        <f t="shared" si="22"/>
        <v/>
      </c>
      <c r="X730" s="185" t="str">
        <f t="shared" si="23"/>
        <v/>
      </c>
      <c r="Y730" s="685">
        <f>'General price list'!$AB733</f>
        <v>0</v>
      </c>
      <c r="Z730" t="str">
        <f>IFERROR(X730*VLOOKUP(C730,'General price list'!C:I,7,FALSE),"")</f>
        <v/>
      </c>
      <c r="AA730" t="str">
        <f>IF(X730&lt;&gt;"",VLOOKUP(C730,'General price list'!C733:AN1911,MATCH("HM",Tabulka1[[#Headers],[KÓD]:[NEQ]],0),FALSE),"")</f>
        <v/>
      </c>
    </row>
    <row r="731" spans="1:27">
      <c r="A731">
        <f>COUNTIF($W$22:W731,1)</f>
        <v>0</v>
      </c>
      <c r="B731">
        <v>731</v>
      </c>
      <c r="C731" s="684" t="s">
        <v>2566</v>
      </c>
      <c r="W731" t="str">
        <f t="shared" si="22"/>
        <v/>
      </c>
      <c r="X731" s="185" t="str">
        <f t="shared" si="23"/>
        <v/>
      </c>
      <c r="Y731" s="685">
        <f>'General price list'!$AB734</f>
        <v>0</v>
      </c>
      <c r="Z731" t="str">
        <f>IFERROR(X731*VLOOKUP(C731,'General price list'!C:I,7,FALSE),"")</f>
        <v/>
      </c>
      <c r="AA731" t="str">
        <f>IF(X731&lt;&gt;"",VLOOKUP(C731,'General price list'!C734:AN1912,MATCH("HM",Tabulka1[[#Headers],[KÓD]:[NEQ]],0),FALSE),"")</f>
        <v/>
      </c>
    </row>
    <row r="732" spans="1:27">
      <c r="A732">
        <f>COUNTIF($W$22:W732,1)</f>
        <v>0</v>
      </c>
      <c r="B732">
        <v>732</v>
      </c>
      <c r="C732" s="684" t="s">
        <v>2567</v>
      </c>
      <c r="W732" t="str">
        <f t="shared" si="22"/>
        <v/>
      </c>
      <c r="X732" s="185" t="str">
        <f t="shared" si="23"/>
        <v/>
      </c>
      <c r="Y732" s="685">
        <f>'General price list'!$AB735</f>
        <v>0</v>
      </c>
      <c r="Z732" t="str">
        <f>IFERROR(X732*VLOOKUP(C732,'General price list'!C:I,7,FALSE),"")</f>
        <v/>
      </c>
      <c r="AA732" t="str">
        <f>IF(X732&lt;&gt;"",VLOOKUP(C732,'General price list'!C735:AN1913,MATCH("HM",Tabulka1[[#Headers],[KÓD]:[NEQ]],0),FALSE),"")</f>
        <v/>
      </c>
    </row>
    <row r="733" spans="1:27">
      <c r="A733">
        <f>COUNTIF($W$22:W733,1)</f>
        <v>0</v>
      </c>
      <c r="B733">
        <v>733</v>
      </c>
      <c r="C733" s="684" t="s">
        <v>1580</v>
      </c>
      <c r="W733" t="str">
        <f t="shared" si="22"/>
        <v/>
      </c>
      <c r="X733" s="185" t="str">
        <f t="shared" si="23"/>
        <v/>
      </c>
      <c r="Y733" s="685">
        <f>'General price list'!$AB736</f>
        <v>0</v>
      </c>
      <c r="Z733" t="str">
        <f>IFERROR(X733*VLOOKUP(C733,'General price list'!C:I,7,FALSE),"")</f>
        <v/>
      </c>
      <c r="AA733" t="str">
        <f>IF(X733&lt;&gt;"",VLOOKUP(C733,'General price list'!C736:AN1914,MATCH("HM",Tabulka1[[#Headers],[KÓD]:[NEQ]],0),FALSE),"")</f>
        <v/>
      </c>
    </row>
    <row r="734" spans="1:27">
      <c r="A734">
        <f>COUNTIF($W$22:W734,1)</f>
        <v>0</v>
      </c>
      <c r="B734">
        <v>734</v>
      </c>
      <c r="C734" s="684" t="s">
        <v>2569</v>
      </c>
      <c r="W734" t="str">
        <f t="shared" si="22"/>
        <v/>
      </c>
      <c r="X734" s="185" t="str">
        <f t="shared" si="23"/>
        <v/>
      </c>
      <c r="Y734" s="685">
        <f>'General price list'!$AB737</f>
        <v>0</v>
      </c>
      <c r="Z734" t="str">
        <f>IFERROR(X734*VLOOKUP(C734,'General price list'!C:I,7,FALSE),"")</f>
        <v/>
      </c>
      <c r="AA734" t="str">
        <f>IF(X734&lt;&gt;"",VLOOKUP(C734,'General price list'!C737:AN1915,MATCH("HM",Tabulka1[[#Headers],[KÓD]:[NEQ]],0),FALSE),"")</f>
        <v/>
      </c>
    </row>
    <row r="735" spans="1:27">
      <c r="A735">
        <f>COUNTIF($W$22:W735,1)</f>
        <v>0</v>
      </c>
      <c r="B735">
        <v>735</v>
      </c>
      <c r="W735" t="str">
        <f t="shared" si="22"/>
        <v/>
      </c>
      <c r="X735" s="185" t="str">
        <f t="shared" si="23"/>
        <v/>
      </c>
      <c r="Y735" s="685">
        <f>'General price list'!$AB738</f>
        <v>0</v>
      </c>
      <c r="Z735" t="str">
        <f>IFERROR(X735*VLOOKUP(C735,'General price list'!C:I,7,FALSE),"")</f>
        <v/>
      </c>
      <c r="AA735" t="str">
        <f>IF(X735&lt;&gt;"",VLOOKUP(C735,'General price list'!C738:AN1916,MATCH("HM",Tabulka1[[#Headers],[KÓD]:[NEQ]],0),FALSE),"")</f>
        <v/>
      </c>
    </row>
    <row r="736" spans="1:27">
      <c r="A736">
        <f>COUNTIF($W$22:W736,1)</f>
        <v>0</v>
      </c>
      <c r="B736">
        <v>736</v>
      </c>
      <c r="C736" s="684" t="s">
        <v>2740</v>
      </c>
      <c r="W736" t="str">
        <f t="shared" si="22"/>
        <v/>
      </c>
      <c r="X736" s="185" t="str">
        <f t="shared" si="23"/>
        <v/>
      </c>
      <c r="Y736" s="685">
        <f>'General price list'!$AB739</f>
        <v>0</v>
      </c>
      <c r="Z736" t="str">
        <f>IFERROR(X736*VLOOKUP(C736,'General price list'!C:I,7,FALSE),"")</f>
        <v/>
      </c>
      <c r="AA736" t="str">
        <f>IF(X736&lt;&gt;"",VLOOKUP(C736,'General price list'!C739:AN1917,MATCH("HM",Tabulka1[[#Headers],[KÓD]:[NEQ]],0),FALSE),"")</f>
        <v/>
      </c>
    </row>
    <row r="737" spans="1:27">
      <c r="A737">
        <f>COUNTIF($W$22:W737,1)</f>
        <v>0</v>
      </c>
      <c r="B737">
        <v>737</v>
      </c>
      <c r="C737" s="684" t="s">
        <v>5439</v>
      </c>
      <c r="W737" t="str">
        <f t="shared" si="22"/>
        <v/>
      </c>
      <c r="X737" s="185" t="str">
        <f t="shared" si="23"/>
        <v/>
      </c>
      <c r="Y737" s="685">
        <f>'General price list'!$AB740</f>
        <v>0</v>
      </c>
      <c r="Z737" t="str">
        <f>IFERROR(X737*VLOOKUP(C737,'General price list'!C:I,7,FALSE),"")</f>
        <v/>
      </c>
      <c r="AA737" t="str">
        <f>IF(X737&lt;&gt;"",VLOOKUP(C737,'General price list'!C740:AN1918,MATCH("HM",Tabulka1[[#Headers],[KÓD]:[NEQ]],0),FALSE),"")</f>
        <v/>
      </c>
    </row>
    <row r="738" spans="1:27">
      <c r="A738">
        <f>COUNTIF($W$22:W738,1)</f>
        <v>0</v>
      </c>
      <c r="B738">
        <v>738</v>
      </c>
      <c r="C738" s="684" t="s">
        <v>2741</v>
      </c>
      <c r="W738" t="str">
        <f t="shared" si="22"/>
        <v/>
      </c>
      <c r="X738" s="185" t="str">
        <f t="shared" si="23"/>
        <v/>
      </c>
      <c r="Y738" s="685">
        <f>'General price list'!$AB741</f>
        <v>0</v>
      </c>
      <c r="Z738" t="str">
        <f>IFERROR(X738*VLOOKUP(C738,'General price list'!C:I,7,FALSE),"")</f>
        <v/>
      </c>
      <c r="AA738" t="str">
        <f>IF(X738&lt;&gt;"",VLOOKUP(C738,'General price list'!C741:AN1919,MATCH("HM",Tabulka1[[#Headers],[KÓD]:[NEQ]],0),FALSE),"")</f>
        <v/>
      </c>
    </row>
    <row r="739" spans="1:27">
      <c r="A739">
        <f>COUNTIF($W$22:W739,1)</f>
        <v>0</v>
      </c>
      <c r="B739">
        <v>739</v>
      </c>
      <c r="C739" s="684" t="s">
        <v>2742</v>
      </c>
      <c r="W739" t="str">
        <f t="shared" si="22"/>
        <v/>
      </c>
      <c r="X739" s="185" t="str">
        <f t="shared" si="23"/>
        <v/>
      </c>
      <c r="Y739" s="685">
        <f>'General price list'!$AB742</f>
        <v>0</v>
      </c>
      <c r="Z739" t="str">
        <f>IFERROR(X739*VLOOKUP(C739,'General price list'!C:I,7,FALSE),"")</f>
        <v/>
      </c>
      <c r="AA739" t="str">
        <f>IF(X739&lt;&gt;"",VLOOKUP(C739,'General price list'!C742:AN1920,MATCH("HM",Tabulka1[[#Headers],[KÓD]:[NEQ]],0),FALSE),"")</f>
        <v/>
      </c>
    </row>
    <row r="740" spans="1:27">
      <c r="A740">
        <f>COUNTIF($W$22:W740,1)</f>
        <v>0</v>
      </c>
      <c r="B740">
        <v>740</v>
      </c>
      <c r="C740" s="684" t="s">
        <v>2743</v>
      </c>
      <c r="W740" t="str">
        <f t="shared" si="22"/>
        <v/>
      </c>
      <c r="X740" s="185" t="str">
        <f t="shared" si="23"/>
        <v/>
      </c>
      <c r="Y740" s="685">
        <f>'General price list'!$AB743</f>
        <v>0</v>
      </c>
      <c r="Z740" t="str">
        <f>IFERROR(X740*VLOOKUP(C740,'General price list'!C:I,7,FALSE),"")</f>
        <v/>
      </c>
      <c r="AA740" t="str">
        <f>IF(X740&lt;&gt;"",VLOOKUP(C740,'General price list'!C743:AN1921,MATCH("HM",Tabulka1[[#Headers],[KÓD]:[NEQ]],0),FALSE),"")</f>
        <v/>
      </c>
    </row>
    <row r="741" spans="1:27">
      <c r="A741">
        <f>COUNTIF($W$22:W741,1)</f>
        <v>0</v>
      </c>
      <c r="B741">
        <v>741</v>
      </c>
      <c r="C741" s="684" t="s">
        <v>2744</v>
      </c>
      <c r="W741" t="str">
        <f t="shared" si="22"/>
        <v/>
      </c>
      <c r="X741" s="185" t="str">
        <f t="shared" si="23"/>
        <v/>
      </c>
      <c r="Y741" s="685">
        <f>'General price list'!$AB744</f>
        <v>0</v>
      </c>
      <c r="Z741" t="str">
        <f>IFERROR(X741*VLOOKUP(C741,'General price list'!C:I,7,FALSE),"")</f>
        <v/>
      </c>
      <c r="AA741" t="str">
        <f>IF(X741&lt;&gt;"",VLOOKUP(C741,'General price list'!C744:AN1922,MATCH("HM",Tabulka1[[#Headers],[KÓD]:[NEQ]],0),FALSE),"")</f>
        <v/>
      </c>
    </row>
    <row r="742" spans="1:27">
      <c r="A742">
        <f>COUNTIF($W$22:W742,1)</f>
        <v>0</v>
      </c>
      <c r="B742">
        <v>742</v>
      </c>
      <c r="C742" s="684" t="s">
        <v>2746</v>
      </c>
      <c r="W742" t="str">
        <f t="shared" si="22"/>
        <v/>
      </c>
      <c r="X742" s="185" t="str">
        <f t="shared" si="23"/>
        <v/>
      </c>
      <c r="Y742" s="685">
        <f>'General price list'!$AB745</f>
        <v>0</v>
      </c>
      <c r="Z742" t="str">
        <f>IFERROR(X742*VLOOKUP(C742,'General price list'!C:I,7,FALSE),"")</f>
        <v/>
      </c>
      <c r="AA742" t="str">
        <f>IF(X742&lt;&gt;"",VLOOKUP(C742,'General price list'!C745:AN1923,MATCH("HM",Tabulka1[[#Headers],[KÓD]:[NEQ]],0),FALSE),"")</f>
        <v/>
      </c>
    </row>
    <row r="743" spans="1:27">
      <c r="A743">
        <f>COUNTIF($W$22:W743,1)</f>
        <v>0</v>
      </c>
      <c r="B743">
        <v>743</v>
      </c>
      <c r="C743" s="684" t="s">
        <v>2748</v>
      </c>
      <c r="W743" t="str">
        <f t="shared" si="22"/>
        <v/>
      </c>
      <c r="X743" s="185" t="str">
        <f t="shared" si="23"/>
        <v/>
      </c>
      <c r="Y743" s="685">
        <f>'General price list'!$AB746</f>
        <v>0</v>
      </c>
      <c r="Z743" t="str">
        <f>IFERROR(X743*VLOOKUP(C743,'General price list'!C:I,7,FALSE),"")</f>
        <v/>
      </c>
      <c r="AA743" t="str">
        <f>IF(X743&lt;&gt;"",VLOOKUP(C743,'General price list'!C746:AN1924,MATCH("HM",Tabulka1[[#Headers],[KÓD]:[NEQ]],0),FALSE),"")</f>
        <v/>
      </c>
    </row>
    <row r="744" spans="1:27">
      <c r="A744">
        <f>COUNTIF($W$22:W744,1)</f>
        <v>0</v>
      </c>
      <c r="B744">
        <v>744</v>
      </c>
      <c r="C744" s="684" t="s">
        <v>2749</v>
      </c>
      <c r="W744" t="str">
        <f t="shared" si="22"/>
        <v/>
      </c>
      <c r="X744" s="185" t="str">
        <f t="shared" si="23"/>
        <v/>
      </c>
      <c r="Y744" s="685">
        <f>'General price list'!$AB747</f>
        <v>0</v>
      </c>
      <c r="Z744" t="str">
        <f>IFERROR(X744*VLOOKUP(C744,'General price list'!C:I,7,FALSE),"")</f>
        <v/>
      </c>
      <c r="AA744" t="str">
        <f>IF(X744&lt;&gt;"",VLOOKUP(C744,'General price list'!C747:AN1925,MATCH("HM",Tabulka1[[#Headers],[KÓD]:[NEQ]],0),FALSE),"")</f>
        <v/>
      </c>
    </row>
    <row r="745" spans="1:27">
      <c r="A745">
        <f>COUNTIF($W$22:W745,1)</f>
        <v>0</v>
      </c>
      <c r="B745">
        <v>745</v>
      </c>
      <c r="C745" s="684" t="s">
        <v>2750</v>
      </c>
      <c r="W745" t="str">
        <f t="shared" si="22"/>
        <v/>
      </c>
      <c r="X745" s="185" t="str">
        <f t="shared" si="23"/>
        <v/>
      </c>
      <c r="Y745" s="685">
        <f>'General price list'!$AB748</f>
        <v>0</v>
      </c>
      <c r="Z745" t="str">
        <f>IFERROR(X745*VLOOKUP(C745,'General price list'!C:I,7,FALSE),"")</f>
        <v/>
      </c>
      <c r="AA745" t="str">
        <f>IF(X745&lt;&gt;"",VLOOKUP(C745,'General price list'!C748:AN1926,MATCH("HM",Tabulka1[[#Headers],[KÓD]:[NEQ]],0),FALSE),"")</f>
        <v/>
      </c>
    </row>
    <row r="746" spans="1:27">
      <c r="A746">
        <f>COUNTIF($W$22:W746,1)</f>
        <v>0</v>
      </c>
      <c r="B746">
        <v>746</v>
      </c>
      <c r="W746" t="str">
        <f t="shared" si="22"/>
        <v/>
      </c>
      <c r="X746" s="185" t="str">
        <f t="shared" si="23"/>
        <v/>
      </c>
      <c r="Y746" s="685">
        <f>'General price list'!$AB749</f>
        <v>0</v>
      </c>
      <c r="Z746" t="str">
        <f>IFERROR(X746*VLOOKUP(C746,'General price list'!C:I,7,FALSE),"")</f>
        <v/>
      </c>
      <c r="AA746" t="str">
        <f>IF(X746&lt;&gt;"",VLOOKUP(C746,'General price list'!C749:AN1927,MATCH("HM",Tabulka1[[#Headers],[KÓD]:[NEQ]],0),FALSE),"")</f>
        <v/>
      </c>
    </row>
    <row r="747" spans="1:27">
      <c r="A747">
        <f>COUNTIF($W$22:W747,1)</f>
        <v>0</v>
      </c>
      <c r="B747">
        <v>747</v>
      </c>
      <c r="C747" s="684" t="s">
        <v>1590</v>
      </c>
      <c r="W747" t="str">
        <f t="shared" si="22"/>
        <v/>
      </c>
      <c r="X747" s="185" t="str">
        <f t="shared" si="23"/>
        <v/>
      </c>
      <c r="Y747" s="685">
        <f>'General price list'!$AB750</f>
        <v>0</v>
      </c>
      <c r="Z747" t="str">
        <f>IFERROR(X747*VLOOKUP(C747,'General price list'!C:I,7,FALSE),"")</f>
        <v/>
      </c>
      <c r="AA747" t="str">
        <f>IF(X747&lt;&gt;"",VLOOKUP(C747,'General price list'!C750:AN1928,MATCH("HM",Tabulka1[[#Headers],[KÓD]:[NEQ]],0),FALSE),"")</f>
        <v/>
      </c>
    </row>
    <row r="748" spans="1:27">
      <c r="A748">
        <f>COUNTIF($W$22:W748,1)</f>
        <v>0</v>
      </c>
      <c r="B748">
        <v>748</v>
      </c>
      <c r="C748" s="684" t="s">
        <v>1592</v>
      </c>
      <c r="W748" t="str">
        <f t="shared" si="22"/>
        <v/>
      </c>
      <c r="X748" s="185" t="str">
        <f t="shared" si="23"/>
        <v/>
      </c>
      <c r="Y748" s="685">
        <f>'General price list'!$AB751</f>
        <v>0</v>
      </c>
      <c r="Z748" t="str">
        <f>IFERROR(X748*VLOOKUP(C748,'General price list'!C:I,7,FALSE),"")</f>
        <v/>
      </c>
      <c r="AA748" t="str">
        <f>IF(X748&lt;&gt;"",VLOOKUP(C748,'General price list'!C751:AN1929,MATCH("HM",Tabulka1[[#Headers],[KÓD]:[NEQ]],0),FALSE),"")</f>
        <v/>
      </c>
    </row>
    <row r="749" spans="1:27">
      <c r="A749">
        <f>COUNTIF($W$22:W749,1)</f>
        <v>0</v>
      </c>
      <c r="B749">
        <v>749</v>
      </c>
      <c r="C749" s="684" t="s">
        <v>5441</v>
      </c>
      <c r="W749" t="str">
        <f t="shared" si="22"/>
        <v/>
      </c>
      <c r="X749" s="185" t="str">
        <f t="shared" si="23"/>
        <v/>
      </c>
      <c r="Y749" s="685">
        <f>'General price list'!$AB752</f>
        <v>0</v>
      </c>
      <c r="Z749" t="str">
        <f>IFERROR(X749*VLOOKUP(C749,'General price list'!C:I,7,FALSE),"")</f>
        <v/>
      </c>
      <c r="AA749" t="str">
        <f>IF(X749&lt;&gt;"",VLOOKUP(C749,'General price list'!C752:AN1930,MATCH("HM",Tabulka1[[#Headers],[KÓD]:[NEQ]],0),FALSE),"")</f>
        <v/>
      </c>
    </row>
    <row r="750" spans="1:27">
      <c r="A750">
        <f>COUNTIF($W$22:W750,1)</f>
        <v>0</v>
      </c>
      <c r="B750">
        <v>750</v>
      </c>
      <c r="C750" s="684" t="s">
        <v>1594</v>
      </c>
      <c r="W750" t="str">
        <f t="shared" si="22"/>
        <v/>
      </c>
      <c r="X750" s="185" t="str">
        <f t="shared" si="23"/>
        <v/>
      </c>
      <c r="Y750" s="685">
        <f>'General price list'!$AB753</f>
        <v>0</v>
      </c>
      <c r="Z750" t="str">
        <f>IFERROR(X750*VLOOKUP(C750,'General price list'!C:I,7,FALSE),"")</f>
        <v/>
      </c>
      <c r="AA750" t="str">
        <f>IF(X750&lt;&gt;"",VLOOKUP(C750,'General price list'!C753:AN1931,MATCH("HM",Tabulka1[[#Headers],[KÓD]:[NEQ]],0),FALSE),"")</f>
        <v/>
      </c>
    </row>
    <row r="751" spans="1:27">
      <c r="A751">
        <f>COUNTIF($W$22:W751,1)</f>
        <v>0</v>
      </c>
      <c r="B751">
        <v>751</v>
      </c>
      <c r="C751" s="684" t="s">
        <v>5443</v>
      </c>
      <c r="W751" t="str">
        <f t="shared" si="22"/>
        <v/>
      </c>
      <c r="X751" s="185" t="str">
        <f t="shared" si="23"/>
        <v/>
      </c>
      <c r="Y751" s="685">
        <f>'General price list'!$AB754</f>
        <v>0</v>
      </c>
      <c r="Z751" t="str">
        <f>IFERROR(X751*VLOOKUP(C751,'General price list'!C:I,7,FALSE),"")</f>
        <v/>
      </c>
      <c r="AA751" t="str">
        <f>IF(X751&lt;&gt;"",VLOOKUP(C751,'General price list'!C754:AN1932,MATCH("HM",Tabulka1[[#Headers],[KÓD]:[NEQ]],0),FALSE),"")</f>
        <v/>
      </c>
    </row>
    <row r="752" spans="1:27">
      <c r="A752">
        <f>COUNTIF($W$22:W752,1)</f>
        <v>0</v>
      </c>
      <c r="B752">
        <v>752</v>
      </c>
      <c r="C752" s="684" t="s">
        <v>1595</v>
      </c>
      <c r="W752" t="str">
        <f t="shared" si="22"/>
        <v/>
      </c>
      <c r="X752" s="185" t="str">
        <f t="shared" si="23"/>
        <v/>
      </c>
      <c r="Y752" s="685">
        <f>'General price list'!$AB755</f>
        <v>0</v>
      </c>
      <c r="Z752" t="str">
        <f>IFERROR(X752*VLOOKUP(C752,'General price list'!C:I,7,FALSE),"")</f>
        <v/>
      </c>
      <c r="AA752" t="str">
        <f>IF(X752&lt;&gt;"",VLOOKUP(C752,'General price list'!C755:AN1933,MATCH("HM",Tabulka1[[#Headers],[KÓD]:[NEQ]],0),FALSE),"")</f>
        <v/>
      </c>
    </row>
    <row r="753" spans="1:27">
      <c r="A753">
        <f>COUNTIF($W$22:W753,1)</f>
        <v>0</v>
      </c>
      <c r="B753">
        <v>753</v>
      </c>
      <c r="C753" s="684" t="s">
        <v>1597</v>
      </c>
      <c r="W753" t="str">
        <f t="shared" si="22"/>
        <v/>
      </c>
      <c r="X753" s="185" t="str">
        <f t="shared" si="23"/>
        <v/>
      </c>
      <c r="Y753" s="685">
        <f>'General price list'!$AB756</f>
        <v>0</v>
      </c>
      <c r="Z753" t="str">
        <f>IFERROR(X753*VLOOKUP(C753,'General price list'!C:I,7,FALSE),"")</f>
        <v/>
      </c>
      <c r="AA753" t="str">
        <f>IF(X753&lt;&gt;"",VLOOKUP(C753,'General price list'!C756:AN1934,MATCH("HM",Tabulka1[[#Headers],[KÓD]:[NEQ]],0),FALSE),"")</f>
        <v/>
      </c>
    </row>
    <row r="754" spans="1:27">
      <c r="A754">
        <f>COUNTIF($W$22:W754,1)</f>
        <v>0</v>
      </c>
      <c r="B754">
        <v>754</v>
      </c>
      <c r="C754" s="684" t="s">
        <v>1600</v>
      </c>
      <c r="W754" t="str">
        <f t="shared" si="22"/>
        <v/>
      </c>
      <c r="X754" s="185" t="str">
        <f t="shared" si="23"/>
        <v/>
      </c>
      <c r="Y754" s="685">
        <f>'General price list'!$AB757</f>
        <v>0</v>
      </c>
      <c r="Z754" t="str">
        <f>IFERROR(X754*VLOOKUP(C754,'General price list'!C:I,7,FALSE),"")</f>
        <v/>
      </c>
      <c r="AA754" t="str">
        <f>IF(X754&lt;&gt;"",VLOOKUP(C754,'General price list'!C757:AN1935,MATCH("HM",Tabulka1[[#Headers],[KÓD]:[NEQ]],0),FALSE),"")</f>
        <v/>
      </c>
    </row>
    <row r="755" spans="1:27">
      <c r="A755">
        <f>COUNTIF($W$22:W755,1)</f>
        <v>0</v>
      </c>
      <c r="B755">
        <v>755</v>
      </c>
      <c r="C755" s="684" t="s">
        <v>2571</v>
      </c>
      <c r="W755" t="str">
        <f t="shared" si="22"/>
        <v/>
      </c>
      <c r="X755" s="185" t="str">
        <f t="shared" si="23"/>
        <v/>
      </c>
      <c r="Y755" s="685">
        <f>'General price list'!$AB758</f>
        <v>0</v>
      </c>
      <c r="Z755" t="str">
        <f>IFERROR(X755*VLOOKUP(C755,'General price list'!C:I,7,FALSE),"")</f>
        <v/>
      </c>
      <c r="AA755" t="str">
        <f>IF(X755&lt;&gt;"",VLOOKUP(C755,'General price list'!C758:AN1936,MATCH("HM",Tabulka1[[#Headers],[KÓD]:[NEQ]],0),FALSE),"")</f>
        <v/>
      </c>
    </row>
    <row r="756" spans="1:27">
      <c r="A756">
        <f>COUNTIF($W$22:W756,1)</f>
        <v>0</v>
      </c>
      <c r="B756">
        <v>756</v>
      </c>
      <c r="C756" s="684" t="s">
        <v>1601</v>
      </c>
      <c r="W756" t="str">
        <f t="shared" si="22"/>
        <v/>
      </c>
      <c r="X756" s="185" t="str">
        <f t="shared" si="23"/>
        <v/>
      </c>
      <c r="Y756" s="685">
        <f>'General price list'!$AB759</f>
        <v>0</v>
      </c>
      <c r="Z756" t="str">
        <f>IFERROR(X756*VLOOKUP(C756,'General price list'!C:I,7,FALSE),"")</f>
        <v/>
      </c>
      <c r="AA756" t="str">
        <f>IF(X756&lt;&gt;"",VLOOKUP(C756,'General price list'!C759:AN1937,MATCH("HM",Tabulka1[[#Headers],[KÓD]:[NEQ]],0),FALSE),"")</f>
        <v/>
      </c>
    </row>
    <row r="757" spans="1:27">
      <c r="A757">
        <f>COUNTIF($W$22:W757,1)</f>
        <v>0</v>
      </c>
      <c r="B757">
        <v>757</v>
      </c>
      <c r="C757" s="684" t="s">
        <v>1602</v>
      </c>
      <c r="W757" t="str">
        <f t="shared" si="22"/>
        <v/>
      </c>
      <c r="X757" s="185" t="str">
        <f t="shared" si="23"/>
        <v/>
      </c>
      <c r="Y757" s="685">
        <f>'General price list'!$AB760</f>
        <v>0</v>
      </c>
      <c r="Z757" t="str">
        <f>IFERROR(X757*VLOOKUP(C757,'General price list'!C:I,7,FALSE),"")</f>
        <v/>
      </c>
      <c r="AA757" t="str">
        <f>IF(X757&lt;&gt;"",VLOOKUP(C757,'General price list'!C760:AN1938,MATCH("HM",Tabulka1[[#Headers],[KÓD]:[NEQ]],0),FALSE),"")</f>
        <v/>
      </c>
    </row>
    <row r="758" spans="1:27">
      <c r="A758">
        <f>COUNTIF($W$22:W758,1)</f>
        <v>0</v>
      </c>
      <c r="B758">
        <v>758</v>
      </c>
      <c r="C758" s="684" t="s">
        <v>1604</v>
      </c>
      <c r="W758" t="str">
        <f t="shared" si="22"/>
        <v/>
      </c>
      <c r="X758" s="185" t="str">
        <f t="shared" si="23"/>
        <v/>
      </c>
      <c r="Y758" s="685">
        <f>'General price list'!$AB761</f>
        <v>0</v>
      </c>
      <c r="Z758" t="str">
        <f>IFERROR(X758*VLOOKUP(C758,'General price list'!C:I,7,FALSE),"")</f>
        <v/>
      </c>
      <c r="AA758" t="str">
        <f>IF(X758&lt;&gt;"",VLOOKUP(C758,'General price list'!C761:AN1939,MATCH("HM",Tabulka1[[#Headers],[KÓD]:[NEQ]],0),FALSE),"")</f>
        <v/>
      </c>
    </row>
    <row r="759" spans="1:27">
      <c r="A759">
        <f>COUNTIF($W$22:W759,1)</f>
        <v>0</v>
      </c>
      <c r="B759">
        <v>759</v>
      </c>
      <c r="C759" s="684" t="s">
        <v>12018</v>
      </c>
      <c r="W759" t="str">
        <f t="shared" si="22"/>
        <v/>
      </c>
      <c r="X759" s="185" t="str">
        <f t="shared" si="23"/>
        <v/>
      </c>
      <c r="Y759" s="685">
        <f>'General price list'!$AB762</f>
        <v>0</v>
      </c>
      <c r="Z759" t="str">
        <f>IFERROR(X759*VLOOKUP(C759,'General price list'!C:I,7,FALSE),"")</f>
        <v/>
      </c>
      <c r="AA759" t="str">
        <f>IF(X759&lt;&gt;"",VLOOKUP(C759,'General price list'!C762:AN1940,MATCH("HM",Tabulka1[[#Headers],[KÓD]:[NEQ]],0),FALSE),"")</f>
        <v/>
      </c>
    </row>
    <row r="760" spans="1:27">
      <c r="A760">
        <f>COUNTIF($W$22:W760,1)</f>
        <v>0</v>
      </c>
      <c r="B760">
        <v>760</v>
      </c>
      <c r="C760" s="684" t="s">
        <v>1605</v>
      </c>
      <c r="W760" t="str">
        <f t="shared" si="22"/>
        <v/>
      </c>
      <c r="X760" s="185" t="str">
        <f t="shared" si="23"/>
        <v/>
      </c>
      <c r="Y760" s="685">
        <f>'General price list'!$AB763</f>
        <v>0</v>
      </c>
      <c r="Z760" t="str">
        <f>IFERROR(X760*VLOOKUP(C760,'General price list'!C:I,7,FALSE),"")</f>
        <v/>
      </c>
      <c r="AA760" t="str">
        <f>IF(X760&lt;&gt;"",VLOOKUP(C760,'General price list'!C763:AN1941,MATCH("HM",Tabulka1[[#Headers],[KÓD]:[NEQ]],0),FALSE),"")</f>
        <v/>
      </c>
    </row>
    <row r="761" spans="1:27">
      <c r="A761">
        <f>COUNTIF($W$22:W761,1)</f>
        <v>0</v>
      </c>
      <c r="B761">
        <v>761</v>
      </c>
      <c r="C761" s="684" t="s">
        <v>1606</v>
      </c>
      <c r="W761" t="str">
        <f t="shared" si="22"/>
        <v/>
      </c>
      <c r="X761" s="185" t="str">
        <f t="shared" si="23"/>
        <v/>
      </c>
      <c r="Y761" s="685">
        <f>'General price list'!$AB764</f>
        <v>0</v>
      </c>
      <c r="Z761" t="str">
        <f>IFERROR(X761*VLOOKUP(C761,'General price list'!C:I,7,FALSE),"")</f>
        <v/>
      </c>
      <c r="AA761" t="str">
        <f>IF(X761&lt;&gt;"",VLOOKUP(C761,'General price list'!C764:AN1942,MATCH("HM",Tabulka1[[#Headers],[KÓD]:[NEQ]],0),FALSE),"")</f>
        <v/>
      </c>
    </row>
    <row r="762" spans="1:27">
      <c r="A762">
        <f>COUNTIF($W$22:W762,1)</f>
        <v>0</v>
      </c>
      <c r="B762">
        <v>762</v>
      </c>
      <c r="C762" s="684" t="s">
        <v>1607</v>
      </c>
      <c r="W762" t="str">
        <f t="shared" si="22"/>
        <v/>
      </c>
      <c r="X762" s="185" t="str">
        <f t="shared" si="23"/>
        <v/>
      </c>
      <c r="Y762" s="685">
        <f>'General price list'!$AB765</f>
        <v>0</v>
      </c>
      <c r="Z762" t="str">
        <f>IFERROR(X762*VLOOKUP(C762,'General price list'!C:I,7,FALSE),"")</f>
        <v/>
      </c>
      <c r="AA762" t="str">
        <f>IF(X762&lt;&gt;"",VLOOKUP(C762,'General price list'!C765:AN1943,MATCH("HM",Tabulka1[[#Headers],[KÓD]:[NEQ]],0),FALSE),"")</f>
        <v/>
      </c>
    </row>
    <row r="763" spans="1:27">
      <c r="A763">
        <f>COUNTIF($W$22:W763,1)</f>
        <v>0</v>
      </c>
      <c r="B763">
        <v>763</v>
      </c>
      <c r="C763" s="684" t="s">
        <v>1608</v>
      </c>
      <c r="W763" t="str">
        <f t="shared" si="22"/>
        <v/>
      </c>
      <c r="X763" s="185" t="str">
        <f t="shared" si="23"/>
        <v/>
      </c>
      <c r="Y763" s="685">
        <f>'General price list'!$AB766</f>
        <v>0</v>
      </c>
      <c r="Z763" t="str">
        <f>IFERROR(X763*VLOOKUP(C763,'General price list'!C:I,7,FALSE),"")</f>
        <v/>
      </c>
      <c r="AA763" t="str">
        <f>IF(X763&lt;&gt;"",VLOOKUP(C763,'General price list'!C766:AN1944,MATCH("HM",Tabulka1[[#Headers],[KÓD]:[NEQ]],0),FALSE),"")</f>
        <v/>
      </c>
    </row>
    <row r="764" spans="1:27">
      <c r="A764">
        <f>COUNTIF($W$22:W764,1)</f>
        <v>0</v>
      </c>
      <c r="B764">
        <v>764</v>
      </c>
      <c r="C764" s="684" t="s">
        <v>1609</v>
      </c>
      <c r="W764" t="str">
        <f t="shared" si="22"/>
        <v/>
      </c>
      <c r="X764" s="185" t="str">
        <f t="shared" si="23"/>
        <v/>
      </c>
      <c r="Y764" s="685">
        <f>'General price list'!$AB767</f>
        <v>0</v>
      </c>
      <c r="Z764" t="str">
        <f>IFERROR(X764*VLOOKUP(C764,'General price list'!C:I,7,FALSE),"")</f>
        <v/>
      </c>
      <c r="AA764" t="str">
        <f>IF(X764&lt;&gt;"",VLOOKUP(C764,'General price list'!C767:AN1945,MATCH("HM",Tabulka1[[#Headers],[KÓD]:[NEQ]],0),FALSE),"")</f>
        <v/>
      </c>
    </row>
    <row r="765" spans="1:27">
      <c r="A765">
        <f>COUNTIF($W$22:W765,1)</f>
        <v>0</v>
      </c>
      <c r="B765">
        <v>765</v>
      </c>
      <c r="W765" t="str">
        <f t="shared" si="22"/>
        <v/>
      </c>
      <c r="X765" s="185" t="str">
        <f t="shared" si="23"/>
        <v/>
      </c>
      <c r="Y765" s="685">
        <f>'General price list'!$AB768</f>
        <v>0</v>
      </c>
      <c r="Z765" t="str">
        <f>IFERROR(X765*VLOOKUP(C765,'General price list'!C:I,7,FALSE),"")</f>
        <v/>
      </c>
      <c r="AA765" t="str">
        <f>IF(X765&lt;&gt;"",VLOOKUP(C765,'General price list'!C768:AN1946,MATCH("HM",Tabulka1[[#Headers],[KÓD]:[NEQ]],0),FALSE),"")</f>
        <v/>
      </c>
    </row>
    <row r="766" spans="1:27">
      <c r="A766">
        <f>COUNTIF($W$22:W766,1)</f>
        <v>0</v>
      </c>
      <c r="B766">
        <v>766</v>
      </c>
      <c r="C766" s="684" t="s">
        <v>2751</v>
      </c>
      <c r="W766" t="str">
        <f t="shared" si="22"/>
        <v/>
      </c>
      <c r="X766" s="185" t="str">
        <f t="shared" si="23"/>
        <v/>
      </c>
      <c r="Y766" s="685">
        <f>'General price list'!$AB769</f>
        <v>0</v>
      </c>
      <c r="Z766" t="str">
        <f>IFERROR(X766*VLOOKUP(C766,'General price list'!C:I,7,FALSE),"")</f>
        <v/>
      </c>
      <c r="AA766" t="str">
        <f>IF(X766&lt;&gt;"",VLOOKUP(C766,'General price list'!C769:AN1947,MATCH("HM",Tabulka1[[#Headers],[KÓD]:[NEQ]],0),FALSE),"")</f>
        <v/>
      </c>
    </row>
    <row r="767" spans="1:27">
      <c r="A767">
        <f>COUNTIF($W$22:W767,1)</f>
        <v>0</v>
      </c>
      <c r="B767">
        <v>767</v>
      </c>
      <c r="C767" s="684" t="s">
        <v>2752</v>
      </c>
      <c r="W767" t="str">
        <f t="shared" si="22"/>
        <v/>
      </c>
      <c r="X767" s="185" t="str">
        <f t="shared" si="23"/>
        <v/>
      </c>
      <c r="Y767" s="685">
        <f>'General price list'!$AB770</f>
        <v>0</v>
      </c>
      <c r="Z767" t="str">
        <f>IFERROR(X767*VLOOKUP(C767,'General price list'!C:I,7,FALSE),"")</f>
        <v/>
      </c>
      <c r="AA767" t="str">
        <f>IF(X767&lt;&gt;"",VLOOKUP(C767,'General price list'!C770:AN1948,MATCH("HM",Tabulka1[[#Headers],[KÓD]:[NEQ]],0),FALSE),"")</f>
        <v/>
      </c>
    </row>
    <row r="768" spans="1:27">
      <c r="A768">
        <f>COUNTIF($W$22:W768,1)</f>
        <v>0</v>
      </c>
      <c r="B768">
        <v>768</v>
      </c>
      <c r="C768" s="684" t="s">
        <v>2753</v>
      </c>
      <c r="W768" t="str">
        <f t="shared" si="22"/>
        <v/>
      </c>
      <c r="X768" s="185" t="str">
        <f t="shared" si="23"/>
        <v/>
      </c>
      <c r="Y768" s="685">
        <f>'General price list'!$AB771</f>
        <v>0</v>
      </c>
      <c r="Z768" t="str">
        <f>IFERROR(X768*VLOOKUP(C768,'General price list'!C:I,7,FALSE),"")</f>
        <v/>
      </c>
      <c r="AA768" t="str">
        <f>IF(X768&lt;&gt;"",VLOOKUP(C768,'General price list'!C771:AN1949,MATCH("HM",Tabulka1[[#Headers],[KÓD]:[NEQ]],0),FALSE),"")</f>
        <v/>
      </c>
    </row>
    <row r="769" spans="1:27">
      <c r="A769">
        <f>COUNTIF($W$22:W769,1)</f>
        <v>0</v>
      </c>
      <c r="B769">
        <v>769</v>
      </c>
      <c r="C769" s="684" t="s">
        <v>2754</v>
      </c>
      <c r="W769" t="str">
        <f t="shared" si="22"/>
        <v/>
      </c>
      <c r="X769" s="185" t="str">
        <f t="shared" si="23"/>
        <v/>
      </c>
      <c r="Y769" s="685">
        <f>'General price list'!$AB772</f>
        <v>0</v>
      </c>
      <c r="Z769" t="str">
        <f>IFERROR(X769*VLOOKUP(C769,'General price list'!C:I,7,FALSE),"")</f>
        <v/>
      </c>
      <c r="AA769" t="str">
        <f>IF(X769&lt;&gt;"",VLOOKUP(C769,'General price list'!C772:AN1950,MATCH("HM",Tabulka1[[#Headers],[KÓD]:[NEQ]],0),FALSE),"")</f>
        <v/>
      </c>
    </row>
    <row r="770" spans="1:27">
      <c r="A770">
        <f>COUNTIF($W$22:W770,1)</f>
        <v>0</v>
      </c>
      <c r="B770">
        <v>770</v>
      </c>
      <c r="C770" s="684" t="s">
        <v>2755</v>
      </c>
      <c r="W770" t="str">
        <f t="shared" si="22"/>
        <v/>
      </c>
      <c r="X770" s="185" t="str">
        <f t="shared" si="23"/>
        <v/>
      </c>
      <c r="Y770" s="685">
        <f>'General price list'!$AB773</f>
        <v>0</v>
      </c>
      <c r="Z770" t="str">
        <f>IFERROR(X770*VLOOKUP(C770,'General price list'!C:I,7,FALSE),"")</f>
        <v/>
      </c>
      <c r="AA770" t="str">
        <f>IF(X770&lt;&gt;"",VLOOKUP(C770,'General price list'!C773:AN1951,MATCH("HM",Tabulka1[[#Headers],[KÓD]:[NEQ]],0),FALSE),"")</f>
        <v/>
      </c>
    </row>
    <row r="771" spans="1:27">
      <c r="A771">
        <f>COUNTIF($W$22:W771,1)</f>
        <v>0</v>
      </c>
      <c r="B771">
        <v>771</v>
      </c>
      <c r="C771" s="684" t="s">
        <v>5456</v>
      </c>
      <c r="W771" t="str">
        <f t="shared" si="22"/>
        <v/>
      </c>
      <c r="X771" s="185" t="str">
        <f t="shared" si="23"/>
        <v/>
      </c>
      <c r="Y771" s="685">
        <f>'General price list'!$AB774</f>
        <v>0</v>
      </c>
      <c r="Z771" t="str">
        <f>IFERROR(X771*VLOOKUP(C771,'General price list'!C:I,7,FALSE),"")</f>
        <v/>
      </c>
      <c r="AA771" t="str">
        <f>IF(X771&lt;&gt;"",VLOOKUP(C771,'General price list'!C774:AN1952,MATCH("HM",Tabulka1[[#Headers],[KÓD]:[NEQ]],0),FALSE),"")</f>
        <v/>
      </c>
    </row>
    <row r="772" spans="1:27">
      <c r="A772">
        <f>COUNTIF($W$22:W772,1)</f>
        <v>0</v>
      </c>
      <c r="B772">
        <v>772</v>
      </c>
      <c r="C772" s="684" t="s">
        <v>2756</v>
      </c>
      <c r="W772" t="str">
        <f t="shared" si="22"/>
        <v/>
      </c>
      <c r="X772" s="185" t="str">
        <f t="shared" si="23"/>
        <v/>
      </c>
      <c r="Y772" s="685">
        <f>'General price list'!$AB775</f>
        <v>0</v>
      </c>
      <c r="Z772" t="str">
        <f>IFERROR(X772*VLOOKUP(C772,'General price list'!C:I,7,FALSE),"")</f>
        <v/>
      </c>
      <c r="AA772" t="str">
        <f>IF(X772&lt;&gt;"",VLOOKUP(C772,'General price list'!C775:AN1953,MATCH("HM",Tabulka1[[#Headers],[KÓD]:[NEQ]],0),FALSE),"")</f>
        <v/>
      </c>
    </row>
    <row r="773" spans="1:27">
      <c r="A773">
        <f>COUNTIF($W$22:W773,1)</f>
        <v>0</v>
      </c>
      <c r="B773">
        <v>773</v>
      </c>
      <c r="C773" s="684" t="s">
        <v>2652</v>
      </c>
      <c r="W773" t="str">
        <f t="shared" si="22"/>
        <v/>
      </c>
      <c r="X773" s="185" t="str">
        <f t="shared" si="23"/>
        <v/>
      </c>
      <c r="Y773" s="685">
        <f>'General price list'!$AB776</f>
        <v>0</v>
      </c>
      <c r="Z773" t="str">
        <f>IFERROR(X773*VLOOKUP(C773,'General price list'!C:I,7,FALSE),"")</f>
        <v/>
      </c>
      <c r="AA773" t="str">
        <f>IF(X773&lt;&gt;"",VLOOKUP(C773,'General price list'!C776:AN1954,MATCH("HM",Tabulka1[[#Headers],[KÓD]:[NEQ]],0),FALSE),"")</f>
        <v/>
      </c>
    </row>
    <row r="774" spans="1:27">
      <c r="A774">
        <f>COUNTIF($W$22:W774,1)</f>
        <v>0</v>
      </c>
      <c r="B774">
        <v>774</v>
      </c>
      <c r="C774" s="684" t="s">
        <v>2757</v>
      </c>
      <c r="W774" t="str">
        <f t="shared" si="22"/>
        <v/>
      </c>
      <c r="X774" s="185" t="str">
        <f t="shared" si="23"/>
        <v/>
      </c>
      <c r="Y774" s="685">
        <f>'General price list'!$AB777</f>
        <v>0</v>
      </c>
      <c r="Z774" t="str">
        <f>IFERROR(X774*VLOOKUP(C774,'General price list'!C:I,7,FALSE),"")</f>
        <v/>
      </c>
      <c r="AA774" t="str">
        <f>IF(X774&lt;&gt;"",VLOOKUP(C774,'General price list'!C777:AN1955,MATCH("HM",Tabulka1[[#Headers],[KÓD]:[NEQ]],0),FALSE),"")</f>
        <v/>
      </c>
    </row>
    <row r="775" spans="1:27">
      <c r="A775">
        <f>COUNTIF($W$22:W775,1)</f>
        <v>0</v>
      </c>
      <c r="B775">
        <v>775</v>
      </c>
      <c r="C775" s="684" t="s">
        <v>2758</v>
      </c>
      <c r="W775" t="str">
        <f t="shared" si="22"/>
        <v/>
      </c>
      <c r="X775" s="185" t="str">
        <f t="shared" si="23"/>
        <v/>
      </c>
      <c r="Y775" s="685">
        <f>'General price list'!$AB778</f>
        <v>0</v>
      </c>
      <c r="Z775" t="str">
        <f>IFERROR(X775*VLOOKUP(C775,'General price list'!C:I,7,FALSE),"")</f>
        <v/>
      </c>
      <c r="AA775" t="str">
        <f>IF(X775&lt;&gt;"",VLOOKUP(C775,'General price list'!C778:AN1956,MATCH("HM",Tabulka1[[#Headers],[KÓD]:[NEQ]],0),FALSE),"")</f>
        <v/>
      </c>
    </row>
    <row r="776" spans="1:27">
      <c r="A776">
        <f>COUNTIF($W$22:W776,1)</f>
        <v>0</v>
      </c>
      <c r="B776">
        <v>776</v>
      </c>
      <c r="C776" s="684" t="s">
        <v>2759</v>
      </c>
      <c r="W776" t="str">
        <f t="shared" si="22"/>
        <v/>
      </c>
      <c r="X776" s="185" t="str">
        <f t="shared" si="23"/>
        <v/>
      </c>
      <c r="Y776" s="685">
        <f>'General price list'!$AB779</f>
        <v>0</v>
      </c>
      <c r="Z776" t="str">
        <f>IFERROR(X776*VLOOKUP(C776,'General price list'!C:I,7,FALSE),"")</f>
        <v/>
      </c>
      <c r="AA776" t="str">
        <f>IF(X776&lt;&gt;"",VLOOKUP(C776,'General price list'!C779:AN1957,MATCH("HM",Tabulka1[[#Headers],[KÓD]:[NEQ]],0),FALSE),"")</f>
        <v/>
      </c>
    </row>
    <row r="777" spans="1:27">
      <c r="A777">
        <f>COUNTIF($W$22:W777,1)</f>
        <v>0</v>
      </c>
      <c r="B777">
        <v>777</v>
      </c>
      <c r="C777" s="684" t="s">
        <v>2760</v>
      </c>
      <c r="W777" t="str">
        <f t="shared" si="22"/>
        <v/>
      </c>
      <c r="X777" s="185" t="str">
        <f t="shared" si="23"/>
        <v/>
      </c>
      <c r="Y777" s="685">
        <f>'General price list'!$AB780</f>
        <v>0</v>
      </c>
      <c r="Z777" t="str">
        <f>IFERROR(X777*VLOOKUP(C777,'General price list'!C:I,7,FALSE),"")</f>
        <v/>
      </c>
      <c r="AA777" t="str">
        <f>IF(X777&lt;&gt;"",VLOOKUP(C777,'General price list'!C780:AN1958,MATCH("HM",Tabulka1[[#Headers],[KÓD]:[NEQ]],0),FALSE),"")</f>
        <v/>
      </c>
    </row>
    <row r="778" spans="1:27">
      <c r="A778">
        <f>COUNTIF($W$22:W778,1)</f>
        <v>0</v>
      </c>
      <c r="B778">
        <v>778</v>
      </c>
      <c r="C778" s="684" t="s">
        <v>5457</v>
      </c>
      <c r="W778" t="str">
        <f t="shared" si="22"/>
        <v/>
      </c>
      <c r="X778" s="185" t="str">
        <f t="shared" si="23"/>
        <v/>
      </c>
      <c r="Y778" s="685">
        <f>'General price list'!$AB781</f>
        <v>0</v>
      </c>
      <c r="Z778" t="str">
        <f>IFERROR(X778*VLOOKUP(C778,'General price list'!C:I,7,FALSE),"")</f>
        <v/>
      </c>
      <c r="AA778" t="str">
        <f>IF(X778&lt;&gt;"",VLOOKUP(C778,'General price list'!C781:AN1959,MATCH("HM",Tabulka1[[#Headers],[KÓD]:[NEQ]],0),FALSE),"")</f>
        <v/>
      </c>
    </row>
    <row r="779" spans="1:27">
      <c r="A779">
        <f>COUNTIF($W$22:W779,1)</f>
        <v>0</v>
      </c>
      <c r="B779">
        <v>779</v>
      </c>
      <c r="C779" s="684" t="s">
        <v>2653</v>
      </c>
      <c r="W779" t="str">
        <f t="shared" si="22"/>
        <v/>
      </c>
      <c r="X779" s="185" t="str">
        <f t="shared" si="23"/>
        <v/>
      </c>
      <c r="Y779" s="685">
        <f>'General price list'!$AB782</f>
        <v>0</v>
      </c>
      <c r="Z779" t="str">
        <f>IFERROR(X779*VLOOKUP(C779,'General price list'!C:I,7,FALSE),"")</f>
        <v/>
      </c>
      <c r="AA779" t="str">
        <f>IF(X779&lt;&gt;"",VLOOKUP(C779,'General price list'!C782:AN1960,MATCH("HM",Tabulka1[[#Headers],[KÓD]:[NEQ]],0),FALSE),"")</f>
        <v/>
      </c>
    </row>
    <row r="780" spans="1:27">
      <c r="A780">
        <f>COUNTIF($W$22:W780,1)</f>
        <v>0</v>
      </c>
      <c r="B780">
        <v>780</v>
      </c>
      <c r="W780" t="str">
        <f t="shared" si="22"/>
        <v/>
      </c>
      <c r="X780" s="185" t="str">
        <f t="shared" si="23"/>
        <v/>
      </c>
      <c r="Y780" s="685">
        <f>'General price list'!$AB783</f>
        <v>0</v>
      </c>
      <c r="Z780" t="str">
        <f>IFERROR(X780*VLOOKUP(C780,'General price list'!C:I,7,FALSE),"")</f>
        <v/>
      </c>
      <c r="AA780" t="str">
        <f>IF(X780&lt;&gt;"",VLOOKUP(C780,'General price list'!C783:AN1961,MATCH("HM",Tabulka1[[#Headers],[KÓD]:[NEQ]],0),FALSE),"")</f>
        <v/>
      </c>
    </row>
    <row r="781" spans="1:27">
      <c r="A781">
        <f>COUNTIF($W$22:W781,1)</f>
        <v>0</v>
      </c>
      <c r="B781">
        <v>781</v>
      </c>
      <c r="C781" s="684" t="s">
        <v>1611</v>
      </c>
      <c r="W781" t="str">
        <f t="shared" si="22"/>
        <v/>
      </c>
      <c r="X781" s="185" t="str">
        <f t="shared" si="23"/>
        <v/>
      </c>
      <c r="Y781" s="685">
        <f>'General price list'!$AB784</f>
        <v>0</v>
      </c>
      <c r="Z781" t="str">
        <f>IFERROR(X781*VLOOKUP(C781,'General price list'!C:I,7,FALSE),"")</f>
        <v/>
      </c>
      <c r="AA781" t="str">
        <f>IF(X781&lt;&gt;"",VLOOKUP(C781,'General price list'!C784:AN1962,MATCH("HM",Tabulka1[[#Headers],[KÓD]:[NEQ]],0),FALSE),"")</f>
        <v/>
      </c>
    </row>
    <row r="782" spans="1:27">
      <c r="A782">
        <f>COUNTIF($W$22:W782,1)</f>
        <v>0</v>
      </c>
      <c r="B782">
        <v>782</v>
      </c>
      <c r="C782" s="684" t="s">
        <v>1613</v>
      </c>
      <c r="W782" t="str">
        <f t="shared" si="22"/>
        <v/>
      </c>
      <c r="X782" s="185" t="str">
        <f t="shared" si="23"/>
        <v/>
      </c>
      <c r="Y782" s="685">
        <f>'General price list'!$AB785</f>
        <v>0</v>
      </c>
      <c r="Z782" t="str">
        <f>IFERROR(X782*VLOOKUP(C782,'General price list'!C:I,7,FALSE),"")</f>
        <v/>
      </c>
      <c r="AA782" t="str">
        <f>IF(X782&lt;&gt;"",VLOOKUP(C782,'General price list'!C785:AN1963,MATCH("HM",Tabulka1[[#Headers],[KÓD]:[NEQ]],0),FALSE),"")</f>
        <v/>
      </c>
    </row>
    <row r="783" spans="1:27">
      <c r="A783">
        <f>COUNTIF($W$22:W783,1)</f>
        <v>0</v>
      </c>
      <c r="B783">
        <v>783</v>
      </c>
      <c r="W783" t="str">
        <f t="shared" si="22"/>
        <v/>
      </c>
      <c r="X783" s="185" t="str">
        <f t="shared" si="23"/>
        <v/>
      </c>
      <c r="Y783" s="685">
        <f>'General price list'!$AB786</f>
        <v>0</v>
      </c>
      <c r="Z783" t="str">
        <f>IFERROR(X783*VLOOKUP(C783,'General price list'!C:I,7,FALSE),"")</f>
        <v/>
      </c>
      <c r="AA783" t="str">
        <f>IF(X783&lt;&gt;"",VLOOKUP(C783,'General price list'!C786:AN1964,MATCH("HM",Tabulka1[[#Headers],[KÓD]:[NEQ]],0),FALSE),"")</f>
        <v/>
      </c>
    </row>
    <row r="784" spans="1:27">
      <c r="A784">
        <f>COUNTIF($W$22:W784,1)</f>
        <v>0</v>
      </c>
      <c r="B784">
        <v>784</v>
      </c>
      <c r="C784" s="684" t="s">
        <v>2574</v>
      </c>
      <c r="W784" t="str">
        <f t="shared" si="22"/>
        <v/>
      </c>
      <c r="X784" s="185" t="str">
        <f t="shared" si="23"/>
        <v/>
      </c>
      <c r="Y784" s="685">
        <f>'General price list'!$AB787</f>
        <v>0</v>
      </c>
      <c r="Z784" t="str">
        <f>IFERROR(X784*VLOOKUP(C784,'General price list'!C:I,7,FALSE),"")</f>
        <v/>
      </c>
      <c r="AA784" t="str">
        <f>IF(X784&lt;&gt;"",VLOOKUP(C784,'General price list'!C787:AN1965,MATCH("HM",Tabulka1[[#Headers],[KÓD]:[NEQ]],0),FALSE),"")</f>
        <v/>
      </c>
    </row>
    <row r="785" spans="1:27">
      <c r="A785">
        <f>COUNTIF($W$22:W785,1)</f>
        <v>0</v>
      </c>
      <c r="B785">
        <v>785</v>
      </c>
      <c r="C785" s="684" t="s">
        <v>2576</v>
      </c>
      <c r="W785" t="str">
        <f t="shared" si="22"/>
        <v/>
      </c>
      <c r="X785" s="185" t="str">
        <f t="shared" si="23"/>
        <v/>
      </c>
      <c r="Y785" s="685">
        <f>'General price list'!$AB788</f>
        <v>0</v>
      </c>
      <c r="Z785" t="str">
        <f>IFERROR(X785*VLOOKUP(C785,'General price list'!C:I,7,FALSE),"")</f>
        <v/>
      </c>
      <c r="AA785" t="str">
        <f>IF(X785&lt;&gt;"",VLOOKUP(C785,'General price list'!C788:AN1966,MATCH("HM",Tabulka1[[#Headers],[KÓD]:[NEQ]],0),FALSE),"")</f>
        <v/>
      </c>
    </row>
    <row r="786" spans="1:27">
      <c r="A786">
        <f>COUNTIF($W$22:W786,1)</f>
        <v>0</v>
      </c>
      <c r="B786">
        <v>786</v>
      </c>
      <c r="C786" s="684" t="s">
        <v>2577</v>
      </c>
      <c r="W786" t="str">
        <f t="shared" si="22"/>
        <v/>
      </c>
      <c r="X786" s="185" t="str">
        <f t="shared" si="23"/>
        <v/>
      </c>
      <c r="Y786" s="685">
        <f>'General price list'!$AB789</f>
        <v>0</v>
      </c>
      <c r="Z786" t="str">
        <f>IFERROR(X786*VLOOKUP(C786,'General price list'!C:I,7,FALSE),"")</f>
        <v/>
      </c>
      <c r="AA786" t="str">
        <f>IF(X786&lt;&gt;"",VLOOKUP(C786,'General price list'!C789:AN1967,MATCH("HM",Tabulka1[[#Headers],[KÓD]:[NEQ]],0),FALSE),"")</f>
        <v/>
      </c>
    </row>
    <row r="787" spans="1:27">
      <c r="A787">
        <f>COUNTIF($W$22:W787,1)</f>
        <v>0</v>
      </c>
      <c r="B787">
        <v>787</v>
      </c>
      <c r="W787" t="str">
        <f t="shared" si="22"/>
        <v/>
      </c>
      <c r="X787" s="185" t="str">
        <f t="shared" si="23"/>
        <v/>
      </c>
      <c r="Y787" s="685">
        <f>'General price list'!$AB790</f>
        <v>0</v>
      </c>
      <c r="Z787" t="str">
        <f>IFERROR(X787*VLOOKUP(C787,'General price list'!C:I,7,FALSE),"")</f>
        <v/>
      </c>
      <c r="AA787" t="str">
        <f>IF(X787&lt;&gt;"",VLOOKUP(C787,'General price list'!C790:AN1968,MATCH("HM",Tabulka1[[#Headers],[KÓD]:[NEQ]],0),FALSE),"")</f>
        <v/>
      </c>
    </row>
    <row r="788" spans="1:27">
      <c r="A788">
        <f>COUNTIF($W$22:W788,1)</f>
        <v>0</v>
      </c>
      <c r="B788">
        <v>788</v>
      </c>
      <c r="C788" s="684" t="s">
        <v>1615</v>
      </c>
      <c r="W788" t="str">
        <f t="shared" si="22"/>
        <v/>
      </c>
      <c r="X788" s="185" t="str">
        <f t="shared" si="23"/>
        <v/>
      </c>
      <c r="Y788" s="685">
        <f>'General price list'!$AB791</f>
        <v>0</v>
      </c>
      <c r="Z788" t="str">
        <f>IFERROR(X788*VLOOKUP(C788,'General price list'!C:I,7,FALSE),"")</f>
        <v/>
      </c>
      <c r="AA788" t="str">
        <f>IF(X788&lt;&gt;"",VLOOKUP(C788,'General price list'!C791:AN1969,MATCH("HM",Tabulka1[[#Headers],[KÓD]:[NEQ]],0),FALSE),"")</f>
        <v/>
      </c>
    </row>
    <row r="789" spans="1:27">
      <c r="A789">
        <f>COUNTIF($W$22:W789,1)</f>
        <v>0</v>
      </c>
      <c r="B789">
        <v>789</v>
      </c>
      <c r="W789" t="str">
        <f t="shared" si="22"/>
        <v/>
      </c>
      <c r="X789" s="185" t="str">
        <f t="shared" si="23"/>
        <v/>
      </c>
      <c r="Y789" s="685">
        <f>'General price list'!$AB792</f>
        <v>0</v>
      </c>
      <c r="Z789" t="str">
        <f>IFERROR(X789*VLOOKUP(C789,'General price list'!C:I,7,FALSE),"")</f>
        <v/>
      </c>
      <c r="AA789" t="str">
        <f>IF(X789&lt;&gt;"",VLOOKUP(C789,'General price list'!C792:AN1970,MATCH("HM",Tabulka1[[#Headers],[KÓD]:[NEQ]],0),FALSE),"")</f>
        <v/>
      </c>
    </row>
    <row r="790" spans="1:27">
      <c r="A790">
        <f>COUNTIF($W$22:W790,1)</f>
        <v>0</v>
      </c>
      <c r="B790">
        <v>790</v>
      </c>
      <c r="C790" s="684" t="s">
        <v>2578</v>
      </c>
      <c r="W790" t="str">
        <f t="shared" si="22"/>
        <v/>
      </c>
      <c r="X790" s="185" t="str">
        <f t="shared" si="23"/>
        <v/>
      </c>
      <c r="Y790" s="685">
        <f>'General price list'!$AB793</f>
        <v>0</v>
      </c>
      <c r="Z790" t="str">
        <f>IFERROR(X790*VLOOKUP(C790,'General price list'!C:I,7,FALSE),"")</f>
        <v/>
      </c>
      <c r="AA790" t="str">
        <f>IF(X790&lt;&gt;"",VLOOKUP(C790,'General price list'!C793:AN1971,MATCH("HM",Tabulka1[[#Headers],[KÓD]:[NEQ]],0),FALSE),"")</f>
        <v/>
      </c>
    </row>
    <row r="791" spans="1:27">
      <c r="A791">
        <f>COUNTIF($W$22:W791,1)</f>
        <v>0</v>
      </c>
      <c r="B791">
        <v>791</v>
      </c>
      <c r="C791" s="684" t="s">
        <v>2580</v>
      </c>
      <c r="W791" t="str">
        <f t="shared" ref="W791:W854" si="24">IF(Y791+1=1,"",1)</f>
        <v/>
      </c>
      <c r="X791" s="185" t="str">
        <f t="shared" si="23"/>
        <v/>
      </c>
      <c r="Y791" s="685">
        <f>'General price list'!$AB794</f>
        <v>0</v>
      </c>
      <c r="Z791" t="str">
        <f>IFERROR(X791*VLOOKUP(C791,'General price list'!C:I,7,FALSE),"")</f>
        <v/>
      </c>
      <c r="AA791" t="str">
        <f>IF(X791&lt;&gt;"",VLOOKUP(C791,'General price list'!C794:AN1972,MATCH("HM",Tabulka1[[#Headers],[KÓD]:[NEQ]],0),FALSE),"")</f>
        <v/>
      </c>
    </row>
    <row r="792" spans="1:27">
      <c r="A792">
        <f>COUNTIF($W$22:W792,1)</f>
        <v>0</v>
      </c>
      <c r="B792">
        <v>792</v>
      </c>
      <c r="W792" t="str">
        <f t="shared" si="24"/>
        <v/>
      </c>
      <c r="X792" s="185" t="str">
        <f t="shared" ref="X792:X855" si="25">IF(A792&gt;$C$21,"",IF(Y792=0,"",Y792))</f>
        <v/>
      </c>
      <c r="Y792" s="685">
        <f>'General price list'!$AB795</f>
        <v>0</v>
      </c>
      <c r="Z792" t="str">
        <f>IFERROR(X792*VLOOKUP(C792,'General price list'!C:I,7,FALSE),"")</f>
        <v/>
      </c>
      <c r="AA792" t="str">
        <f>IF(X792&lt;&gt;"",VLOOKUP(C792,'General price list'!C795:AN1973,MATCH("HM",Tabulka1[[#Headers],[KÓD]:[NEQ]],0),FALSE),"")</f>
        <v/>
      </c>
    </row>
    <row r="793" spans="1:27">
      <c r="A793">
        <f>COUNTIF($W$22:W793,1)</f>
        <v>0</v>
      </c>
      <c r="B793">
        <v>793</v>
      </c>
      <c r="C793" s="684" t="s">
        <v>2582</v>
      </c>
      <c r="W793" t="str">
        <f t="shared" si="24"/>
        <v/>
      </c>
      <c r="X793" s="185" t="str">
        <f t="shared" si="25"/>
        <v/>
      </c>
      <c r="Y793" s="685">
        <f>'General price list'!$AB796</f>
        <v>0</v>
      </c>
      <c r="Z793" t="str">
        <f>IFERROR(X793*VLOOKUP(C793,'General price list'!C:I,7,FALSE),"")</f>
        <v/>
      </c>
      <c r="AA793" t="str">
        <f>IF(X793&lt;&gt;"",VLOOKUP(C793,'General price list'!C796:AN1974,MATCH("HM",Tabulka1[[#Headers],[KÓD]:[NEQ]],0),FALSE),"")</f>
        <v/>
      </c>
    </row>
    <row r="794" spans="1:27">
      <c r="A794">
        <f>COUNTIF($W$22:W794,1)</f>
        <v>0</v>
      </c>
      <c r="B794">
        <v>794</v>
      </c>
      <c r="C794" s="684" t="s">
        <v>2583</v>
      </c>
      <c r="W794" t="str">
        <f t="shared" si="24"/>
        <v/>
      </c>
      <c r="X794" s="185" t="str">
        <f t="shared" si="25"/>
        <v/>
      </c>
      <c r="Y794" s="685">
        <f>'General price list'!$AB797</f>
        <v>0</v>
      </c>
      <c r="Z794" t="str">
        <f>IFERROR(X794*VLOOKUP(C794,'General price list'!C:I,7,FALSE),"")</f>
        <v/>
      </c>
      <c r="AA794" t="str">
        <f>IF(X794&lt;&gt;"",VLOOKUP(C794,'General price list'!C797:AN1975,MATCH("HM",Tabulka1[[#Headers],[KÓD]:[NEQ]],0),FALSE),"")</f>
        <v/>
      </c>
    </row>
    <row r="795" spans="1:27">
      <c r="A795">
        <f>COUNTIF($W$22:W795,1)</f>
        <v>0</v>
      </c>
      <c r="B795">
        <v>795</v>
      </c>
      <c r="W795" t="str">
        <f t="shared" si="24"/>
        <v/>
      </c>
      <c r="X795" s="185" t="str">
        <f t="shared" si="25"/>
        <v/>
      </c>
      <c r="Y795" s="685">
        <f>'General price list'!$AB798</f>
        <v>0</v>
      </c>
      <c r="Z795" t="str">
        <f>IFERROR(X795*VLOOKUP(C795,'General price list'!C:I,7,FALSE),"")</f>
        <v/>
      </c>
      <c r="AA795" t="str">
        <f>IF(X795&lt;&gt;"",VLOOKUP(C795,'General price list'!C798:AN1976,MATCH("HM",Tabulka1[[#Headers],[KÓD]:[NEQ]],0),FALSE),"")</f>
        <v/>
      </c>
    </row>
    <row r="796" spans="1:27">
      <c r="A796">
        <f>COUNTIF($W$22:W796,1)</f>
        <v>0</v>
      </c>
      <c r="B796">
        <v>796</v>
      </c>
      <c r="C796" s="684" t="s">
        <v>1618</v>
      </c>
      <c r="W796" t="str">
        <f t="shared" si="24"/>
        <v/>
      </c>
      <c r="X796" s="185" t="str">
        <f t="shared" si="25"/>
        <v/>
      </c>
      <c r="Y796" s="685">
        <f>'General price list'!$AB799</f>
        <v>0</v>
      </c>
      <c r="Z796" t="str">
        <f>IFERROR(X796*VLOOKUP(C796,'General price list'!C:I,7,FALSE),"")</f>
        <v/>
      </c>
      <c r="AA796" t="str">
        <f>IF(X796&lt;&gt;"",VLOOKUP(C796,'General price list'!C799:AN1977,MATCH("HM",Tabulka1[[#Headers],[KÓD]:[NEQ]],0),FALSE),"")</f>
        <v/>
      </c>
    </row>
    <row r="797" spans="1:27">
      <c r="A797">
        <f>COUNTIF($W$22:W797,1)</f>
        <v>0</v>
      </c>
      <c r="B797">
        <v>797</v>
      </c>
      <c r="W797" t="str">
        <f t="shared" si="24"/>
        <v/>
      </c>
      <c r="X797" s="185" t="str">
        <f t="shared" si="25"/>
        <v/>
      </c>
      <c r="Y797" s="685">
        <f>'General price list'!$AB800</f>
        <v>0</v>
      </c>
      <c r="Z797" t="str">
        <f>IFERROR(X797*VLOOKUP(C797,'General price list'!C:I,7,FALSE),"")</f>
        <v/>
      </c>
      <c r="AA797" t="str">
        <f>IF(X797&lt;&gt;"",VLOOKUP(C797,'General price list'!C800:AN1978,MATCH("HM",Tabulka1[[#Headers],[KÓD]:[NEQ]],0),FALSE),"")</f>
        <v/>
      </c>
    </row>
    <row r="798" spans="1:27">
      <c r="A798">
        <f>COUNTIF($W$22:W798,1)</f>
        <v>0</v>
      </c>
      <c r="B798">
        <v>798</v>
      </c>
      <c r="C798" s="684" t="s">
        <v>1624</v>
      </c>
      <c r="W798" t="str">
        <f t="shared" si="24"/>
        <v/>
      </c>
      <c r="X798" s="185" t="str">
        <f t="shared" si="25"/>
        <v/>
      </c>
      <c r="Y798" s="685">
        <f>'General price list'!$AB801</f>
        <v>0</v>
      </c>
      <c r="Z798" t="str">
        <f>IFERROR(X798*VLOOKUP(C798,'General price list'!C:I,7,FALSE),"")</f>
        <v/>
      </c>
      <c r="AA798" t="str">
        <f>IF(X798&lt;&gt;"",VLOOKUP(C798,'General price list'!C801:AN1979,MATCH("HM",Tabulka1[[#Headers],[KÓD]:[NEQ]],0),FALSE),"")</f>
        <v/>
      </c>
    </row>
    <row r="799" spans="1:27">
      <c r="A799">
        <f>COUNTIF($W$22:W799,1)</f>
        <v>0</v>
      </c>
      <c r="B799">
        <v>799</v>
      </c>
      <c r="C799" s="684" t="s">
        <v>1626</v>
      </c>
      <c r="W799" t="str">
        <f t="shared" si="24"/>
        <v/>
      </c>
      <c r="X799" s="185" t="str">
        <f t="shared" si="25"/>
        <v/>
      </c>
      <c r="Y799" s="685">
        <f>'General price list'!$AB802</f>
        <v>0</v>
      </c>
      <c r="Z799" t="str">
        <f>IFERROR(X799*VLOOKUP(C799,'General price list'!C:I,7,FALSE),"")</f>
        <v/>
      </c>
      <c r="AA799" t="str">
        <f>IF(X799&lt;&gt;"",VLOOKUP(C799,'General price list'!C802:AN1980,MATCH("HM",Tabulka1[[#Headers],[KÓD]:[NEQ]],0),FALSE),"")</f>
        <v/>
      </c>
    </row>
    <row r="800" spans="1:27">
      <c r="A800">
        <f>COUNTIF($W$22:W800,1)</f>
        <v>0</v>
      </c>
      <c r="B800">
        <v>800</v>
      </c>
      <c r="C800" s="684" t="s">
        <v>1628</v>
      </c>
      <c r="W800" t="str">
        <f t="shared" si="24"/>
        <v/>
      </c>
      <c r="X800" s="185" t="str">
        <f t="shared" si="25"/>
        <v/>
      </c>
      <c r="Y800" s="685">
        <f>'General price list'!$AB803</f>
        <v>0</v>
      </c>
      <c r="Z800" t="str">
        <f>IFERROR(X800*VLOOKUP(C800,'General price list'!C:I,7,FALSE),"")</f>
        <v/>
      </c>
      <c r="AA800" t="str">
        <f>IF(X800&lt;&gt;"",VLOOKUP(C800,'General price list'!C803:AN1981,MATCH("HM",Tabulka1[[#Headers],[KÓD]:[NEQ]],0),FALSE),"")</f>
        <v/>
      </c>
    </row>
    <row r="801" spans="1:27">
      <c r="A801">
        <f>COUNTIF($W$22:W801,1)</f>
        <v>0</v>
      </c>
      <c r="B801">
        <v>801</v>
      </c>
      <c r="C801" s="684" t="s">
        <v>2584</v>
      </c>
      <c r="W801" t="str">
        <f t="shared" si="24"/>
        <v/>
      </c>
      <c r="X801" s="185" t="str">
        <f t="shared" si="25"/>
        <v/>
      </c>
      <c r="Y801" s="685">
        <f>'General price list'!$AB804</f>
        <v>0</v>
      </c>
      <c r="Z801" t="str">
        <f>IFERROR(X801*VLOOKUP(C801,'General price list'!C:I,7,FALSE),"")</f>
        <v/>
      </c>
      <c r="AA801" t="str">
        <f>IF(X801&lt;&gt;"",VLOOKUP(C801,'General price list'!C804:AN1982,MATCH("HM",Tabulka1[[#Headers],[KÓD]:[NEQ]],0),FALSE),"")</f>
        <v/>
      </c>
    </row>
    <row r="802" spans="1:27">
      <c r="A802">
        <f>COUNTIF($W$22:W802,1)</f>
        <v>0</v>
      </c>
      <c r="B802">
        <v>802</v>
      </c>
      <c r="W802" t="str">
        <f t="shared" si="24"/>
        <v/>
      </c>
      <c r="X802" s="185" t="str">
        <f t="shared" si="25"/>
        <v/>
      </c>
      <c r="Y802" s="685">
        <f>'General price list'!$AB805</f>
        <v>0</v>
      </c>
      <c r="Z802" t="str">
        <f>IFERROR(X802*VLOOKUP(C802,'General price list'!C:I,7,FALSE),"")</f>
        <v/>
      </c>
      <c r="AA802" t="str">
        <f>IF(X802&lt;&gt;"",VLOOKUP(C802,'General price list'!C805:AN1983,MATCH("HM",Tabulka1[[#Headers],[KÓD]:[NEQ]],0),FALSE),"")</f>
        <v/>
      </c>
    </row>
    <row r="803" spans="1:27">
      <c r="A803">
        <f>COUNTIF($W$22:W803,1)</f>
        <v>0</v>
      </c>
      <c r="B803">
        <v>803</v>
      </c>
      <c r="C803" s="684" t="s">
        <v>2762</v>
      </c>
      <c r="W803" t="str">
        <f t="shared" si="24"/>
        <v/>
      </c>
      <c r="X803" s="185" t="str">
        <f t="shared" si="25"/>
        <v/>
      </c>
      <c r="Y803" s="685">
        <f>'General price list'!$AB806</f>
        <v>0</v>
      </c>
      <c r="Z803" t="str">
        <f>IFERROR(X803*VLOOKUP(C803,'General price list'!C:I,7,FALSE),"")</f>
        <v/>
      </c>
      <c r="AA803" t="str">
        <f>IF(X803&lt;&gt;"",VLOOKUP(C803,'General price list'!C806:AN1984,MATCH("HM",Tabulka1[[#Headers],[KÓD]:[NEQ]],0),FALSE),"")</f>
        <v/>
      </c>
    </row>
    <row r="804" spans="1:27">
      <c r="A804">
        <f>COUNTIF($W$22:W804,1)</f>
        <v>0</v>
      </c>
      <c r="B804">
        <v>804</v>
      </c>
      <c r="C804" s="684" t="s">
        <v>2763</v>
      </c>
      <c r="W804" t="str">
        <f t="shared" si="24"/>
        <v/>
      </c>
      <c r="X804" s="185" t="str">
        <f t="shared" si="25"/>
        <v/>
      </c>
      <c r="Y804" s="685">
        <f>'General price list'!$AB807</f>
        <v>0</v>
      </c>
      <c r="Z804" t="str">
        <f>IFERROR(X804*VLOOKUP(C804,'General price list'!C:I,7,FALSE),"")</f>
        <v/>
      </c>
      <c r="AA804" t="str">
        <f>IF(X804&lt;&gt;"",VLOOKUP(C804,'General price list'!C807:AN1985,MATCH("HM",Tabulka1[[#Headers],[KÓD]:[NEQ]],0),FALSE),"")</f>
        <v/>
      </c>
    </row>
    <row r="805" spans="1:27">
      <c r="A805">
        <f>COUNTIF($W$22:W805,1)</f>
        <v>0</v>
      </c>
      <c r="B805">
        <v>805</v>
      </c>
      <c r="C805" s="684" t="s">
        <v>2764</v>
      </c>
      <c r="W805" t="str">
        <f t="shared" si="24"/>
        <v/>
      </c>
      <c r="X805" s="185" t="str">
        <f t="shared" si="25"/>
        <v/>
      </c>
      <c r="Y805" s="685">
        <f>'General price list'!$AB808</f>
        <v>0</v>
      </c>
      <c r="Z805" t="str">
        <f>IFERROR(X805*VLOOKUP(C805,'General price list'!C:I,7,FALSE),"")</f>
        <v/>
      </c>
      <c r="AA805" t="str">
        <f>IF(X805&lt;&gt;"",VLOOKUP(C805,'General price list'!C808:AN1986,MATCH("HM",Tabulka1[[#Headers],[KÓD]:[NEQ]],0),FALSE),"")</f>
        <v/>
      </c>
    </row>
    <row r="806" spans="1:27">
      <c r="A806">
        <f>COUNTIF($W$22:W806,1)</f>
        <v>0</v>
      </c>
      <c r="B806">
        <v>806</v>
      </c>
      <c r="C806" s="684" t="s">
        <v>2765</v>
      </c>
      <c r="W806" t="str">
        <f t="shared" si="24"/>
        <v/>
      </c>
      <c r="X806" s="185" t="str">
        <f t="shared" si="25"/>
        <v/>
      </c>
      <c r="Y806" s="685">
        <f>'General price list'!$AB809</f>
        <v>0</v>
      </c>
      <c r="Z806" t="str">
        <f>IFERROR(X806*VLOOKUP(C806,'General price list'!C:I,7,FALSE),"")</f>
        <v/>
      </c>
      <c r="AA806" t="str">
        <f>IF(X806&lt;&gt;"",VLOOKUP(C806,'General price list'!C809:AN1987,MATCH("HM",Tabulka1[[#Headers],[KÓD]:[NEQ]],0),FALSE),"")</f>
        <v/>
      </c>
    </row>
    <row r="807" spans="1:27">
      <c r="A807">
        <f>COUNTIF($W$22:W807,1)</f>
        <v>0</v>
      </c>
      <c r="B807">
        <v>807</v>
      </c>
      <c r="W807" t="str">
        <f t="shared" si="24"/>
        <v/>
      </c>
      <c r="X807" s="185" t="str">
        <f t="shared" si="25"/>
        <v/>
      </c>
      <c r="Y807" s="685">
        <f>'General price list'!$AB810</f>
        <v>0</v>
      </c>
      <c r="Z807" t="str">
        <f>IFERROR(X807*VLOOKUP(C807,'General price list'!C:I,7,FALSE),"")</f>
        <v/>
      </c>
      <c r="AA807" t="str">
        <f>IF(X807&lt;&gt;"",VLOOKUP(C807,'General price list'!C810:AN1988,MATCH("HM",Tabulka1[[#Headers],[KÓD]:[NEQ]],0),FALSE),"")</f>
        <v/>
      </c>
    </row>
    <row r="808" spans="1:27">
      <c r="A808">
        <f>COUNTIF($W$22:W808,1)</f>
        <v>0</v>
      </c>
      <c r="B808">
        <v>808</v>
      </c>
      <c r="C808" s="684" t="s">
        <v>1630</v>
      </c>
      <c r="W808" t="str">
        <f t="shared" si="24"/>
        <v/>
      </c>
      <c r="X808" s="185" t="str">
        <f t="shared" si="25"/>
        <v/>
      </c>
      <c r="Y808" s="685">
        <f>'General price list'!$AB811</f>
        <v>0</v>
      </c>
      <c r="Z808" t="str">
        <f>IFERROR(X808*VLOOKUP(C808,'General price list'!C:I,7,FALSE),"")</f>
        <v/>
      </c>
      <c r="AA808" t="str">
        <f>IF(X808&lt;&gt;"",VLOOKUP(C808,'General price list'!C811:AN1989,MATCH("HM",Tabulka1[[#Headers],[KÓD]:[NEQ]],0),FALSE),"")</f>
        <v/>
      </c>
    </row>
    <row r="809" spans="1:27">
      <c r="A809">
        <f>COUNTIF($W$22:W809,1)</f>
        <v>0</v>
      </c>
      <c r="B809">
        <v>809</v>
      </c>
      <c r="W809" t="str">
        <f t="shared" si="24"/>
        <v/>
      </c>
      <c r="X809" s="185" t="str">
        <f t="shared" si="25"/>
        <v/>
      </c>
      <c r="Y809" s="685">
        <f>'General price list'!$AB812</f>
        <v>0</v>
      </c>
      <c r="Z809" t="str">
        <f>IFERROR(X809*VLOOKUP(C809,'General price list'!C:I,7,FALSE),"")</f>
        <v/>
      </c>
      <c r="AA809" t="str">
        <f>IF(X809&lt;&gt;"",VLOOKUP(C809,'General price list'!C812:AN1990,MATCH("HM",Tabulka1[[#Headers],[KÓD]:[NEQ]],0),FALSE),"")</f>
        <v/>
      </c>
    </row>
    <row r="810" spans="1:27">
      <c r="A810">
        <f>COUNTIF($W$22:W810,1)</f>
        <v>0</v>
      </c>
      <c r="B810">
        <v>810</v>
      </c>
      <c r="C810" s="684" t="s">
        <v>1636</v>
      </c>
      <c r="W810" t="str">
        <f t="shared" si="24"/>
        <v/>
      </c>
      <c r="X810" s="185" t="str">
        <f t="shared" si="25"/>
        <v/>
      </c>
      <c r="Y810" s="685">
        <f>'General price list'!$AB813</f>
        <v>0</v>
      </c>
      <c r="Z810" t="str">
        <f>IFERROR(X810*VLOOKUP(C810,'General price list'!C:I,7,FALSE),"")</f>
        <v/>
      </c>
      <c r="AA810" t="str">
        <f>IF(X810&lt;&gt;"",VLOOKUP(C810,'General price list'!C813:AN1991,MATCH("HM",Tabulka1[[#Headers],[KÓD]:[NEQ]],0),FALSE),"")</f>
        <v/>
      </c>
    </row>
    <row r="811" spans="1:27">
      <c r="A811">
        <f>COUNTIF($W$22:W811,1)</f>
        <v>0</v>
      </c>
      <c r="B811">
        <v>811</v>
      </c>
      <c r="W811" t="str">
        <f t="shared" si="24"/>
        <v/>
      </c>
      <c r="X811" s="185" t="str">
        <f t="shared" si="25"/>
        <v/>
      </c>
      <c r="Y811" s="685">
        <f>'General price list'!$AB814</f>
        <v>0</v>
      </c>
      <c r="Z811" t="str">
        <f>IFERROR(X811*VLOOKUP(C811,'General price list'!C:I,7,FALSE),"")</f>
        <v/>
      </c>
      <c r="AA811" t="str">
        <f>IF(X811&lt;&gt;"",VLOOKUP(C811,'General price list'!C814:AN1992,MATCH("HM",Tabulka1[[#Headers],[KÓD]:[NEQ]],0),FALSE),"")</f>
        <v/>
      </c>
    </row>
    <row r="812" spans="1:27">
      <c r="A812">
        <f>COUNTIF($W$22:W812,1)</f>
        <v>0</v>
      </c>
      <c r="B812">
        <v>812</v>
      </c>
      <c r="C812" s="684" t="s">
        <v>1638</v>
      </c>
      <c r="W812" t="str">
        <f t="shared" si="24"/>
        <v/>
      </c>
      <c r="X812" s="185" t="str">
        <f t="shared" si="25"/>
        <v/>
      </c>
      <c r="Y812" s="685">
        <f>'General price list'!$AB815</f>
        <v>0</v>
      </c>
      <c r="Z812" t="str">
        <f>IFERROR(X812*VLOOKUP(C812,'General price list'!C:I,7,FALSE),"")</f>
        <v/>
      </c>
      <c r="AA812" t="str">
        <f>IF(X812&lt;&gt;"",VLOOKUP(C812,'General price list'!C815:AN1993,MATCH("HM",Tabulka1[[#Headers],[KÓD]:[NEQ]],0),FALSE),"")</f>
        <v/>
      </c>
    </row>
    <row r="813" spans="1:27">
      <c r="A813">
        <f>COUNTIF($W$22:W813,1)</f>
        <v>0</v>
      </c>
      <c r="B813">
        <v>813</v>
      </c>
      <c r="W813" t="str">
        <f t="shared" si="24"/>
        <v/>
      </c>
      <c r="X813" s="185" t="str">
        <f t="shared" si="25"/>
        <v/>
      </c>
      <c r="Y813" s="685">
        <f>'General price list'!$AB816</f>
        <v>0</v>
      </c>
      <c r="Z813" t="str">
        <f>IFERROR(X813*VLOOKUP(C813,'General price list'!C:I,7,FALSE),"")</f>
        <v/>
      </c>
      <c r="AA813" t="str">
        <f>IF(X813&lt;&gt;"",VLOOKUP(C813,'General price list'!C816:AN1994,MATCH("HM",Tabulka1[[#Headers],[KÓD]:[NEQ]],0),FALSE),"")</f>
        <v/>
      </c>
    </row>
    <row r="814" spans="1:27">
      <c r="A814">
        <f>COUNTIF($W$22:W814,1)</f>
        <v>0</v>
      </c>
      <c r="B814">
        <v>814</v>
      </c>
      <c r="C814" s="684" t="s">
        <v>1640</v>
      </c>
      <c r="W814" t="str">
        <f t="shared" si="24"/>
        <v/>
      </c>
      <c r="X814" s="185" t="str">
        <f t="shared" si="25"/>
        <v/>
      </c>
      <c r="Y814" s="685">
        <f>'General price list'!$AB817</f>
        <v>0</v>
      </c>
      <c r="Z814" t="str">
        <f>IFERROR(X814*VLOOKUP(C814,'General price list'!C:I,7,FALSE),"")</f>
        <v/>
      </c>
      <c r="AA814" t="str">
        <f>IF(X814&lt;&gt;"",VLOOKUP(C814,'General price list'!C817:AN1995,MATCH("HM",Tabulka1[[#Headers],[KÓD]:[NEQ]],0),FALSE),"")</f>
        <v/>
      </c>
    </row>
    <row r="815" spans="1:27">
      <c r="A815">
        <f>COUNTIF($W$22:W815,1)</f>
        <v>0</v>
      </c>
      <c r="B815">
        <v>815</v>
      </c>
      <c r="W815" t="str">
        <f t="shared" si="24"/>
        <v/>
      </c>
      <c r="X815" s="185" t="str">
        <f t="shared" si="25"/>
        <v/>
      </c>
      <c r="Y815" s="685">
        <f>'General price list'!$AB818</f>
        <v>0</v>
      </c>
      <c r="Z815" t="str">
        <f>IFERROR(X815*VLOOKUP(C815,'General price list'!C:I,7,FALSE),"")</f>
        <v/>
      </c>
      <c r="AA815" t="str">
        <f>IF(X815&lt;&gt;"",VLOOKUP(C815,'General price list'!C818:AN1996,MATCH("HM",Tabulka1[[#Headers],[KÓD]:[NEQ]],0),FALSE),"")</f>
        <v/>
      </c>
    </row>
    <row r="816" spans="1:27">
      <c r="A816">
        <f>COUNTIF($W$22:W816,1)</f>
        <v>0</v>
      </c>
      <c r="B816">
        <v>816</v>
      </c>
      <c r="W816" t="str">
        <f t="shared" si="24"/>
        <v/>
      </c>
      <c r="X816" s="185" t="str">
        <f t="shared" si="25"/>
        <v/>
      </c>
      <c r="Y816" s="685">
        <f>'General price list'!$AB819</f>
        <v>0</v>
      </c>
      <c r="Z816" t="str">
        <f>IFERROR(X816*VLOOKUP(C816,'General price list'!C:I,7,FALSE),"")</f>
        <v/>
      </c>
      <c r="AA816" t="str">
        <f>IF(X816&lt;&gt;"",VLOOKUP(C816,'General price list'!C819:AN1997,MATCH("HM",Tabulka1[[#Headers],[KÓD]:[NEQ]],0),FALSE),"")</f>
        <v/>
      </c>
    </row>
    <row r="817" spans="1:27">
      <c r="A817">
        <f>COUNTIF($W$22:W817,1)</f>
        <v>0</v>
      </c>
      <c r="B817">
        <v>817</v>
      </c>
      <c r="C817" s="684" t="s">
        <v>2586</v>
      </c>
      <c r="W817" t="str">
        <f t="shared" si="24"/>
        <v/>
      </c>
      <c r="X817" s="185" t="str">
        <f t="shared" si="25"/>
        <v/>
      </c>
      <c r="Y817" s="685">
        <f>'General price list'!$AB820</f>
        <v>0</v>
      </c>
      <c r="Z817" t="str">
        <f>IFERROR(X817*VLOOKUP(C817,'General price list'!C:I,7,FALSE),"")</f>
        <v/>
      </c>
      <c r="AA817" t="str">
        <f>IF(X817&lt;&gt;"",VLOOKUP(C817,'General price list'!C820:AN1998,MATCH("HM",Tabulka1[[#Headers],[KÓD]:[NEQ]],0),FALSE),"")</f>
        <v/>
      </c>
    </row>
    <row r="818" spans="1:27">
      <c r="A818">
        <f>COUNTIF($W$22:W818,1)</f>
        <v>0</v>
      </c>
      <c r="B818">
        <v>818</v>
      </c>
      <c r="W818" t="str">
        <f t="shared" si="24"/>
        <v/>
      </c>
      <c r="X818" s="185" t="str">
        <f t="shared" si="25"/>
        <v/>
      </c>
      <c r="Y818" s="685">
        <f>'General price list'!$AB821</f>
        <v>0</v>
      </c>
      <c r="Z818" t="str">
        <f>IFERROR(X818*VLOOKUP(C818,'General price list'!C:I,7,FALSE),"")</f>
        <v/>
      </c>
      <c r="AA818" t="str">
        <f>IF(X818&lt;&gt;"",VLOOKUP(C818,'General price list'!C821:AN1999,MATCH("HM",Tabulka1[[#Headers],[KÓD]:[NEQ]],0),FALSE),"")</f>
        <v/>
      </c>
    </row>
    <row r="819" spans="1:27">
      <c r="A819">
        <f>COUNTIF($W$22:W819,1)</f>
        <v>0</v>
      </c>
      <c r="B819">
        <v>819</v>
      </c>
      <c r="C819" s="684" t="s">
        <v>2587</v>
      </c>
      <c r="W819" t="str">
        <f t="shared" si="24"/>
        <v/>
      </c>
      <c r="X819" s="185" t="str">
        <f t="shared" si="25"/>
        <v/>
      </c>
      <c r="Y819" s="685">
        <f>'General price list'!$AB822</f>
        <v>0</v>
      </c>
      <c r="Z819" t="str">
        <f>IFERROR(X819*VLOOKUP(C819,'General price list'!C:I,7,FALSE),"")</f>
        <v/>
      </c>
      <c r="AA819" t="str">
        <f>IF(X819&lt;&gt;"",VLOOKUP(C819,'General price list'!C822:AN2000,MATCH("HM",Tabulka1[[#Headers],[KÓD]:[NEQ]],0),FALSE),"")</f>
        <v/>
      </c>
    </row>
    <row r="820" spans="1:27">
      <c r="A820">
        <f>COUNTIF($W$22:W820,1)</f>
        <v>0</v>
      </c>
      <c r="B820">
        <v>820</v>
      </c>
      <c r="W820" t="str">
        <f t="shared" si="24"/>
        <v/>
      </c>
      <c r="X820" s="185" t="str">
        <f t="shared" si="25"/>
        <v/>
      </c>
      <c r="Y820" s="685">
        <f>'General price list'!$AB823</f>
        <v>0</v>
      </c>
      <c r="Z820" t="str">
        <f>IFERROR(X820*VLOOKUP(C820,'General price list'!C:I,7,FALSE),"")</f>
        <v/>
      </c>
      <c r="AA820" t="str">
        <f>IF(X820&lt;&gt;"",VLOOKUP(C820,'General price list'!C823:AN2001,MATCH("HM",Tabulka1[[#Headers],[KÓD]:[NEQ]],0),FALSE),"")</f>
        <v/>
      </c>
    </row>
    <row r="821" spans="1:27">
      <c r="A821">
        <f>COUNTIF($W$22:W821,1)</f>
        <v>0</v>
      </c>
      <c r="B821">
        <v>821</v>
      </c>
      <c r="C821" s="684" t="s">
        <v>1650</v>
      </c>
      <c r="W821" t="str">
        <f t="shared" si="24"/>
        <v/>
      </c>
      <c r="X821" s="185" t="str">
        <f t="shared" si="25"/>
        <v/>
      </c>
      <c r="Y821" s="685">
        <f>'General price list'!$AB824</f>
        <v>0</v>
      </c>
      <c r="Z821" t="str">
        <f>IFERROR(X821*VLOOKUP(C821,'General price list'!C:I,7,FALSE),"")</f>
        <v/>
      </c>
      <c r="AA821" t="str">
        <f>IF(X821&lt;&gt;"",VLOOKUP(C821,'General price list'!C824:AN2002,MATCH("HM",Tabulka1[[#Headers],[KÓD]:[NEQ]],0),FALSE),"")</f>
        <v/>
      </c>
    </row>
    <row r="822" spans="1:27">
      <c r="A822">
        <f>COUNTIF($W$22:W822,1)</f>
        <v>0</v>
      </c>
      <c r="B822">
        <v>822</v>
      </c>
      <c r="W822" t="str">
        <f t="shared" si="24"/>
        <v/>
      </c>
      <c r="X822" s="185" t="str">
        <f t="shared" si="25"/>
        <v/>
      </c>
      <c r="Y822" s="685">
        <f>'General price list'!$AB825</f>
        <v>0</v>
      </c>
      <c r="Z822" t="str">
        <f>IFERROR(X822*VLOOKUP(C822,'General price list'!C:I,7,FALSE),"")</f>
        <v/>
      </c>
      <c r="AA822" t="str">
        <f>IF(X822&lt;&gt;"",VLOOKUP(C822,'General price list'!C825:AN2003,MATCH("HM",Tabulka1[[#Headers],[KÓD]:[NEQ]],0),FALSE),"")</f>
        <v/>
      </c>
    </row>
    <row r="823" spans="1:27">
      <c r="A823">
        <f>COUNTIF($W$22:W823,1)</f>
        <v>0</v>
      </c>
      <c r="B823">
        <v>823</v>
      </c>
      <c r="C823" s="684" t="s">
        <v>1652</v>
      </c>
      <c r="W823" t="str">
        <f t="shared" si="24"/>
        <v/>
      </c>
      <c r="X823" s="185" t="str">
        <f t="shared" si="25"/>
        <v/>
      </c>
      <c r="Y823" s="685">
        <f>'General price list'!$AB826</f>
        <v>0</v>
      </c>
      <c r="Z823" t="str">
        <f>IFERROR(X823*VLOOKUP(C823,'General price list'!C:I,7,FALSE),"")</f>
        <v/>
      </c>
      <c r="AA823" t="str">
        <f>IF(X823&lt;&gt;"",VLOOKUP(C823,'General price list'!C826:AN2004,MATCH("HM",Tabulka1[[#Headers],[KÓD]:[NEQ]],0),FALSE),"")</f>
        <v/>
      </c>
    </row>
    <row r="824" spans="1:27">
      <c r="A824">
        <f>COUNTIF($W$22:W824,1)</f>
        <v>0</v>
      </c>
      <c r="B824">
        <v>824</v>
      </c>
      <c r="W824" t="str">
        <f t="shared" si="24"/>
        <v/>
      </c>
      <c r="X824" s="185" t="str">
        <f t="shared" si="25"/>
        <v/>
      </c>
      <c r="Y824" s="685">
        <f>'General price list'!$AB827</f>
        <v>0</v>
      </c>
      <c r="Z824" t="str">
        <f>IFERROR(X824*VLOOKUP(C824,'General price list'!C:I,7,FALSE),"")</f>
        <v/>
      </c>
      <c r="AA824" t="str">
        <f>IF(X824&lt;&gt;"",VLOOKUP(C824,'General price list'!C827:AN2005,MATCH("HM",Tabulka1[[#Headers],[KÓD]:[NEQ]],0),FALSE),"")</f>
        <v/>
      </c>
    </row>
    <row r="825" spans="1:27">
      <c r="A825">
        <f>COUNTIF($W$22:W825,1)</f>
        <v>0</v>
      </c>
      <c r="B825">
        <v>825</v>
      </c>
      <c r="C825" s="684" t="s">
        <v>1667</v>
      </c>
      <c r="W825" t="str">
        <f t="shared" si="24"/>
        <v/>
      </c>
      <c r="X825" s="185" t="str">
        <f t="shared" si="25"/>
        <v/>
      </c>
      <c r="Y825" s="685">
        <f>'General price list'!$AB828</f>
        <v>0</v>
      </c>
      <c r="Z825" t="str">
        <f>IFERROR(X825*VLOOKUP(C825,'General price list'!C:I,7,FALSE),"")</f>
        <v/>
      </c>
      <c r="AA825" t="str">
        <f>IF(X825&lt;&gt;"",VLOOKUP(C825,'General price list'!C828:AN2006,MATCH("HM",Tabulka1[[#Headers],[KÓD]:[NEQ]],0),FALSE),"")</f>
        <v/>
      </c>
    </row>
    <row r="826" spans="1:27">
      <c r="A826">
        <f>COUNTIF($W$22:W826,1)</f>
        <v>0</v>
      </c>
      <c r="B826">
        <v>826</v>
      </c>
      <c r="C826" s="684" t="s">
        <v>1669</v>
      </c>
      <c r="W826" t="str">
        <f t="shared" si="24"/>
        <v/>
      </c>
      <c r="X826" s="185" t="str">
        <f t="shared" si="25"/>
        <v/>
      </c>
      <c r="Y826" s="685">
        <f>'General price list'!$AB829</f>
        <v>0</v>
      </c>
      <c r="Z826" t="str">
        <f>IFERROR(X826*VLOOKUP(C826,'General price list'!C:I,7,FALSE),"")</f>
        <v/>
      </c>
      <c r="AA826" t="str">
        <f>IF(X826&lt;&gt;"",VLOOKUP(C826,'General price list'!C829:AN2007,MATCH("HM",Tabulka1[[#Headers],[KÓD]:[NEQ]],0),FALSE),"")</f>
        <v/>
      </c>
    </row>
    <row r="827" spans="1:27">
      <c r="A827">
        <f>COUNTIF($W$22:W827,1)</f>
        <v>0</v>
      </c>
      <c r="B827">
        <v>827</v>
      </c>
      <c r="W827" t="str">
        <f t="shared" si="24"/>
        <v/>
      </c>
      <c r="X827" s="185" t="str">
        <f t="shared" si="25"/>
        <v/>
      </c>
      <c r="Y827" s="685">
        <f>'General price list'!$AB830</f>
        <v>0</v>
      </c>
      <c r="Z827" t="str">
        <f>IFERROR(X827*VLOOKUP(C827,'General price list'!C:I,7,FALSE),"")</f>
        <v/>
      </c>
      <c r="AA827" t="str">
        <f>IF(X827&lt;&gt;"",VLOOKUP(C827,'General price list'!C830:AN2008,MATCH("HM",Tabulka1[[#Headers],[KÓD]:[NEQ]],0),FALSE),"")</f>
        <v/>
      </c>
    </row>
    <row r="828" spans="1:27">
      <c r="A828">
        <f>COUNTIF($W$22:W828,1)</f>
        <v>0</v>
      </c>
      <c r="B828">
        <v>828</v>
      </c>
      <c r="C828" s="684" t="s">
        <v>1671</v>
      </c>
      <c r="W828" t="str">
        <f t="shared" si="24"/>
        <v/>
      </c>
      <c r="X828" s="185" t="str">
        <f t="shared" si="25"/>
        <v/>
      </c>
      <c r="Y828" s="685">
        <f>'General price list'!$AB831</f>
        <v>0</v>
      </c>
      <c r="Z828" t="str">
        <f>IFERROR(X828*VLOOKUP(C828,'General price list'!C:I,7,FALSE),"")</f>
        <v/>
      </c>
      <c r="AA828" t="str">
        <f>IF(X828&lt;&gt;"",VLOOKUP(C828,'General price list'!C831:AN2009,MATCH("HM",Tabulka1[[#Headers],[KÓD]:[NEQ]],0),FALSE),"")</f>
        <v/>
      </c>
    </row>
    <row r="829" spans="1:27">
      <c r="A829">
        <f>COUNTIF($W$22:W829,1)</f>
        <v>0</v>
      </c>
      <c r="B829">
        <v>829</v>
      </c>
      <c r="W829" t="str">
        <f t="shared" si="24"/>
        <v/>
      </c>
      <c r="X829" s="185" t="str">
        <f t="shared" si="25"/>
        <v/>
      </c>
      <c r="Y829" s="685">
        <f>'General price list'!$AB832</f>
        <v>0</v>
      </c>
      <c r="Z829" t="str">
        <f>IFERROR(X829*VLOOKUP(C829,'General price list'!C:I,7,FALSE),"")</f>
        <v/>
      </c>
      <c r="AA829" t="str">
        <f>IF(X829&lt;&gt;"",VLOOKUP(C829,'General price list'!C832:AN2010,MATCH("HM",Tabulka1[[#Headers],[KÓD]:[NEQ]],0),FALSE),"")</f>
        <v/>
      </c>
    </row>
    <row r="830" spans="1:27">
      <c r="A830">
        <f>COUNTIF($W$22:W830,1)</f>
        <v>0</v>
      </c>
      <c r="B830">
        <v>830</v>
      </c>
      <c r="C830" s="684" t="s">
        <v>1678</v>
      </c>
      <c r="W830" t="str">
        <f t="shared" si="24"/>
        <v/>
      </c>
      <c r="X830" s="185" t="str">
        <f t="shared" si="25"/>
        <v/>
      </c>
      <c r="Y830" s="685">
        <f>'General price list'!$AB833</f>
        <v>0</v>
      </c>
      <c r="Z830" t="str">
        <f>IFERROR(X830*VLOOKUP(C830,'General price list'!C:I,7,FALSE),"")</f>
        <v/>
      </c>
      <c r="AA830" t="str">
        <f>IF(X830&lt;&gt;"",VLOOKUP(C830,'General price list'!C833:AN2011,MATCH("HM",Tabulka1[[#Headers],[KÓD]:[NEQ]],0),FALSE),"")</f>
        <v/>
      </c>
    </row>
    <row r="831" spans="1:27">
      <c r="A831">
        <f>COUNTIF($W$22:W831,1)</f>
        <v>0</v>
      </c>
      <c r="B831">
        <v>831</v>
      </c>
      <c r="C831" s="684" t="s">
        <v>1679</v>
      </c>
      <c r="W831" t="str">
        <f t="shared" si="24"/>
        <v/>
      </c>
      <c r="X831" s="185" t="str">
        <f t="shared" si="25"/>
        <v/>
      </c>
      <c r="Y831" s="685">
        <f>'General price list'!$AB834</f>
        <v>0</v>
      </c>
      <c r="Z831" t="str">
        <f>IFERROR(X831*VLOOKUP(C831,'General price list'!C:I,7,FALSE),"")</f>
        <v/>
      </c>
      <c r="AA831" t="str">
        <f>IF(X831&lt;&gt;"",VLOOKUP(C831,'General price list'!C834:AN2012,MATCH("HM",Tabulka1[[#Headers],[KÓD]:[NEQ]],0),FALSE),"")</f>
        <v/>
      </c>
    </row>
    <row r="832" spans="1:27">
      <c r="A832">
        <f>COUNTIF($W$22:W832,1)</f>
        <v>0</v>
      </c>
      <c r="B832">
        <v>832</v>
      </c>
      <c r="W832" t="str">
        <f t="shared" si="24"/>
        <v/>
      </c>
      <c r="X832" s="185" t="str">
        <f t="shared" si="25"/>
        <v/>
      </c>
      <c r="Y832" s="685">
        <f>'General price list'!$AB835</f>
        <v>0</v>
      </c>
      <c r="Z832" t="str">
        <f>IFERROR(X832*VLOOKUP(C832,'General price list'!C:I,7,FALSE),"")</f>
        <v/>
      </c>
      <c r="AA832" t="str">
        <f>IF(X832&lt;&gt;"",VLOOKUP(C832,'General price list'!C835:AN2013,MATCH("HM",Tabulka1[[#Headers],[KÓD]:[NEQ]],0),FALSE),"")</f>
        <v/>
      </c>
    </row>
    <row r="833" spans="1:27">
      <c r="A833">
        <f>COUNTIF($W$22:W833,1)</f>
        <v>0</v>
      </c>
      <c r="B833">
        <v>833</v>
      </c>
      <c r="C833" s="684" t="s">
        <v>1680</v>
      </c>
      <c r="W833" t="str">
        <f t="shared" si="24"/>
        <v/>
      </c>
      <c r="X833" s="185" t="str">
        <f t="shared" si="25"/>
        <v/>
      </c>
      <c r="Y833" s="685">
        <f>'General price list'!$AB836</f>
        <v>0</v>
      </c>
      <c r="Z833" t="str">
        <f>IFERROR(X833*VLOOKUP(C833,'General price list'!C:I,7,FALSE),"")</f>
        <v/>
      </c>
      <c r="AA833" t="str">
        <f>IF(X833&lt;&gt;"",VLOOKUP(C833,'General price list'!C836:AN2014,MATCH("HM",Tabulka1[[#Headers],[KÓD]:[NEQ]],0),FALSE),"")</f>
        <v/>
      </c>
    </row>
    <row r="834" spans="1:27">
      <c r="A834">
        <f>COUNTIF($W$22:W834,1)</f>
        <v>0</v>
      </c>
      <c r="B834">
        <v>834</v>
      </c>
      <c r="W834" t="str">
        <f t="shared" si="24"/>
        <v/>
      </c>
      <c r="X834" s="185" t="str">
        <f t="shared" si="25"/>
        <v/>
      </c>
      <c r="Y834" s="685">
        <f>'General price list'!$AB837</f>
        <v>0</v>
      </c>
      <c r="Z834" t="str">
        <f>IFERROR(X834*VLOOKUP(C834,'General price list'!C:I,7,FALSE),"")</f>
        <v/>
      </c>
      <c r="AA834" t="str">
        <f>IF(X834&lt;&gt;"",VLOOKUP(C834,'General price list'!C837:AN2015,MATCH("HM",Tabulka1[[#Headers],[KÓD]:[NEQ]],0),FALSE),"")</f>
        <v/>
      </c>
    </row>
    <row r="835" spans="1:27">
      <c r="A835">
        <f>COUNTIF($W$22:W835,1)</f>
        <v>0</v>
      </c>
      <c r="B835">
        <v>835</v>
      </c>
      <c r="C835" s="684" t="s">
        <v>2588</v>
      </c>
      <c r="W835" t="str">
        <f t="shared" si="24"/>
        <v/>
      </c>
      <c r="X835" s="185" t="str">
        <f t="shared" si="25"/>
        <v/>
      </c>
      <c r="Y835" s="685">
        <f>'General price list'!$AB838</f>
        <v>0</v>
      </c>
      <c r="Z835" t="str">
        <f>IFERROR(X835*VLOOKUP(C835,'General price list'!C:I,7,FALSE),"")</f>
        <v/>
      </c>
      <c r="AA835" t="str">
        <f>IF(X835&lt;&gt;"",VLOOKUP(C835,'General price list'!C838:AN2016,MATCH("HM",Tabulka1[[#Headers],[KÓD]:[NEQ]],0),FALSE),"")</f>
        <v/>
      </c>
    </row>
    <row r="836" spans="1:27">
      <c r="A836">
        <f>COUNTIF($W$22:W836,1)</f>
        <v>0</v>
      </c>
      <c r="B836">
        <v>836</v>
      </c>
      <c r="C836" s="684" t="s">
        <v>2589</v>
      </c>
      <c r="W836" t="str">
        <f t="shared" si="24"/>
        <v/>
      </c>
      <c r="X836" s="185" t="str">
        <f t="shared" si="25"/>
        <v/>
      </c>
      <c r="Y836" s="685">
        <f>'General price list'!$AB839</f>
        <v>0</v>
      </c>
      <c r="Z836" t="str">
        <f>IFERROR(X836*VLOOKUP(C836,'General price list'!C:I,7,FALSE),"")</f>
        <v/>
      </c>
      <c r="AA836" t="str">
        <f>IF(X836&lt;&gt;"",VLOOKUP(C836,'General price list'!C839:AN2017,MATCH("HM",Tabulka1[[#Headers],[KÓD]:[NEQ]],0),FALSE),"")</f>
        <v/>
      </c>
    </row>
    <row r="837" spans="1:27">
      <c r="A837">
        <f>COUNTIF($W$22:W837,1)</f>
        <v>0</v>
      </c>
      <c r="B837">
        <v>837</v>
      </c>
      <c r="W837" t="str">
        <f t="shared" si="24"/>
        <v/>
      </c>
      <c r="X837" s="185" t="str">
        <f t="shared" si="25"/>
        <v/>
      </c>
      <c r="Y837" s="685">
        <f>'General price list'!$AB840</f>
        <v>0</v>
      </c>
      <c r="Z837" t="str">
        <f>IFERROR(X837*VLOOKUP(C837,'General price list'!C:I,7,FALSE),"")</f>
        <v/>
      </c>
      <c r="AA837" t="str">
        <f>IF(X837&lt;&gt;"",VLOOKUP(C837,'General price list'!C840:AN2018,MATCH("HM",Tabulka1[[#Headers],[KÓD]:[NEQ]],0),FALSE),"")</f>
        <v/>
      </c>
    </row>
    <row r="838" spans="1:27">
      <c r="A838">
        <f>COUNTIF($W$22:W838,1)</f>
        <v>0</v>
      </c>
      <c r="B838">
        <v>838</v>
      </c>
      <c r="C838" s="684" t="s">
        <v>2591</v>
      </c>
      <c r="W838" t="str">
        <f t="shared" si="24"/>
        <v/>
      </c>
      <c r="X838" s="185" t="str">
        <f t="shared" si="25"/>
        <v/>
      </c>
      <c r="Y838" s="685">
        <f>'General price list'!$AB841</f>
        <v>0</v>
      </c>
      <c r="Z838" t="str">
        <f>IFERROR(X838*VLOOKUP(C838,'General price list'!C:I,7,FALSE),"")</f>
        <v/>
      </c>
      <c r="AA838" t="str">
        <f>IF(X838&lt;&gt;"",VLOOKUP(C838,'General price list'!C841:AN2019,MATCH("HM",Tabulka1[[#Headers],[KÓD]:[NEQ]],0),FALSE),"")</f>
        <v/>
      </c>
    </row>
    <row r="839" spans="1:27">
      <c r="A839">
        <f>COUNTIF($W$22:W839,1)</f>
        <v>0</v>
      </c>
      <c r="B839">
        <v>839</v>
      </c>
      <c r="C839" s="684" t="s">
        <v>2592</v>
      </c>
      <c r="W839" t="str">
        <f t="shared" si="24"/>
        <v/>
      </c>
      <c r="X839" s="185" t="str">
        <f t="shared" si="25"/>
        <v/>
      </c>
      <c r="Y839" s="685">
        <f>'General price list'!$AB842</f>
        <v>0</v>
      </c>
      <c r="Z839" t="str">
        <f>IFERROR(X839*VLOOKUP(C839,'General price list'!C:I,7,FALSE),"")</f>
        <v/>
      </c>
      <c r="AA839" t="str">
        <f>IF(X839&lt;&gt;"",VLOOKUP(C839,'General price list'!C842:AN2020,MATCH("HM",Tabulka1[[#Headers],[KÓD]:[NEQ]],0),FALSE),"")</f>
        <v/>
      </c>
    </row>
    <row r="840" spans="1:27">
      <c r="A840">
        <f>COUNTIF($W$22:W840,1)</f>
        <v>0</v>
      </c>
      <c r="B840">
        <v>840</v>
      </c>
      <c r="W840" t="str">
        <f t="shared" si="24"/>
        <v/>
      </c>
      <c r="X840" s="185" t="str">
        <f t="shared" si="25"/>
        <v/>
      </c>
      <c r="Y840" s="685">
        <f>'General price list'!$AB843</f>
        <v>0</v>
      </c>
      <c r="Z840" t="str">
        <f>IFERROR(X840*VLOOKUP(C840,'General price list'!C:I,7,FALSE),"")</f>
        <v/>
      </c>
      <c r="AA840" t="str">
        <f>IF(X840&lt;&gt;"",VLOOKUP(C840,'General price list'!C843:AN2021,MATCH("HM",Tabulka1[[#Headers],[KÓD]:[NEQ]],0),FALSE),"")</f>
        <v/>
      </c>
    </row>
    <row r="841" spans="1:27">
      <c r="A841">
        <f>COUNTIF($W$22:W841,1)</f>
        <v>0</v>
      </c>
      <c r="B841">
        <v>841</v>
      </c>
      <c r="C841" s="684" t="s">
        <v>2593</v>
      </c>
      <c r="W841" t="str">
        <f t="shared" si="24"/>
        <v/>
      </c>
      <c r="X841" s="185" t="str">
        <f t="shared" si="25"/>
        <v/>
      </c>
      <c r="Y841" s="685">
        <f>'General price list'!$AB844</f>
        <v>0</v>
      </c>
      <c r="Z841" t="str">
        <f>IFERROR(X841*VLOOKUP(C841,'General price list'!C:I,7,FALSE),"")</f>
        <v/>
      </c>
      <c r="AA841" t="str">
        <f>IF(X841&lt;&gt;"",VLOOKUP(C841,'General price list'!C844:AN2022,MATCH("HM",Tabulka1[[#Headers],[KÓD]:[NEQ]],0),FALSE),"")</f>
        <v/>
      </c>
    </row>
    <row r="842" spans="1:27">
      <c r="A842">
        <f>COUNTIF($W$22:W842,1)</f>
        <v>0</v>
      </c>
      <c r="B842">
        <v>842</v>
      </c>
      <c r="C842" s="684" t="s">
        <v>1688</v>
      </c>
      <c r="W842" t="str">
        <f t="shared" si="24"/>
        <v/>
      </c>
      <c r="X842" s="185" t="str">
        <f t="shared" si="25"/>
        <v/>
      </c>
      <c r="Y842" s="685">
        <f>'General price list'!$AB845</f>
        <v>0</v>
      </c>
      <c r="Z842" t="str">
        <f>IFERROR(X842*VLOOKUP(C842,'General price list'!C:I,7,FALSE),"")</f>
        <v/>
      </c>
      <c r="AA842" t="str">
        <f>IF(X842&lt;&gt;"",VLOOKUP(C842,'General price list'!C845:AN2023,MATCH("HM",Tabulka1[[#Headers],[KÓD]:[NEQ]],0),FALSE),"")</f>
        <v/>
      </c>
    </row>
    <row r="843" spans="1:27">
      <c r="A843">
        <f>COUNTIF($W$22:W843,1)</f>
        <v>0</v>
      </c>
      <c r="B843">
        <v>843</v>
      </c>
      <c r="W843" t="str">
        <f t="shared" si="24"/>
        <v/>
      </c>
      <c r="X843" s="185" t="str">
        <f t="shared" si="25"/>
        <v/>
      </c>
      <c r="Y843" s="685">
        <f>'General price list'!$AB846</f>
        <v>0</v>
      </c>
      <c r="Z843" t="str">
        <f>IFERROR(X843*VLOOKUP(C843,'General price list'!C:I,7,FALSE),"")</f>
        <v/>
      </c>
      <c r="AA843" t="str">
        <f>IF(X843&lt;&gt;"",VLOOKUP(C843,'General price list'!C846:AN2024,MATCH("HM",Tabulka1[[#Headers],[KÓD]:[NEQ]],0),FALSE),"")</f>
        <v/>
      </c>
    </row>
    <row r="844" spans="1:27">
      <c r="A844">
        <f>COUNTIF($W$22:W844,1)</f>
        <v>0</v>
      </c>
      <c r="B844">
        <v>844</v>
      </c>
      <c r="C844" s="684" t="s">
        <v>1690</v>
      </c>
      <c r="W844" t="str">
        <f t="shared" si="24"/>
        <v/>
      </c>
      <c r="X844" s="185" t="str">
        <f t="shared" si="25"/>
        <v/>
      </c>
      <c r="Y844" s="685">
        <f>'General price list'!$AB847</f>
        <v>0</v>
      </c>
      <c r="Z844" t="str">
        <f>IFERROR(X844*VLOOKUP(C844,'General price list'!C:I,7,FALSE),"")</f>
        <v/>
      </c>
      <c r="AA844" t="str">
        <f>IF(X844&lt;&gt;"",VLOOKUP(C844,'General price list'!C847:AN2025,MATCH("HM",Tabulka1[[#Headers],[KÓD]:[NEQ]],0),FALSE),"")</f>
        <v/>
      </c>
    </row>
    <row r="845" spans="1:27">
      <c r="A845">
        <f>COUNTIF($W$22:W845,1)</f>
        <v>0</v>
      </c>
      <c r="B845">
        <v>845</v>
      </c>
      <c r="C845" s="684" t="s">
        <v>1692</v>
      </c>
      <c r="W845" t="str">
        <f t="shared" si="24"/>
        <v/>
      </c>
      <c r="X845" s="185" t="str">
        <f t="shared" si="25"/>
        <v/>
      </c>
      <c r="Y845" s="685">
        <f>'General price list'!$AB848</f>
        <v>0</v>
      </c>
      <c r="Z845" t="str">
        <f>IFERROR(X845*VLOOKUP(C845,'General price list'!C:I,7,FALSE),"")</f>
        <v/>
      </c>
      <c r="AA845" t="str">
        <f>IF(X845&lt;&gt;"",VLOOKUP(C845,'General price list'!C848:AN2026,MATCH("HM",Tabulka1[[#Headers],[KÓD]:[NEQ]],0),FALSE),"")</f>
        <v/>
      </c>
    </row>
    <row r="846" spans="1:27">
      <c r="A846">
        <f>COUNTIF($W$22:W846,1)</f>
        <v>0</v>
      </c>
      <c r="B846">
        <v>846</v>
      </c>
      <c r="W846" t="str">
        <f t="shared" si="24"/>
        <v/>
      </c>
      <c r="X846" s="185" t="str">
        <f t="shared" si="25"/>
        <v/>
      </c>
      <c r="Y846" s="685">
        <f>'General price list'!$AB849</f>
        <v>0</v>
      </c>
      <c r="Z846" t="str">
        <f>IFERROR(X846*VLOOKUP(C846,'General price list'!C:I,7,FALSE),"")</f>
        <v/>
      </c>
      <c r="AA846" t="str">
        <f>IF(X846&lt;&gt;"",VLOOKUP(C846,'General price list'!C849:AN2027,MATCH("HM",Tabulka1[[#Headers],[KÓD]:[NEQ]],0),FALSE),"")</f>
        <v/>
      </c>
    </row>
    <row r="847" spans="1:27">
      <c r="A847">
        <f>COUNTIF($W$22:W847,1)</f>
        <v>0</v>
      </c>
      <c r="B847">
        <v>847</v>
      </c>
      <c r="C847" s="684" t="s">
        <v>1694</v>
      </c>
      <c r="W847" t="str">
        <f t="shared" si="24"/>
        <v/>
      </c>
      <c r="X847" s="185" t="str">
        <f t="shared" si="25"/>
        <v/>
      </c>
      <c r="Y847" s="685">
        <f>'General price list'!$AB850</f>
        <v>0</v>
      </c>
      <c r="Z847" t="str">
        <f>IFERROR(X847*VLOOKUP(C847,'General price list'!C:I,7,FALSE),"")</f>
        <v/>
      </c>
      <c r="AA847" t="str">
        <f>IF(X847&lt;&gt;"",VLOOKUP(C847,'General price list'!C850:AN2028,MATCH("HM",Tabulka1[[#Headers],[KÓD]:[NEQ]],0),FALSE),"")</f>
        <v/>
      </c>
    </row>
    <row r="848" spans="1:27">
      <c r="A848">
        <f>COUNTIF($W$22:W848,1)</f>
        <v>0</v>
      </c>
      <c r="B848">
        <v>848</v>
      </c>
      <c r="C848" s="684" t="s">
        <v>1696</v>
      </c>
      <c r="W848" t="str">
        <f t="shared" si="24"/>
        <v/>
      </c>
      <c r="X848" s="185" t="str">
        <f t="shared" si="25"/>
        <v/>
      </c>
      <c r="Y848" s="685">
        <f>'General price list'!$AB851</f>
        <v>0</v>
      </c>
      <c r="Z848" t="str">
        <f>IFERROR(X848*VLOOKUP(C848,'General price list'!C:I,7,FALSE),"")</f>
        <v/>
      </c>
      <c r="AA848" t="str">
        <f>IF(X848&lt;&gt;"",VLOOKUP(C848,'General price list'!C851:AN2029,MATCH("HM",Tabulka1[[#Headers],[KÓD]:[NEQ]],0),FALSE),"")</f>
        <v/>
      </c>
    </row>
    <row r="849" spans="1:27">
      <c r="A849">
        <f>COUNTIF($W$22:W849,1)</f>
        <v>0</v>
      </c>
      <c r="B849">
        <v>849</v>
      </c>
      <c r="W849" t="str">
        <f t="shared" si="24"/>
        <v/>
      </c>
      <c r="X849" s="185" t="str">
        <f t="shared" si="25"/>
        <v/>
      </c>
      <c r="Y849" s="685">
        <f>'General price list'!$AB852</f>
        <v>0</v>
      </c>
      <c r="Z849" t="str">
        <f>IFERROR(X849*VLOOKUP(C849,'General price list'!C:I,7,FALSE),"")</f>
        <v/>
      </c>
      <c r="AA849" t="str">
        <f>IF(X849&lt;&gt;"",VLOOKUP(C849,'General price list'!C852:AN2030,MATCH("HM",Tabulka1[[#Headers],[KÓD]:[NEQ]],0),FALSE),"")</f>
        <v/>
      </c>
    </row>
    <row r="850" spans="1:27">
      <c r="A850">
        <f>COUNTIF($W$22:W850,1)</f>
        <v>0</v>
      </c>
      <c r="B850">
        <v>850</v>
      </c>
      <c r="C850" s="684" t="s">
        <v>5488</v>
      </c>
      <c r="W850" t="str">
        <f t="shared" si="24"/>
        <v/>
      </c>
      <c r="X850" s="185" t="str">
        <f t="shared" si="25"/>
        <v/>
      </c>
      <c r="Y850" s="685">
        <f>'General price list'!$AB853</f>
        <v>0</v>
      </c>
      <c r="Z850" t="str">
        <f>IFERROR(X850*VLOOKUP(C850,'General price list'!C:I,7,FALSE),"")</f>
        <v/>
      </c>
      <c r="AA850" t="str">
        <f>IF(X850&lt;&gt;"",VLOOKUP(C850,'General price list'!C853:AN2031,MATCH("HM",Tabulka1[[#Headers],[KÓD]:[NEQ]],0),FALSE),"")</f>
        <v/>
      </c>
    </row>
    <row r="851" spans="1:27">
      <c r="A851">
        <f>COUNTIF($W$22:W851,1)</f>
        <v>0</v>
      </c>
      <c r="B851">
        <v>851</v>
      </c>
      <c r="C851" s="684" t="s">
        <v>5490</v>
      </c>
      <c r="W851" t="str">
        <f t="shared" si="24"/>
        <v/>
      </c>
      <c r="X851" s="185" t="str">
        <f t="shared" si="25"/>
        <v/>
      </c>
      <c r="Y851" s="685">
        <f>'General price list'!$AB854</f>
        <v>0</v>
      </c>
      <c r="Z851" t="str">
        <f>IFERROR(X851*VLOOKUP(C851,'General price list'!C:I,7,FALSE),"")</f>
        <v/>
      </c>
      <c r="AA851" t="str">
        <f>IF(X851&lt;&gt;"",VLOOKUP(C851,'General price list'!C854:AN2032,MATCH("HM",Tabulka1[[#Headers],[KÓD]:[NEQ]],0),FALSE),"")</f>
        <v/>
      </c>
    </row>
    <row r="852" spans="1:27">
      <c r="A852">
        <f>COUNTIF($W$22:W852,1)</f>
        <v>0</v>
      </c>
      <c r="B852">
        <v>852</v>
      </c>
      <c r="C852" s="684" t="s">
        <v>1698</v>
      </c>
      <c r="W852" t="str">
        <f t="shared" si="24"/>
        <v/>
      </c>
      <c r="X852" s="185" t="str">
        <f t="shared" si="25"/>
        <v/>
      </c>
      <c r="Y852" s="685">
        <f>'General price list'!$AB855</f>
        <v>0</v>
      </c>
      <c r="Z852" t="str">
        <f>IFERROR(X852*VLOOKUP(C852,'General price list'!C:I,7,FALSE),"")</f>
        <v/>
      </c>
      <c r="AA852" t="str">
        <f>IF(X852&lt;&gt;"",VLOOKUP(C852,'General price list'!C855:AN2033,MATCH("HM",Tabulka1[[#Headers],[KÓD]:[NEQ]],0),FALSE),"")</f>
        <v/>
      </c>
    </row>
    <row r="853" spans="1:27">
      <c r="A853">
        <f>COUNTIF($W$22:W853,1)</f>
        <v>0</v>
      </c>
      <c r="B853">
        <v>853</v>
      </c>
      <c r="C853" s="684" t="s">
        <v>2594</v>
      </c>
      <c r="W853" t="str">
        <f t="shared" si="24"/>
        <v/>
      </c>
      <c r="X853" s="185" t="str">
        <f t="shared" si="25"/>
        <v/>
      </c>
      <c r="Y853" s="685">
        <f>'General price list'!$AB856</f>
        <v>0</v>
      </c>
      <c r="Z853" t="str">
        <f>IFERROR(X853*VLOOKUP(C853,'General price list'!C:I,7,FALSE),"")</f>
        <v/>
      </c>
      <c r="AA853" t="str">
        <f>IF(X853&lt;&gt;"",VLOOKUP(C853,'General price list'!C856:AN2034,MATCH("HM",Tabulka1[[#Headers],[KÓD]:[NEQ]],0),FALSE),"")</f>
        <v/>
      </c>
    </row>
    <row r="854" spans="1:27">
      <c r="A854">
        <f>COUNTIF($W$22:W854,1)</f>
        <v>0</v>
      </c>
      <c r="B854">
        <v>854</v>
      </c>
      <c r="C854" s="684" t="s">
        <v>5491</v>
      </c>
      <c r="W854" t="str">
        <f t="shared" si="24"/>
        <v/>
      </c>
      <c r="X854" s="185" t="str">
        <f t="shared" si="25"/>
        <v/>
      </c>
      <c r="Y854" s="685">
        <f>'General price list'!$AB857</f>
        <v>0</v>
      </c>
      <c r="Z854" t="str">
        <f>IFERROR(X854*VLOOKUP(C854,'General price list'!C:I,7,FALSE),"")</f>
        <v/>
      </c>
      <c r="AA854" t="str">
        <f>IF(X854&lt;&gt;"",VLOOKUP(C854,'General price list'!C857:AN2035,MATCH("HM",Tabulka1[[#Headers],[KÓD]:[NEQ]],0),FALSE),"")</f>
        <v/>
      </c>
    </row>
    <row r="855" spans="1:27">
      <c r="A855">
        <f>COUNTIF($W$22:W855,1)</f>
        <v>0</v>
      </c>
      <c r="B855">
        <v>855</v>
      </c>
      <c r="C855" s="684" t="s">
        <v>5493</v>
      </c>
      <c r="W855" t="str">
        <f t="shared" ref="W855:W918" si="26">IF(Y855+1=1,"",1)</f>
        <v/>
      </c>
      <c r="X855" s="185" t="str">
        <f t="shared" si="25"/>
        <v/>
      </c>
      <c r="Y855" s="685">
        <f>'General price list'!$AB858</f>
        <v>0</v>
      </c>
      <c r="Z855" t="str">
        <f>IFERROR(X855*VLOOKUP(C855,'General price list'!C:I,7,FALSE),"")</f>
        <v/>
      </c>
      <c r="AA855" t="str">
        <f>IF(X855&lt;&gt;"",VLOOKUP(C855,'General price list'!C858:AN2036,MATCH("HM",Tabulka1[[#Headers],[KÓD]:[NEQ]],0),FALSE),"")</f>
        <v/>
      </c>
    </row>
    <row r="856" spans="1:27">
      <c r="A856">
        <f>COUNTIF($W$22:W856,1)</f>
        <v>0</v>
      </c>
      <c r="B856">
        <v>856</v>
      </c>
      <c r="C856" s="684" t="s">
        <v>1700</v>
      </c>
      <c r="W856" t="str">
        <f t="shared" si="26"/>
        <v/>
      </c>
      <c r="X856" s="185" t="str">
        <f t="shared" ref="X856:X919" si="27">IF(A856&gt;$C$21,"",IF(Y856=0,"",Y856))</f>
        <v/>
      </c>
      <c r="Y856" s="685">
        <f>'General price list'!$AB859</f>
        <v>0</v>
      </c>
      <c r="Z856" t="str">
        <f>IFERROR(X856*VLOOKUP(C856,'General price list'!C:I,7,FALSE),"")</f>
        <v/>
      </c>
      <c r="AA856" t="str">
        <f>IF(X856&lt;&gt;"",VLOOKUP(C856,'General price list'!C859:AN2037,MATCH("HM",Tabulka1[[#Headers],[KÓD]:[NEQ]],0),FALSE),"")</f>
        <v/>
      </c>
    </row>
    <row r="857" spans="1:27">
      <c r="A857">
        <f>COUNTIF($W$22:W857,1)</f>
        <v>0</v>
      </c>
      <c r="B857">
        <v>857</v>
      </c>
      <c r="C857" s="684" t="s">
        <v>1706</v>
      </c>
      <c r="W857" t="str">
        <f t="shared" si="26"/>
        <v/>
      </c>
      <c r="X857" s="185" t="str">
        <f t="shared" si="27"/>
        <v/>
      </c>
      <c r="Y857" s="685">
        <f>'General price list'!$AB860</f>
        <v>0</v>
      </c>
      <c r="Z857" t="str">
        <f>IFERROR(X857*VLOOKUP(C857,'General price list'!C:I,7,FALSE),"")</f>
        <v/>
      </c>
      <c r="AA857" t="str">
        <f>IF(X857&lt;&gt;"",VLOOKUP(C857,'General price list'!C860:AN2038,MATCH("HM",Tabulka1[[#Headers],[KÓD]:[NEQ]],0),FALSE),"")</f>
        <v/>
      </c>
    </row>
    <row r="858" spans="1:27">
      <c r="A858">
        <f>COUNTIF($W$22:W858,1)</f>
        <v>0</v>
      </c>
      <c r="B858">
        <v>858</v>
      </c>
      <c r="C858" s="684" t="s">
        <v>2596</v>
      </c>
      <c r="W858" t="str">
        <f t="shared" si="26"/>
        <v/>
      </c>
      <c r="X858" s="185" t="str">
        <f t="shared" si="27"/>
        <v/>
      </c>
      <c r="Y858" s="685">
        <f>'General price list'!$AB861</f>
        <v>0</v>
      </c>
      <c r="Z858" t="str">
        <f>IFERROR(X858*VLOOKUP(C858,'General price list'!C:I,7,FALSE),"")</f>
        <v/>
      </c>
      <c r="AA858" t="str">
        <f>IF(X858&lt;&gt;"",VLOOKUP(C858,'General price list'!C861:AN2039,MATCH("HM",Tabulka1[[#Headers],[KÓD]:[NEQ]],0),FALSE),"")</f>
        <v/>
      </c>
    </row>
    <row r="859" spans="1:27">
      <c r="A859">
        <f>COUNTIF($W$22:W859,1)</f>
        <v>0</v>
      </c>
      <c r="B859">
        <v>859</v>
      </c>
      <c r="C859" s="684" t="s">
        <v>2598</v>
      </c>
      <c r="W859" t="str">
        <f t="shared" si="26"/>
        <v/>
      </c>
      <c r="X859" s="185" t="str">
        <f t="shared" si="27"/>
        <v/>
      </c>
      <c r="Y859" s="685">
        <f>'General price list'!$AB862</f>
        <v>0</v>
      </c>
      <c r="Z859" t="str">
        <f>IFERROR(X859*VLOOKUP(C859,'General price list'!C:I,7,FALSE),"")</f>
        <v/>
      </c>
      <c r="AA859" t="str">
        <f>IF(X859&lt;&gt;"",VLOOKUP(C859,'General price list'!C862:AN2040,MATCH("HM",Tabulka1[[#Headers],[KÓD]:[NEQ]],0),FALSE),"")</f>
        <v/>
      </c>
    </row>
    <row r="860" spans="1:27">
      <c r="A860">
        <f>COUNTIF($W$22:W860,1)</f>
        <v>0</v>
      </c>
      <c r="B860">
        <v>860</v>
      </c>
      <c r="C860" s="684" t="s">
        <v>2600</v>
      </c>
      <c r="W860" t="str">
        <f t="shared" si="26"/>
        <v/>
      </c>
      <c r="X860" s="185" t="str">
        <f t="shared" si="27"/>
        <v/>
      </c>
      <c r="Y860" s="685">
        <f>'General price list'!$AB863</f>
        <v>0</v>
      </c>
      <c r="Z860" t="str">
        <f>IFERROR(X860*VLOOKUP(C860,'General price list'!C:I,7,FALSE),"")</f>
        <v/>
      </c>
      <c r="AA860" t="str">
        <f>IF(X860&lt;&gt;"",VLOOKUP(C860,'General price list'!C863:AN2041,MATCH("HM",Tabulka1[[#Headers],[KÓD]:[NEQ]],0),FALSE),"")</f>
        <v/>
      </c>
    </row>
    <row r="861" spans="1:27">
      <c r="A861">
        <f>COUNTIF($W$22:W861,1)</f>
        <v>0</v>
      </c>
      <c r="B861">
        <v>861</v>
      </c>
      <c r="W861" t="str">
        <f t="shared" si="26"/>
        <v/>
      </c>
      <c r="X861" s="185" t="str">
        <f t="shared" si="27"/>
        <v/>
      </c>
      <c r="Y861" s="685">
        <f>'General price list'!$AB864</f>
        <v>0</v>
      </c>
      <c r="Z861" t="str">
        <f>IFERROR(X861*VLOOKUP(C861,'General price list'!C:I,7,FALSE),"")</f>
        <v/>
      </c>
      <c r="AA861" t="str">
        <f>IF(X861&lt;&gt;"",VLOOKUP(C861,'General price list'!C864:AN2042,MATCH("HM",Tabulka1[[#Headers],[KÓD]:[NEQ]],0),FALSE),"")</f>
        <v/>
      </c>
    </row>
    <row r="862" spans="1:27">
      <c r="A862">
        <f>COUNTIF($W$22:W862,1)</f>
        <v>0</v>
      </c>
      <c r="B862">
        <v>862</v>
      </c>
      <c r="C862" s="684" t="s">
        <v>5511</v>
      </c>
      <c r="W862" t="str">
        <f t="shared" si="26"/>
        <v/>
      </c>
      <c r="X862" s="185" t="str">
        <f t="shared" si="27"/>
        <v/>
      </c>
      <c r="Y862" s="685">
        <f>'General price list'!$AB865</f>
        <v>0</v>
      </c>
      <c r="Z862" t="str">
        <f>IFERROR(X862*VLOOKUP(C862,'General price list'!C:I,7,FALSE),"")</f>
        <v/>
      </c>
      <c r="AA862" t="str">
        <f>IF(X862&lt;&gt;"",VLOOKUP(C862,'General price list'!C865:AN2043,MATCH("HM",Tabulka1[[#Headers],[KÓD]:[NEQ]],0),FALSE),"")</f>
        <v/>
      </c>
    </row>
    <row r="863" spans="1:27">
      <c r="A863">
        <f>COUNTIF($W$22:W863,1)</f>
        <v>0</v>
      </c>
      <c r="B863">
        <v>863</v>
      </c>
      <c r="C863" s="684" t="s">
        <v>5512</v>
      </c>
      <c r="W863" t="str">
        <f t="shared" si="26"/>
        <v/>
      </c>
      <c r="X863" s="185" t="str">
        <f t="shared" si="27"/>
        <v/>
      </c>
      <c r="Y863" s="685">
        <f>'General price list'!$AB866</f>
        <v>0</v>
      </c>
      <c r="Z863" t="str">
        <f>IFERROR(X863*VLOOKUP(C863,'General price list'!C:I,7,FALSE),"")</f>
        <v/>
      </c>
      <c r="AA863" t="str">
        <f>IF(X863&lt;&gt;"",VLOOKUP(C863,'General price list'!C866:AN2044,MATCH("HM",Tabulka1[[#Headers],[KÓD]:[NEQ]],0),FALSE),"")</f>
        <v/>
      </c>
    </row>
    <row r="864" spans="1:27">
      <c r="A864">
        <f>COUNTIF($W$22:W864,1)</f>
        <v>0</v>
      </c>
      <c r="B864">
        <v>864</v>
      </c>
      <c r="C864" s="684" t="s">
        <v>5513</v>
      </c>
      <c r="W864" t="str">
        <f t="shared" si="26"/>
        <v/>
      </c>
      <c r="X864" s="185" t="str">
        <f t="shared" si="27"/>
        <v/>
      </c>
      <c r="Y864" s="685">
        <f>'General price list'!$AB867</f>
        <v>0</v>
      </c>
      <c r="Z864" t="str">
        <f>IFERROR(X864*VLOOKUP(C864,'General price list'!C:I,7,FALSE),"")</f>
        <v/>
      </c>
      <c r="AA864" t="str">
        <f>IF(X864&lt;&gt;"",VLOOKUP(C864,'General price list'!C867:AN2045,MATCH("HM",Tabulka1[[#Headers],[KÓD]:[NEQ]],0),FALSE),"")</f>
        <v/>
      </c>
    </row>
    <row r="865" spans="1:27">
      <c r="A865">
        <f>COUNTIF($W$22:W865,1)</f>
        <v>0</v>
      </c>
      <c r="B865">
        <v>865</v>
      </c>
      <c r="C865" s="684" t="s">
        <v>2766</v>
      </c>
      <c r="W865" t="str">
        <f t="shared" si="26"/>
        <v/>
      </c>
      <c r="X865" s="185" t="str">
        <f t="shared" si="27"/>
        <v/>
      </c>
      <c r="Y865" s="685">
        <f>'General price list'!$AB868</f>
        <v>0</v>
      </c>
      <c r="Z865" t="str">
        <f>IFERROR(X865*VLOOKUP(C865,'General price list'!C:I,7,FALSE),"")</f>
        <v/>
      </c>
      <c r="AA865" t="str">
        <f>IF(X865&lt;&gt;"",VLOOKUP(C865,'General price list'!C868:AN2046,MATCH("HM",Tabulka1[[#Headers],[KÓD]:[NEQ]],0),FALSE),"")</f>
        <v/>
      </c>
    </row>
    <row r="866" spans="1:27">
      <c r="A866">
        <f>COUNTIF($W$22:W866,1)</f>
        <v>0</v>
      </c>
      <c r="B866">
        <v>866</v>
      </c>
      <c r="C866" s="684" t="s">
        <v>5514</v>
      </c>
      <c r="W866" t="str">
        <f t="shared" si="26"/>
        <v/>
      </c>
      <c r="X866" s="185" t="str">
        <f t="shared" si="27"/>
        <v/>
      </c>
      <c r="Y866" s="685">
        <f>'General price list'!$AB869</f>
        <v>0</v>
      </c>
      <c r="Z866" t="str">
        <f>IFERROR(X866*VLOOKUP(C866,'General price list'!C:I,7,FALSE),"")</f>
        <v/>
      </c>
      <c r="AA866" t="str">
        <f>IF(X866&lt;&gt;"",VLOOKUP(C866,'General price list'!C869:AN2047,MATCH("HM",Tabulka1[[#Headers],[KÓD]:[NEQ]],0),FALSE),"")</f>
        <v/>
      </c>
    </row>
    <row r="867" spans="1:27">
      <c r="A867">
        <f>COUNTIF($W$22:W867,1)</f>
        <v>0</v>
      </c>
      <c r="B867">
        <v>867</v>
      </c>
      <c r="C867" s="684" t="s">
        <v>5515</v>
      </c>
      <c r="W867" t="str">
        <f t="shared" si="26"/>
        <v/>
      </c>
      <c r="X867" s="185" t="str">
        <f t="shared" si="27"/>
        <v/>
      </c>
      <c r="Y867" s="685">
        <f>'General price list'!$AB870</f>
        <v>0</v>
      </c>
      <c r="Z867" t="str">
        <f>IFERROR(X867*VLOOKUP(C867,'General price list'!C:I,7,FALSE),"")</f>
        <v/>
      </c>
      <c r="AA867" t="str">
        <f>IF(X867&lt;&gt;"",VLOOKUP(C867,'General price list'!C870:AN2048,MATCH("HM",Tabulka1[[#Headers],[KÓD]:[NEQ]],0),FALSE),"")</f>
        <v/>
      </c>
    </row>
    <row r="868" spans="1:27">
      <c r="A868">
        <f>COUNTIF($W$22:W868,1)</f>
        <v>0</v>
      </c>
      <c r="B868">
        <v>868</v>
      </c>
      <c r="C868" s="684" t="s">
        <v>5516</v>
      </c>
      <c r="W868" t="str">
        <f t="shared" si="26"/>
        <v/>
      </c>
      <c r="X868" s="185" t="str">
        <f t="shared" si="27"/>
        <v/>
      </c>
      <c r="Y868" s="685">
        <f>'General price list'!$AB871</f>
        <v>0</v>
      </c>
      <c r="Z868" t="str">
        <f>IFERROR(X868*VLOOKUP(C868,'General price list'!C:I,7,FALSE),"")</f>
        <v/>
      </c>
      <c r="AA868" t="str">
        <f>IF(X868&lt;&gt;"",VLOOKUP(C868,'General price list'!C871:AN2049,MATCH("HM",Tabulka1[[#Headers],[KÓD]:[NEQ]],0),FALSE),"")</f>
        <v/>
      </c>
    </row>
    <row r="869" spans="1:27">
      <c r="A869">
        <f>COUNTIF($W$22:W869,1)</f>
        <v>0</v>
      </c>
      <c r="B869">
        <v>869</v>
      </c>
      <c r="C869" s="684" t="s">
        <v>2767</v>
      </c>
      <c r="W869" t="str">
        <f t="shared" si="26"/>
        <v/>
      </c>
      <c r="X869" s="185" t="str">
        <f t="shared" si="27"/>
        <v/>
      </c>
      <c r="Y869" s="685">
        <f>'General price list'!$AB872</f>
        <v>0</v>
      </c>
      <c r="Z869" t="str">
        <f>IFERROR(X869*VLOOKUP(C869,'General price list'!C:I,7,FALSE),"")</f>
        <v/>
      </c>
      <c r="AA869" t="str">
        <f>IF(X869&lt;&gt;"",VLOOKUP(C869,'General price list'!C872:AN2050,MATCH("HM",Tabulka1[[#Headers],[KÓD]:[NEQ]],0),FALSE),"")</f>
        <v/>
      </c>
    </row>
    <row r="870" spans="1:27">
      <c r="A870">
        <f>COUNTIF($W$22:W870,1)</f>
        <v>0</v>
      </c>
      <c r="B870">
        <v>870</v>
      </c>
      <c r="C870" s="684" t="s">
        <v>2768</v>
      </c>
      <c r="W870" t="str">
        <f t="shared" si="26"/>
        <v/>
      </c>
      <c r="X870" s="185" t="str">
        <f t="shared" si="27"/>
        <v/>
      </c>
      <c r="Y870" s="685">
        <f>'General price list'!$AB873</f>
        <v>0</v>
      </c>
      <c r="Z870" t="str">
        <f>IFERROR(X870*VLOOKUP(C870,'General price list'!C:I,7,FALSE),"")</f>
        <v/>
      </c>
      <c r="AA870" t="str">
        <f>IF(X870&lt;&gt;"",VLOOKUP(C870,'General price list'!C873:AN2051,MATCH("HM",Tabulka1[[#Headers],[KÓD]:[NEQ]],0),FALSE),"")</f>
        <v/>
      </c>
    </row>
    <row r="871" spans="1:27">
      <c r="A871">
        <f>COUNTIF($W$22:W871,1)</f>
        <v>0</v>
      </c>
      <c r="B871">
        <v>871</v>
      </c>
      <c r="C871" s="684" t="s">
        <v>2769</v>
      </c>
      <c r="W871" t="str">
        <f t="shared" si="26"/>
        <v/>
      </c>
      <c r="X871" s="185" t="str">
        <f t="shared" si="27"/>
        <v/>
      </c>
      <c r="Y871" s="685">
        <f>'General price list'!$AB874</f>
        <v>0</v>
      </c>
      <c r="Z871" t="str">
        <f>IFERROR(X871*VLOOKUP(C871,'General price list'!C:I,7,FALSE),"")</f>
        <v/>
      </c>
      <c r="AA871" t="str">
        <f>IF(X871&lt;&gt;"",VLOOKUP(C871,'General price list'!C874:AN2052,MATCH("HM",Tabulka1[[#Headers],[KÓD]:[NEQ]],0),FALSE),"")</f>
        <v/>
      </c>
    </row>
    <row r="872" spans="1:27">
      <c r="A872">
        <f>COUNTIF($W$22:W872,1)</f>
        <v>0</v>
      </c>
      <c r="B872">
        <v>872</v>
      </c>
      <c r="C872" s="684" t="s">
        <v>2770</v>
      </c>
      <c r="W872" t="str">
        <f t="shared" si="26"/>
        <v/>
      </c>
      <c r="X872" s="185" t="str">
        <f t="shared" si="27"/>
        <v/>
      </c>
      <c r="Y872" s="685">
        <f>'General price list'!$AB875</f>
        <v>0</v>
      </c>
      <c r="Z872" t="str">
        <f>IFERROR(X872*VLOOKUP(C872,'General price list'!C:I,7,FALSE),"")</f>
        <v/>
      </c>
      <c r="AA872" t="str">
        <f>IF(X872&lt;&gt;"",VLOOKUP(C872,'General price list'!C875:AN2053,MATCH("HM",Tabulka1[[#Headers],[KÓD]:[NEQ]],0),FALSE),"")</f>
        <v/>
      </c>
    </row>
    <row r="873" spans="1:27">
      <c r="A873">
        <f>COUNTIF($W$22:W873,1)</f>
        <v>0</v>
      </c>
      <c r="B873">
        <v>873</v>
      </c>
      <c r="W873" t="str">
        <f t="shared" si="26"/>
        <v/>
      </c>
      <c r="X873" s="185" t="str">
        <f t="shared" si="27"/>
        <v/>
      </c>
      <c r="Y873" s="685">
        <f>'General price list'!$AB876</f>
        <v>0</v>
      </c>
      <c r="Z873" t="str">
        <f>IFERROR(X873*VLOOKUP(C873,'General price list'!C:I,7,FALSE),"")</f>
        <v/>
      </c>
      <c r="AA873" t="str">
        <f>IF(X873&lt;&gt;"",VLOOKUP(C873,'General price list'!C876:AN2054,MATCH("HM",Tabulka1[[#Headers],[KÓD]:[NEQ]],0),FALSE),"")</f>
        <v/>
      </c>
    </row>
    <row r="874" spans="1:27">
      <c r="A874">
        <f>COUNTIF($W$22:W874,1)</f>
        <v>0</v>
      </c>
      <c r="B874">
        <v>874</v>
      </c>
      <c r="C874" s="684" t="s">
        <v>2602</v>
      </c>
      <c r="W874" t="str">
        <f t="shared" si="26"/>
        <v/>
      </c>
      <c r="X874" s="185" t="str">
        <f t="shared" si="27"/>
        <v/>
      </c>
      <c r="Y874" s="685">
        <f>'General price list'!$AB877</f>
        <v>0</v>
      </c>
      <c r="Z874" t="str">
        <f>IFERROR(X874*VLOOKUP(C874,'General price list'!C:I,7,FALSE),"")</f>
        <v/>
      </c>
      <c r="AA874" t="str">
        <f>IF(X874&lt;&gt;"",VLOOKUP(C874,'General price list'!C877:AN2055,MATCH("HM",Tabulka1[[#Headers],[KÓD]:[NEQ]],0),FALSE),"")</f>
        <v/>
      </c>
    </row>
    <row r="875" spans="1:27">
      <c r="A875">
        <f>COUNTIF($W$22:W875,1)</f>
        <v>0</v>
      </c>
      <c r="B875">
        <v>875</v>
      </c>
      <c r="C875" s="684" t="s">
        <v>2603</v>
      </c>
      <c r="W875" t="str">
        <f t="shared" si="26"/>
        <v/>
      </c>
      <c r="X875" s="185" t="str">
        <f t="shared" si="27"/>
        <v/>
      </c>
      <c r="Y875" s="685">
        <f>'General price list'!$AB878</f>
        <v>0</v>
      </c>
      <c r="Z875" t="str">
        <f>IFERROR(X875*VLOOKUP(C875,'General price list'!C:I,7,FALSE),"")</f>
        <v/>
      </c>
      <c r="AA875" t="str">
        <f>IF(X875&lt;&gt;"",VLOOKUP(C875,'General price list'!C878:AN2056,MATCH("HM",Tabulka1[[#Headers],[KÓD]:[NEQ]],0),FALSE),"")</f>
        <v/>
      </c>
    </row>
    <row r="876" spans="1:27">
      <c r="A876">
        <f>COUNTIF($W$22:W876,1)</f>
        <v>0</v>
      </c>
      <c r="B876">
        <v>876</v>
      </c>
      <c r="C876" s="684" t="s">
        <v>1707</v>
      </c>
      <c r="W876" t="str">
        <f t="shared" si="26"/>
        <v/>
      </c>
      <c r="X876" s="185" t="str">
        <f t="shared" si="27"/>
        <v/>
      </c>
      <c r="Y876" s="685">
        <f>'General price list'!$AB879</f>
        <v>0</v>
      </c>
      <c r="Z876" t="str">
        <f>IFERROR(X876*VLOOKUP(C876,'General price list'!C:I,7,FALSE),"")</f>
        <v/>
      </c>
      <c r="AA876" t="str">
        <f>IF(X876&lt;&gt;"",VLOOKUP(C876,'General price list'!C879:AN2057,MATCH("HM",Tabulka1[[#Headers],[KÓD]:[NEQ]],0),FALSE),"")</f>
        <v/>
      </c>
    </row>
    <row r="877" spans="1:27">
      <c r="A877">
        <f>COUNTIF($W$22:W877,1)</f>
        <v>0</v>
      </c>
      <c r="B877">
        <v>877</v>
      </c>
      <c r="C877" s="684" t="s">
        <v>1708</v>
      </c>
      <c r="W877" t="str">
        <f t="shared" si="26"/>
        <v/>
      </c>
      <c r="X877" s="185" t="str">
        <f t="shared" si="27"/>
        <v/>
      </c>
      <c r="Y877" s="685">
        <f>'General price list'!$AB880</f>
        <v>0</v>
      </c>
      <c r="Z877" t="str">
        <f>IFERROR(X877*VLOOKUP(C877,'General price list'!C:I,7,FALSE),"")</f>
        <v/>
      </c>
      <c r="AA877" t="str">
        <f>IF(X877&lt;&gt;"",VLOOKUP(C877,'General price list'!C880:AN2058,MATCH("HM",Tabulka1[[#Headers],[KÓD]:[NEQ]],0),FALSE),"")</f>
        <v/>
      </c>
    </row>
    <row r="878" spans="1:27">
      <c r="A878">
        <f>COUNTIF($W$22:W878,1)</f>
        <v>0</v>
      </c>
      <c r="B878">
        <v>878</v>
      </c>
      <c r="C878" s="684" t="s">
        <v>2605</v>
      </c>
      <c r="W878" t="str">
        <f t="shared" si="26"/>
        <v/>
      </c>
      <c r="X878" s="185" t="str">
        <f t="shared" si="27"/>
        <v/>
      </c>
      <c r="Y878" s="685">
        <f>'General price list'!$AB881</f>
        <v>0</v>
      </c>
      <c r="Z878" t="str">
        <f>IFERROR(X878*VLOOKUP(C878,'General price list'!C:I,7,FALSE),"")</f>
        <v/>
      </c>
      <c r="AA878" t="str">
        <f>IF(X878&lt;&gt;"",VLOOKUP(C878,'General price list'!C881:AN2059,MATCH("HM",Tabulka1[[#Headers],[KÓD]:[NEQ]],0),FALSE),"")</f>
        <v/>
      </c>
    </row>
    <row r="879" spans="1:27">
      <c r="A879">
        <f>COUNTIF($W$22:W879,1)</f>
        <v>0</v>
      </c>
      <c r="B879">
        <v>879</v>
      </c>
      <c r="C879" s="684" t="s">
        <v>2606</v>
      </c>
      <c r="W879" t="str">
        <f t="shared" si="26"/>
        <v/>
      </c>
      <c r="X879" s="185" t="str">
        <f t="shared" si="27"/>
        <v/>
      </c>
      <c r="Y879" s="685">
        <f>'General price list'!$AB882</f>
        <v>0</v>
      </c>
      <c r="Z879" t="str">
        <f>IFERROR(X879*VLOOKUP(C879,'General price list'!C:I,7,FALSE),"")</f>
        <v/>
      </c>
      <c r="AA879" t="str">
        <f>IF(X879&lt;&gt;"",VLOOKUP(C879,'General price list'!C882:AN2060,MATCH("HM",Tabulka1[[#Headers],[KÓD]:[NEQ]],0),FALSE),"")</f>
        <v/>
      </c>
    </row>
    <row r="880" spans="1:27">
      <c r="A880">
        <f>COUNTIF($W$22:W880,1)</f>
        <v>0</v>
      </c>
      <c r="B880">
        <v>880</v>
      </c>
      <c r="C880" s="684" t="s">
        <v>2607</v>
      </c>
      <c r="W880" t="str">
        <f t="shared" si="26"/>
        <v/>
      </c>
      <c r="X880" s="185" t="str">
        <f t="shared" si="27"/>
        <v/>
      </c>
      <c r="Y880" s="685">
        <f>'General price list'!$AB883</f>
        <v>0</v>
      </c>
      <c r="Z880" t="str">
        <f>IFERROR(X880*VLOOKUP(C880,'General price list'!C:I,7,FALSE),"")</f>
        <v/>
      </c>
      <c r="AA880" t="str">
        <f>IF(X880&lt;&gt;"",VLOOKUP(C880,'General price list'!C883:AN2061,MATCH("HM",Tabulka1[[#Headers],[KÓD]:[NEQ]],0),FALSE),"")</f>
        <v/>
      </c>
    </row>
    <row r="881" spans="1:27">
      <c r="A881">
        <f>COUNTIF($W$22:W881,1)</f>
        <v>0</v>
      </c>
      <c r="B881">
        <v>881</v>
      </c>
      <c r="W881" t="str">
        <f t="shared" si="26"/>
        <v/>
      </c>
      <c r="X881" s="185" t="str">
        <f t="shared" si="27"/>
        <v/>
      </c>
      <c r="Y881" s="685">
        <f>'General price list'!$AB884</f>
        <v>0</v>
      </c>
      <c r="Z881" t="str">
        <f>IFERROR(X881*VLOOKUP(C881,'General price list'!C:I,7,FALSE),"")</f>
        <v/>
      </c>
      <c r="AA881" t="str">
        <f>IF(X881&lt;&gt;"",VLOOKUP(C881,'General price list'!C884:AN2062,MATCH("HM",Tabulka1[[#Headers],[KÓD]:[NEQ]],0),FALSE),"")</f>
        <v/>
      </c>
    </row>
    <row r="882" spans="1:27">
      <c r="A882">
        <f>COUNTIF($W$22:W882,1)</f>
        <v>0</v>
      </c>
      <c r="B882">
        <v>882</v>
      </c>
      <c r="C882" s="684" t="s">
        <v>2771</v>
      </c>
      <c r="W882" t="str">
        <f t="shared" si="26"/>
        <v/>
      </c>
      <c r="X882" s="185" t="str">
        <f t="shared" si="27"/>
        <v/>
      </c>
      <c r="Y882" s="685">
        <f>'General price list'!$AB885</f>
        <v>0</v>
      </c>
      <c r="Z882" t="str">
        <f>IFERROR(X882*VLOOKUP(C882,'General price list'!C:I,7,FALSE),"")</f>
        <v/>
      </c>
      <c r="AA882" t="str">
        <f>IF(X882&lt;&gt;"",VLOOKUP(C882,'General price list'!C885:AN2063,MATCH("HM",Tabulka1[[#Headers],[KÓD]:[NEQ]],0),FALSE),"")</f>
        <v/>
      </c>
    </row>
    <row r="883" spans="1:27">
      <c r="A883">
        <f>COUNTIF($W$22:W883,1)</f>
        <v>0</v>
      </c>
      <c r="B883">
        <v>883</v>
      </c>
      <c r="C883" s="684" t="s">
        <v>2772</v>
      </c>
      <c r="W883" t="str">
        <f t="shared" si="26"/>
        <v/>
      </c>
      <c r="X883" s="185" t="str">
        <f t="shared" si="27"/>
        <v/>
      </c>
      <c r="Y883" s="685">
        <f>'General price list'!$AB886</f>
        <v>0</v>
      </c>
      <c r="Z883" t="str">
        <f>IFERROR(X883*VLOOKUP(C883,'General price list'!C:I,7,FALSE),"")</f>
        <v/>
      </c>
      <c r="AA883" t="str">
        <f>IF(X883&lt;&gt;"",VLOOKUP(C883,'General price list'!C886:AN2064,MATCH("HM",Tabulka1[[#Headers],[KÓD]:[NEQ]],0),FALSE),"")</f>
        <v/>
      </c>
    </row>
    <row r="884" spans="1:27">
      <c r="A884">
        <f>COUNTIF($W$22:W884,1)</f>
        <v>0</v>
      </c>
      <c r="B884">
        <v>884</v>
      </c>
      <c r="C884" s="684" t="s">
        <v>2654</v>
      </c>
      <c r="W884" t="str">
        <f t="shared" si="26"/>
        <v/>
      </c>
      <c r="X884" s="185" t="str">
        <f t="shared" si="27"/>
        <v/>
      </c>
      <c r="Y884" s="685">
        <f>'General price list'!$AB887</f>
        <v>0</v>
      </c>
      <c r="Z884" t="str">
        <f>IFERROR(X884*VLOOKUP(C884,'General price list'!C:I,7,FALSE),"")</f>
        <v/>
      </c>
      <c r="AA884" t="str">
        <f>IF(X884&lt;&gt;"",VLOOKUP(C884,'General price list'!C887:AN2065,MATCH("HM",Tabulka1[[#Headers],[KÓD]:[NEQ]],0),FALSE),"")</f>
        <v/>
      </c>
    </row>
    <row r="885" spans="1:27">
      <c r="A885">
        <f>COUNTIF($W$22:W885,1)</f>
        <v>0</v>
      </c>
      <c r="B885">
        <v>885</v>
      </c>
      <c r="C885" s="684" t="s">
        <v>2773</v>
      </c>
      <c r="W885" t="str">
        <f t="shared" si="26"/>
        <v/>
      </c>
      <c r="X885" s="185" t="str">
        <f t="shared" si="27"/>
        <v/>
      </c>
      <c r="Y885" s="685">
        <f>'General price list'!$AB888</f>
        <v>0</v>
      </c>
      <c r="Z885" t="str">
        <f>IFERROR(X885*VLOOKUP(C885,'General price list'!C:I,7,FALSE),"")</f>
        <v/>
      </c>
      <c r="AA885" t="str">
        <f>IF(X885&lt;&gt;"",VLOOKUP(C885,'General price list'!C888:AN2066,MATCH("HM",Tabulka1[[#Headers],[KÓD]:[NEQ]],0),FALSE),"")</f>
        <v/>
      </c>
    </row>
    <row r="886" spans="1:27">
      <c r="A886">
        <f>COUNTIF($W$22:W886,1)</f>
        <v>0</v>
      </c>
      <c r="B886">
        <v>886</v>
      </c>
      <c r="C886" s="684" t="s">
        <v>2774</v>
      </c>
      <c r="W886" t="str">
        <f t="shared" si="26"/>
        <v/>
      </c>
      <c r="X886" s="185" t="str">
        <f t="shared" si="27"/>
        <v/>
      </c>
      <c r="Y886" s="685">
        <f>'General price list'!$AB889</f>
        <v>0</v>
      </c>
      <c r="Z886" t="str">
        <f>IFERROR(X886*VLOOKUP(C886,'General price list'!C:I,7,FALSE),"")</f>
        <v/>
      </c>
      <c r="AA886" t="str">
        <f>IF(X886&lt;&gt;"",VLOOKUP(C886,'General price list'!C889:AN2067,MATCH("HM",Tabulka1[[#Headers],[KÓD]:[NEQ]],0),FALSE),"")</f>
        <v/>
      </c>
    </row>
    <row r="887" spans="1:27">
      <c r="A887">
        <f>COUNTIF($W$22:W887,1)</f>
        <v>0</v>
      </c>
      <c r="B887">
        <v>887</v>
      </c>
      <c r="C887" s="684" t="s">
        <v>2775</v>
      </c>
      <c r="W887" t="str">
        <f t="shared" si="26"/>
        <v/>
      </c>
      <c r="X887" s="185" t="str">
        <f t="shared" si="27"/>
        <v/>
      </c>
      <c r="Y887" s="685">
        <f>'General price list'!$AB890</f>
        <v>0</v>
      </c>
      <c r="Z887" t="str">
        <f>IFERROR(X887*VLOOKUP(C887,'General price list'!C:I,7,FALSE),"")</f>
        <v/>
      </c>
      <c r="AA887" t="str">
        <f>IF(X887&lt;&gt;"",VLOOKUP(C887,'General price list'!C890:AN2068,MATCH("HM",Tabulka1[[#Headers],[KÓD]:[NEQ]],0),FALSE),"")</f>
        <v/>
      </c>
    </row>
    <row r="888" spans="1:27">
      <c r="A888">
        <f>COUNTIF($W$22:W888,1)</f>
        <v>0</v>
      </c>
      <c r="B888">
        <v>888</v>
      </c>
      <c r="C888" s="684" t="s">
        <v>2776</v>
      </c>
      <c r="W888" t="str">
        <f t="shared" si="26"/>
        <v/>
      </c>
      <c r="X888" s="185" t="str">
        <f t="shared" si="27"/>
        <v/>
      </c>
      <c r="Y888" s="685">
        <f>'General price list'!$AB891</f>
        <v>0</v>
      </c>
      <c r="Z888" t="str">
        <f>IFERROR(X888*VLOOKUP(C888,'General price list'!C:I,7,FALSE),"")</f>
        <v/>
      </c>
      <c r="AA888" t="str">
        <f>IF(X888&lt;&gt;"",VLOOKUP(C888,'General price list'!C891:AN2069,MATCH("HM",Tabulka1[[#Headers],[KÓD]:[NEQ]],0),FALSE),"")</f>
        <v/>
      </c>
    </row>
    <row r="889" spans="1:27">
      <c r="A889">
        <f>COUNTIF($W$22:W889,1)</f>
        <v>0</v>
      </c>
      <c r="B889">
        <v>889</v>
      </c>
      <c r="W889" t="str">
        <f t="shared" si="26"/>
        <v/>
      </c>
      <c r="X889" s="185" t="str">
        <f t="shared" si="27"/>
        <v/>
      </c>
      <c r="Y889" s="685">
        <f>'General price list'!$AB892</f>
        <v>0</v>
      </c>
      <c r="Z889" t="str">
        <f>IFERROR(X889*VLOOKUP(C889,'General price list'!C:I,7,FALSE),"")</f>
        <v/>
      </c>
      <c r="AA889" t="str">
        <f>IF(X889&lt;&gt;"",VLOOKUP(C889,'General price list'!C892:AN2070,MATCH("HM",Tabulka1[[#Headers],[KÓD]:[NEQ]],0),FALSE),"")</f>
        <v/>
      </c>
    </row>
    <row r="890" spans="1:27">
      <c r="A890">
        <f>COUNTIF($W$22:W890,1)</f>
        <v>0</v>
      </c>
      <c r="B890">
        <v>890</v>
      </c>
      <c r="C890" s="684" t="s">
        <v>1711</v>
      </c>
      <c r="W890" t="str">
        <f t="shared" si="26"/>
        <v/>
      </c>
      <c r="X890" s="185" t="str">
        <f t="shared" si="27"/>
        <v/>
      </c>
      <c r="Y890" s="685">
        <f>'General price list'!$AB893</f>
        <v>0</v>
      </c>
      <c r="Z890" t="str">
        <f>IFERROR(X890*VLOOKUP(C890,'General price list'!C:I,7,FALSE),"")</f>
        <v/>
      </c>
      <c r="AA890" t="str">
        <f>IF(X890&lt;&gt;"",VLOOKUP(C890,'General price list'!C893:AN2071,MATCH("HM",Tabulka1[[#Headers],[KÓD]:[NEQ]],0),FALSE),"")</f>
        <v/>
      </c>
    </row>
    <row r="891" spans="1:27">
      <c r="A891">
        <f>COUNTIF($W$22:W891,1)</f>
        <v>0</v>
      </c>
      <c r="B891">
        <v>891</v>
      </c>
      <c r="C891" s="684" t="s">
        <v>2608</v>
      </c>
      <c r="W891" t="str">
        <f t="shared" si="26"/>
        <v/>
      </c>
      <c r="X891" s="185" t="str">
        <f t="shared" si="27"/>
        <v/>
      </c>
      <c r="Y891" s="685">
        <f>'General price list'!$AB894</f>
        <v>0</v>
      </c>
      <c r="Z891" t="str">
        <f>IFERROR(X891*VLOOKUP(C891,'General price list'!C:I,7,FALSE),"")</f>
        <v/>
      </c>
      <c r="AA891" t="str">
        <f>IF(X891&lt;&gt;"",VLOOKUP(C891,'General price list'!C894:AN2072,MATCH("HM",Tabulka1[[#Headers],[KÓD]:[NEQ]],0),FALSE),"")</f>
        <v/>
      </c>
    </row>
    <row r="892" spans="1:27">
      <c r="A892">
        <f>COUNTIF($W$22:W892,1)</f>
        <v>0</v>
      </c>
      <c r="B892">
        <v>892</v>
      </c>
      <c r="C892" s="684" t="s">
        <v>1712</v>
      </c>
      <c r="W892" t="str">
        <f t="shared" si="26"/>
        <v/>
      </c>
      <c r="X892" s="185" t="str">
        <f t="shared" si="27"/>
        <v/>
      </c>
      <c r="Y892" s="685">
        <f>'General price list'!$AB895</f>
        <v>0</v>
      </c>
      <c r="Z892" t="str">
        <f>IFERROR(X892*VLOOKUP(C892,'General price list'!C:I,7,FALSE),"")</f>
        <v/>
      </c>
      <c r="AA892" t="str">
        <f>IF(X892&lt;&gt;"",VLOOKUP(C892,'General price list'!C895:AN2073,MATCH("HM",Tabulka1[[#Headers],[KÓD]:[NEQ]],0),FALSE),"")</f>
        <v/>
      </c>
    </row>
    <row r="893" spans="1:27">
      <c r="A893">
        <f>COUNTIF($W$22:W893,1)</f>
        <v>0</v>
      </c>
      <c r="B893">
        <v>893</v>
      </c>
      <c r="C893" s="684" t="s">
        <v>2610</v>
      </c>
      <c r="W893" t="str">
        <f t="shared" si="26"/>
        <v/>
      </c>
      <c r="X893" s="185" t="str">
        <f t="shared" si="27"/>
        <v/>
      </c>
      <c r="Y893" s="685">
        <f>'General price list'!$AB896</f>
        <v>0</v>
      </c>
      <c r="Z893" t="str">
        <f>IFERROR(X893*VLOOKUP(C893,'General price list'!C:I,7,FALSE),"")</f>
        <v/>
      </c>
      <c r="AA893" t="str">
        <f>IF(X893&lt;&gt;"",VLOOKUP(C893,'General price list'!C896:AN2074,MATCH("HM",Tabulka1[[#Headers],[KÓD]:[NEQ]],0),FALSE),"")</f>
        <v/>
      </c>
    </row>
    <row r="894" spans="1:27">
      <c r="A894">
        <f>COUNTIF($W$22:W894,1)</f>
        <v>0</v>
      </c>
      <c r="B894">
        <v>894</v>
      </c>
      <c r="C894" s="684" t="s">
        <v>2612</v>
      </c>
      <c r="W894" t="str">
        <f t="shared" si="26"/>
        <v/>
      </c>
      <c r="X894" s="185" t="str">
        <f t="shared" si="27"/>
        <v/>
      </c>
      <c r="Y894" s="685">
        <f>'General price list'!$AB897</f>
        <v>0</v>
      </c>
      <c r="Z894" t="str">
        <f>IFERROR(X894*VLOOKUP(C894,'General price list'!C:I,7,FALSE),"")</f>
        <v/>
      </c>
      <c r="AA894" t="str">
        <f>IF(X894&lt;&gt;"",VLOOKUP(C894,'General price list'!C897:AN2075,MATCH("HM",Tabulka1[[#Headers],[KÓD]:[NEQ]],0),FALSE),"")</f>
        <v/>
      </c>
    </row>
    <row r="895" spans="1:27">
      <c r="A895">
        <f>COUNTIF($W$22:W895,1)</f>
        <v>0</v>
      </c>
      <c r="B895">
        <v>895</v>
      </c>
      <c r="C895" s="684" t="s">
        <v>1714</v>
      </c>
      <c r="W895" t="str">
        <f t="shared" si="26"/>
        <v/>
      </c>
      <c r="X895" s="185" t="str">
        <f t="shared" si="27"/>
        <v/>
      </c>
      <c r="Y895" s="685">
        <f>'General price list'!$AB898</f>
        <v>0</v>
      </c>
      <c r="Z895" t="str">
        <f>IFERROR(X895*VLOOKUP(C895,'General price list'!C:I,7,FALSE),"")</f>
        <v/>
      </c>
      <c r="AA895" t="str">
        <f>IF(X895&lt;&gt;"",VLOOKUP(C895,'General price list'!C898:AN2076,MATCH("HM",Tabulka1[[#Headers],[KÓD]:[NEQ]],0),FALSE),"")</f>
        <v/>
      </c>
    </row>
    <row r="896" spans="1:27">
      <c r="A896">
        <f>COUNTIF($W$22:W896,1)</f>
        <v>0</v>
      </c>
      <c r="B896">
        <v>896</v>
      </c>
      <c r="W896" t="str">
        <f t="shared" si="26"/>
        <v/>
      </c>
      <c r="X896" s="185" t="str">
        <f t="shared" si="27"/>
        <v/>
      </c>
      <c r="Y896" s="685">
        <f>'General price list'!$AB899</f>
        <v>0</v>
      </c>
      <c r="Z896" t="str">
        <f>IFERROR(X896*VLOOKUP(C896,'General price list'!C:I,7,FALSE),"")</f>
        <v/>
      </c>
      <c r="AA896" t="str">
        <f>IF(X896&lt;&gt;"",VLOOKUP(C896,'General price list'!C899:AN2077,MATCH("HM",Tabulka1[[#Headers],[KÓD]:[NEQ]],0),FALSE),"")</f>
        <v/>
      </c>
    </row>
    <row r="897" spans="1:27">
      <c r="A897">
        <f>COUNTIF($W$22:W897,1)</f>
        <v>0</v>
      </c>
      <c r="B897">
        <v>897</v>
      </c>
      <c r="C897" s="684" t="s">
        <v>2777</v>
      </c>
      <c r="W897" t="str">
        <f t="shared" si="26"/>
        <v/>
      </c>
      <c r="X897" s="185" t="str">
        <f t="shared" si="27"/>
        <v/>
      </c>
      <c r="Y897" s="685">
        <f>'General price list'!$AB900</f>
        <v>0</v>
      </c>
      <c r="Z897" t="str">
        <f>IFERROR(X897*VLOOKUP(C897,'General price list'!C:I,7,FALSE),"")</f>
        <v/>
      </c>
      <c r="AA897" t="str">
        <f>IF(X897&lt;&gt;"",VLOOKUP(C897,'General price list'!C900:AN2078,MATCH("HM",Tabulka1[[#Headers],[KÓD]:[NEQ]],0),FALSE),"")</f>
        <v/>
      </c>
    </row>
    <row r="898" spans="1:27">
      <c r="A898">
        <f>COUNTIF($W$22:W898,1)</f>
        <v>0</v>
      </c>
      <c r="B898">
        <v>898</v>
      </c>
      <c r="C898" s="684" t="s">
        <v>2778</v>
      </c>
      <c r="W898" t="str">
        <f t="shared" si="26"/>
        <v/>
      </c>
      <c r="X898" s="185" t="str">
        <f t="shared" si="27"/>
        <v/>
      </c>
      <c r="Y898" s="685">
        <f>'General price list'!$AB901</f>
        <v>0</v>
      </c>
      <c r="Z898" t="str">
        <f>IFERROR(X898*VLOOKUP(C898,'General price list'!C:I,7,FALSE),"")</f>
        <v/>
      </c>
      <c r="AA898" t="str">
        <f>IF(X898&lt;&gt;"",VLOOKUP(C898,'General price list'!C901:AN2079,MATCH("HM",Tabulka1[[#Headers],[KÓD]:[NEQ]],0),FALSE),"")</f>
        <v/>
      </c>
    </row>
    <row r="899" spans="1:27">
      <c r="A899">
        <f>COUNTIF($W$22:W899,1)</f>
        <v>0</v>
      </c>
      <c r="B899">
        <v>899</v>
      </c>
      <c r="C899" s="684" t="s">
        <v>5525</v>
      </c>
      <c r="W899" t="str">
        <f t="shared" si="26"/>
        <v/>
      </c>
      <c r="X899" s="185" t="str">
        <f t="shared" si="27"/>
        <v/>
      </c>
      <c r="Y899" s="685">
        <f>'General price list'!$AB902</f>
        <v>0</v>
      </c>
      <c r="Z899" t="str">
        <f>IFERROR(X899*VLOOKUP(C899,'General price list'!C:I,7,FALSE),"")</f>
        <v/>
      </c>
      <c r="AA899" t="str">
        <f>IF(X899&lt;&gt;"",VLOOKUP(C899,'General price list'!C902:AN2080,MATCH("HM",Tabulka1[[#Headers],[KÓD]:[NEQ]],0),FALSE),"")</f>
        <v/>
      </c>
    </row>
    <row r="900" spans="1:27">
      <c r="A900">
        <f>COUNTIF($W$22:W900,1)</f>
        <v>0</v>
      </c>
      <c r="B900">
        <v>900</v>
      </c>
      <c r="C900" s="684" t="s">
        <v>2779</v>
      </c>
      <c r="W900" t="str">
        <f t="shared" si="26"/>
        <v/>
      </c>
      <c r="X900" s="185" t="str">
        <f t="shared" si="27"/>
        <v/>
      </c>
      <c r="Y900" s="685">
        <f>'General price list'!$AB903</f>
        <v>0</v>
      </c>
      <c r="Z900" t="str">
        <f>IFERROR(X900*VLOOKUP(C900,'General price list'!C:I,7,FALSE),"")</f>
        <v/>
      </c>
      <c r="AA900" t="str">
        <f>IF(X900&lt;&gt;"",VLOOKUP(C900,'General price list'!C903:AN2081,MATCH("HM",Tabulka1[[#Headers],[KÓD]:[NEQ]],0),FALSE),"")</f>
        <v/>
      </c>
    </row>
    <row r="901" spans="1:27">
      <c r="A901">
        <f>COUNTIF($W$22:W901,1)</f>
        <v>0</v>
      </c>
      <c r="B901">
        <v>901</v>
      </c>
      <c r="C901" s="684" t="s">
        <v>2780</v>
      </c>
      <c r="W901" t="str">
        <f t="shared" si="26"/>
        <v/>
      </c>
      <c r="X901" s="185" t="str">
        <f t="shared" si="27"/>
        <v/>
      </c>
      <c r="Y901" s="685">
        <f>'General price list'!$AB904</f>
        <v>0</v>
      </c>
      <c r="Z901" t="str">
        <f>IFERROR(X901*VLOOKUP(C901,'General price list'!C:I,7,FALSE),"")</f>
        <v/>
      </c>
      <c r="AA901" t="str">
        <f>IF(X901&lt;&gt;"",VLOOKUP(C901,'General price list'!C904:AN2082,MATCH("HM",Tabulka1[[#Headers],[KÓD]:[NEQ]],0),FALSE),"")</f>
        <v/>
      </c>
    </row>
    <row r="902" spans="1:27">
      <c r="A902">
        <f>COUNTIF($W$22:W902,1)</f>
        <v>0</v>
      </c>
      <c r="B902">
        <v>902</v>
      </c>
      <c r="C902" s="684" t="s">
        <v>5529</v>
      </c>
      <c r="W902" t="str">
        <f t="shared" si="26"/>
        <v/>
      </c>
      <c r="X902" s="185" t="str">
        <f t="shared" si="27"/>
        <v/>
      </c>
      <c r="Y902" s="685">
        <f>'General price list'!$AB905</f>
        <v>0</v>
      </c>
      <c r="Z902" t="str">
        <f>IFERROR(X902*VLOOKUP(C902,'General price list'!C:I,7,FALSE),"")</f>
        <v/>
      </c>
      <c r="AA902" t="str">
        <f>IF(X902&lt;&gt;"",VLOOKUP(C902,'General price list'!C905:AN2083,MATCH("HM",Tabulka1[[#Headers],[KÓD]:[NEQ]],0),FALSE),"")</f>
        <v/>
      </c>
    </row>
    <row r="903" spans="1:27">
      <c r="A903">
        <f>COUNTIF($W$22:W903,1)</f>
        <v>0</v>
      </c>
      <c r="B903">
        <v>903</v>
      </c>
      <c r="W903" t="str">
        <f t="shared" si="26"/>
        <v/>
      </c>
      <c r="X903" s="185" t="str">
        <f t="shared" si="27"/>
        <v/>
      </c>
      <c r="Y903" s="685">
        <f>'General price list'!$AB906</f>
        <v>0</v>
      </c>
      <c r="Z903" t="str">
        <f>IFERROR(X903*VLOOKUP(C903,'General price list'!C:I,7,FALSE),"")</f>
        <v/>
      </c>
      <c r="AA903" t="str">
        <f>IF(X903&lt;&gt;"",VLOOKUP(C903,'General price list'!C906:AN2084,MATCH("HM",Tabulka1[[#Headers],[KÓD]:[NEQ]],0),FALSE),"")</f>
        <v/>
      </c>
    </row>
    <row r="904" spans="1:27">
      <c r="A904">
        <f>COUNTIF($W$22:W904,1)</f>
        <v>0</v>
      </c>
      <c r="B904">
        <v>904</v>
      </c>
      <c r="W904" t="str">
        <f t="shared" si="26"/>
        <v/>
      </c>
      <c r="X904" s="185" t="str">
        <f t="shared" si="27"/>
        <v/>
      </c>
      <c r="Y904" s="685">
        <f>'General price list'!$AB907</f>
        <v>0</v>
      </c>
      <c r="Z904" t="str">
        <f>IFERROR(X904*VLOOKUP(C904,'General price list'!C:I,7,FALSE),"")</f>
        <v/>
      </c>
      <c r="AA904" t="str">
        <f>IF(X904&lt;&gt;"",VLOOKUP(C904,'General price list'!C907:AN2085,MATCH("HM",Tabulka1[[#Headers],[KÓD]:[NEQ]],0),FALSE),"")</f>
        <v/>
      </c>
    </row>
    <row r="905" spans="1:27">
      <c r="A905">
        <f>COUNTIF($W$22:W905,1)</f>
        <v>0</v>
      </c>
      <c r="B905">
        <v>905</v>
      </c>
      <c r="C905" s="684" t="s">
        <v>1642</v>
      </c>
      <c r="W905" t="str">
        <f t="shared" si="26"/>
        <v/>
      </c>
      <c r="X905" s="185" t="str">
        <f t="shared" si="27"/>
        <v/>
      </c>
      <c r="Y905" s="685">
        <f>'General price list'!$AB908</f>
        <v>0</v>
      </c>
      <c r="Z905" t="str">
        <f>IFERROR(X905*VLOOKUP(C905,'General price list'!C:I,7,FALSE),"")</f>
        <v/>
      </c>
      <c r="AA905" t="str">
        <f>IF(X905&lt;&gt;"",VLOOKUP(C905,'General price list'!C908:AN2086,MATCH("HM",Tabulka1[[#Headers],[KÓD]:[NEQ]],0),FALSE),"")</f>
        <v/>
      </c>
    </row>
    <row r="906" spans="1:27">
      <c r="A906">
        <f>COUNTIF($W$22:W906,1)</f>
        <v>0</v>
      </c>
      <c r="B906">
        <v>906</v>
      </c>
      <c r="W906" t="str">
        <f t="shared" si="26"/>
        <v/>
      </c>
      <c r="X906" s="185" t="str">
        <f t="shared" si="27"/>
        <v/>
      </c>
      <c r="Y906" s="685">
        <f>'General price list'!$AB909</f>
        <v>0</v>
      </c>
      <c r="Z906" t="str">
        <f>IFERROR(X906*VLOOKUP(C906,'General price list'!C:I,7,FALSE),"")</f>
        <v/>
      </c>
      <c r="AA906" t="str">
        <f>IF(X906&lt;&gt;"",VLOOKUP(C906,'General price list'!C909:AN2087,MATCH("HM",Tabulka1[[#Headers],[KÓD]:[NEQ]],0),FALSE),"")</f>
        <v/>
      </c>
    </row>
    <row r="907" spans="1:27">
      <c r="A907">
        <f>COUNTIF($W$22:W907,1)</f>
        <v>0</v>
      </c>
      <c r="B907">
        <v>907</v>
      </c>
      <c r="C907" s="684" t="s">
        <v>1644</v>
      </c>
      <c r="W907" t="str">
        <f t="shared" si="26"/>
        <v/>
      </c>
      <c r="X907" s="185" t="str">
        <f t="shared" si="27"/>
        <v/>
      </c>
      <c r="Y907" s="685">
        <f>'General price list'!$AB910</f>
        <v>0</v>
      </c>
      <c r="Z907" t="str">
        <f>IFERROR(X907*VLOOKUP(C907,'General price list'!C:I,7,FALSE),"")</f>
        <v/>
      </c>
      <c r="AA907" t="str">
        <f>IF(X907&lt;&gt;"",VLOOKUP(C907,'General price list'!C910:AN2088,MATCH("HM",Tabulka1[[#Headers],[KÓD]:[NEQ]],0),FALSE),"")</f>
        <v/>
      </c>
    </row>
    <row r="908" spans="1:27">
      <c r="A908">
        <f>COUNTIF($W$22:W908,1)</f>
        <v>0</v>
      </c>
      <c r="B908">
        <v>908</v>
      </c>
      <c r="W908" t="str">
        <f t="shared" si="26"/>
        <v/>
      </c>
      <c r="X908" s="185" t="str">
        <f t="shared" si="27"/>
        <v/>
      </c>
      <c r="Y908" s="685">
        <f>'General price list'!$AB911</f>
        <v>0</v>
      </c>
      <c r="Z908" t="str">
        <f>IFERROR(X908*VLOOKUP(C908,'General price list'!C:I,7,FALSE),"")</f>
        <v/>
      </c>
      <c r="AA908" t="str">
        <f>IF(X908&lt;&gt;"",VLOOKUP(C908,'General price list'!C911:AN2089,MATCH("HM",Tabulka1[[#Headers],[KÓD]:[NEQ]],0),FALSE),"")</f>
        <v/>
      </c>
    </row>
    <row r="909" spans="1:27">
      <c r="A909">
        <f>COUNTIF($W$22:W909,1)</f>
        <v>0</v>
      </c>
      <c r="B909">
        <v>909</v>
      </c>
      <c r="C909" s="684" t="s">
        <v>1646</v>
      </c>
      <c r="W909" t="str">
        <f t="shared" si="26"/>
        <v/>
      </c>
      <c r="X909" s="185" t="str">
        <f t="shared" si="27"/>
        <v/>
      </c>
      <c r="Y909" s="685">
        <f>'General price list'!$AB912</f>
        <v>0</v>
      </c>
      <c r="Z909" t="str">
        <f>IFERROR(X909*VLOOKUP(C909,'General price list'!C:I,7,FALSE),"")</f>
        <v/>
      </c>
      <c r="AA909" t="str">
        <f>IF(X909&lt;&gt;"",VLOOKUP(C909,'General price list'!C912:AN2090,MATCH("HM",Tabulka1[[#Headers],[KÓD]:[NEQ]],0),FALSE),"")</f>
        <v/>
      </c>
    </row>
    <row r="910" spans="1:27">
      <c r="A910">
        <f>COUNTIF($W$22:W910,1)</f>
        <v>0</v>
      </c>
      <c r="B910">
        <v>910</v>
      </c>
      <c r="W910" t="str">
        <f t="shared" si="26"/>
        <v/>
      </c>
      <c r="X910" s="185" t="str">
        <f t="shared" si="27"/>
        <v/>
      </c>
      <c r="Y910" s="685">
        <f>'General price list'!$AB913</f>
        <v>0</v>
      </c>
      <c r="Z910" t="str">
        <f>IFERROR(X910*VLOOKUP(C910,'General price list'!C:I,7,FALSE),"")</f>
        <v/>
      </c>
      <c r="AA910" t="str">
        <f>IF(X910&lt;&gt;"",VLOOKUP(C910,'General price list'!C913:AN2091,MATCH("HM",Tabulka1[[#Headers],[KÓD]:[NEQ]],0),FALSE),"")</f>
        <v/>
      </c>
    </row>
    <row r="911" spans="1:27">
      <c r="A911">
        <f>COUNTIF($W$22:W911,1)</f>
        <v>0</v>
      </c>
      <c r="B911">
        <v>911</v>
      </c>
      <c r="C911" s="684" t="s">
        <v>1657</v>
      </c>
      <c r="W911" t="str">
        <f t="shared" si="26"/>
        <v/>
      </c>
      <c r="X911" s="185" t="str">
        <f t="shared" si="27"/>
        <v/>
      </c>
      <c r="Y911" s="685">
        <f>'General price list'!$AB914</f>
        <v>0</v>
      </c>
      <c r="Z911" t="str">
        <f>IFERROR(X911*VLOOKUP(C911,'General price list'!C:I,7,FALSE),"")</f>
        <v/>
      </c>
      <c r="AA911" t="str">
        <f>IF(X911&lt;&gt;"",VLOOKUP(C911,'General price list'!C914:AN2092,MATCH("HM",Tabulka1[[#Headers],[KÓD]:[NEQ]],0),FALSE),"")</f>
        <v/>
      </c>
    </row>
    <row r="912" spans="1:27">
      <c r="A912">
        <f>COUNTIF($W$22:W912,1)</f>
        <v>0</v>
      </c>
      <c r="B912">
        <v>912</v>
      </c>
      <c r="W912" t="str">
        <f t="shared" si="26"/>
        <v/>
      </c>
      <c r="X912" s="185" t="str">
        <f t="shared" si="27"/>
        <v/>
      </c>
      <c r="Y912" s="685">
        <f>'General price list'!$AB915</f>
        <v>0</v>
      </c>
      <c r="Z912" t="str">
        <f>IFERROR(X912*VLOOKUP(C912,'General price list'!C:I,7,FALSE),"")</f>
        <v/>
      </c>
      <c r="AA912" t="str">
        <f>IF(X912&lt;&gt;"",VLOOKUP(C912,'General price list'!C915:AN2093,MATCH("HM",Tabulka1[[#Headers],[KÓD]:[NEQ]],0),FALSE),"")</f>
        <v/>
      </c>
    </row>
    <row r="913" spans="1:27">
      <c r="A913">
        <f>COUNTIF($W$22:W913,1)</f>
        <v>0</v>
      </c>
      <c r="B913">
        <v>913</v>
      </c>
      <c r="C913" s="684" t="s">
        <v>1659</v>
      </c>
      <c r="W913" t="str">
        <f t="shared" si="26"/>
        <v/>
      </c>
      <c r="X913" s="185" t="str">
        <f t="shared" si="27"/>
        <v/>
      </c>
      <c r="Y913" s="685">
        <f>'General price list'!$AB916</f>
        <v>0</v>
      </c>
      <c r="Z913" t="str">
        <f>IFERROR(X913*VLOOKUP(C913,'General price list'!C:I,7,FALSE),"")</f>
        <v/>
      </c>
      <c r="AA913" t="str">
        <f>IF(X913&lt;&gt;"",VLOOKUP(C913,'General price list'!C916:AN2094,MATCH("HM",Tabulka1[[#Headers],[KÓD]:[NEQ]],0),FALSE),"")</f>
        <v/>
      </c>
    </row>
    <row r="914" spans="1:27">
      <c r="A914">
        <f>COUNTIF($W$22:W914,1)</f>
        <v>0</v>
      </c>
      <c r="B914">
        <v>914</v>
      </c>
      <c r="C914" s="684" t="s">
        <v>1661</v>
      </c>
      <c r="W914" t="str">
        <f t="shared" si="26"/>
        <v/>
      </c>
      <c r="X914" s="185" t="str">
        <f t="shared" si="27"/>
        <v/>
      </c>
      <c r="Y914" s="685">
        <f>'General price list'!$AB917</f>
        <v>0</v>
      </c>
      <c r="Z914" t="str">
        <f>IFERROR(X914*VLOOKUP(C914,'General price list'!C:I,7,FALSE),"")</f>
        <v/>
      </c>
      <c r="AA914" t="str">
        <f>IF(X914&lt;&gt;"",VLOOKUP(C914,'General price list'!C917:AN2095,MATCH("HM",Tabulka1[[#Headers],[KÓD]:[NEQ]],0),FALSE),"")</f>
        <v/>
      </c>
    </row>
    <row r="915" spans="1:27">
      <c r="A915">
        <f>COUNTIF($W$22:W915,1)</f>
        <v>0</v>
      </c>
      <c r="B915">
        <v>915</v>
      </c>
      <c r="W915" t="str">
        <f t="shared" si="26"/>
        <v/>
      </c>
      <c r="X915" s="185" t="str">
        <f t="shared" si="27"/>
        <v/>
      </c>
      <c r="Y915" s="685">
        <f>'General price list'!$AB918</f>
        <v>0</v>
      </c>
      <c r="Z915" t="str">
        <f>IFERROR(X915*VLOOKUP(C915,'General price list'!C:I,7,FALSE),"")</f>
        <v/>
      </c>
      <c r="AA915" t="str">
        <f>IF(X915&lt;&gt;"",VLOOKUP(C915,'General price list'!C918:AN2096,MATCH("HM",Tabulka1[[#Headers],[KÓD]:[NEQ]],0),FALSE),"")</f>
        <v/>
      </c>
    </row>
    <row r="916" spans="1:27">
      <c r="A916">
        <f>COUNTIF($W$22:W916,1)</f>
        <v>0</v>
      </c>
      <c r="B916">
        <v>916</v>
      </c>
      <c r="C916" s="684" t="s">
        <v>1665</v>
      </c>
      <c r="W916" t="str">
        <f t="shared" si="26"/>
        <v/>
      </c>
      <c r="X916" s="185" t="str">
        <f t="shared" si="27"/>
        <v/>
      </c>
      <c r="Y916" s="685">
        <f>'General price list'!$AB919</f>
        <v>0</v>
      </c>
      <c r="Z916" t="str">
        <f>IFERROR(X916*VLOOKUP(C916,'General price list'!C:I,7,FALSE),"")</f>
        <v/>
      </c>
      <c r="AA916" t="str">
        <f>IF(X916&lt;&gt;"",VLOOKUP(C916,'General price list'!C919:AN2097,MATCH("HM",Tabulka1[[#Headers],[KÓD]:[NEQ]],0),FALSE),"")</f>
        <v/>
      </c>
    </row>
    <row r="917" spans="1:27">
      <c r="A917">
        <f>COUNTIF($W$22:W917,1)</f>
        <v>0</v>
      </c>
      <c r="B917">
        <v>917</v>
      </c>
      <c r="C917" s="684" t="s">
        <v>1666</v>
      </c>
      <c r="W917" t="str">
        <f t="shared" si="26"/>
        <v/>
      </c>
      <c r="X917" s="185" t="str">
        <f t="shared" si="27"/>
        <v/>
      </c>
      <c r="Y917" s="685">
        <f>'General price list'!$AB920</f>
        <v>0</v>
      </c>
      <c r="Z917" t="str">
        <f>IFERROR(X917*VLOOKUP(C917,'General price list'!C:I,7,FALSE),"")</f>
        <v/>
      </c>
      <c r="AA917" t="str">
        <f>IF(X917&lt;&gt;"",VLOOKUP(C917,'General price list'!C920:AN2098,MATCH("HM",Tabulka1[[#Headers],[KÓD]:[NEQ]],0),FALSE),"")</f>
        <v/>
      </c>
    </row>
    <row r="918" spans="1:27">
      <c r="A918">
        <f>COUNTIF($W$22:W918,1)</f>
        <v>0</v>
      </c>
      <c r="B918">
        <v>918</v>
      </c>
      <c r="W918" t="str">
        <f t="shared" si="26"/>
        <v/>
      </c>
      <c r="X918" s="185" t="str">
        <f t="shared" si="27"/>
        <v/>
      </c>
      <c r="Y918" s="685">
        <f>'General price list'!$AB921</f>
        <v>0</v>
      </c>
      <c r="Z918" t="str">
        <f>IFERROR(X918*VLOOKUP(C918,'General price list'!C:I,7,FALSE),"")</f>
        <v/>
      </c>
      <c r="AA918" t="str">
        <f>IF(X918&lt;&gt;"",VLOOKUP(C918,'General price list'!C921:AN2099,MATCH("HM",Tabulka1[[#Headers],[KÓD]:[NEQ]],0),FALSE),"")</f>
        <v/>
      </c>
    </row>
    <row r="919" spans="1:27">
      <c r="A919">
        <f>COUNTIF($W$22:W919,1)</f>
        <v>0</v>
      </c>
      <c r="B919">
        <v>919</v>
      </c>
      <c r="C919" s="684" t="s">
        <v>1672</v>
      </c>
      <c r="W919" t="str">
        <f t="shared" ref="W919:W982" si="28">IF(Y919+1=1,"",1)</f>
        <v/>
      </c>
      <c r="X919" s="185" t="str">
        <f t="shared" si="27"/>
        <v/>
      </c>
      <c r="Y919" s="685">
        <f>'General price list'!$AB922</f>
        <v>0</v>
      </c>
      <c r="Z919" t="str">
        <f>IFERROR(X919*VLOOKUP(C919,'General price list'!C:I,7,FALSE),"")</f>
        <v/>
      </c>
      <c r="AA919" t="str">
        <f>IF(X919&lt;&gt;"",VLOOKUP(C919,'General price list'!C922:AN2100,MATCH("HM",Tabulka1[[#Headers],[KÓD]:[NEQ]],0),FALSE),"")</f>
        <v/>
      </c>
    </row>
    <row r="920" spans="1:27">
      <c r="A920">
        <f>COUNTIF($W$22:W920,1)</f>
        <v>0</v>
      </c>
      <c r="B920">
        <v>920</v>
      </c>
      <c r="W920" t="str">
        <f t="shared" si="28"/>
        <v/>
      </c>
      <c r="X920" s="185" t="str">
        <f t="shared" ref="X920:X983" si="29">IF(A920&gt;$C$21,"",IF(Y920=0,"",Y920))</f>
        <v/>
      </c>
      <c r="Y920" s="685">
        <f>'General price list'!$AB923</f>
        <v>0</v>
      </c>
      <c r="Z920" t="str">
        <f>IFERROR(X920*VLOOKUP(C920,'General price list'!C:I,7,FALSE),"")</f>
        <v/>
      </c>
      <c r="AA920" t="str">
        <f>IF(X920&lt;&gt;"",VLOOKUP(C920,'General price list'!C923:AN2101,MATCH("HM",Tabulka1[[#Headers],[KÓD]:[NEQ]],0),FALSE),"")</f>
        <v/>
      </c>
    </row>
    <row r="921" spans="1:27">
      <c r="A921">
        <f>COUNTIF($W$22:W921,1)</f>
        <v>0</v>
      </c>
      <c r="B921">
        <v>921</v>
      </c>
      <c r="C921" s="684" t="s">
        <v>1674</v>
      </c>
      <c r="W921" t="str">
        <f t="shared" si="28"/>
        <v/>
      </c>
      <c r="X921" s="185" t="str">
        <f t="shared" si="29"/>
        <v/>
      </c>
      <c r="Y921" s="685">
        <f>'General price list'!$AB924</f>
        <v>0</v>
      </c>
      <c r="Z921" t="str">
        <f>IFERROR(X921*VLOOKUP(C921,'General price list'!C:I,7,FALSE),"")</f>
        <v/>
      </c>
      <c r="AA921" t="str">
        <f>IF(X921&lt;&gt;"",VLOOKUP(C921,'General price list'!C924:AN2102,MATCH("HM",Tabulka1[[#Headers],[KÓD]:[NEQ]],0),FALSE),"")</f>
        <v/>
      </c>
    </row>
    <row r="922" spans="1:27">
      <c r="A922">
        <f>COUNTIF($W$22:W922,1)</f>
        <v>0</v>
      </c>
      <c r="B922">
        <v>922</v>
      </c>
      <c r="C922" s="684" t="s">
        <v>2614</v>
      </c>
      <c r="W922" t="str">
        <f t="shared" si="28"/>
        <v/>
      </c>
      <c r="X922" s="185" t="str">
        <f t="shared" si="29"/>
        <v/>
      </c>
      <c r="Y922" s="685">
        <f>'General price list'!$AB925</f>
        <v>0</v>
      </c>
      <c r="Z922" t="str">
        <f>IFERROR(X922*VLOOKUP(C922,'General price list'!C:I,7,FALSE),"")</f>
        <v/>
      </c>
      <c r="AA922" t="str">
        <f>IF(X922&lt;&gt;"",VLOOKUP(C922,'General price list'!C925:AN2103,MATCH("HM",Tabulka1[[#Headers],[KÓD]:[NEQ]],0),FALSE),"")</f>
        <v/>
      </c>
    </row>
    <row r="923" spans="1:27">
      <c r="A923">
        <f>COUNTIF($W$22:W923,1)</f>
        <v>0</v>
      </c>
      <c r="B923">
        <v>923</v>
      </c>
      <c r="W923" t="str">
        <f t="shared" si="28"/>
        <v/>
      </c>
      <c r="X923" s="185" t="str">
        <f t="shared" si="29"/>
        <v/>
      </c>
      <c r="Y923" s="685">
        <f>'General price list'!$AB926</f>
        <v>0</v>
      </c>
      <c r="Z923" t="str">
        <f>IFERROR(X923*VLOOKUP(C923,'General price list'!C:I,7,FALSE),"")</f>
        <v/>
      </c>
      <c r="AA923" t="str">
        <f>IF(X923&lt;&gt;"",VLOOKUP(C923,'General price list'!C926:AN2104,MATCH("HM",Tabulka1[[#Headers],[KÓD]:[NEQ]],0),FALSE),"")</f>
        <v/>
      </c>
    </row>
    <row r="924" spans="1:27">
      <c r="A924">
        <f>COUNTIF($W$22:W924,1)</f>
        <v>0</v>
      </c>
      <c r="B924">
        <v>924</v>
      </c>
      <c r="C924" s="684" t="s">
        <v>1681</v>
      </c>
      <c r="W924" t="str">
        <f t="shared" si="28"/>
        <v/>
      </c>
      <c r="X924" s="185" t="str">
        <f t="shared" si="29"/>
        <v/>
      </c>
      <c r="Y924" s="685">
        <f>'General price list'!$AB927</f>
        <v>0</v>
      </c>
      <c r="Z924" t="str">
        <f>IFERROR(X924*VLOOKUP(C924,'General price list'!C:I,7,FALSE),"")</f>
        <v/>
      </c>
      <c r="AA924" t="str">
        <f>IF(X924&lt;&gt;"",VLOOKUP(C924,'General price list'!C927:AN2105,MATCH("HM",Tabulka1[[#Headers],[KÓD]:[NEQ]],0),FALSE),"")</f>
        <v/>
      </c>
    </row>
    <row r="925" spans="1:27">
      <c r="A925">
        <f>COUNTIF($W$22:W925,1)</f>
        <v>0</v>
      </c>
      <c r="B925">
        <v>925</v>
      </c>
      <c r="W925" t="str">
        <f t="shared" si="28"/>
        <v/>
      </c>
      <c r="X925" s="185" t="str">
        <f t="shared" si="29"/>
        <v/>
      </c>
      <c r="Y925" s="685">
        <f>'General price list'!$AB928</f>
        <v>0</v>
      </c>
      <c r="Z925" t="str">
        <f>IFERROR(X925*VLOOKUP(C925,'General price list'!C:I,7,FALSE),"")</f>
        <v/>
      </c>
      <c r="AA925" t="str">
        <f>IF(X925&lt;&gt;"",VLOOKUP(C925,'General price list'!C928:AN2106,MATCH("HM",Tabulka1[[#Headers],[KÓD]:[NEQ]],0),FALSE),"")</f>
        <v/>
      </c>
    </row>
    <row r="926" spans="1:27">
      <c r="A926">
        <f>COUNTIF($W$22:W926,1)</f>
        <v>0</v>
      </c>
      <c r="B926">
        <v>926</v>
      </c>
      <c r="C926" s="684" t="s">
        <v>2616</v>
      </c>
      <c r="W926" t="str">
        <f t="shared" si="28"/>
        <v/>
      </c>
      <c r="X926" s="185" t="str">
        <f t="shared" si="29"/>
        <v/>
      </c>
      <c r="Y926" s="685">
        <f>'General price list'!$AB929</f>
        <v>0</v>
      </c>
      <c r="Z926" t="str">
        <f>IFERROR(X926*VLOOKUP(C926,'General price list'!C:I,7,FALSE),"")</f>
        <v/>
      </c>
      <c r="AA926" t="str">
        <f>IF(X926&lt;&gt;"",VLOOKUP(C926,'General price list'!C929:AN2107,MATCH("HM",Tabulka1[[#Headers],[KÓD]:[NEQ]],0),FALSE),"")</f>
        <v/>
      </c>
    </row>
    <row r="927" spans="1:27">
      <c r="A927">
        <f>COUNTIF($W$22:W927,1)</f>
        <v>0</v>
      </c>
      <c r="B927">
        <v>927</v>
      </c>
      <c r="C927" s="684" t="s">
        <v>2618</v>
      </c>
      <c r="W927" t="str">
        <f t="shared" si="28"/>
        <v/>
      </c>
      <c r="X927" s="185" t="str">
        <f t="shared" si="29"/>
        <v/>
      </c>
      <c r="Y927" s="685">
        <f>'General price list'!$AB930</f>
        <v>0</v>
      </c>
      <c r="Z927" t="str">
        <f>IFERROR(X927*VLOOKUP(C927,'General price list'!C:I,7,FALSE),"")</f>
        <v/>
      </c>
      <c r="AA927" t="str">
        <f>IF(X927&lt;&gt;"",VLOOKUP(C927,'General price list'!C930:AN2108,MATCH("HM",Tabulka1[[#Headers],[KÓD]:[NEQ]],0),FALSE),"")</f>
        <v/>
      </c>
    </row>
    <row r="928" spans="1:27">
      <c r="A928">
        <f>COUNTIF($W$22:W928,1)</f>
        <v>0</v>
      </c>
      <c r="B928">
        <v>928</v>
      </c>
      <c r="C928" s="684" t="s">
        <v>1716</v>
      </c>
      <c r="W928" t="str">
        <f t="shared" si="28"/>
        <v/>
      </c>
      <c r="X928" s="185" t="str">
        <f t="shared" si="29"/>
        <v/>
      </c>
      <c r="Y928" s="685">
        <f>'General price list'!$AB931</f>
        <v>0</v>
      </c>
      <c r="Z928" t="str">
        <f>IFERROR(X928*VLOOKUP(C928,'General price list'!C:I,7,FALSE),"")</f>
        <v/>
      </c>
      <c r="AA928" t="str">
        <f>IF(X928&lt;&gt;"",VLOOKUP(C928,'General price list'!C931:AN2109,MATCH("HM",Tabulka1[[#Headers],[KÓD]:[NEQ]],0),FALSE),"")</f>
        <v/>
      </c>
    </row>
    <row r="929" spans="1:27">
      <c r="A929">
        <f>COUNTIF($W$22:W929,1)</f>
        <v>0</v>
      </c>
      <c r="B929">
        <v>929</v>
      </c>
      <c r="C929" s="684" t="s">
        <v>1717</v>
      </c>
      <c r="W929" t="str">
        <f t="shared" si="28"/>
        <v/>
      </c>
      <c r="X929" s="185" t="str">
        <f t="shared" si="29"/>
        <v/>
      </c>
      <c r="Y929" s="685">
        <f>'General price list'!$AB932</f>
        <v>0</v>
      </c>
      <c r="Z929" t="str">
        <f>IFERROR(X929*VLOOKUP(C929,'General price list'!C:I,7,FALSE),"")</f>
        <v/>
      </c>
      <c r="AA929" t="str">
        <f>IF(X929&lt;&gt;"",VLOOKUP(C929,'General price list'!C932:AN2110,MATCH("HM",Tabulka1[[#Headers],[KÓD]:[NEQ]],0),FALSE),"")</f>
        <v/>
      </c>
    </row>
    <row r="930" spans="1:27">
      <c r="A930">
        <f>COUNTIF($W$22:W930,1)</f>
        <v>0</v>
      </c>
      <c r="B930">
        <v>930</v>
      </c>
      <c r="C930" s="684" t="s">
        <v>1720</v>
      </c>
      <c r="W930" t="str">
        <f t="shared" si="28"/>
        <v/>
      </c>
      <c r="X930" s="185" t="str">
        <f t="shared" si="29"/>
        <v/>
      </c>
      <c r="Y930" s="685">
        <f>'General price list'!$AB933</f>
        <v>0</v>
      </c>
      <c r="Z930" t="str">
        <f>IFERROR(X930*VLOOKUP(C930,'General price list'!C:I,7,FALSE),"")</f>
        <v/>
      </c>
      <c r="AA930" t="str">
        <f>IF(X930&lt;&gt;"",VLOOKUP(C930,'General price list'!C933:AN2111,MATCH("HM",Tabulka1[[#Headers],[KÓD]:[NEQ]],0),FALSE),"")</f>
        <v/>
      </c>
    </row>
    <row r="931" spans="1:27">
      <c r="A931">
        <f>COUNTIF($W$22:W931,1)</f>
        <v>0</v>
      </c>
      <c r="B931">
        <v>931</v>
      </c>
      <c r="C931" s="684" t="s">
        <v>1722</v>
      </c>
      <c r="W931" t="str">
        <f t="shared" si="28"/>
        <v/>
      </c>
      <c r="X931" s="185" t="str">
        <f t="shared" si="29"/>
        <v/>
      </c>
      <c r="Y931" s="685">
        <f>'General price list'!$AB934</f>
        <v>0</v>
      </c>
      <c r="Z931" t="str">
        <f>IFERROR(X931*VLOOKUP(C931,'General price list'!C:I,7,FALSE),"")</f>
        <v/>
      </c>
      <c r="AA931" t="str">
        <f>IF(X931&lt;&gt;"",VLOOKUP(C931,'General price list'!C934:AN2112,MATCH("HM",Tabulka1[[#Headers],[KÓD]:[NEQ]],0),FALSE),"")</f>
        <v/>
      </c>
    </row>
    <row r="932" spans="1:27">
      <c r="A932">
        <f>COUNTIF($W$22:W932,1)</f>
        <v>0</v>
      </c>
      <c r="B932">
        <v>932</v>
      </c>
      <c r="C932" s="684" t="s">
        <v>2619</v>
      </c>
      <c r="W932" t="str">
        <f t="shared" si="28"/>
        <v/>
      </c>
      <c r="X932" s="185" t="str">
        <f t="shared" si="29"/>
        <v/>
      </c>
      <c r="Y932" s="685">
        <f>'General price list'!$AB935</f>
        <v>0</v>
      </c>
      <c r="Z932" t="str">
        <f>IFERROR(X932*VLOOKUP(C932,'General price list'!C:I,7,FALSE),"")</f>
        <v/>
      </c>
      <c r="AA932" t="str">
        <f>IF(X932&lt;&gt;"",VLOOKUP(C932,'General price list'!C935:AN2113,MATCH("HM",Tabulka1[[#Headers],[KÓD]:[NEQ]],0),FALSE),"")</f>
        <v/>
      </c>
    </row>
    <row r="933" spans="1:27">
      <c r="A933">
        <f>COUNTIF($W$22:W933,1)</f>
        <v>0</v>
      </c>
      <c r="B933">
        <v>933</v>
      </c>
      <c r="C933" s="684" t="s">
        <v>1724</v>
      </c>
      <c r="W933" t="str">
        <f t="shared" si="28"/>
        <v/>
      </c>
      <c r="X933" s="185" t="str">
        <f t="shared" si="29"/>
        <v/>
      </c>
      <c r="Y933" s="685">
        <f>'General price list'!$AB936</f>
        <v>0</v>
      </c>
      <c r="Z933" t="str">
        <f>IFERROR(X933*VLOOKUP(C933,'General price list'!C:I,7,FALSE),"")</f>
        <v/>
      </c>
      <c r="AA933" t="str">
        <f>IF(X933&lt;&gt;"",VLOOKUP(C933,'General price list'!C936:AN2114,MATCH("HM",Tabulka1[[#Headers],[KÓD]:[NEQ]],0),FALSE),"")</f>
        <v/>
      </c>
    </row>
    <row r="934" spans="1:27">
      <c r="A934">
        <f>COUNTIF($W$22:W934,1)</f>
        <v>0</v>
      </c>
      <c r="B934">
        <v>934</v>
      </c>
      <c r="W934" t="str">
        <f t="shared" si="28"/>
        <v/>
      </c>
      <c r="X934" s="185" t="str">
        <f t="shared" si="29"/>
        <v/>
      </c>
      <c r="Y934" s="685">
        <f>'General price list'!$AB937</f>
        <v>0</v>
      </c>
      <c r="Z934" t="str">
        <f>IFERROR(X934*VLOOKUP(C934,'General price list'!C:I,7,FALSE),"")</f>
        <v/>
      </c>
      <c r="AA934" t="str">
        <f>IF(X934&lt;&gt;"",VLOOKUP(C934,'General price list'!C937:AN2115,MATCH("HM",Tabulka1[[#Headers],[KÓD]:[NEQ]],0),FALSE),"")</f>
        <v/>
      </c>
    </row>
    <row r="935" spans="1:27">
      <c r="A935">
        <f>COUNTIF($W$22:W935,1)</f>
        <v>0</v>
      </c>
      <c r="B935">
        <v>935</v>
      </c>
      <c r="C935" s="684" t="s">
        <v>2781</v>
      </c>
      <c r="W935" t="str">
        <f t="shared" si="28"/>
        <v/>
      </c>
      <c r="X935" s="185" t="str">
        <f t="shared" si="29"/>
        <v/>
      </c>
      <c r="Y935" s="685">
        <f>'General price list'!$AB938</f>
        <v>0</v>
      </c>
      <c r="Z935" t="str">
        <f>IFERROR(X935*VLOOKUP(C935,'General price list'!C:I,7,FALSE),"")</f>
        <v/>
      </c>
      <c r="AA935" t="str">
        <f>IF(X935&lt;&gt;"",VLOOKUP(C935,'General price list'!C938:AN2116,MATCH("HM",Tabulka1[[#Headers],[KÓD]:[NEQ]],0),FALSE),"")</f>
        <v/>
      </c>
    </row>
    <row r="936" spans="1:27">
      <c r="A936">
        <f>COUNTIF($W$22:W936,1)</f>
        <v>0</v>
      </c>
      <c r="B936">
        <v>936</v>
      </c>
      <c r="C936" s="684" t="s">
        <v>2782</v>
      </c>
      <c r="W936" t="str">
        <f t="shared" si="28"/>
        <v/>
      </c>
      <c r="X936" s="185" t="str">
        <f t="shared" si="29"/>
        <v/>
      </c>
      <c r="Y936" s="685">
        <f>'General price list'!$AB939</f>
        <v>0</v>
      </c>
      <c r="Z936" t="str">
        <f>IFERROR(X936*VLOOKUP(C936,'General price list'!C:I,7,FALSE),"")</f>
        <v/>
      </c>
      <c r="AA936" t="str">
        <f>IF(X936&lt;&gt;"",VLOOKUP(C936,'General price list'!C939:AN2117,MATCH("HM",Tabulka1[[#Headers],[KÓD]:[NEQ]],0),FALSE),"")</f>
        <v/>
      </c>
    </row>
    <row r="937" spans="1:27">
      <c r="A937">
        <f>COUNTIF($W$22:W937,1)</f>
        <v>0</v>
      </c>
      <c r="B937">
        <v>937</v>
      </c>
      <c r="C937" s="684" t="s">
        <v>2783</v>
      </c>
      <c r="W937" t="str">
        <f t="shared" si="28"/>
        <v/>
      </c>
      <c r="X937" s="185" t="str">
        <f t="shared" si="29"/>
        <v/>
      </c>
      <c r="Y937" s="685">
        <f>'General price list'!$AB940</f>
        <v>0</v>
      </c>
      <c r="Z937" t="str">
        <f>IFERROR(X937*VLOOKUP(C937,'General price list'!C:I,7,FALSE),"")</f>
        <v/>
      </c>
      <c r="AA937" t="str">
        <f>IF(X937&lt;&gt;"",VLOOKUP(C937,'General price list'!C940:AN2118,MATCH("HM",Tabulka1[[#Headers],[KÓD]:[NEQ]],0),FALSE),"")</f>
        <v/>
      </c>
    </row>
    <row r="938" spans="1:27">
      <c r="A938">
        <f>COUNTIF($W$22:W938,1)</f>
        <v>0</v>
      </c>
      <c r="B938">
        <v>938</v>
      </c>
      <c r="C938" s="684" t="s">
        <v>5537</v>
      </c>
      <c r="W938" t="str">
        <f t="shared" si="28"/>
        <v/>
      </c>
      <c r="X938" s="185" t="str">
        <f t="shared" si="29"/>
        <v/>
      </c>
      <c r="Y938" s="685">
        <f>'General price list'!$AB941</f>
        <v>0</v>
      </c>
      <c r="Z938" t="str">
        <f>IFERROR(X938*VLOOKUP(C938,'General price list'!C:I,7,FALSE),"")</f>
        <v/>
      </c>
      <c r="AA938" t="str">
        <f>IF(X938&lt;&gt;"",VLOOKUP(C938,'General price list'!C941:AN2119,MATCH("HM",Tabulka1[[#Headers],[KÓD]:[NEQ]],0),FALSE),"")</f>
        <v/>
      </c>
    </row>
    <row r="939" spans="1:27">
      <c r="A939">
        <f>COUNTIF($W$22:W939,1)</f>
        <v>0</v>
      </c>
      <c r="B939">
        <v>939</v>
      </c>
      <c r="C939" s="684" t="s">
        <v>5539</v>
      </c>
      <c r="W939" t="str">
        <f t="shared" si="28"/>
        <v/>
      </c>
      <c r="X939" s="185" t="str">
        <f t="shared" si="29"/>
        <v/>
      </c>
      <c r="Y939" s="685">
        <f>'General price list'!$AB942</f>
        <v>0</v>
      </c>
      <c r="Z939" t="str">
        <f>IFERROR(X939*VLOOKUP(C939,'General price list'!C:I,7,FALSE),"")</f>
        <v/>
      </c>
      <c r="AA939" t="str">
        <f>IF(X939&lt;&gt;"",VLOOKUP(C939,'General price list'!C942:AN2120,MATCH("HM",Tabulka1[[#Headers],[KÓD]:[NEQ]],0),FALSE),"")</f>
        <v/>
      </c>
    </row>
    <row r="940" spans="1:27">
      <c r="A940">
        <f>COUNTIF($W$22:W940,1)</f>
        <v>0</v>
      </c>
      <c r="B940">
        <v>940</v>
      </c>
      <c r="C940" s="684" t="s">
        <v>2655</v>
      </c>
      <c r="W940" t="str">
        <f t="shared" si="28"/>
        <v/>
      </c>
      <c r="X940" s="185" t="str">
        <f t="shared" si="29"/>
        <v/>
      </c>
      <c r="Y940" s="685">
        <f>'General price list'!$AB943</f>
        <v>0</v>
      </c>
      <c r="Z940" t="str">
        <f>IFERROR(X940*VLOOKUP(C940,'General price list'!C:I,7,FALSE),"")</f>
        <v/>
      </c>
      <c r="AA940" t="str">
        <f>IF(X940&lt;&gt;"",VLOOKUP(C940,'General price list'!C943:AN2121,MATCH("HM",Tabulka1[[#Headers],[KÓD]:[NEQ]],0),FALSE),"")</f>
        <v/>
      </c>
    </row>
    <row r="941" spans="1:27">
      <c r="A941">
        <f>COUNTIF($W$22:W941,1)</f>
        <v>0</v>
      </c>
      <c r="B941">
        <v>941</v>
      </c>
      <c r="C941" s="684" t="s">
        <v>2784</v>
      </c>
      <c r="W941" t="str">
        <f t="shared" si="28"/>
        <v/>
      </c>
      <c r="X941" s="185" t="str">
        <f t="shared" si="29"/>
        <v/>
      </c>
      <c r="Y941" s="685">
        <f>'General price list'!$AB944</f>
        <v>0</v>
      </c>
      <c r="Z941" t="str">
        <f>IFERROR(X941*VLOOKUP(C941,'General price list'!C:I,7,FALSE),"")</f>
        <v/>
      </c>
      <c r="AA941" t="str">
        <f>IF(X941&lt;&gt;"",VLOOKUP(C941,'General price list'!C944:AN2122,MATCH("HM",Tabulka1[[#Headers],[KÓD]:[NEQ]],0),FALSE),"")</f>
        <v/>
      </c>
    </row>
    <row r="942" spans="1:27">
      <c r="A942">
        <f>COUNTIF($W$22:W942,1)</f>
        <v>0</v>
      </c>
      <c r="B942">
        <v>942</v>
      </c>
      <c r="C942" s="684" t="s">
        <v>2785</v>
      </c>
      <c r="W942" t="str">
        <f t="shared" si="28"/>
        <v/>
      </c>
      <c r="X942" s="185" t="str">
        <f t="shared" si="29"/>
        <v/>
      </c>
      <c r="Y942" s="685">
        <f>'General price list'!$AB945</f>
        <v>0</v>
      </c>
      <c r="Z942" t="str">
        <f>IFERROR(X942*VLOOKUP(C942,'General price list'!C:I,7,FALSE),"")</f>
        <v/>
      </c>
      <c r="AA942" t="str">
        <f>IF(X942&lt;&gt;"",VLOOKUP(C942,'General price list'!C945:AN2123,MATCH("HM",Tabulka1[[#Headers],[KÓD]:[NEQ]],0),FALSE),"")</f>
        <v/>
      </c>
    </row>
    <row r="943" spans="1:27">
      <c r="A943">
        <f>COUNTIF($W$22:W943,1)</f>
        <v>0</v>
      </c>
      <c r="B943">
        <v>943</v>
      </c>
      <c r="W943" t="str">
        <f t="shared" si="28"/>
        <v/>
      </c>
      <c r="X943" s="185" t="str">
        <f t="shared" si="29"/>
        <v/>
      </c>
      <c r="Y943" s="685">
        <f>'General price list'!$AB946</f>
        <v>0</v>
      </c>
      <c r="Z943" t="str">
        <f>IFERROR(X943*VLOOKUP(C943,'General price list'!C:I,7,FALSE),"")</f>
        <v/>
      </c>
      <c r="AA943" t="str">
        <f>IF(X943&lt;&gt;"",VLOOKUP(C943,'General price list'!C946:AN2124,MATCH("HM",Tabulka1[[#Headers],[KÓD]:[NEQ]],0),FALSE),"")</f>
        <v/>
      </c>
    </row>
    <row r="944" spans="1:27">
      <c r="A944">
        <f>COUNTIF($W$22:W944,1)</f>
        <v>0</v>
      </c>
      <c r="B944">
        <v>944</v>
      </c>
      <c r="C944" s="684" t="s">
        <v>1732</v>
      </c>
      <c r="W944" t="str">
        <f t="shared" si="28"/>
        <v/>
      </c>
      <c r="X944" s="185" t="str">
        <f t="shared" si="29"/>
        <v/>
      </c>
      <c r="Y944" s="685">
        <f>'General price list'!$AB947</f>
        <v>0</v>
      </c>
      <c r="Z944" t="str">
        <f>IFERROR(X944*VLOOKUP(C944,'General price list'!C:I,7,FALSE),"")</f>
        <v/>
      </c>
      <c r="AA944" t="str">
        <f>IF(X944&lt;&gt;"",VLOOKUP(C944,'General price list'!C947:AN2125,MATCH("HM",Tabulka1[[#Headers],[KÓD]:[NEQ]],0),FALSE),"")</f>
        <v/>
      </c>
    </row>
    <row r="945" spans="1:27">
      <c r="A945">
        <f>COUNTIF($W$22:W945,1)</f>
        <v>0</v>
      </c>
      <c r="B945">
        <v>945</v>
      </c>
      <c r="C945" s="684" t="s">
        <v>1737</v>
      </c>
      <c r="W945" t="str">
        <f t="shared" si="28"/>
        <v/>
      </c>
      <c r="X945" s="185" t="str">
        <f t="shared" si="29"/>
        <v/>
      </c>
      <c r="Y945" s="685">
        <f>'General price list'!$AB948</f>
        <v>0</v>
      </c>
      <c r="Z945" t="str">
        <f>IFERROR(X945*VLOOKUP(C945,'General price list'!C:I,7,FALSE),"")</f>
        <v/>
      </c>
      <c r="AA945" t="str">
        <f>IF(X945&lt;&gt;"",VLOOKUP(C945,'General price list'!C948:AN2126,MATCH("HM",Tabulka1[[#Headers],[KÓD]:[NEQ]],0),FALSE),"")</f>
        <v/>
      </c>
    </row>
    <row r="946" spans="1:27">
      <c r="A946">
        <f>COUNTIF($W$22:W946,1)</f>
        <v>0</v>
      </c>
      <c r="B946">
        <v>946</v>
      </c>
      <c r="W946" t="str">
        <f t="shared" si="28"/>
        <v/>
      </c>
      <c r="X946" s="185" t="str">
        <f t="shared" si="29"/>
        <v/>
      </c>
      <c r="Y946" s="685">
        <f>'General price list'!$AB949</f>
        <v>0</v>
      </c>
      <c r="Z946" t="str">
        <f>IFERROR(X946*VLOOKUP(C946,'General price list'!C:I,7,FALSE),"")</f>
        <v/>
      </c>
      <c r="AA946" t="str">
        <f>IF(X946&lt;&gt;"",VLOOKUP(C946,'General price list'!C949:AN2127,MATCH("HM",Tabulka1[[#Headers],[KÓD]:[NEQ]],0),FALSE),"")</f>
        <v/>
      </c>
    </row>
    <row r="947" spans="1:27">
      <c r="A947">
        <f>COUNTIF($W$22:W947,1)</f>
        <v>0</v>
      </c>
      <c r="B947">
        <v>947</v>
      </c>
      <c r="C947" s="684" t="s">
        <v>1746</v>
      </c>
      <c r="W947" t="str">
        <f t="shared" si="28"/>
        <v/>
      </c>
      <c r="X947" s="185" t="str">
        <f t="shared" si="29"/>
        <v/>
      </c>
      <c r="Y947" s="685">
        <f>'General price list'!$AB950</f>
        <v>0</v>
      </c>
      <c r="Z947" t="str">
        <f>IFERROR(X947*VLOOKUP(C947,'General price list'!C:I,7,FALSE),"")</f>
        <v/>
      </c>
      <c r="AA947" t="str">
        <f>IF(X947&lt;&gt;"",VLOOKUP(C947,'General price list'!C950:AN2128,MATCH("HM",Tabulka1[[#Headers],[KÓD]:[NEQ]],0),FALSE),"")</f>
        <v/>
      </c>
    </row>
    <row r="948" spans="1:27">
      <c r="A948">
        <f>COUNTIF($W$22:W948,1)</f>
        <v>0</v>
      </c>
      <c r="B948">
        <v>948</v>
      </c>
      <c r="C948" s="684" t="s">
        <v>1754</v>
      </c>
      <c r="W948" t="str">
        <f t="shared" si="28"/>
        <v/>
      </c>
      <c r="X948" s="185" t="str">
        <f t="shared" si="29"/>
        <v/>
      </c>
      <c r="Y948" s="685">
        <f>'General price list'!$AB951</f>
        <v>0</v>
      </c>
      <c r="Z948" t="str">
        <f>IFERROR(X948*VLOOKUP(C948,'General price list'!C:I,7,FALSE),"")</f>
        <v/>
      </c>
      <c r="AA948" t="str">
        <f>IF(X948&lt;&gt;"",VLOOKUP(C948,'General price list'!C951:AN2129,MATCH("HM",Tabulka1[[#Headers],[KÓD]:[NEQ]],0),FALSE),"")</f>
        <v/>
      </c>
    </row>
    <row r="949" spans="1:27">
      <c r="A949">
        <f>COUNTIF($W$22:W949,1)</f>
        <v>0</v>
      </c>
      <c r="B949">
        <v>949</v>
      </c>
      <c r="C949" s="684" t="s">
        <v>1757</v>
      </c>
      <c r="W949" t="str">
        <f t="shared" si="28"/>
        <v/>
      </c>
      <c r="X949" s="185" t="str">
        <f t="shared" si="29"/>
        <v/>
      </c>
      <c r="Y949" s="685">
        <f>'General price list'!$AB952</f>
        <v>0</v>
      </c>
      <c r="Z949" t="str">
        <f>IFERROR(X949*VLOOKUP(C949,'General price list'!C:I,7,FALSE),"")</f>
        <v/>
      </c>
      <c r="AA949" t="str">
        <f>IF(X949&lt;&gt;"",VLOOKUP(C949,'General price list'!C952:AN2130,MATCH("HM",Tabulka1[[#Headers],[KÓD]:[NEQ]],0),FALSE),"")</f>
        <v/>
      </c>
    </row>
    <row r="950" spans="1:27">
      <c r="A950">
        <f>COUNTIF($W$22:W950,1)</f>
        <v>0</v>
      </c>
      <c r="B950">
        <v>950</v>
      </c>
      <c r="W950" t="str">
        <f t="shared" si="28"/>
        <v/>
      </c>
      <c r="X950" s="185" t="str">
        <f t="shared" si="29"/>
        <v/>
      </c>
      <c r="Y950" s="685">
        <f>'General price list'!$AB953</f>
        <v>0</v>
      </c>
      <c r="Z950" t="str">
        <f>IFERROR(X950*VLOOKUP(C950,'General price list'!C:I,7,FALSE),"")</f>
        <v/>
      </c>
      <c r="AA950" t="str">
        <f>IF(X950&lt;&gt;"",VLOOKUP(C950,'General price list'!C953:AN2131,MATCH("HM",Tabulka1[[#Headers],[KÓD]:[NEQ]],0),FALSE),"")</f>
        <v/>
      </c>
    </row>
    <row r="951" spans="1:27">
      <c r="A951">
        <f>COUNTIF($W$22:W951,1)</f>
        <v>0</v>
      </c>
      <c r="B951">
        <v>951</v>
      </c>
      <c r="C951" s="684" t="s">
        <v>1761</v>
      </c>
      <c r="W951" t="str">
        <f t="shared" si="28"/>
        <v/>
      </c>
      <c r="X951" s="185" t="str">
        <f t="shared" si="29"/>
        <v/>
      </c>
      <c r="Y951" s="685">
        <f>'General price list'!$AB954</f>
        <v>0</v>
      </c>
      <c r="Z951" t="str">
        <f>IFERROR(X951*VLOOKUP(C951,'General price list'!C:I,7,FALSE),"")</f>
        <v/>
      </c>
      <c r="AA951" t="str">
        <f>IF(X951&lt;&gt;"",VLOOKUP(C951,'General price list'!C954:AN2132,MATCH("HM",Tabulka1[[#Headers],[KÓD]:[NEQ]],0),FALSE),"")</f>
        <v/>
      </c>
    </row>
    <row r="952" spans="1:27">
      <c r="A952">
        <f>COUNTIF($W$22:W952,1)</f>
        <v>0</v>
      </c>
      <c r="B952">
        <v>952</v>
      </c>
      <c r="C952" s="684" t="s">
        <v>2622</v>
      </c>
      <c r="W952" t="str">
        <f t="shared" si="28"/>
        <v/>
      </c>
      <c r="X952" s="185" t="str">
        <f t="shared" si="29"/>
        <v/>
      </c>
      <c r="Y952" s="685">
        <f>'General price list'!$AB955</f>
        <v>0</v>
      </c>
      <c r="Z952" t="str">
        <f>IFERROR(X952*VLOOKUP(C952,'General price list'!C:I,7,FALSE),"")</f>
        <v/>
      </c>
      <c r="AA952" t="str">
        <f>IF(X952&lt;&gt;"",VLOOKUP(C952,'General price list'!C955:AN2133,MATCH("HM",Tabulka1[[#Headers],[KÓD]:[NEQ]],0),FALSE),"")</f>
        <v/>
      </c>
    </row>
    <row r="953" spans="1:27">
      <c r="A953">
        <f>COUNTIF($W$22:W953,1)</f>
        <v>0</v>
      </c>
      <c r="B953">
        <v>953</v>
      </c>
      <c r="C953" s="684" t="s">
        <v>1762</v>
      </c>
      <c r="W953" t="str">
        <f t="shared" si="28"/>
        <v/>
      </c>
      <c r="X953" s="185" t="str">
        <f t="shared" si="29"/>
        <v/>
      </c>
      <c r="Y953" s="685">
        <f>'General price list'!$AB956</f>
        <v>0</v>
      </c>
      <c r="Z953" t="str">
        <f>IFERROR(X953*VLOOKUP(C953,'General price list'!C:I,7,FALSE),"")</f>
        <v/>
      </c>
      <c r="AA953" t="str">
        <f>IF(X953&lt;&gt;"",VLOOKUP(C953,'General price list'!C956:AN2134,MATCH("HM",Tabulka1[[#Headers],[KÓD]:[NEQ]],0),FALSE),"")</f>
        <v/>
      </c>
    </row>
    <row r="954" spans="1:27">
      <c r="A954">
        <f>COUNTIF($W$22:W954,1)</f>
        <v>0</v>
      </c>
      <c r="B954">
        <v>954</v>
      </c>
      <c r="W954" t="str">
        <f t="shared" si="28"/>
        <v/>
      </c>
      <c r="X954" s="185" t="str">
        <f t="shared" si="29"/>
        <v/>
      </c>
      <c r="Y954" s="685">
        <f>'General price list'!$AB957</f>
        <v>0</v>
      </c>
      <c r="Z954" t="str">
        <f>IFERROR(X954*VLOOKUP(C954,'General price list'!C:I,7,FALSE),"")</f>
        <v/>
      </c>
      <c r="AA954" t="str">
        <f>IF(X954&lt;&gt;"",VLOOKUP(C954,'General price list'!C957:AN2135,MATCH("HM",Tabulka1[[#Headers],[KÓD]:[NEQ]],0),FALSE),"")</f>
        <v/>
      </c>
    </row>
    <row r="955" spans="1:27">
      <c r="A955">
        <f>COUNTIF($W$22:W955,1)</f>
        <v>0</v>
      </c>
      <c r="B955">
        <v>955</v>
      </c>
      <c r="C955" s="684" t="s">
        <v>1763</v>
      </c>
      <c r="W955" t="str">
        <f t="shared" si="28"/>
        <v/>
      </c>
      <c r="X955" s="185" t="str">
        <f t="shared" si="29"/>
        <v/>
      </c>
      <c r="Y955" s="685">
        <f>'General price list'!$AB958</f>
        <v>0</v>
      </c>
      <c r="Z955" t="str">
        <f>IFERROR(X955*VLOOKUP(C955,'General price list'!C:I,7,FALSE),"")</f>
        <v/>
      </c>
      <c r="AA955" t="str">
        <f>IF(X955&lt;&gt;"",VLOOKUP(C955,'General price list'!C958:AN2136,MATCH("HM",Tabulka1[[#Headers],[KÓD]:[NEQ]],0),FALSE),"")</f>
        <v/>
      </c>
    </row>
    <row r="956" spans="1:27">
      <c r="A956">
        <f>COUNTIF($W$22:W956,1)</f>
        <v>0</v>
      </c>
      <c r="B956">
        <v>956</v>
      </c>
      <c r="C956" s="684" t="s">
        <v>2626</v>
      </c>
      <c r="W956" t="str">
        <f t="shared" si="28"/>
        <v/>
      </c>
      <c r="X956" s="185" t="str">
        <f t="shared" si="29"/>
        <v/>
      </c>
      <c r="Y956" s="685">
        <f>'General price list'!$AB959</f>
        <v>0</v>
      </c>
      <c r="Z956" t="str">
        <f>IFERROR(X956*VLOOKUP(C956,'General price list'!C:I,7,FALSE),"")</f>
        <v/>
      </c>
      <c r="AA956" t="str">
        <f>IF(X956&lt;&gt;"",VLOOKUP(C956,'General price list'!C959:AN2137,MATCH("HM",Tabulka1[[#Headers],[KÓD]:[NEQ]],0),FALSE),"")</f>
        <v/>
      </c>
    </row>
    <row r="957" spans="1:27">
      <c r="A957">
        <f>COUNTIF($W$22:W957,1)</f>
        <v>0</v>
      </c>
      <c r="B957">
        <v>957</v>
      </c>
      <c r="W957" t="str">
        <f t="shared" si="28"/>
        <v/>
      </c>
      <c r="X957" s="185" t="str">
        <f t="shared" si="29"/>
        <v/>
      </c>
      <c r="Y957" s="685">
        <f>'General price list'!$AB960</f>
        <v>0</v>
      </c>
      <c r="Z957" t="str">
        <f>IFERROR(X957*VLOOKUP(C957,'General price list'!C:I,7,FALSE),"")</f>
        <v/>
      </c>
      <c r="AA957" t="str">
        <f>IF(X957&lt;&gt;"",VLOOKUP(C957,'General price list'!C960:AN2138,MATCH("HM",Tabulka1[[#Headers],[KÓD]:[NEQ]],0),FALSE),"")</f>
        <v/>
      </c>
    </row>
    <row r="958" spans="1:27">
      <c r="A958">
        <f>COUNTIF($W$22:W958,1)</f>
        <v>0</v>
      </c>
      <c r="B958">
        <v>958</v>
      </c>
      <c r="C958" s="684" t="s">
        <v>1769</v>
      </c>
      <c r="W958" t="str">
        <f t="shared" si="28"/>
        <v/>
      </c>
      <c r="X958" s="185" t="str">
        <f t="shared" si="29"/>
        <v/>
      </c>
      <c r="Y958" s="685">
        <f>'General price list'!$AB961</f>
        <v>0</v>
      </c>
      <c r="Z958" t="str">
        <f>IFERROR(X958*VLOOKUP(C958,'General price list'!C:I,7,FALSE),"")</f>
        <v/>
      </c>
      <c r="AA958" t="str">
        <f>IF(X958&lt;&gt;"",VLOOKUP(C958,'General price list'!C961:AN2139,MATCH("HM",Tabulka1[[#Headers],[KÓD]:[NEQ]],0),FALSE),"")</f>
        <v/>
      </c>
    </row>
    <row r="959" spans="1:27">
      <c r="A959">
        <f>COUNTIF($W$22:W959,1)</f>
        <v>0</v>
      </c>
      <c r="B959">
        <v>959</v>
      </c>
      <c r="C959" s="684" t="s">
        <v>1773</v>
      </c>
      <c r="W959" t="str">
        <f t="shared" si="28"/>
        <v/>
      </c>
      <c r="X959" s="185" t="str">
        <f t="shared" si="29"/>
        <v/>
      </c>
      <c r="Y959" s="685">
        <f>'General price list'!$AB962</f>
        <v>0</v>
      </c>
      <c r="Z959" t="str">
        <f>IFERROR(X959*VLOOKUP(C959,'General price list'!C:I,7,FALSE),"")</f>
        <v/>
      </c>
      <c r="AA959" t="str">
        <f>IF(X959&lt;&gt;"",VLOOKUP(C959,'General price list'!C962:AN2140,MATCH("HM",Tabulka1[[#Headers],[KÓD]:[NEQ]],0),FALSE),"")</f>
        <v/>
      </c>
    </row>
    <row r="960" spans="1:27">
      <c r="A960">
        <f>COUNTIF($W$22:W960,1)</f>
        <v>0</v>
      </c>
      <c r="B960">
        <v>960</v>
      </c>
      <c r="C960" s="684" t="s">
        <v>1775</v>
      </c>
      <c r="W960" t="str">
        <f t="shared" si="28"/>
        <v/>
      </c>
      <c r="X960" s="185" t="str">
        <f t="shared" si="29"/>
        <v/>
      </c>
      <c r="Y960" s="685">
        <f>'General price list'!$AB963</f>
        <v>0</v>
      </c>
      <c r="Z960" t="str">
        <f>IFERROR(X960*VLOOKUP(C960,'General price list'!C:I,7,FALSE),"")</f>
        <v/>
      </c>
      <c r="AA960" t="str">
        <f>IF(X960&lt;&gt;"",VLOOKUP(C960,'General price list'!C963:AN2141,MATCH("HM",Tabulka1[[#Headers],[KÓD]:[NEQ]],0),FALSE),"")</f>
        <v/>
      </c>
    </row>
    <row r="961" spans="1:27">
      <c r="A961">
        <f>COUNTIF($W$22:W961,1)</f>
        <v>0</v>
      </c>
      <c r="B961">
        <v>961</v>
      </c>
      <c r="C961" s="684" t="s">
        <v>1778</v>
      </c>
      <c r="W961" t="str">
        <f t="shared" si="28"/>
        <v/>
      </c>
      <c r="X961" s="185" t="str">
        <f t="shared" si="29"/>
        <v/>
      </c>
      <c r="Y961" s="685">
        <f>'General price list'!$AB964</f>
        <v>0</v>
      </c>
      <c r="Z961" t="str">
        <f>IFERROR(X961*VLOOKUP(C961,'General price list'!C:I,7,FALSE),"")</f>
        <v/>
      </c>
      <c r="AA961" t="str">
        <f>IF(X961&lt;&gt;"",VLOOKUP(C961,'General price list'!C964:AN2142,MATCH("HM",Tabulka1[[#Headers],[KÓD]:[NEQ]],0),FALSE),"")</f>
        <v/>
      </c>
    </row>
    <row r="962" spans="1:27">
      <c r="A962">
        <f>COUNTIF($W$22:W962,1)</f>
        <v>0</v>
      </c>
      <c r="B962">
        <v>962</v>
      </c>
      <c r="C962" s="684" t="s">
        <v>1780</v>
      </c>
      <c r="W962" t="str">
        <f t="shared" si="28"/>
        <v/>
      </c>
      <c r="X962" s="185" t="str">
        <f t="shared" si="29"/>
        <v/>
      </c>
      <c r="Y962" s="685">
        <f>'General price list'!$AB965</f>
        <v>0</v>
      </c>
      <c r="Z962" t="str">
        <f>IFERROR(X962*VLOOKUP(C962,'General price list'!C:I,7,FALSE),"")</f>
        <v/>
      </c>
      <c r="AA962" t="str">
        <f>IF(X962&lt;&gt;"",VLOOKUP(C962,'General price list'!C965:AN2143,MATCH("HM",Tabulka1[[#Headers],[KÓD]:[NEQ]],0),FALSE),"")</f>
        <v/>
      </c>
    </row>
    <row r="963" spans="1:27">
      <c r="A963">
        <f>COUNTIF($W$22:W963,1)</f>
        <v>0</v>
      </c>
      <c r="B963">
        <v>963</v>
      </c>
      <c r="C963" s="684" t="s">
        <v>1782</v>
      </c>
      <c r="W963" t="str">
        <f t="shared" si="28"/>
        <v/>
      </c>
      <c r="X963" s="185" t="str">
        <f t="shared" si="29"/>
        <v/>
      </c>
      <c r="Y963" s="685">
        <f>'General price list'!$AB966</f>
        <v>0</v>
      </c>
      <c r="Z963" t="str">
        <f>IFERROR(X963*VLOOKUP(C963,'General price list'!C:I,7,FALSE),"")</f>
        <v/>
      </c>
      <c r="AA963" t="str">
        <f>IF(X963&lt;&gt;"",VLOOKUP(C963,'General price list'!C966:AN2144,MATCH("HM",Tabulka1[[#Headers],[KÓD]:[NEQ]],0),FALSE),"")</f>
        <v/>
      </c>
    </row>
    <row r="964" spans="1:27">
      <c r="A964">
        <f>COUNTIF($W$22:W964,1)</f>
        <v>0</v>
      </c>
      <c r="B964">
        <v>964</v>
      </c>
      <c r="C964" s="684" t="s">
        <v>1784</v>
      </c>
      <c r="W964" t="str">
        <f t="shared" si="28"/>
        <v/>
      </c>
      <c r="X964" s="185" t="str">
        <f t="shared" si="29"/>
        <v/>
      </c>
      <c r="Y964" s="685">
        <f>'General price list'!$AB967</f>
        <v>0</v>
      </c>
      <c r="Z964" t="str">
        <f>IFERROR(X964*VLOOKUP(C964,'General price list'!C:I,7,FALSE),"")</f>
        <v/>
      </c>
      <c r="AA964" t="str">
        <f>IF(X964&lt;&gt;"",VLOOKUP(C964,'General price list'!C967:AN2145,MATCH("HM",Tabulka1[[#Headers],[KÓD]:[NEQ]],0),FALSE),"")</f>
        <v/>
      </c>
    </row>
    <row r="965" spans="1:27">
      <c r="A965">
        <f>COUNTIF($W$22:W965,1)</f>
        <v>0</v>
      </c>
      <c r="B965">
        <v>965</v>
      </c>
      <c r="C965" s="684" t="s">
        <v>1788</v>
      </c>
      <c r="W965" t="str">
        <f t="shared" si="28"/>
        <v/>
      </c>
      <c r="X965" s="185" t="str">
        <f t="shared" si="29"/>
        <v/>
      </c>
      <c r="Y965" s="685">
        <f>'General price list'!$AB968</f>
        <v>0</v>
      </c>
      <c r="Z965" t="str">
        <f>IFERROR(X965*VLOOKUP(C965,'General price list'!C:I,7,FALSE),"")</f>
        <v/>
      </c>
      <c r="AA965" t="str">
        <f>IF(X965&lt;&gt;"",VLOOKUP(C965,'General price list'!C968:AN2146,MATCH("HM",Tabulka1[[#Headers],[KÓD]:[NEQ]],0),FALSE),"")</f>
        <v/>
      </c>
    </row>
    <row r="966" spans="1:27">
      <c r="A966">
        <f>COUNTIF($W$22:W966,1)</f>
        <v>0</v>
      </c>
      <c r="B966">
        <v>966</v>
      </c>
      <c r="W966" t="str">
        <f t="shared" si="28"/>
        <v/>
      </c>
      <c r="X966" s="185" t="str">
        <f t="shared" si="29"/>
        <v/>
      </c>
      <c r="Y966" s="685">
        <f>'General price list'!$AB969</f>
        <v>0</v>
      </c>
      <c r="Z966" t="str">
        <f>IFERROR(X966*VLOOKUP(C966,'General price list'!C:I,7,FALSE),"")</f>
        <v/>
      </c>
      <c r="AA966" t="str">
        <f>IF(X966&lt;&gt;"",VLOOKUP(C966,'General price list'!C969:AN2147,MATCH("HM",Tabulka1[[#Headers],[KÓD]:[NEQ]],0),FALSE),"")</f>
        <v/>
      </c>
    </row>
    <row r="967" spans="1:27">
      <c r="A967">
        <f>COUNTIF($W$22:W967,1)</f>
        <v>0</v>
      </c>
      <c r="B967">
        <v>967</v>
      </c>
      <c r="C967" s="684" t="s">
        <v>1790</v>
      </c>
      <c r="W967" t="str">
        <f t="shared" si="28"/>
        <v/>
      </c>
      <c r="X967" s="185" t="str">
        <f t="shared" si="29"/>
        <v/>
      </c>
      <c r="Y967" s="685">
        <f>'General price list'!$AB970</f>
        <v>0</v>
      </c>
      <c r="Z967" t="str">
        <f>IFERROR(X967*VLOOKUP(C967,'General price list'!C:I,7,FALSE),"")</f>
        <v/>
      </c>
      <c r="AA967" t="str">
        <f>IF(X967&lt;&gt;"",VLOOKUP(C967,'General price list'!C970:AN2148,MATCH("HM",Tabulka1[[#Headers],[KÓD]:[NEQ]],0),FALSE),"")</f>
        <v/>
      </c>
    </row>
    <row r="968" spans="1:27">
      <c r="A968">
        <f>COUNTIF($W$22:W968,1)</f>
        <v>0</v>
      </c>
      <c r="B968">
        <v>968</v>
      </c>
      <c r="C968" s="684" t="s">
        <v>1793</v>
      </c>
      <c r="W968" t="str">
        <f t="shared" si="28"/>
        <v/>
      </c>
      <c r="X968" s="185" t="str">
        <f t="shared" si="29"/>
        <v/>
      </c>
      <c r="Y968" s="685">
        <f>'General price list'!$AB971</f>
        <v>0</v>
      </c>
      <c r="Z968" t="str">
        <f>IFERROR(X968*VLOOKUP(C968,'General price list'!C:I,7,FALSE),"")</f>
        <v/>
      </c>
      <c r="AA968" t="str">
        <f>IF(X968&lt;&gt;"",VLOOKUP(C968,'General price list'!C971:AN2149,MATCH("HM",Tabulka1[[#Headers],[KÓD]:[NEQ]],0),FALSE),"")</f>
        <v/>
      </c>
    </row>
    <row r="969" spans="1:27">
      <c r="A969">
        <f>COUNTIF($W$22:W969,1)</f>
        <v>0</v>
      </c>
      <c r="B969">
        <v>969</v>
      </c>
      <c r="W969" t="str">
        <f t="shared" si="28"/>
        <v/>
      </c>
      <c r="X969" s="185" t="str">
        <f t="shared" si="29"/>
        <v/>
      </c>
      <c r="Y969" s="685">
        <f>'General price list'!$AB972</f>
        <v>0</v>
      </c>
      <c r="Z969" t="str">
        <f>IFERROR(X969*VLOOKUP(C969,'General price list'!C:I,7,FALSE),"")</f>
        <v/>
      </c>
      <c r="AA969" t="str">
        <f>IF(X969&lt;&gt;"",VLOOKUP(C969,'General price list'!C972:AN2150,MATCH("HM",Tabulka1[[#Headers],[KÓD]:[NEQ]],0),FALSE),"")</f>
        <v/>
      </c>
    </row>
    <row r="970" spans="1:27">
      <c r="A970">
        <f>COUNTIF($W$22:W970,1)</f>
        <v>0</v>
      </c>
      <c r="B970">
        <v>970</v>
      </c>
      <c r="C970" s="684" t="s">
        <v>1808</v>
      </c>
      <c r="W970" t="str">
        <f t="shared" si="28"/>
        <v/>
      </c>
      <c r="X970" s="185" t="str">
        <f t="shared" si="29"/>
        <v/>
      </c>
      <c r="Y970" s="685">
        <f>'General price list'!$AB973</f>
        <v>0</v>
      </c>
      <c r="Z970" t="str">
        <f>IFERROR(X970*VLOOKUP(C970,'General price list'!C:I,7,FALSE),"")</f>
        <v/>
      </c>
      <c r="AA970" t="str">
        <f>IF(X970&lt;&gt;"",VLOOKUP(C970,'General price list'!C973:AN2151,MATCH("HM",Tabulka1[[#Headers],[KÓD]:[NEQ]],0),FALSE),"")</f>
        <v/>
      </c>
    </row>
    <row r="971" spans="1:27">
      <c r="A971">
        <f>COUNTIF($W$22:W971,1)</f>
        <v>0</v>
      </c>
      <c r="B971">
        <v>971</v>
      </c>
      <c r="W971" t="str">
        <f t="shared" si="28"/>
        <v/>
      </c>
      <c r="X971" s="185" t="str">
        <f t="shared" si="29"/>
        <v/>
      </c>
      <c r="Y971" s="685">
        <f>'General price list'!$AB974</f>
        <v>0</v>
      </c>
      <c r="Z971" t="str">
        <f>IFERROR(X971*VLOOKUP(C971,'General price list'!C:I,7,FALSE),"")</f>
        <v/>
      </c>
      <c r="AA971" t="str">
        <f>IF(X971&lt;&gt;"",VLOOKUP(C971,'General price list'!C974:AN2152,MATCH("HM",Tabulka1[[#Headers],[KÓD]:[NEQ]],0),FALSE),"")</f>
        <v/>
      </c>
    </row>
    <row r="972" spans="1:27">
      <c r="A972">
        <f>COUNTIF($W$22:W972,1)</f>
        <v>0</v>
      </c>
      <c r="B972">
        <v>972</v>
      </c>
      <c r="C972" s="684" t="s">
        <v>1813</v>
      </c>
      <c r="W972" t="str">
        <f t="shared" si="28"/>
        <v/>
      </c>
      <c r="X972" s="185" t="str">
        <f t="shared" si="29"/>
        <v/>
      </c>
      <c r="Y972" s="685">
        <f>'General price list'!$AB975</f>
        <v>0</v>
      </c>
      <c r="Z972" t="str">
        <f>IFERROR(X972*VLOOKUP(C972,'General price list'!C:I,7,FALSE),"")</f>
        <v/>
      </c>
      <c r="AA972" t="str">
        <f>IF(X972&lt;&gt;"",VLOOKUP(C972,'General price list'!C975:AN2153,MATCH("HM",Tabulka1[[#Headers],[KÓD]:[NEQ]],0),FALSE),"")</f>
        <v/>
      </c>
    </row>
    <row r="973" spans="1:27">
      <c r="A973">
        <f>COUNTIF($W$22:W973,1)</f>
        <v>0</v>
      </c>
      <c r="B973">
        <v>973</v>
      </c>
      <c r="C973" s="684" t="s">
        <v>1816</v>
      </c>
      <c r="W973" t="str">
        <f t="shared" si="28"/>
        <v/>
      </c>
      <c r="X973" s="185" t="str">
        <f t="shared" si="29"/>
        <v/>
      </c>
      <c r="Y973" s="685">
        <f>'General price list'!$AB976</f>
        <v>0</v>
      </c>
      <c r="Z973" t="str">
        <f>IFERROR(X973*VLOOKUP(C973,'General price list'!C:I,7,FALSE),"")</f>
        <v/>
      </c>
      <c r="AA973" t="str">
        <f>IF(X973&lt;&gt;"",VLOOKUP(C973,'General price list'!C976:AN2154,MATCH("HM",Tabulka1[[#Headers],[KÓD]:[NEQ]],0),FALSE),"")</f>
        <v/>
      </c>
    </row>
    <row r="974" spans="1:27">
      <c r="A974">
        <f>COUNTIF($W$22:W974,1)</f>
        <v>0</v>
      </c>
      <c r="B974">
        <v>974</v>
      </c>
      <c r="C974" s="684" t="s">
        <v>1818</v>
      </c>
      <c r="W974" t="str">
        <f t="shared" si="28"/>
        <v/>
      </c>
      <c r="X974" s="185" t="str">
        <f t="shared" si="29"/>
        <v/>
      </c>
      <c r="Y974" s="685">
        <f>'General price list'!$AB977</f>
        <v>0</v>
      </c>
      <c r="Z974" t="str">
        <f>IFERROR(X974*VLOOKUP(C974,'General price list'!C:I,7,FALSE),"")</f>
        <v/>
      </c>
      <c r="AA974" t="str">
        <f>IF(X974&lt;&gt;"",VLOOKUP(C974,'General price list'!C977:AN2155,MATCH("HM",Tabulka1[[#Headers],[KÓD]:[NEQ]],0),FALSE),"")</f>
        <v/>
      </c>
    </row>
    <row r="975" spans="1:27">
      <c r="A975">
        <f>COUNTIF($W$22:W975,1)</f>
        <v>0</v>
      </c>
      <c r="B975">
        <v>975</v>
      </c>
      <c r="C975" s="684" t="s">
        <v>1821</v>
      </c>
      <c r="W975" t="str">
        <f t="shared" si="28"/>
        <v/>
      </c>
      <c r="X975" s="185" t="str">
        <f t="shared" si="29"/>
        <v/>
      </c>
      <c r="Y975" s="685">
        <f>'General price list'!$AB978</f>
        <v>0</v>
      </c>
      <c r="Z975" t="str">
        <f>IFERROR(X975*VLOOKUP(C975,'General price list'!C:I,7,FALSE),"")</f>
        <v/>
      </c>
      <c r="AA975" t="str">
        <f>IF(X975&lt;&gt;"",VLOOKUP(C975,'General price list'!C978:AN2156,MATCH("HM",Tabulka1[[#Headers],[KÓD]:[NEQ]],0),FALSE),"")</f>
        <v/>
      </c>
    </row>
    <row r="976" spans="1:27">
      <c r="A976">
        <f>COUNTIF($W$22:W976,1)</f>
        <v>0</v>
      </c>
      <c r="B976">
        <v>976</v>
      </c>
      <c r="C976" s="684" t="s">
        <v>1823</v>
      </c>
      <c r="W976" t="str">
        <f t="shared" si="28"/>
        <v/>
      </c>
      <c r="X976" s="185" t="str">
        <f t="shared" si="29"/>
        <v/>
      </c>
      <c r="Y976" s="685">
        <f>'General price list'!$AB979</f>
        <v>0</v>
      </c>
      <c r="Z976" t="str">
        <f>IFERROR(X976*VLOOKUP(C976,'General price list'!C:I,7,FALSE),"")</f>
        <v/>
      </c>
      <c r="AA976" t="str">
        <f>IF(X976&lt;&gt;"",VLOOKUP(C976,'General price list'!C979:AN2157,MATCH("HM",Tabulka1[[#Headers],[KÓD]:[NEQ]],0),FALSE),"")</f>
        <v/>
      </c>
    </row>
    <row r="977" spans="1:27">
      <c r="A977">
        <f>COUNTIF($W$22:W977,1)</f>
        <v>0</v>
      </c>
      <c r="B977">
        <v>977</v>
      </c>
      <c r="C977" s="684" t="s">
        <v>1827</v>
      </c>
      <c r="W977" t="str">
        <f t="shared" si="28"/>
        <v/>
      </c>
      <c r="X977" s="185" t="str">
        <f t="shared" si="29"/>
        <v/>
      </c>
      <c r="Y977" s="685">
        <f>'General price list'!$AB980</f>
        <v>0</v>
      </c>
      <c r="Z977" t="str">
        <f>IFERROR(X977*VLOOKUP(C977,'General price list'!C:I,7,FALSE),"")</f>
        <v/>
      </c>
      <c r="AA977" t="str">
        <f>IF(X977&lt;&gt;"",VLOOKUP(C977,'General price list'!C980:AN2158,MATCH("HM",Tabulka1[[#Headers],[KÓD]:[NEQ]],0),FALSE),"")</f>
        <v/>
      </c>
    </row>
    <row r="978" spans="1:27">
      <c r="A978">
        <f>COUNTIF($W$22:W978,1)</f>
        <v>0</v>
      </c>
      <c r="B978">
        <v>978</v>
      </c>
      <c r="C978" s="684" t="s">
        <v>1831</v>
      </c>
      <c r="W978" t="str">
        <f t="shared" si="28"/>
        <v/>
      </c>
      <c r="X978" s="185" t="str">
        <f t="shared" si="29"/>
        <v/>
      </c>
      <c r="Y978" s="685">
        <f>'General price list'!$AB981</f>
        <v>0</v>
      </c>
      <c r="Z978" t="str">
        <f>IFERROR(X978*VLOOKUP(C978,'General price list'!C:I,7,FALSE),"")</f>
        <v/>
      </c>
      <c r="AA978" t="str">
        <f>IF(X978&lt;&gt;"",VLOOKUP(C978,'General price list'!C981:AN2159,MATCH("HM",Tabulka1[[#Headers],[KÓD]:[NEQ]],0),FALSE),"")</f>
        <v/>
      </c>
    </row>
    <row r="979" spans="1:27">
      <c r="A979">
        <f>COUNTIF($W$22:W979,1)</f>
        <v>0</v>
      </c>
      <c r="B979">
        <v>979</v>
      </c>
      <c r="C979" s="684" t="s">
        <v>1833</v>
      </c>
      <c r="W979" t="str">
        <f t="shared" si="28"/>
        <v/>
      </c>
      <c r="X979" s="185" t="str">
        <f t="shared" si="29"/>
        <v/>
      </c>
      <c r="Y979" s="685">
        <f>'General price list'!$AB982</f>
        <v>0</v>
      </c>
      <c r="Z979" t="str">
        <f>IFERROR(X979*VLOOKUP(C979,'General price list'!C:I,7,FALSE),"")</f>
        <v/>
      </c>
      <c r="AA979" t="str">
        <f>IF(X979&lt;&gt;"",VLOOKUP(C979,'General price list'!C982:AN2160,MATCH("HM",Tabulka1[[#Headers],[KÓD]:[NEQ]],0),FALSE),"")</f>
        <v/>
      </c>
    </row>
    <row r="980" spans="1:27">
      <c r="A980">
        <f>COUNTIF($W$22:W980,1)</f>
        <v>0</v>
      </c>
      <c r="B980">
        <v>980</v>
      </c>
      <c r="C980" s="684" t="s">
        <v>1835</v>
      </c>
      <c r="W980" t="str">
        <f t="shared" si="28"/>
        <v/>
      </c>
      <c r="X980" s="185" t="str">
        <f t="shared" si="29"/>
        <v/>
      </c>
      <c r="Y980" s="685">
        <f>'General price list'!$AB983</f>
        <v>0</v>
      </c>
      <c r="Z980" t="str">
        <f>IFERROR(X980*VLOOKUP(C980,'General price list'!C:I,7,FALSE),"")</f>
        <v/>
      </c>
      <c r="AA980" t="str">
        <f>IF(X980&lt;&gt;"",VLOOKUP(C980,'General price list'!C983:AN2161,MATCH("HM",Tabulka1[[#Headers],[KÓD]:[NEQ]],0),FALSE),"")</f>
        <v/>
      </c>
    </row>
    <row r="981" spans="1:27">
      <c r="A981">
        <f>COUNTIF($W$22:W981,1)</f>
        <v>0</v>
      </c>
      <c r="B981">
        <v>981</v>
      </c>
      <c r="C981" s="684" t="s">
        <v>1838</v>
      </c>
      <c r="W981" t="str">
        <f t="shared" si="28"/>
        <v/>
      </c>
      <c r="X981" s="185" t="str">
        <f t="shared" si="29"/>
        <v/>
      </c>
      <c r="Y981" s="685">
        <f>'General price list'!$AB984</f>
        <v>0</v>
      </c>
      <c r="Z981" t="str">
        <f>IFERROR(X981*VLOOKUP(C981,'General price list'!C:I,7,FALSE),"")</f>
        <v/>
      </c>
      <c r="AA981" t="str">
        <f>IF(X981&lt;&gt;"",VLOOKUP(C981,'General price list'!C984:AN2162,MATCH("HM",Tabulka1[[#Headers],[KÓD]:[NEQ]],0),FALSE),"")</f>
        <v/>
      </c>
    </row>
    <row r="982" spans="1:27">
      <c r="A982">
        <f>COUNTIF($W$22:W982,1)</f>
        <v>0</v>
      </c>
      <c r="B982">
        <v>982</v>
      </c>
      <c r="C982" s="684" t="s">
        <v>1862</v>
      </c>
      <c r="W982" t="str">
        <f t="shared" si="28"/>
        <v/>
      </c>
      <c r="X982" s="185" t="str">
        <f t="shared" si="29"/>
        <v/>
      </c>
      <c r="Y982" s="685">
        <f>'General price list'!$AB985</f>
        <v>0</v>
      </c>
      <c r="Z982" t="str">
        <f>IFERROR(X982*VLOOKUP(C982,'General price list'!C:I,7,FALSE),"")</f>
        <v/>
      </c>
      <c r="AA982" t="str">
        <f>IF(X982&lt;&gt;"",VLOOKUP(C982,'General price list'!C985:AN2163,MATCH("HM",Tabulka1[[#Headers],[KÓD]:[NEQ]],0),FALSE),"")</f>
        <v/>
      </c>
    </row>
    <row r="983" spans="1:27">
      <c r="A983">
        <f>COUNTIF($W$22:W983,1)</f>
        <v>0</v>
      </c>
      <c r="B983">
        <v>983</v>
      </c>
      <c r="C983" s="684" t="s">
        <v>1870</v>
      </c>
      <c r="W983" t="str">
        <f t="shared" ref="W983:W1046" si="30">IF(Y983+1=1,"",1)</f>
        <v/>
      </c>
      <c r="X983" s="185" t="str">
        <f t="shared" si="29"/>
        <v/>
      </c>
      <c r="Y983" s="685">
        <f>'General price list'!$AB986</f>
        <v>0</v>
      </c>
      <c r="Z983" t="str">
        <f>IFERROR(X983*VLOOKUP(C983,'General price list'!C:I,7,FALSE),"")</f>
        <v/>
      </c>
      <c r="AA983" t="str">
        <f>IF(X983&lt;&gt;"",VLOOKUP(C983,'General price list'!C986:AN2164,MATCH("HM",Tabulka1[[#Headers],[KÓD]:[NEQ]],0),FALSE),"")</f>
        <v/>
      </c>
    </row>
    <row r="984" spans="1:27">
      <c r="A984">
        <f>COUNTIF($W$22:W984,1)</f>
        <v>0</v>
      </c>
      <c r="B984">
        <v>984</v>
      </c>
      <c r="C984" s="684" t="s">
        <v>1872</v>
      </c>
      <c r="W984" t="str">
        <f t="shared" si="30"/>
        <v/>
      </c>
      <c r="X984" s="185" t="str">
        <f t="shared" ref="X984:X1047" si="31">IF(A984&gt;$C$21,"",IF(Y984=0,"",Y984))</f>
        <v/>
      </c>
      <c r="Y984" s="685">
        <f>'General price list'!$AB987</f>
        <v>0</v>
      </c>
      <c r="Z984" t="str">
        <f>IFERROR(X984*VLOOKUP(C984,'General price list'!C:I,7,FALSE),"")</f>
        <v/>
      </c>
      <c r="AA984" t="str">
        <f>IF(X984&lt;&gt;"",VLOOKUP(C984,'General price list'!C987:AN2165,MATCH("HM",Tabulka1[[#Headers],[KÓD]:[NEQ]],0),FALSE),"")</f>
        <v/>
      </c>
    </row>
    <row r="985" spans="1:27">
      <c r="A985">
        <f>COUNTIF($W$22:W985,1)</f>
        <v>0</v>
      </c>
      <c r="B985">
        <v>985</v>
      </c>
      <c r="W985" t="str">
        <f t="shared" si="30"/>
        <v/>
      </c>
      <c r="X985" s="185" t="str">
        <f t="shared" si="31"/>
        <v/>
      </c>
      <c r="Y985" s="685">
        <f>'General price list'!$AB988</f>
        <v>0</v>
      </c>
      <c r="Z985" t="str">
        <f>IFERROR(X985*VLOOKUP(C985,'General price list'!C:I,7,FALSE),"")</f>
        <v/>
      </c>
      <c r="AA985" t="str">
        <f>IF(X985&lt;&gt;"",VLOOKUP(C985,'General price list'!C988:AN2166,MATCH("HM",Tabulka1[[#Headers],[KÓD]:[NEQ]],0),FALSE),"")</f>
        <v/>
      </c>
    </row>
    <row r="986" spans="1:27">
      <c r="A986">
        <f>COUNTIF($W$22:W986,1)</f>
        <v>0</v>
      </c>
      <c r="B986">
        <v>986</v>
      </c>
      <c r="C986" s="684" t="s">
        <v>1874</v>
      </c>
      <c r="W986" t="str">
        <f t="shared" si="30"/>
        <v/>
      </c>
      <c r="X986" s="185" t="str">
        <f t="shared" si="31"/>
        <v/>
      </c>
      <c r="Y986" s="685">
        <f>'General price list'!$AB989</f>
        <v>0</v>
      </c>
      <c r="Z986" t="str">
        <f>IFERROR(X986*VLOOKUP(C986,'General price list'!C:I,7,FALSE),"")</f>
        <v/>
      </c>
      <c r="AA986" t="str">
        <f>IF(X986&lt;&gt;"",VLOOKUP(C986,'General price list'!C989:AN2167,MATCH("HM",Tabulka1[[#Headers],[KÓD]:[NEQ]],0),FALSE),"")</f>
        <v/>
      </c>
    </row>
    <row r="987" spans="1:27">
      <c r="A987">
        <f>COUNTIF($W$22:W987,1)</f>
        <v>0</v>
      </c>
      <c r="B987">
        <v>987</v>
      </c>
      <c r="C987" s="684" t="s">
        <v>1876</v>
      </c>
      <c r="W987" t="str">
        <f t="shared" si="30"/>
        <v/>
      </c>
      <c r="X987" s="185" t="str">
        <f t="shared" si="31"/>
        <v/>
      </c>
      <c r="Y987" s="685">
        <f>'General price list'!$AB990</f>
        <v>0</v>
      </c>
      <c r="Z987" t="str">
        <f>IFERROR(X987*VLOOKUP(C987,'General price list'!C:I,7,FALSE),"")</f>
        <v/>
      </c>
      <c r="AA987" t="str">
        <f>IF(X987&lt;&gt;"",VLOOKUP(C987,'General price list'!C990:AN2168,MATCH("HM",Tabulka1[[#Headers],[KÓD]:[NEQ]],0),FALSE),"")</f>
        <v/>
      </c>
    </row>
    <row r="988" spans="1:27">
      <c r="A988">
        <f>COUNTIF($W$22:W988,1)</f>
        <v>0</v>
      </c>
      <c r="B988">
        <v>988</v>
      </c>
      <c r="C988" s="684" t="s">
        <v>1881</v>
      </c>
      <c r="W988" t="str">
        <f t="shared" si="30"/>
        <v/>
      </c>
      <c r="X988" s="185" t="str">
        <f t="shared" si="31"/>
        <v/>
      </c>
      <c r="Y988" s="685">
        <f>'General price list'!$AB991</f>
        <v>0</v>
      </c>
      <c r="Z988" t="str">
        <f>IFERROR(X988*VLOOKUP(C988,'General price list'!C:I,7,FALSE),"")</f>
        <v/>
      </c>
      <c r="AA988" t="str">
        <f>IF(X988&lt;&gt;"",VLOOKUP(C988,'General price list'!C991:AN2169,MATCH("HM",Tabulka1[[#Headers],[KÓD]:[NEQ]],0),FALSE),"")</f>
        <v/>
      </c>
    </row>
    <row r="989" spans="1:27">
      <c r="A989">
        <f>COUNTIF($W$22:W989,1)</f>
        <v>0</v>
      </c>
      <c r="B989">
        <v>989</v>
      </c>
      <c r="C989" s="684" t="s">
        <v>1883</v>
      </c>
      <c r="W989" t="str">
        <f t="shared" si="30"/>
        <v/>
      </c>
      <c r="X989" s="185" t="str">
        <f t="shared" si="31"/>
        <v/>
      </c>
      <c r="Y989" s="685">
        <f>'General price list'!$AB992</f>
        <v>0</v>
      </c>
      <c r="Z989" t="str">
        <f>IFERROR(X989*VLOOKUP(C989,'General price list'!C:I,7,FALSE),"")</f>
        <v/>
      </c>
      <c r="AA989" t="str">
        <f>IF(X989&lt;&gt;"",VLOOKUP(C989,'General price list'!C992:AN2170,MATCH("HM",Tabulka1[[#Headers],[KÓD]:[NEQ]],0),FALSE),"")</f>
        <v/>
      </c>
    </row>
    <row r="990" spans="1:27">
      <c r="A990">
        <f>COUNTIF($W$22:W990,1)</f>
        <v>0</v>
      </c>
      <c r="B990">
        <v>990</v>
      </c>
      <c r="C990" s="684" t="s">
        <v>1887</v>
      </c>
      <c r="W990" t="str">
        <f t="shared" si="30"/>
        <v/>
      </c>
      <c r="X990" s="185" t="str">
        <f t="shared" si="31"/>
        <v/>
      </c>
      <c r="Y990" s="685">
        <f>'General price list'!$AB993</f>
        <v>0</v>
      </c>
      <c r="Z990" t="str">
        <f>IFERROR(X990*VLOOKUP(C990,'General price list'!C:I,7,FALSE),"")</f>
        <v/>
      </c>
      <c r="AA990" t="str">
        <f>IF(X990&lt;&gt;"",VLOOKUP(C990,'General price list'!C993:AN2171,MATCH("HM",Tabulka1[[#Headers],[KÓD]:[NEQ]],0),FALSE),"")</f>
        <v/>
      </c>
    </row>
    <row r="991" spans="1:27">
      <c r="A991">
        <f>COUNTIF($W$22:W991,1)</f>
        <v>0</v>
      </c>
      <c r="B991">
        <v>991</v>
      </c>
      <c r="C991" s="684" t="s">
        <v>1889</v>
      </c>
      <c r="W991" t="str">
        <f t="shared" si="30"/>
        <v/>
      </c>
      <c r="X991" s="185" t="str">
        <f t="shared" si="31"/>
        <v/>
      </c>
      <c r="Y991" s="685">
        <f>'General price list'!$AB994</f>
        <v>0</v>
      </c>
      <c r="Z991" t="str">
        <f>IFERROR(X991*VLOOKUP(C991,'General price list'!C:I,7,FALSE),"")</f>
        <v/>
      </c>
      <c r="AA991" t="str">
        <f>IF(X991&lt;&gt;"",VLOOKUP(C991,'General price list'!C994:AN2172,MATCH("HM",Tabulka1[[#Headers],[KÓD]:[NEQ]],0),FALSE),"")</f>
        <v/>
      </c>
    </row>
    <row r="992" spans="1:27">
      <c r="A992">
        <f>COUNTIF($W$22:W992,1)</f>
        <v>0</v>
      </c>
      <c r="B992">
        <v>992</v>
      </c>
      <c r="C992" s="684" t="s">
        <v>1894</v>
      </c>
      <c r="W992" t="str">
        <f t="shared" si="30"/>
        <v/>
      </c>
      <c r="X992" s="185" t="str">
        <f t="shared" si="31"/>
        <v/>
      </c>
      <c r="Y992" s="685">
        <f>'General price list'!$AB995</f>
        <v>0</v>
      </c>
      <c r="Z992" t="str">
        <f>IFERROR(X992*VLOOKUP(C992,'General price list'!C:I,7,FALSE),"")</f>
        <v/>
      </c>
      <c r="AA992" t="str">
        <f>IF(X992&lt;&gt;"",VLOOKUP(C992,'General price list'!C995:AN2173,MATCH("HM",Tabulka1[[#Headers],[KÓD]:[NEQ]],0),FALSE),"")</f>
        <v/>
      </c>
    </row>
    <row r="993" spans="1:27">
      <c r="A993">
        <f>COUNTIF($W$22:W993,1)</f>
        <v>0</v>
      </c>
      <c r="B993">
        <v>993</v>
      </c>
      <c r="C993" s="684" t="s">
        <v>1896</v>
      </c>
      <c r="W993" t="str">
        <f t="shared" si="30"/>
        <v/>
      </c>
      <c r="X993" s="185" t="str">
        <f t="shared" si="31"/>
        <v/>
      </c>
      <c r="Y993" s="685">
        <f>'General price list'!$AB996</f>
        <v>0</v>
      </c>
      <c r="Z993" t="str">
        <f>IFERROR(X993*VLOOKUP(C993,'General price list'!C:I,7,FALSE),"")</f>
        <v/>
      </c>
      <c r="AA993" t="str">
        <f>IF(X993&lt;&gt;"",VLOOKUP(C993,'General price list'!C996:AN2174,MATCH("HM",Tabulka1[[#Headers],[KÓD]:[NEQ]],0),FALSE),"")</f>
        <v/>
      </c>
    </row>
    <row r="994" spans="1:27">
      <c r="A994">
        <f>COUNTIF($W$22:W994,1)</f>
        <v>0</v>
      </c>
      <c r="B994">
        <v>994</v>
      </c>
      <c r="C994" s="684" t="s">
        <v>1899</v>
      </c>
      <c r="W994" t="str">
        <f t="shared" si="30"/>
        <v/>
      </c>
      <c r="X994" s="185" t="str">
        <f t="shared" si="31"/>
        <v/>
      </c>
      <c r="Y994" s="685">
        <f>'General price list'!$AB997</f>
        <v>0</v>
      </c>
      <c r="Z994" t="str">
        <f>IFERROR(X994*VLOOKUP(C994,'General price list'!C:I,7,FALSE),"")</f>
        <v/>
      </c>
      <c r="AA994" t="str">
        <f>IF(X994&lt;&gt;"",VLOOKUP(C994,'General price list'!C997:AN2175,MATCH("HM",Tabulka1[[#Headers],[KÓD]:[NEQ]],0),FALSE),"")</f>
        <v/>
      </c>
    </row>
    <row r="995" spans="1:27">
      <c r="A995">
        <f>COUNTIF($W$22:W995,1)</f>
        <v>0</v>
      </c>
      <c r="B995">
        <v>995</v>
      </c>
      <c r="C995" s="684" t="s">
        <v>1902</v>
      </c>
      <c r="W995" t="str">
        <f t="shared" si="30"/>
        <v/>
      </c>
      <c r="X995" s="185" t="str">
        <f t="shared" si="31"/>
        <v/>
      </c>
      <c r="Y995" s="685">
        <f>'General price list'!$AB998</f>
        <v>0</v>
      </c>
      <c r="Z995" t="str">
        <f>IFERROR(X995*VLOOKUP(C995,'General price list'!C:I,7,FALSE),"")</f>
        <v/>
      </c>
      <c r="AA995" t="str">
        <f>IF(X995&lt;&gt;"",VLOOKUP(C995,'General price list'!C998:AN2176,MATCH("HM",Tabulka1[[#Headers],[KÓD]:[NEQ]],0),FALSE),"")</f>
        <v/>
      </c>
    </row>
    <row r="996" spans="1:27">
      <c r="A996">
        <f>COUNTIF($W$22:W996,1)</f>
        <v>0</v>
      </c>
      <c r="B996">
        <v>996</v>
      </c>
      <c r="C996" s="684" t="s">
        <v>1904</v>
      </c>
      <c r="W996" t="str">
        <f t="shared" si="30"/>
        <v/>
      </c>
      <c r="X996" s="185" t="str">
        <f t="shared" si="31"/>
        <v/>
      </c>
      <c r="Y996" s="685">
        <f>'General price list'!$AB999</f>
        <v>0</v>
      </c>
      <c r="Z996" t="str">
        <f>IFERROR(X996*VLOOKUP(C996,'General price list'!C:I,7,FALSE),"")</f>
        <v/>
      </c>
      <c r="AA996" t="str">
        <f>IF(X996&lt;&gt;"",VLOOKUP(C996,'General price list'!C999:AN2177,MATCH("HM",Tabulka1[[#Headers],[KÓD]:[NEQ]],0),FALSE),"")</f>
        <v/>
      </c>
    </row>
    <row r="997" spans="1:27">
      <c r="A997">
        <f>COUNTIF($W$22:W997,1)</f>
        <v>0</v>
      </c>
      <c r="B997">
        <v>997</v>
      </c>
      <c r="C997" s="684" t="s">
        <v>1915</v>
      </c>
      <c r="W997" t="str">
        <f t="shared" si="30"/>
        <v/>
      </c>
      <c r="X997" s="185" t="str">
        <f t="shared" si="31"/>
        <v/>
      </c>
      <c r="Y997" s="685">
        <f>'General price list'!$AB1000</f>
        <v>0</v>
      </c>
      <c r="Z997" t="str">
        <f>IFERROR(X997*VLOOKUP(C997,'General price list'!C:I,7,FALSE),"")</f>
        <v/>
      </c>
      <c r="AA997" t="str">
        <f>IF(X997&lt;&gt;"",VLOOKUP(C997,'General price list'!C1000:AN2178,MATCH("HM",Tabulka1[[#Headers],[KÓD]:[NEQ]],0),FALSE),"")</f>
        <v/>
      </c>
    </row>
    <row r="998" spans="1:27">
      <c r="A998">
        <f>COUNTIF($W$22:W998,1)</f>
        <v>0</v>
      </c>
      <c r="B998">
        <v>998</v>
      </c>
      <c r="C998" s="684" t="s">
        <v>1923</v>
      </c>
      <c r="W998" t="str">
        <f t="shared" si="30"/>
        <v/>
      </c>
      <c r="X998" s="185" t="str">
        <f t="shared" si="31"/>
        <v/>
      </c>
      <c r="Y998" s="685">
        <f>'General price list'!$AB1001</f>
        <v>0</v>
      </c>
      <c r="Z998" t="str">
        <f>IFERROR(X998*VLOOKUP(C998,'General price list'!C:I,7,FALSE),"")</f>
        <v/>
      </c>
      <c r="AA998" t="str">
        <f>IF(X998&lt;&gt;"",VLOOKUP(C998,'General price list'!C1001:AN2179,MATCH("HM",Tabulka1[[#Headers],[KÓD]:[NEQ]],0),FALSE),"")</f>
        <v/>
      </c>
    </row>
    <row r="999" spans="1:27">
      <c r="A999">
        <f>COUNTIF($W$22:W999,1)</f>
        <v>0</v>
      </c>
      <c r="B999">
        <v>999</v>
      </c>
      <c r="C999" s="684" t="s">
        <v>1927</v>
      </c>
      <c r="W999" t="str">
        <f t="shared" si="30"/>
        <v/>
      </c>
      <c r="X999" s="185" t="str">
        <f t="shared" si="31"/>
        <v/>
      </c>
      <c r="Y999" s="685">
        <f>'General price list'!$AB1002</f>
        <v>0</v>
      </c>
      <c r="Z999" t="str">
        <f>IFERROR(X999*VLOOKUP(C999,'General price list'!C:I,7,FALSE),"")</f>
        <v/>
      </c>
      <c r="AA999" t="str">
        <f>IF(X999&lt;&gt;"",VLOOKUP(C999,'General price list'!C1002:AN2180,MATCH("HM",Tabulka1[[#Headers],[KÓD]:[NEQ]],0),FALSE),"")</f>
        <v/>
      </c>
    </row>
    <row r="1000" spans="1:27">
      <c r="A1000">
        <f>COUNTIF($W$22:W1000,1)</f>
        <v>0</v>
      </c>
      <c r="B1000">
        <v>1000</v>
      </c>
      <c r="C1000" s="684" t="s">
        <v>1929</v>
      </c>
      <c r="W1000" t="str">
        <f t="shared" si="30"/>
        <v/>
      </c>
      <c r="X1000" s="185" t="str">
        <f t="shared" si="31"/>
        <v/>
      </c>
      <c r="Y1000" s="685">
        <f>'General price list'!$AB1003</f>
        <v>0</v>
      </c>
      <c r="Z1000" t="str">
        <f>IFERROR(X1000*VLOOKUP(C1000,'General price list'!C:I,7,FALSE),"")</f>
        <v/>
      </c>
      <c r="AA1000" t="str">
        <f>IF(X1000&lt;&gt;"",VLOOKUP(C1000,'General price list'!C1003:AN2181,MATCH("HM",Tabulka1[[#Headers],[KÓD]:[NEQ]],0),FALSE),"")</f>
        <v/>
      </c>
    </row>
    <row r="1001" spans="1:27">
      <c r="A1001">
        <f>COUNTIF($W$22:W1001,1)</f>
        <v>0</v>
      </c>
      <c r="B1001">
        <v>1001</v>
      </c>
      <c r="C1001" s="684" t="s">
        <v>1933</v>
      </c>
      <c r="W1001" t="str">
        <f t="shared" si="30"/>
        <v/>
      </c>
      <c r="X1001" s="185" t="str">
        <f t="shared" si="31"/>
        <v/>
      </c>
      <c r="Y1001" s="685">
        <f>'General price list'!$AB1004</f>
        <v>0</v>
      </c>
      <c r="Z1001" t="str">
        <f>IFERROR(X1001*VLOOKUP(C1001,'General price list'!C:I,7,FALSE),"")</f>
        <v/>
      </c>
      <c r="AA1001" t="str">
        <f>IF(X1001&lt;&gt;"",VLOOKUP(C1001,'General price list'!C1004:AN2182,MATCH("HM",Tabulka1[[#Headers],[KÓD]:[NEQ]],0),FALSE),"")</f>
        <v/>
      </c>
    </row>
    <row r="1002" spans="1:27">
      <c r="A1002">
        <f>COUNTIF($W$22:W1002,1)</f>
        <v>0</v>
      </c>
      <c r="B1002">
        <v>1002</v>
      </c>
      <c r="C1002" s="684" t="s">
        <v>1935</v>
      </c>
      <c r="W1002" t="str">
        <f t="shared" si="30"/>
        <v/>
      </c>
      <c r="X1002" s="185" t="str">
        <f t="shared" si="31"/>
        <v/>
      </c>
      <c r="Y1002" s="685">
        <f>'General price list'!$AB1005</f>
        <v>0</v>
      </c>
      <c r="Z1002" t="str">
        <f>IFERROR(X1002*VLOOKUP(C1002,'General price list'!C:I,7,FALSE),"")</f>
        <v/>
      </c>
      <c r="AA1002" t="str">
        <f>IF(X1002&lt;&gt;"",VLOOKUP(C1002,'General price list'!C1005:AN2183,MATCH("HM",Tabulka1[[#Headers],[KÓD]:[NEQ]],0),FALSE),"")</f>
        <v/>
      </c>
    </row>
    <row r="1003" spans="1:27">
      <c r="A1003">
        <f>COUNTIF($W$22:W1003,1)</f>
        <v>0</v>
      </c>
      <c r="B1003">
        <v>1003</v>
      </c>
      <c r="C1003" s="684" t="s">
        <v>1937</v>
      </c>
      <c r="W1003" t="str">
        <f t="shared" si="30"/>
        <v/>
      </c>
      <c r="X1003" s="185" t="str">
        <f t="shared" si="31"/>
        <v/>
      </c>
      <c r="Y1003" s="685">
        <f>'General price list'!$AB1006</f>
        <v>0</v>
      </c>
      <c r="Z1003" t="str">
        <f>IFERROR(X1003*VLOOKUP(C1003,'General price list'!C:I,7,FALSE),"")</f>
        <v/>
      </c>
      <c r="AA1003" t="str">
        <f>IF(X1003&lt;&gt;"",VLOOKUP(C1003,'General price list'!C1006:AN2184,MATCH("HM",Tabulka1[[#Headers],[KÓD]:[NEQ]],0),FALSE),"")</f>
        <v/>
      </c>
    </row>
    <row r="1004" spans="1:27">
      <c r="A1004">
        <f>COUNTIF($W$22:W1004,1)</f>
        <v>0</v>
      </c>
      <c r="B1004">
        <v>1004</v>
      </c>
      <c r="W1004" t="str">
        <f t="shared" si="30"/>
        <v/>
      </c>
      <c r="X1004" s="185" t="str">
        <f t="shared" si="31"/>
        <v/>
      </c>
      <c r="Y1004" s="685">
        <f>'General price list'!$AB1007</f>
        <v>0</v>
      </c>
      <c r="Z1004" t="str">
        <f>IFERROR(X1004*VLOOKUP(C1004,'General price list'!C:I,7,FALSE),"")</f>
        <v/>
      </c>
      <c r="AA1004" t="str">
        <f>IF(X1004&lt;&gt;"",VLOOKUP(C1004,'General price list'!C1007:AN2185,MATCH("HM",Tabulka1[[#Headers],[KÓD]:[NEQ]],0),FALSE),"")</f>
        <v/>
      </c>
    </row>
    <row r="1005" spans="1:27">
      <c r="A1005">
        <f>COUNTIF($W$22:W1005,1)</f>
        <v>0</v>
      </c>
      <c r="B1005">
        <v>1005</v>
      </c>
      <c r="C1005" s="684" t="s">
        <v>1941</v>
      </c>
      <c r="W1005" t="str">
        <f t="shared" si="30"/>
        <v/>
      </c>
      <c r="X1005" s="185" t="str">
        <f t="shared" si="31"/>
        <v/>
      </c>
      <c r="Y1005" s="685">
        <f>'General price list'!$AB1008</f>
        <v>0</v>
      </c>
      <c r="Z1005" t="str">
        <f>IFERROR(X1005*VLOOKUP(C1005,'General price list'!C:I,7,FALSE),"")</f>
        <v/>
      </c>
      <c r="AA1005" t="str">
        <f>IF(X1005&lt;&gt;"",VLOOKUP(C1005,'General price list'!C1008:AN2186,MATCH("HM",Tabulka1[[#Headers],[KÓD]:[NEQ]],0),FALSE),"")</f>
        <v/>
      </c>
    </row>
    <row r="1006" spans="1:27">
      <c r="A1006">
        <f>COUNTIF($W$22:W1006,1)</f>
        <v>0</v>
      </c>
      <c r="B1006">
        <v>1006</v>
      </c>
      <c r="C1006" s="684" t="s">
        <v>1947</v>
      </c>
      <c r="W1006" t="str">
        <f t="shared" si="30"/>
        <v/>
      </c>
      <c r="X1006" s="185" t="str">
        <f t="shared" si="31"/>
        <v/>
      </c>
      <c r="Y1006" s="685">
        <f>'General price list'!$AB1009</f>
        <v>0</v>
      </c>
      <c r="Z1006" t="str">
        <f>IFERROR(X1006*VLOOKUP(C1006,'General price list'!C:I,7,FALSE),"")</f>
        <v/>
      </c>
      <c r="AA1006" t="str">
        <f>IF(X1006&lt;&gt;"",VLOOKUP(C1006,'General price list'!C1009:AN2187,MATCH("HM",Tabulka1[[#Headers],[KÓD]:[NEQ]],0),FALSE),"")</f>
        <v/>
      </c>
    </row>
    <row r="1007" spans="1:27">
      <c r="A1007">
        <f>COUNTIF($W$22:W1007,1)</f>
        <v>0</v>
      </c>
      <c r="B1007">
        <v>1007</v>
      </c>
      <c r="C1007" s="684" t="s">
        <v>1949</v>
      </c>
      <c r="W1007" t="str">
        <f t="shared" si="30"/>
        <v/>
      </c>
      <c r="X1007" s="185" t="str">
        <f t="shared" si="31"/>
        <v/>
      </c>
      <c r="Y1007" s="685">
        <f>'General price list'!$AB1010</f>
        <v>0</v>
      </c>
      <c r="Z1007" t="str">
        <f>IFERROR(X1007*VLOOKUP(C1007,'General price list'!C:I,7,FALSE),"")</f>
        <v/>
      </c>
      <c r="AA1007" t="str">
        <f>IF(X1007&lt;&gt;"",VLOOKUP(C1007,'General price list'!C1010:AN2188,MATCH("HM",Tabulka1[[#Headers],[KÓD]:[NEQ]],0),FALSE),"")</f>
        <v/>
      </c>
    </row>
    <row r="1008" spans="1:27">
      <c r="A1008">
        <f>COUNTIF($W$22:W1008,1)</f>
        <v>0</v>
      </c>
      <c r="B1008">
        <v>1008</v>
      </c>
      <c r="W1008" t="str">
        <f t="shared" si="30"/>
        <v/>
      </c>
      <c r="X1008" s="185" t="str">
        <f t="shared" si="31"/>
        <v/>
      </c>
      <c r="Y1008" s="685">
        <f>'General price list'!$AB1011</f>
        <v>0</v>
      </c>
      <c r="Z1008" t="str">
        <f>IFERROR(X1008*VLOOKUP(C1008,'General price list'!C:I,7,FALSE),"")</f>
        <v/>
      </c>
      <c r="AA1008" t="str">
        <f>IF(X1008&lt;&gt;"",VLOOKUP(C1008,'General price list'!C1011:AN2189,MATCH("HM",Tabulka1[[#Headers],[KÓD]:[NEQ]],0),FALSE),"")</f>
        <v/>
      </c>
    </row>
    <row r="1009" spans="1:27">
      <c r="A1009">
        <f>COUNTIF($W$22:W1009,1)</f>
        <v>0</v>
      </c>
      <c r="B1009">
        <v>1009</v>
      </c>
      <c r="C1009" s="684" t="s">
        <v>1977</v>
      </c>
      <c r="W1009" t="str">
        <f t="shared" si="30"/>
        <v/>
      </c>
      <c r="X1009" s="185" t="str">
        <f t="shared" si="31"/>
        <v/>
      </c>
      <c r="Y1009" s="685">
        <f>'General price list'!$AB1012</f>
        <v>0</v>
      </c>
      <c r="Z1009" t="str">
        <f>IFERROR(X1009*VLOOKUP(C1009,'General price list'!C:I,7,FALSE),"")</f>
        <v/>
      </c>
      <c r="AA1009" t="str">
        <f>IF(X1009&lt;&gt;"",VLOOKUP(C1009,'General price list'!C1012:AN2190,MATCH("HM",Tabulka1[[#Headers],[KÓD]:[NEQ]],0),FALSE),"")</f>
        <v/>
      </c>
    </row>
    <row r="1010" spans="1:27">
      <c r="A1010">
        <f>COUNTIF($W$22:W1010,1)</f>
        <v>0</v>
      </c>
      <c r="B1010">
        <v>1010</v>
      </c>
      <c r="C1010" s="684" t="s">
        <v>1979</v>
      </c>
      <c r="W1010" t="str">
        <f t="shared" si="30"/>
        <v/>
      </c>
      <c r="X1010" s="185" t="str">
        <f t="shared" si="31"/>
        <v/>
      </c>
      <c r="Y1010" s="685">
        <f>'General price list'!$AB1013</f>
        <v>0</v>
      </c>
      <c r="Z1010" t="str">
        <f>IFERROR(X1010*VLOOKUP(C1010,'General price list'!C:I,7,FALSE),"")</f>
        <v/>
      </c>
      <c r="AA1010" t="str">
        <f>IF(X1010&lt;&gt;"",VLOOKUP(C1010,'General price list'!C1013:AN2191,MATCH("HM",Tabulka1[[#Headers],[KÓD]:[NEQ]],0),FALSE),"")</f>
        <v/>
      </c>
    </row>
    <row r="1011" spans="1:27">
      <c r="A1011">
        <f>COUNTIF($W$22:W1011,1)</f>
        <v>0</v>
      </c>
      <c r="B1011">
        <v>1011</v>
      </c>
      <c r="C1011" s="684" t="s">
        <v>1981</v>
      </c>
      <c r="W1011" t="str">
        <f t="shared" si="30"/>
        <v/>
      </c>
      <c r="X1011" s="185" t="str">
        <f t="shared" si="31"/>
        <v/>
      </c>
      <c r="Y1011" s="685">
        <f>'General price list'!$AB1014</f>
        <v>0</v>
      </c>
      <c r="Z1011" t="str">
        <f>IFERROR(X1011*VLOOKUP(C1011,'General price list'!C:I,7,FALSE),"")</f>
        <v/>
      </c>
      <c r="AA1011" t="str">
        <f>IF(X1011&lt;&gt;"",VLOOKUP(C1011,'General price list'!C1014:AN2192,MATCH("HM",Tabulka1[[#Headers],[KÓD]:[NEQ]],0),FALSE),"")</f>
        <v/>
      </c>
    </row>
    <row r="1012" spans="1:27">
      <c r="A1012">
        <f>COUNTIF($W$22:W1012,1)</f>
        <v>0</v>
      </c>
      <c r="B1012">
        <v>1012</v>
      </c>
      <c r="C1012" s="684" t="s">
        <v>1987</v>
      </c>
      <c r="W1012" t="str">
        <f t="shared" si="30"/>
        <v/>
      </c>
      <c r="X1012" s="185" t="str">
        <f t="shared" si="31"/>
        <v/>
      </c>
      <c r="Y1012" s="685">
        <f>'General price list'!$AB1015</f>
        <v>0</v>
      </c>
      <c r="Z1012" t="str">
        <f>IFERROR(X1012*VLOOKUP(C1012,'General price list'!C:I,7,FALSE),"")</f>
        <v/>
      </c>
      <c r="AA1012" t="str">
        <f>IF(X1012&lt;&gt;"",VLOOKUP(C1012,'General price list'!C1015:AN2193,MATCH("HM",Tabulka1[[#Headers],[KÓD]:[NEQ]],0),FALSE),"")</f>
        <v/>
      </c>
    </row>
    <row r="1013" spans="1:27">
      <c r="A1013">
        <f>COUNTIF($W$22:W1013,1)</f>
        <v>0</v>
      </c>
      <c r="B1013">
        <v>1013</v>
      </c>
      <c r="C1013" s="684" t="s">
        <v>1989</v>
      </c>
      <c r="W1013" t="str">
        <f t="shared" si="30"/>
        <v/>
      </c>
      <c r="X1013" s="185" t="str">
        <f t="shared" si="31"/>
        <v/>
      </c>
      <c r="Y1013" s="685">
        <f>'General price list'!$AB1016</f>
        <v>0</v>
      </c>
      <c r="Z1013" t="str">
        <f>IFERROR(X1013*VLOOKUP(C1013,'General price list'!C:I,7,FALSE),"")</f>
        <v/>
      </c>
      <c r="AA1013" t="str">
        <f>IF(X1013&lt;&gt;"",VLOOKUP(C1013,'General price list'!C1016:AN2194,MATCH("HM",Tabulka1[[#Headers],[KÓD]:[NEQ]],0),FALSE),"")</f>
        <v/>
      </c>
    </row>
    <row r="1014" spans="1:27">
      <c r="A1014">
        <f>COUNTIF($W$22:W1014,1)</f>
        <v>0</v>
      </c>
      <c r="B1014">
        <v>1014</v>
      </c>
      <c r="W1014" t="str">
        <f t="shared" si="30"/>
        <v/>
      </c>
      <c r="X1014" s="185" t="str">
        <f t="shared" si="31"/>
        <v/>
      </c>
      <c r="Y1014" s="685">
        <f>'General price list'!$AB1017</f>
        <v>0</v>
      </c>
      <c r="Z1014" t="str">
        <f>IFERROR(X1014*VLOOKUP(C1014,'General price list'!C:I,7,FALSE),"")</f>
        <v/>
      </c>
      <c r="AA1014" t="str">
        <f>IF(X1014&lt;&gt;"",VLOOKUP(C1014,'General price list'!C1017:AN2195,MATCH("HM",Tabulka1[[#Headers],[KÓD]:[NEQ]],0),FALSE),"")</f>
        <v/>
      </c>
    </row>
    <row r="1015" spans="1:27">
      <c r="A1015">
        <f>COUNTIF($W$22:W1015,1)</f>
        <v>0</v>
      </c>
      <c r="B1015">
        <v>1015</v>
      </c>
      <c r="C1015" s="684" t="s">
        <v>2032</v>
      </c>
      <c r="W1015" t="str">
        <f t="shared" si="30"/>
        <v/>
      </c>
      <c r="X1015" s="185" t="str">
        <f t="shared" si="31"/>
        <v/>
      </c>
      <c r="Y1015" s="685">
        <f>'General price list'!$AB1018</f>
        <v>0</v>
      </c>
      <c r="Z1015" t="str">
        <f>IFERROR(X1015*VLOOKUP(C1015,'General price list'!C:I,7,FALSE),"")</f>
        <v/>
      </c>
      <c r="AA1015" t="str">
        <f>IF(X1015&lt;&gt;"",VLOOKUP(C1015,'General price list'!C1018:AN2196,MATCH("HM",Tabulka1[[#Headers],[KÓD]:[NEQ]],0),FALSE),"")</f>
        <v/>
      </c>
    </row>
    <row r="1016" spans="1:27">
      <c r="A1016">
        <f>COUNTIF($W$22:W1016,1)</f>
        <v>0</v>
      </c>
      <c r="B1016">
        <v>1016</v>
      </c>
      <c r="W1016" t="str">
        <f t="shared" si="30"/>
        <v/>
      </c>
      <c r="X1016" s="185" t="str">
        <f t="shared" si="31"/>
        <v/>
      </c>
      <c r="Y1016" s="685">
        <f>'General price list'!$AB1019</f>
        <v>0</v>
      </c>
      <c r="Z1016" t="str">
        <f>IFERROR(X1016*VLOOKUP(C1016,'General price list'!C:I,7,FALSE),"")</f>
        <v/>
      </c>
      <c r="AA1016" t="str">
        <f>IF(X1016&lt;&gt;"",VLOOKUP(C1016,'General price list'!C1019:AN2197,MATCH("HM",Tabulka1[[#Headers],[KÓD]:[NEQ]],0),FALSE),"")</f>
        <v/>
      </c>
    </row>
    <row r="1017" spans="1:27">
      <c r="A1017">
        <f>COUNTIF($W$22:W1017,1)</f>
        <v>0</v>
      </c>
      <c r="B1017">
        <v>1017</v>
      </c>
      <c r="C1017" s="684" t="s">
        <v>2062</v>
      </c>
      <c r="W1017" t="str">
        <f t="shared" si="30"/>
        <v/>
      </c>
      <c r="X1017" s="185" t="str">
        <f t="shared" si="31"/>
        <v/>
      </c>
      <c r="Y1017" s="685">
        <f>'General price list'!$AB1020</f>
        <v>0</v>
      </c>
      <c r="Z1017" t="str">
        <f>IFERROR(X1017*VLOOKUP(C1017,'General price list'!C:I,7,FALSE),"")</f>
        <v/>
      </c>
      <c r="AA1017" t="str">
        <f>IF(X1017&lt;&gt;"",VLOOKUP(C1017,'General price list'!C1020:AN2198,MATCH("HM",Tabulka1[[#Headers],[KÓD]:[NEQ]],0),FALSE),"")</f>
        <v/>
      </c>
    </row>
    <row r="1018" spans="1:27">
      <c r="A1018">
        <f>COUNTIF($W$22:W1018,1)</f>
        <v>0</v>
      </c>
      <c r="B1018">
        <v>1018</v>
      </c>
      <c r="C1018" s="684" t="s">
        <v>2065</v>
      </c>
      <c r="W1018" t="str">
        <f t="shared" si="30"/>
        <v/>
      </c>
      <c r="X1018" s="185" t="str">
        <f t="shared" si="31"/>
        <v/>
      </c>
      <c r="Y1018" s="685">
        <f>'General price list'!$AB1021</f>
        <v>0</v>
      </c>
      <c r="Z1018" t="str">
        <f>IFERROR(X1018*VLOOKUP(C1018,'General price list'!C:I,7,FALSE),"")</f>
        <v/>
      </c>
      <c r="AA1018" t="str">
        <f>IF(X1018&lt;&gt;"",VLOOKUP(C1018,'General price list'!C1021:AN2199,MATCH("HM",Tabulka1[[#Headers],[KÓD]:[NEQ]],0),FALSE),"")</f>
        <v/>
      </c>
    </row>
    <row r="1019" spans="1:27">
      <c r="A1019">
        <f>COUNTIF($W$22:W1019,1)</f>
        <v>0</v>
      </c>
      <c r="B1019">
        <v>1019</v>
      </c>
      <c r="C1019" s="684" t="s">
        <v>2066</v>
      </c>
      <c r="W1019" t="str">
        <f t="shared" si="30"/>
        <v/>
      </c>
      <c r="X1019" s="185" t="str">
        <f t="shared" si="31"/>
        <v/>
      </c>
      <c r="Y1019" s="685">
        <f>'General price list'!$AB1022</f>
        <v>0</v>
      </c>
      <c r="Z1019" t="str">
        <f>IFERROR(X1019*VLOOKUP(C1019,'General price list'!C:I,7,FALSE),"")</f>
        <v/>
      </c>
      <c r="AA1019" t="str">
        <f>IF(X1019&lt;&gt;"",VLOOKUP(C1019,'General price list'!C1022:AN2200,MATCH("HM",Tabulka1[[#Headers],[KÓD]:[NEQ]],0),FALSE),"")</f>
        <v/>
      </c>
    </row>
    <row r="1020" spans="1:27">
      <c r="A1020">
        <f>COUNTIF($W$22:W1020,1)</f>
        <v>0</v>
      </c>
      <c r="B1020">
        <v>1020</v>
      </c>
      <c r="C1020" s="684" t="s">
        <v>2072</v>
      </c>
      <c r="W1020" t="str">
        <f t="shared" si="30"/>
        <v/>
      </c>
      <c r="X1020" s="185" t="str">
        <f t="shared" si="31"/>
        <v/>
      </c>
      <c r="Y1020" s="685">
        <f>'General price list'!$AB1023</f>
        <v>0</v>
      </c>
      <c r="Z1020" t="str">
        <f>IFERROR(X1020*VLOOKUP(C1020,'General price list'!C:I,7,FALSE),"")</f>
        <v/>
      </c>
      <c r="AA1020" t="str">
        <f>IF(X1020&lt;&gt;"",VLOOKUP(C1020,'General price list'!C1023:AN2201,MATCH("HM",Tabulka1[[#Headers],[KÓD]:[NEQ]],0),FALSE),"")</f>
        <v/>
      </c>
    </row>
    <row r="1021" spans="1:27">
      <c r="A1021">
        <f>COUNTIF($W$22:W1021,1)</f>
        <v>0</v>
      </c>
      <c r="B1021">
        <v>1021</v>
      </c>
      <c r="C1021" s="684" t="s">
        <v>2077</v>
      </c>
      <c r="W1021" t="str">
        <f t="shared" si="30"/>
        <v/>
      </c>
      <c r="X1021" s="185" t="str">
        <f t="shared" si="31"/>
        <v/>
      </c>
      <c r="Y1021" s="685">
        <f>'General price list'!$AB1024</f>
        <v>0</v>
      </c>
      <c r="Z1021" t="str">
        <f>IFERROR(X1021*VLOOKUP(C1021,'General price list'!C:I,7,FALSE),"")</f>
        <v/>
      </c>
      <c r="AA1021" t="str">
        <f>IF(X1021&lt;&gt;"",VLOOKUP(C1021,'General price list'!C1024:AN2202,MATCH("HM",Tabulka1[[#Headers],[KÓD]:[NEQ]],0),FALSE),"")</f>
        <v/>
      </c>
    </row>
    <row r="1022" spans="1:27">
      <c r="A1022">
        <f>COUNTIF($W$22:W1022,1)</f>
        <v>0</v>
      </c>
      <c r="B1022">
        <v>1022</v>
      </c>
      <c r="W1022" t="str">
        <f t="shared" si="30"/>
        <v/>
      </c>
      <c r="X1022" s="185" t="str">
        <f t="shared" si="31"/>
        <v/>
      </c>
      <c r="Y1022" s="685">
        <f>'General price list'!$AB1025</f>
        <v>0</v>
      </c>
      <c r="Z1022" t="str">
        <f>IFERROR(X1022*VLOOKUP(C1022,'General price list'!C:I,7,FALSE),"")</f>
        <v/>
      </c>
      <c r="AA1022" t="str">
        <f>IF(X1022&lt;&gt;"",VLOOKUP(C1022,'General price list'!C1025:AN2203,MATCH("HM",Tabulka1[[#Headers],[KÓD]:[NEQ]],0),FALSE),"")</f>
        <v/>
      </c>
    </row>
    <row r="1023" spans="1:27">
      <c r="A1023">
        <f>COUNTIF($W$22:W1023,1)</f>
        <v>0</v>
      </c>
      <c r="B1023">
        <v>1023</v>
      </c>
      <c r="C1023" s="684" t="s">
        <v>2118</v>
      </c>
      <c r="W1023" t="str">
        <f t="shared" si="30"/>
        <v/>
      </c>
      <c r="X1023" s="185" t="str">
        <f t="shared" si="31"/>
        <v/>
      </c>
      <c r="Y1023" s="685">
        <f>'General price list'!$AB1026</f>
        <v>0</v>
      </c>
      <c r="Z1023" t="str">
        <f>IFERROR(X1023*VLOOKUP(C1023,'General price list'!C:I,7,FALSE),"")</f>
        <v/>
      </c>
      <c r="AA1023" t="str">
        <f>IF(X1023&lt;&gt;"",VLOOKUP(C1023,'General price list'!C1026:AN2204,MATCH("HM",Tabulka1[[#Headers],[KÓD]:[NEQ]],0),FALSE),"")</f>
        <v/>
      </c>
    </row>
    <row r="1024" spans="1:27">
      <c r="A1024">
        <f>COUNTIF($W$22:W1024,1)</f>
        <v>0</v>
      </c>
      <c r="B1024">
        <v>1024</v>
      </c>
      <c r="W1024" t="str">
        <f t="shared" si="30"/>
        <v/>
      </c>
      <c r="X1024" s="185" t="str">
        <f t="shared" si="31"/>
        <v/>
      </c>
      <c r="Y1024" s="685">
        <f>'General price list'!$AB1027</f>
        <v>0</v>
      </c>
      <c r="Z1024" t="str">
        <f>IFERROR(X1024*VLOOKUP(C1024,'General price list'!C:I,7,FALSE),"")</f>
        <v/>
      </c>
      <c r="AA1024" t="str">
        <f>IF(X1024&lt;&gt;"",VLOOKUP(C1024,'General price list'!C1027:AN2205,MATCH("HM",Tabulka1[[#Headers],[KÓD]:[NEQ]],0),FALSE),"")</f>
        <v/>
      </c>
    </row>
    <row r="1025" spans="1:27">
      <c r="A1025">
        <f>COUNTIF($W$22:W1025,1)</f>
        <v>0</v>
      </c>
      <c r="B1025">
        <v>1025</v>
      </c>
      <c r="C1025" s="684" t="s">
        <v>2124</v>
      </c>
      <c r="W1025" t="str">
        <f t="shared" si="30"/>
        <v/>
      </c>
      <c r="X1025" s="185" t="str">
        <f t="shared" si="31"/>
        <v/>
      </c>
      <c r="Y1025" s="685">
        <f>'General price list'!$AB1028</f>
        <v>0</v>
      </c>
      <c r="Z1025" t="str">
        <f>IFERROR(X1025*VLOOKUP(C1025,'General price list'!C:I,7,FALSE),"")</f>
        <v/>
      </c>
      <c r="AA1025" t="str">
        <f>IF(X1025&lt;&gt;"",VLOOKUP(C1025,'General price list'!C1028:AN2206,MATCH("HM",Tabulka1[[#Headers],[KÓD]:[NEQ]],0),FALSE),"")</f>
        <v/>
      </c>
    </row>
    <row r="1026" spans="1:27">
      <c r="A1026">
        <f>COUNTIF($W$22:W1026,1)</f>
        <v>0</v>
      </c>
      <c r="B1026">
        <v>1026</v>
      </c>
      <c r="C1026" s="684" t="s">
        <v>2131</v>
      </c>
      <c r="W1026" t="str">
        <f t="shared" si="30"/>
        <v/>
      </c>
      <c r="X1026" s="185" t="str">
        <f t="shared" si="31"/>
        <v/>
      </c>
      <c r="Y1026" s="685">
        <f>'General price list'!$AB1029</f>
        <v>0</v>
      </c>
      <c r="Z1026" t="str">
        <f>IFERROR(X1026*VLOOKUP(C1026,'General price list'!C:I,7,FALSE),"")</f>
        <v/>
      </c>
      <c r="AA1026" t="str">
        <f>IF(X1026&lt;&gt;"",VLOOKUP(C1026,'General price list'!C1029:AN2207,MATCH("HM",Tabulka1[[#Headers],[KÓD]:[NEQ]],0),FALSE),"")</f>
        <v/>
      </c>
    </row>
    <row r="1027" spans="1:27">
      <c r="A1027">
        <f>COUNTIF($W$22:W1027,1)</f>
        <v>0</v>
      </c>
      <c r="B1027">
        <v>1027</v>
      </c>
      <c r="C1027" s="684" t="s">
        <v>2132</v>
      </c>
      <c r="W1027" t="str">
        <f t="shared" si="30"/>
        <v/>
      </c>
      <c r="X1027" s="185" t="str">
        <f t="shared" si="31"/>
        <v/>
      </c>
      <c r="Y1027" s="685">
        <f>'General price list'!$AB1030</f>
        <v>0</v>
      </c>
      <c r="Z1027" t="str">
        <f>IFERROR(X1027*VLOOKUP(C1027,'General price list'!C:I,7,FALSE),"")</f>
        <v/>
      </c>
      <c r="AA1027" t="str">
        <f>IF(X1027&lt;&gt;"",VLOOKUP(C1027,'General price list'!C1030:AN2208,MATCH("HM",Tabulka1[[#Headers],[KÓD]:[NEQ]],0),FALSE),"")</f>
        <v/>
      </c>
    </row>
    <row r="1028" spans="1:27">
      <c r="A1028">
        <f>COUNTIF($W$22:W1028,1)</f>
        <v>0</v>
      </c>
      <c r="B1028">
        <v>1028</v>
      </c>
      <c r="C1028" s="684" t="s">
        <v>2133</v>
      </c>
      <c r="W1028" t="str">
        <f t="shared" si="30"/>
        <v/>
      </c>
      <c r="X1028" s="185" t="str">
        <f t="shared" si="31"/>
        <v/>
      </c>
      <c r="Y1028" s="685">
        <f>'General price list'!$AB1031</f>
        <v>0</v>
      </c>
      <c r="Z1028" t="str">
        <f>IFERROR(X1028*VLOOKUP(C1028,'General price list'!C:I,7,FALSE),"")</f>
        <v/>
      </c>
      <c r="AA1028" t="str">
        <f>IF(X1028&lt;&gt;"",VLOOKUP(C1028,'General price list'!C1031:AN2209,MATCH("HM",Tabulka1[[#Headers],[KÓD]:[NEQ]],0),FALSE),"")</f>
        <v/>
      </c>
    </row>
    <row r="1029" spans="1:27">
      <c r="A1029">
        <f>COUNTIF($W$22:W1029,1)</f>
        <v>0</v>
      </c>
      <c r="B1029">
        <v>1029</v>
      </c>
      <c r="C1029" s="684" t="s">
        <v>2134</v>
      </c>
      <c r="W1029" t="str">
        <f t="shared" si="30"/>
        <v/>
      </c>
      <c r="X1029" s="185" t="str">
        <f t="shared" si="31"/>
        <v/>
      </c>
      <c r="Y1029" s="685">
        <f>'General price list'!$AB1032</f>
        <v>0</v>
      </c>
      <c r="Z1029" t="str">
        <f>IFERROR(X1029*VLOOKUP(C1029,'General price list'!C:I,7,FALSE),"")</f>
        <v/>
      </c>
      <c r="AA1029" t="str">
        <f>IF(X1029&lt;&gt;"",VLOOKUP(C1029,'General price list'!C1032:AN2210,MATCH("HM",Tabulka1[[#Headers],[KÓD]:[NEQ]],0),FALSE),"")</f>
        <v/>
      </c>
    </row>
    <row r="1030" spans="1:27">
      <c r="A1030">
        <f>COUNTIF($W$22:W1030,1)</f>
        <v>0</v>
      </c>
      <c r="B1030">
        <v>1030</v>
      </c>
      <c r="C1030" s="684" t="s">
        <v>2135</v>
      </c>
      <c r="W1030" t="str">
        <f t="shared" si="30"/>
        <v/>
      </c>
      <c r="X1030" s="185" t="str">
        <f t="shared" si="31"/>
        <v/>
      </c>
      <c r="Y1030" s="685">
        <f>'General price list'!$AB1033</f>
        <v>0</v>
      </c>
      <c r="Z1030" t="str">
        <f>IFERROR(X1030*VLOOKUP(C1030,'General price list'!C:I,7,FALSE),"")</f>
        <v/>
      </c>
      <c r="AA1030" t="str">
        <f>IF(X1030&lt;&gt;"",VLOOKUP(C1030,'General price list'!C1033:AN2211,MATCH("HM",Tabulka1[[#Headers],[KÓD]:[NEQ]],0),FALSE),"")</f>
        <v/>
      </c>
    </row>
    <row r="1031" spans="1:27">
      <c r="A1031">
        <f>COUNTIF($W$22:W1031,1)</f>
        <v>0</v>
      </c>
      <c r="B1031">
        <v>1031</v>
      </c>
      <c r="C1031" s="684" t="s">
        <v>2136</v>
      </c>
      <c r="W1031" t="str">
        <f t="shared" si="30"/>
        <v/>
      </c>
      <c r="X1031" s="185" t="str">
        <f t="shared" si="31"/>
        <v/>
      </c>
      <c r="Y1031" s="685">
        <f>'General price list'!$AB1034</f>
        <v>0</v>
      </c>
      <c r="Z1031" t="str">
        <f>IFERROR(X1031*VLOOKUP(C1031,'General price list'!C:I,7,FALSE),"")</f>
        <v/>
      </c>
      <c r="AA1031" t="str">
        <f>IF(X1031&lt;&gt;"",VLOOKUP(C1031,'General price list'!C1034:AN2212,MATCH("HM",Tabulka1[[#Headers],[KÓD]:[NEQ]],0),FALSE),"")</f>
        <v/>
      </c>
    </row>
    <row r="1032" spans="1:27">
      <c r="A1032">
        <f>COUNTIF($W$22:W1032,1)</f>
        <v>0</v>
      </c>
      <c r="B1032">
        <v>1032</v>
      </c>
      <c r="C1032" s="684" t="s">
        <v>2137</v>
      </c>
      <c r="W1032" t="str">
        <f t="shared" si="30"/>
        <v/>
      </c>
      <c r="X1032" s="185" t="str">
        <f t="shared" si="31"/>
        <v/>
      </c>
      <c r="Y1032" s="685">
        <f>'General price list'!$AB1035</f>
        <v>0</v>
      </c>
      <c r="Z1032" t="str">
        <f>IFERROR(X1032*VLOOKUP(C1032,'General price list'!C:I,7,FALSE),"")</f>
        <v/>
      </c>
      <c r="AA1032" t="str">
        <f>IF(X1032&lt;&gt;"",VLOOKUP(C1032,'General price list'!C1035:AN2213,MATCH("HM",Tabulka1[[#Headers],[KÓD]:[NEQ]],0),FALSE),"")</f>
        <v/>
      </c>
    </row>
    <row r="1033" spans="1:27">
      <c r="A1033">
        <f>COUNTIF($W$22:W1033,1)</f>
        <v>0</v>
      </c>
      <c r="B1033">
        <v>1033</v>
      </c>
      <c r="C1033" s="684" t="s">
        <v>2139</v>
      </c>
      <c r="W1033" t="str">
        <f t="shared" si="30"/>
        <v/>
      </c>
      <c r="X1033" s="185" t="str">
        <f t="shared" si="31"/>
        <v/>
      </c>
      <c r="Y1033" s="685">
        <f>'General price list'!$AB1036</f>
        <v>0</v>
      </c>
      <c r="Z1033" t="str">
        <f>IFERROR(X1033*VLOOKUP(C1033,'General price list'!C:I,7,FALSE),"")</f>
        <v/>
      </c>
      <c r="AA1033" t="str">
        <f>IF(X1033&lt;&gt;"",VLOOKUP(C1033,'General price list'!C1036:AN2214,MATCH("HM",Tabulka1[[#Headers],[KÓD]:[NEQ]],0),FALSE),"")</f>
        <v/>
      </c>
    </row>
    <row r="1034" spans="1:27">
      <c r="A1034">
        <f>COUNTIF($W$22:W1034,1)</f>
        <v>0</v>
      </c>
      <c r="B1034">
        <v>1034</v>
      </c>
      <c r="C1034" s="684" t="s">
        <v>2142</v>
      </c>
      <c r="W1034" t="str">
        <f t="shared" si="30"/>
        <v/>
      </c>
      <c r="X1034" s="185" t="str">
        <f t="shared" si="31"/>
        <v/>
      </c>
      <c r="Y1034" s="685">
        <f>'General price list'!$AB1037</f>
        <v>0</v>
      </c>
      <c r="Z1034" t="str">
        <f>IFERROR(X1034*VLOOKUP(C1034,'General price list'!C:I,7,FALSE),"")</f>
        <v/>
      </c>
      <c r="AA1034" t="str">
        <f>IF(X1034&lt;&gt;"",VLOOKUP(C1034,'General price list'!C1037:AN2215,MATCH("HM",Tabulka1[[#Headers],[KÓD]:[NEQ]],0),FALSE),"")</f>
        <v/>
      </c>
    </row>
    <row r="1035" spans="1:27">
      <c r="A1035">
        <f>COUNTIF($W$22:W1035,1)</f>
        <v>0</v>
      </c>
      <c r="B1035">
        <v>1035</v>
      </c>
      <c r="C1035" s="684" t="s">
        <v>2150</v>
      </c>
      <c r="W1035" t="str">
        <f t="shared" si="30"/>
        <v/>
      </c>
      <c r="X1035" s="185" t="str">
        <f t="shared" si="31"/>
        <v/>
      </c>
      <c r="Y1035" s="685">
        <f>'General price list'!$AB1038</f>
        <v>0</v>
      </c>
      <c r="Z1035" t="str">
        <f>IFERROR(X1035*VLOOKUP(C1035,'General price list'!C:I,7,FALSE),"")</f>
        <v/>
      </c>
      <c r="AA1035" t="str">
        <f>IF(X1035&lt;&gt;"",VLOOKUP(C1035,'General price list'!C1038:AN2216,MATCH("HM",Tabulka1[[#Headers],[KÓD]:[NEQ]],0),FALSE),"")</f>
        <v/>
      </c>
    </row>
    <row r="1036" spans="1:27">
      <c r="A1036">
        <f>COUNTIF($W$22:W1036,1)</f>
        <v>0</v>
      </c>
      <c r="B1036">
        <v>1036</v>
      </c>
      <c r="C1036" s="684" t="s">
        <v>2151</v>
      </c>
      <c r="W1036" t="str">
        <f t="shared" si="30"/>
        <v/>
      </c>
      <c r="X1036" s="185" t="str">
        <f t="shared" si="31"/>
        <v/>
      </c>
      <c r="Y1036" s="685">
        <f>'General price list'!$AB1039</f>
        <v>0</v>
      </c>
      <c r="Z1036" t="str">
        <f>IFERROR(X1036*VLOOKUP(C1036,'General price list'!C:I,7,FALSE),"")</f>
        <v/>
      </c>
      <c r="AA1036" t="str">
        <f>IF(X1036&lt;&gt;"",VLOOKUP(C1036,'General price list'!C1039:AN2217,MATCH("HM",Tabulka1[[#Headers],[KÓD]:[NEQ]],0),FALSE),"")</f>
        <v/>
      </c>
    </row>
    <row r="1037" spans="1:27">
      <c r="A1037">
        <f>COUNTIF($W$22:W1037,1)</f>
        <v>0</v>
      </c>
      <c r="B1037">
        <v>1037</v>
      </c>
      <c r="C1037" s="684" t="s">
        <v>2153</v>
      </c>
      <c r="W1037" t="str">
        <f t="shared" si="30"/>
        <v/>
      </c>
      <c r="X1037" s="185" t="str">
        <f t="shared" si="31"/>
        <v/>
      </c>
      <c r="Y1037" s="685">
        <f>'General price list'!$AB1040</f>
        <v>0</v>
      </c>
      <c r="Z1037" t="str">
        <f>IFERROR(X1037*VLOOKUP(C1037,'General price list'!C:I,7,FALSE),"")</f>
        <v/>
      </c>
      <c r="AA1037" t="str">
        <f>IF(X1037&lt;&gt;"",VLOOKUP(C1037,'General price list'!C1040:AN2218,MATCH("HM",Tabulka1[[#Headers],[KÓD]:[NEQ]],0),FALSE),"")</f>
        <v/>
      </c>
    </row>
    <row r="1038" spans="1:27">
      <c r="A1038">
        <f>COUNTIF($W$22:W1038,1)</f>
        <v>0</v>
      </c>
      <c r="B1038">
        <v>1038</v>
      </c>
      <c r="C1038" s="684" t="s">
        <v>2630</v>
      </c>
      <c r="W1038" t="str">
        <f t="shared" si="30"/>
        <v/>
      </c>
      <c r="X1038" s="185" t="str">
        <f t="shared" si="31"/>
        <v/>
      </c>
      <c r="Y1038" s="685">
        <f>'General price list'!$AB1041</f>
        <v>0</v>
      </c>
      <c r="Z1038" t="str">
        <f>IFERROR(X1038*VLOOKUP(C1038,'General price list'!C:I,7,FALSE),"")</f>
        <v/>
      </c>
      <c r="AA1038" t="str">
        <f>IF(X1038&lt;&gt;"",VLOOKUP(C1038,'General price list'!C1041:AN2219,MATCH("HM",Tabulka1[[#Headers],[KÓD]:[NEQ]],0),FALSE),"")</f>
        <v/>
      </c>
    </row>
    <row r="1039" spans="1:27">
      <c r="A1039">
        <f>COUNTIF($W$22:W1039,1)</f>
        <v>0</v>
      </c>
      <c r="B1039">
        <v>1039</v>
      </c>
      <c r="C1039" s="684" t="s">
        <v>2632</v>
      </c>
      <c r="W1039" t="str">
        <f t="shared" si="30"/>
        <v/>
      </c>
      <c r="X1039" s="185" t="str">
        <f t="shared" si="31"/>
        <v/>
      </c>
      <c r="Y1039" s="685">
        <f>'General price list'!$AB1042</f>
        <v>0</v>
      </c>
      <c r="Z1039" t="str">
        <f>IFERROR(X1039*VLOOKUP(C1039,'General price list'!C:I,7,FALSE),"")</f>
        <v/>
      </c>
      <c r="AA1039" t="str">
        <f>IF(X1039&lt;&gt;"",VLOOKUP(C1039,'General price list'!C1042:AN2220,MATCH("HM",Tabulka1[[#Headers],[KÓD]:[NEQ]],0),FALSE),"")</f>
        <v/>
      </c>
    </row>
    <row r="1040" spans="1:27">
      <c r="A1040">
        <f>COUNTIF($W$22:W1040,1)</f>
        <v>0</v>
      </c>
      <c r="B1040">
        <v>1040</v>
      </c>
      <c r="C1040" s="684" t="s">
        <v>2154</v>
      </c>
      <c r="W1040" t="str">
        <f t="shared" si="30"/>
        <v/>
      </c>
      <c r="X1040" s="185" t="str">
        <f t="shared" si="31"/>
        <v/>
      </c>
      <c r="Y1040" s="685">
        <f>'General price list'!$AB1043</f>
        <v>0</v>
      </c>
      <c r="Z1040" t="str">
        <f>IFERROR(X1040*VLOOKUP(C1040,'General price list'!C:I,7,FALSE),"")</f>
        <v/>
      </c>
      <c r="AA1040" t="str">
        <f>IF(X1040&lt;&gt;"",VLOOKUP(C1040,'General price list'!C1043:AN2221,MATCH("HM",Tabulka1[[#Headers],[KÓD]:[NEQ]],0),FALSE),"")</f>
        <v/>
      </c>
    </row>
    <row r="1041" spans="1:27">
      <c r="A1041">
        <f>COUNTIF($W$22:W1041,1)</f>
        <v>0</v>
      </c>
      <c r="B1041">
        <v>1041</v>
      </c>
      <c r="W1041" t="str">
        <f t="shared" si="30"/>
        <v/>
      </c>
      <c r="X1041" s="185" t="str">
        <f t="shared" si="31"/>
        <v/>
      </c>
      <c r="Y1041" s="685">
        <f>'General price list'!$AB1044</f>
        <v>0</v>
      </c>
      <c r="Z1041" t="str">
        <f>IFERROR(X1041*VLOOKUP(C1041,'General price list'!C:I,7,FALSE),"")</f>
        <v/>
      </c>
      <c r="AA1041" t="str">
        <f>IF(X1041&lt;&gt;"",VLOOKUP(C1041,'General price list'!C1044:AN2222,MATCH("HM",Tabulka1[[#Headers],[KÓD]:[NEQ]],0),FALSE),"")</f>
        <v/>
      </c>
    </row>
    <row r="1042" spans="1:27">
      <c r="A1042">
        <f>COUNTIF($W$22:W1042,1)</f>
        <v>0</v>
      </c>
      <c r="B1042">
        <v>1042</v>
      </c>
      <c r="C1042" s="684" t="s">
        <v>2168</v>
      </c>
      <c r="W1042" t="str">
        <f t="shared" si="30"/>
        <v/>
      </c>
      <c r="X1042" s="185" t="str">
        <f t="shared" si="31"/>
        <v/>
      </c>
      <c r="Y1042" s="685">
        <f>'General price list'!$AB1045</f>
        <v>0</v>
      </c>
      <c r="Z1042" t="str">
        <f>IFERROR(X1042*VLOOKUP(C1042,'General price list'!C:I,7,FALSE),"")</f>
        <v/>
      </c>
      <c r="AA1042" t="str">
        <f>IF(X1042&lt;&gt;"",VLOOKUP(C1042,'General price list'!C1045:AN2223,MATCH("HM",Tabulka1[[#Headers],[KÓD]:[NEQ]],0),FALSE),"")</f>
        <v/>
      </c>
    </row>
    <row r="1043" spans="1:27">
      <c r="A1043">
        <f>COUNTIF($W$22:W1043,1)</f>
        <v>0</v>
      </c>
      <c r="B1043">
        <v>1043</v>
      </c>
      <c r="C1043" s="684" t="s">
        <v>2171</v>
      </c>
      <c r="W1043" t="str">
        <f t="shared" si="30"/>
        <v/>
      </c>
      <c r="X1043" s="185" t="str">
        <f t="shared" si="31"/>
        <v/>
      </c>
      <c r="Y1043" s="685">
        <f>'General price list'!$AB1046</f>
        <v>0</v>
      </c>
      <c r="Z1043" t="str">
        <f>IFERROR(X1043*VLOOKUP(C1043,'General price list'!C:I,7,FALSE),"")</f>
        <v/>
      </c>
      <c r="AA1043" t="str">
        <f>IF(X1043&lt;&gt;"",VLOOKUP(C1043,'General price list'!C1046:AN2224,MATCH("HM",Tabulka1[[#Headers],[KÓD]:[NEQ]],0),FALSE),"")</f>
        <v/>
      </c>
    </row>
    <row r="1044" spans="1:27">
      <c r="A1044">
        <f>COUNTIF($W$22:W1044,1)</f>
        <v>0</v>
      </c>
      <c r="B1044">
        <v>1044</v>
      </c>
      <c r="C1044" s="684" t="s">
        <v>2174</v>
      </c>
      <c r="W1044" t="str">
        <f t="shared" si="30"/>
        <v/>
      </c>
      <c r="X1044" s="185" t="str">
        <f t="shared" si="31"/>
        <v/>
      </c>
      <c r="Y1044" s="685">
        <f>'General price list'!$AB1047</f>
        <v>0</v>
      </c>
      <c r="Z1044" t="str">
        <f>IFERROR(X1044*VLOOKUP(C1044,'General price list'!C:I,7,FALSE),"")</f>
        <v/>
      </c>
      <c r="AA1044" t="str">
        <f>IF(X1044&lt;&gt;"",VLOOKUP(C1044,'General price list'!C1047:AN2225,MATCH("HM",Tabulka1[[#Headers],[KÓD]:[NEQ]],0),FALSE),"")</f>
        <v/>
      </c>
    </row>
    <row r="1045" spans="1:27">
      <c r="A1045">
        <f>COUNTIF($W$22:W1045,1)</f>
        <v>0</v>
      </c>
      <c r="B1045">
        <v>1045</v>
      </c>
      <c r="C1045" s="684" t="s">
        <v>2177</v>
      </c>
      <c r="W1045" t="str">
        <f t="shared" si="30"/>
        <v/>
      </c>
      <c r="X1045" s="185" t="str">
        <f t="shared" si="31"/>
        <v/>
      </c>
      <c r="Y1045" s="685">
        <f>'General price list'!$AB1048</f>
        <v>0</v>
      </c>
      <c r="Z1045" t="str">
        <f>IFERROR(X1045*VLOOKUP(C1045,'General price list'!C:I,7,FALSE),"")</f>
        <v/>
      </c>
      <c r="AA1045" t="str">
        <f>IF(X1045&lt;&gt;"",VLOOKUP(C1045,'General price list'!C1048:AN2226,MATCH("HM",Tabulka1[[#Headers],[KÓD]:[NEQ]],0),FALSE),"")</f>
        <v/>
      </c>
    </row>
    <row r="1046" spans="1:27">
      <c r="A1046">
        <f>COUNTIF($W$22:W1046,1)</f>
        <v>0</v>
      </c>
      <c r="B1046">
        <v>1046</v>
      </c>
      <c r="W1046" t="str">
        <f t="shared" si="30"/>
        <v/>
      </c>
      <c r="X1046" s="185" t="str">
        <f t="shared" si="31"/>
        <v/>
      </c>
      <c r="Y1046" s="685">
        <f>'General price list'!$AB1049</f>
        <v>0</v>
      </c>
      <c r="Z1046" t="str">
        <f>IFERROR(X1046*VLOOKUP(C1046,'General price list'!C:I,7,FALSE),"")</f>
        <v/>
      </c>
      <c r="AA1046" t="str">
        <f>IF(X1046&lt;&gt;"",VLOOKUP(C1046,'General price list'!C1049:AN2227,MATCH("HM",Tabulka1[[#Headers],[KÓD]:[NEQ]],0),FALSE),"")</f>
        <v/>
      </c>
    </row>
    <row r="1047" spans="1:27">
      <c r="A1047">
        <f>COUNTIF($W$22:W1047,1)</f>
        <v>0</v>
      </c>
      <c r="B1047">
        <v>1047</v>
      </c>
      <c r="C1047" s="684" t="s">
        <v>2637</v>
      </c>
      <c r="W1047" t="str">
        <f t="shared" ref="W1047:W1110" si="32">IF(Y1047+1=1,"",1)</f>
        <v/>
      </c>
      <c r="X1047" s="185" t="str">
        <f t="shared" si="31"/>
        <v/>
      </c>
      <c r="Y1047" s="685">
        <f>'General price list'!$AB1050</f>
        <v>0</v>
      </c>
      <c r="Z1047" t="str">
        <f>IFERROR(X1047*VLOOKUP(C1047,'General price list'!C:I,7,FALSE),"")</f>
        <v/>
      </c>
      <c r="AA1047" t="str">
        <f>IF(X1047&lt;&gt;"",VLOOKUP(C1047,'General price list'!C1050:AN2228,MATCH("HM",Tabulka1[[#Headers],[KÓD]:[NEQ]],0),FALSE),"")</f>
        <v/>
      </c>
    </row>
    <row r="1048" spans="1:27">
      <c r="A1048">
        <f>COUNTIF($W$22:W1048,1)</f>
        <v>0</v>
      </c>
      <c r="B1048">
        <v>1048</v>
      </c>
      <c r="W1048" t="str">
        <f t="shared" si="32"/>
        <v/>
      </c>
      <c r="X1048" s="185" t="str">
        <f t="shared" ref="X1048:X1111" si="33">IF(A1048&gt;$C$21,"",IF(Y1048=0,"",Y1048))</f>
        <v/>
      </c>
      <c r="Y1048" s="685">
        <f>'General price list'!$AB1051</f>
        <v>0</v>
      </c>
      <c r="Z1048" t="str">
        <f>IFERROR(X1048*VLOOKUP(C1048,'General price list'!C:I,7,FALSE),"")</f>
        <v/>
      </c>
      <c r="AA1048" t="str">
        <f>IF(X1048&lt;&gt;"",VLOOKUP(C1048,'General price list'!C1051:AN2229,MATCH("HM",Tabulka1[[#Headers],[KÓD]:[NEQ]],0),FALSE),"")</f>
        <v/>
      </c>
    </row>
    <row r="1049" spans="1:27">
      <c r="A1049">
        <f>COUNTIF($W$22:W1049,1)</f>
        <v>0</v>
      </c>
      <c r="B1049">
        <v>1049</v>
      </c>
      <c r="C1049" s="684" t="s">
        <v>2639</v>
      </c>
      <c r="W1049" t="str">
        <f t="shared" si="32"/>
        <v/>
      </c>
      <c r="X1049" s="185" t="str">
        <f t="shared" si="33"/>
        <v/>
      </c>
      <c r="Y1049" s="685">
        <f>'General price list'!$AB1052</f>
        <v>0</v>
      </c>
      <c r="Z1049" t="str">
        <f>IFERROR(X1049*VLOOKUP(C1049,'General price list'!C:I,7,FALSE),"")</f>
        <v/>
      </c>
      <c r="AA1049" t="str">
        <f>IF(X1049&lt;&gt;"",VLOOKUP(C1049,'General price list'!C1052:AN2230,MATCH("HM",Tabulka1[[#Headers],[KÓD]:[NEQ]],0),FALSE),"")</f>
        <v/>
      </c>
    </row>
    <row r="1050" spans="1:27">
      <c r="A1050">
        <f>COUNTIF($W$22:W1050,1)</f>
        <v>0</v>
      </c>
      <c r="B1050">
        <v>1050</v>
      </c>
      <c r="C1050" s="684" t="s">
        <v>2208</v>
      </c>
      <c r="W1050" t="str">
        <f t="shared" si="32"/>
        <v/>
      </c>
      <c r="X1050" s="185" t="str">
        <f t="shared" si="33"/>
        <v/>
      </c>
      <c r="Y1050" s="685">
        <f>'General price list'!$AB1053</f>
        <v>0</v>
      </c>
      <c r="Z1050" t="str">
        <f>IFERROR(X1050*VLOOKUP(C1050,'General price list'!C:I,7,FALSE),"")</f>
        <v/>
      </c>
      <c r="AA1050" t="str">
        <f>IF(X1050&lt;&gt;"",VLOOKUP(C1050,'General price list'!C1053:AN2231,MATCH("HM",Tabulka1[[#Headers],[KÓD]:[NEQ]],0),FALSE),"")</f>
        <v/>
      </c>
    </row>
    <row r="1051" spans="1:27">
      <c r="A1051">
        <f>COUNTIF($W$22:W1051,1)</f>
        <v>0</v>
      </c>
      <c r="B1051">
        <v>1051</v>
      </c>
      <c r="C1051" s="684" t="s">
        <v>2209</v>
      </c>
      <c r="W1051" t="str">
        <f t="shared" si="32"/>
        <v/>
      </c>
      <c r="X1051" s="185" t="str">
        <f t="shared" si="33"/>
        <v/>
      </c>
      <c r="Y1051" s="685">
        <f>'General price list'!$AB1054</f>
        <v>0</v>
      </c>
      <c r="Z1051" t="str">
        <f>IFERROR(X1051*VLOOKUP(C1051,'General price list'!C:I,7,FALSE),"")</f>
        <v/>
      </c>
      <c r="AA1051" t="str">
        <f>IF(X1051&lt;&gt;"",VLOOKUP(C1051,'General price list'!C1054:AN2232,MATCH("HM",Tabulka1[[#Headers],[KÓD]:[NEQ]],0),FALSE),"")</f>
        <v/>
      </c>
    </row>
    <row r="1052" spans="1:27">
      <c r="A1052">
        <f>COUNTIF($W$22:W1052,1)</f>
        <v>0</v>
      </c>
      <c r="B1052">
        <v>1052</v>
      </c>
      <c r="C1052" s="684" t="s">
        <v>2645</v>
      </c>
      <c r="W1052" t="str">
        <f t="shared" si="32"/>
        <v/>
      </c>
      <c r="X1052" s="185" t="str">
        <f t="shared" si="33"/>
        <v/>
      </c>
      <c r="Y1052" s="685">
        <f>'General price list'!$AB1055</f>
        <v>0</v>
      </c>
      <c r="Z1052" t="str">
        <f>IFERROR(X1052*VLOOKUP(C1052,'General price list'!C:I,7,FALSE),"")</f>
        <v/>
      </c>
      <c r="AA1052" t="str">
        <f>IF(X1052&lt;&gt;"",VLOOKUP(C1052,'General price list'!C1055:AN2233,MATCH("HM",Tabulka1[[#Headers],[KÓD]:[NEQ]],0),FALSE),"")</f>
        <v/>
      </c>
    </row>
    <row r="1053" spans="1:27">
      <c r="A1053">
        <f>COUNTIF($W$22:W1053,1)</f>
        <v>0</v>
      </c>
      <c r="B1053">
        <v>1053</v>
      </c>
      <c r="W1053" t="str">
        <f t="shared" si="32"/>
        <v/>
      </c>
      <c r="X1053" s="185" t="str">
        <f t="shared" si="33"/>
        <v/>
      </c>
      <c r="Y1053" s="685">
        <f>'General price list'!$AB1056</f>
        <v>0</v>
      </c>
      <c r="Z1053" t="str">
        <f>IFERROR(X1053*VLOOKUP(C1053,'General price list'!C:I,7,FALSE),"")</f>
        <v/>
      </c>
      <c r="AA1053" t="str">
        <f>IF(X1053&lt;&gt;"",VLOOKUP(C1053,'General price list'!C1056:AN2234,MATCH("HM",Tabulka1[[#Headers],[KÓD]:[NEQ]],0),FALSE),"")</f>
        <v/>
      </c>
    </row>
    <row r="1054" spans="1:27">
      <c r="A1054">
        <f>COUNTIF($W$22:W1054,1)</f>
        <v>0</v>
      </c>
      <c r="B1054">
        <v>1054</v>
      </c>
      <c r="C1054" s="684" t="s">
        <v>2210</v>
      </c>
      <c r="W1054" t="str">
        <f t="shared" si="32"/>
        <v/>
      </c>
      <c r="X1054" s="185" t="str">
        <f t="shared" si="33"/>
        <v/>
      </c>
      <c r="Y1054" s="685">
        <f>'General price list'!$AB1057</f>
        <v>0</v>
      </c>
      <c r="Z1054" t="str">
        <f>IFERROR(X1054*VLOOKUP(C1054,'General price list'!C:I,7,FALSE),"")</f>
        <v/>
      </c>
      <c r="AA1054" t="str">
        <f>IF(X1054&lt;&gt;"",VLOOKUP(C1054,'General price list'!C1057:AN2235,MATCH("HM",Tabulka1[[#Headers],[KÓD]:[NEQ]],0),FALSE),"")</f>
        <v/>
      </c>
    </row>
    <row r="1055" spans="1:27">
      <c r="A1055">
        <f>COUNTIF($W$22:W1055,1)</f>
        <v>0</v>
      </c>
      <c r="B1055">
        <v>1055</v>
      </c>
      <c r="C1055" s="684" t="s">
        <v>2219</v>
      </c>
      <c r="W1055" t="str">
        <f t="shared" si="32"/>
        <v/>
      </c>
      <c r="X1055" s="185" t="str">
        <f t="shared" si="33"/>
        <v/>
      </c>
      <c r="Y1055" s="685">
        <f>'General price list'!$AB1058</f>
        <v>0</v>
      </c>
      <c r="Z1055" t="str">
        <f>IFERROR(X1055*VLOOKUP(C1055,'General price list'!C:I,7,FALSE),"")</f>
        <v/>
      </c>
      <c r="AA1055" t="str">
        <f>IF(X1055&lt;&gt;"",VLOOKUP(C1055,'General price list'!C1058:AN2236,MATCH("HM",Tabulka1[[#Headers],[KÓD]:[NEQ]],0),FALSE),"")</f>
        <v/>
      </c>
    </row>
    <row r="1056" spans="1:27">
      <c r="A1056">
        <f>COUNTIF($W$22:W1056,1)</f>
        <v>0</v>
      </c>
      <c r="B1056">
        <v>1056</v>
      </c>
      <c r="C1056" s="684" t="s">
        <v>2224</v>
      </c>
      <c r="W1056" t="str">
        <f t="shared" si="32"/>
        <v/>
      </c>
      <c r="X1056" s="185" t="str">
        <f t="shared" si="33"/>
        <v/>
      </c>
      <c r="Y1056" s="685">
        <f>'General price list'!$AB1059</f>
        <v>0</v>
      </c>
      <c r="Z1056" t="str">
        <f>IFERROR(X1056*VLOOKUP(C1056,'General price list'!C:I,7,FALSE),"")</f>
        <v/>
      </c>
      <c r="AA1056" t="str">
        <f>IF(X1056&lt;&gt;"",VLOOKUP(C1056,'General price list'!C1059:AN2237,MATCH("HM",Tabulka1[[#Headers],[KÓD]:[NEQ]],0),FALSE),"")</f>
        <v/>
      </c>
    </row>
    <row r="1057" spans="1:27">
      <c r="A1057">
        <f>COUNTIF($W$22:W1057,1)</f>
        <v>0</v>
      </c>
      <c r="B1057">
        <v>1057</v>
      </c>
      <c r="C1057" s="684" t="s">
        <v>2228</v>
      </c>
      <c r="W1057" t="str">
        <f t="shared" si="32"/>
        <v/>
      </c>
      <c r="X1057" s="185" t="str">
        <f t="shared" si="33"/>
        <v/>
      </c>
      <c r="Y1057" s="685">
        <f>'General price list'!$AB1060</f>
        <v>0</v>
      </c>
      <c r="Z1057" t="str">
        <f>IFERROR(X1057*VLOOKUP(C1057,'General price list'!C:I,7,FALSE),"")</f>
        <v/>
      </c>
      <c r="AA1057" t="str">
        <f>IF(X1057&lt;&gt;"",VLOOKUP(C1057,'General price list'!C1060:AN2238,MATCH("HM",Tabulka1[[#Headers],[KÓD]:[NEQ]],0),FALSE),"")</f>
        <v/>
      </c>
    </row>
    <row r="1058" spans="1:27">
      <c r="A1058">
        <f>COUNTIF($W$22:W1058,1)</f>
        <v>0</v>
      </c>
      <c r="B1058">
        <v>1058</v>
      </c>
      <c r="C1058" s="684" t="s">
        <v>2233</v>
      </c>
      <c r="W1058" t="str">
        <f t="shared" si="32"/>
        <v/>
      </c>
      <c r="X1058" s="185" t="str">
        <f t="shared" si="33"/>
        <v/>
      </c>
      <c r="Y1058" s="685">
        <f>'General price list'!$AB1061</f>
        <v>0</v>
      </c>
      <c r="Z1058" t="str">
        <f>IFERROR(X1058*VLOOKUP(C1058,'General price list'!C:I,7,FALSE),"")</f>
        <v/>
      </c>
      <c r="AA1058" t="str">
        <f>IF(X1058&lt;&gt;"",VLOOKUP(C1058,'General price list'!C1061:AN2239,MATCH("HM",Tabulka1[[#Headers],[KÓD]:[NEQ]],0),FALSE),"")</f>
        <v/>
      </c>
    </row>
    <row r="1059" spans="1:27">
      <c r="A1059">
        <f>COUNTIF($W$22:W1059,1)</f>
        <v>0</v>
      </c>
      <c r="B1059">
        <v>1059</v>
      </c>
      <c r="W1059" t="str">
        <f t="shared" si="32"/>
        <v/>
      </c>
      <c r="X1059" s="185" t="str">
        <f t="shared" si="33"/>
        <v/>
      </c>
      <c r="Y1059" s="685">
        <f>'General price list'!$AB1062</f>
        <v>0</v>
      </c>
      <c r="Z1059" t="str">
        <f>IFERROR(X1059*VLOOKUP(C1059,'General price list'!C:I,7,FALSE),"")</f>
        <v/>
      </c>
      <c r="AA1059" t="str">
        <f>IF(X1059&lt;&gt;"",VLOOKUP(C1059,'General price list'!C1062:AN2240,MATCH("HM",Tabulka1[[#Headers],[KÓD]:[NEQ]],0),FALSE),"")</f>
        <v/>
      </c>
    </row>
    <row r="1060" spans="1:27">
      <c r="A1060">
        <f>COUNTIF($W$22:W1060,1)</f>
        <v>0</v>
      </c>
      <c r="B1060">
        <v>1060</v>
      </c>
      <c r="C1060" s="684" t="s">
        <v>2246</v>
      </c>
      <c r="W1060" t="str">
        <f t="shared" si="32"/>
        <v/>
      </c>
      <c r="X1060" s="185" t="str">
        <f t="shared" si="33"/>
        <v/>
      </c>
      <c r="Y1060" s="685">
        <f>'General price list'!$AB1063</f>
        <v>0</v>
      </c>
      <c r="Z1060" t="str">
        <f>IFERROR(X1060*VLOOKUP(C1060,'General price list'!C:I,7,FALSE),"")</f>
        <v/>
      </c>
      <c r="AA1060" t="str">
        <f>IF(X1060&lt;&gt;"",VLOOKUP(C1060,'General price list'!C1063:AN2241,MATCH("HM",Tabulka1[[#Headers],[KÓD]:[NEQ]],0),FALSE),"")</f>
        <v/>
      </c>
    </row>
    <row r="1061" spans="1:27">
      <c r="A1061">
        <f>COUNTIF($W$22:W1061,1)</f>
        <v>0</v>
      </c>
      <c r="B1061">
        <v>1061</v>
      </c>
      <c r="C1061" s="684" t="s">
        <v>2251</v>
      </c>
      <c r="W1061" t="str">
        <f t="shared" si="32"/>
        <v/>
      </c>
      <c r="X1061" s="185" t="str">
        <f t="shared" si="33"/>
        <v/>
      </c>
      <c r="Y1061" s="685">
        <f>'General price list'!$AB1064</f>
        <v>0</v>
      </c>
      <c r="Z1061" t="str">
        <f>IFERROR(X1061*VLOOKUP(C1061,'General price list'!C:I,7,FALSE),"")</f>
        <v/>
      </c>
      <c r="AA1061" t="str">
        <f>IF(X1061&lt;&gt;"",VLOOKUP(C1061,'General price list'!C1064:AN2242,MATCH("HM",Tabulka1[[#Headers],[KÓD]:[NEQ]],0),FALSE),"")</f>
        <v/>
      </c>
    </row>
    <row r="1062" spans="1:27">
      <c r="A1062">
        <f>COUNTIF($W$22:W1062,1)</f>
        <v>0</v>
      </c>
      <c r="B1062">
        <v>1062</v>
      </c>
      <c r="C1062" s="684" t="s">
        <v>2260</v>
      </c>
      <c r="W1062" t="str">
        <f t="shared" si="32"/>
        <v/>
      </c>
      <c r="X1062" s="185" t="str">
        <f t="shared" si="33"/>
        <v/>
      </c>
      <c r="Y1062" s="685">
        <f>'General price list'!$AB1065</f>
        <v>0</v>
      </c>
      <c r="Z1062" t="str">
        <f>IFERROR(X1062*VLOOKUP(C1062,'General price list'!C:I,7,FALSE),"")</f>
        <v/>
      </c>
      <c r="AA1062" t="str">
        <f>IF(X1062&lt;&gt;"",VLOOKUP(C1062,'General price list'!C1065:AN2243,MATCH("HM",Tabulka1[[#Headers],[KÓD]:[NEQ]],0),FALSE),"")</f>
        <v/>
      </c>
    </row>
    <row r="1063" spans="1:27">
      <c r="A1063">
        <f>COUNTIF($W$22:W1063,1)</f>
        <v>0</v>
      </c>
      <c r="B1063">
        <v>1063</v>
      </c>
      <c r="C1063" s="684" t="s">
        <v>2877</v>
      </c>
      <c r="W1063" t="str">
        <f t="shared" si="32"/>
        <v/>
      </c>
      <c r="X1063" s="185" t="str">
        <f t="shared" si="33"/>
        <v/>
      </c>
      <c r="Y1063" s="685">
        <f>'General price list'!$AB1066</f>
        <v>0</v>
      </c>
      <c r="Z1063" t="str">
        <f>IFERROR(X1063*VLOOKUP(C1063,'General price list'!C:I,7,FALSE),"")</f>
        <v/>
      </c>
      <c r="AA1063" t="str">
        <f>IF(X1063&lt;&gt;"",VLOOKUP(C1063,'General price list'!C1066:AN2244,MATCH("HM",Tabulka1[[#Headers],[KÓD]:[NEQ]],0),FALSE),"")</f>
        <v/>
      </c>
    </row>
    <row r="1064" spans="1:27">
      <c r="A1064">
        <f>COUNTIF($W$22:W1064,1)</f>
        <v>0</v>
      </c>
      <c r="B1064">
        <v>1064</v>
      </c>
      <c r="W1064" t="str">
        <f t="shared" si="32"/>
        <v/>
      </c>
      <c r="X1064" s="185" t="str">
        <f t="shared" si="33"/>
        <v/>
      </c>
      <c r="Y1064" s="685">
        <f>'General price list'!$AB1067</f>
        <v>0</v>
      </c>
      <c r="Z1064" t="str">
        <f>IFERROR(X1064*VLOOKUP(C1064,'General price list'!C:I,7,FALSE),"")</f>
        <v/>
      </c>
      <c r="AA1064" t="str">
        <f>IF(X1064&lt;&gt;"",VLOOKUP(C1064,'General price list'!C1067:AN2245,MATCH("HM",Tabulka1[[#Headers],[KÓD]:[NEQ]],0),FALSE),"")</f>
        <v/>
      </c>
    </row>
    <row r="1065" spans="1:27">
      <c r="A1065">
        <f>COUNTIF($W$22:W1065,1)</f>
        <v>0</v>
      </c>
      <c r="B1065">
        <v>1065</v>
      </c>
      <c r="C1065" s="684" t="s">
        <v>2270</v>
      </c>
      <c r="W1065" t="str">
        <f t="shared" si="32"/>
        <v/>
      </c>
      <c r="X1065" s="185" t="str">
        <f t="shared" si="33"/>
        <v/>
      </c>
      <c r="Y1065" s="685">
        <f>'General price list'!$AB1068</f>
        <v>0</v>
      </c>
      <c r="Z1065" t="str">
        <f>IFERROR(X1065*VLOOKUP(C1065,'General price list'!C:I,7,FALSE),"")</f>
        <v/>
      </c>
      <c r="AA1065" t="str">
        <f>IF(X1065&lt;&gt;"",VLOOKUP(C1065,'General price list'!C1068:AN2246,MATCH("HM",Tabulka1[[#Headers],[KÓD]:[NEQ]],0),FALSE),"")</f>
        <v/>
      </c>
    </row>
    <row r="1066" spans="1:27">
      <c r="A1066">
        <f>COUNTIF($W$22:W1066,1)</f>
        <v>0</v>
      </c>
      <c r="B1066">
        <v>1066</v>
      </c>
      <c r="C1066" s="684" t="s">
        <v>2276</v>
      </c>
      <c r="W1066" t="str">
        <f t="shared" si="32"/>
        <v/>
      </c>
      <c r="X1066" s="185" t="str">
        <f t="shared" si="33"/>
        <v/>
      </c>
      <c r="Y1066" s="685">
        <f>'General price list'!$AB1069</f>
        <v>0</v>
      </c>
      <c r="Z1066" t="str">
        <f>IFERROR(X1066*VLOOKUP(C1066,'General price list'!C:I,7,FALSE),"")</f>
        <v/>
      </c>
      <c r="AA1066" t="str">
        <f>IF(X1066&lt;&gt;"",VLOOKUP(C1066,'General price list'!C1069:AN2247,MATCH("HM",Tabulka1[[#Headers],[KÓD]:[NEQ]],0),FALSE),"")</f>
        <v/>
      </c>
    </row>
    <row r="1067" spans="1:27">
      <c r="A1067">
        <f>COUNTIF($W$22:W1067,1)</f>
        <v>0</v>
      </c>
      <c r="B1067">
        <v>1067</v>
      </c>
      <c r="C1067" s="684" t="s">
        <v>2282</v>
      </c>
      <c r="W1067" t="str">
        <f t="shared" si="32"/>
        <v/>
      </c>
      <c r="X1067" s="185" t="str">
        <f t="shared" si="33"/>
        <v/>
      </c>
      <c r="Y1067" s="685">
        <f>'General price list'!$AB1070</f>
        <v>0</v>
      </c>
      <c r="Z1067" t="str">
        <f>IFERROR(X1067*VLOOKUP(C1067,'General price list'!C:I,7,FALSE),"")</f>
        <v/>
      </c>
      <c r="AA1067" t="str">
        <f>IF(X1067&lt;&gt;"",VLOOKUP(C1067,'General price list'!C1070:AN2248,MATCH("HM",Tabulka1[[#Headers],[KÓD]:[NEQ]],0),FALSE),"")</f>
        <v/>
      </c>
    </row>
    <row r="1068" spans="1:27">
      <c r="A1068">
        <f>COUNTIF($W$22:W1068,1)</f>
        <v>0</v>
      </c>
      <c r="B1068">
        <v>1068</v>
      </c>
      <c r="C1068" s="684" t="s">
        <v>2287</v>
      </c>
      <c r="W1068" t="str">
        <f t="shared" si="32"/>
        <v/>
      </c>
      <c r="X1068" s="185" t="str">
        <f t="shared" si="33"/>
        <v/>
      </c>
      <c r="Y1068" s="685">
        <f>'General price list'!$AB1071</f>
        <v>0</v>
      </c>
      <c r="Z1068" t="str">
        <f>IFERROR(X1068*VLOOKUP(C1068,'General price list'!C:I,7,FALSE),"")</f>
        <v/>
      </c>
      <c r="AA1068" t="str">
        <f>IF(X1068&lt;&gt;"",VLOOKUP(C1068,'General price list'!C1071:AN2249,MATCH("HM",Tabulka1[[#Headers],[KÓD]:[NEQ]],0),FALSE),"")</f>
        <v/>
      </c>
    </row>
    <row r="1069" spans="1:27">
      <c r="A1069">
        <f>COUNTIF($W$22:W1069,1)</f>
        <v>0</v>
      </c>
      <c r="B1069">
        <v>1069</v>
      </c>
      <c r="C1069" s="684" t="s">
        <v>2293</v>
      </c>
      <c r="W1069" t="str">
        <f t="shared" si="32"/>
        <v/>
      </c>
      <c r="X1069" s="185" t="str">
        <f t="shared" si="33"/>
        <v/>
      </c>
      <c r="Y1069" s="685">
        <f>'General price list'!$AB1072</f>
        <v>0</v>
      </c>
      <c r="Z1069" t="str">
        <f>IFERROR(X1069*VLOOKUP(C1069,'General price list'!C:I,7,FALSE),"")</f>
        <v/>
      </c>
      <c r="AA1069" t="str">
        <f>IF(X1069&lt;&gt;"",VLOOKUP(C1069,'General price list'!C1072:AN2250,MATCH("HM",Tabulka1[[#Headers],[KÓD]:[NEQ]],0),FALSE),"")</f>
        <v/>
      </c>
    </row>
    <row r="1070" spans="1:27">
      <c r="A1070">
        <f>COUNTIF($W$22:W1070,1)</f>
        <v>0</v>
      </c>
      <c r="B1070">
        <v>1070</v>
      </c>
      <c r="W1070" t="str">
        <f t="shared" si="32"/>
        <v/>
      </c>
      <c r="X1070" s="185" t="str">
        <f t="shared" si="33"/>
        <v/>
      </c>
      <c r="Y1070" s="685">
        <f>'General price list'!$AB1073</f>
        <v>0</v>
      </c>
      <c r="Z1070" t="str">
        <f>IFERROR(X1070*VLOOKUP(C1070,'General price list'!C:I,7,FALSE),"")</f>
        <v/>
      </c>
      <c r="AA1070" t="str">
        <f>IF(X1070&lt;&gt;"",VLOOKUP(C1070,'General price list'!C1073:AN2251,MATCH("HM",Tabulka1[[#Headers],[KÓD]:[NEQ]],0),FALSE),"")</f>
        <v/>
      </c>
    </row>
    <row r="1071" spans="1:27">
      <c r="A1071">
        <f>COUNTIF($W$22:W1071,1)</f>
        <v>0</v>
      </c>
      <c r="B1071">
        <v>1071</v>
      </c>
      <c r="W1071" t="str">
        <f t="shared" si="32"/>
        <v/>
      </c>
      <c r="X1071" s="185" t="str">
        <f t="shared" si="33"/>
        <v/>
      </c>
      <c r="Y1071" s="685">
        <f>'General price list'!$AB1074</f>
        <v>0</v>
      </c>
      <c r="Z1071" t="str">
        <f>IFERROR(X1071*VLOOKUP(C1071,'General price list'!C:I,7,FALSE),"")</f>
        <v/>
      </c>
      <c r="AA1071" t="str">
        <f>IF(X1071&lt;&gt;"",VLOOKUP(C1071,'General price list'!C1074:AN2252,MATCH("HM",Tabulka1[[#Headers],[KÓD]:[NEQ]],0),FALSE),"")</f>
        <v/>
      </c>
    </row>
    <row r="1072" spans="1:27">
      <c r="A1072">
        <f>COUNTIF($W$22:W1072,1)</f>
        <v>0</v>
      </c>
      <c r="B1072">
        <v>1072</v>
      </c>
      <c r="C1072" s="684" t="s">
        <v>2310</v>
      </c>
      <c r="W1072" t="str">
        <f t="shared" si="32"/>
        <v/>
      </c>
      <c r="X1072" s="185" t="str">
        <f t="shared" si="33"/>
        <v/>
      </c>
      <c r="Y1072" s="685">
        <f>'General price list'!$AB1075</f>
        <v>0</v>
      </c>
      <c r="Z1072" t="str">
        <f>IFERROR(X1072*VLOOKUP(C1072,'General price list'!C:I,7,FALSE),"")</f>
        <v/>
      </c>
      <c r="AA1072" t="str">
        <f>IF(X1072&lt;&gt;"",VLOOKUP(C1072,'General price list'!C1075:AN2253,MATCH("HM",Tabulka1[[#Headers],[KÓD]:[NEQ]],0),FALSE),"")</f>
        <v/>
      </c>
    </row>
    <row r="1073" spans="1:27">
      <c r="A1073">
        <f>COUNTIF($W$22:W1073,1)</f>
        <v>0</v>
      </c>
      <c r="B1073">
        <v>1073</v>
      </c>
      <c r="W1073" t="str">
        <f t="shared" si="32"/>
        <v/>
      </c>
      <c r="X1073" s="185" t="str">
        <f t="shared" si="33"/>
        <v/>
      </c>
      <c r="Y1073" s="685">
        <f>'General price list'!$AB1076</f>
        <v>0</v>
      </c>
      <c r="Z1073" t="str">
        <f>IFERROR(X1073*VLOOKUP(C1073,'General price list'!C:I,7,FALSE),"")</f>
        <v/>
      </c>
      <c r="AA1073" t="str">
        <f>IF(X1073&lt;&gt;"",VLOOKUP(C1073,'General price list'!C1076:AN2254,MATCH("HM",Tabulka1[[#Headers],[KÓD]:[NEQ]],0),FALSE),"")</f>
        <v/>
      </c>
    </row>
    <row r="1074" spans="1:27">
      <c r="A1074">
        <f>COUNTIF($W$22:W1074,1)</f>
        <v>0</v>
      </c>
      <c r="B1074">
        <v>1074</v>
      </c>
      <c r="C1074" s="684" t="s">
        <v>2648</v>
      </c>
      <c r="W1074" t="str">
        <f t="shared" si="32"/>
        <v/>
      </c>
      <c r="X1074" s="185" t="str">
        <f t="shared" si="33"/>
        <v/>
      </c>
      <c r="Y1074" s="685">
        <f>'General price list'!$AB1077</f>
        <v>0</v>
      </c>
      <c r="Z1074" t="str">
        <f>IFERROR(X1074*VLOOKUP(C1074,'General price list'!C:I,7,FALSE),"")</f>
        <v/>
      </c>
      <c r="AA1074" t="str">
        <f>IF(X1074&lt;&gt;"",VLOOKUP(C1074,'General price list'!C1077:AN2255,MATCH("HM",Tabulka1[[#Headers],[KÓD]:[NEQ]],0),FALSE),"")</f>
        <v/>
      </c>
    </row>
    <row r="1075" spans="1:27">
      <c r="A1075">
        <f>COUNTIF($W$22:W1075,1)</f>
        <v>0</v>
      </c>
      <c r="B1075">
        <v>1075</v>
      </c>
      <c r="W1075" t="str">
        <f t="shared" si="32"/>
        <v/>
      </c>
      <c r="X1075" s="185" t="str">
        <f t="shared" si="33"/>
        <v/>
      </c>
      <c r="Y1075" s="685">
        <f>'General price list'!$AB1078</f>
        <v>0</v>
      </c>
      <c r="Z1075" t="str">
        <f>IFERROR(X1075*VLOOKUP(C1075,'General price list'!C:I,7,FALSE),"")</f>
        <v/>
      </c>
      <c r="AA1075" t="str">
        <f>IF(X1075&lt;&gt;"",VLOOKUP(C1075,'General price list'!C1078:AN2256,MATCH("HM",Tabulka1[[#Headers],[KÓD]:[NEQ]],0),FALSE),"")</f>
        <v/>
      </c>
    </row>
    <row r="1076" spans="1:27">
      <c r="A1076">
        <f>COUNTIF($W$22:W1076,1)</f>
        <v>0</v>
      </c>
      <c r="B1076">
        <v>1076</v>
      </c>
      <c r="C1076" s="684" t="s">
        <v>3075</v>
      </c>
      <c r="W1076" t="str">
        <f t="shared" si="32"/>
        <v/>
      </c>
      <c r="X1076" s="185" t="str">
        <f t="shared" si="33"/>
        <v/>
      </c>
      <c r="Y1076" s="685">
        <f>'General price list'!$AB1079</f>
        <v>0</v>
      </c>
      <c r="Z1076" t="str">
        <f>IFERROR(X1076*VLOOKUP(C1076,'General price list'!C:I,7,FALSE),"")</f>
        <v/>
      </c>
      <c r="AA1076" t="str">
        <f>IF(X1076&lt;&gt;"",VLOOKUP(C1076,'General price list'!C1079:AN2257,MATCH("HM",Tabulka1[[#Headers],[KÓD]:[NEQ]],0),FALSE),"")</f>
        <v/>
      </c>
    </row>
    <row r="1077" spans="1:27">
      <c r="A1077">
        <f>COUNTIF($W$22:W1077,1)</f>
        <v>0</v>
      </c>
      <c r="B1077">
        <v>1077</v>
      </c>
      <c r="C1077" s="684" t="s">
        <v>2313</v>
      </c>
      <c r="W1077" t="str">
        <f t="shared" si="32"/>
        <v/>
      </c>
      <c r="X1077" s="185" t="str">
        <f t="shared" si="33"/>
        <v/>
      </c>
      <c r="Y1077" s="685">
        <f>'General price list'!$AB1080</f>
        <v>0</v>
      </c>
      <c r="Z1077" t="str">
        <f>IFERROR(X1077*VLOOKUP(C1077,'General price list'!C:I,7,FALSE),"")</f>
        <v/>
      </c>
      <c r="AA1077" t="str">
        <f>IF(X1077&lt;&gt;"",VLOOKUP(C1077,'General price list'!C1080:AN2258,MATCH("HM",Tabulka1[[#Headers],[KÓD]:[NEQ]],0),FALSE),"")</f>
        <v/>
      </c>
    </row>
    <row r="1078" spans="1:27">
      <c r="A1078">
        <f>COUNTIF($W$22:W1078,1)</f>
        <v>0</v>
      </c>
      <c r="B1078">
        <v>1078</v>
      </c>
      <c r="W1078" t="str">
        <f t="shared" si="32"/>
        <v/>
      </c>
      <c r="X1078" s="185" t="str">
        <f t="shared" si="33"/>
        <v/>
      </c>
      <c r="Y1078" s="685">
        <f>'General price list'!$AB1081</f>
        <v>0</v>
      </c>
      <c r="Z1078" t="str">
        <f>IFERROR(X1078*VLOOKUP(C1078,'General price list'!C:I,7,FALSE),"")</f>
        <v/>
      </c>
      <c r="AA1078" t="str">
        <f>IF(X1078&lt;&gt;"",VLOOKUP(C1078,'General price list'!C1081:AN2259,MATCH("HM",Tabulka1[[#Headers],[KÓD]:[NEQ]],0),FALSE),"")</f>
        <v/>
      </c>
    </row>
    <row r="1079" spans="1:27">
      <c r="A1079">
        <f>COUNTIF($W$22:W1079,1)</f>
        <v>0</v>
      </c>
      <c r="B1079">
        <v>1079</v>
      </c>
      <c r="C1079" s="684" t="s">
        <v>2316</v>
      </c>
      <c r="W1079" t="str">
        <f t="shared" si="32"/>
        <v/>
      </c>
      <c r="X1079" s="185" t="str">
        <f t="shared" si="33"/>
        <v/>
      </c>
      <c r="Y1079" s="685">
        <f>'General price list'!$AB1082</f>
        <v>0</v>
      </c>
      <c r="Z1079" t="str">
        <f>IFERROR(X1079*VLOOKUP(C1079,'General price list'!C:I,7,FALSE),"")</f>
        <v/>
      </c>
      <c r="AA1079" t="str">
        <f>IF(X1079&lt;&gt;"",VLOOKUP(C1079,'General price list'!C1082:AN2260,MATCH("HM",Tabulka1[[#Headers],[KÓD]:[NEQ]],0),FALSE),"")</f>
        <v/>
      </c>
    </row>
    <row r="1080" spans="1:27">
      <c r="A1080">
        <f>COUNTIF($W$22:W1080,1)</f>
        <v>0</v>
      </c>
      <c r="B1080">
        <v>1080</v>
      </c>
      <c r="W1080" t="str">
        <f t="shared" si="32"/>
        <v/>
      </c>
      <c r="X1080" s="185" t="str">
        <f t="shared" si="33"/>
        <v/>
      </c>
      <c r="Y1080" s="685">
        <f>'General price list'!$AB1083</f>
        <v>0</v>
      </c>
      <c r="Z1080" t="str">
        <f>IFERROR(X1080*VLOOKUP(C1080,'General price list'!C:I,7,FALSE),"")</f>
        <v/>
      </c>
      <c r="AA1080" t="str">
        <f>IF(X1080&lt;&gt;"",VLOOKUP(C1080,'General price list'!C1083:AN2261,MATCH("HM",Tabulka1[[#Headers],[KÓD]:[NEQ]],0),FALSE),"")</f>
        <v/>
      </c>
    </row>
    <row r="1081" spans="1:27">
      <c r="A1081">
        <f>COUNTIF($W$22:W1081,1)</f>
        <v>0</v>
      </c>
      <c r="B1081">
        <v>1081</v>
      </c>
      <c r="C1081" s="684" t="s">
        <v>13485</v>
      </c>
      <c r="W1081" t="str">
        <f t="shared" si="32"/>
        <v/>
      </c>
      <c r="X1081" s="185" t="str">
        <f t="shared" si="33"/>
        <v/>
      </c>
      <c r="Y1081" s="685">
        <f>'General price list'!$AB1084</f>
        <v>0</v>
      </c>
      <c r="Z1081" t="str">
        <f>IFERROR(X1081*VLOOKUP(C1081,'General price list'!C:I,7,FALSE),"")</f>
        <v/>
      </c>
      <c r="AA1081" t="str">
        <f>IF(X1081&lt;&gt;"",VLOOKUP(C1081,'General price list'!C1084:AN2262,MATCH("HM",Tabulka1[[#Headers],[KÓD]:[NEQ]],0),FALSE),"")</f>
        <v/>
      </c>
    </row>
    <row r="1082" spans="1:27">
      <c r="A1082">
        <f>COUNTIF($W$22:W1082,1)</f>
        <v>0</v>
      </c>
      <c r="B1082">
        <v>1082</v>
      </c>
      <c r="W1082" t="str">
        <f t="shared" si="32"/>
        <v/>
      </c>
      <c r="X1082" s="185" t="str">
        <f t="shared" si="33"/>
        <v/>
      </c>
      <c r="Y1082" s="685">
        <f>'General price list'!$AB1085</f>
        <v>0</v>
      </c>
      <c r="Z1082" t="str">
        <f>IFERROR(X1082*VLOOKUP(C1082,'General price list'!C:I,7,FALSE),"")</f>
        <v/>
      </c>
      <c r="AA1082" t="str">
        <f>IF(X1082&lt;&gt;"",VLOOKUP(C1082,'General price list'!C1085:AN2263,MATCH("HM",Tabulka1[[#Headers],[KÓD]:[NEQ]],0),FALSE),"")</f>
        <v/>
      </c>
    </row>
    <row r="1083" spans="1:27">
      <c r="A1083">
        <f>COUNTIF($W$22:W1083,1)</f>
        <v>0</v>
      </c>
      <c r="B1083">
        <v>1083</v>
      </c>
      <c r="C1083" s="684" t="s">
        <v>2318</v>
      </c>
      <c r="W1083" t="str">
        <f t="shared" si="32"/>
        <v/>
      </c>
      <c r="X1083" s="185" t="str">
        <f t="shared" si="33"/>
        <v/>
      </c>
      <c r="Y1083" s="685">
        <f>'General price list'!$AB1086</f>
        <v>0</v>
      </c>
      <c r="Z1083" t="str">
        <f>IFERROR(X1083*VLOOKUP(C1083,'General price list'!C:I,7,FALSE),"")</f>
        <v/>
      </c>
      <c r="AA1083" t="str">
        <f>IF(X1083&lt;&gt;"",VLOOKUP(C1083,'General price list'!C1086:AN2264,MATCH("HM",Tabulka1[[#Headers],[KÓD]:[NEQ]],0),FALSE),"")</f>
        <v/>
      </c>
    </row>
    <row r="1084" spans="1:27">
      <c r="A1084">
        <f>COUNTIF($W$22:W1084,1)</f>
        <v>0</v>
      </c>
      <c r="B1084">
        <v>1084</v>
      </c>
      <c r="W1084" t="str">
        <f t="shared" si="32"/>
        <v/>
      </c>
      <c r="X1084" s="185" t="str">
        <f t="shared" si="33"/>
        <v/>
      </c>
      <c r="Y1084" s="685">
        <f>'General price list'!$AB1087</f>
        <v>0</v>
      </c>
      <c r="Z1084" t="str">
        <f>IFERROR(X1084*VLOOKUP(C1084,'General price list'!C:I,7,FALSE),"")</f>
        <v/>
      </c>
      <c r="AA1084" t="str">
        <f>IF(X1084&lt;&gt;"",VLOOKUP(C1084,'General price list'!C1087:AN2265,MATCH("HM",Tabulka1[[#Headers],[KÓD]:[NEQ]],0),FALSE),"")</f>
        <v/>
      </c>
    </row>
    <row r="1085" spans="1:27">
      <c r="A1085">
        <f>COUNTIF($W$22:W1085,1)</f>
        <v>0</v>
      </c>
      <c r="B1085">
        <v>1085</v>
      </c>
      <c r="C1085" s="684" t="s">
        <v>2320</v>
      </c>
      <c r="W1085" t="str">
        <f t="shared" si="32"/>
        <v/>
      </c>
      <c r="X1085" s="185" t="str">
        <f t="shared" si="33"/>
        <v/>
      </c>
      <c r="Y1085" s="685">
        <f>'General price list'!$AB1088</f>
        <v>0</v>
      </c>
      <c r="Z1085" t="str">
        <f>IFERROR(X1085*VLOOKUP(C1085,'General price list'!C:I,7,FALSE),"")</f>
        <v/>
      </c>
      <c r="AA1085" t="str">
        <f>IF(X1085&lt;&gt;"",VLOOKUP(C1085,'General price list'!C1088:AN2266,MATCH("HM",Tabulka1[[#Headers],[KÓD]:[NEQ]],0),FALSE),"")</f>
        <v/>
      </c>
    </row>
    <row r="1086" spans="1:27">
      <c r="A1086">
        <f>COUNTIF($W$22:W1086,1)</f>
        <v>0</v>
      </c>
      <c r="B1086">
        <v>1086</v>
      </c>
      <c r="W1086" t="str">
        <f t="shared" si="32"/>
        <v/>
      </c>
      <c r="X1086" s="185" t="str">
        <f t="shared" si="33"/>
        <v/>
      </c>
      <c r="Y1086" s="685">
        <f>'General price list'!$AB1089</f>
        <v>0</v>
      </c>
      <c r="Z1086" t="str">
        <f>IFERROR(X1086*VLOOKUP(C1086,'General price list'!C:I,7,FALSE),"")</f>
        <v/>
      </c>
      <c r="AA1086" t="str">
        <f>IF(X1086&lt;&gt;"",VLOOKUP(C1086,'General price list'!C1089:AN2267,MATCH("HM",Tabulka1[[#Headers],[KÓD]:[NEQ]],0),FALSE),"")</f>
        <v/>
      </c>
    </row>
    <row r="1087" spans="1:27">
      <c r="A1087">
        <f>COUNTIF($W$22:W1087,1)</f>
        <v>0</v>
      </c>
      <c r="B1087">
        <v>1087</v>
      </c>
      <c r="C1087" s="684" t="s">
        <v>2322</v>
      </c>
      <c r="W1087" t="str">
        <f t="shared" si="32"/>
        <v/>
      </c>
      <c r="X1087" s="185" t="str">
        <f t="shared" si="33"/>
        <v/>
      </c>
      <c r="Y1087" s="685">
        <f>'General price list'!$AB1090</f>
        <v>0</v>
      </c>
      <c r="Z1087" t="str">
        <f>IFERROR(X1087*VLOOKUP(C1087,'General price list'!C:I,7,FALSE),"")</f>
        <v/>
      </c>
      <c r="AA1087" t="str">
        <f>IF(X1087&lt;&gt;"",VLOOKUP(C1087,'General price list'!C1090:AN2268,MATCH("HM",Tabulka1[[#Headers],[KÓD]:[NEQ]],0),FALSE),"")</f>
        <v/>
      </c>
    </row>
    <row r="1088" spans="1:27">
      <c r="A1088">
        <f>COUNTIF($W$22:W1088,1)</f>
        <v>0</v>
      </c>
      <c r="B1088">
        <v>1088</v>
      </c>
      <c r="C1088" s="684" t="s">
        <v>2324</v>
      </c>
      <c r="W1088" t="str">
        <f t="shared" si="32"/>
        <v/>
      </c>
      <c r="X1088" s="185" t="str">
        <f t="shared" si="33"/>
        <v/>
      </c>
      <c r="Y1088" s="685">
        <f>'General price list'!$AB1091</f>
        <v>0</v>
      </c>
      <c r="Z1088" t="str">
        <f>IFERROR(X1088*VLOOKUP(C1088,'General price list'!C:I,7,FALSE),"")</f>
        <v/>
      </c>
      <c r="AA1088" t="str">
        <f>IF(X1088&lt;&gt;"",VLOOKUP(C1088,'General price list'!C1091:AN2269,MATCH("HM",Tabulka1[[#Headers],[KÓD]:[NEQ]],0),FALSE),"")</f>
        <v/>
      </c>
    </row>
    <row r="1089" spans="1:27">
      <c r="A1089">
        <f>COUNTIF($W$22:W1089,1)</f>
        <v>0</v>
      </c>
      <c r="B1089">
        <v>1089</v>
      </c>
      <c r="W1089" t="str">
        <f t="shared" si="32"/>
        <v/>
      </c>
      <c r="X1089" s="185" t="str">
        <f t="shared" si="33"/>
        <v/>
      </c>
      <c r="Y1089" s="685">
        <f>'General price list'!$AB1092</f>
        <v>0</v>
      </c>
      <c r="Z1089" t="str">
        <f>IFERROR(X1089*VLOOKUP(C1089,'General price list'!C:I,7,FALSE),"")</f>
        <v/>
      </c>
      <c r="AA1089" t="str">
        <f>IF(X1089&lt;&gt;"",VLOOKUP(C1089,'General price list'!C1092:AN2270,MATCH("HM",Tabulka1[[#Headers],[KÓD]:[NEQ]],0),FALSE),"")</f>
        <v/>
      </c>
    </row>
    <row r="1090" spans="1:27">
      <c r="A1090">
        <f>COUNTIF($W$22:W1090,1)</f>
        <v>0</v>
      </c>
      <c r="B1090">
        <v>1090</v>
      </c>
      <c r="C1090" s="684" t="s">
        <v>2326</v>
      </c>
      <c r="W1090" t="str">
        <f t="shared" si="32"/>
        <v/>
      </c>
      <c r="X1090" s="185" t="str">
        <f t="shared" si="33"/>
        <v/>
      </c>
      <c r="Y1090" s="685">
        <f>'General price list'!$AB1093</f>
        <v>0</v>
      </c>
      <c r="Z1090" t="str">
        <f>IFERROR(X1090*VLOOKUP(C1090,'General price list'!C:I,7,FALSE),"")</f>
        <v/>
      </c>
      <c r="AA1090" t="str">
        <f>IF(X1090&lt;&gt;"",VLOOKUP(C1090,'General price list'!C1093:AN2271,MATCH("HM",Tabulka1[[#Headers],[KÓD]:[NEQ]],0),FALSE),"")</f>
        <v/>
      </c>
    </row>
    <row r="1091" spans="1:27">
      <c r="A1091">
        <f>COUNTIF($W$22:W1091,1)</f>
        <v>0</v>
      </c>
      <c r="B1091">
        <v>1091</v>
      </c>
      <c r="W1091" t="str">
        <f t="shared" si="32"/>
        <v/>
      </c>
      <c r="X1091" s="185" t="str">
        <f t="shared" si="33"/>
        <v/>
      </c>
      <c r="Y1091" s="685">
        <f>'General price list'!$AB1094</f>
        <v>0</v>
      </c>
      <c r="Z1091" t="str">
        <f>IFERROR(X1091*VLOOKUP(C1091,'General price list'!C:I,7,FALSE),"")</f>
        <v/>
      </c>
      <c r="AA1091" t="str">
        <f>IF(X1091&lt;&gt;"",VLOOKUP(C1091,'General price list'!C1094:AN2272,MATCH("HM",Tabulka1[[#Headers],[KÓD]:[NEQ]],0),FALSE),"")</f>
        <v/>
      </c>
    </row>
    <row r="1092" spans="1:27">
      <c r="A1092">
        <f>COUNTIF($W$22:W1092,1)</f>
        <v>0</v>
      </c>
      <c r="B1092">
        <v>1092</v>
      </c>
      <c r="C1092" s="684" t="s">
        <v>2328</v>
      </c>
      <c r="W1092" t="str">
        <f t="shared" si="32"/>
        <v/>
      </c>
      <c r="X1092" s="185" t="str">
        <f t="shared" si="33"/>
        <v/>
      </c>
      <c r="Y1092" s="685">
        <f>'General price list'!$AB1095</f>
        <v>0</v>
      </c>
      <c r="Z1092" t="str">
        <f>IFERROR(X1092*VLOOKUP(C1092,'General price list'!C:I,7,FALSE),"")</f>
        <v/>
      </c>
      <c r="AA1092" t="str">
        <f>IF(X1092&lt;&gt;"",VLOOKUP(C1092,'General price list'!C1095:AN2273,MATCH("HM",Tabulka1[[#Headers],[KÓD]:[NEQ]],0),FALSE),"")</f>
        <v/>
      </c>
    </row>
    <row r="1093" spans="1:27">
      <c r="A1093">
        <f>COUNTIF($W$22:W1093,1)</f>
        <v>0</v>
      </c>
      <c r="B1093">
        <v>1093</v>
      </c>
      <c r="C1093" s="684" t="s">
        <v>2330</v>
      </c>
      <c r="W1093" t="str">
        <f t="shared" si="32"/>
        <v/>
      </c>
      <c r="X1093" s="185" t="str">
        <f t="shared" si="33"/>
        <v/>
      </c>
      <c r="Y1093" s="685">
        <f>'General price list'!$AB1096</f>
        <v>0</v>
      </c>
      <c r="Z1093" t="str">
        <f>IFERROR(X1093*VLOOKUP(C1093,'General price list'!C:I,7,FALSE),"")</f>
        <v/>
      </c>
      <c r="AA1093" t="str">
        <f>IF(X1093&lt;&gt;"",VLOOKUP(C1093,'General price list'!C1096:AN2274,MATCH("HM",Tabulka1[[#Headers],[KÓD]:[NEQ]],0),FALSE),"")</f>
        <v/>
      </c>
    </row>
    <row r="1094" spans="1:27">
      <c r="A1094">
        <f>COUNTIF($W$22:W1094,1)</f>
        <v>0</v>
      </c>
      <c r="B1094">
        <v>1094</v>
      </c>
      <c r="W1094" t="str">
        <f t="shared" si="32"/>
        <v/>
      </c>
      <c r="X1094" s="185" t="str">
        <f t="shared" si="33"/>
        <v/>
      </c>
      <c r="Y1094" s="685">
        <f>'General price list'!$AB1097</f>
        <v>0</v>
      </c>
      <c r="Z1094" t="str">
        <f>IFERROR(X1094*VLOOKUP(C1094,'General price list'!C:I,7,FALSE),"")</f>
        <v/>
      </c>
      <c r="AA1094" t="str">
        <f>IF(X1094&lt;&gt;"",VLOOKUP(C1094,'General price list'!C1097:AN2275,MATCH("HM",Tabulka1[[#Headers],[KÓD]:[NEQ]],0),FALSE),"")</f>
        <v/>
      </c>
    </row>
    <row r="1095" spans="1:27">
      <c r="A1095">
        <f>COUNTIF($W$22:W1095,1)</f>
        <v>0</v>
      </c>
      <c r="B1095">
        <v>1095</v>
      </c>
      <c r="C1095" s="684" t="s">
        <v>2332</v>
      </c>
      <c r="W1095" t="str">
        <f t="shared" si="32"/>
        <v/>
      </c>
      <c r="X1095" s="185" t="str">
        <f t="shared" si="33"/>
        <v/>
      </c>
      <c r="Y1095" s="685">
        <f>'General price list'!$AB1098</f>
        <v>0</v>
      </c>
      <c r="Z1095" t="str">
        <f>IFERROR(X1095*VLOOKUP(C1095,'General price list'!C:I,7,FALSE),"")</f>
        <v/>
      </c>
      <c r="AA1095" t="str">
        <f>IF(X1095&lt;&gt;"",VLOOKUP(C1095,'General price list'!C1098:AN2276,MATCH("HM",Tabulka1[[#Headers],[KÓD]:[NEQ]],0),FALSE),"")</f>
        <v/>
      </c>
    </row>
    <row r="1096" spans="1:27">
      <c r="A1096">
        <f>COUNTIF($W$22:W1096,1)</f>
        <v>0</v>
      </c>
      <c r="B1096">
        <v>1096</v>
      </c>
      <c r="W1096" t="str">
        <f t="shared" si="32"/>
        <v/>
      </c>
      <c r="X1096" s="185" t="str">
        <f t="shared" si="33"/>
        <v/>
      </c>
      <c r="Y1096" s="685">
        <f>'General price list'!$AB1099</f>
        <v>0</v>
      </c>
      <c r="Z1096" t="str">
        <f>IFERROR(X1096*VLOOKUP(C1096,'General price list'!C:I,7,FALSE),"")</f>
        <v/>
      </c>
      <c r="AA1096" t="str">
        <f>IF(X1096&lt;&gt;"",VLOOKUP(C1096,'General price list'!C1099:AN2277,MATCH("HM",Tabulka1[[#Headers],[KÓD]:[NEQ]],0),FALSE),"")</f>
        <v/>
      </c>
    </row>
    <row r="1097" spans="1:27">
      <c r="A1097">
        <f>COUNTIF($W$22:W1097,1)</f>
        <v>0</v>
      </c>
      <c r="B1097">
        <v>1097</v>
      </c>
      <c r="C1097" s="684" t="s">
        <v>2334</v>
      </c>
      <c r="W1097" t="str">
        <f t="shared" si="32"/>
        <v/>
      </c>
      <c r="X1097" s="185" t="str">
        <f t="shared" si="33"/>
        <v/>
      </c>
      <c r="Y1097" s="685">
        <f>'General price list'!$AB1100</f>
        <v>0</v>
      </c>
      <c r="Z1097" t="str">
        <f>IFERROR(X1097*VLOOKUP(C1097,'General price list'!C:I,7,FALSE),"")</f>
        <v/>
      </c>
      <c r="AA1097" t="str">
        <f>IF(X1097&lt;&gt;"",VLOOKUP(C1097,'General price list'!C1100:AN2278,MATCH("HM",Tabulka1[[#Headers],[KÓD]:[NEQ]],0),FALSE),"")</f>
        <v/>
      </c>
    </row>
    <row r="1098" spans="1:27">
      <c r="A1098">
        <f>COUNTIF($W$22:W1098,1)</f>
        <v>0</v>
      </c>
      <c r="B1098">
        <v>1098</v>
      </c>
      <c r="W1098" t="str">
        <f t="shared" si="32"/>
        <v/>
      </c>
      <c r="X1098" s="185" t="str">
        <f t="shared" si="33"/>
        <v/>
      </c>
      <c r="Y1098" s="685">
        <f>'General price list'!$AB1101</f>
        <v>0</v>
      </c>
      <c r="Z1098" t="str">
        <f>IFERROR(X1098*VLOOKUP(C1098,'General price list'!C:I,7,FALSE),"")</f>
        <v/>
      </c>
      <c r="AA1098" t="str">
        <f>IF(X1098&lt;&gt;"",VLOOKUP(C1098,'General price list'!C1101:AN2279,MATCH("HM",Tabulka1[[#Headers],[KÓD]:[NEQ]],0),FALSE),"")</f>
        <v/>
      </c>
    </row>
    <row r="1099" spans="1:27">
      <c r="A1099">
        <f>COUNTIF($W$22:W1099,1)</f>
        <v>0</v>
      </c>
      <c r="B1099">
        <v>1099</v>
      </c>
      <c r="C1099" s="684" t="s">
        <v>2336</v>
      </c>
      <c r="W1099" t="str">
        <f t="shared" si="32"/>
        <v/>
      </c>
      <c r="X1099" s="185" t="str">
        <f t="shared" si="33"/>
        <v/>
      </c>
      <c r="Y1099" s="685">
        <f>'General price list'!$AB1102</f>
        <v>0</v>
      </c>
      <c r="Z1099" t="str">
        <f>IFERROR(X1099*VLOOKUP(C1099,'General price list'!C:I,7,FALSE),"")</f>
        <v/>
      </c>
      <c r="AA1099" t="str">
        <f>IF(X1099&lt;&gt;"",VLOOKUP(C1099,'General price list'!C1102:AN2280,MATCH("HM",Tabulka1[[#Headers],[KÓD]:[NEQ]],0),FALSE),"")</f>
        <v/>
      </c>
    </row>
    <row r="1100" spans="1:27">
      <c r="A1100">
        <f>COUNTIF($W$22:W1100,1)</f>
        <v>0</v>
      </c>
      <c r="B1100">
        <v>1100</v>
      </c>
      <c r="W1100" t="str">
        <f t="shared" si="32"/>
        <v/>
      </c>
      <c r="X1100" s="185" t="str">
        <f t="shared" si="33"/>
        <v/>
      </c>
      <c r="Y1100" s="685">
        <f>'General price list'!$AB1103</f>
        <v>0</v>
      </c>
      <c r="Z1100" t="str">
        <f>IFERROR(X1100*VLOOKUP(C1100,'General price list'!C:I,7,FALSE),"")</f>
        <v/>
      </c>
      <c r="AA1100" t="str">
        <f>IF(X1100&lt;&gt;"",VLOOKUP(C1100,'General price list'!C1103:AN2281,MATCH("HM",Tabulka1[[#Headers],[KÓD]:[NEQ]],0),FALSE),"")</f>
        <v/>
      </c>
    </row>
    <row r="1101" spans="1:27">
      <c r="A1101">
        <f>COUNTIF($W$22:W1101,1)</f>
        <v>0</v>
      </c>
      <c r="B1101">
        <v>1101</v>
      </c>
      <c r="C1101" s="684" t="s">
        <v>2338</v>
      </c>
      <c r="W1101" t="str">
        <f t="shared" si="32"/>
        <v/>
      </c>
      <c r="X1101" s="185" t="str">
        <f t="shared" si="33"/>
        <v/>
      </c>
      <c r="Y1101" s="685">
        <f>'General price list'!$AB1104</f>
        <v>0</v>
      </c>
      <c r="Z1101" t="str">
        <f>IFERROR(X1101*VLOOKUP(C1101,'General price list'!C:I,7,FALSE),"")</f>
        <v/>
      </c>
      <c r="AA1101" t="str">
        <f>IF(X1101&lt;&gt;"",VLOOKUP(C1101,'General price list'!C1104:AN2282,MATCH("HM",Tabulka1[[#Headers],[KÓD]:[NEQ]],0),FALSE),"")</f>
        <v/>
      </c>
    </row>
    <row r="1102" spans="1:27">
      <c r="A1102">
        <f>COUNTIF($W$22:W1102,1)</f>
        <v>0</v>
      </c>
      <c r="B1102">
        <v>1102</v>
      </c>
      <c r="C1102" s="684" t="s">
        <v>13489</v>
      </c>
      <c r="W1102" t="str">
        <f t="shared" si="32"/>
        <v/>
      </c>
      <c r="X1102" s="185" t="str">
        <f t="shared" si="33"/>
        <v/>
      </c>
      <c r="Y1102" s="685">
        <f>'General price list'!$AB1105</f>
        <v>0</v>
      </c>
      <c r="Z1102" t="str">
        <f>IFERROR(X1102*VLOOKUP(C1102,'General price list'!C:I,7,FALSE),"")</f>
        <v/>
      </c>
      <c r="AA1102" t="str">
        <f>IF(X1102&lt;&gt;"",VLOOKUP(C1102,'General price list'!C1105:AN2283,MATCH("HM",Tabulka1[[#Headers],[KÓD]:[NEQ]],0),FALSE),"")</f>
        <v/>
      </c>
    </row>
    <row r="1103" spans="1:27">
      <c r="A1103">
        <f>COUNTIF($W$22:W1103,1)</f>
        <v>0</v>
      </c>
      <c r="B1103">
        <v>1103</v>
      </c>
      <c r="W1103" t="str">
        <f t="shared" si="32"/>
        <v/>
      </c>
      <c r="X1103" s="185" t="str">
        <f t="shared" si="33"/>
        <v/>
      </c>
      <c r="Y1103" s="685">
        <f>'General price list'!$AB1106</f>
        <v>0</v>
      </c>
      <c r="Z1103" t="str">
        <f>IFERROR(X1103*VLOOKUP(C1103,'General price list'!C:I,7,FALSE),"")</f>
        <v/>
      </c>
      <c r="AA1103" t="str">
        <f>IF(X1103&lt;&gt;"",VLOOKUP(C1103,'General price list'!C1106:AN2284,MATCH("HM",Tabulka1[[#Headers],[KÓD]:[NEQ]],0),FALSE),"")</f>
        <v/>
      </c>
    </row>
    <row r="1104" spans="1:27">
      <c r="A1104">
        <f>COUNTIF($W$22:W1104,1)</f>
        <v>0</v>
      </c>
      <c r="B1104">
        <v>1104</v>
      </c>
      <c r="C1104" s="684" t="s">
        <v>2340</v>
      </c>
      <c r="W1104" t="str">
        <f t="shared" si="32"/>
        <v/>
      </c>
      <c r="X1104" s="185" t="str">
        <f t="shared" si="33"/>
        <v/>
      </c>
      <c r="Y1104" s="685">
        <f>'General price list'!$AB1107</f>
        <v>0</v>
      </c>
      <c r="Z1104" t="str">
        <f>IFERROR(X1104*VLOOKUP(C1104,'General price list'!C:I,7,FALSE),"")</f>
        <v/>
      </c>
      <c r="AA1104" t="str">
        <f>IF(X1104&lt;&gt;"",VLOOKUP(C1104,'General price list'!C1107:AN2285,MATCH("HM",Tabulka1[[#Headers],[KÓD]:[NEQ]],0),FALSE),"")</f>
        <v/>
      </c>
    </row>
    <row r="1105" spans="1:27">
      <c r="A1105">
        <f>COUNTIF($W$22:W1105,1)</f>
        <v>0</v>
      </c>
      <c r="B1105">
        <v>1105</v>
      </c>
      <c r="W1105" t="str">
        <f t="shared" si="32"/>
        <v/>
      </c>
      <c r="X1105" s="185" t="str">
        <f t="shared" si="33"/>
        <v/>
      </c>
      <c r="Y1105" s="685">
        <f>'General price list'!$AB1108</f>
        <v>0</v>
      </c>
      <c r="Z1105" t="str">
        <f>IFERROR(X1105*VLOOKUP(C1105,'General price list'!C:I,7,FALSE),"")</f>
        <v/>
      </c>
      <c r="AA1105" t="str">
        <f>IF(X1105&lt;&gt;"",VLOOKUP(C1105,'General price list'!C1108:AN2286,MATCH("HM",Tabulka1[[#Headers],[KÓD]:[NEQ]],0),FALSE),"")</f>
        <v/>
      </c>
    </row>
    <row r="1106" spans="1:27">
      <c r="A1106">
        <f>COUNTIF($W$22:W1106,1)</f>
        <v>0</v>
      </c>
      <c r="B1106">
        <v>1106</v>
      </c>
      <c r="C1106" s="684" t="s">
        <v>2344</v>
      </c>
      <c r="W1106" t="str">
        <f t="shared" si="32"/>
        <v/>
      </c>
      <c r="X1106" s="185" t="str">
        <f t="shared" si="33"/>
        <v/>
      </c>
      <c r="Y1106" s="685">
        <f>'General price list'!$AB1109</f>
        <v>0</v>
      </c>
      <c r="Z1106" t="str">
        <f>IFERROR(X1106*VLOOKUP(C1106,'General price list'!C:I,7,FALSE),"")</f>
        <v/>
      </c>
      <c r="AA1106" t="str">
        <f>IF(X1106&lt;&gt;"",VLOOKUP(C1106,'General price list'!C1109:AN2287,MATCH("HM",Tabulka1[[#Headers],[KÓD]:[NEQ]],0),FALSE),"")</f>
        <v/>
      </c>
    </row>
    <row r="1107" spans="1:27">
      <c r="A1107">
        <f>COUNTIF($W$22:W1107,1)</f>
        <v>0</v>
      </c>
      <c r="B1107">
        <v>1107</v>
      </c>
      <c r="W1107" t="str">
        <f t="shared" si="32"/>
        <v/>
      </c>
      <c r="X1107" s="185" t="str">
        <f t="shared" si="33"/>
        <v/>
      </c>
      <c r="Y1107" s="685">
        <f>'General price list'!$AB1110</f>
        <v>0</v>
      </c>
      <c r="Z1107" t="str">
        <f>IFERROR(X1107*VLOOKUP(C1107,'General price list'!C:I,7,FALSE),"")</f>
        <v/>
      </c>
      <c r="AA1107" t="str">
        <f>IF(X1107&lt;&gt;"",VLOOKUP(C1107,'General price list'!C1110:AN2288,MATCH("HM",Tabulka1[[#Headers],[KÓD]:[NEQ]],0),FALSE),"")</f>
        <v/>
      </c>
    </row>
    <row r="1108" spans="1:27">
      <c r="A1108">
        <f>COUNTIF($W$22:W1108,1)</f>
        <v>0</v>
      </c>
      <c r="B1108">
        <v>1108</v>
      </c>
      <c r="C1108" s="684" t="s">
        <v>2346</v>
      </c>
      <c r="W1108" t="str">
        <f t="shared" si="32"/>
        <v/>
      </c>
      <c r="X1108" s="185" t="str">
        <f t="shared" si="33"/>
        <v/>
      </c>
      <c r="Y1108" s="685">
        <f>'General price list'!$AB1111</f>
        <v>0</v>
      </c>
      <c r="Z1108" t="str">
        <f>IFERROR(X1108*VLOOKUP(C1108,'General price list'!C:I,7,FALSE),"")</f>
        <v/>
      </c>
      <c r="AA1108" t="str">
        <f>IF(X1108&lt;&gt;"",VLOOKUP(C1108,'General price list'!C1111:AN2289,MATCH("HM",Tabulka1[[#Headers],[KÓD]:[NEQ]],0),FALSE),"")</f>
        <v/>
      </c>
    </row>
    <row r="1109" spans="1:27">
      <c r="A1109">
        <f>COUNTIF($W$22:W1109,1)</f>
        <v>0</v>
      </c>
      <c r="B1109">
        <v>1109</v>
      </c>
      <c r="W1109" t="str">
        <f t="shared" si="32"/>
        <v/>
      </c>
      <c r="X1109" s="185" t="str">
        <f t="shared" si="33"/>
        <v/>
      </c>
      <c r="Y1109" s="685">
        <f>'General price list'!$AB1112</f>
        <v>0</v>
      </c>
      <c r="Z1109" t="str">
        <f>IFERROR(X1109*VLOOKUP(C1109,'General price list'!C:I,7,FALSE),"")</f>
        <v/>
      </c>
      <c r="AA1109" t="str">
        <f>IF(X1109&lt;&gt;"",VLOOKUP(C1109,'General price list'!C1112:AN2290,MATCH("HM",Tabulka1[[#Headers],[KÓD]:[NEQ]],0),FALSE),"")</f>
        <v/>
      </c>
    </row>
    <row r="1110" spans="1:27">
      <c r="A1110">
        <f>COUNTIF($W$22:W1110,1)</f>
        <v>0</v>
      </c>
      <c r="B1110">
        <v>1110</v>
      </c>
      <c r="C1110" s="684" t="s">
        <v>2348</v>
      </c>
      <c r="W1110" t="str">
        <f t="shared" si="32"/>
        <v/>
      </c>
      <c r="X1110" s="185" t="str">
        <f t="shared" si="33"/>
        <v/>
      </c>
      <c r="Y1110" s="685">
        <f>'General price list'!$AB1113</f>
        <v>0</v>
      </c>
      <c r="Z1110" t="str">
        <f>IFERROR(X1110*VLOOKUP(C1110,'General price list'!C:I,7,FALSE),"")</f>
        <v/>
      </c>
      <c r="AA1110" t="str">
        <f>IF(X1110&lt;&gt;"",VLOOKUP(C1110,'General price list'!C1113:AN2291,MATCH("HM",Tabulka1[[#Headers],[KÓD]:[NEQ]],0),FALSE),"")</f>
        <v/>
      </c>
    </row>
    <row r="1111" spans="1:27">
      <c r="A1111">
        <f>COUNTIF($W$22:W1111,1)</f>
        <v>0</v>
      </c>
      <c r="B1111">
        <v>1111</v>
      </c>
      <c r="W1111" t="str">
        <f t="shared" ref="W1111:W1174" si="34">IF(Y1111+1=1,"",1)</f>
        <v/>
      </c>
      <c r="X1111" s="185" t="str">
        <f t="shared" si="33"/>
        <v/>
      </c>
      <c r="Y1111" s="685">
        <f>'General price list'!$AB1114</f>
        <v>0</v>
      </c>
      <c r="Z1111" t="str">
        <f>IFERROR(X1111*VLOOKUP(C1111,'General price list'!C:I,7,FALSE),"")</f>
        <v/>
      </c>
      <c r="AA1111" t="str">
        <f>IF(X1111&lt;&gt;"",VLOOKUP(C1111,'General price list'!C1114:AN2292,MATCH("HM",Tabulka1[[#Headers],[KÓD]:[NEQ]],0),FALSE),"")</f>
        <v/>
      </c>
    </row>
    <row r="1112" spans="1:27">
      <c r="A1112">
        <f>COUNTIF($W$22:W1112,1)</f>
        <v>0</v>
      </c>
      <c r="B1112">
        <v>1112</v>
      </c>
      <c r="C1112" s="684" t="s">
        <v>2351</v>
      </c>
      <c r="W1112" t="str">
        <f t="shared" si="34"/>
        <v/>
      </c>
      <c r="X1112" s="185" t="str">
        <f t="shared" ref="X1112:X1175" si="35">IF(A1112&gt;$C$21,"",IF(Y1112=0,"",Y1112))</f>
        <v/>
      </c>
      <c r="Y1112" s="685">
        <f>'General price list'!$AB1115</f>
        <v>0</v>
      </c>
      <c r="Z1112" t="str">
        <f>IFERROR(X1112*VLOOKUP(C1112,'General price list'!C:I,7,FALSE),"")</f>
        <v/>
      </c>
      <c r="AA1112" t="str">
        <f>IF(X1112&lt;&gt;"",VLOOKUP(C1112,'General price list'!C1115:AN2293,MATCH("HM",Tabulka1[[#Headers],[KÓD]:[NEQ]],0),FALSE),"")</f>
        <v/>
      </c>
    </row>
    <row r="1113" spans="1:27">
      <c r="A1113">
        <f>COUNTIF($W$22:W1113,1)</f>
        <v>0</v>
      </c>
      <c r="B1113">
        <v>1113</v>
      </c>
      <c r="W1113" t="str">
        <f t="shared" si="34"/>
        <v/>
      </c>
      <c r="X1113" s="185" t="str">
        <f t="shared" si="35"/>
        <v/>
      </c>
      <c r="Y1113" s="685">
        <f>'General price list'!$AB1116</f>
        <v>0</v>
      </c>
      <c r="Z1113" t="str">
        <f>IFERROR(X1113*VLOOKUP(C1113,'General price list'!C:I,7,FALSE),"")</f>
        <v/>
      </c>
      <c r="AA1113" t="str">
        <f>IF(X1113&lt;&gt;"",VLOOKUP(C1113,'General price list'!C1116:AN2294,MATCH("HM",Tabulka1[[#Headers],[KÓD]:[NEQ]],0),FALSE),"")</f>
        <v/>
      </c>
    </row>
    <row r="1114" spans="1:27">
      <c r="A1114">
        <f>COUNTIF($W$22:W1114,1)</f>
        <v>0</v>
      </c>
      <c r="B1114">
        <v>1114</v>
      </c>
      <c r="C1114" s="684" t="s">
        <v>2352</v>
      </c>
      <c r="W1114" t="str">
        <f t="shared" si="34"/>
        <v/>
      </c>
      <c r="X1114" s="185" t="str">
        <f t="shared" si="35"/>
        <v/>
      </c>
      <c r="Y1114" s="685">
        <f>'General price list'!$AB1117</f>
        <v>0</v>
      </c>
      <c r="Z1114" t="str">
        <f>IFERROR(X1114*VLOOKUP(C1114,'General price list'!C:I,7,FALSE),"")</f>
        <v/>
      </c>
      <c r="AA1114" t="str">
        <f>IF(X1114&lt;&gt;"",VLOOKUP(C1114,'General price list'!C1117:AN2295,MATCH("HM",Tabulka1[[#Headers],[KÓD]:[NEQ]],0),FALSE),"")</f>
        <v/>
      </c>
    </row>
    <row r="1115" spans="1:27">
      <c r="A1115">
        <f>COUNTIF($W$22:W1115,1)</f>
        <v>0</v>
      </c>
      <c r="B1115">
        <v>1115</v>
      </c>
      <c r="W1115" t="str">
        <f t="shared" si="34"/>
        <v/>
      </c>
      <c r="X1115" s="185" t="str">
        <f t="shared" si="35"/>
        <v/>
      </c>
      <c r="Y1115" s="685">
        <f>'General price list'!$AB1118</f>
        <v>0</v>
      </c>
      <c r="Z1115" t="str">
        <f>IFERROR(X1115*VLOOKUP(C1115,'General price list'!C:I,7,FALSE),"")</f>
        <v/>
      </c>
      <c r="AA1115" t="str">
        <f>IF(X1115&lt;&gt;"",VLOOKUP(C1115,'General price list'!C1118:AN2296,MATCH("HM",Tabulka1[[#Headers],[KÓD]:[NEQ]],0),FALSE),"")</f>
        <v/>
      </c>
    </row>
    <row r="1116" spans="1:27">
      <c r="A1116">
        <f>COUNTIF($W$22:W1116,1)</f>
        <v>0</v>
      </c>
      <c r="B1116">
        <v>1116</v>
      </c>
      <c r="C1116" s="684" t="s">
        <v>2353</v>
      </c>
      <c r="W1116" t="str">
        <f t="shared" si="34"/>
        <v/>
      </c>
      <c r="X1116" s="185" t="str">
        <f t="shared" si="35"/>
        <v/>
      </c>
      <c r="Y1116" s="685">
        <f>'General price list'!$AB1119</f>
        <v>0</v>
      </c>
      <c r="Z1116" t="str">
        <f>IFERROR(X1116*VLOOKUP(C1116,'General price list'!C:I,7,FALSE),"")</f>
        <v/>
      </c>
      <c r="AA1116" t="str">
        <f>IF(X1116&lt;&gt;"",VLOOKUP(C1116,'General price list'!C1119:AN2297,MATCH("HM",Tabulka1[[#Headers],[KÓD]:[NEQ]],0),FALSE),"")</f>
        <v/>
      </c>
    </row>
    <row r="1117" spans="1:27">
      <c r="A1117">
        <f>COUNTIF($W$22:W1117,1)</f>
        <v>0</v>
      </c>
      <c r="B1117">
        <v>1117</v>
      </c>
      <c r="W1117" t="str">
        <f t="shared" si="34"/>
        <v/>
      </c>
      <c r="X1117" s="185" t="str">
        <f t="shared" si="35"/>
        <v/>
      </c>
      <c r="Y1117" s="685">
        <f>'General price list'!$AB1120</f>
        <v>0</v>
      </c>
      <c r="Z1117" t="str">
        <f>IFERROR(X1117*VLOOKUP(C1117,'General price list'!C:I,7,FALSE),"")</f>
        <v/>
      </c>
      <c r="AA1117" t="str">
        <f>IF(X1117&lt;&gt;"",VLOOKUP(C1117,'General price list'!C1120:AN2298,MATCH("HM",Tabulka1[[#Headers],[KÓD]:[NEQ]],0),FALSE),"")</f>
        <v/>
      </c>
    </row>
    <row r="1118" spans="1:27">
      <c r="A1118">
        <f>COUNTIF($W$22:W1118,1)</f>
        <v>0</v>
      </c>
      <c r="B1118">
        <v>1118</v>
      </c>
      <c r="C1118" s="684" t="s">
        <v>2354</v>
      </c>
      <c r="W1118" t="str">
        <f t="shared" si="34"/>
        <v/>
      </c>
      <c r="X1118" s="185" t="str">
        <f t="shared" si="35"/>
        <v/>
      </c>
      <c r="Y1118" s="685">
        <f>'General price list'!$AB1121</f>
        <v>0</v>
      </c>
      <c r="Z1118" t="str">
        <f>IFERROR(X1118*VLOOKUP(C1118,'General price list'!C:I,7,FALSE),"")</f>
        <v/>
      </c>
      <c r="AA1118" t="str">
        <f>IF(X1118&lt;&gt;"",VLOOKUP(C1118,'General price list'!C1121:AN2299,MATCH("HM",Tabulka1[[#Headers],[KÓD]:[NEQ]],0),FALSE),"")</f>
        <v/>
      </c>
    </row>
    <row r="1119" spans="1:27">
      <c r="A1119">
        <f>COUNTIF($W$22:W1119,1)</f>
        <v>0</v>
      </c>
      <c r="B1119">
        <v>1119</v>
      </c>
      <c r="W1119" t="str">
        <f t="shared" si="34"/>
        <v/>
      </c>
      <c r="X1119" s="185" t="str">
        <f t="shared" si="35"/>
        <v/>
      </c>
      <c r="Y1119" s="685">
        <f>'General price list'!$AB1122</f>
        <v>0</v>
      </c>
      <c r="Z1119" t="str">
        <f>IFERROR(X1119*VLOOKUP(C1119,'General price list'!C:I,7,FALSE),"")</f>
        <v/>
      </c>
      <c r="AA1119" t="str">
        <f>IF(X1119&lt;&gt;"",VLOOKUP(C1119,'General price list'!C1122:AN2300,MATCH("HM",Tabulka1[[#Headers],[KÓD]:[NEQ]],0),FALSE),"")</f>
        <v/>
      </c>
    </row>
    <row r="1120" spans="1:27">
      <c r="A1120">
        <f>COUNTIF($W$22:W1120,1)</f>
        <v>0</v>
      </c>
      <c r="B1120">
        <v>1120</v>
      </c>
      <c r="C1120" s="684" t="s">
        <v>2355</v>
      </c>
      <c r="W1120" t="str">
        <f t="shared" si="34"/>
        <v/>
      </c>
      <c r="X1120" s="185" t="str">
        <f t="shared" si="35"/>
        <v/>
      </c>
      <c r="Y1120" s="685">
        <f>'General price list'!$AB1123</f>
        <v>0</v>
      </c>
      <c r="Z1120" t="str">
        <f>IFERROR(X1120*VLOOKUP(C1120,'General price list'!C:I,7,FALSE),"")</f>
        <v/>
      </c>
      <c r="AA1120" t="str">
        <f>IF(X1120&lt;&gt;"",VLOOKUP(C1120,'General price list'!C1123:AN2301,MATCH("HM",Tabulka1[[#Headers],[KÓD]:[NEQ]],0),FALSE),"")</f>
        <v/>
      </c>
    </row>
    <row r="1121" spans="1:27">
      <c r="A1121">
        <f>COUNTIF($W$22:W1121,1)</f>
        <v>0</v>
      </c>
      <c r="B1121">
        <v>1121</v>
      </c>
      <c r="C1121" s="684" t="s">
        <v>2356</v>
      </c>
      <c r="W1121" t="str">
        <f t="shared" si="34"/>
        <v/>
      </c>
      <c r="X1121" s="185" t="str">
        <f t="shared" si="35"/>
        <v/>
      </c>
      <c r="Y1121" s="685">
        <f>'General price list'!$AB1124</f>
        <v>0</v>
      </c>
      <c r="Z1121" t="str">
        <f>IFERROR(X1121*VLOOKUP(C1121,'General price list'!C:I,7,FALSE),"")</f>
        <v/>
      </c>
      <c r="AA1121" t="str">
        <f>IF(X1121&lt;&gt;"",VLOOKUP(C1121,'General price list'!C1124:AN2302,MATCH("HM",Tabulka1[[#Headers],[KÓD]:[NEQ]],0),FALSE),"")</f>
        <v/>
      </c>
    </row>
    <row r="1122" spans="1:27">
      <c r="A1122">
        <f>COUNTIF($W$22:W1122,1)</f>
        <v>0</v>
      </c>
      <c r="B1122">
        <v>1122</v>
      </c>
      <c r="W1122" t="str">
        <f t="shared" si="34"/>
        <v/>
      </c>
      <c r="X1122" s="185" t="str">
        <f t="shared" si="35"/>
        <v/>
      </c>
      <c r="Y1122" s="685">
        <f>'General price list'!$AB1125</f>
        <v>0</v>
      </c>
      <c r="Z1122" t="str">
        <f>IFERROR(X1122*VLOOKUP(C1122,'General price list'!C:I,7,FALSE),"")</f>
        <v/>
      </c>
      <c r="AA1122" t="str">
        <f>IF(X1122&lt;&gt;"",VLOOKUP(C1122,'General price list'!C1125:AN2303,MATCH("HM",Tabulka1[[#Headers],[KÓD]:[NEQ]],0),FALSE),"")</f>
        <v/>
      </c>
    </row>
    <row r="1123" spans="1:27">
      <c r="A1123">
        <f>COUNTIF($W$22:W1123,1)</f>
        <v>0</v>
      </c>
      <c r="B1123">
        <v>1123</v>
      </c>
      <c r="C1123" s="684" t="s">
        <v>2357</v>
      </c>
      <c r="W1123" t="str">
        <f t="shared" si="34"/>
        <v/>
      </c>
      <c r="X1123" s="185" t="str">
        <f t="shared" si="35"/>
        <v/>
      </c>
      <c r="Y1123" s="685">
        <f>'General price list'!$AB1126</f>
        <v>0</v>
      </c>
      <c r="Z1123" t="str">
        <f>IFERROR(X1123*VLOOKUP(C1123,'General price list'!C:I,7,FALSE),"")</f>
        <v/>
      </c>
      <c r="AA1123" t="str">
        <f>IF(X1123&lt;&gt;"",VLOOKUP(C1123,'General price list'!C1126:AN2304,MATCH("HM",Tabulka1[[#Headers],[KÓD]:[NEQ]],0),FALSE),"")</f>
        <v/>
      </c>
    </row>
    <row r="1124" spans="1:27">
      <c r="A1124">
        <f>COUNTIF($W$22:W1124,1)</f>
        <v>0</v>
      </c>
      <c r="B1124">
        <v>1124</v>
      </c>
      <c r="W1124" t="str">
        <f t="shared" si="34"/>
        <v/>
      </c>
      <c r="X1124" s="185" t="str">
        <f t="shared" si="35"/>
        <v/>
      </c>
      <c r="Y1124" s="685">
        <f>'General price list'!$AB1127</f>
        <v>0</v>
      </c>
      <c r="Z1124" t="str">
        <f>IFERROR(X1124*VLOOKUP(C1124,'General price list'!C:I,7,FALSE),"")</f>
        <v/>
      </c>
      <c r="AA1124" t="str">
        <f>IF(X1124&lt;&gt;"",VLOOKUP(C1124,'General price list'!C1127:AN2305,MATCH("HM",Tabulka1[[#Headers],[KÓD]:[NEQ]],0),FALSE),"")</f>
        <v/>
      </c>
    </row>
    <row r="1125" spans="1:27">
      <c r="A1125">
        <f>COUNTIF($W$22:W1125,1)</f>
        <v>0</v>
      </c>
      <c r="B1125">
        <v>1125</v>
      </c>
      <c r="C1125" s="684" t="s">
        <v>12031</v>
      </c>
      <c r="W1125" t="str">
        <f t="shared" si="34"/>
        <v/>
      </c>
      <c r="X1125" s="185" t="str">
        <f t="shared" si="35"/>
        <v/>
      </c>
      <c r="Y1125" s="685">
        <f>'General price list'!$AB1128</f>
        <v>0</v>
      </c>
      <c r="Z1125" t="str">
        <f>IFERROR(X1125*VLOOKUP(C1125,'General price list'!C:I,7,FALSE),"")</f>
        <v/>
      </c>
      <c r="AA1125" t="str">
        <f>IF(X1125&lt;&gt;"",VLOOKUP(C1125,'General price list'!C1128:AN2306,MATCH("HM",Tabulka1[[#Headers],[KÓD]:[NEQ]],0),FALSE),"")</f>
        <v/>
      </c>
    </row>
    <row r="1126" spans="1:27">
      <c r="A1126">
        <f>COUNTIF($W$22:W1126,1)</f>
        <v>0</v>
      </c>
      <c r="B1126">
        <v>1126</v>
      </c>
      <c r="C1126" s="684" t="s">
        <v>12032</v>
      </c>
      <c r="W1126" t="str">
        <f t="shared" si="34"/>
        <v/>
      </c>
      <c r="X1126" s="185" t="str">
        <f t="shared" si="35"/>
        <v/>
      </c>
      <c r="Y1126" s="685">
        <f>'General price list'!$AB1129</f>
        <v>0</v>
      </c>
      <c r="Z1126" t="str">
        <f>IFERROR(X1126*VLOOKUP(C1126,'General price list'!C:I,7,FALSE),"")</f>
        <v/>
      </c>
      <c r="AA1126" t="str">
        <f>IF(X1126&lt;&gt;"",VLOOKUP(C1126,'General price list'!C1129:AN2307,MATCH("HM",Tabulka1[[#Headers],[KÓD]:[NEQ]],0),FALSE),"")</f>
        <v/>
      </c>
    </row>
    <row r="1127" spans="1:27">
      <c r="A1127">
        <f>COUNTIF($W$22:W1127,1)</f>
        <v>0</v>
      </c>
      <c r="B1127">
        <v>1127</v>
      </c>
      <c r="C1127" s="684" t="s">
        <v>12033</v>
      </c>
      <c r="W1127" t="str">
        <f t="shared" si="34"/>
        <v/>
      </c>
      <c r="X1127" s="185" t="str">
        <f t="shared" si="35"/>
        <v/>
      </c>
      <c r="Y1127" s="685">
        <f>'General price list'!$AB1130</f>
        <v>0</v>
      </c>
      <c r="Z1127" t="str">
        <f>IFERROR(X1127*VLOOKUP(C1127,'General price list'!C:I,7,FALSE),"")</f>
        <v/>
      </c>
      <c r="AA1127" t="str">
        <f>IF(X1127&lt;&gt;"",VLOOKUP(C1127,'General price list'!C1130:AN2308,MATCH("HM",Tabulka1[[#Headers],[KÓD]:[NEQ]],0),FALSE),"")</f>
        <v/>
      </c>
    </row>
    <row r="1128" spans="1:27">
      <c r="A1128">
        <f>COUNTIF($W$22:W1128,1)</f>
        <v>0</v>
      </c>
      <c r="B1128">
        <v>1128</v>
      </c>
      <c r="C1128" s="684" t="s">
        <v>12035</v>
      </c>
      <c r="W1128" t="str">
        <f t="shared" si="34"/>
        <v/>
      </c>
      <c r="X1128" s="185" t="str">
        <f t="shared" si="35"/>
        <v/>
      </c>
      <c r="Y1128" s="685">
        <f>'General price list'!$AB1131</f>
        <v>0</v>
      </c>
      <c r="Z1128" t="str">
        <f>IFERROR(X1128*VLOOKUP(C1128,'General price list'!C:I,7,FALSE),"")</f>
        <v/>
      </c>
      <c r="AA1128" t="str">
        <f>IF(X1128&lt;&gt;"",VLOOKUP(C1128,'General price list'!C1131:AN2309,MATCH("HM",Tabulka1[[#Headers],[KÓD]:[NEQ]],0),FALSE),"")</f>
        <v/>
      </c>
    </row>
    <row r="1129" spans="1:27">
      <c r="A1129">
        <f>COUNTIF($W$22:W1129,1)</f>
        <v>0</v>
      </c>
      <c r="B1129">
        <v>1129</v>
      </c>
      <c r="C1129" s="684" t="s">
        <v>12036</v>
      </c>
      <c r="W1129" t="str">
        <f t="shared" si="34"/>
        <v/>
      </c>
      <c r="X1129" s="185" t="str">
        <f t="shared" si="35"/>
        <v/>
      </c>
      <c r="Y1129" s="685">
        <f>'General price list'!$AB1132</f>
        <v>0</v>
      </c>
      <c r="Z1129" t="str">
        <f>IFERROR(X1129*VLOOKUP(C1129,'General price list'!C:I,7,FALSE),"")</f>
        <v/>
      </c>
      <c r="AA1129" t="str">
        <f>IF(X1129&lt;&gt;"",VLOOKUP(C1129,'General price list'!C1132:AN2310,MATCH("HM",Tabulka1[[#Headers],[KÓD]:[NEQ]],0),FALSE),"")</f>
        <v/>
      </c>
    </row>
    <row r="1130" spans="1:27">
      <c r="A1130">
        <f>COUNTIF($W$22:W1130,1)</f>
        <v>0</v>
      </c>
      <c r="B1130">
        <v>1130</v>
      </c>
      <c r="C1130" s="684" t="s">
        <v>12038</v>
      </c>
      <c r="W1130" t="str">
        <f t="shared" si="34"/>
        <v/>
      </c>
      <c r="X1130" s="185" t="str">
        <f t="shared" si="35"/>
        <v/>
      </c>
      <c r="Y1130" s="685">
        <f>'General price list'!$AB1133</f>
        <v>0</v>
      </c>
      <c r="Z1130" t="str">
        <f>IFERROR(X1130*VLOOKUP(C1130,'General price list'!C:I,7,FALSE),"")</f>
        <v/>
      </c>
      <c r="AA1130" t="str">
        <f>IF(X1130&lt;&gt;"",VLOOKUP(C1130,'General price list'!C1133:AN2311,MATCH("HM",Tabulka1[[#Headers],[KÓD]:[NEQ]],0),FALSE),"")</f>
        <v/>
      </c>
    </row>
    <row r="1131" spans="1:27">
      <c r="A1131">
        <f>COUNTIF($W$22:W1131,1)</f>
        <v>0</v>
      </c>
      <c r="B1131">
        <v>1131</v>
      </c>
      <c r="C1131" s="684" t="s">
        <v>12039</v>
      </c>
      <c r="W1131" t="str">
        <f t="shared" si="34"/>
        <v/>
      </c>
      <c r="X1131" s="185" t="str">
        <f t="shared" si="35"/>
        <v/>
      </c>
      <c r="Y1131" s="685">
        <f>'General price list'!$AB1134</f>
        <v>0</v>
      </c>
      <c r="Z1131" t="str">
        <f>IFERROR(X1131*VLOOKUP(C1131,'General price list'!C:I,7,FALSE),"")</f>
        <v/>
      </c>
      <c r="AA1131" t="str">
        <f>IF(X1131&lt;&gt;"",VLOOKUP(C1131,'General price list'!C1134:AN2312,MATCH("HM",Tabulka1[[#Headers],[KÓD]:[NEQ]],0),FALSE),"")</f>
        <v/>
      </c>
    </row>
    <row r="1132" spans="1:27">
      <c r="A1132">
        <f>COUNTIF($W$22:W1132,1)</f>
        <v>0</v>
      </c>
      <c r="B1132">
        <v>1132</v>
      </c>
      <c r="C1132" s="684" t="s">
        <v>12041</v>
      </c>
      <c r="W1132" t="str">
        <f t="shared" si="34"/>
        <v/>
      </c>
      <c r="X1132" s="185" t="str">
        <f t="shared" si="35"/>
        <v/>
      </c>
      <c r="Y1132" s="685">
        <f>'General price list'!$AB1135</f>
        <v>0</v>
      </c>
      <c r="Z1132" t="str">
        <f>IFERROR(X1132*VLOOKUP(C1132,'General price list'!C:I,7,FALSE),"")</f>
        <v/>
      </c>
      <c r="AA1132" t="str">
        <f>IF(X1132&lt;&gt;"",VLOOKUP(C1132,'General price list'!C1135:AN2313,MATCH("HM",Tabulka1[[#Headers],[KÓD]:[NEQ]],0),FALSE),"")</f>
        <v/>
      </c>
    </row>
    <row r="1133" spans="1:27">
      <c r="A1133">
        <f>COUNTIF($W$22:W1133,1)</f>
        <v>0</v>
      </c>
      <c r="B1133">
        <v>1133</v>
      </c>
      <c r="C1133" s="684" t="s">
        <v>12042</v>
      </c>
      <c r="W1133" t="str">
        <f t="shared" si="34"/>
        <v/>
      </c>
      <c r="X1133" s="185" t="str">
        <f t="shared" si="35"/>
        <v/>
      </c>
      <c r="Y1133" s="685">
        <f>'General price list'!$AB1136</f>
        <v>0</v>
      </c>
      <c r="Z1133" t="str">
        <f>IFERROR(X1133*VLOOKUP(C1133,'General price list'!C:I,7,FALSE),"")</f>
        <v/>
      </c>
      <c r="AA1133" t="str">
        <f>IF(X1133&lt;&gt;"",VLOOKUP(C1133,'General price list'!C1136:AN2314,MATCH("HM",Tabulka1[[#Headers],[KÓD]:[NEQ]],0),FALSE),"")</f>
        <v/>
      </c>
    </row>
    <row r="1134" spans="1:27">
      <c r="A1134">
        <f>COUNTIF($W$22:W1134,1)</f>
        <v>0</v>
      </c>
      <c r="B1134">
        <v>1134</v>
      </c>
      <c r="C1134" s="684" t="s">
        <v>12043</v>
      </c>
      <c r="W1134" t="str">
        <f t="shared" si="34"/>
        <v/>
      </c>
      <c r="X1134" s="185" t="str">
        <f t="shared" si="35"/>
        <v/>
      </c>
      <c r="Y1134" s="685">
        <f>'General price list'!$AB1137</f>
        <v>0</v>
      </c>
      <c r="Z1134" t="str">
        <f>IFERROR(X1134*VLOOKUP(C1134,'General price list'!C:I,7,FALSE),"")</f>
        <v/>
      </c>
      <c r="AA1134" t="str">
        <f>IF(X1134&lt;&gt;"",VLOOKUP(C1134,'General price list'!C1137:AN2315,MATCH("HM",Tabulka1[[#Headers],[KÓD]:[NEQ]],0),FALSE),"")</f>
        <v/>
      </c>
    </row>
    <row r="1135" spans="1:27">
      <c r="A1135">
        <f>COUNTIF($W$22:W1135,1)</f>
        <v>0</v>
      </c>
      <c r="B1135">
        <v>1135</v>
      </c>
      <c r="C1135" s="684" t="s">
        <v>12044</v>
      </c>
      <c r="W1135" t="str">
        <f t="shared" si="34"/>
        <v/>
      </c>
      <c r="X1135" s="185" t="str">
        <f t="shared" si="35"/>
        <v/>
      </c>
      <c r="Y1135" s="685">
        <f>'General price list'!$AB1138</f>
        <v>0</v>
      </c>
      <c r="Z1135" t="str">
        <f>IFERROR(X1135*VLOOKUP(C1135,'General price list'!C:I,7,FALSE),"")</f>
        <v/>
      </c>
      <c r="AA1135" t="str">
        <f>IF(X1135&lt;&gt;"",VLOOKUP(C1135,'General price list'!C1138:AN2316,MATCH("HM",Tabulka1[[#Headers],[KÓD]:[NEQ]],0),FALSE),"")</f>
        <v/>
      </c>
    </row>
    <row r="1136" spans="1:27">
      <c r="A1136">
        <f>COUNTIF($W$22:W1136,1)</f>
        <v>0</v>
      </c>
      <c r="B1136">
        <v>1136</v>
      </c>
      <c r="C1136" s="684" t="s">
        <v>12045</v>
      </c>
      <c r="W1136" t="str">
        <f t="shared" si="34"/>
        <v/>
      </c>
      <c r="X1136" s="185" t="str">
        <f t="shared" si="35"/>
        <v/>
      </c>
      <c r="Y1136" s="685">
        <f>'General price list'!$AB1139</f>
        <v>0</v>
      </c>
      <c r="Z1136" t="str">
        <f>IFERROR(X1136*VLOOKUP(C1136,'General price list'!C:I,7,FALSE),"")</f>
        <v/>
      </c>
      <c r="AA1136" t="str">
        <f>IF(X1136&lt;&gt;"",VLOOKUP(C1136,'General price list'!C1139:AN2317,MATCH("HM",Tabulka1[[#Headers],[KÓD]:[NEQ]],0),FALSE),"")</f>
        <v/>
      </c>
    </row>
    <row r="1137" spans="1:27">
      <c r="A1137">
        <f>COUNTIF($W$22:W1137,1)</f>
        <v>0</v>
      </c>
      <c r="B1137">
        <v>1137</v>
      </c>
      <c r="C1137" s="684" t="s">
        <v>12046</v>
      </c>
      <c r="W1137" t="str">
        <f t="shared" si="34"/>
        <v/>
      </c>
      <c r="X1137" s="185" t="str">
        <f t="shared" si="35"/>
        <v/>
      </c>
      <c r="Y1137" s="685">
        <f>'General price list'!$AB1140</f>
        <v>0</v>
      </c>
      <c r="Z1137" t="str">
        <f>IFERROR(X1137*VLOOKUP(C1137,'General price list'!C:I,7,FALSE),"")</f>
        <v/>
      </c>
      <c r="AA1137" t="str">
        <f>IF(X1137&lt;&gt;"",VLOOKUP(C1137,'General price list'!C1140:AN2318,MATCH("HM",Tabulka1[[#Headers],[KÓD]:[NEQ]],0),FALSE),"")</f>
        <v/>
      </c>
    </row>
    <row r="1138" spans="1:27">
      <c r="A1138">
        <f>COUNTIF($W$22:W1138,1)</f>
        <v>0</v>
      </c>
      <c r="B1138">
        <v>1138</v>
      </c>
      <c r="C1138" s="684" t="s">
        <v>12047</v>
      </c>
      <c r="W1138" t="str">
        <f t="shared" si="34"/>
        <v/>
      </c>
      <c r="X1138" s="185" t="str">
        <f t="shared" si="35"/>
        <v/>
      </c>
      <c r="Y1138" s="685">
        <f>'General price list'!$AB1141</f>
        <v>0</v>
      </c>
      <c r="Z1138" t="str">
        <f>IFERROR(X1138*VLOOKUP(C1138,'General price list'!C:I,7,FALSE),"")</f>
        <v/>
      </c>
      <c r="AA1138" t="str">
        <f>IF(X1138&lt;&gt;"",VLOOKUP(C1138,'General price list'!C1141:AN2319,MATCH("HM",Tabulka1[[#Headers],[KÓD]:[NEQ]],0),FALSE),"")</f>
        <v/>
      </c>
    </row>
    <row r="1139" spans="1:27">
      <c r="A1139">
        <f>COUNTIF($W$22:W1139,1)</f>
        <v>0</v>
      </c>
      <c r="B1139">
        <v>1139</v>
      </c>
      <c r="C1139" s="684" t="s">
        <v>12048</v>
      </c>
      <c r="W1139" t="str">
        <f t="shared" si="34"/>
        <v/>
      </c>
      <c r="X1139" s="185" t="str">
        <f t="shared" si="35"/>
        <v/>
      </c>
      <c r="Y1139" s="685">
        <f>'General price list'!$AB1142</f>
        <v>0</v>
      </c>
      <c r="Z1139" t="str">
        <f>IFERROR(X1139*VLOOKUP(C1139,'General price list'!C:I,7,FALSE),"")</f>
        <v/>
      </c>
      <c r="AA1139" t="str">
        <f>IF(X1139&lt;&gt;"",VLOOKUP(C1139,'General price list'!C1142:AN2320,MATCH("HM",Tabulka1[[#Headers],[KÓD]:[NEQ]],0),FALSE),"")</f>
        <v/>
      </c>
    </row>
    <row r="1140" spans="1:27">
      <c r="A1140">
        <f>COUNTIF($W$22:W1140,1)</f>
        <v>0</v>
      </c>
      <c r="B1140">
        <v>1140</v>
      </c>
      <c r="C1140" s="684" t="s">
        <v>12049</v>
      </c>
      <c r="W1140" t="str">
        <f t="shared" si="34"/>
        <v/>
      </c>
      <c r="X1140" s="185" t="str">
        <f t="shared" si="35"/>
        <v/>
      </c>
      <c r="Y1140" s="685">
        <f>'General price list'!$AB1143</f>
        <v>0</v>
      </c>
      <c r="Z1140" t="str">
        <f>IFERROR(X1140*VLOOKUP(C1140,'General price list'!C:I,7,FALSE),"")</f>
        <v/>
      </c>
      <c r="AA1140" t="str">
        <f>IF(X1140&lt;&gt;"",VLOOKUP(C1140,'General price list'!C1143:AN2321,MATCH("HM",Tabulka1[[#Headers],[KÓD]:[NEQ]],0),FALSE),"")</f>
        <v/>
      </c>
    </row>
    <row r="1141" spans="1:27">
      <c r="A1141">
        <f>COUNTIF($W$22:W1141,1)</f>
        <v>0</v>
      </c>
      <c r="B1141">
        <v>1141</v>
      </c>
      <c r="C1141" s="684" t="s">
        <v>12050</v>
      </c>
      <c r="W1141" t="str">
        <f t="shared" si="34"/>
        <v/>
      </c>
      <c r="X1141" s="185" t="str">
        <f t="shared" si="35"/>
        <v/>
      </c>
      <c r="Y1141" s="685">
        <f>'General price list'!$AB1144</f>
        <v>0</v>
      </c>
      <c r="Z1141" t="str">
        <f>IFERROR(X1141*VLOOKUP(C1141,'General price list'!C:I,7,FALSE),"")</f>
        <v/>
      </c>
      <c r="AA1141" t="str">
        <f>IF(X1141&lt;&gt;"",VLOOKUP(C1141,'General price list'!C1144:AN2322,MATCH("HM",Tabulka1[[#Headers],[KÓD]:[NEQ]],0),FALSE),"")</f>
        <v/>
      </c>
    </row>
    <row r="1142" spans="1:27">
      <c r="A1142">
        <f>COUNTIF($W$22:W1142,1)</f>
        <v>0</v>
      </c>
      <c r="B1142">
        <v>1142</v>
      </c>
      <c r="C1142" s="684" t="s">
        <v>12051</v>
      </c>
      <c r="W1142" t="str">
        <f t="shared" si="34"/>
        <v/>
      </c>
      <c r="X1142" s="185" t="str">
        <f t="shared" si="35"/>
        <v/>
      </c>
      <c r="Y1142" s="685">
        <f>'General price list'!$AB1145</f>
        <v>0</v>
      </c>
      <c r="Z1142" t="str">
        <f>IFERROR(X1142*VLOOKUP(C1142,'General price list'!C:I,7,FALSE),"")</f>
        <v/>
      </c>
      <c r="AA1142" t="str">
        <f>IF(X1142&lt;&gt;"",VLOOKUP(C1142,'General price list'!C1145:AN2323,MATCH("HM",Tabulka1[[#Headers],[KÓD]:[NEQ]],0),FALSE),"")</f>
        <v/>
      </c>
    </row>
    <row r="1143" spans="1:27">
      <c r="A1143">
        <f>COUNTIF($W$22:W1143,1)</f>
        <v>0</v>
      </c>
      <c r="B1143">
        <v>1143</v>
      </c>
      <c r="C1143" s="684" t="s">
        <v>12053</v>
      </c>
      <c r="W1143" t="str">
        <f t="shared" si="34"/>
        <v/>
      </c>
      <c r="X1143" s="185" t="str">
        <f t="shared" si="35"/>
        <v/>
      </c>
      <c r="Y1143" s="685">
        <f>'General price list'!$AB1146</f>
        <v>0</v>
      </c>
      <c r="Z1143" t="str">
        <f>IFERROR(X1143*VLOOKUP(C1143,'General price list'!C:I,7,FALSE),"")</f>
        <v/>
      </c>
      <c r="AA1143" t="str">
        <f>IF(X1143&lt;&gt;"",VLOOKUP(C1143,'General price list'!C1146:AN2324,MATCH("HM",Tabulka1[[#Headers],[KÓD]:[NEQ]],0),FALSE),"")</f>
        <v/>
      </c>
    </row>
    <row r="1144" spans="1:27">
      <c r="A1144">
        <f>COUNTIF($W$22:W1144,1)</f>
        <v>0</v>
      </c>
      <c r="B1144">
        <v>1144</v>
      </c>
      <c r="C1144" s="684" t="s">
        <v>12343</v>
      </c>
      <c r="W1144" t="str">
        <f t="shared" si="34"/>
        <v/>
      </c>
      <c r="X1144" s="185" t="str">
        <f t="shared" si="35"/>
        <v/>
      </c>
      <c r="Y1144" s="685">
        <f>'General price list'!$AB1147</f>
        <v>0</v>
      </c>
      <c r="Z1144" t="str">
        <f>IFERROR(X1144*VLOOKUP(C1144,'General price list'!C:I,7,FALSE),"")</f>
        <v/>
      </c>
      <c r="AA1144" t="str">
        <f>IF(X1144&lt;&gt;"",VLOOKUP(C1144,'General price list'!C1147:AN2325,MATCH("HM",Tabulka1[[#Headers],[KÓD]:[NEQ]],0),FALSE),"")</f>
        <v/>
      </c>
    </row>
    <row r="1145" spans="1:27">
      <c r="A1145">
        <f>COUNTIF($W$22:W1145,1)</f>
        <v>0</v>
      </c>
      <c r="B1145">
        <v>1145</v>
      </c>
      <c r="C1145" s="684" t="s">
        <v>12054</v>
      </c>
      <c r="W1145" t="str">
        <f t="shared" si="34"/>
        <v/>
      </c>
      <c r="X1145" s="185" t="str">
        <f t="shared" si="35"/>
        <v/>
      </c>
      <c r="Y1145" s="685">
        <f>'General price list'!$AB1148</f>
        <v>0</v>
      </c>
      <c r="Z1145" t="str">
        <f>IFERROR(X1145*VLOOKUP(C1145,'General price list'!C:I,7,FALSE),"")</f>
        <v/>
      </c>
      <c r="AA1145" t="str">
        <f>IF(X1145&lt;&gt;"",VLOOKUP(C1145,'General price list'!C1148:AN2326,MATCH("HM",Tabulka1[[#Headers],[KÓD]:[NEQ]],0),FALSE),"")</f>
        <v/>
      </c>
    </row>
    <row r="1146" spans="1:27">
      <c r="A1146">
        <f>COUNTIF($W$22:W1146,1)</f>
        <v>0</v>
      </c>
      <c r="B1146">
        <v>1146</v>
      </c>
      <c r="C1146" s="684" t="s">
        <v>12055</v>
      </c>
      <c r="W1146" t="str">
        <f t="shared" si="34"/>
        <v/>
      </c>
      <c r="X1146" s="185" t="str">
        <f t="shared" si="35"/>
        <v/>
      </c>
      <c r="Y1146" s="685">
        <f>'General price list'!$AB1149</f>
        <v>0</v>
      </c>
      <c r="Z1146" t="str">
        <f>IFERROR(X1146*VLOOKUP(C1146,'General price list'!C:I,7,FALSE),"")</f>
        <v/>
      </c>
      <c r="AA1146" t="str">
        <f>IF(X1146&lt;&gt;"",VLOOKUP(C1146,'General price list'!C1149:AN2327,MATCH("HM",Tabulka1[[#Headers],[KÓD]:[NEQ]],0),FALSE),"")</f>
        <v/>
      </c>
    </row>
    <row r="1147" spans="1:27">
      <c r="A1147">
        <f>COUNTIF($W$22:W1147,1)</f>
        <v>0</v>
      </c>
      <c r="B1147">
        <v>1147</v>
      </c>
      <c r="C1147" s="684" t="s">
        <v>12344</v>
      </c>
      <c r="W1147" t="str">
        <f t="shared" si="34"/>
        <v/>
      </c>
      <c r="X1147" s="185" t="str">
        <f t="shared" si="35"/>
        <v/>
      </c>
      <c r="Y1147" s="685">
        <f>'General price list'!$AB1150</f>
        <v>0</v>
      </c>
      <c r="Z1147" t="str">
        <f>IFERROR(X1147*VLOOKUP(C1147,'General price list'!C:I,7,FALSE),"")</f>
        <v/>
      </c>
      <c r="AA1147" t="str">
        <f>IF(X1147&lt;&gt;"",VLOOKUP(C1147,'General price list'!C1150:AN2328,MATCH("HM",Tabulka1[[#Headers],[KÓD]:[NEQ]],0),FALSE),"")</f>
        <v/>
      </c>
    </row>
    <row r="1148" spans="1:27">
      <c r="A1148">
        <f>COUNTIF($W$22:W1148,1)</f>
        <v>0</v>
      </c>
      <c r="B1148">
        <v>1148</v>
      </c>
      <c r="C1148" s="684" t="s">
        <v>12057</v>
      </c>
      <c r="W1148" t="str">
        <f t="shared" si="34"/>
        <v/>
      </c>
      <c r="X1148" s="185" t="str">
        <f t="shared" si="35"/>
        <v/>
      </c>
      <c r="Y1148" s="685">
        <f>'General price list'!$AB1151</f>
        <v>0</v>
      </c>
      <c r="Z1148" t="str">
        <f>IFERROR(X1148*VLOOKUP(C1148,'General price list'!C:I,7,FALSE),"")</f>
        <v/>
      </c>
      <c r="AA1148" t="str">
        <f>IF(X1148&lt;&gt;"",VLOOKUP(C1148,'General price list'!C1151:AN2329,MATCH("HM",Tabulka1[[#Headers],[KÓD]:[NEQ]],0),FALSE),"")</f>
        <v/>
      </c>
    </row>
    <row r="1149" spans="1:27">
      <c r="A1149">
        <f>COUNTIF($W$22:W1149,1)</f>
        <v>0</v>
      </c>
      <c r="B1149">
        <v>1149</v>
      </c>
      <c r="C1149" s="684" t="s">
        <v>12060</v>
      </c>
      <c r="W1149" t="str">
        <f t="shared" si="34"/>
        <v/>
      </c>
      <c r="X1149" s="185" t="str">
        <f t="shared" si="35"/>
        <v/>
      </c>
      <c r="Y1149" s="685">
        <f>'General price list'!$AB1152</f>
        <v>0</v>
      </c>
      <c r="Z1149" t="str">
        <f>IFERROR(X1149*VLOOKUP(C1149,'General price list'!C:I,7,FALSE),"")</f>
        <v/>
      </c>
      <c r="AA1149" t="str">
        <f>IF(X1149&lt;&gt;"",VLOOKUP(C1149,'General price list'!C1152:AN2330,MATCH("HM",Tabulka1[[#Headers],[KÓD]:[NEQ]],0),FALSE),"")</f>
        <v/>
      </c>
    </row>
    <row r="1150" spans="1:27">
      <c r="A1150">
        <f>COUNTIF($W$22:W1150,1)</f>
        <v>0</v>
      </c>
      <c r="B1150">
        <v>1150</v>
      </c>
      <c r="C1150" s="684" t="s">
        <v>12061</v>
      </c>
      <c r="W1150" t="str">
        <f t="shared" si="34"/>
        <v/>
      </c>
      <c r="X1150" s="185" t="str">
        <f t="shared" si="35"/>
        <v/>
      </c>
      <c r="Y1150" s="685">
        <f>'General price list'!$AB1153</f>
        <v>0</v>
      </c>
      <c r="Z1150" t="str">
        <f>IFERROR(X1150*VLOOKUP(C1150,'General price list'!C:I,7,FALSE),"")</f>
        <v/>
      </c>
      <c r="AA1150" t="str">
        <f>IF(X1150&lt;&gt;"",VLOOKUP(C1150,'General price list'!C1153:AN2331,MATCH("HM",Tabulka1[[#Headers],[KÓD]:[NEQ]],0),FALSE),"")</f>
        <v/>
      </c>
    </row>
    <row r="1151" spans="1:27">
      <c r="A1151">
        <f>COUNTIF($W$22:W1151,1)</f>
        <v>0</v>
      </c>
      <c r="B1151">
        <v>1151</v>
      </c>
      <c r="C1151" s="684" t="s">
        <v>12346</v>
      </c>
      <c r="W1151" t="str">
        <f t="shared" si="34"/>
        <v/>
      </c>
      <c r="X1151" s="185" t="str">
        <f t="shared" si="35"/>
        <v/>
      </c>
      <c r="Y1151" s="685">
        <f>'General price list'!$AB1154</f>
        <v>0</v>
      </c>
      <c r="Z1151" t="str">
        <f>IFERROR(X1151*VLOOKUP(C1151,'General price list'!C:I,7,FALSE),"")</f>
        <v/>
      </c>
      <c r="AA1151" t="str">
        <f>IF(X1151&lt;&gt;"",VLOOKUP(C1151,'General price list'!C1154:AN2332,MATCH("HM",Tabulka1[[#Headers],[KÓD]:[NEQ]],0),FALSE),"")</f>
        <v/>
      </c>
    </row>
    <row r="1152" spans="1:27">
      <c r="A1152">
        <f>COUNTIF($W$22:W1152,1)</f>
        <v>0</v>
      </c>
      <c r="B1152">
        <v>1152</v>
      </c>
      <c r="C1152" s="684" t="s">
        <v>12063</v>
      </c>
      <c r="W1152" t="str">
        <f t="shared" si="34"/>
        <v/>
      </c>
      <c r="X1152" s="185" t="str">
        <f t="shared" si="35"/>
        <v/>
      </c>
      <c r="Y1152" s="685">
        <f>'General price list'!$AB1155</f>
        <v>0</v>
      </c>
      <c r="Z1152" t="str">
        <f>IFERROR(X1152*VLOOKUP(C1152,'General price list'!C:I,7,FALSE),"")</f>
        <v/>
      </c>
      <c r="AA1152" t="str">
        <f>IF(X1152&lt;&gt;"",VLOOKUP(C1152,'General price list'!C1155:AN2333,MATCH("HM",Tabulka1[[#Headers],[KÓD]:[NEQ]],0),FALSE),"")</f>
        <v/>
      </c>
    </row>
    <row r="1153" spans="1:27">
      <c r="A1153">
        <f>COUNTIF($W$22:W1153,1)</f>
        <v>0</v>
      </c>
      <c r="B1153">
        <v>1153</v>
      </c>
      <c r="C1153" s="684" t="s">
        <v>12064</v>
      </c>
      <c r="W1153" t="str">
        <f t="shared" si="34"/>
        <v/>
      </c>
      <c r="X1153" s="185" t="str">
        <f t="shared" si="35"/>
        <v/>
      </c>
      <c r="Y1153" s="685">
        <f>'General price list'!$AB1156</f>
        <v>0</v>
      </c>
      <c r="Z1153" t="str">
        <f>IFERROR(X1153*VLOOKUP(C1153,'General price list'!C:I,7,FALSE),"")</f>
        <v/>
      </c>
      <c r="AA1153" t="str">
        <f>IF(X1153&lt;&gt;"",VLOOKUP(C1153,'General price list'!C1156:AN2334,MATCH("HM",Tabulka1[[#Headers],[KÓD]:[NEQ]],0),FALSE),"")</f>
        <v/>
      </c>
    </row>
    <row r="1154" spans="1:27">
      <c r="A1154">
        <f>COUNTIF($W$22:W1154,1)</f>
        <v>0</v>
      </c>
      <c r="B1154">
        <v>1154</v>
      </c>
      <c r="C1154" s="684" t="s">
        <v>12065</v>
      </c>
      <c r="W1154" t="str">
        <f t="shared" si="34"/>
        <v/>
      </c>
      <c r="X1154" s="185" t="str">
        <f t="shared" si="35"/>
        <v/>
      </c>
      <c r="Y1154" s="685">
        <f>'General price list'!$AB1157</f>
        <v>0</v>
      </c>
      <c r="Z1154" t="str">
        <f>IFERROR(X1154*VLOOKUP(C1154,'General price list'!C:I,7,FALSE),"")</f>
        <v/>
      </c>
      <c r="AA1154" t="str">
        <f>IF(X1154&lt;&gt;"",VLOOKUP(C1154,'General price list'!C1157:AN2335,MATCH("HM",Tabulka1[[#Headers],[KÓD]:[NEQ]],0),FALSE),"")</f>
        <v/>
      </c>
    </row>
    <row r="1155" spans="1:27">
      <c r="A1155">
        <f>COUNTIF($W$22:W1155,1)</f>
        <v>0</v>
      </c>
      <c r="B1155">
        <v>1155</v>
      </c>
      <c r="C1155" s="684" t="s">
        <v>12066</v>
      </c>
      <c r="W1155" t="str">
        <f t="shared" si="34"/>
        <v/>
      </c>
      <c r="X1155" s="185" t="str">
        <f t="shared" si="35"/>
        <v/>
      </c>
      <c r="Y1155" s="685">
        <f>'General price list'!$AB1158</f>
        <v>0</v>
      </c>
      <c r="Z1155" t="str">
        <f>IFERROR(X1155*VLOOKUP(C1155,'General price list'!C:I,7,FALSE),"")</f>
        <v/>
      </c>
      <c r="AA1155" t="str">
        <f>IF(X1155&lt;&gt;"",VLOOKUP(C1155,'General price list'!C1158:AN2336,MATCH("HM",Tabulka1[[#Headers],[KÓD]:[NEQ]],0),FALSE),"")</f>
        <v/>
      </c>
    </row>
    <row r="1156" spans="1:27">
      <c r="A1156">
        <f>COUNTIF($W$22:W1156,1)</f>
        <v>0</v>
      </c>
      <c r="B1156">
        <v>1156</v>
      </c>
      <c r="C1156" s="684" t="s">
        <v>12067</v>
      </c>
      <c r="W1156" t="str">
        <f t="shared" si="34"/>
        <v/>
      </c>
      <c r="X1156" s="185" t="str">
        <f t="shared" si="35"/>
        <v/>
      </c>
      <c r="Y1156" s="685">
        <f>'General price list'!$AB1159</f>
        <v>0</v>
      </c>
      <c r="Z1156" t="str">
        <f>IFERROR(X1156*VLOOKUP(C1156,'General price list'!C:I,7,FALSE),"")</f>
        <v/>
      </c>
      <c r="AA1156" t="str">
        <f>IF(X1156&lt;&gt;"",VLOOKUP(C1156,'General price list'!C1159:AN2337,MATCH("HM",Tabulka1[[#Headers],[KÓD]:[NEQ]],0),FALSE),"")</f>
        <v/>
      </c>
    </row>
    <row r="1157" spans="1:27">
      <c r="A1157">
        <f>COUNTIF($W$22:W1157,1)</f>
        <v>0</v>
      </c>
      <c r="B1157">
        <v>1157</v>
      </c>
      <c r="C1157" s="684" t="s">
        <v>12068</v>
      </c>
      <c r="W1157" t="str">
        <f t="shared" si="34"/>
        <v/>
      </c>
      <c r="X1157" s="185" t="str">
        <f t="shared" si="35"/>
        <v/>
      </c>
      <c r="Y1157" s="685">
        <f>'General price list'!$AB1160</f>
        <v>0</v>
      </c>
      <c r="Z1157" t="str">
        <f>IFERROR(X1157*VLOOKUP(C1157,'General price list'!C:I,7,FALSE),"")</f>
        <v/>
      </c>
      <c r="AA1157" t="str">
        <f>IF(X1157&lt;&gt;"",VLOOKUP(C1157,'General price list'!C1160:AN2338,MATCH("HM",Tabulka1[[#Headers],[KÓD]:[NEQ]],0),FALSE),"")</f>
        <v/>
      </c>
    </row>
    <row r="1158" spans="1:27">
      <c r="A1158">
        <f>COUNTIF($W$22:W1158,1)</f>
        <v>0</v>
      </c>
      <c r="B1158">
        <v>1158</v>
      </c>
      <c r="C1158" s="684" t="s">
        <v>12070</v>
      </c>
      <c r="W1158" t="str">
        <f t="shared" si="34"/>
        <v/>
      </c>
      <c r="X1158" s="185" t="str">
        <f t="shared" si="35"/>
        <v/>
      </c>
      <c r="Y1158" s="685">
        <f>'General price list'!$AB1161</f>
        <v>0</v>
      </c>
      <c r="Z1158" t="str">
        <f>IFERROR(X1158*VLOOKUP(C1158,'General price list'!C:I,7,FALSE),"")</f>
        <v/>
      </c>
      <c r="AA1158" t="str">
        <f>IF(X1158&lt;&gt;"",VLOOKUP(C1158,'General price list'!C1161:AN2339,MATCH("HM",Tabulka1[[#Headers],[KÓD]:[NEQ]],0),FALSE),"")</f>
        <v/>
      </c>
    </row>
    <row r="1159" spans="1:27">
      <c r="A1159">
        <f>COUNTIF($W$22:W1159,1)</f>
        <v>0</v>
      </c>
      <c r="B1159">
        <v>1159</v>
      </c>
      <c r="C1159" s="684" t="s">
        <v>12071</v>
      </c>
      <c r="W1159" t="str">
        <f t="shared" si="34"/>
        <v/>
      </c>
      <c r="X1159" s="185" t="str">
        <f t="shared" si="35"/>
        <v/>
      </c>
      <c r="Y1159" s="685">
        <f>'General price list'!$AB1162</f>
        <v>0</v>
      </c>
      <c r="Z1159" t="str">
        <f>IFERROR(X1159*VLOOKUP(C1159,'General price list'!C:I,7,FALSE),"")</f>
        <v/>
      </c>
      <c r="AA1159" t="str">
        <f>IF(X1159&lt;&gt;"",VLOOKUP(C1159,'General price list'!C1162:AN2340,MATCH("HM",Tabulka1[[#Headers],[KÓD]:[NEQ]],0),FALSE),"")</f>
        <v/>
      </c>
    </row>
    <row r="1160" spans="1:27">
      <c r="A1160">
        <f>COUNTIF($W$22:W1160,1)</f>
        <v>0</v>
      </c>
      <c r="B1160">
        <v>1160</v>
      </c>
      <c r="C1160" s="684" t="s">
        <v>12072</v>
      </c>
      <c r="W1160" t="str">
        <f t="shared" si="34"/>
        <v/>
      </c>
      <c r="X1160" s="185" t="str">
        <f t="shared" si="35"/>
        <v/>
      </c>
      <c r="Y1160" s="685">
        <f>'General price list'!$AB1163</f>
        <v>0</v>
      </c>
      <c r="Z1160" t="str">
        <f>IFERROR(X1160*VLOOKUP(C1160,'General price list'!C:I,7,FALSE),"")</f>
        <v/>
      </c>
      <c r="AA1160" t="str">
        <f>IF(X1160&lt;&gt;"",VLOOKUP(C1160,'General price list'!C1163:AN2341,MATCH("HM",Tabulka1[[#Headers],[KÓD]:[NEQ]],0),FALSE),"")</f>
        <v/>
      </c>
    </row>
    <row r="1161" spans="1:27">
      <c r="A1161">
        <f>COUNTIF($W$22:W1161,1)</f>
        <v>0</v>
      </c>
      <c r="B1161">
        <v>1161</v>
      </c>
      <c r="C1161" s="684" t="s">
        <v>12073</v>
      </c>
      <c r="W1161" t="str">
        <f t="shared" si="34"/>
        <v/>
      </c>
      <c r="X1161" s="185" t="str">
        <f t="shared" si="35"/>
        <v/>
      </c>
      <c r="Y1161" s="685">
        <f>'General price list'!$AB1164</f>
        <v>0</v>
      </c>
      <c r="Z1161" t="str">
        <f>IFERROR(X1161*VLOOKUP(C1161,'General price list'!C:I,7,FALSE),"")</f>
        <v/>
      </c>
      <c r="AA1161" t="str">
        <f>IF(X1161&lt;&gt;"",VLOOKUP(C1161,'General price list'!C1164:AN2342,MATCH("HM",Tabulka1[[#Headers],[KÓD]:[NEQ]],0),FALSE),"")</f>
        <v/>
      </c>
    </row>
    <row r="1162" spans="1:27">
      <c r="A1162">
        <f>COUNTIF($W$22:W1162,1)</f>
        <v>0</v>
      </c>
      <c r="B1162">
        <v>1162</v>
      </c>
      <c r="C1162" s="684" t="s">
        <v>12347</v>
      </c>
      <c r="W1162" t="str">
        <f t="shared" si="34"/>
        <v/>
      </c>
      <c r="X1162" s="185" t="str">
        <f t="shared" si="35"/>
        <v/>
      </c>
      <c r="Y1162" s="685">
        <f>'General price list'!$AB1165</f>
        <v>0</v>
      </c>
      <c r="Z1162" t="str">
        <f>IFERROR(X1162*VLOOKUP(C1162,'General price list'!C:I,7,FALSE),"")</f>
        <v/>
      </c>
      <c r="AA1162" t="str">
        <f>IF(X1162&lt;&gt;"",VLOOKUP(C1162,'General price list'!C1165:AN2343,MATCH("HM",Tabulka1[[#Headers],[KÓD]:[NEQ]],0),FALSE),"")</f>
        <v/>
      </c>
    </row>
    <row r="1163" spans="1:27">
      <c r="A1163">
        <f>COUNTIF($W$22:W1163,1)</f>
        <v>0</v>
      </c>
      <c r="B1163">
        <v>1163</v>
      </c>
      <c r="C1163" s="684" t="s">
        <v>12074</v>
      </c>
      <c r="W1163" t="str">
        <f t="shared" si="34"/>
        <v/>
      </c>
      <c r="X1163" s="185" t="str">
        <f t="shared" si="35"/>
        <v/>
      </c>
      <c r="Y1163" s="685">
        <f>'General price list'!$AB1166</f>
        <v>0</v>
      </c>
      <c r="Z1163" t="str">
        <f>IFERROR(X1163*VLOOKUP(C1163,'General price list'!C:I,7,FALSE),"")</f>
        <v/>
      </c>
      <c r="AA1163" t="str">
        <f>IF(X1163&lt;&gt;"",VLOOKUP(C1163,'General price list'!C1166:AN2344,MATCH("HM",Tabulka1[[#Headers],[KÓD]:[NEQ]],0),FALSE),"")</f>
        <v/>
      </c>
    </row>
    <row r="1164" spans="1:27">
      <c r="A1164">
        <f>COUNTIF($W$22:W1164,1)</f>
        <v>0</v>
      </c>
      <c r="B1164">
        <v>1164</v>
      </c>
      <c r="C1164" s="684" t="s">
        <v>12348</v>
      </c>
      <c r="W1164" t="str">
        <f t="shared" si="34"/>
        <v/>
      </c>
      <c r="X1164" s="185" t="str">
        <f t="shared" si="35"/>
        <v/>
      </c>
      <c r="Y1164" s="685">
        <f>'General price list'!$AB1167</f>
        <v>0</v>
      </c>
      <c r="Z1164" t="str">
        <f>IFERROR(X1164*VLOOKUP(C1164,'General price list'!C:I,7,FALSE),"")</f>
        <v/>
      </c>
      <c r="AA1164" t="str">
        <f>IF(X1164&lt;&gt;"",VLOOKUP(C1164,'General price list'!C1167:AN2345,MATCH("HM",Tabulka1[[#Headers],[KÓD]:[NEQ]],0),FALSE),"")</f>
        <v/>
      </c>
    </row>
    <row r="1165" spans="1:27">
      <c r="A1165">
        <f>COUNTIF($W$22:W1165,1)</f>
        <v>0</v>
      </c>
      <c r="B1165">
        <v>1165</v>
      </c>
      <c r="C1165" s="684" t="s">
        <v>12076</v>
      </c>
      <c r="W1165" t="str">
        <f t="shared" si="34"/>
        <v/>
      </c>
      <c r="X1165" s="185" t="str">
        <f t="shared" si="35"/>
        <v/>
      </c>
      <c r="Y1165" s="685">
        <f>'General price list'!$AB1168</f>
        <v>0</v>
      </c>
      <c r="Z1165" t="str">
        <f>IFERROR(X1165*VLOOKUP(C1165,'General price list'!C:I,7,FALSE),"")</f>
        <v/>
      </c>
      <c r="AA1165" t="str">
        <f>IF(X1165&lt;&gt;"",VLOOKUP(C1165,'General price list'!C1168:AN2346,MATCH("HM",Tabulka1[[#Headers],[KÓD]:[NEQ]],0),FALSE),"")</f>
        <v/>
      </c>
    </row>
    <row r="1166" spans="1:27">
      <c r="A1166">
        <f>COUNTIF($W$22:W1166,1)</f>
        <v>0</v>
      </c>
      <c r="B1166">
        <v>1166</v>
      </c>
      <c r="C1166" s="684" t="s">
        <v>12077</v>
      </c>
      <c r="W1166" t="str">
        <f t="shared" si="34"/>
        <v/>
      </c>
      <c r="X1166" s="185" t="str">
        <f t="shared" si="35"/>
        <v/>
      </c>
      <c r="Y1166" s="685">
        <f>'General price list'!$AB1169</f>
        <v>0</v>
      </c>
      <c r="Z1166" t="str">
        <f>IFERROR(X1166*VLOOKUP(C1166,'General price list'!C:I,7,FALSE),"")</f>
        <v/>
      </c>
      <c r="AA1166" t="str">
        <f>IF(X1166&lt;&gt;"",VLOOKUP(C1166,'General price list'!C1169:AN2347,MATCH("HM",Tabulka1[[#Headers],[KÓD]:[NEQ]],0),FALSE),"")</f>
        <v/>
      </c>
    </row>
    <row r="1167" spans="1:27">
      <c r="A1167">
        <f>COUNTIF($W$22:W1167,1)</f>
        <v>0</v>
      </c>
      <c r="B1167">
        <v>1167</v>
      </c>
      <c r="C1167" s="684" t="s">
        <v>12078</v>
      </c>
      <c r="W1167" t="str">
        <f t="shared" si="34"/>
        <v/>
      </c>
      <c r="X1167" s="185" t="str">
        <f t="shared" si="35"/>
        <v/>
      </c>
      <c r="Y1167" s="685">
        <f>'General price list'!$AB1170</f>
        <v>0</v>
      </c>
      <c r="Z1167" t="str">
        <f>IFERROR(X1167*VLOOKUP(C1167,'General price list'!C:I,7,FALSE),"")</f>
        <v/>
      </c>
      <c r="AA1167" t="str">
        <f>IF(X1167&lt;&gt;"",VLOOKUP(C1167,'General price list'!C1170:AN2348,MATCH("HM",Tabulka1[[#Headers],[KÓD]:[NEQ]],0),FALSE),"")</f>
        <v/>
      </c>
    </row>
    <row r="1168" spans="1:27">
      <c r="A1168">
        <f>COUNTIF($W$22:W1168,1)</f>
        <v>0</v>
      </c>
      <c r="B1168">
        <v>1168</v>
      </c>
      <c r="C1168" s="684" t="s">
        <v>12079</v>
      </c>
      <c r="W1168" t="str">
        <f t="shared" si="34"/>
        <v/>
      </c>
      <c r="X1168" s="185" t="str">
        <f t="shared" si="35"/>
        <v/>
      </c>
      <c r="Y1168" s="685">
        <f>'General price list'!$AB1171</f>
        <v>0</v>
      </c>
      <c r="Z1168" t="str">
        <f>IFERROR(X1168*VLOOKUP(C1168,'General price list'!C:I,7,FALSE),"")</f>
        <v/>
      </c>
      <c r="AA1168" t="str">
        <f>IF(X1168&lt;&gt;"",VLOOKUP(C1168,'General price list'!C1171:AN2349,MATCH("HM",Tabulka1[[#Headers],[KÓD]:[NEQ]],0),FALSE),"")</f>
        <v/>
      </c>
    </row>
    <row r="1169" spans="1:27">
      <c r="A1169">
        <f>COUNTIF($W$22:W1169,1)</f>
        <v>0</v>
      </c>
      <c r="B1169">
        <v>1169</v>
      </c>
      <c r="C1169" s="684" t="s">
        <v>13494</v>
      </c>
      <c r="W1169" t="str">
        <f t="shared" si="34"/>
        <v/>
      </c>
      <c r="X1169" s="185" t="str">
        <f t="shared" si="35"/>
        <v/>
      </c>
      <c r="Y1169" s="685">
        <f>'General price list'!$AB1172</f>
        <v>0</v>
      </c>
      <c r="Z1169" t="str">
        <f>IFERROR(X1169*VLOOKUP(C1169,'General price list'!C:I,7,FALSE),"")</f>
        <v/>
      </c>
      <c r="AA1169" t="str">
        <f>IF(X1169&lt;&gt;"",VLOOKUP(C1169,'General price list'!C1172:AN2350,MATCH("HM",Tabulka1[[#Headers],[KÓD]:[NEQ]],0),FALSE),"")</f>
        <v/>
      </c>
    </row>
    <row r="1170" spans="1:27">
      <c r="A1170">
        <f>COUNTIF($W$22:W1170,1)</f>
        <v>0</v>
      </c>
      <c r="B1170">
        <v>1170</v>
      </c>
      <c r="C1170" s="684" t="s">
        <v>12081</v>
      </c>
      <c r="W1170" t="str">
        <f t="shared" si="34"/>
        <v/>
      </c>
      <c r="X1170" s="185" t="str">
        <f t="shared" si="35"/>
        <v/>
      </c>
      <c r="Y1170" s="685">
        <f>'General price list'!$AB1173</f>
        <v>0</v>
      </c>
      <c r="Z1170" t="str">
        <f>IFERROR(X1170*VLOOKUP(C1170,'General price list'!C:I,7,FALSE),"")</f>
        <v/>
      </c>
      <c r="AA1170" t="str">
        <f>IF(X1170&lt;&gt;"",VLOOKUP(C1170,'General price list'!C1173:AN2351,MATCH("HM",Tabulka1[[#Headers],[KÓD]:[NEQ]],0),FALSE),"")</f>
        <v/>
      </c>
    </row>
    <row r="1171" spans="1:27">
      <c r="A1171">
        <f>COUNTIF($W$22:W1171,1)</f>
        <v>0</v>
      </c>
      <c r="B1171">
        <v>1171</v>
      </c>
      <c r="C1171" s="684" t="s">
        <v>12349</v>
      </c>
      <c r="W1171" t="str">
        <f t="shared" si="34"/>
        <v/>
      </c>
      <c r="X1171" s="185" t="str">
        <f t="shared" si="35"/>
        <v/>
      </c>
      <c r="Y1171" s="685">
        <f>'General price list'!$AB1174</f>
        <v>0</v>
      </c>
      <c r="Z1171" t="str">
        <f>IFERROR(X1171*VLOOKUP(C1171,'General price list'!C:I,7,FALSE),"")</f>
        <v/>
      </c>
      <c r="AA1171" t="str">
        <f>IF(X1171&lt;&gt;"",VLOOKUP(C1171,'General price list'!C1174:AN2352,MATCH("HM",Tabulka1[[#Headers],[KÓD]:[NEQ]],0),FALSE),"")</f>
        <v/>
      </c>
    </row>
    <row r="1172" spans="1:27">
      <c r="A1172">
        <f>COUNTIF($W$22:W1172,1)</f>
        <v>0</v>
      </c>
      <c r="B1172">
        <v>1172</v>
      </c>
      <c r="C1172" s="684" t="s">
        <v>12082</v>
      </c>
      <c r="W1172" t="str">
        <f t="shared" si="34"/>
        <v/>
      </c>
      <c r="X1172" s="185" t="str">
        <f t="shared" si="35"/>
        <v/>
      </c>
      <c r="Y1172" s="685">
        <f>'General price list'!$AB1175</f>
        <v>0</v>
      </c>
      <c r="Z1172" t="str">
        <f>IFERROR(X1172*VLOOKUP(C1172,'General price list'!C:I,7,FALSE),"")</f>
        <v/>
      </c>
      <c r="AA1172" t="str">
        <f>IF(X1172&lt;&gt;"",VLOOKUP(C1172,'General price list'!C1175:AN2353,MATCH("HM",Tabulka1[[#Headers],[KÓD]:[NEQ]],0),FALSE),"")</f>
        <v/>
      </c>
    </row>
    <row r="1173" spans="1:27">
      <c r="A1173">
        <f>COUNTIF($W$22:W1173,1)</f>
        <v>0</v>
      </c>
      <c r="B1173">
        <v>1173</v>
      </c>
      <c r="C1173" s="684" t="s">
        <v>12084</v>
      </c>
      <c r="W1173" t="str">
        <f t="shared" si="34"/>
        <v/>
      </c>
      <c r="X1173" s="185" t="str">
        <f t="shared" si="35"/>
        <v/>
      </c>
      <c r="Y1173" s="685">
        <f>'General price list'!$AB1176</f>
        <v>0</v>
      </c>
      <c r="Z1173" t="str">
        <f>IFERROR(X1173*VLOOKUP(C1173,'General price list'!C:I,7,FALSE),"")</f>
        <v/>
      </c>
      <c r="AA1173" t="str">
        <f>IF(X1173&lt;&gt;"",VLOOKUP(C1173,'General price list'!C1176:AN2354,MATCH("HM",Tabulka1[[#Headers],[KÓD]:[NEQ]],0),FALSE),"")</f>
        <v/>
      </c>
    </row>
    <row r="1174" spans="1:27">
      <c r="A1174">
        <f>COUNTIF($W$22:W1174,1)</f>
        <v>0</v>
      </c>
      <c r="B1174">
        <v>1174</v>
      </c>
      <c r="C1174" s="684" t="s">
        <v>12085</v>
      </c>
      <c r="W1174" t="str">
        <f t="shared" si="34"/>
        <v/>
      </c>
      <c r="X1174" s="185" t="str">
        <f t="shared" si="35"/>
        <v/>
      </c>
      <c r="Y1174" s="685">
        <f>'General price list'!$AB1177</f>
        <v>0</v>
      </c>
      <c r="Z1174" t="str">
        <f>IFERROR(X1174*VLOOKUP(C1174,'General price list'!C:I,7,FALSE),"")</f>
        <v/>
      </c>
      <c r="AA1174" t="str">
        <f>IF(X1174&lt;&gt;"",VLOOKUP(C1174,'General price list'!C1177:AN2355,MATCH("HM",Tabulka1[[#Headers],[KÓD]:[NEQ]],0),FALSE),"")</f>
        <v/>
      </c>
    </row>
    <row r="1175" spans="1:27">
      <c r="A1175">
        <f>COUNTIF($W$22:W1175,1)</f>
        <v>0</v>
      </c>
      <c r="B1175">
        <v>1175</v>
      </c>
      <c r="C1175" s="684" t="s">
        <v>12086</v>
      </c>
      <c r="W1175" t="str">
        <f t="shared" ref="W1175:W1186" si="36">IF(Y1175+1=1,"",1)</f>
        <v/>
      </c>
      <c r="X1175" s="185" t="str">
        <f t="shared" si="35"/>
        <v/>
      </c>
      <c r="Y1175" s="685">
        <f>'General price list'!$AB1178</f>
        <v>0</v>
      </c>
      <c r="Z1175" t="str">
        <f>IFERROR(X1175*VLOOKUP(C1175,'General price list'!C:I,7,FALSE),"")</f>
        <v/>
      </c>
      <c r="AA1175" t="str">
        <f>IF(X1175&lt;&gt;"",VLOOKUP(C1175,'General price list'!C1178:AN2356,MATCH("HM",Tabulka1[[#Headers],[KÓD]:[NEQ]],0),FALSE),"")</f>
        <v/>
      </c>
    </row>
    <row r="1176" spans="1:27">
      <c r="A1176">
        <f>COUNTIF($W$22:W1176,1)</f>
        <v>0</v>
      </c>
      <c r="B1176">
        <v>1176</v>
      </c>
      <c r="C1176" s="684" t="s">
        <v>12087</v>
      </c>
      <c r="W1176" t="str">
        <f t="shared" si="36"/>
        <v/>
      </c>
      <c r="X1176" s="185" t="str">
        <f t="shared" ref="X1176:X1186" si="37">IF(A1176&gt;$C$21,"",IF(Y1176=0,"",Y1176))</f>
        <v/>
      </c>
      <c r="Y1176" s="685">
        <f>'General price list'!$AB1179</f>
        <v>0</v>
      </c>
      <c r="Z1176" t="str">
        <f>IFERROR(X1176*VLOOKUP(C1176,'General price list'!C:I,7,FALSE),"")</f>
        <v/>
      </c>
      <c r="AA1176" t="str">
        <f>IF(X1176&lt;&gt;"",VLOOKUP(C1176,'General price list'!C1179:AN2357,MATCH("HM",Tabulka1[[#Headers],[KÓD]:[NEQ]],0),FALSE),"")</f>
        <v/>
      </c>
    </row>
    <row r="1177" spans="1:27">
      <c r="A1177">
        <f>COUNTIF($W$22:W1177,1)</f>
        <v>0</v>
      </c>
      <c r="B1177">
        <v>1177</v>
      </c>
      <c r="C1177" s="684" t="s">
        <v>12088</v>
      </c>
      <c r="W1177" t="str">
        <f t="shared" si="36"/>
        <v/>
      </c>
      <c r="X1177" s="185" t="str">
        <f t="shared" si="37"/>
        <v/>
      </c>
      <c r="Y1177" s="685">
        <f>'General price list'!$AB1180</f>
        <v>0</v>
      </c>
      <c r="Z1177" t="str">
        <f>IFERROR(X1177*VLOOKUP(C1177,'General price list'!C:I,7,FALSE),"")</f>
        <v/>
      </c>
      <c r="AA1177" t="str">
        <f>IF(X1177&lt;&gt;"",VLOOKUP(C1177,'General price list'!C1180:AN2358,MATCH("HM",Tabulka1[[#Headers],[KÓD]:[NEQ]],0),FALSE),"")</f>
        <v/>
      </c>
    </row>
    <row r="1178" spans="1:27">
      <c r="A1178">
        <f>COUNTIF($W$22:W1178,1)</f>
        <v>0</v>
      </c>
      <c r="B1178">
        <v>1178</v>
      </c>
      <c r="C1178" s="684" t="s">
        <v>12350</v>
      </c>
      <c r="W1178" t="str">
        <f t="shared" si="36"/>
        <v/>
      </c>
      <c r="X1178" s="185" t="str">
        <f t="shared" si="37"/>
        <v/>
      </c>
      <c r="Y1178" s="685">
        <f>'General price list'!$AB1181</f>
        <v>0</v>
      </c>
      <c r="Z1178" t="str">
        <f>IFERROR(X1178*VLOOKUP(C1178,'General price list'!C:I,7,FALSE),"")</f>
        <v/>
      </c>
      <c r="AA1178" t="str">
        <f>IF(X1178&lt;&gt;"",VLOOKUP(C1178,'General price list'!C1181:AN2359,MATCH("HM",Tabulka1[[#Headers],[KÓD]:[NEQ]],0),FALSE),"")</f>
        <v/>
      </c>
    </row>
    <row r="1179" spans="1:27">
      <c r="A1179">
        <f>COUNTIF($W$22:W1179,1)</f>
        <v>0</v>
      </c>
      <c r="B1179">
        <v>1179</v>
      </c>
      <c r="C1179" s="684" t="s">
        <v>14043</v>
      </c>
      <c r="W1179" t="str">
        <f t="shared" si="36"/>
        <v/>
      </c>
      <c r="X1179" s="185" t="str">
        <f t="shared" si="37"/>
        <v/>
      </c>
      <c r="Y1179" s="685">
        <f>'General price list'!$AB1182</f>
        <v>0</v>
      </c>
      <c r="Z1179" t="str">
        <f>IFERROR(X1179*VLOOKUP(C1179,'General price list'!C:I,7,FALSE),"")</f>
        <v/>
      </c>
      <c r="AA1179" t="str">
        <f>IF(X1179&lt;&gt;"",VLOOKUP(C1179,'General price list'!C1182:AN2360,MATCH("HM",Tabulka1[[#Headers],[KÓD]:[NEQ]],0),FALSE),"")</f>
        <v/>
      </c>
    </row>
    <row r="1180" spans="1:27">
      <c r="A1180">
        <f>COUNTIF($W$22:W1180,1)</f>
        <v>0</v>
      </c>
      <c r="B1180">
        <v>1180</v>
      </c>
      <c r="C1180" s="684" t="s">
        <v>12089</v>
      </c>
      <c r="W1180" t="str">
        <f t="shared" si="36"/>
        <v/>
      </c>
      <c r="X1180" s="185" t="str">
        <f t="shared" si="37"/>
        <v/>
      </c>
      <c r="Y1180" s="685">
        <f>'General price list'!$AB1183</f>
        <v>0</v>
      </c>
      <c r="Z1180" t="str">
        <f>IFERROR(X1180*VLOOKUP(C1180,'General price list'!C:I,7,FALSE),"")</f>
        <v/>
      </c>
      <c r="AA1180" t="str">
        <f>IF(X1180&lt;&gt;"",VLOOKUP(C1180,'General price list'!C1183:AN2361,MATCH("HM",Tabulka1[[#Headers],[KÓD]:[NEQ]],0),FALSE),"")</f>
        <v/>
      </c>
    </row>
    <row r="1181" spans="1:27">
      <c r="A1181">
        <f>COUNTIF($W$22:W1181,1)</f>
        <v>0</v>
      </c>
      <c r="B1181">
        <v>1181</v>
      </c>
      <c r="C1181" s="684" t="s">
        <v>12091</v>
      </c>
      <c r="W1181" t="str">
        <f t="shared" si="36"/>
        <v/>
      </c>
      <c r="X1181" s="185" t="str">
        <f t="shared" si="37"/>
        <v/>
      </c>
      <c r="Y1181" s="685">
        <f>'General price list'!$AB1184</f>
        <v>0</v>
      </c>
      <c r="Z1181" t="str">
        <f>IFERROR(X1181*VLOOKUP(C1181,'General price list'!C:I,7,FALSE),"")</f>
        <v/>
      </c>
      <c r="AA1181" t="str">
        <f>IF(X1181&lt;&gt;"",VLOOKUP(C1181,'General price list'!C1184:AN2362,MATCH("HM",Tabulka1[[#Headers],[KÓD]:[NEQ]],0),FALSE),"")</f>
        <v/>
      </c>
    </row>
    <row r="1182" spans="1:27">
      <c r="A1182">
        <f>COUNTIF($W$22:W1182,1)</f>
        <v>0</v>
      </c>
      <c r="B1182">
        <v>1182</v>
      </c>
      <c r="C1182" s="684" t="s">
        <v>12092</v>
      </c>
      <c r="W1182" t="str">
        <f t="shared" si="36"/>
        <v/>
      </c>
      <c r="X1182" s="185" t="str">
        <f t="shared" si="37"/>
        <v/>
      </c>
      <c r="Y1182" s="685">
        <f>'General price list'!$AB1185</f>
        <v>0</v>
      </c>
      <c r="Z1182" t="str">
        <f>IFERROR(X1182*VLOOKUP(C1182,'General price list'!C:I,7,FALSE),"")</f>
        <v/>
      </c>
      <c r="AA1182" t="str">
        <f>IF(X1182&lt;&gt;"",VLOOKUP(C1182,'General price list'!C1185:AN2363,MATCH("HM",Tabulka1[[#Headers],[KÓD]:[NEQ]],0),FALSE),"")</f>
        <v/>
      </c>
    </row>
    <row r="1183" spans="1:27">
      <c r="A1183">
        <f>COUNTIF($W$22:W1183,1)</f>
        <v>0</v>
      </c>
      <c r="B1183">
        <v>1183</v>
      </c>
      <c r="C1183" s="684" t="s">
        <v>12093</v>
      </c>
      <c r="W1183" t="str">
        <f t="shared" si="36"/>
        <v/>
      </c>
      <c r="X1183" s="185" t="str">
        <f t="shared" si="37"/>
        <v/>
      </c>
      <c r="Y1183" s="685">
        <f>'General price list'!$AB1186</f>
        <v>0</v>
      </c>
      <c r="Z1183" t="str">
        <f>IFERROR(X1183*VLOOKUP(C1183,'General price list'!C:I,7,FALSE),"")</f>
        <v/>
      </c>
      <c r="AA1183" t="str">
        <f>IF(X1183&lt;&gt;"",VLOOKUP(C1183,'General price list'!C1186:AN2364,MATCH("HM",Tabulka1[[#Headers],[KÓD]:[NEQ]],0),FALSE),"")</f>
        <v/>
      </c>
    </row>
    <row r="1184" spans="1:27">
      <c r="A1184">
        <f>COUNTIF($W$22:W1184,1)</f>
        <v>0</v>
      </c>
      <c r="B1184">
        <v>1184</v>
      </c>
      <c r="C1184" s="684" t="s">
        <v>12094</v>
      </c>
      <c r="W1184" t="str">
        <f t="shared" si="36"/>
        <v/>
      </c>
      <c r="X1184" s="185" t="str">
        <f t="shared" si="37"/>
        <v/>
      </c>
      <c r="Y1184" s="685">
        <f>'General price list'!$AB1187</f>
        <v>0</v>
      </c>
      <c r="Z1184" t="str">
        <f>IFERROR(X1184*VLOOKUP(C1184,'General price list'!C:I,7,FALSE),"")</f>
        <v/>
      </c>
      <c r="AA1184" t="str">
        <f>IF(X1184&lt;&gt;"",VLOOKUP(C1184,'General price list'!C1187:AN2365,MATCH("HM",Tabulka1[[#Headers],[KÓD]:[NEQ]],0),FALSE),"")</f>
        <v/>
      </c>
    </row>
    <row r="1185" spans="1:27">
      <c r="A1185">
        <f>COUNTIF($W$22:W1185,1)</f>
        <v>0</v>
      </c>
      <c r="B1185">
        <v>1185</v>
      </c>
      <c r="C1185" s="684" t="s">
        <v>12095</v>
      </c>
      <c r="W1185" t="str">
        <f t="shared" si="36"/>
        <v/>
      </c>
      <c r="X1185" s="185" t="str">
        <f t="shared" si="37"/>
        <v/>
      </c>
      <c r="Y1185" s="685">
        <f>'General price list'!$AB1188</f>
        <v>0</v>
      </c>
      <c r="Z1185" t="str">
        <f>IFERROR(X1185*VLOOKUP(C1185,'General price list'!C:I,7,FALSE),"")</f>
        <v/>
      </c>
      <c r="AA1185" t="str">
        <f>IF(X1185&lt;&gt;"",VLOOKUP(C1185,'General price list'!C1188:AN2366,MATCH("HM",Tabulka1[[#Headers],[KÓD]:[NEQ]],0),FALSE),"")</f>
        <v/>
      </c>
    </row>
    <row r="1186" spans="1:27" s="27" customFormat="1">
      <c r="A1186" s="27">
        <f>COUNTIF($W$22:W1186,1)</f>
        <v>0</v>
      </c>
      <c r="B1186" s="688">
        <v>1186</v>
      </c>
      <c r="C1186" s="683" t="s">
        <v>12396</v>
      </c>
      <c r="W1186" t="e">
        <f t="shared" si="36"/>
        <v>#VALUE!</v>
      </c>
      <c r="X1186" s="185" t="str">
        <f t="shared" si="37"/>
        <v/>
      </c>
      <c r="Y1186" s="685" t="str">
        <f>'General price list'!$AB1189</f>
        <v/>
      </c>
      <c r="Z1186" t="str">
        <f>IFERROR(X1186*VLOOKUP(C1186,'General price list'!C:I,7,FALSE),"")</f>
        <v/>
      </c>
      <c r="AA1186" t="str">
        <f>IF(X1186&lt;&gt;"",VLOOKUP(C1186,'General price list'!C1189:AN2367,MATCH("HM",Tabulka1[[#Headers],[KÓD]:[NEQ]],0),FALSE),"")</f>
        <v/>
      </c>
    </row>
  </sheetData>
  <autoFilter ref="X18:X1186"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6"/>
  <sheetViews>
    <sheetView workbookViewId="0">
      <selection activeCell="E17" sqref="E17"/>
    </sheetView>
  </sheetViews>
  <sheetFormatPr defaultRowHeight="15"/>
  <cols>
    <col min="3" max="3" width="9.140625" style="684"/>
    <col min="25" max="25" width="9.140625" style="685"/>
  </cols>
  <sheetData>
    <row r="15" spans="22:23">
      <c r="V15" s="705" t="s">
        <v>14731</v>
      </c>
      <c r="W15" s="782">
        <f>SUM(Z:Z)</f>
        <v>0</v>
      </c>
    </row>
    <row r="16" spans="22:23">
      <c r="V16" s="705" t="s">
        <v>14732</v>
      </c>
      <c r="W16" s="782">
        <f>SUM(AA:AA)</f>
        <v>0</v>
      </c>
    </row>
    <row r="17" spans="1:27">
      <c r="C17" s="698"/>
      <c r="D17" s="699" t="s">
        <v>14733</v>
      </c>
      <c r="E17" s="700" t="str">
        <f>VLOOKUP($D$20,A:C,3,FALSE)&amp;", ř."&amp;VLOOKUP($D$20,A:C,2,FALSE)&amp;" - "&amp;_xlfn.IFNA(VLOOKUP($D$21,A:C,3,FALSE)&amp;", ř."&amp;VLOOKUP($D$21,A:C,2,FALSE),VLOOKUP($W$20,A:C,3,FALSE)&amp;", ř."&amp;VLOOKUP($W$20,A:C,2,FALSE))</f>
        <v>DP1TA(1), ř.23 - DP1TA(1), ř.23</v>
      </c>
      <c r="F17" s="694"/>
      <c r="G17" s="694"/>
    </row>
    <row r="18" spans="1:27">
      <c r="C18" s="701">
        <v>1</v>
      </c>
      <c r="D18" s="691">
        <v>2</v>
      </c>
      <c r="E18" s="690">
        <v>3</v>
      </c>
      <c r="F18" s="690">
        <v>4</v>
      </c>
      <c r="G18" s="690">
        <v>5</v>
      </c>
    </row>
    <row r="19" spans="1:27">
      <c r="C19" s="702" t="str">
        <f>'Část (1)'!C19</f>
        <v>0 - -1</v>
      </c>
      <c r="D19" s="692" t="str">
        <f>'Část (1)'!D19</f>
        <v>0 - -1</v>
      </c>
      <c r="E19" s="2" t="str">
        <f>'Část (1)'!E19</f>
        <v>0 - -1</v>
      </c>
      <c r="F19" s="2" t="str">
        <f>'Část (1)'!F19</f>
        <v>0 - -1</v>
      </c>
      <c r="G19" s="2" t="str">
        <f>'Část (1)'!G19</f>
        <v>0 - 0</v>
      </c>
      <c r="X19" s="2" t="s">
        <v>14691</v>
      </c>
    </row>
    <row r="20" spans="1:27">
      <c r="C20" s="684">
        <f>'Část (1)'!C20</f>
        <v>0</v>
      </c>
      <c r="D20" s="692">
        <f>'Část (1)'!D20</f>
        <v>0</v>
      </c>
      <c r="E20">
        <f>'Část (1)'!E20</f>
        <v>0</v>
      </c>
      <c r="F20" s="2">
        <f>'Část (1)'!F20</f>
        <v>0</v>
      </c>
      <c r="G20" s="2">
        <f>'Část (1)'!G20</f>
        <v>0</v>
      </c>
      <c r="V20" t="s">
        <v>14685</v>
      </c>
      <c r="W20">
        <f>SUM(W22:W1185)</f>
        <v>0</v>
      </c>
      <c r="X20" s="2" t="s">
        <v>12187</v>
      </c>
    </row>
    <row r="21" spans="1:27" s="27" customFormat="1">
      <c r="C21" s="683">
        <f>'Část (1)'!C21</f>
        <v>-1</v>
      </c>
      <c r="D21" s="693">
        <f>'Část (1)'!D21</f>
        <v>-1</v>
      </c>
      <c r="E21" s="27">
        <f>'Část (1)'!E21</f>
        <v>-1</v>
      </c>
      <c r="F21" s="689">
        <f>'Část (1)'!F21</f>
        <v>-1</v>
      </c>
      <c r="G21" s="689">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IF(OR(A23&lt;$D$20,A23&gt;$D$21),"",IF(Y23=0,"",Y23))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IF(OR(A24&lt;$D$20,A24&gt;$D$21),"",IF(Y24=0,"",Y24))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IF(OR(A88&lt;$D$20,A88&gt;$D$21),"",IF(Y88=0,"",Y88))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IF(OR(A152&lt;$D$20,A152&gt;$D$21),"",IF(Y152=0,"",Y152))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IF(OR(A216&lt;$D$20,A216&gt;$D$21),"",IF(Y216=0,"",Y216))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IF(OR(A280&lt;$D$20,A280&gt;$D$21),"",IF(Y280=0,"",Y280))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IF(OR(A344&lt;$D$20,A344&gt;$D$21),"",IF(Y344=0,"",Y344))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IF(OR(A408&lt;$D$20,A408&gt;$D$21),"",IF(Y408=0,"",Y408))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IF(OR(A472&lt;$D$20,A472&gt;$D$21),"",IF(Y472=0,"",Y472))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IF(OR(A536&lt;$D$20,A536&gt;$D$21),"",IF(Y536=0,"",Y536))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IF(OR(A600&lt;$D$20,A600&gt;$D$21),"",IF(Y600=0,"",Y600))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IF(OR(A664&lt;$D$20,A664&gt;$D$21),"",IF(Y664=0,"",Y664))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IF(OR(A728&lt;$D$20,A728&gt;$D$21),"",IF(Y728=0,"",Y728))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IF(OR(A792&lt;$D$20,A792&gt;$D$21),"",IF(Y792=0,"",Y792))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IF(OR(A856&lt;$D$20,A856&gt;$D$21),"",IF(Y856=0,"",Y856))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IF(OR(A920&lt;$D$20,A920&gt;$D$21),"",IF(Y920=0,"",Y920))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IF(OR(A984&lt;$D$20,A984&gt;$D$21),"",IF(Y984=0,"",Y984))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IF(OR(A1048&lt;$D$20,A1048&gt;$D$21),"",IF(Y1048=0,"",Y1048))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IF(OR(A1112&lt;$D$20,A1112&gt;$D$21),"",IF(Y1112=0,"",Y1112))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IF(OR(A1176&lt;$D$20,A1176&gt;$D$21),"",IF(Y1176=0,"",Y1176))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6"/>
  <sheetViews>
    <sheetView topLeftCell="A4" workbookViewId="0">
      <selection activeCell="W21" sqref="W21"/>
    </sheetView>
  </sheetViews>
  <sheetFormatPr defaultRowHeight="15"/>
  <cols>
    <col min="3" max="3" width="9.140625" style="684"/>
    <col min="25" max="25" width="9.140625" style="685"/>
  </cols>
  <sheetData>
    <row r="15" spans="22:23">
      <c r="V15" s="705" t="s">
        <v>14731</v>
      </c>
      <c r="W15" s="782">
        <f>SUM(Z:Z)</f>
        <v>0</v>
      </c>
    </row>
    <row r="16" spans="22:23">
      <c r="V16" s="705" t="s">
        <v>14732</v>
      </c>
      <c r="W16" s="782">
        <f>SUM(AA:AA)</f>
        <v>0</v>
      </c>
    </row>
    <row r="17" spans="1:27">
      <c r="C17" s="698"/>
      <c r="D17" s="699" t="s">
        <v>14688</v>
      </c>
      <c r="E17" s="694" t="str">
        <f>VLOOKUP($E$20,A:C,3,FALSE)&amp;", ř."&amp;VLOOKUP($E$20,A:C,2,FALSE)&amp;" - "&amp;_xlfn.IFNA(VLOOKUP($E$21,A:C,3,FALSE)&amp;", ř."&amp;VLOOKUP($E$21,A:C,2,FALSE),VLOOKUP($W$20,A:C,3,FALSE)&amp;", ř."&amp;VLOOKUP($W$20,A:C,2,FALSE))</f>
        <v>DP1TA(1), ř.23 - DP1TA(1), ř.23</v>
      </c>
      <c r="F17" s="694"/>
      <c r="G17" s="694"/>
    </row>
    <row r="18" spans="1:27">
      <c r="C18" s="701">
        <v>1</v>
      </c>
      <c r="D18" s="690">
        <v>2</v>
      </c>
      <c r="E18" s="691">
        <v>3</v>
      </c>
      <c r="F18" s="690">
        <v>4</v>
      </c>
      <c r="G18" s="690">
        <v>5</v>
      </c>
    </row>
    <row r="19" spans="1:27">
      <c r="C19" s="702" t="str">
        <f>'Část (1)'!C19</f>
        <v>0 - -1</v>
      </c>
      <c r="D19" s="2" t="str">
        <f>'Část (1)'!D19</f>
        <v>0 - -1</v>
      </c>
      <c r="E19" s="692" t="str">
        <f>'Část (1)'!E19</f>
        <v>0 - -1</v>
      </c>
      <c r="F19" s="2" t="str">
        <f>'Část (1)'!F19</f>
        <v>0 - -1</v>
      </c>
      <c r="G19" s="2" t="str">
        <f>'Část (1)'!G19</f>
        <v>0 - 0</v>
      </c>
      <c r="X19" s="2" t="s">
        <v>14691</v>
      </c>
    </row>
    <row r="20" spans="1:27">
      <c r="C20" s="684">
        <f>'Část (1)'!C20</f>
        <v>0</v>
      </c>
      <c r="D20">
        <f>'Část (1)'!D20</f>
        <v>0</v>
      </c>
      <c r="E20" s="692">
        <f>'Část (1)'!E20</f>
        <v>0</v>
      </c>
      <c r="F20">
        <f>'Část (1)'!F20</f>
        <v>0</v>
      </c>
      <c r="G20">
        <f>'Část (1)'!G20</f>
        <v>0</v>
      </c>
      <c r="V20" t="s">
        <v>14685</v>
      </c>
      <c r="W20">
        <f>SUM(W22:W1185)</f>
        <v>0</v>
      </c>
      <c r="X20" s="2" t="s">
        <v>12187</v>
      </c>
    </row>
    <row r="21" spans="1:27" s="27" customFormat="1">
      <c r="C21" s="683">
        <f>'Část (1)'!C21</f>
        <v>-1</v>
      </c>
      <c r="D21" s="27">
        <f>'Část (1)'!D21</f>
        <v>-1</v>
      </c>
      <c r="E21" s="693">
        <f>'Část (1)'!E21</f>
        <v>-1</v>
      </c>
      <c r="F21" s="27">
        <f>'Část (1)'!F21</f>
        <v>-1</v>
      </c>
      <c r="G21" s="27">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IF(OR(A23&lt;$E$20,A23&gt;$E$21),"",IF(Y23=0,"",Y23))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IF(OR(A24&lt;$E$20,A24&gt;$E$21),"",IF(Y24=0,"",Y24))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IF(OR(A88&lt;$E$20,A88&gt;$E$21),"",IF(Y88=0,"",Y88))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IF(OR(A152&lt;$E$20,A152&gt;$E$21),"",IF(Y152=0,"",Y152))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IF(OR(A216&lt;$E$20,A216&gt;$E$21),"",IF(Y216=0,"",Y216))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IF(OR(A280&lt;$E$20,A280&gt;$E$21),"",IF(Y280=0,"",Y280))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IF(OR(A344&lt;$E$20,A344&gt;$E$21),"",IF(Y344=0,"",Y344))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IF(OR(A408&lt;$E$20,A408&gt;$E$21),"",IF(Y408=0,"",Y408))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IF(OR(A472&lt;$E$20,A472&gt;$E$21),"",IF(Y472=0,"",Y472))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IF(OR(A536&lt;$E$20,A536&gt;$E$21),"",IF(Y536=0,"",Y536))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IF(OR(A600&lt;$E$20,A600&gt;$E$21),"",IF(Y600=0,"",Y600))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IF(OR(A664&lt;$E$20,A664&gt;$E$21),"",IF(Y664=0,"",Y664))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IF(OR(A728&lt;$E$20,A728&gt;$E$21),"",IF(Y728=0,"",Y728))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IF(OR(A792&lt;$E$20,A792&gt;$E$21),"",IF(Y792=0,"",Y792))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IF(OR(A856&lt;$E$20,A856&gt;$E$21),"",IF(Y856=0,"",Y856))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IF(OR(A920&lt;$E$20,A920&gt;$E$21),"",IF(Y920=0,"",Y920))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IF(OR(A984&lt;$E$20,A984&gt;$E$21),"",IF(Y984=0,"",Y984))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IF(OR(A1048&lt;$E$20,A1048&gt;$E$21),"",IF(Y1048=0,"",Y1048))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IF(OR(A1112&lt;$E$20,A1112&gt;$E$21),"",IF(Y1112=0,"",Y1112))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IF(OR(A1176&lt;$E$20,A1176&gt;$E$21),"",IF(Y1176=0,"",Y1176))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6"/>
  <sheetViews>
    <sheetView workbookViewId="0">
      <selection activeCell="E18" sqref="E18"/>
    </sheetView>
  </sheetViews>
  <sheetFormatPr defaultRowHeight="15"/>
  <cols>
    <col min="3" max="3" width="9.140625" style="684"/>
    <col min="5" max="5" width="8.85546875" customWidth="1"/>
    <col min="25" max="25" width="9.140625" style="685"/>
  </cols>
  <sheetData>
    <row r="15" spans="22:23">
      <c r="V15" s="705" t="s">
        <v>14731</v>
      </c>
      <c r="W15" s="782">
        <f>SUM(Z:Z)</f>
        <v>0</v>
      </c>
    </row>
    <row r="16" spans="22:23">
      <c r="V16" s="705" t="s">
        <v>14732</v>
      </c>
      <c r="W16" s="782">
        <f>SUM(AA:AA)</f>
        <v>0</v>
      </c>
    </row>
    <row r="17" spans="1:27">
      <c r="C17" s="698"/>
      <c r="D17" s="699" t="s">
        <v>14690</v>
      </c>
      <c r="E17" s="694" t="str">
        <f>VLOOKUP($F$20,A:C,3,FALSE)&amp;", ř."&amp;VLOOKUP($F$20,A:C,2,FALSE)&amp;" - "&amp;_xlfn.IFNA(VLOOKUP($F$21,A:C,3,FALSE)&amp;", ř."&amp;VLOOKUP($F$21,A:C,2,FALSE),VLOOKUP($W$20,A:C,3,FALSE)&amp;", ř."&amp;VLOOKUP($W$20,A:C,2,FALSE))</f>
        <v>DP1TA(1), ř.23 - DP1TA(1), ř.23</v>
      </c>
      <c r="F17" s="694"/>
      <c r="G17" s="694"/>
    </row>
    <row r="18" spans="1:27">
      <c r="C18" s="701">
        <v>1</v>
      </c>
      <c r="D18" s="690">
        <v>2</v>
      </c>
      <c r="E18" s="690">
        <v>3</v>
      </c>
      <c r="F18" s="691">
        <v>4</v>
      </c>
      <c r="G18" s="690">
        <v>5</v>
      </c>
    </row>
    <row r="19" spans="1:27">
      <c r="C19" s="702" t="str">
        <f>'Část (1)'!C19</f>
        <v>0 - -1</v>
      </c>
      <c r="D19" s="2" t="str">
        <f>'Část (1)'!D19</f>
        <v>0 - -1</v>
      </c>
      <c r="E19" s="2" t="str">
        <f>'Část (1)'!E19</f>
        <v>0 - -1</v>
      </c>
      <c r="F19" s="692" t="str">
        <f>'Část (1)'!F19</f>
        <v>0 - -1</v>
      </c>
      <c r="G19" s="2" t="str">
        <f>'Část (1)'!G19</f>
        <v>0 - 0</v>
      </c>
      <c r="X19" s="2" t="s">
        <v>14691</v>
      </c>
    </row>
    <row r="20" spans="1:27">
      <c r="C20" s="684">
        <f>'Část (1)'!C20</f>
        <v>0</v>
      </c>
      <c r="D20">
        <f>'Část (1)'!D20</f>
        <v>0</v>
      </c>
      <c r="E20">
        <f>'Část (1)'!E20</f>
        <v>0</v>
      </c>
      <c r="F20" s="692">
        <f>'Část (1)'!F20</f>
        <v>0</v>
      </c>
      <c r="G20">
        <f>'Část (1)'!G20</f>
        <v>0</v>
      </c>
      <c r="V20" t="s">
        <v>14685</v>
      </c>
      <c r="W20">
        <f>SUM(W22:W1185)</f>
        <v>0</v>
      </c>
      <c r="X20" s="2" t="s">
        <v>12187</v>
      </c>
    </row>
    <row r="21" spans="1:27" s="27" customFormat="1">
      <c r="C21" s="683">
        <f>'Část (1)'!C21</f>
        <v>-1</v>
      </c>
      <c r="D21" s="27">
        <f>'Část (1)'!D21</f>
        <v>-1</v>
      </c>
      <c r="E21" s="27">
        <f>'Část (1)'!E21</f>
        <v>-1</v>
      </c>
      <c r="F21" s="693">
        <f>'Část (1)'!F21</f>
        <v>-1</v>
      </c>
      <c r="G21" s="27">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IF(OR(A23&lt;$F$20,A23&gt;$F$21),"",IF(Y23=0,"",Y23))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IF(OR(A24&lt;$F$20,A24&gt;$F$21),"",IF(Y24=0,"",Y24))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IF(OR(A88&lt;$F$20,A88&gt;$F$21),"",IF(Y88=0,"",Y88))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IF(OR(A152&lt;$F$20,A152&gt;$F$21),"",IF(Y152=0,"",Y152))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IF(OR(A216&lt;$F$20,A216&gt;$F$21),"",IF(Y216=0,"",Y216))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IF(OR(A280&lt;$F$20,A280&gt;$F$21),"",IF(Y280=0,"",Y280))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IF(OR(A344&lt;$F$20,A344&gt;$F$21),"",IF(Y344=0,"",Y344))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IF(OR(A408&lt;$F$20,A408&gt;$F$21),"",IF(Y408=0,"",Y408))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IF(OR(A472&lt;$F$20,A472&gt;$F$21),"",IF(Y472=0,"",Y472))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IF(OR(A536&lt;$F$20,A536&gt;$F$21),"",IF(Y536=0,"",Y536))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IF(OR(A600&lt;$F$20,A600&gt;$F$21),"",IF(Y600=0,"",Y600))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IF(OR(A664&lt;$F$20,A664&gt;$F$21),"",IF(Y664=0,"",Y664))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IF(OR(A728&lt;$F$20,A728&gt;$F$21),"",IF(Y728=0,"",Y728))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IF(OR(A792&lt;$F$20,A792&gt;$F$21),"",IF(Y792=0,"",Y792))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IF(OR(A856&lt;$F$20,A856&gt;$F$21),"",IF(Y856=0,"",Y856))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IF(OR(A920&lt;$F$20,A920&gt;$F$21),"",IF(Y920=0,"",Y920))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IF(OR(A984&lt;$F$20,A984&gt;$F$21),"",IF(Y984=0,"",Y984))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IF(OR(A1048&lt;$F$20,A1048&gt;$F$21),"",IF(Y1048=0,"",Y1048))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IF(OR(A1112&lt;$F$20,A1112&gt;$F$21),"",IF(Y1112=0,"",Y1112))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IF(OR(A1176&lt;$F$20,A1176&gt;$F$21),"",IF(Y1176=0,"",Y1176))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6"/>
  <sheetViews>
    <sheetView workbookViewId="0">
      <selection activeCell="M32" sqref="M32"/>
    </sheetView>
  </sheetViews>
  <sheetFormatPr defaultRowHeight="15"/>
  <cols>
    <col min="3" max="3" width="9.140625" style="684"/>
    <col min="6" max="6" width="11.140625" customWidth="1"/>
    <col min="25" max="25" width="9.140625" style="685"/>
  </cols>
  <sheetData>
    <row r="15" spans="22:23">
      <c r="V15" s="705" t="s">
        <v>14731</v>
      </c>
      <c r="W15" s="782">
        <f>SUM(Z:Z)</f>
        <v>0</v>
      </c>
    </row>
    <row r="16" spans="22:23">
      <c r="V16" s="705" t="s">
        <v>14732</v>
      </c>
      <c r="W16" s="782">
        <f>SUM(AA:AA)</f>
        <v>0</v>
      </c>
    </row>
    <row r="17" spans="1:27">
      <c r="C17" s="698"/>
      <c r="D17" s="699" t="s">
        <v>14689</v>
      </c>
      <c r="E17" s="694" t="str">
        <f>VLOOKUP($G$20,A:C,3,FALSE)&amp;", ř."&amp;VLOOKUP($G$20,A:C,2,FALSE)&amp;" - "&amp;VLOOKUP($W$20,A:C,3,FALSE)&amp;", ř."&amp;VLOOKUP($W$20,A:C,2,FALSE)</f>
        <v>DP1TA(1), ř.23 - DP1TA(1), ř.23</v>
      </c>
      <c r="F17" s="694"/>
      <c r="G17" s="694"/>
    </row>
    <row r="18" spans="1:27">
      <c r="C18" s="701">
        <v>1</v>
      </c>
      <c r="D18" s="690">
        <v>2</v>
      </c>
      <c r="E18" s="690">
        <v>3</v>
      </c>
      <c r="F18" s="690">
        <v>4</v>
      </c>
      <c r="G18" s="691">
        <v>5</v>
      </c>
    </row>
    <row r="19" spans="1:27">
      <c r="C19" s="702" t="str">
        <f>'Část (1)'!C19</f>
        <v>0 - -1</v>
      </c>
      <c r="D19" s="2" t="str">
        <f>'Část (1)'!D19</f>
        <v>0 - -1</v>
      </c>
      <c r="E19" s="2" t="str">
        <f>'Část (1)'!E19</f>
        <v>0 - -1</v>
      </c>
      <c r="F19" s="2" t="str">
        <f>'Část (1)'!F19</f>
        <v>0 - -1</v>
      </c>
      <c r="G19" s="692" t="str">
        <f>'Část (1)'!G19</f>
        <v>0 - 0</v>
      </c>
      <c r="X19" s="2" t="s">
        <v>14691</v>
      </c>
    </row>
    <row r="20" spans="1:27">
      <c r="C20" s="684">
        <f>'Část (1)'!C20</f>
        <v>0</v>
      </c>
      <c r="D20">
        <f>'Část (1)'!D20</f>
        <v>0</v>
      </c>
      <c r="E20">
        <f>'Část (1)'!E20</f>
        <v>0</v>
      </c>
      <c r="F20">
        <f>'Část (1)'!F20</f>
        <v>0</v>
      </c>
      <c r="G20" s="692">
        <f>'Část (1)'!G20</f>
        <v>0</v>
      </c>
      <c r="V20" t="s">
        <v>14685</v>
      </c>
      <c r="W20">
        <f>SUM(W22:W1185)</f>
        <v>0</v>
      </c>
      <c r="X20" s="2" t="s">
        <v>12187</v>
      </c>
    </row>
    <row r="21" spans="1:27" s="27" customFormat="1">
      <c r="C21" s="683">
        <f>'Část (1)'!C21</f>
        <v>-1</v>
      </c>
      <c r="D21" s="27">
        <f>'Část (1)'!D21</f>
        <v>-1</v>
      </c>
      <c r="E21" s="27">
        <f>'Část (1)'!E21</f>
        <v>-1</v>
      </c>
      <c r="F21" s="27">
        <f>'Část (1)'!F21</f>
        <v>-1</v>
      </c>
      <c r="G21" s="693">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IF(OR(A23&lt;$G$20,A23&gt;$G$21),"",IF(Y23=0,"",Y23))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IF(OR(A24&lt;$G$20,A24&gt;$G$21),"",IF(Y24=0,"",Y24))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IF(OR(A88&lt;$G$20,A88&gt;$G$21),"",IF(Y88=0,"",Y88))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IF(OR(A152&lt;$G$20,A152&gt;$G$21),"",IF(Y152=0,"",Y152))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IF(OR(A216&lt;$G$20,A216&gt;$G$21),"",IF(Y216=0,"",Y216))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IF(OR(A280&lt;$G$20,A280&gt;$G$21),"",IF(Y280=0,"",Y280))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IF(OR(A344&lt;$G$20,A344&gt;$G$21),"",IF(Y344=0,"",Y344))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IF(OR(A408&lt;$G$20,A408&gt;$G$21),"",IF(Y408=0,"",Y408))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IF(OR(A472&lt;$G$20,A472&gt;$G$21),"",IF(Y472=0,"",Y472))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IF(OR(A536&lt;$G$20,A536&gt;$G$21),"",IF(Y536=0,"",Y536))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IF(OR(A600&lt;$G$20,A600&gt;$G$21),"",IF(Y600=0,"",Y600))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IF(OR(A664&lt;$G$20,A664&gt;$G$21),"",IF(Y664=0,"",Y664))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IF(OR(A728&lt;$G$20,A728&gt;$G$21),"",IF(Y728=0,"",Y728))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IF(OR(A792&lt;$G$20,A792&gt;$G$21),"",IF(Y792=0,"",Y792))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IF(OR(A856&lt;$G$20,A856&gt;$G$21),"",IF(Y856=0,"",Y856))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IF(OR(A920&lt;$G$20,A920&gt;$G$21),"",IF(Y920=0,"",Y920))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IF(OR(A984&lt;$G$20,A984&gt;$G$21),"",IF(Y984=0,"",Y984))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IF(OR(A1048&lt;$G$20,A1048&gt;$G$21),"",IF(Y1048=0,"",Y1048))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IF(OR(A1112&lt;$G$20,A1112&gt;$G$21),"",IF(Y1112=0,"",Y1112))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IF(OR(A1176&lt;$G$20,A1176&gt;$G$21),"",IF(Y1176=0,"",Y1176))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C1:CI87"/>
  <sheetViews>
    <sheetView zoomScale="190" zoomScaleNormal="190" workbookViewId="0">
      <selection activeCell="AU22" sqref="AU22"/>
    </sheetView>
  </sheetViews>
  <sheetFormatPr defaultRowHeight="15"/>
  <cols>
    <col min="3" max="3" width="4.5703125" customWidth="1"/>
    <col min="4" max="4" width="4.140625" customWidth="1"/>
    <col min="5" max="5" width="5.85546875" customWidth="1"/>
    <col min="32" max="32" width="4.7109375" style="612" customWidth="1"/>
    <col min="33" max="33" width="12.28515625" customWidth="1"/>
    <col min="34" max="34" width="8.42578125" customWidth="1"/>
    <col min="35" max="35" width="2.5703125" customWidth="1"/>
    <col min="36" max="36" width="10" style="189" customWidth="1"/>
    <col min="37" max="37" width="5.42578125" style="18" customWidth="1"/>
    <col min="38" max="38" width="7.85546875" style="18" customWidth="1"/>
    <col min="39" max="39" width="4.28515625" style="18" customWidth="1"/>
    <col min="40" max="40" width="2.7109375" style="18" customWidth="1"/>
    <col min="41" max="41" width="9.140625" style="18" customWidth="1"/>
    <col min="42" max="42" width="12.42578125" style="18" customWidth="1"/>
    <col min="43" max="43" width="9.5703125" style="18" customWidth="1"/>
    <col min="44" max="44" width="3.5703125" style="18" customWidth="1"/>
    <col min="45" max="45" width="11.28515625" style="18" customWidth="1"/>
    <col min="46" max="46" width="3.140625" style="18" customWidth="1"/>
    <col min="47" max="47" width="17.5703125" style="18" customWidth="1"/>
    <col min="48" max="48" width="9.140625" style="18"/>
    <col min="49" max="49" width="6.85546875" style="18" customWidth="1"/>
    <col min="50" max="50" width="3.7109375" style="18" customWidth="1"/>
    <col min="51" max="51" width="9.140625" style="18"/>
    <col min="52" max="52" width="9.140625" style="187"/>
    <col min="54" max="54" width="2.28515625" customWidth="1"/>
    <col min="61" max="61" width="2.85546875" customWidth="1"/>
    <col min="62" max="62" width="11.85546875" bestFit="1" customWidth="1"/>
    <col min="73" max="73" width="12.85546875" customWidth="1"/>
    <col min="75" max="75" width="12.85546875" customWidth="1"/>
    <col min="79" max="86" width="10.5703125" customWidth="1"/>
  </cols>
  <sheetData>
    <row r="1" spans="32:87" ht="15" customHeight="1" thickBot="1">
      <c r="AF1" s="611"/>
      <c r="AG1" s="609" t="str">
        <f>'General price list'!J1</f>
        <v>Odběr nad</v>
      </c>
      <c r="AH1" s="173" t="str">
        <f>'General price list'!M1</f>
        <v>Sleva v %</v>
      </c>
      <c r="AI1" s="18"/>
      <c r="BA1" s="18"/>
      <c r="BB1" s="18"/>
    </row>
    <row r="2" spans="32:87" ht="15" customHeight="1" thickTop="1">
      <c r="AF2" s="611"/>
      <c r="AG2" s="610">
        <f>'General price list'!J2</f>
        <v>5000</v>
      </c>
      <c r="AH2" s="553" t="str">
        <f>"-"&amp;'General price list'!O2&amp;"%"</f>
        <v>-5%</v>
      </c>
      <c r="AI2" s="144"/>
      <c r="AJ2" s="190"/>
      <c r="AK2" s="145"/>
      <c r="AL2" s="145"/>
      <c r="AM2" s="145"/>
      <c r="AN2" s="145"/>
      <c r="BA2" s="18"/>
      <c r="BB2" s="18"/>
      <c r="BD2" s="18"/>
      <c r="BE2" s="18"/>
      <c r="BU2" s="558" t="str">
        <f>AG1</f>
        <v>Odběr nad</v>
      </c>
      <c r="BV2" s="559" t="str">
        <f>AH1</f>
        <v>Sleva v %</v>
      </c>
      <c r="BW2" s="560" t="str">
        <f>BU2</f>
        <v>Odběr nad</v>
      </c>
      <c r="BX2" s="561" t="str">
        <f>BV2</f>
        <v>Sleva v %</v>
      </c>
    </row>
    <row r="3" spans="32:87" ht="15" customHeight="1" thickBot="1">
      <c r="AF3" s="611"/>
      <c r="AG3" s="610">
        <f>'General price list'!J3</f>
        <v>8000</v>
      </c>
      <c r="AH3" s="553" t="str">
        <f>"-"&amp;'General price list'!O3&amp;"%"</f>
        <v>-10%</v>
      </c>
      <c r="AI3" s="144"/>
      <c r="AJ3" s="190"/>
      <c r="AK3" s="145"/>
      <c r="AL3" s="145"/>
      <c r="AM3" s="145"/>
      <c r="AN3" s="145"/>
      <c r="AP3" s="209" t="str">
        <f>'General price list'!W17</f>
        <v>čeština</v>
      </c>
      <c r="AQ3" s="209" t="s">
        <v>3089</v>
      </c>
      <c r="BA3" s="18"/>
      <c r="BB3" s="18"/>
      <c r="BD3" s="18"/>
      <c r="BE3" s="141"/>
      <c r="BU3" s="562">
        <f t="shared" ref="BU3:BU8" si="0">AG2</f>
        <v>5000</v>
      </c>
      <c r="BV3" s="556" t="str">
        <f t="shared" ref="BV3:BV8" si="1">AH2</f>
        <v>-5%</v>
      </c>
      <c r="BW3" s="562">
        <f t="shared" ref="BW3:BX8" si="2">AG8</f>
        <v>150000</v>
      </c>
      <c r="BX3" s="563" t="str">
        <f t="shared" si="2"/>
        <v>-40%</v>
      </c>
      <c r="CH3" s="581"/>
      <c r="CI3" s="581"/>
    </row>
    <row r="4" spans="32:87" ht="15" customHeight="1" thickTop="1">
      <c r="AF4" s="611"/>
      <c r="AG4" s="610">
        <f>'General price list'!J4</f>
        <v>15000</v>
      </c>
      <c r="AH4" s="553" t="str">
        <f>"-"&amp;'General price list'!O4&amp;"%"</f>
        <v>-15%</v>
      </c>
      <c r="AI4" s="146"/>
      <c r="AJ4" s="191"/>
      <c r="AK4" s="146"/>
      <c r="AL4" s="146"/>
      <c r="AM4" s="146"/>
      <c r="AN4" s="146"/>
      <c r="BA4" s="18"/>
      <c r="BB4" s="18"/>
      <c r="BD4" s="18"/>
      <c r="BE4" s="141"/>
      <c r="BU4" s="564">
        <f t="shared" si="0"/>
        <v>8000</v>
      </c>
      <c r="BV4" s="557" t="str">
        <f t="shared" si="1"/>
        <v>-10%</v>
      </c>
      <c r="BW4" s="564">
        <f t="shared" si="2"/>
        <v>250000</v>
      </c>
      <c r="BX4" s="565" t="str">
        <f t="shared" si="2"/>
        <v>-45%</v>
      </c>
      <c r="CA4" s="558" t="str">
        <f>BU2</f>
        <v>Odběr nad</v>
      </c>
      <c r="CB4" s="559" t="str">
        <f>BV2</f>
        <v>Sleva v %</v>
      </c>
      <c r="CC4" s="560" t="str">
        <f>BW2</f>
        <v>Odběr nad</v>
      </c>
      <c r="CD4" s="559" t="str">
        <f>BX2</f>
        <v>Sleva v %</v>
      </c>
      <c r="CE4" s="560" t="str">
        <f>CC4</f>
        <v>Odběr nad</v>
      </c>
      <c r="CF4" s="590" t="str">
        <f>CD4</f>
        <v>Sleva v %</v>
      </c>
      <c r="CG4" s="586" t="str">
        <f>CE4</f>
        <v>Odběr nad</v>
      </c>
      <c r="CH4" s="561" t="str">
        <f>CF4</f>
        <v>Sleva v %</v>
      </c>
    </row>
    <row r="5" spans="32:87" ht="15" customHeight="1">
      <c r="AF5" s="611"/>
      <c r="AG5" s="610">
        <f>'General price list'!J5</f>
        <v>30000</v>
      </c>
      <c r="AH5" s="553" t="str">
        <f>"-"&amp;'General price list'!O5&amp;"%"</f>
        <v>-20%</v>
      </c>
      <c r="AI5" s="18"/>
      <c r="AP5" s="18" t="str">
        <f>IF($AP$3=$AQ$3,Jazyky_ceník!A88,IFERROR(VLOOKUP(Jazyky_ceník!A88,Jazyky_ceník!A:Q,MATCH($AP$3,Jazyky_ceník!$A$1:$Q$1,0),FALSE),"---------------"))</f>
        <v>Vepsáním vaší slevy do buňky D19 se ceník automaticky přepočítá, případně se sleva vypčte sama podle aktuální objednávky.</v>
      </c>
      <c r="BA5" s="18"/>
      <c r="BB5" s="18"/>
      <c r="BD5" s="18"/>
      <c r="BE5" s="141"/>
      <c r="BU5" s="562">
        <f t="shared" si="0"/>
        <v>15000</v>
      </c>
      <c r="BV5" s="556" t="str">
        <f t="shared" si="1"/>
        <v>-15%</v>
      </c>
      <c r="BW5" s="562">
        <f t="shared" si="2"/>
        <v>400000</v>
      </c>
      <c r="BX5" s="563" t="str">
        <f t="shared" si="2"/>
        <v>-48%</v>
      </c>
      <c r="CA5" s="562">
        <f t="shared" ref="CA5:CB7" si="3">BU3</f>
        <v>5000</v>
      </c>
      <c r="CB5" s="556" t="str">
        <f t="shared" si="3"/>
        <v>-5%</v>
      </c>
      <c r="CC5" s="562">
        <f t="shared" ref="CC5:CD7" si="4">BU6</f>
        <v>30000</v>
      </c>
      <c r="CD5" s="583" t="str">
        <f t="shared" si="4"/>
        <v>-20%</v>
      </c>
      <c r="CE5" s="554">
        <f t="shared" ref="CE5:CF7" si="5">BW3</f>
        <v>150000</v>
      </c>
      <c r="CF5" s="556" t="str">
        <f t="shared" si="5"/>
        <v>-40%</v>
      </c>
      <c r="CG5" s="587">
        <f>BW6</f>
        <v>600000</v>
      </c>
      <c r="CH5" s="563" t="str">
        <f t="shared" ref="CH5:CH7" si="6">BX6</f>
        <v>-49%</v>
      </c>
    </row>
    <row r="6" spans="32:87" ht="15" customHeight="1">
      <c r="AF6" s="611"/>
      <c r="AG6" s="610">
        <f>'General price list'!J6</f>
        <v>75000</v>
      </c>
      <c r="AH6" s="553" t="str">
        <f>"-"&amp;'General price list'!O6&amp;"%"</f>
        <v>-25%</v>
      </c>
      <c r="AI6" s="144"/>
      <c r="AJ6" s="190"/>
      <c r="AK6" s="144"/>
      <c r="AL6" s="144"/>
      <c r="AM6" s="144"/>
      <c r="AN6" s="144"/>
      <c r="AO6" s="144"/>
      <c r="AP6" s="144"/>
      <c r="AQ6" s="144"/>
      <c r="AR6" s="144"/>
      <c r="AS6" s="144"/>
      <c r="AT6" s="144"/>
      <c r="BA6" s="18"/>
      <c r="BB6" s="18"/>
      <c r="BD6" s="18"/>
      <c r="BE6" s="141"/>
      <c r="BU6" s="564">
        <f t="shared" si="0"/>
        <v>30000</v>
      </c>
      <c r="BV6" s="557" t="str">
        <f t="shared" si="1"/>
        <v>-20%</v>
      </c>
      <c r="BW6" s="564">
        <f t="shared" si="2"/>
        <v>600000</v>
      </c>
      <c r="BX6" s="565" t="str">
        <f t="shared" si="2"/>
        <v>-49%</v>
      </c>
      <c r="CA6" s="564">
        <f t="shared" si="3"/>
        <v>8000</v>
      </c>
      <c r="CB6" s="557" t="str">
        <f t="shared" si="3"/>
        <v>-10%</v>
      </c>
      <c r="CC6" s="564">
        <f t="shared" si="4"/>
        <v>75000</v>
      </c>
      <c r="CD6" s="584" t="str">
        <f t="shared" si="4"/>
        <v>-25%</v>
      </c>
      <c r="CE6" s="555">
        <f t="shared" si="5"/>
        <v>250000</v>
      </c>
      <c r="CF6" s="557" t="str">
        <f t="shared" si="5"/>
        <v>-45%</v>
      </c>
      <c r="CG6" s="588">
        <f t="shared" ref="CG6:CG7" si="7">BW7</f>
        <v>800000</v>
      </c>
      <c r="CH6" s="565" t="str">
        <f t="shared" si="6"/>
        <v>-50%</v>
      </c>
    </row>
    <row r="7" spans="32:87" ht="15" customHeight="1" thickBot="1">
      <c r="AF7" s="611"/>
      <c r="AG7" s="610">
        <f>'General price list'!J7</f>
        <v>120000</v>
      </c>
      <c r="AH7" s="553" t="str">
        <f>"-"&amp;'General price list'!O7&amp;"%"</f>
        <v>-30%</v>
      </c>
      <c r="AI7" s="144"/>
      <c r="AJ7" s="190"/>
      <c r="AK7" s="144"/>
      <c r="AL7" s="144"/>
      <c r="AM7" s="144"/>
      <c r="AN7" s="144"/>
      <c r="AO7" s="144"/>
      <c r="AT7" s="599"/>
      <c r="AU7" s="598"/>
      <c r="BA7" s="18"/>
      <c r="BB7" s="18"/>
      <c r="BD7" s="18"/>
      <c r="BE7" s="141"/>
      <c r="BU7" s="562">
        <f t="shared" si="0"/>
        <v>75000</v>
      </c>
      <c r="BV7" s="556" t="str">
        <f t="shared" si="1"/>
        <v>-25%</v>
      </c>
      <c r="BW7" s="562">
        <f t="shared" si="2"/>
        <v>800000</v>
      </c>
      <c r="BX7" s="563" t="str">
        <f t="shared" si="2"/>
        <v>-50%</v>
      </c>
      <c r="CA7" s="566">
        <f t="shared" si="3"/>
        <v>15000</v>
      </c>
      <c r="CB7" s="567" t="str">
        <f t="shared" si="3"/>
        <v>-15%</v>
      </c>
      <c r="CC7" s="566">
        <f t="shared" si="4"/>
        <v>120000</v>
      </c>
      <c r="CD7" s="585" t="str">
        <f t="shared" si="4"/>
        <v>-30%</v>
      </c>
      <c r="CE7" s="568">
        <f t="shared" si="5"/>
        <v>400000</v>
      </c>
      <c r="CF7" s="567" t="str">
        <f t="shared" si="5"/>
        <v>-48%</v>
      </c>
      <c r="CG7" s="589">
        <f t="shared" si="7"/>
        <v>1000000</v>
      </c>
      <c r="CH7" s="569" t="str">
        <f t="shared" si="6"/>
        <v>-52%</v>
      </c>
    </row>
    <row r="8" spans="32:87" ht="15" customHeight="1" thickTop="1" thickBot="1">
      <c r="AF8" s="611"/>
      <c r="AG8" s="610">
        <f>'General price list'!J8</f>
        <v>150000</v>
      </c>
      <c r="AH8" s="553" t="str">
        <f>"-"&amp;'General price list'!O8&amp;"%"</f>
        <v>-40%</v>
      </c>
      <c r="AI8" s="142"/>
      <c r="AJ8" s="192"/>
      <c r="AK8" s="142"/>
      <c r="AL8" s="142"/>
      <c r="AM8" s="142"/>
      <c r="AN8" s="143"/>
      <c r="AO8" s="143"/>
      <c r="AP8" s="143"/>
      <c r="AQ8" s="143"/>
      <c r="AR8" s="194"/>
      <c r="AS8" s="194"/>
      <c r="AT8" s="194"/>
      <c r="BA8" s="18"/>
      <c r="BB8" s="18"/>
      <c r="BD8" s="18"/>
      <c r="BE8" s="141"/>
      <c r="BL8" s="230"/>
      <c r="BU8" s="577">
        <f t="shared" si="0"/>
        <v>120000</v>
      </c>
      <c r="BV8" s="578" t="str">
        <f t="shared" si="1"/>
        <v>-30%</v>
      </c>
      <c r="BW8" s="577">
        <f t="shared" si="2"/>
        <v>1000000</v>
      </c>
      <c r="BX8" s="579" t="str">
        <f t="shared" si="2"/>
        <v>-52%</v>
      </c>
    </row>
    <row r="9" spans="32:87" ht="15" customHeight="1" thickTop="1">
      <c r="AF9" s="611"/>
      <c r="AG9" s="610">
        <f>'General price list'!J9</f>
        <v>250000</v>
      </c>
      <c r="AH9" s="553" t="str">
        <f>"-"&amp;'General price list'!O9&amp;"%"</f>
        <v>-45%</v>
      </c>
      <c r="AI9" s="144"/>
      <c r="AJ9" s="190"/>
      <c r="AK9" s="144"/>
      <c r="AL9" s="144"/>
      <c r="AM9" s="144"/>
      <c r="AN9" s="144"/>
      <c r="AO9" s="144"/>
      <c r="AP9" s="144"/>
      <c r="AQ9" s="144"/>
      <c r="AR9" s="144"/>
      <c r="AS9" s="144"/>
      <c r="AT9" s="144"/>
      <c r="BA9" s="18"/>
      <c r="BB9" s="18"/>
      <c r="BD9" s="18"/>
      <c r="BE9" s="141"/>
      <c r="BW9" s="575"/>
      <c r="BX9" s="576"/>
    </row>
    <row r="10" spans="32:87" ht="15" customHeight="1">
      <c r="AF10" s="611"/>
      <c r="AG10" s="610">
        <f>'General price list'!J10</f>
        <v>400000</v>
      </c>
      <c r="AH10" s="553" t="str">
        <f>"-"&amp;'General price list'!O10&amp;"%"</f>
        <v>-48%</v>
      </c>
      <c r="AI10" s="144"/>
      <c r="AJ10" s="190"/>
      <c r="AK10" s="144"/>
      <c r="AL10" s="144"/>
      <c r="AM10" s="144"/>
      <c r="AN10" s="144"/>
      <c r="AO10" s="144"/>
      <c r="AP10" s="144"/>
      <c r="AQ10" s="144"/>
      <c r="AR10" s="144"/>
      <c r="AS10" s="144"/>
      <c r="AT10" s="144"/>
      <c r="BA10" s="18"/>
      <c r="BB10" s="18"/>
      <c r="BD10" s="18"/>
      <c r="BE10" s="141"/>
    </row>
    <row r="11" spans="32:87" ht="15" customHeight="1">
      <c r="AF11" s="611"/>
      <c r="AG11" s="610">
        <f>'General price list'!J11</f>
        <v>600000</v>
      </c>
      <c r="AH11" s="553" t="str">
        <f>"-"&amp;'General price list'!O11&amp;"%"</f>
        <v>-49%</v>
      </c>
      <c r="AI11" s="144"/>
      <c r="AJ11" s="190"/>
      <c r="AK11" s="144"/>
      <c r="AL11" s="144"/>
      <c r="AM11" s="144"/>
      <c r="AN11" s="144"/>
      <c r="AO11" s="144"/>
      <c r="AP11" s="144"/>
      <c r="AQ11" s="144"/>
      <c r="AR11" s="144"/>
      <c r="AS11" s="144"/>
      <c r="AT11" s="144"/>
      <c r="BA11" s="18"/>
      <c r="BB11" s="18"/>
      <c r="BD11" s="18"/>
      <c r="BE11" s="141"/>
    </row>
    <row r="12" spans="32:87" ht="15" customHeight="1">
      <c r="AF12" s="611"/>
      <c r="AG12" s="610">
        <f>'General price list'!J12</f>
        <v>800000</v>
      </c>
      <c r="AH12" s="553" t="str">
        <f>"-"&amp;'General price list'!O12&amp;"%"</f>
        <v>-50%</v>
      </c>
      <c r="AI12" s="144"/>
      <c r="AJ12" s="190"/>
      <c r="AK12" s="144"/>
      <c r="AL12" s="144"/>
      <c r="AM12" s="144"/>
      <c r="AN12" s="144"/>
      <c r="AO12" s="144"/>
      <c r="AP12" s="144"/>
      <c r="AQ12" s="144"/>
      <c r="AR12" s="144"/>
      <c r="AS12" s="144"/>
      <c r="AT12" s="144"/>
      <c r="BA12" s="18"/>
      <c r="BB12" s="18"/>
      <c r="BD12" s="18"/>
      <c r="BE12" s="141"/>
    </row>
    <row r="13" spans="32:87" ht="15" customHeight="1">
      <c r="AF13" s="611"/>
      <c r="AG13" s="610">
        <f>'General price list'!J13</f>
        <v>1000000</v>
      </c>
      <c r="AH13" s="553" t="str">
        <f>"-"&amp;'General price list'!O13&amp;"%"</f>
        <v>-52%</v>
      </c>
      <c r="AI13" s="144"/>
      <c r="AJ13" s="190"/>
      <c r="AK13" s="144"/>
      <c r="AL13" s="144"/>
      <c r="AM13" s="144"/>
      <c r="AN13" s="144"/>
      <c r="AO13" s="144"/>
      <c r="AP13" s="144"/>
      <c r="AQ13" s="144"/>
      <c r="AR13" s="144"/>
      <c r="AS13" s="144"/>
      <c r="AT13" s="144"/>
      <c r="BA13" s="18"/>
      <c r="BB13" s="18"/>
      <c r="BD13" s="18"/>
      <c r="BE13" s="141"/>
    </row>
    <row r="14" spans="32:87">
      <c r="AG14" s="610">
        <f>'General price list'!J14</f>
        <v>1500000</v>
      </c>
      <c r="AH14" s="553" t="str">
        <f>"-"&amp;'General price list'!O14&amp;"%"</f>
        <v>-54%</v>
      </c>
      <c r="AQ14" s="18" t="str">
        <f>"i-"&amp;PROPER(IF($AP$3=$AQ$3,"ceník",IFERROR(VLOOKUP("ceník",Jazyky_ceník!A:Q,MATCH(AP3,Jazyky_ceník!A1:Q1,0),FALSE),"---------------")))&amp;" 2024"</f>
        <v>i-Ceník 2024</v>
      </c>
      <c r="AV14" s="19"/>
      <c r="AW14" s="19"/>
      <c r="AX14" s="19"/>
      <c r="AY14" s="19"/>
      <c r="AZ14" s="195"/>
      <c r="BA14" s="6"/>
      <c r="BB14" s="6"/>
      <c r="BC14" s="6"/>
      <c r="BD14" s="6"/>
      <c r="BE14" s="6"/>
      <c r="BF14" s="6"/>
      <c r="BG14" s="6"/>
      <c r="BH14" s="6"/>
      <c r="BI14" s="6"/>
      <c r="BJ14" s="6"/>
      <c r="BK14" s="6"/>
      <c r="BL14" s="6"/>
      <c r="BM14" s="6"/>
      <c r="BN14" s="6"/>
      <c r="BU14" s="259">
        <f>AG13</f>
        <v>1000000</v>
      </c>
      <c r="BV14" s="259" t="str">
        <f>AH13</f>
        <v>-52%</v>
      </c>
    </row>
    <row r="15" spans="32:87" ht="6.95" customHeight="1">
      <c r="AG15" s="610">
        <f>'General price list'!J15</f>
        <v>3000000</v>
      </c>
      <c r="AH15" s="553" t="str">
        <f>"-"&amp;'General price list'!O15&amp;"%"</f>
        <v>-55%</v>
      </c>
      <c r="AV15" s="19"/>
      <c r="AW15" s="19"/>
      <c r="AX15" s="19"/>
      <c r="AY15" s="19"/>
      <c r="AZ15" s="195"/>
      <c r="BA15" s="6"/>
      <c r="BB15" s="6"/>
      <c r="BC15" s="6"/>
      <c r="BD15" s="6"/>
      <c r="BE15" s="6"/>
      <c r="BF15" s="6"/>
      <c r="BG15" s="6"/>
      <c r="BH15" s="6"/>
      <c r="BI15" s="6"/>
      <c r="BJ15" s="6"/>
      <c r="BK15" s="6"/>
      <c r="BL15" s="6"/>
      <c r="BM15" s="6"/>
      <c r="BN15" s="6"/>
    </row>
    <row r="16" spans="32:87" ht="5.0999999999999996" customHeight="1" thickBot="1">
      <c r="AG16" s="610"/>
      <c r="AH16" s="553"/>
      <c r="AV16" s="19"/>
      <c r="AW16" s="19"/>
      <c r="AX16" s="19"/>
      <c r="AY16" s="19"/>
      <c r="AZ16" s="195"/>
      <c r="BA16" s="6"/>
      <c r="BB16" s="252"/>
      <c r="BC16" s="246"/>
      <c r="BD16" s="246"/>
      <c r="BE16" s="246"/>
      <c r="BF16" s="246"/>
      <c r="BG16" s="246"/>
      <c r="BH16" s="246"/>
      <c r="BI16" s="246"/>
      <c r="BJ16" s="6"/>
      <c r="BK16" s="6"/>
      <c r="BL16" s="6"/>
      <c r="BM16" s="6"/>
      <c r="BN16" s="6"/>
    </row>
    <row r="17" spans="32:87" s="28" customFormat="1" ht="12.75" thickTop="1">
      <c r="AF17" s="613"/>
      <c r="AG17" s="610"/>
      <c r="AH17" s="553"/>
      <c r="AJ17" s="193"/>
      <c r="AV17" s="140"/>
      <c r="AW17" s="140"/>
      <c r="AX17" s="140"/>
      <c r="AY17" s="140"/>
      <c r="AZ17" s="188"/>
      <c r="BA17" s="140"/>
      <c r="BB17" s="140"/>
      <c r="BC17" s="917" t="str">
        <f>'General price list'!V6</f>
        <v>SKLADEM</v>
      </c>
      <c r="BD17" s="918"/>
      <c r="BE17" s="911" t="str">
        <f>"  "&amp;'General price list'!W6</f>
        <v xml:space="preserve">  Lze objednat libovolný počet.</v>
      </c>
      <c r="BF17" s="912"/>
      <c r="BG17" s="912"/>
      <c r="BH17" s="912"/>
      <c r="BI17" s="140"/>
      <c r="BJ17" s="140"/>
      <c r="BK17" s="140"/>
      <c r="BL17" s="140"/>
      <c r="BM17" s="140"/>
      <c r="BN17" s="140"/>
    </row>
    <row r="18" spans="32:87" s="28" customFormat="1" ht="12">
      <c r="AF18" s="613"/>
      <c r="AJ18" s="193"/>
      <c r="AV18" s="140"/>
      <c r="AW18" s="140"/>
      <c r="AX18" s="140"/>
      <c r="AY18" s="140"/>
      <c r="AZ18" s="188"/>
      <c r="BA18" s="140"/>
      <c r="BB18" s="140"/>
      <c r="BC18" s="923" t="str">
        <f>'General price list'!V7</f>
        <v>POSLEDNÍCH … VK</v>
      </c>
      <c r="BD18" s="924"/>
      <c r="BE18" s="915" t="str">
        <f>"  "&amp;'General price list'!W7</f>
        <v xml:space="preserve">  Lze objednat maximálně toto množství.</v>
      </c>
      <c r="BF18" s="916"/>
      <c r="BG18" s="916"/>
      <c r="BH18" s="916"/>
      <c r="BI18" s="140"/>
      <c r="BJ18" s="140"/>
      <c r="BK18" s="140"/>
      <c r="BL18" s="140"/>
      <c r="BM18" s="140"/>
      <c r="BN18" s="140"/>
    </row>
    <row r="19" spans="32:87" s="28" customFormat="1" ht="12">
      <c r="AF19" s="613"/>
      <c r="AJ19" s="193"/>
      <c r="AV19" s="140"/>
      <c r="AW19" s="140"/>
      <c r="AX19" s="140"/>
      <c r="AY19" s="140"/>
      <c r="AZ19" s="188"/>
      <c r="BA19" s="140"/>
      <c r="BB19" s="140"/>
      <c r="BC19" s="921" t="str">
        <f>'General price list'!V5</f>
        <v>DATUM</v>
      </c>
      <c r="BD19" s="922"/>
      <c r="BE19" s="915" t="str">
        <f>"  "&amp;'General price list'!W5</f>
        <v xml:space="preserve">  Termín další dostupnosti zboží</v>
      </c>
      <c r="BF19" s="916"/>
      <c r="BG19" s="916"/>
      <c r="BH19" s="916"/>
      <c r="BI19" s="140"/>
      <c r="BJ19" s="140"/>
      <c r="BK19" s="140"/>
      <c r="BL19" s="140"/>
      <c r="BM19" s="140"/>
      <c r="BN19" s="140"/>
    </row>
    <row r="20" spans="32:87" s="28" customFormat="1" ht="12.75" thickBot="1">
      <c r="AF20" s="613"/>
      <c r="AJ20" s="193"/>
      <c r="AV20" s="140"/>
      <c r="AW20" s="140"/>
      <c r="AX20" s="140"/>
      <c r="AY20" s="140"/>
      <c r="AZ20" s="188"/>
      <c r="BA20" s="140"/>
      <c r="BB20" s="140"/>
      <c r="BC20" s="919" t="str">
        <f>'General price list'!V9</f>
        <v>VYPRODÁNO</v>
      </c>
      <c r="BD20" s="920"/>
      <c r="BE20" s="913" t="str">
        <f>"  "&amp;'General price list'!W9</f>
        <v xml:space="preserve">  Nelze v tuto chvíli objednat.</v>
      </c>
      <c r="BF20" s="914"/>
      <c r="BG20" s="914"/>
      <c r="BH20" s="914"/>
      <c r="BI20" s="140"/>
      <c r="BJ20" s="140"/>
      <c r="BK20" s="140"/>
      <c r="BL20" s="140"/>
      <c r="BM20" s="140"/>
      <c r="BN20" s="140"/>
    </row>
    <row r="21" spans="32:87" ht="5.0999999999999996" customHeight="1" thickTop="1">
      <c r="AH21" s="6"/>
      <c r="AI21" s="6"/>
      <c r="AJ21" s="18"/>
      <c r="AV21" s="19"/>
      <c r="AW21" s="19"/>
      <c r="AX21" s="19"/>
      <c r="AY21" s="19"/>
      <c r="AZ21" s="195"/>
      <c r="BA21" s="6"/>
      <c r="BB21" s="252"/>
      <c r="BC21" s="248"/>
      <c r="BD21" s="248"/>
      <c r="BE21" s="248"/>
      <c r="BF21" s="248"/>
      <c r="BG21" s="248"/>
      <c r="BH21" s="248"/>
      <c r="BI21" s="248"/>
      <c r="BJ21" s="6"/>
      <c r="BK21" s="6"/>
      <c r="BL21" s="6"/>
      <c r="BM21" s="6"/>
      <c r="BN21" s="6"/>
    </row>
    <row r="22" spans="32:87" ht="6.95" customHeight="1">
      <c r="AH22" s="6"/>
      <c r="AI22" s="6"/>
      <c r="AJ22" s="19"/>
      <c r="AV22" s="19"/>
      <c r="AW22" s="19"/>
      <c r="AX22" s="19"/>
      <c r="AY22" s="19"/>
      <c r="AZ22" s="195"/>
      <c r="BA22" s="6"/>
      <c r="BB22" s="6"/>
      <c r="BC22" s="6"/>
      <c r="BD22" s="6"/>
      <c r="BE22" s="6"/>
      <c r="BF22" s="6"/>
      <c r="BG22" s="6"/>
      <c r="BH22" s="6"/>
      <c r="BI22" s="6"/>
      <c r="BJ22" s="6"/>
      <c r="BK22" s="6"/>
      <c r="BL22" s="6"/>
      <c r="BM22" s="6"/>
      <c r="BN22" s="6"/>
    </row>
    <row r="23" spans="32:87" s="27" customFormat="1" ht="7.5" customHeight="1">
      <c r="AF23" s="614"/>
      <c r="AH23" s="6"/>
      <c r="AI23" s="6"/>
      <c r="AJ23" s="19"/>
      <c r="AK23" s="19"/>
      <c r="AL23" s="19"/>
      <c r="AM23" s="19"/>
      <c r="AN23" s="19"/>
      <c r="AO23" s="19"/>
      <c r="AP23" s="19"/>
      <c r="AQ23" s="19"/>
      <c r="AR23" s="19"/>
      <c r="AS23" s="19"/>
      <c r="AT23" s="19"/>
      <c r="AU23" s="19"/>
      <c r="AV23" s="19"/>
      <c r="AW23" s="19"/>
      <c r="AX23" s="19"/>
      <c r="AY23" s="19"/>
      <c r="AZ23" s="196"/>
      <c r="BA23" s="186"/>
      <c r="BB23" s="186"/>
      <c r="BC23" s="186"/>
      <c r="BD23" s="186"/>
      <c r="BE23" s="186"/>
      <c r="BF23" s="186"/>
      <c r="BG23" s="186"/>
      <c r="BH23" s="186"/>
      <c r="BI23" s="186"/>
      <c r="BJ23" s="186"/>
      <c r="BK23" s="186"/>
      <c r="BL23" s="186"/>
      <c r="BM23" s="186"/>
      <c r="BN23" s="186"/>
      <c r="CH23"/>
      <c r="CI23"/>
    </row>
    <row r="24" spans="32:87" ht="15" customHeight="1">
      <c r="AH24" s="6"/>
      <c r="AI24" s="6"/>
      <c r="AJ24" s="19"/>
      <c r="AK24" s="19"/>
      <c r="AL24" s="19"/>
      <c r="AM24" s="908" t="str">
        <f>UPPER(IF($AP$3=$AQ$3,"interaktivní",IFERROR(VLOOKUP("interaktivní",Jazyky_ceník!A:Q,MATCH(AP3,Jazyky_ceník!A1:Q1,0),FALSE),"---------------")))</f>
        <v>INTERAKTIVNÍ</v>
      </c>
      <c r="AN24" s="908"/>
      <c r="AO24" s="908"/>
      <c r="AP24" s="908"/>
      <c r="AQ24" s="910" t="str">
        <f>"i-"&amp;PROPER(IF($AP$3=$AQ$3,"ceník",IFERROR(VLOOKUP("ceník",Jazyky_ceník!A:Q,MATCH(AP3,Jazyky_ceník!A1:Q1,0),FALSE),"---------------")))&amp;" 2024"</f>
        <v>i-Ceník 2024</v>
      </c>
      <c r="AR24" s="910"/>
      <c r="AS24" s="910"/>
      <c r="AT24" s="910"/>
      <c r="AU24" s="910"/>
      <c r="AV24" s="19"/>
      <c r="AW24" s="19"/>
      <c r="AX24" s="19"/>
      <c r="AY24" s="19"/>
      <c r="AZ24" s="195"/>
      <c r="BA24" s="6"/>
      <c r="BB24" s="6"/>
      <c r="BC24" s="6"/>
      <c r="BD24" s="6"/>
      <c r="BE24" s="6"/>
      <c r="BF24" s="6"/>
      <c r="BG24" s="6"/>
      <c r="BH24" s="6"/>
      <c r="BI24" s="6"/>
      <c r="BJ24" s="6"/>
      <c r="BK24" s="6"/>
      <c r="BL24" s="6"/>
      <c r="BM24" s="6"/>
      <c r="BN24" s="6"/>
    </row>
    <row r="25" spans="32:87" ht="15" customHeight="1">
      <c r="AH25" s="6"/>
      <c r="AI25" s="6"/>
      <c r="AJ25" s="19"/>
      <c r="AK25" s="19"/>
      <c r="AL25" s="19"/>
      <c r="AM25" s="908"/>
      <c r="AN25" s="908"/>
      <c r="AO25" s="908"/>
      <c r="AP25" s="908"/>
      <c r="AQ25" s="910"/>
      <c r="AR25" s="910"/>
      <c r="AS25" s="910"/>
      <c r="AT25" s="910"/>
      <c r="AU25" s="910"/>
      <c r="AV25" s="19"/>
      <c r="AW25" s="19"/>
      <c r="AX25" s="19"/>
      <c r="BC25" s="905"/>
      <c r="BD25" s="906"/>
    </row>
    <row r="26" spans="32:87" ht="15" customHeight="1">
      <c r="AH26" s="6"/>
      <c r="AI26" s="6"/>
      <c r="AJ26" s="19"/>
      <c r="AK26" s="19"/>
      <c r="AL26" s="19"/>
      <c r="AM26" s="197"/>
      <c r="AN26" s="925" t="str">
        <f>IF($AP$3=$AQ$3,Jazyky_ceník!A94,IFERROR(VLOOKUP(Jazyky_ceník!A94,Jazyky_ceník!A:Q,MATCH($AP$3,Jazyky_ceník!$A$1:$Q$1,0),FALSE),"---------------"))</f>
        <v>Platí: 01.01.2024 - 31.08.2024</v>
      </c>
      <c r="AO26" s="925"/>
      <c r="AP26" s="925"/>
      <c r="AQ26" s="925"/>
      <c r="AR26" s="925"/>
      <c r="AS26" s="925"/>
      <c r="AT26" s="19"/>
      <c r="AU26" s="19"/>
      <c r="AV26" s="19"/>
      <c r="AW26" s="19"/>
      <c r="AX26" s="19"/>
      <c r="BC26" s="905" t="str">
        <f>'General price list'!V1</f>
        <v>VK</v>
      </c>
      <c r="BD26" s="906"/>
    </row>
    <row r="27" spans="32:87" ht="9" customHeight="1">
      <c r="AI27" s="246"/>
      <c r="AJ27" s="247"/>
      <c r="AK27" s="247"/>
      <c r="AL27" s="247"/>
      <c r="AM27" s="247"/>
      <c r="AN27" s="247"/>
      <c r="AO27" s="247"/>
      <c r="AP27" s="247"/>
      <c r="AQ27" s="247"/>
      <c r="AR27" s="247"/>
      <c r="AS27" s="247"/>
      <c r="AT27" s="247"/>
      <c r="AU27" s="247"/>
      <c r="AV27" s="247"/>
      <c r="AW27" s="247"/>
      <c r="AX27" s="247"/>
      <c r="BC27" s="905" t="str">
        <f>'General price list'!V2</f>
        <v>POSLEDNÍCH</v>
      </c>
      <c r="BD27" s="906"/>
      <c r="BF27" s="246"/>
      <c r="BG27" s="247"/>
      <c r="BH27" s="247"/>
      <c r="BI27" s="247"/>
      <c r="BJ27" s="247"/>
      <c r="BK27" s="247"/>
      <c r="BL27" s="247"/>
      <c r="BM27" s="247"/>
      <c r="BN27" s="247"/>
      <c r="BO27" s="247"/>
      <c r="BP27" s="247"/>
      <c r="BQ27" s="247"/>
      <c r="BR27" s="18"/>
      <c r="BS27" s="18"/>
      <c r="BT27" s="18"/>
      <c r="BZ27" s="247"/>
      <c r="CA27" s="247"/>
      <c r="CH27" s="18"/>
      <c r="CI27" s="18"/>
    </row>
    <row r="28" spans="32:87" ht="15" customHeight="1">
      <c r="AI28" s="253"/>
      <c r="AJ28" s="909" t="str">
        <f>IF($AP$3=$AQ$3,Jazyky_ceník!A97,IFERROR(VLOOKUP(Jazyky_ceník!A97,Jazyky_ceník!A:Q,MATCH($AP$3,Jazyky_ceník!$A$1:$Q$1,0),FALSE),"---------------"))</f>
        <v>Klásek Trading  s.r.o.  ○</v>
      </c>
      <c r="AK28" s="909"/>
      <c r="AL28" s="909"/>
      <c r="AM28" s="927" t="str">
        <f>IF($AP$3=$AQ$3,Jazyky_ceník!A98,IFERROR(VLOOKUP(Jazyky_ceník!A98,Jazyky_ceník!A:Q,MATCH($AP$3,Jazyky_ceník!$A$1:$Q$1,0),FALSE),"---------------"))</f>
        <v xml:space="preserve"> K Zyfu 1083, Ostrava-Hrabová 720 00 ○</v>
      </c>
      <c r="AN28" s="927"/>
      <c r="AO28" s="927"/>
      <c r="AP28" s="927"/>
      <c r="AQ28" s="927"/>
      <c r="AR28" s="909" t="str">
        <f>IF($AP$3=$AQ$3,Jazyky_ceník!A90,IFERROR(VLOOKUP(Jazyky_ceník!A90,Jazyky_ceník!A:Q,MATCH($AP$3,Jazyky_ceník!$A$1:$Q$1,0),FALSE),"---------------"))</f>
        <v>Česká republika</v>
      </c>
      <c r="AS28" s="909"/>
      <c r="AT28" s="927" t="str">
        <f>IF($AP$3=$AQ$3,Jazyky_ceník!A91,IFERROR(VLOOKUP(Jazyky_ceník!A91,Jazyky_ceník!A:Q,MATCH($AP$3,Jazyky_ceník!$A$1:$Q$1,0),FALSE),"---------------"))</f>
        <v xml:space="preserve">  ○ IČO: 26848643  ○  DIČ: CZ26848643</v>
      </c>
      <c r="AU28" s="927"/>
      <c r="AV28" s="927"/>
      <c r="AW28" s="927"/>
      <c r="AX28" s="927"/>
      <c r="BC28" s="905" t="str">
        <f>'General price list'!V3</f>
        <v>DOCHÁZÍ</v>
      </c>
      <c r="BD28" s="906"/>
      <c r="BF28" s="253"/>
      <c r="BG28" s="907"/>
      <c r="BH28" s="907"/>
      <c r="BI28" s="907"/>
      <c r="BJ28" s="907"/>
      <c r="BK28" s="907"/>
      <c r="BL28" s="907"/>
      <c r="BM28" s="907"/>
      <c r="BN28" s="907"/>
      <c r="BO28" s="907"/>
      <c r="BP28" s="907"/>
      <c r="BQ28" s="427"/>
      <c r="BR28" s="428"/>
      <c r="BS28" s="428"/>
      <c r="BT28" s="428"/>
      <c r="CA28" s="429"/>
      <c r="CH28" s="582"/>
      <c r="CI28" s="582"/>
    </row>
    <row r="29" spans="32:87" ht="15" customHeight="1">
      <c r="AI29" s="254"/>
      <c r="AJ29" s="257"/>
      <c r="AK29" s="926" t="str">
        <f>IF($AP$3=$AQ$3,Jazyky_ceník!A92,IFERROR(VLOOKUP(Jazyky_ceník!A92,Jazyky_ceník!A:Q,MATCH($AP$3,Jazyky_ceník!$A$1:$Q$1,0),FALSE),"---------------"))</f>
        <v>kancelář:</v>
      </c>
      <c r="AL29" s="926"/>
      <c r="AM29" s="926"/>
      <c r="AN29" s="904" t="str">
        <f>IF($AP$3=$AQ$3,Jazyky_ceník!A95,IFERROR(VLOOKUP(Jazyky_ceník!A95,Jazyky_ceník!A:Q,MATCH($AP$3,Jazyky_ceník!$A$1:$Q$1,0),FALSE),"---------------"))</f>
        <v>+420 799 999 333</v>
      </c>
      <c r="AO29" s="904"/>
      <c r="AP29" s="904"/>
      <c r="AQ29" s="255" t="s">
        <v>11800</v>
      </c>
      <c r="AR29" s="926" t="str">
        <f>IF($AP$3=$AQ$3,Jazyky_ceník!A93,IFERROR(VLOOKUP(Jazyky_ceník!A93,Jazyky_ceník!A:Q,MATCH($AP$3,Jazyky_ceník!$A$1:$Q$1,0),FALSE),"---------------"))</f>
        <v>sklad:</v>
      </c>
      <c r="AS29" s="926"/>
      <c r="AT29" s="926"/>
      <c r="AU29" s="256" t="str">
        <f>IF($AP$3=$AQ$3,Jazyky_ceník!A96,IFERROR(VLOOKUP(Jazyky_ceník!A96,Jazyky_ceník!A:Q,MATCH($AP$3,Jazyky_ceník!$A$1:$Q$1,0),FALSE),"---------------"))</f>
        <v>+420 799 799 733</v>
      </c>
      <c r="AV29" s="257"/>
      <c r="AW29" s="257"/>
      <c r="AX29" s="257"/>
      <c r="BC29" s="905" t="str">
        <f>'General price list'!V4</f>
        <v xml:space="preserve">DORAZÍ </v>
      </c>
      <c r="BD29" s="906"/>
      <c r="BF29" s="254"/>
      <c r="BG29" s="907"/>
      <c r="BH29" s="907"/>
      <c r="BI29" s="907"/>
      <c r="BJ29" s="907"/>
      <c r="BK29" s="907"/>
      <c r="BL29" s="907"/>
      <c r="BM29" s="907"/>
      <c r="BN29" s="907"/>
      <c r="BO29" s="907"/>
      <c r="BP29" s="907"/>
      <c r="BQ29" s="257"/>
      <c r="BR29" s="18"/>
      <c r="BS29" s="18"/>
      <c r="BT29" s="18"/>
      <c r="BZ29" s="429"/>
      <c r="CA29" s="429"/>
      <c r="CH29" s="582"/>
      <c r="CI29" s="582"/>
    </row>
    <row r="30" spans="32:87" ht="9" customHeight="1">
      <c r="AI30" s="248"/>
      <c r="AJ30" s="249"/>
      <c r="AK30" s="250"/>
      <c r="AL30" s="250"/>
      <c r="AM30" s="250"/>
      <c r="AN30" s="250"/>
      <c r="AO30" s="250"/>
      <c r="AP30" s="250"/>
      <c r="AQ30" s="251"/>
      <c r="AR30" s="250"/>
      <c r="AS30" s="250"/>
      <c r="AT30" s="250"/>
      <c r="AU30" s="250"/>
      <c r="AV30" s="250"/>
      <c r="AW30" s="250"/>
      <c r="AX30" s="250"/>
      <c r="BC30" s="905" t="str">
        <f>'General price list'!V5</f>
        <v>DATUM</v>
      </c>
      <c r="BD30" s="906"/>
      <c r="BF30" s="248"/>
      <c r="BG30" s="249"/>
      <c r="BH30" s="250"/>
      <c r="BI30" s="250"/>
      <c r="BJ30" s="250"/>
      <c r="BK30" s="250"/>
      <c r="BL30" s="250"/>
      <c r="BM30" s="250"/>
      <c r="BN30" s="251"/>
      <c r="BO30" s="250"/>
      <c r="BP30" s="250"/>
      <c r="BQ30" s="250"/>
      <c r="BR30" s="18"/>
      <c r="BS30" s="18"/>
      <c r="BT30" s="18"/>
      <c r="BZ30" s="249"/>
      <c r="CA30" s="250"/>
      <c r="CH30" s="18"/>
      <c r="CI30" s="18"/>
    </row>
    <row r="31" spans="32:87" ht="6.75" customHeight="1">
      <c r="AI31" s="6"/>
      <c r="AJ31" s="19"/>
      <c r="AK31" s="19"/>
      <c r="AL31" s="19"/>
      <c r="AM31" s="19"/>
      <c r="AN31" s="19"/>
      <c r="AO31" s="19"/>
      <c r="AP31" s="19"/>
      <c r="AQ31" s="19"/>
      <c r="AR31" s="19"/>
      <c r="AS31" s="19"/>
      <c r="AT31" s="19"/>
      <c r="AU31" s="19"/>
      <c r="AV31" s="19"/>
      <c r="AW31" s="19"/>
      <c r="AX31" s="19"/>
      <c r="BC31" s="905" t="str">
        <f>'General price list'!V6</f>
        <v>SKLADEM</v>
      </c>
      <c r="BD31" s="906"/>
    </row>
    <row r="32" spans="32:87">
      <c r="AI32" s="6"/>
      <c r="AJ32" s="140"/>
      <c r="AK32" s="140"/>
      <c r="AL32" s="140"/>
      <c r="AM32" s="140"/>
      <c r="AN32" s="140"/>
      <c r="AO32" s="140"/>
      <c r="AP32" s="140"/>
      <c r="AQ32" s="140"/>
      <c r="AR32" s="140"/>
      <c r="AS32" s="140"/>
      <c r="AT32" s="140"/>
      <c r="AU32" s="140"/>
      <c r="AV32" s="140"/>
      <c r="AW32" s="140"/>
      <c r="AX32" s="140"/>
      <c r="BC32" s="905" t="str">
        <f>'General price list'!V7</f>
        <v>POSLEDNÍCH … VK</v>
      </c>
      <c r="BD32" s="906"/>
    </row>
    <row r="33" spans="34:76">
      <c r="AI33" s="6"/>
      <c r="AJ33" s="140"/>
      <c r="AK33" s="140"/>
      <c r="AL33" s="140"/>
      <c r="AM33" s="140"/>
      <c r="AN33" s="140"/>
      <c r="AO33" s="140"/>
      <c r="AP33" s="140"/>
      <c r="AQ33" s="140"/>
      <c r="AR33" s="140"/>
      <c r="AS33" s="140"/>
      <c r="AT33" s="140"/>
      <c r="AU33" s="140"/>
      <c r="AV33" s="140"/>
      <c r="AW33" s="140"/>
      <c r="AX33" s="140"/>
      <c r="BC33" s="905" t="str">
        <f>'General price list'!V8</f>
        <v>MÉNĚ NEŽ 1 VK!</v>
      </c>
      <c r="BD33" s="906"/>
    </row>
    <row r="34" spans="34:76">
      <c r="AI34" s="6"/>
      <c r="AJ34" s="140"/>
      <c r="AK34" s="140"/>
      <c r="AL34" s="140"/>
      <c r="AM34" s="140"/>
      <c r="AN34" s="140"/>
      <c r="AO34" s="140"/>
      <c r="AP34" s="140"/>
      <c r="AQ34" s="140"/>
      <c r="AR34" s="140"/>
      <c r="AS34" s="140"/>
      <c r="AT34" s="140"/>
      <c r="AU34" s="140"/>
      <c r="AV34" s="140"/>
      <c r="AW34" s="140"/>
      <c r="AX34" s="140"/>
      <c r="BC34" s="905" t="str">
        <f>'General price list'!V9</f>
        <v>VYPRODÁNO</v>
      </c>
      <c r="BD34" s="906"/>
    </row>
    <row r="35" spans="34:76">
      <c r="AI35" s="6"/>
      <c r="AJ35" s="140"/>
      <c r="AK35" s="140"/>
      <c r="AL35" s="140"/>
      <c r="AM35" s="140"/>
      <c r="AN35" s="140"/>
      <c r="AO35" s="140"/>
      <c r="AP35" s="140"/>
      <c r="AQ35" s="140"/>
      <c r="AR35" s="140"/>
      <c r="AS35" s="140"/>
      <c r="AT35" s="140"/>
      <c r="AU35" s="140"/>
      <c r="AV35" s="140"/>
      <c r="AW35" s="140"/>
      <c r="AX35" s="140"/>
      <c r="BC35" s="905" t="str">
        <f>'General price list'!V10</f>
        <v>NELZE OBJEDNAT!</v>
      </c>
      <c r="BD35" s="906"/>
    </row>
    <row r="36" spans="34:76">
      <c r="AH36" s="185"/>
      <c r="AI36" s="6"/>
      <c r="AJ36" s="140"/>
      <c r="AK36" s="140"/>
      <c r="AL36" s="140"/>
      <c r="AM36" s="140"/>
      <c r="AN36" s="140"/>
      <c r="AO36" s="140"/>
      <c r="AP36" s="140"/>
      <c r="AQ36" s="140"/>
      <c r="AR36" s="140"/>
      <c r="AS36" s="140"/>
      <c r="AT36" s="140"/>
      <c r="AU36" s="140"/>
      <c r="AV36" s="140"/>
      <c r="AW36" s="140"/>
      <c r="AX36" s="140"/>
      <c r="BC36" s="905">
        <f>'General price list'!V11</f>
        <v>0</v>
      </c>
      <c r="BD36" s="906"/>
    </row>
    <row r="37" spans="34:76" ht="9" customHeight="1">
      <c r="AH37" s="185"/>
      <c r="AI37" s="6"/>
      <c r="AJ37" s="19"/>
      <c r="AK37" s="19"/>
      <c r="AL37" s="19"/>
      <c r="AM37" s="19"/>
      <c r="AN37" s="19"/>
      <c r="AO37" s="19"/>
      <c r="AP37" s="19"/>
      <c r="AQ37" s="19"/>
      <c r="AR37" s="19"/>
      <c r="AS37" s="19"/>
      <c r="AT37" s="19"/>
      <c r="AU37" s="19"/>
      <c r="AV37" s="19"/>
      <c r="AW37" s="19"/>
      <c r="AX37" s="19"/>
      <c r="AY37" s="208"/>
      <c r="BC37" s="905">
        <f>'General price list'!V12</f>
        <v>0</v>
      </c>
      <c r="BD37" s="906"/>
    </row>
    <row r="38" spans="34:76">
      <c r="AH38" s="185"/>
      <c r="AI38" s="185"/>
      <c r="AJ38" s="207"/>
      <c r="AX38" s="208"/>
      <c r="AY38" s="208"/>
    </row>
    <row r="39" spans="34:76">
      <c r="BJ39" s="18"/>
      <c r="BK39" s="18"/>
      <c r="BL39" s="18"/>
      <c r="BM39" s="18"/>
      <c r="BN39" s="18"/>
      <c r="BO39" s="19"/>
      <c r="BP39" s="19"/>
      <c r="BQ39" s="19"/>
      <c r="BR39" s="19"/>
      <c r="BS39" s="19"/>
      <c r="BT39" s="19"/>
      <c r="BU39" s="19"/>
      <c r="BV39" s="6"/>
      <c r="BW39" s="6"/>
      <c r="BX39" s="6"/>
    </row>
    <row r="40" spans="34:76">
      <c r="BJ40" s="18"/>
      <c r="BK40" s="18"/>
      <c r="BL40" s="18"/>
      <c r="BM40" s="18"/>
      <c r="BN40" s="18"/>
      <c r="BO40" s="19"/>
      <c r="BP40" s="903" t="str">
        <f>UPPER(IF($AP$3=$AQ$3,"interaktivní",IFERROR(VLOOKUP("interaktivní",Jazyky_ceník!A:Q,MATCH(AP3,Jazyky_ceník!A1:Q1,0),FALSE),"---------------")))</f>
        <v>INTERAKTIVNÍ</v>
      </c>
      <c r="BQ40" s="903"/>
      <c r="BR40" s="903"/>
      <c r="BS40" s="903"/>
      <c r="BT40" s="18"/>
      <c r="BU40" s="18"/>
    </row>
    <row r="41" spans="34:76" ht="15.75" thickBot="1">
      <c r="BJ41" s="18"/>
      <c r="BK41" s="18"/>
      <c r="BL41" s="18"/>
      <c r="BM41" s="18"/>
      <c r="BN41" s="18"/>
      <c r="BO41" s="19"/>
      <c r="BP41" s="903"/>
      <c r="BQ41" s="903"/>
      <c r="BR41" s="903"/>
      <c r="BS41" s="903"/>
      <c r="BT41" s="18"/>
      <c r="BU41" s="18"/>
    </row>
    <row r="42" spans="34:76" ht="15" customHeight="1" thickTop="1" thickBot="1">
      <c r="AQ42" s="600"/>
      <c r="AR42" s="600"/>
      <c r="AS42" s="602"/>
      <c r="AT42" s="602"/>
      <c r="AU42" s="603"/>
      <c r="AV42" s="600"/>
      <c r="AW42" s="600"/>
      <c r="AX42" s="600"/>
      <c r="AY42" s="600"/>
      <c r="AZ42" s="601"/>
      <c r="BJ42" s="18"/>
      <c r="BK42" s="18"/>
      <c r="BL42" s="18"/>
      <c r="BM42" s="18"/>
      <c r="BN42" s="18"/>
      <c r="BO42" s="18"/>
      <c r="BP42" s="900" t="str">
        <f>"i-"&amp;PROPER(IF($AP$3=$AQ$3,"ceník",IFERROR(VLOOKUP("ceník",Jazyky_ceník!A:Q,MATCH(AP3,Jazyky_ceník!A1:Q1,0),FALSE),"---------------")))&amp;" 2024"</f>
        <v>i-Ceník 2024</v>
      </c>
      <c r="BQ42" s="900"/>
      <c r="BR42" s="900"/>
      <c r="BS42" s="900"/>
      <c r="BT42" s="18"/>
      <c r="BU42" s="18"/>
      <c r="BW42" s="6"/>
      <c r="BX42" s="6"/>
    </row>
    <row r="43" spans="34:76" ht="15" customHeight="1" thickTop="1">
      <c r="BJ43" s="18">
        <f>'General price list'!C5</f>
        <v>0</v>
      </c>
      <c r="BK43" s="18"/>
      <c r="BL43" s="18"/>
      <c r="BM43" s="18"/>
      <c r="BN43" s="18"/>
      <c r="BO43" s="243"/>
      <c r="BP43" s="900"/>
      <c r="BQ43" s="900"/>
      <c r="BR43" s="900"/>
      <c r="BS43" s="900"/>
      <c r="BT43" s="18"/>
      <c r="BU43" s="18"/>
      <c r="BW43" s="6"/>
      <c r="BX43" s="6"/>
    </row>
    <row r="44" spans="34:76" ht="22.5" customHeight="1">
      <c r="BJ44" s="18" t="str">
        <f>'General price list'!D6</f>
        <v>kancelář: +420 799 999 333 ○ sklad: +420 799 799 733</v>
      </c>
      <c r="BK44" s="18"/>
      <c r="BL44" s="18"/>
      <c r="BM44" s="18"/>
      <c r="BN44" s="18"/>
      <c r="BO44" s="18"/>
      <c r="BP44" s="899" t="str">
        <f>IF($AP$3=$AQ$3,Jazyky_ceník!A94,IFERROR(VLOOKUP(Jazyky_ceník!A94,Jazyky_ceník!A:Q,MATCH($AP$3,Jazyky_ceník!$A$1:$Q$1,0),FALSE),"---------------"))</f>
        <v>Platí: 01.01.2024 - 31.08.2024</v>
      </c>
      <c r="BQ44" s="899"/>
      <c r="BR44" s="899"/>
      <c r="BS44" s="899"/>
      <c r="BT44" s="258"/>
      <c r="BU44" s="18"/>
    </row>
    <row r="45" spans="34:76">
      <c r="BJ45" s="18"/>
      <c r="BK45" s="18"/>
      <c r="BL45" s="18"/>
      <c r="BM45" s="18"/>
      <c r="BN45" s="18"/>
      <c r="BO45" s="18"/>
      <c r="BP45" s="18"/>
      <c r="BQ45" s="18"/>
      <c r="BR45" s="18"/>
      <c r="BS45" s="18"/>
      <c r="BT45" s="18"/>
      <c r="BU45" s="18"/>
    </row>
    <row r="46" spans="34:76">
      <c r="AK46" s="198"/>
      <c r="AL46" s="28"/>
      <c r="AM46" s="199"/>
      <c r="AN46" s="198"/>
      <c r="AO46" s="28"/>
      <c r="AP46" s="28"/>
      <c r="BJ46" s="18"/>
      <c r="BK46" s="18"/>
      <c r="BL46" s="18"/>
      <c r="BM46" s="18"/>
      <c r="BN46" s="18"/>
      <c r="BO46" s="18"/>
      <c r="BP46" s="18"/>
      <c r="BQ46" s="18"/>
      <c r="BR46" s="18"/>
      <c r="BS46" s="18"/>
      <c r="BT46" s="18"/>
      <c r="BU46" s="18"/>
    </row>
    <row r="47" spans="34:76">
      <c r="AK47" s="200"/>
      <c r="AL47" s="200"/>
      <c r="AM47" s="200"/>
      <c r="AN47" s="200"/>
      <c r="AO47" s="200"/>
      <c r="AP47" s="28"/>
      <c r="BJ47" s="18"/>
      <c r="BK47" s="18"/>
      <c r="BL47" s="18"/>
      <c r="BM47" s="18"/>
      <c r="BN47" s="18"/>
      <c r="BO47" s="18"/>
      <c r="BP47" s="18"/>
      <c r="BQ47" s="18"/>
      <c r="BR47" s="18"/>
      <c r="BS47" s="18"/>
      <c r="BT47" s="18"/>
      <c r="BU47" s="18"/>
    </row>
    <row r="48" spans="34:76">
      <c r="AK48" s="201"/>
      <c r="AL48" s="28"/>
      <c r="AM48" s="28"/>
      <c r="AN48" s="202"/>
      <c r="AO48" s="28"/>
      <c r="AP48" s="28"/>
      <c r="BJ48" s="18"/>
      <c r="BK48" s="18"/>
      <c r="BL48" s="18"/>
      <c r="BM48" s="18"/>
      <c r="BN48" s="18"/>
      <c r="BO48" s="18"/>
      <c r="BP48" s="18"/>
      <c r="BQ48" s="18"/>
      <c r="BR48" s="18"/>
      <c r="BS48" s="18"/>
      <c r="BT48" s="18"/>
      <c r="BU48" s="18"/>
    </row>
    <row r="49" spans="37:73" ht="18">
      <c r="AK49" s="203"/>
      <c r="AL49" s="902" t="str">
        <f>'General price list'!D7</f>
        <v>VEŠKERÉ OBJEDNÁVKY ZASÍLEJTE POUZE NA ADRESU:</v>
      </c>
      <c r="AM49" s="902"/>
      <c r="AN49" s="902"/>
      <c r="AO49" s="902"/>
      <c r="AP49" s="902"/>
      <c r="AQ49" s="902"/>
      <c r="AS49" s="245" t="str">
        <f>'General price list'!E8</f>
        <v>info@klasekpyrotechnics.cz</v>
      </c>
      <c r="BJ49" s="18"/>
      <c r="BK49" s="899" t="str">
        <f>LOWER(IF($AP$3=$AQ$3,"nápověda",IFERROR(VLOOKUP("nápověda",Jazyky_ceník!A:Q,MATCH(AP3,Jazyky_ceník!A1:Q1,0),FALSE),"---------------")))</f>
        <v>nápověda</v>
      </c>
      <c r="BL49" s="899"/>
      <c r="BM49" s="260"/>
      <c r="BN49" s="260"/>
      <c r="BO49" s="18"/>
      <c r="BP49" s="18"/>
      <c r="BQ49" s="18"/>
      <c r="BR49" s="18"/>
      <c r="BS49" s="18"/>
      <c r="BT49" s="18"/>
      <c r="BU49" s="18"/>
    </row>
    <row r="50" spans="37:73">
      <c r="AK50" s="28"/>
      <c r="AL50" s="28"/>
      <c r="AM50" s="204"/>
      <c r="AN50" s="198"/>
      <c r="AO50" s="28"/>
      <c r="AP50" s="28"/>
      <c r="BJ50" s="18"/>
      <c r="BK50" s="18"/>
      <c r="BL50" s="18"/>
      <c r="BM50" s="18"/>
      <c r="BN50" s="18"/>
      <c r="BO50" s="18"/>
      <c r="BP50" s="18"/>
      <c r="BQ50" s="18"/>
      <c r="BR50" s="18"/>
      <c r="BS50" s="18"/>
      <c r="BT50" s="18"/>
      <c r="BU50" s="18"/>
    </row>
    <row r="51" spans="37:73">
      <c r="AK51" s="205"/>
      <c r="AL51" s="28"/>
      <c r="AM51" s="199"/>
      <c r="AN51" s="198"/>
      <c r="AO51" s="28"/>
      <c r="AP51" s="28"/>
      <c r="BJ51" s="18"/>
      <c r="BK51" s="18"/>
      <c r="BL51" s="18"/>
      <c r="BM51" s="18"/>
      <c r="BN51" s="18"/>
      <c r="BO51" s="18"/>
      <c r="BP51" s="18"/>
      <c r="BQ51" s="18"/>
      <c r="BR51" s="18"/>
      <c r="BS51" s="18"/>
      <c r="BT51" s="18"/>
      <c r="BU51" s="18"/>
    </row>
    <row r="52" spans="37:73">
      <c r="AK52" s="205"/>
      <c r="AL52" s="28"/>
      <c r="BJ52" s="18"/>
      <c r="BK52" s="18"/>
      <c r="BL52" s="18"/>
      <c r="BM52" s="18"/>
      <c r="BN52" s="18"/>
      <c r="BO52" s="18"/>
      <c r="BP52" s="18"/>
      <c r="BQ52" s="18"/>
      <c r="BR52" s="18"/>
      <c r="BS52" s="18"/>
      <c r="BT52" s="18"/>
      <c r="BU52" s="18"/>
    </row>
    <row r="53" spans="37:73">
      <c r="AK53" s="205"/>
      <c r="AL53" s="28"/>
      <c r="BJ53" s="18"/>
      <c r="BK53" s="18"/>
      <c r="BL53" s="18"/>
      <c r="BM53" s="18"/>
      <c r="BN53" s="18"/>
      <c r="BO53" s="18"/>
      <c r="BP53" s="18"/>
      <c r="BQ53" s="18"/>
      <c r="BR53" s="18"/>
      <c r="BS53" s="18"/>
      <c r="BT53" s="18"/>
      <c r="BU53" s="18"/>
    </row>
    <row r="54" spans="37:73" ht="37.5" customHeight="1">
      <c r="AK54" s="205"/>
      <c r="AL54" s="28"/>
      <c r="AM54" s="199"/>
      <c r="AN54" s="198"/>
      <c r="AO54" s="28"/>
      <c r="AP54" s="28"/>
      <c r="BI54" s="244"/>
      <c r="BQ54" s="20"/>
      <c r="BR54" s="20"/>
      <c r="BS54" s="18"/>
      <c r="BT54" s="18"/>
      <c r="BU54" s="18"/>
    </row>
    <row r="55" spans="37:73">
      <c r="AK55" s="205"/>
      <c r="AL55" s="28"/>
      <c r="AM55" s="199"/>
      <c r="AN55" s="198"/>
      <c r="AO55" s="206"/>
      <c r="AP55" s="28"/>
      <c r="BC55" t="s">
        <v>11951</v>
      </c>
      <c r="BJ55" s="18"/>
      <c r="BK55" s="18"/>
      <c r="BL55" s="18"/>
      <c r="BM55" s="18"/>
      <c r="BN55" s="18"/>
      <c r="BO55" s="18"/>
      <c r="BP55" s="18"/>
      <c r="BQ55" s="18"/>
      <c r="BR55" s="18"/>
      <c r="BS55" s="18"/>
      <c r="BT55" s="18"/>
      <c r="BU55" s="18"/>
    </row>
    <row r="56" spans="37:73">
      <c r="BJ56" s="18"/>
      <c r="BK56" s="18"/>
      <c r="BL56" s="18"/>
      <c r="BM56" s="18"/>
      <c r="BN56" s="18"/>
      <c r="BO56" s="18"/>
      <c r="BP56" s="18"/>
      <c r="BQ56" s="18"/>
      <c r="BR56" s="18"/>
      <c r="BS56" s="18"/>
      <c r="BT56" s="18"/>
      <c r="BU56" s="18"/>
    </row>
    <row r="58" spans="37:73">
      <c r="BC58" s="247"/>
      <c r="BD58" s="247"/>
      <c r="BE58" s="247"/>
      <c r="BF58" s="247"/>
      <c r="BG58" s="247"/>
      <c r="BH58" s="247"/>
    </row>
    <row r="59" spans="37:73">
      <c r="BC59" s="935"/>
      <c r="BD59" s="935"/>
      <c r="BE59" s="935"/>
      <c r="BF59" s="935"/>
      <c r="BG59" s="935"/>
      <c r="BH59" s="935"/>
    </row>
    <row r="60" spans="37:73">
      <c r="BC60" s="935"/>
      <c r="BD60" s="935"/>
      <c r="BE60" s="935"/>
      <c r="BF60" s="935"/>
      <c r="BG60" s="935"/>
      <c r="BH60" s="935"/>
    </row>
    <row r="61" spans="37:73" ht="15" customHeight="1">
      <c r="AX61" s="429"/>
      <c r="BC61" s="936"/>
      <c r="BD61" s="936"/>
      <c r="BE61" s="936"/>
      <c r="BF61" s="936"/>
      <c r="BG61" s="936"/>
      <c r="BH61" s="936"/>
    </row>
    <row r="62" spans="37:73" ht="15" customHeight="1">
      <c r="BC62" s="936"/>
      <c r="BD62" s="936"/>
      <c r="BE62" s="936"/>
      <c r="BF62" s="936"/>
      <c r="BG62" s="936"/>
      <c r="BH62" s="936"/>
    </row>
    <row r="63" spans="37:73">
      <c r="BC63" s="250"/>
      <c r="BD63" s="250"/>
      <c r="BE63" s="250"/>
      <c r="BF63" s="250"/>
      <c r="BG63" s="250"/>
      <c r="BH63" s="251"/>
    </row>
    <row r="64" spans="37:73" ht="15" customHeight="1"/>
    <row r="67" spans="3:59" ht="15" customHeight="1">
      <c r="AR67" s="430" t="e">
        <f>IF($AP$3=$AQ$3,Jazyky_ceník!#REF!,IFERROR(VLOOKUP(Jazyky_ceník!#REF!,Jazyky_ceník!#REF!,MATCH($AP$3,Jazyky_ceník!$A$1:$Q$1,0),FALSE),"---------------"))</f>
        <v>#REF!</v>
      </c>
      <c r="AS67" s="430"/>
      <c r="AT67" s="430"/>
      <c r="AU67" s="430"/>
      <c r="AV67" s="430"/>
      <c r="AW67" s="430"/>
      <c r="BD67" s="2"/>
    </row>
    <row r="68" spans="3:59" ht="15" customHeight="1">
      <c r="AR68" s="430"/>
      <c r="AS68" s="430"/>
      <c r="AT68" s="430"/>
      <c r="AV68" s="430"/>
      <c r="AW68" s="430"/>
    </row>
    <row r="70" spans="3:59">
      <c r="BC70" s="247"/>
      <c r="BD70" s="247"/>
      <c r="BE70" s="247"/>
      <c r="BF70" s="247"/>
      <c r="BG70" s="247"/>
    </row>
    <row r="71" spans="3:59" ht="15" customHeight="1">
      <c r="BC71" s="934" t="str">
        <f>IF($AP$3=$AQ$3,Jazyky_ceník!A115,IFERROR(VLOOKUP(Jazyky_ceník!A115,Jazyky_ceník!A:Q,MATCH($AP$3,Jazyky_ceník!$A$1:$Q$1,0),FALSE),"---------------"))</f>
        <v>Finální součet Vaši objednávky naleznete zde:</v>
      </c>
      <c r="BD71" s="934"/>
      <c r="BE71" s="934"/>
      <c r="BF71" s="934"/>
      <c r="BG71" s="934"/>
    </row>
    <row r="72" spans="3:59" ht="15" customHeight="1">
      <c r="BC72" s="934"/>
      <c r="BD72" s="934"/>
      <c r="BE72" s="934"/>
      <c r="BF72" s="934"/>
      <c r="BG72" s="934"/>
    </row>
    <row r="73" spans="3:59">
      <c r="BC73" s="250"/>
      <c r="BD73" s="250"/>
      <c r="BE73" s="250"/>
      <c r="BF73" s="250"/>
      <c r="BG73" s="250"/>
    </row>
    <row r="74" spans="3:59" s="608" customFormat="1">
      <c r="AF74" s="615"/>
      <c r="AJ74" s="605"/>
      <c r="AK74" s="606"/>
      <c r="AL74" s="606"/>
      <c r="AM74" s="606"/>
      <c r="AN74" s="606"/>
      <c r="AO74" s="606"/>
      <c r="AP74" s="606"/>
      <c r="AQ74" s="606"/>
      <c r="AR74" s="606"/>
      <c r="AS74" s="606"/>
      <c r="AT74" s="606"/>
      <c r="AU74" s="606"/>
      <c r="AV74" s="606"/>
      <c r="AW74" s="606"/>
      <c r="AX74" s="606"/>
      <c r="AY74" s="606"/>
      <c r="AZ74" s="607"/>
    </row>
    <row r="75" spans="3:59" ht="15.75" thickBot="1"/>
    <row r="76" spans="3:59" ht="15.75" thickTop="1">
      <c r="C76" s="617"/>
      <c r="D76" s="618"/>
      <c r="E76" s="901" t="str">
        <f>IF($AP$3=$AQ$3,Jazyky_ceník!A118,IFERROR(VLOOKUP(Jazyky_ceník!A118,Jazyky_ceník!A:Q,MATCH($AP$3,Jazyky_ceník!$A$1:$Q$1,0),FALSE),"---------------"))</f>
        <v xml:space="preserve">Pokud chcete objednávat F4, musíte zatrhnout toto pole: </v>
      </c>
      <c r="F76" s="901"/>
      <c r="G76" s="901"/>
      <c r="H76" s="901"/>
      <c r="I76" s="901"/>
      <c r="J76" s="901"/>
      <c r="K76" s="619"/>
      <c r="O76" s="619"/>
    </row>
    <row r="77" spans="3:59" ht="18" customHeight="1">
      <c r="C77" s="620"/>
      <c r="D77" s="621"/>
      <c r="E77" s="621"/>
      <c r="F77" s="898" t="str">
        <f>UPPER(IF($AP$3=$AQ$3,"ano, mám povolení k nákupu F4",IFERROR(VLOOKUP("ano, mám povolení k nákupu F4",Jazyky_ceník!A:Q,MATCH(AP3,Jazyky_ceník!A1:Q1,0),FALSE),"---------------")))</f>
        <v>ANO, MÁM POVOLENÍ K NÁKUPU F4</v>
      </c>
      <c r="G77" s="898"/>
      <c r="H77" s="898"/>
      <c r="I77" s="898"/>
      <c r="J77" s="621"/>
      <c r="K77" s="622"/>
      <c r="O77" s="622"/>
    </row>
    <row r="78" spans="3:59" ht="15.75" thickBot="1">
      <c r="C78" s="895" t="str">
        <f>IF($AP$3=$AQ$3,Jazyky_ceník!A117,IFERROR(VLOOKUP(Jazyky_ceník!A117,Jazyky_ceník!A:Q,MATCH($AP$3,Jazyky_ceník!$A$1:$Q$1,0),FALSE),"---------------"))</f>
        <v>Společně se svou objednávkou nám zašlete kopii Vašeho průkazu pro nákup kategorie F4.</v>
      </c>
      <c r="D78" s="896"/>
      <c r="E78" s="896"/>
      <c r="F78" s="896"/>
      <c r="G78" s="896"/>
      <c r="H78" s="896"/>
      <c r="I78" s="896"/>
      <c r="J78" s="896"/>
      <c r="K78" s="897"/>
      <c r="O78" s="623"/>
    </row>
    <row r="79" spans="3:59" ht="15.75" thickTop="1"/>
    <row r="80" spans="3:59" ht="15.75" thickBot="1"/>
    <row r="81" spans="12:18" ht="16.5" thickTop="1" thickBot="1">
      <c r="R81" s="616"/>
    </row>
    <row r="82" spans="12:18" ht="15.75" thickTop="1"/>
    <row r="83" spans="12:18" ht="15.75" thickBot="1"/>
    <row r="84" spans="12:18" ht="15.75" thickTop="1">
      <c r="M84" s="928" t="s">
        <v>13600</v>
      </c>
      <c r="N84" s="929"/>
      <c r="O84" s="929"/>
      <c r="P84" s="930"/>
    </row>
    <row r="85" spans="12:18" ht="15.75" thickBot="1">
      <c r="M85" s="604"/>
      <c r="N85" s="931" t="s">
        <v>13601</v>
      </c>
      <c r="O85" s="932"/>
      <c r="P85" s="933"/>
    </row>
    <row r="86" spans="12:18" ht="15.75" thickTop="1"/>
    <row r="87" spans="12:18">
      <c r="L87" t="s">
        <v>13613</v>
      </c>
    </row>
  </sheetData>
  <mergeCells count="45">
    <mergeCell ref="M84:P84"/>
    <mergeCell ref="N85:P85"/>
    <mergeCell ref="BC71:BG72"/>
    <mergeCell ref="BC59:BH60"/>
    <mergeCell ref="BC61:BH62"/>
    <mergeCell ref="AK29:AM29"/>
    <mergeCell ref="AR29:AT29"/>
    <mergeCell ref="AJ28:AL28"/>
    <mergeCell ref="AM28:AQ28"/>
    <mergeCell ref="AT28:AX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C78:K78"/>
    <mergeCell ref="F77:I77"/>
    <mergeCell ref="BK49:BL49"/>
    <mergeCell ref="BP42:BS43"/>
    <mergeCell ref="BP44:BS44"/>
    <mergeCell ref="E76:J76"/>
    <mergeCell ref="AL49:AQ4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1"/>
  <sheetViews>
    <sheetView workbookViewId="0">
      <pane xSplit="1" ySplit="3" topLeftCell="J136" activePane="bottomRight" state="frozen"/>
      <selection activeCell="BC71" sqref="BC71:BG72"/>
      <selection pane="topRight" activeCell="BC71" sqref="BC71:BG72"/>
      <selection pane="bottomLeft" activeCell="BC71" sqref="BC71:BG72"/>
      <selection pane="bottomRight" activeCell="K179" sqref="K179"/>
    </sheetView>
  </sheetViews>
  <sheetFormatPr defaultColWidth="9.140625" defaultRowHeight="14.45" customHeight="1"/>
  <cols>
    <col min="1" max="1" width="9.140625" style="440"/>
    <col min="2" max="13" width="70.7109375" style="538" customWidth="1"/>
    <col min="14" max="15" width="9.140625" style="440"/>
  </cols>
  <sheetData>
    <row r="1" spans="1:16" ht="15">
      <c r="B1" s="534">
        <v>24</v>
      </c>
      <c r="C1" s="534">
        <v>23</v>
      </c>
      <c r="D1" s="534">
        <v>22</v>
      </c>
      <c r="E1" s="534">
        <v>109</v>
      </c>
      <c r="F1" s="534">
        <v>110</v>
      </c>
      <c r="G1" s="534">
        <v>111</v>
      </c>
      <c r="H1" s="535">
        <v>112</v>
      </c>
      <c r="I1" s="534">
        <v>113</v>
      </c>
      <c r="J1" s="534">
        <v>156</v>
      </c>
      <c r="K1" s="534">
        <v>160</v>
      </c>
      <c r="L1" s="534">
        <v>114</v>
      </c>
      <c r="M1" s="534">
        <v>161</v>
      </c>
    </row>
    <row r="2" spans="1:16" ht="15">
      <c r="B2" s="534" t="s">
        <v>3089</v>
      </c>
      <c r="C2" s="534" t="s">
        <v>3090</v>
      </c>
      <c r="D2" s="534" t="s">
        <v>3091</v>
      </c>
      <c r="E2" s="534" t="s">
        <v>8573</v>
      </c>
      <c r="F2" s="534" t="s">
        <v>8570</v>
      </c>
      <c r="G2" s="534" t="s">
        <v>3092</v>
      </c>
      <c r="H2" s="534" t="s">
        <v>8981</v>
      </c>
      <c r="I2" s="534" t="s">
        <v>9834</v>
      </c>
      <c r="J2" s="534" t="s">
        <v>9835</v>
      </c>
      <c r="K2" s="534" t="s">
        <v>8926</v>
      </c>
      <c r="L2" s="534" t="s">
        <v>3093</v>
      </c>
      <c r="M2" s="534" t="s">
        <v>9833</v>
      </c>
    </row>
    <row r="3" spans="1:16" ht="15">
      <c r="B3" s="536" t="s">
        <v>9838</v>
      </c>
      <c r="C3" s="536" t="s">
        <v>9839</v>
      </c>
      <c r="D3" s="536" t="s">
        <v>9840</v>
      </c>
      <c r="E3" s="536" t="s">
        <v>9841</v>
      </c>
      <c r="F3" s="536" t="s">
        <v>9842</v>
      </c>
      <c r="G3" s="536" t="s">
        <v>8574</v>
      </c>
      <c r="H3" s="536" t="s">
        <v>9843</v>
      </c>
      <c r="I3" s="536" t="s">
        <v>8571</v>
      </c>
      <c r="J3" s="536" t="s">
        <v>9844</v>
      </c>
      <c r="K3" s="536" t="s">
        <v>9845</v>
      </c>
      <c r="L3" s="536" t="s">
        <v>8572</v>
      </c>
      <c r="M3" s="536" t="s">
        <v>9846</v>
      </c>
    </row>
    <row r="4" spans="1:16" ht="15.75">
      <c r="B4" s="534" t="s">
        <v>18</v>
      </c>
      <c r="C4" s="534" t="s">
        <v>6732</v>
      </c>
      <c r="D4" s="534" t="s">
        <v>6731</v>
      </c>
      <c r="E4" s="534" t="s">
        <v>6733</v>
      </c>
      <c r="F4" s="534" t="s">
        <v>6734</v>
      </c>
      <c r="G4" s="534" t="s">
        <v>6735</v>
      </c>
      <c r="H4" s="534" t="s">
        <v>2789</v>
      </c>
      <c r="I4" s="534" t="s">
        <v>6736</v>
      </c>
      <c r="J4" s="534" t="s">
        <v>9836</v>
      </c>
      <c r="K4" s="534" t="s">
        <v>9819</v>
      </c>
      <c r="L4" s="534" t="s">
        <v>6737</v>
      </c>
      <c r="M4" s="534" t="s">
        <v>9837</v>
      </c>
      <c r="P4" s="441"/>
    </row>
    <row r="5" spans="1:16" ht="15.75">
      <c r="A5" s="440">
        <v>1</v>
      </c>
      <c r="B5" s="442" t="s">
        <v>12911</v>
      </c>
      <c r="C5" s="442" t="s">
        <v>12966</v>
      </c>
      <c r="D5" s="442" t="s">
        <v>13024</v>
      </c>
      <c r="E5" s="442" t="s">
        <v>12960</v>
      </c>
      <c r="F5" s="442" t="s">
        <v>12954</v>
      </c>
      <c r="G5" s="442" t="s">
        <v>12948</v>
      </c>
      <c r="H5" s="442" t="s">
        <v>12942</v>
      </c>
      <c r="I5" s="442" t="s">
        <v>12936</v>
      </c>
      <c r="J5" s="537" t="s">
        <v>12912</v>
      </c>
      <c r="K5" s="442" t="s">
        <v>12918</v>
      </c>
      <c r="L5" s="442" t="s">
        <v>12930</v>
      </c>
      <c r="M5" s="442" t="s">
        <v>12924</v>
      </c>
      <c r="P5" s="441"/>
    </row>
    <row r="6" spans="1:16" ht="15.75">
      <c r="A6" s="440">
        <v>2</v>
      </c>
      <c r="B6" s="537" t="s">
        <v>12908</v>
      </c>
      <c r="C6" s="442" t="s">
        <v>12967</v>
      </c>
      <c r="D6" s="442" t="s">
        <v>13019</v>
      </c>
      <c r="E6" s="442" t="s">
        <v>12961</v>
      </c>
      <c r="F6" s="442" t="s">
        <v>12955</v>
      </c>
      <c r="G6" s="442" t="s">
        <v>12949</v>
      </c>
      <c r="H6" s="442" t="s">
        <v>12943</v>
      </c>
      <c r="I6" s="442" t="s">
        <v>12937</v>
      </c>
      <c r="J6" s="537" t="s">
        <v>12913</v>
      </c>
      <c r="K6" s="442" t="s">
        <v>12919</v>
      </c>
      <c r="L6" s="442" t="s">
        <v>12931</v>
      </c>
      <c r="M6" s="442" t="s">
        <v>12925</v>
      </c>
      <c r="P6" s="441"/>
    </row>
    <row r="7" spans="1:16" ht="15.75">
      <c r="A7" s="440">
        <v>3</v>
      </c>
      <c r="B7" s="537" t="s">
        <v>12909</v>
      </c>
      <c r="C7" s="442" t="s">
        <v>12968</v>
      </c>
      <c r="D7" s="442" t="s">
        <v>13020</v>
      </c>
      <c r="E7" s="442" t="s">
        <v>12962</v>
      </c>
      <c r="F7" s="442" t="s">
        <v>12956</v>
      </c>
      <c r="G7" s="442" t="s">
        <v>12950</v>
      </c>
      <c r="H7" s="442" t="s">
        <v>12944</v>
      </c>
      <c r="I7" s="442" t="s">
        <v>12938</v>
      </c>
      <c r="J7" s="537" t="s">
        <v>12914</v>
      </c>
      <c r="K7" s="442" t="s">
        <v>12920</v>
      </c>
      <c r="L7" s="442" t="s">
        <v>12932</v>
      </c>
      <c r="M7" s="442" t="s">
        <v>12926</v>
      </c>
      <c r="P7" s="441"/>
    </row>
    <row r="8" spans="1:16" ht="15.75">
      <c r="A8" s="440">
        <v>4</v>
      </c>
      <c r="B8" s="537" t="s">
        <v>12795</v>
      </c>
      <c r="C8" s="442" t="s">
        <v>12969</v>
      </c>
      <c r="D8" s="442" t="s">
        <v>13021</v>
      </c>
      <c r="E8" s="442" t="s">
        <v>12963</v>
      </c>
      <c r="F8" s="442" t="s">
        <v>12957</v>
      </c>
      <c r="G8" s="442" t="s">
        <v>12951</v>
      </c>
      <c r="H8" s="442" t="s">
        <v>12945</v>
      </c>
      <c r="I8" s="442" t="s">
        <v>12939</v>
      </c>
      <c r="J8" s="537" t="s">
        <v>12915</v>
      </c>
      <c r="K8" s="442" t="s">
        <v>12921</v>
      </c>
      <c r="L8" s="442" t="s">
        <v>12933</v>
      </c>
      <c r="M8" s="442" t="s">
        <v>12927</v>
      </c>
      <c r="P8" s="441"/>
    </row>
    <row r="9" spans="1:16" ht="15.75">
      <c r="A9" s="440">
        <v>5</v>
      </c>
      <c r="B9" s="537" t="s">
        <v>12796</v>
      </c>
      <c r="C9" s="442" t="s">
        <v>12970</v>
      </c>
      <c r="D9" s="442" t="s">
        <v>13022</v>
      </c>
      <c r="E9" s="442" t="s">
        <v>12964</v>
      </c>
      <c r="F9" s="442" t="s">
        <v>12958</v>
      </c>
      <c r="G9" s="442" t="s">
        <v>12952</v>
      </c>
      <c r="H9" s="442" t="s">
        <v>12946</v>
      </c>
      <c r="I9" s="442" t="s">
        <v>12940</v>
      </c>
      <c r="J9" s="537" t="s">
        <v>12916</v>
      </c>
      <c r="K9" s="442" t="s">
        <v>12922</v>
      </c>
      <c r="L9" s="442" t="s">
        <v>12934</v>
      </c>
      <c r="M9" s="442" t="s">
        <v>12928</v>
      </c>
      <c r="P9" s="441"/>
    </row>
    <row r="10" spans="1:16" ht="15.75">
      <c r="A10" s="440">
        <v>6</v>
      </c>
      <c r="B10" s="537" t="s">
        <v>12910</v>
      </c>
      <c r="C10" s="442" t="s">
        <v>12971</v>
      </c>
      <c r="D10" s="442" t="s">
        <v>13023</v>
      </c>
      <c r="E10" s="442" t="s">
        <v>12965</v>
      </c>
      <c r="F10" s="442" t="s">
        <v>12959</v>
      </c>
      <c r="G10" s="442" t="s">
        <v>12953</v>
      </c>
      <c r="H10" s="442" t="s">
        <v>12947</v>
      </c>
      <c r="I10" s="442" t="s">
        <v>12941</v>
      </c>
      <c r="J10" s="537" t="s">
        <v>12917</v>
      </c>
      <c r="K10" s="442" t="s">
        <v>12923</v>
      </c>
      <c r="L10" s="442" t="s">
        <v>12935</v>
      </c>
      <c r="M10" s="442" t="s">
        <v>12929</v>
      </c>
      <c r="P10" s="441"/>
    </row>
    <row r="11" spans="1:16" ht="15.75">
      <c r="A11" s="440">
        <v>7</v>
      </c>
      <c r="B11" s="537" t="s">
        <v>12981</v>
      </c>
      <c r="C11" s="442" t="s">
        <v>12992</v>
      </c>
      <c r="D11" s="442" t="s">
        <v>12991</v>
      </c>
      <c r="E11" s="442" t="s">
        <v>12990</v>
      </c>
      <c r="F11" s="442" t="s">
        <v>12989</v>
      </c>
      <c r="G11" s="442" t="s">
        <v>12988</v>
      </c>
      <c r="H11" s="442" t="s">
        <v>12987</v>
      </c>
      <c r="I11" s="442" t="s">
        <v>12986</v>
      </c>
      <c r="J11" s="442" t="s">
        <v>12985</v>
      </c>
      <c r="K11" s="442" t="s">
        <v>12984</v>
      </c>
      <c r="L11" s="442" t="s">
        <v>12983</v>
      </c>
      <c r="M11" s="442" t="s">
        <v>12982</v>
      </c>
      <c r="P11" s="441"/>
    </row>
    <row r="12" spans="1:16" ht="15">
      <c r="A12" s="440">
        <v>8</v>
      </c>
      <c r="B12" s="538" t="s">
        <v>2365</v>
      </c>
      <c r="C12" s="539" t="s">
        <v>9110</v>
      </c>
      <c r="D12" s="540" t="s">
        <v>3040</v>
      </c>
      <c r="E12" s="538" t="s">
        <v>9185</v>
      </c>
      <c r="F12" s="538" t="s">
        <v>13259</v>
      </c>
      <c r="G12" s="538" t="s">
        <v>11220</v>
      </c>
      <c r="H12" s="538" t="s">
        <v>9111</v>
      </c>
      <c r="I12" s="538" t="s">
        <v>13198</v>
      </c>
      <c r="J12" s="538" t="s">
        <v>13300</v>
      </c>
      <c r="K12" s="538" t="s">
        <v>9228</v>
      </c>
      <c r="L12" s="538" t="s">
        <v>9040</v>
      </c>
      <c r="M12" s="538" t="s">
        <v>11264</v>
      </c>
      <c r="P12">
        <v>1</v>
      </c>
    </row>
    <row r="13" spans="1:16" ht="15">
      <c r="A13" s="440">
        <v>9</v>
      </c>
      <c r="B13" s="538" t="s">
        <v>12279</v>
      </c>
      <c r="C13" s="539" t="s">
        <v>12288</v>
      </c>
      <c r="D13" s="540" t="s">
        <v>12280</v>
      </c>
      <c r="E13" s="538" t="s">
        <v>12287</v>
      </c>
      <c r="F13" s="538" t="s">
        <v>12286</v>
      </c>
      <c r="G13" s="538" t="s">
        <v>12285</v>
      </c>
      <c r="H13" s="538" t="s">
        <v>12284</v>
      </c>
      <c r="I13" s="538" t="s">
        <v>13199</v>
      </c>
      <c r="J13" s="538" t="s">
        <v>13301</v>
      </c>
      <c r="K13" s="538" t="s">
        <v>12283</v>
      </c>
      <c r="L13" s="538" t="s">
        <v>12282</v>
      </c>
      <c r="M13" s="538" t="s">
        <v>12281</v>
      </c>
      <c r="P13">
        <v>2</v>
      </c>
    </row>
    <row r="14" spans="1:16" ht="15">
      <c r="A14" s="440">
        <v>10</v>
      </c>
      <c r="C14" s="539"/>
      <c r="D14" s="540"/>
      <c r="P14">
        <v>3</v>
      </c>
    </row>
    <row r="15" spans="1:16" ht="15">
      <c r="A15" s="440">
        <v>11</v>
      </c>
      <c r="B15" s="538" t="s">
        <v>13004</v>
      </c>
      <c r="C15" s="538" t="s">
        <v>13005</v>
      </c>
      <c r="D15" s="540" t="s">
        <v>13006</v>
      </c>
      <c r="E15" s="538" t="s">
        <v>13007</v>
      </c>
      <c r="F15" s="538" t="s">
        <v>13260</v>
      </c>
      <c r="G15" s="538" t="s">
        <v>13008</v>
      </c>
      <c r="H15" s="538" t="s">
        <v>13009</v>
      </c>
      <c r="I15" s="538" t="s">
        <v>13200</v>
      </c>
      <c r="J15" s="538" t="s">
        <v>13302</v>
      </c>
      <c r="K15" s="538" t="s">
        <v>13010</v>
      </c>
      <c r="L15" s="538" t="s">
        <v>13011</v>
      </c>
      <c r="M15" s="538" t="s">
        <v>11982</v>
      </c>
      <c r="P15">
        <v>4</v>
      </c>
    </row>
    <row r="16" spans="1:16" ht="15">
      <c r="A16" s="440">
        <v>12</v>
      </c>
      <c r="B16" s="538" t="s">
        <v>9041</v>
      </c>
      <c r="C16" s="538" t="s">
        <v>12681</v>
      </c>
      <c r="D16" s="540" t="s">
        <v>11215</v>
      </c>
      <c r="E16" s="538" t="s">
        <v>9186</v>
      </c>
      <c r="F16" s="538" t="s">
        <v>13261</v>
      </c>
      <c r="G16" s="538" t="s">
        <v>11221</v>
      </c>
      <c r="H16" s="538" t="s">
        <v>9112</v>
      </c>
      <c r="I16" s="538" t="s">
        <v>13201</v>
      </c>
      <c r="J16" s="538" t="s">
        <v>13303</v>
      </c>
      <c r="K16" s="538" t="s">
        <v>9229</v>
      </c>
      <c r="L16" s="538" t="s">
        <v>9042</v>
      </c>
      <c r="M16" s="538" t="s">
        <v>11265</v>
      </c>
      <c r="P16">
        <v>5</v>
      </c>
    </row>
    <row r="17" spans="1:16" ht="15">
      <c r="A17" s="440">
        <v>13</v>
      </c>
      <c r="B17" s="538" t="s">
        <v>9043</v>
      </c>
      <c r="C17" s="538" t="s">
        <v>12682</v>
      </c>
      <c r="D17" s="540" t="s">
        <v>11216</v>
      </c>
      <c r="E17" s="538" t="s">
        <v>9187</v>
      </c>
      <c r="F17" s="538" t="s">
        <v>13262</v>
      </c>
      <c r="G17" s="538" t="s">
        <v>11222</v>
      </c>
      <c r="H17" s="538" t="s">
        <v>9113</v>
      </c>
      <c r="I17" s="538" t="s">
        <v>13202</v>
      </c>
      <c r="J17" s="538" t="s">
        <v>13304</v>
      </c>
      <c r="K17" s="538" t="s">
        <v>9230</v>
      </c>
      <c r="L17" s="538" t="s">
        <v>9044</v>
      </c>
      <c r="M17" s="538" t="s">
        <v>11266</v>
      </c>
      <c r="P17">
        <v>6</v>
      </c>
    </row>
    <row r="18" spans="1:16" ht="15">
      <c r="A18" s="440">
        <v>14</v>
      </c>
      <c r="B18" s="538" t="s">
        <v>9045</v>
      </c>
      <c r="C18" s="538" t="s">
        <v>12683</v>
      </c>
      <c r="D18" s="540" t="s">
        <v>11217</v>
      </c>
      <c r="E18" s="538" t="s">
        <v>9188</v>
      </c>
      <c r="F18" s="538" t="s">
        <v>13263</v>
      </c>
      <c r="G18" s="538" t="s">
        <v>11223</v>
      </c>
      <c r="H18" s="538" t="s">
        <v>9114</v>
      </c>
      <c r="I18" s="538" t="s">
        <v>13203</v>
      </c>
      <c r="J18" s="538" t="s">
        <v>13305</v>
      </c>
      <c r="K18" s="538" t="s">
        <v>9231</v>
      </c>
      <c r="L18" s="538" t="s">
        <v>9046</v>
      </c>
      <c r="M18" s="538" t="s">
        <v>11267</v>
      </c>
      <c r="P18">
        <v>7</v>
      </c>
    </row>
    <row r="19" spans="1:16" ht="15">
      <c r="A19" s="440">
        <v>15</v>
      </c>
      <c r="B19" s="538" t="s">
        <v>9047</v>
      </c>
      <c r="C19" s="538" t="s">
        <v>12684</v>
      </c>
      <c r="D19" s="540" t="s">
        <v>11218</v>
      </c>
      <c r="E19" s="538" t="s">
        <v>9189</v>
      </c>
      <c r="F19" s="538" t="s">
        <v>13264</v>
      </c>
      <c r="G19" s="538" t="s">
        <v>11224</v>
      </c>
      <c r="H19" s="538" t="s">
        <v>9115</v>
      </c>
      <c r="I19" s="538" t="s">
        <v>13204</v>
      </c>
      <c r="J19" s="538" t="s">
        <v>13306</v>
      </c>
      <c r="K19" s="538" t="s">
        <v>9232</v>
      </c>
      <c r="L19" s="538" t="s">
        <v>9048</v>
      </c>
      <c r="M19" s="538" t="s">
        <v>11268</v>
      </c>
      <c r="P19">
        <v>8</v>
      </c>
    </row>
    <row r="20" spans="1:16" ht="15">
      <c r="A20" s="440">
        <v>16</v>
      </c>
      <c r="B20" s="538" t="s">
        <v>9049</v>
      </c>
      <c r="C20" s="538" t="s">
        <v>12685</v>
      </c>
      <c r="D20" s="540" t="s">
        <v>11219</v>
      </c>
      <c r="E20" s="538" t="s">
        <v>9190</v>
      </c>
      <c r="F20" s="538" t="s">
        <v>13265</v>
      </c>
      <c r="G20" s="538" t="s">
        <v>11225</v>
      </c>
      <c r="H20" s="538" t="s">
        <v>9116</v>
      </c>
      <c r="I20" s="538" t="s">
        <v>13205</v>
      </c>
      <c r="J20" s="538" t="s">
        <v>13307</v>
      </c>
      <c r="K20" s="538" t="s">
        <v>9233</v>
      </c>
      <c r="L20" s="538" t="s">
        <v>9050</v>
      </c>
      <c r="M20" s="538" t="s">
        <v>11269</v>
      </c>
      <c r="P20">
        <v>9</v>
      </c>
    </row>
    <row r="21" spans="1:16" ht="15">
      <c r="A21" s="440">
        <v>17</v>
      </c>
      <c r="B21" s="538" t="s">
        <v>12444</v>
      </c>
      <c r="C21" s="538" t="s">
        <v>12445</v>
      </c>
      <c r="D21" s="540" t="s">
        <v>12446</v>
      </c>
      <c r="E21" s="538" t="s">
        <v>12447</v>
      </c>
      <c r="F21" s="538" t="s">
        <v>13266</v>
      </c>
      <c r="G21" s="538" t="s">
        <v>12448</v>
      </c>
      <c r="H21" s="538" t="s">
        <v>12449</v>
      </c>
      <c r="I21" s="538" t="s">
        <v>13206</v>
      </c>
      <c r="J21" s="538" t="s">
        <v>13308</v>
      </c>
      <c r="K21" s="538" t="s">
        <v>12450</v>
      </c>
      <c r="L21" s="538" t="s">
        <v>12451</v>
      </c>
      <c r="M21" s="538" t="s">
        <v>12452</v>
      </c>
      <c r="P21">
        <v>10</v>
      </c>
    </row>
    <row r="22" spans="1:16" ht="15">
      <c r="A22" s="440">
        <v>18</v>
      </c>
      <c r="B22" s="538" t="s">
        <v>12289</v>
      </c>
      <c r="C22" s="538" t="s">
        <v>12290</v>
      </c>
      <c r="D22" s="538" t="s">
        <v>12291</v>
      </c>
      <c r="E22" s="538" t="s">
        <v>12292</v>
      </c>
      <c r="F22" s="538" t="s">
        <v>12293</v>
      </c>
      <c r="G22" s="538" t="s">
        <v>12294</v>
      </c>
      <c r="H22" s="538" t="s">
        <v>12295</v>
      </c>
      <c r="I22" s="538" t="s">
        <v>13207</v>
      </c>
      <c r="J22" s="538" t="s">
        <v>13309</v>
      </c>
      <c r="K22" s="538" t="s">
        <v>12296</v>
      </c>
      <c r="L22" s="538" t="s">
        <v>12297</v>
      </c>
      <c r="M22" s="538" t="s">
        <v>12298</v>
      </c>
      <c r="P22">
        <v>11</v>
      </c>
    </row>
    <row r="23" spans="1:16" ht="15">
      <c r="A23" s="440">
        <v>19</v>
      </c>
      <c r="B23" s="538" t="s">
        <v>2893</v>
      </c>
      <c r="C23" s="538" t="s">
        <v>9117</v>
      </c>
      <c r="D23" s="540" t="s">
        <v>3041</v>
      </c>
      <c r="E23" s="538" t="s">
        <v>9191</v>
      </c>
      <c r="F23" s="538" t="s">
        <v>13267</v>
      </c>
      <c r="G23" s="538" t="s">
        <v>11226</v>
      </c>
      <c r="H23" s="538" t="s">
        <v>9118</v>
      </c>
      <c r="I23" s="538" t="s">
        <v>13208</v>
      </c>
      <c r="J23" s="538" t="s">
        <v>13310</v>
      </c>
      <c r="K23" s="538" t="s">
        <v>9234</v>
      </c>
      <c r="L23" s="538" t="s">
        <v>9051</v>
      </c>
      <c r="M23" s="538" t="s">
        <v>11270</v>
      </c>
      <c r="P23">
        <v>12</v>
      </c>
    </row>
    <row r="24" spans="1:16" ht="15">
      <c r="A24" s="440">
        <v>20</v>
      </c>
      <c r="B24" s="538" t="s">
        <v>12713</v>
      </c>
      <c r="C24" s="539" t="s">
        <v>12714</v>
      </c>
      <c r="D24" s="540" t="s">
        <v>12715</v>
      </c>
      <c r="E24" s="538" t="s">
        <v>12716</v>
      </c>
      <c r="F24" s="538" t="s">
        <v>12717</v>
      </c>
      <c r="G24" s="538" t="s">
        <v>12718</v>
      </c>
      <c r="H24" s="538" t="s">
        <v>12719</v>
      </c>
      <c r="I24" s="538" t="s">
        <v>13209</v>
      </c>
      <c r="J24" s="538" t="s">
        <v>13311</v>
      </c>
      <c r="K24" s="538" t="s">
        <v>12720</v>
      </c>
      <c r="L24" s="538" t="s">
        <v>12721</v>
      </c>
      <c r="M24" s="538" t="s">
        <v>12722</v>
      </c>
      <c r="P24">
        <v>13</v>
      </c>
    </row>
    <row r="25" spans="1:16" ht="15">
      <c r="A25" s="440">
        <v>21</v>
      </c>
      <c r="B25" s="538" t="s">
        <v>9052</v>
      </c>
      <c r="C25" s="538" t="s">
        <v>12680</v>
      </c>
      <c r="D25" s="540" t="s">
        <v>3042</v>
      </c>
      <c r="E25" s="538" t="s">
        <v>9192</v>
      </c>
      <c r="F25" s="538" t="s">
        <v>13148</v>
      </c>
      <c r="G25" s="538" t="s">
        <v>11227</v>
      </c>
      <c r="H25" s="538" t="s">
        <v>9119</v>
      </c>
      <c r="I25" s="538" t="s">
        <v>13210</v>
      </c>
      <c r="J25" s="538" t="s">
        <v>13312</v>
      </c>
      <c r="K25" s="538" t="s">
        <v>9235</v>
      </c>
      <c r="L25" s="538" t="s">
        <v>9053</v>
      </c>
      <c r="M25" s="538" t="s">
        <v>11271</v>
      </c>
      <c r="P25">
        <v>14</v>
      </c>
    </row>
    <row r="26" spans="1:16" ht="15">
      <c r="A26" s="440">
        <v>22</v>
      </c>
      <c r="B26" s="538" t="s">
        <v>9054</v>
      </c>
      <c r="C26" s="538" t="s">
        <v>9120</v>
      </c>
      <c r="D26" s="540" t="s">
        <v>3043</v>
      </c>
      <c r="E26" s="538" t="s">
        <v>9193</v>
      </c>
      <c r="F26" s="538" t="s">
        <v>13149</v>
      </c>
      <c r="G26" s="538" t="s">
        <v>11228</v>
      </c>
      <c r="H26" s="538" t="s">
        <v>9121</v>
      </c>
      <c r="I26" s="538" t="s">
        <v>13211</v>
      </c>
      <c r="J26" s="538" t="s">
        <v>13313</v>
      </c>
      <c r="K26" s="538" t="s">
        <v>9236</v>
      </c>
      <c r="L26" s="538" t="s">
        <v>9055</v>
      </c>
      <c r="M26" s="538" t="s">
        <v>11272</v>
      </c>
      <c r="P26">
        <v>15</v>
      </c>
    </row>
    <row r="27" spans="1:16" ht="15">
      <c r="A27" s="440">
        <v>23</v>
      </c>
      <c r="B27" s="538" t="s">
        <v>2366</v>
      </c>
      <c r="C27" s="538" t="s">
        <v>9122</v>
      </c>
      <c r="D27" s="540" t="s">
        <v>3044</v>
      </c>
      <c r="E27" s="538" t="s">
        <v>9194</v>
      </c>
      <c r="F27" s="538" t="s">
        <v>13150</v>
      </c>
      <c r="G27" s="538" t="s">
        <v>11229</v>
      </c>
      <c r="H27" s="538" t="s">
        <v>9123</v>
      </c>
      <c r="I27" s="538" t="s">
        <v>13212</v>
      </c>
      <c r="J27" s="538" t="s">
        <v>13314</v>
      </c>
      <c r="K27" s="538" t="s">
        <v>9237</v>
      </c>
      <c r="L27" s="538" t="s">
        <v>9056</v>
      </c>
      <c r="M27" s="538" t="s">
        <v>11273</v>
      </c>
      <c r="P27">
        <v>16</v>
      </c>
    </row>
    <row r="28" spans="1:16" ht="15">
      <c r="A28" s="440">
        <v>146</v>
      </c>
      <c r="B28" s="538" t="s">
        <v>13435</v>
      </c>
      <c r="C28" s="538" t="s">
        <v>13468</v>
      </c>
      <c r="D28" s="540" t="s">
        <v>13465</v>
      </c>
      <c r="E28" s="538" t="s">
        <v>13462</v>
      </c>
      <c r="F28" s="538" t="s">
        <v>13459</v>
      </c>
      <c r="G28" s="538" t="s">
        <v>13456</v>
      </c>
      <c r="H28" s="538" t="s">
        <v>13438</v>
      </c>
      <c r="I28" s="538" t="s">
        <v>13441</v>
      </c>
      <c r="J28" s="538" t="s">
        <v>13444</v>
      </c>
      <c r="K28" s="538" t="s">
        <v>13447</v>
      </c>
      <c r="L28" s="538" t="s">
        <v>13450</v>
      </c>
      <c r="M28" s="538" t="s">
        <v>13453</v>
      </c>
    </row>
    <row r="29" spans="1:16" ht="15">
      <c r="A29" s="440">
        <v>147</v>
      </c>
      <c r="B29" s="538" t="s">
        <v>13436</v>
      </c>
      <c r="C29" s="538" t="s">
        <v>13469</v>
      </c>
      <c r="D29" s="540" t="s">
        <v>13466</v>
      </c>
      <c r="E29" s="538" t="s">
        <v>13463</v>
      </c>
      <c r="F29" s="538" t="s">
        <v>13460</v>
      </c>
      <c r="G29" s="538" t="s">
        <v>13457</v>
      </c>
      <c r="H29" s="538" t="s">
        <v>13439</v>
      </c>
      <c r="I29" s="538" t="s">
        <v>13442</v>
      </c>
      <c r="J29" s="538" t="s">
        <v>13445</v>
      </c>
      <c r="K29" s="538" t="s">
        <v>13448</v>
      </c>
      <c r="L29" s="538" t="s">
        <v>13451</v>
      </c>
      <c r="M29" s="538" t="s">
        <v>13454</v>
      </c>
    </row>
    <row r="30" spans="1:16" ht="15">
      <c r="A30" s="440">
        <v>148</v>
      </c>
      <c r="B30" s="538" t="s">
        <v>13437</v>
      </c>
      <c r="C30" s="538" t="s">
        <v>13470</v>
      </c>
      <c r="D30" s="540" t="s">
        <v>13467</v>
      </c>
      <c r="E30" s="538" t="s">
        <v>13464</v>
      </c>
      <c r="F30" s="538" t="s">
        <v>13461</v>
      </c>
      <c r="G30" s="538" t="s">
        <v>13458</v>
      </c>
      <c r="H30" s="538" t="s">
        <v>13440</v>
      </c>
      <c r="I30" s="538" t="s">
        <v>13443</v>
      </c>
      <c r="J30" s="538" t="s">
        <v>13446</v>
      </c>
      <c r="K30" s="538" t="s">
        <v>13449</v>
      </c>
      <c r="L30" s="538" t="s">
        <v>13452</v>
      </c>
      <c r="M30" s="538" t="s">
        <v>13455</v>
      </c>
    </row>
    <row r="31" spans="1:16" ht="15">
      <c r="A31" s="440">
        <v>24</v>
      </c>
      <c r="B31" s="538" t="s">
        <v>698</v>
      </c>
      <c r="C31" s="538" t="s">
        <v>11981</v>
      </c>
      <c r="D31" s="540" t="s">
        <v>11981</v>
      </c>
      <c r="E31" s="538" t="s">
        <v>11981</v>
      </c>
      <c r="F31" s="538" t="s">
        <v>11981</v>
      </c>
      <c r="G31" s="538" t="s">
        <v>11981</v>
      </c>
      <c r="H31" s="538" t="s">
        <v>11981</v>
      </c>
      <c r="I31" s="538" t="s">
        <v>698</v>
      </c>
      <c r="J31" s="538" t="s">
        <v>11981</v>
      </c>
      <c r="K31" s="538" t="s">
        <v>11981</v>
      </c>
      <c r="L31" s="538" t="str">
        <f>B31</f>
        <v xml:space="preserve"> </v>
      </c>
      <c r="M31" s="538" t="str">
        <f>B31</f>
        <v xml:space="preserve"> </v>
      </c>
      <c r="P31">
        <v>17</v>
      </c>
    </row>
    <row r="32" spans="1:16" ht="15">
      <c r="A32" s="440">
        <v>25</v>
      </c>
      <c r="B32" s="538" t="s">
        <v>2379</v>
      </c>
      <c r="C32" s="538" t="s">
        <v>13053</v>
      </c>
      <c r="D32" s="540" t="s">
        <v>13025</v>
      </c>
      <c r="E32" s="538" t="s">
        <v>13050</v>
      </c>
      <c r="F32" s="538" t="s">
        <v>13047</v>
      </c>
      <c r="G32" s="538" t="s">
        <v>13031</v>
      </c>
      <c r="H32" s="538" t="s">
        <v>13028</v>
      </c>
      <c r="I32" s="538" t="s">
        <v>13037</v>
      </c>
      <c r="J32" s="538" t="s">
        <v>13038</v>
      </c>
      <c r="K32" s="538" t="s">
        <v>13041</v>
      </c>
      <c r="L32" s="538" t="s">
        <v>13034</v>
      </c>
      <c r="M32" s="538" t="s">
        <v>13044</v>
      </c>
      <c r="P32">
        <v>18</v>
      </c>
    </row>
    <row r="33" spans="1:16" ht="15">
      <c r="A33" s="440">
        <v>26</v>
      </c>
      <c r="B33" s="538" t="s">
        <v>13056</v>
      </c>
      <c r="C33" s="538" t="s">
        <v>13057</v>
      </c>
      <c r="D33" s="540" t="s">
        <v>13058</v>
      </c>
      <c r="E33" s="538" t="s">
        <v>13059</v>
      </c>
      <c r="F33" s="538" t="s">
        <v>13060</v>
      </c>
      <c r="G33" s="538" t="s">
        <v>13061</v>
      </c>
      <c r="H33" s="538" t="s">
        <v>13062</v>
      </c>
      <c r="I33" s="538" t="s">
        <v>13213</v>
      </c>
      <c r="J33" s="538" t="s">
        <v>13063</v>
      </c>
      <c r="K33" s="538" t="s">
        <v>13064</v>
      </c>
      <c r="L33" s="538" t="s">
        <v>13065</v>
      </c>
      <c r="M33" s="538" t="s">
        <v>13066</v>
      </c>
      <c r="P33">
        <v>19</v>
      </c>
    </row>
    <row r="34" spans="1:16" ht="15">
      <c r="A34" s="440">
        <v>27</v>
      </c>
      <c r="B34" s="538" t="s">
        <v>9057</v>
      </c>
      <c r="C34" s="538" t="s">
        <v>13054</v>
      </c>
      <c r="D34" s="540" t="s">
        <v>13026</v>
      </c>
      <c r="E34" s="538" t="s">
        <v>13051</v>
      </c>
      <c r="F34" s="538" t="s">
        <v>13048</v>
      </c>
      <c r="G34" s="538" t="s">
        <v>13032</v>
      </c>
      <c r="H34" s="538" t="s">
        <v>13029</v>
      </c>
      <c r="I34" s="538" t="s">
        <v>13214</v>
      </c>
      <c r="J34" s="538" t="s">
        <v>13039</v>
      </c>
      <c r="K34" s="538" t="s">
        <v>13042</v>
      </c>
      <c r="L34" s="538" t="s">
        <v>13035</v>
      </c>
      <c r="M34" s="538" t="s">
        <v>13045</v>
      </c>
      <c r="P34">
        <v>20</v>
      </c>
    </row>
    <row r="35" spans="1:16" ht="15">
      <c r="A35" s="440">
        <v>28</v>
      </c>
      <c r="B35" s="538" t="s">
        <v>9058</v>
      </c>
      <c r="C35" s="538" t="s">
        <v>13055</v>
      </c>
      <c r="D35" s="540" t="s">
        <v>13027</v>
      </c>
      <c r="E35" s="538" t="s">
        <v>13052</v>
      </c>
      <c r="F35" s="538" t="s">
        <v>13049</v>
      </c>
      <c r="G35" s="538" t="s">
        <v>13033</v>
      </c>
      <c r="H35" s="538" t="s">
        <v>13030</v>
      </c>
      <c r="I35" s="538" t="s">
        <v>13215</v>
      </c>
      <c r="J35" s="538" t="s">
        <v>13040</v>
      </c>
      <c r="K35" s="538" t="s">
        <v>13043</v>
      </c>
      <c r="L35" s="538" t="s">
        <v>13036</v>
      </c>
      <c r="M35" s="538" t="s">
        <v>13046</v>
      </c>
      <c r="P35">
        <v>21</v>
      </c>
    </row>
    <row r="36" spans="1:16" ht="15">
      <c r="A36" s="440">
        <v>29</v>
      </c>
      <c r="B36" s="538" t="s">
        <v>13389</v>
      </c>
      <c r="C36" s="539" t="s">
        <v>13400</v>
      </c>
      <c r="D36" s="540" t="s">
        <v>13390</v>
      </c>
      <c r="E36" s="538" t="s">
        <v>13399</v>
      </c>
      <c r="F36" s="538" t="s">
        <v>13398</v>
      </c>
      <c r="G36" s="538" t="s">
        <v>13397</v>
      </c>
      <c r="H36" s="538" t="s">
        <v>13396</v>
      </c>
      <c r="I36" s="538" t="s">
        <v>13395</v>
      </c>
      <c r="J36" s="538" t="s">
        <v>13391</v>
      </c>
      <c r="K36" s="538" t="s">
        <v>13394</v>
      </c>
      <c r="L36" s="538" t="s">
        <v>13393</v>
      </c>
      <c r="M36" s="538" t="s">
        <v>13392</v>
      </c>
      <c r="P36">
        <v>22</v>
      </c>
    </row>
    <row r="37" spans="1:16" ht="15">
      <c r="A37" s="440">
        <v>30</v>
      </c>
      <c r="B37" s="538" t="s">
        <v>13095</v>
      </c>
      <c r="C37" s="539" t="s">
        <v>13088</v>
      </c>
      <c r="D37" s="540" t="s">
        <v>13096</v>
      </c>
      <c r="E37" s="538" t="s">
        <v>13089</v>
      </c>
      <c r="F37" s="538" t="s">
        <v>13090</v>
      </c>
      <c r="G37" s="538" t="s">
        <v>13097</v>
      </c>
      <c r="H37" s="538" t="s">
        <v>13098</v>
      </c>
      <c r="I37" s="538" t="s">
        <v>13216</v>
      </c>
      <c r="J37" s="538" t="s">
        <v>13091</v>
      </c>
      <c r="K37" s="538" t="s">
        <v>13092</v>
      </c>
      <c r="L37" s="538" t="s">
        <v>13093</v>
      </c>
      <c r="M37" s="538" t="s">
        <v>13094</v>
      </c>
      <c r="P37">
        <v>23</v>
      </c>
    </row>
    <row r="38" spans="1:16" ht="15">
      <c r="A38" s="440">
        <v>31</v>
      </c>
      <c r="B38" s="538" t="s">
        <v>2463</v>
      </c>
      <c r="C38" s="538" t="s">
        <v>13067</v>
      </c>
      <c r="D38" s="540" t="s">
        <v>13086</v>
      </c>
      <c r="E38" s="538" t="s">
        <v>13069</v>
      </c>
      <c r="F38" s="538" t="s">
        <v>13071</v>
      </c>
      <c r="G38" s="538" t="s">
        <v>13082</v>
      </c>
      <c r="H38" s="538" t="s">
        <v>13084</v>
      </c>
      <c r="I38" s="538" t="s">
        <v>13217</v>
      </c>
      <c r="J38" s="538" t="s">
        <v>13080</v>
      </c>
      <c r="K38" s="538" t="s">
        <v>13073</v>
      </c>
      <c r="L38" s="538" t="s">
        <v>13077</v>
      </c>
      <c r="M38" s="538" t="s">
        <v>13075</v>
      </c>
      <c r="P38">
        <v>24</v>
      </c>
    </row>
    <row r="39" spans="1:16" ht="15">
      <c r="A39" s="440">
        <v>32</v>
      </c>
      <c r="B39" s="538" t="s">
        <v>2464</v>
      </c>
      <c r="C39" s="539" t="s">
        <v>13068</v>
      </c>
      <c r="D39" s="540" t="s">
        <v>13087</v>
      </c>
      <c r="E39" s="538" t="s">
        <v>13070</v>
      </c>
      <c r="F39" s="538" t="s">
        <v>13072</v>
      </c>
      <c r="G39" s="538" t="s">
        <v>13083</v>
      </c>
      <c r="H39" s="538" t="s">
        <v>13085</v>
      </c>
      <c r="I39" s="538" t="s">
        <v>13079</v>
      </c>
      <c r="J39" s="538" t="s">
        <v>13081</v>
      </c>
      <c r="K39" s="538" t="s">
        <v>13074</v>
      </c>
      <c r="L39" s="538" t="s">
        <v>13078</v>
      </c>
      <c r="M39" s="538" t="s">
        <v>13076</v>
      </c>
      <c r="P39">
        <v>25</v>
      </c>
    </row>
    <row r="40" spans="1:16" ht="15">
      <c r="A40" s="440">
        <v>33</v>
      </c>
      <c r="B40" s="538" t="s">
        <v>698</v>
      </c>
      <c r="C40" s="539"/>
      <c r="D40" s="540"/>
      <c r="I40" s="538" t="s">
        <v>698</v>
      </c>
      <c r="P40">
        <v>26</v>
      </c>
    </row>
    <row r="41" spans="1:16" ht="15">
      <c r="A41" s="440">
        <v>34</v>
      </c>
      <c r="B41" s="538" t="s">
        <v>9059</v>
      </c>
      <c r="C41" s="538" t="s">
        <v>13258</v>
      </c>
      <c r="D41" s="540" t="s">
        <v>13099</v>
      </c>
      <c r="E41" s="538" t="s">
        <v>13104</v>
      </c>
      <c r="F41" s="538" t="s">
        <v>13103</v>
      </c>
      <c r="G41" s="538" t="s">
        <v>13101</v>
      </c>
      <c r="H41" s="538" t="s">
        <v>13100</v>
      </c>
      <c r="I41" s="538" t="s">
        <v>13218</v>
      </c>
      <c r="J41" s="538" t="s">
        <v>13102</v>
      </c>
      <c r="K41" s="538" t="s">
        <v>13105</v>
      </c>
      <c r="L41" s="538" t="s">
        <v>13106</v>
      </c>
      <c r="M41" s="538" t="s">
        <v>13107</v>
      </c>
      <c r="P41">
        <v>27</v>
      </c>
    </row>
    <row r="42" spans="1:16" ht="15">
      <c r="A42" s="440">
        <v>35</v>
      </c>
      <c r="B42" s="538" t="s">
        <v>698</v>
      </c>
      <c r="D42" s="540"/>
      <c r="I42" s="538" t="s">
        <v>698</v>
      </c>
      <c r="P42">
        <v>28</v>
      </c>
    </row>
    <row r="43" spans="1:16" ht="15">
      <c r="A43" s="440">
        <v>36</v>
      </c>
      <c r="B43" s="538" t="s">
        <v>2376</v>
      </c>
      <c r="C43" s="539" t="s">
        <v>9124</v>
      </c>
      <c r="D43" s="540" t="s">
        <v>3045</v>
      </c>
      <c r="E43" s="538" t="s">
        <v>9195</v>
      </c>
      <c r="F43" s="538" t="s">
        <v>13151</v>
      </c>
      <c r="G43" s="538" t="s">
        <v>11230</v>
      </c>
      <c r="H43" s="538" t="s">
        <v>9125</v>
      </c>
      <c r="I43" s="538" t="s">
        <v>13219</v>
      </c>
      <c r="J43" s="538" t="s">
        <v>13315</v>
      </c>
      <c r="K43" s="538" t="s">
        <v>9238</v>
      </c>
      <c r="L43" s="538" t="s">
        <v>9060</v>
      </c>
      <c r="M43" s="538" t="s">
        <v>11274</v>
      </c>
      <c r="P43">
        <v>29</v>
      </c>
    </row>
    <row r="44" spans="1:16" ht="15">
      <c r="A44" s="440">
        <v>37</v>
      </c>
      <c r="B44" s="538" t="s">
        <v>698</v>
      </c>
      <c r="C44" s="538" t="s">
        <v>11981</v>
      </c>
      <c r="D44" s="540" t="s">
        <v>11981</v>
      </c>
      <c r="E44" s="538" t="s">
        <v>11981</v>
      </c>
      <c r="F44" s="538" t="s">
        <v>11981</v>
      </c>
      <c r="G44" s="538" t="s">
        <v>11981</v>
      </c>
      <c r="H44" s="538" t="s">
        <v>11981</v>
      </c>
      <c r="I44" s="538" t="s">
        <v>698</v>
      </c>
      <c r="J44" s="538" t="s">
        <v>698</v>
      </c>
      <c r="K44" s="538" t="s">
        <v>11981</v>
      </c>
      <c r="L44" s="538" t="str">
        <f>B44</f>
        <v xml:space="preserve"> </v>
      </c>
      <c r="M44" s="538" t="str">
        <f>B44</f>
        <v xml:space="preserve"> </v>
      </c>
      <c r="P44">
        <v>30</v>
      </c>
    </row>
    <row r="45" spans="1:16" ht="15">
      <c r="A45" s="440">
        <v>38</v>
      </c>
      <c r="B45" s="538" t="s">
        <v>9061</v>
      </c>
      <c r="C45" s="539" t="s">
        <v>9126</v>
      </c>
      <c r="D45" s="540" t="s">
        <v>3046</v>
      </c>
      <c r="E45" s="538" t="s">
        <v>9196</v>
      </c>
      <c r="F45" s="538" t="s">
        <v>13152</v>
      </c>
      <c r="G45" s="538" t="s">
        <v>11231</v>
      </c>
      <c r="H45" s="538" t="s">
        <v>9127</v>
      </c>
      <c r="I45" s="538" t="s">
        <v>13220</v>
      </c>
      <c r="J45" s="538" t="s">
        <v>13316</v>
      </c>
      <c r="K45" s="538" t="s">
        <v>9239</v>
      </c>
      <c r="L45" s="538" t="s">
        <v>9062</v>
      </c>
      <c r="M45" s="538" t="s">
        <v>11275</v>
      </c>
      <c r="P45">
        <v>31</v>
      </c>
    </row>
    <row r="46" spans="1:16" ht="15">
      <c r="A46" s="440">
        <v>39</v>
      </c>
      <c r="B46" s="538" t="s">
        <v>9063</v>
      </c>
      <c r="C46" s="539" t="s">
        <v>9128</v>
      </c>
      <c r="D46" s="540" t="s">
        <v>3047</v>
      </c>
      <c r="E46" s="538" t="s">
        <v>9197</v>
      </c>
      <c r="F46" s="538" t="s">
        <v>13153</v>
      </c>
      <c r="G46" s="538" t="s">
        <v>11232</v>
      </c>
      <c r="H46" s="538" t="s">
        <v>9129</v>
      </c>
      <c r="I46" s="538" t="s">
        <v>13221</v>
      </c>
      <c r="J46" s="538" t="s">
        <v>13317</v>
      </c>
      <c r="K46" s="538" t="s">
        <v>9240</v>
      </c>
      <c r="L46" s="538" t="s">
        <v>9064</v>
      </c>
      <c r="M46" s="538" t="s">
        <v>11276</v>
      </c>
      <c r="P46">
        <v>32</v>
      </c>
    </row>
    <row r="47" spans="1:16" ht="15">
      <c r="A47" s="440">
        <v>40</v>
      </c>
      <c r="B47" s="538" t="s">
        <v>9065</v>
      </c>
      <c r="C47" s="538" t="s">
        <v>9130</v>
      </c>
      <c r="D47" s="540" t="s">
        <v>3048</v>
      </c>
      <c r="E47" s="538" t="s">
        <v>9198</v>
      </c>
      <c r="F47" s="538" t="s">
        <v>13154</v>
      </c>
      <c r="G47" s="538" t="s">
        <v>11233</v>
      </c>
      <c r="H47" s="538" t="s">
        <v>9131</v>
      </c>
      <c r="I47" s="538" t="s">
        <v>13222</v>
      </c>
      <c r="J47" s="538" t="s">
        <v>13318</v>
      </c>
      <c r="K47" s="538" t="s">
        <v>9241</v>
      </c>
      <c r="L47" s="538" t="s">
        <v>9066</v>
      </c>
      <c r="M47" s="538" t="s">
        <v>11277</v>
      </c>
      <c r="P47">
        <v>33</v>
      </c>
    </row>
    <row r="48" spans="1:16" ht="15">
      <c r="A48" s="440">
        <v>41</v>
      </c>
      <c r="B48" s="538" t="s">
        <v>698</v>
      </c>
      <c r="C48" s="538" t="s">
        <v>11981</v>
      </c>
      <c r="D48" s="540" t="s">
        <v>11981</v>
      </c>
      <c r="E48" s="538" t="s">
        <v>11981</v>
      </c>
      <c r="F48" s="538" t="s">
        <v>11981</v>
      </c>
      <c r="G48" s="538" t="s">
        <v>11981</v>
      </c>
      <c r="H48" s="538" t="s">
        <v>11981</v>
      </c>
      <c r="I48" s="538" t="s">
        <v>698</v>
      </c>
      <c r="J48" s="538" t="s">
        <v>698</v>
      </c>
      <c r="K48" s="538" t="s">
        <v>11981</v>
      </c>
      <c r="L48" s="538" t="str">
        <f>B48</f>
        <v xml:space="preserve"> </v>
      </c>
      <c r="M48" s="538" t="str">
        <f>B48</f>
        <v xml:space="preserve"> </v>
      </c>
      <c r="P48">
        <v>34</v>
      </c>
    </row>
    <row r="49" spans="1:16" ht="15">
      <c r="A49" s="440">
        <v>42</v>
      </c>
      <c r="B49" s="538" t="s">
        <v>2377</v>
      </c>
      <c r="C49" s="539" t="s">
        <v>9132</v>
      </c>
      <c r="D49" s="540" t="s">
        <v>3049</v>
      </c>
      <c r="E49" s="538" t="s">
        <v>9199</v>
      </c>
      <c r="F49" s="538" t="s">
        <v>13155</v>
      </c>
      <c r="G49" s="538" t="s">
        <v>11234</v>
      </c>
      <c r="H49" s="538" t="s">
        <v>9133</v>
      </c>
      <c r="I49" s="538" t="s">
        <v>13223</v>
      </c>
      <c r="J49" s="538" t="s">
        <v>13319</v>
      </c>
      <c r="K49" s="538" t="s">
        <v>9242</v>
      </c>
      <c r="L49" s="538" t="s">
        <v>9067</v>
      </c>
      <c r="M49" s="538" t="s">
        <v>11278</v>
      </c>
      <c r="P49">
        <v>35</v>
      </c>
    </row>
    <row r="50" spans="1:16" ht="15">
      <c r="A50" s="440">
        <v>43</v>
      </c>
      <c r="B50" s="538" t="s">
        <v>12489</v>
      </c>
      <c r="C50" s="539" t="s">
        <v>12499</v>
      </c>
      <c r="D50" s="538" t="s">
        <v>12498</v>
      </c>
      <c r="E50" s="538" t="s">
        <v>12497</v>
      </c>
      <c r="F50" s="538" t="s">
        <v>12496</v>
      </c>
      <c r="G50" s="538" t="s">
        <v>12495</v>
      </c>
      <c r="H50" s="538" t="s">
        <v>12494</v>
      </c>
      <c r="I50" s="538" t="s">
        <v>13224</v>
      </c>
      <c r="J50" s="538" t="s">
        <v>12493</v>
      </c>
      <c r="K50" s="538" t="s">
        <v>12492</v>
      </c>
      <c r="L50" s="538" t="s">
        <v>12491</v>
      </c>
      <c r="M50" s="538" t="s">
        <v>12490</v>
      </c>
      <c r="P50">
        <v>36</v>
      </c>
    </row>
    <row r="51" spans="1:16" s="439" customFormat="1" ht="15">
      <c r="A51" s="440">
        <v>44</v>
      </c>
      <c r="B51" s="538" t="s">
        <v>2895</v>
      </c>
      <c r="C51" s="538" t="s">
        <v>12583</v>
      </c>
      <c r="D51" s="540" t="s">
        <v>12596</v>
      </c>
      <c r="E51" s="538" t="s">
        <v>12608</v>
      </c>
      <c r="F51" s="538" t="s">
        <v>13156</v>
      </c>
      <c r="G51" s="538" t="s">
        <v>12620</v>
      </c>
      <c r="H51" s="538" t="s">
        <v>12632</v>
      </c>
      <c r="I51" s="538" t="s">
        <v>13225</v>
      </c>
      <c r="J51" s="538" t="s">
        <v>13320</v>
      </c>
      <c r="K51" s="538" t="s">
        <v>12643</v>
      </c>
      <c r="L51" s="538" t="s">
        <v>12654</v>
      </c>
      <c r="M51" s="538" t="s">
        <v>12666</v>
      </c>
      <c r="N51" s="440"/>
      <c r="O51" s="440"/>
      <c r="P51">
        <v>37</v>
      </c>
    </row>
    <row r="52" spans="1:16" s="185" customFormat="1" ht="15">
      <c r="A52" s="440">
        <v>45</v>
      </c>
      <c r="B52" s="538" t="s">
        <v>12301</v>
      </c>
      <c r="C52" s="538" t="s">
        <v>12584</v>
      </c>
      <c r="D52" s="540" t="s">
        <v>12597</v>
      </c>
      <c r="E52" s="538" t="s">
        <v>12609</v>
      </c>
      <c r="F52" s="538" t="s">
        <v>13157</v>
      </c>
      <c r="G52" s="538" t="s">
        <v>12621</v>
      </c>
      <c r="H52" s="538" t="s">
        <v>13268</v>
      </c>
      <c r="I52" s="538" t="s">
        <v>13226</v>
      </c>
      <c r="J52" s="538" t="s">
        <v>13321</v>
      </c>
      <c r="K52" s="538" t="s">
        <v>13375</v>
      </c>
      <c r="L52" s="538" t="s">
        <v>12655</v>
      </c>
      <c r="M52" s="538" t="s">
        <v>12667</v>
      </c>
      <c r="N52" s="440"/>
      <c r="O52" s="440"/>
      <c r="P52">
        <v>38</v>
      </c>
    </row>
    <row r="53" spans="1:16" ht="15">
      <c r="A53" s="440">
        <v>46</v>
      </c>
      <c r="B53" s="538" t="s">
        <v>2894</v>
      </c>
      <c r="C53" s="539" t="s">
        <v>12585</v>
      </c>
      <c r="D53" s="540" t="s">
        <v>12598</v>
      </c>
      <c r="E53" s="538" t="s">
        <v>12610</v>
      </c>
      <c r="F53" s="538" t="s">
        <v>13158</v>
      </c>
      <c r="G53" s="538" t="s">
        <v>12622</v>
      </c>
      <c r="H53" s="538" t="s">
        <v>12633</v>
      </c>
      <c r="I53" s="538" t="s">
        <v>13227</v>
      </c>
      <c r="J53" s="538" t="s">
        <v>13322</v>
      </c>
      <c r="K53" s="538" t="s">
        <v>12644</v>
      </c>
      <c r="L53" s="538" t="s">
        <v>12656</v>
      </c>
      <c r="M53" s="538" t="s">
        <v>12668</v>
      </c>
      <c r="P53">
        <v>39</v>
      </c>
    </row>
    <row r="54" spans="1:16" ht="15">
      <c r="A54" s="440">
        <v>47</v>
      </c>
      <c r="B54" s="538" t="s">
        <v>12686</v>
      </c>
      <c r="C54" s="538" t="s">
        <v>12687</v>
      </c>
      <c r="D54" s="540" t="s">
        <v>12688</v>
      </c>
      <c r="E54" s="538" t="s">
        <v>12689</v>
      </c>
      <c r="F54" s="538" t="s">
        <v>13159</v>
      </c>
      <c r="G54" s="538" t="s">
        <v>12690</v>
      </c>
      <c r="H54" s="538" t="s">
        <v>12691</v>
      </c>
      <c r="I54" s="538" t="s">
        <v>13228</v>
      </c>
      <c r="J54" s="538" t="s">
        <v>13323</v>
      </c>
      <c r="K54" s="538" t="s">
        <v>12692</v>
      </c>
      <c r="L54" s="538" t="s">
        <v>12693</v>
      </c>
      <c r="M54" s="538" t="s">
        <v>12694</v>
      </c>
      <c r="P54">
        <v>40</v>
      </c>
    </row>
    <row r="55" spans="1:16" ht="15">
      <c r="A55" s="440">
        <v>48</v>
      </c>
      <c r="B55" s="538" t="s">
        <v>2896</v>
      </c>
      <c r="C55" s="538" t="s">
        <v>12586</v>
      </c>
      <c r="D55" s="540" t="s">
        <v>12599</v>
      </c>
      <c r="E55" s="538" t="s">
        <v>12611</v>
      </c>
      <c r="F55" s="538" t="s">
        <v>13160</v>
      </c>
      <c r="G55" s="538" t="s">
        <v>12623</v>
      </c>
      <c r="H55" s="538" t="s">
        <v>12634</v>
      </c>
      <c r="I55" s="538" t="s">
        <v>13229</v>
      </c>
      <c r="J55" s="538" t="s">
        <v>13324</v>
      </c>
      <c r="K55" s="538" t="s">
        <v>12645</v>
      </c>
      <c r="L55" s="538" t="s">
        <v>12657</v>
      </c>
      <c r="M55" s="538" t="s">
        <v>12669</v>
      </c>
      <c r="P55">
        <v>41</v>
      </c>
    </row>
    <row r="56" spans="1:16" ht="15">
      <c r="A56" s="440">
        <v>49</v>
      </c>
      <c r="B56" s="538" t="s">
        <v>2378</v>
      </c>
      <c r="C56" s="538" t="s">
        <v>9134</v>
      </c>
      <c r="D56" s="540" t="s">
        <v>2438</v>
      </c>
      <c r="E56" s="538" t="s">
        <v>9200</v>
      </c>
      <c r="F56" s="538" t="s">
        <v>13161</v>
      </c>
      <c r="G56" s="538" t="s">
        <v>11235</v>
      </c>
      <c r="H56" s="538" t="s">
        <v>9135</v>
      </c>
      <c r="I56" s="538" t="s">
        <v>13230</v>
      </c>
      <c r="J56" s="538" t="s">
        <v>13325</v>
      </c>
      <c r="K56" s="538" t="s">
        <v>9243</v>
      </c>
      <c r="L56" s="538" t="s">
        <v>9068</v>
      </c>
      <c r="M56" s="538" t="s">
        <v>12670</v>
      </c>
      <c r="P56">
        <v>42</v>
      </c>
    </row>
    <row r="57" spans="1:16" ht="15">
      <c r="A57" s="440">
        <v>50</v>
      </c>
      <c r="B57" s="538" t="s">
        <v>9069</v>
      </c>
      <c r="C57" s="538" t="s">
        <v>12587</v>
      </c>
      <c r="D57" s="540" t="s">
        <v>12600</v>
      </c>
      <c r="E57" s="538" t="s">
        <v>12612</v>
      </c>
      <c r="F57" s="538" t="s">
        <v>13162</v>
      </c>
      <c r="G57" s="538" t="s">
        <v>12624</v>
      </c>
      <c r="H57" s="538" t="s">
        <v>12635</v>
      </c>
      <c r="I57" s="538" t="s">
        <v>13231</v>
      </c>
      <c r="J57" s="538" t="s">
        <v>13326</v>
      </c>
      <c r="K57" s="538" t="s">
        <v>12646</v>
      </c>
      <c r="L57" s="538" t="s">
        <v>12658</v>
      </c>
      <c r="M57" s="538" t="s">
        <v>12671</v>
      </c>
      <c r="P57">
        <v>43</v>
      </c>
    </row>
    <row r="58" spans="1:16" ht="15">
      <c r="A58" s="440">
        <v>51</v>
      </c>
      <c r="B58" s="538" t="s">
        <v>2897</v>
      </c>
      <c r="C58" s="538" t="s">
        <v>12588</v>
      </c>
      <c r="D58" s="540" t="s">
        <v>12601</v>
      </c>
      <c r="E58" s="538" t="s">
        <v>12613</v>
      </c>
      <c r="F58" s="538" t="s">
        <v>13163</v>
      </c>
      <c r="G58" s="538" t="s">
        <v>12625</v>
      </c>
      <c r="H58" s="538" t="s">
        <v>12636</v>
      </c>
      <c r="I58" s="538" t="s">
        <v>13232</v>
      </c>
      <c r="J58" s="538" t="s">
        <v>13327</v>
      </c>
      <c r="K58" s="538" t="s">
        <v>12647</v>
      </c>
      <c r="L58" s="538" t="s">
        <v>12659</v>
      </c>
      <c r="M58" s="538" t="s">
        <v>12672</v>
      </c>
      <c r="P58">
        <v>44</v>
      </c>
    </row>
    <row r="59" spans="1:16" ht="15">
      <c r="A59" s="440">
        <v>52</v>
      </c>
      <c r="B59" s="538" t="s">
        <v>2898</v>
      </c>
      <c r="C59" s="538" t="s">
        <v>12589</v>
      </c>
      <c r="D59" s="540" t="s">
        <v>12602</v>
      </c>
      <c r="E59" s="538" t="s">
        <v>12614</v>
      </c>
      <c r="F59" s="538" t="s">
        <v>13164</v>
      </c>
      <c r="G59" s="538" t="s">
        <v>12626</v>
      </c>
      <c r="H59" s="538" t="s">
        <v>12637</v>
      </c>
      <c r="I59" s="538" t="s">
        <v>13233</v>
      </c>
      <c r="J59" s="538" t="s">
        <v>13328</v>
      </c>
      <c r="K59" s="538" t="s">
        <v>12648</v>
      </c>
      <c r="L59" s="538" t="s">
        <v>12660</v>
      </c>
      <c r="M59" s="538" t="s">
        <v>12673</v>
      </c>
      <c r="P59">
        <v>45</v>
      </c>
    </row>
    <row r="60" spans="1:16" ht="15">
      <c r="A60" s="440">
        <v>53</v>
      </c>
      <c r="B60" s="538" t="s">
        <v>12500</v>
      </c>
      <c r="C60" s="538" t="s">
        <v>12590</v>
      </c>
      <c r="D60" s="538" t="s">
        <v>13138</v>
      </c>
      <c r="E60" s="538" t="s">
        <v>13139</v>
      </c>
      <c r="F60" s="538" t="s">
        <v>13140</v>
      </c>
      <c r="G60" s="538" t="s">
        <v>13141</v>
      </c>
      <c r="H60" s="538" t="s">
        <v>13142</v>
      </c>
      <c r="I60" s="538" t="s">
        <v>13143</v>
      </c>
      <c r="J60" s="538" t="s">
        <v>13144</v>
      </c>
      <c r="K60" s="538" t="s">
        <v>13145</v>
      </c>
      <c r="L60" s="538" t="s">
        <v>13146</v>
      </c>
      <c r="M60" s="538" t="s">
        <v>13147</v>
      </c>
      <c r="P60">
        <v>46</v>
      </c>
    </row>
    <row r="61" spans="1:16" ht="15">
      <c r="A61" s="440">
        <v>54</v>
      </c>
      <c r="B61" s="538" t="s">
        <v>12501</v>
      </c>
      <c r="C61" s="538" t="s">
        <v>12507</v>
      </c>
      <c r="D61" s="538" t="s">
        <v>12508</v>
      </c>
      <c r="E61" s="538" t="s">
        <v>12509</v>
      </c>
      <c r="F61" s="538" t="s">
        <v>12510</v>
      </c>
      <c r="G61" s="538" t="s">
        <v>12511</v>
      </c>
      <c r="H61" s="538" t="s">
        <v>12512</v>
      </c>
      <c r="I61" s="538" t="s">
        <v>13234</v>
      </c>
      <c r="J61" s="538" t="s">
        <v>12513</v>
      </c>
      <c r="K61" s="538" t="s">
        <v>12514</v>
      </c>
      <c r="L61" s="538" t="s">
        <v>12515</v>
      </c>
      <c r="M61" s="538" t="s">
        <v>12516</v>
      </c>
      <c r="P61">
        <v>47</v>
      </c>
    </row>
    <row r="62" spans="1:16" ht="15">
      <c r="A62" s="440">
        <v>55</v>
      </c>
      <c r="B62" s="538" t="s">
        <v>12972</v>
      </c>
      <c r="C62" s="538" t="s">
        <v>12973</v>
      </c>
      <c r="D62" s="538" t="s">
        <v>12974</v>
      </c>
      <c r="E62" s="538" t="s">
        <v>12975</v>
      </c>
      <c r="F62" s="538" t="s">
        <v>12976</v>
      </c>
      <c r="G62" s="538" t="s">
        <v>12977</v>
      </c>
      <c r="H62" s="538" t="s">
        <v>12978</v>
      </c>
      <c r="I62" s="538" t="s">
        <v>13235</v>
      </c>
      <c r="J62" s="538" t="s">
        <v>13329</v>
      </c>
      <c r="K62" s="538" t="s">
        <v>12979</v>
      </c>
      <c r="L62" s="538" t="s">
        <v>13376</v>
      </c>
      <c r="M62" s="538" t="s">
        <v>12980</v>
      </c>
      <c r="P62">
        <v>48</v>
      </c>
    </row>
    <row r="63" spans="1:16" ht="15">
      <c r="A63" s="440">
        <v>56</v>
      </c>
      <c r="B63" s="538" t="s">
        <v>12502</v>
      </c>
      <c r="C63" s="538" t="s">
        <v>12517</v>
      </c>
      <c r="D63" s="538" t="s">
        <v>12518</v>
      </c>
      <c r="E63" s="538" t="s">
        <v>12519</v>
      </c>
      <c r="F63" s="538" t="s">
        <v>12520</v>
      </c>
      <c r="G63" s="538" t="s">
        <v>12521</v>
      </c>
      <c r="H63" s="538" t="s">
        <v>12522</v>
      </c>
      <c r="I63" s="538" t="s">
        <v>13236</v>
      </c>
      <c r="J63" s="538" t="s">
        <v>12523</v>
      </c>
      <c r="K63" s="538" t="s">
        <v>12524</v>
      </c>
      <c r="L63" s="538" t="s">
        <v>12525</v>
      </c>
      <c r="M63" s="538" t="s">
        <v>12526</v>
      </c>
      <c r="P63">
        <v>49</v>
      </c>
    </row>
    <row r="64" spans="1:16" ht="15">
      <c r="A64" s="440">
        <v>57</v>
      </c>
      <c r="B64" s="538" t="s">
        <v>12503</v>
      </c>
      <c r="C64" s="538" t="s">
        <v>12527</v>
      </c>
      <c r="D64" s="538" t="s">
        <v>12528</v>
      </c>
      <c r="E64" s="538" t="s">
        <v>12529</v>
      </c>
      <c r="F64" s="538" t="s">
        <v>12530</v>
      </c>
      <c r="G64" s="538" t="s">
        <v>12531</v>
      </c>
      <c r="H64" s="538" t="s">
        <v>12532</v>
      </c>
      <c r="I64" s="538" t="s">
        <v>13237</v>
      </c>
      <c r="J64" s="538" t="s">
        <v>13330</v>
      </c>
      <c r="K64" s="538" t="s">
        <v>12533</v>
      </c>
      <c r="L64" s="538" t="s">
        <v>12534</v>
      </c>
      <c r="M64" s="538" t="s">
        <v>12535</v>
      </c>
      <c r="P64">
        <v>50</v>
      </c>
    </row>
    <row r="65" spans="1:16" ht="15">
      <c r="A65" s="440">
        <v>58</v>
      </c>
      <c r="B65" s="538" t="s">
        <v>12504</v>
      </c>
      <c r="C65" s="538" t="s">
        <v>12536</v>
      </c>
      <c r="D65" s="538" t="s">
        <v>12537</v>
      </c>
      <c r="E65" s="538" t="s">
        <v>12538</v>
      </c>
      <c r="F65" s="538" t="s">
        <v>12539</v>
      </c>
      <c r="G65" s="538" t="s">
        <v>12540</v>
      </c>
      <c r="H65" s="538" t="s">
        <v>12541</v>
      </c>
      <c r="I65" s="538" t="s">
        <v>13238</v>
      </c>
      <c r="J65" s="538" t="s">
        <v>13331</v>
      </c>
      <c r="K65" s="538" t="s">
        <v>12542</v>
      </c>
      <c r="L65" s="538" t="s">
        <v>12543</v>
      </c>
      <c r="M65" s="538" t="s">
        <v>12544</v>
      </c>
      <c r="P65">
        <v>51</v>
      </c>
    </row>
    <row r="66" spans="1:16" ht="15">
      <c r="A66" s="440">
        <v>145</v>
      </c>
      <c r="B66" s="538" t="s">
        <v>13014</v>
      </c>
      <c r="C66" s="538" t="s">
        <v>13109</v>
      </c>
      <c r="D66" s="538" t="s">
        <v>13110</v>
      </c>
      <c r="E66" s="538" t="s">
        <v>13111</v>
      </c>
      <c r="F66" s="538" t="s">
        <v>13112</v>
      </c>
      <c r="G66" s="538" t="s">
        <v>13113</v>
      </c>
      <c r="H66" s="538" t="s">
        <v>13114</v>
      </c>
      <c r="I66" s="538" t="s">
        <v>13108</v>
      </c>
      <c r="J66" s="538" t="s">
        <v>13332</v>
      </c>
      <c r="K66" s="538" t="s">
        <v>13115</v>
      </c>
      <c r="L66" s="538" t="s">
        <v>13116</v>
      </c>
      <c r="M66" s="538" t="s">
        <v>13117</v>
      </c>
    </row>
    <row r="67" spans="1:16" ht="15">
      <c r="A67" s="440">
        <v>59</v>
      </c>
      <c r="B67" s="538" t="s">
        <v>12505</v>
      </c>
      <c r="C67" s="538" t="s">
        <v>12545</v>
      </c>
      <c r="D67" s="538" t="s">
        <v>12546</v>
      </c>
      <c r="E67" s="538" t="s">
        <v>12547</v>
      </c>
      <c r="F67" s="538" t="s">
        <v>12548</v>
      </c>
      <c r="G67" s="538" t="s">
        <v>12549</v>
      </c>
      <c r="H67" s="538" t="s">
        <v>12550</v>
      </c>
      <c r="I67" s="538" t="s">
        <v>13239</v>
      </c>
      <c r="J67" s="538" t="s">
        <v>13333</v>
      </c>
      <c r="K67" s="538" t="s">
        <v>12551</v>
      </c>
      <c r="L67" s="538" t="s">
        <v>12552</v>
      </c>
      <c r="M67" s="538" t="s">
        <v>12553</v>
      </c>
      <c r="P67">
        <v>52</v>
      </c>
    </row>
    <row r="68" spans="1:16" ht="15">
      <c r="A68" s="440">
        <v>60</v>
      </c>
      <c r="B68" s="538" t="s">
        <v>12506</v>
      </c>
      <c r="C68" s="538" t="s">
        <v>12554</v>
      </c>
      <c r="D68" s="538" t="s">
        <v>12555</v>
      </c>
      <c r="E68" s="538" t="s">
        <v>12556</v>
      </c>
      <c r="F68" s="538" t="s">
        <v>12557</v>
      </c>
      <c r="G68" s="538" t="s">
        <v>12558</v>
      </c>
      <c r="H68" s="538" t="s">
        <v>12559</v>
      </c>
      <c r="I68" s="538" t="s">
        <v>13240</v>
      </c>
      <c r="J68" s="538" t="s">
        <v>13334</v>
      </c>
      <c r="K68" s="538" t="s">
        <v>12560</v>
      </c>
      <c r="L68" s="538" t="s">
        <v>12561</v>
      </c>
      <c r="M68" s="538" t="s">
        <v>12562</v>
      </c>
      <c r="P68">
        <v>53</v>
      </c>
    </row>
    <row r="69" spans="1:16" ht="15">
      <c r="A69" s="440">
        <v>61</v>
      </c>
      <c r="C69" s="541"/>
      <c r="D69" s="540"/>
      <c r="P69">
        <v>54</v>
      </c>
    </row>
    <row r="70" spans="1:16" ht="15">
      <c r="A70" s="440">
        <v>62</v>
      </c>
      <c r="B70" s="538" t="s">
        <v>2380</v>
      </c>
      <c r="C70" s="538" t="s">
        <v>9136</v>
      </c>
      <c r="D70" s="540" t="s">
        <v>2439</v>
      </c>
      <c r="E70" s="538" t="s">
        <v>9201</v>
      </c>
      <c r="F70" s="538" t="s">
        <v>9070</v>
      </c>
      <c r="G70" s="538" t="s">
        <v>11236</v>
      </c>
      <c r="H70" s="538" t="s">
        <v>2380</v>
      </c>
      <c r="I70" s="538" t="s">
        <v>13241</v>
      </c>
      <c r="J70" s="538" t="s">
        <v>13335</v>
      </c>
      <c r="K70" s="538" t="s">
        <v>9244</v>
      </c>
      <c r="L70" s="538" t="s">
        <v>9070</v>
      </c>
      <c r="M70" s="538" t="s">
        <v>12674</v>
      </c>
      <c r="P70">
        <v>55</v>
      </c>
    </row>
    <row r="71" spans="1:16" ht="15">
      <c r="A71" s="440">
        <v>63</v>
      </c>
      <c r="B71" s="538" t="s">
        <v>13378</v>
      </c>
      <c r="C71" s="538" t="s">
        <v>13013</v>
      </c>
      <c r="D71" s="540" t="s">
        <v>13379</v>
      </c>
      <c r="E71" s="538" t="s">
        <v>13380</v>
      </c>
      <c r="F71" s="538" t="s">
        <v>13381</v>
      </c>
      <c r="G71" s="538" t="s">
        <v>13382</v>
      </c>
      <c r="H71" s="538" t="s">
        <v>13383</v>
      </c>
      <c r="I71" s="538" t="s">
        <v>13384</v>
      </c>
      <c r="J71" s="538" t="s">
        <v>13385</v>
      </c>
      <c r="K71" s="538" t="s">
        <v>13386</v>
      </c>
      <c r="L71" s="538" t="s">
        <v>13387</v>
      </c>
      <c r="M71" s="538" t="s">
        <v>13388</v>
      </c>
      <c r="P71">
        <v>56</v>
      </c>
    </row>
    <row r="72" spans="1:16" ht="15">
      <c r="A72" s="440">
        <v>64</v>
      </c>
      <c r="B72" s="538" t="s">
        <v>12563</v>
      </c>
      <c r="C72" s="538" t="s">
        <v>12591</v>
      </c>
      <c r="D72" s="538" t="s">
        <v>12603</v>
      </c>
      <c r="E72" s="538" t="s">
        <v>12615</v>
      </c>
      <c r="F72" s="538" t="s">
        <v>12136</v>
      </c>
      <c r="G72" s="538" t="s">
        <v>12627</v>
      </c>
      <c r="H72" s="538" t="s">
        <v>12638</v>
      </c>
      <c r="I72" s="538" t="s">
        <v>13242</v>
      </c>
      <c r="J72" s="538" t="s">
        <v>13336</v>
      </c>
      <c r="K72" s="538" t="s">
        <v>12649</v>
      </c>
      <c r="L72" s="538" t="s">
        <v>12661</v>
      </c>
      <c r="M72" s="538" t="s">
        <v>12675</v>
      </c>
      <c r="P72">
        <v>57</v>
      </c>
    </row>
    <row r="73" spans="1:16" ht="15">
      <c r="A73" s="440">
        <v>65</v>
      </c>
      <c r="B73" s="538" t="s">
        <v>12564</v>
      </c>
      <c r="C73" s="538" t="s">
        <v>12592</v>
      </c>
      <c r="D73" s="538" t="s">
        <v>12604</v>
      </c>
      <c r="E73" s="538" t="s">
        <v>12616</v>
      </c>
      <c r="F73" s="538" t="s">
        <v>12135</v>
      </c>
      <c r="G73" s="538" t="s">
        <v>12628</v>
      </c>
      <c r="H73" s="538" t="s">
        <v>12639</v>
      </c>
      <c r="I73" s="538" t="s">
        <v>13243</v>
      </c>
      <c r="J73" s="538" t="s">
        <v>13337</v>
      </c>
      <c r="K73" s="538" t="s">
        <v>12650</v>
      </c>
      <c r="L73" s="538" t="s">
        <v>12662</v>
      </c>
      <c r="M73" s="538" t="s">
        <v>12676</v>
      </c>
      <c r="P73">
        <v>58</v>
      </c>
    </row>
    <row r="74" spans="1:16" ht="15">
      <c r="A74" s="440">
        <v>66</v>
      </c>
      <c r="B74" s="538" t="s">
        <v>12565</v>
      </c>
      <c r="C74" s="538" t="s">
        <v>12593</v>
      </c>
      <c r="D74" s="540" t="s">
        <v>12605</v>
      </c>
      <c r="E74" s="538" t="s">
        <v>12617</v>
      </c>
      <c r="F74" s="538" t="s">
        <v>13165</v>
      </c>
      <c r="G74" s="538" t="s">
        <v>12629</v>
      </c>
      <c r="H74" s="538" t="s">
        <v>12640</v>
      </c>
      <c r="I74" s="538" t="s">
        <v>13244</v>
      </c>
      <c r="J74" s="538" t="s">
        <v>13338</v>
      </c>
      <c r="K74" s="538" t="s">
        <v>12651</v>
      </c>
      <c r="L74" s="538" t="s">
        <v>12663</v>
      </c>
      <c r="M74" s="538" t="s">
        <v>12677</v>
      </c>
      <c r="P74">
        <v>59</v>
      </c>
    </row>
    <row r="75" spans="1:16" ht="15">
      <c r="A75" s="440">
        <v>67</v>
      </c>
      <c r="B75" s="538" t="s">
        <v>12566</v>
      </c>
      <c r="C75" s="538" t="s">
        <v>12594</v>
      </c>
      <c r="D75" s="540" t="s">
        <v>12606</v>
      </c>
      <c r="E75" s="538" t="s">
        <v>12618</v>
      </c>
      <c r="F75" s="538" t="s">
        <v>13166</v>
      </c>
      <c r="G75" s="538" t="s">
        <v>12630</v>
      </c>
      <c r="H75" s="538" t="s">
        <v>12641</v>
      </c>
      <c r="I75" s="538" t="s">
        <v>13245</v>
      </c>
      <c r="J75" s="538" t="s">
        <v>13339</v>
      </c>
      <c r="K75" s="538" t="s">
        <v>12652</v>
      </c>
      <c r="L75" s="538" t="s">
        <v>12664</v>
      </c>
      <c r="M75" s="538" t="s">
        <v>12678</v>
      </c>
      <c r="P75">
        <v>60</v>
      </c>
    </row>
    <row r="76" spans="1:16" ht="15">
      <c r="A76" s="440">
        <v>68</v>
      </c>
      <c r="B76" s="538" t="s">
        <v>12567</v>
      </c>
      <c r="C76" s="538" t="s">
        <v>12595</v>
      </c>
      <c r="D76" s="540" t="s">
        <v>12607</v>
      </c>
      <c r="E76" s="538" t="s">
        <v>12619</v>
      </c>
      <c r="F76" s="538" t="s">
        <v>13167</v>
      </c>
      <c r="G76" s="538" t="s">
        <v>12631</v>
      </c>
      <c r="H76" s="538" t="s">
        <v>12642</v>
      </c>
      <c r="I76" s="538" t="s">
        <v>13246</v>
      </c>
      <c r="J76" s="538" t="s">
        <v>13340</v>
      </c>
      <c r="K76" s="538" t="s">
        <v>12653</v>
      </c>
      <c r="L76" s="538" t="s">
        <v>12665</v>
      </c>
      <c r="M76" s="538" t="s">
        <v>12679</v>
      </c>
      <c r="P76">
        <v>61</v>
      </c>
    </row>
    <row r="77" spans="1:16" ht="15">
      <c r="A77" s="440">
        <v>69</v>
      </c>
      <c r="B77" s="538" t="s">
        <v>11981</v>
      </c>
      <c r="C77" s="538" t="s">
        <v>11981</v>
      </c>
      <c r="D77" s="540" t="s">
        <v>11981</v>
      </c>
      <c r="E77" s="538" t="s">
        <v>11981</v>
      </c>
      <c r="F77" s="538" t="s">
        <v>11981</v>
      </c>
      <c r="G77" s="538" t="s">
        <v>11981</v>
      </c>
      <c r="H77" s="538" t="s">
        <v>11981</v>
      </c>
      <c r="I77" s="538" t="s">
        <v>11981</v>
      </c>
      <c r="J77" s="538" t="s">
        <v>11981</v>
      </c>
      <c r="K77" s="538" t="s">
        <v>11981</v>
      </c>
      <c r="L77" s="538" t="str">
        <f>B77</f>
        <v xml:space="preserve">   </v>
      </c>
      <c r="M77" s="538" t="str">
        <f>B77</f>
        <v xml:space="preserve">   </v>
      </c>
      <c r="P77">
        <v>62</v>
      </c>
    </row>
    <row r="78" spans="1:16" ht="15">
      <c r="A78" s="440">
        <v>70</v>
      </c>
      <c r="B78" s="538" t="s">
        <v>2388</v>
      </c>
      <c r="C78" s="538" t="s">
        <v>9137</v>
      </c>
      <c r="D78" s="540" t="s">
        <v>3070</v>
      </c>
      <c r="E78" s="538" t="s">
        <v>9202</v>
      </c>
      <c r="F78" s="538" t="s">
        <v>13168</v>
      </c>
      <c r="G78" s="538" t="s">
        <v>11237</v>
      </c>
      <c r="H78" s="538" t="s">
        <v>9138</v>
      </c>
      <c r="I78" s="538" t="s">
        <v>13247</v>
      </c>
      <c r="J78" s="538" t="s">
        <v>13341</v>
      </c>
      <c r="K78" s="538" t="s">
        <v>9245</v>
      </c>
      <c r="L78" s="538" t="s">
        <v>9071</v>
      </c>
      <c r="M78" s="538" t="s">
        <v>11279</v>
      </c>
      <c r="P78">
        <v>63</v>
      </c>
    </row>
    <row r="79" spans="1:16" ht="14.45" customHeight="1">
      <c r="A79" s="573">
        <v>71</v>
      </c>
      <c r="B79" s="574" t="s">
        <v>13411</v>
      </c>
      <c r="C79" s="538" t="s">
        <v>13413</v>
      </c>
      <c r="D79" s="538" t="s">
        <v>13415</v>
      </c>
      <c r="E79" s="538" t="s">
        <v>13417</v>
      </c>
      <c r="F79" s="538" t="s">
        <v>13419</v>
      </c>
      <c r="G79" s="538" t="s">
        <v>13421</v>
      </c>
      <c r="H79" s="538" t="s">
        <v>13433</v>
      </c>
      <c r="I79" s="538" t="s">
        <v>13431</v>
      </c>
      <c r="J79" s="538" t="s">
        <v>13429</v>
      </c>
      <c r="K79" s="538" t="s">
        <v>13427</v>
      </c>
      <c r="L79" s="538" t="s">
        <v>13425</v>
      </c>
      <c r="M79" s="538" t="s">
        <v>13423</v>
      </c>
    </row>
    <row r="80" spans="1:16" ht="14.45" customHeight="1">
      <c r="A80" s="573">
        <v>72</v>
      </c>
      <c r="B80" s="574" t="s">
        <v>13412</v>
      </c>
      <c r="C80" s="538" t="s">
        <v>13414</v>
      </c>
      <c r="D80" s="538" t="s">
        <v>13416</v>
      </c>
      <c r="E80" s="538" t="s">
        <v>13418</v>
      </c>
      <c r="F80" s="538" t="s">
        <v>13420</v>
      </c>
      <c r="G80" s="538" t="s">
        <v>13422</v>
      </c>
      <c r="H80" s="538" t="s">
        <v>13434</v>
      </c>
      <c r="I80" s="538" t="s">
        <v>13432</v>
      </c>
      <c r="J80" s="538" t="s">
        <v>13430</v>
      </c>
      <c r="K80" s="538" t="s">
        <v>13428</v>
      </c>
      <c r="L80" s="538" t="s">
        <v>13426</v>
      </c>
      <c r="M80" s="538" t="s">
        <v>13424</v>
      </c>
    </row>
    <row r="81" spans="1:16" ht="15">
      <c r="A81" s="440">
        <v>78</v>
      </c>
      <c r="B81" s="538" t="s">
        <v>2899</v>
      </c>
      <c r="C81" s="538" t="s">
        <v>13118</v>
      </c>
      <c r="D81" s="540" t="s">
        <v>13119</v>
      </c>
      <c r="E81" s="538" t="s">
        <v>13120</v>
      </c>
      <c r="F81" s="538" t="s">
        <v>13121</v>
      </c>
      <c r="G81" s="538" t="s">
        <v>13122</v>
      </c>
      <c r="H81" s="538" t="s">
        <v>13123</v>
      </c>
      <c r="I81" s="538" t="s">
        <v>13124</v>
      </c>
      <c r="J81" s="538" t="s">
        <v>13125</v>
      </c>
      <c r="K81" s="538" t="s">
        <v>13126</v>
      </c>
      <c r="L81" s="538" t="s">
        <v>9072</v>
      </c>
      <c r="M81" s="538" t="s">
        <v>11280</v>
      </c>
      <c r="P81">
        <v>71</v>
      </c>
    </row>
    <row r="82" spans="1:16" ht="15">
      <c r="A82" s="440">
        <v>79</v>
      </c>
      <c r="B82" s="538" t="s">
        <v>2900</v>
      </c>
      <c r="C82" s="538" t="s">
        <v>12137</v>
      </c>
      <c r="D82" s="538" t="s">
        <v>12138</v>
      </c>
      <c r="E82" s="538" t="s">
        <v>12139</v>
      </c>
      <c r="F82" s="538" t="s">
        <v>12140</v>
      </c>
      <c r="G82" s="538" t="s">
        <v>12141</v>
      </c>
      <c r="H82" s="538" t="s">
        <v>12142</v>
      </c>
      <c r="I82" s="538" t="s">
        <v>13248</v>
      </c>
      <c r="J82" s="538" t="s">
        <v>13342</v>
      </c>
      <c r="K82" s="538" t="s">
        <v>12143</v>
      </c>
      <c r="L82" s="538" t="s">
        <v>9073</v>
      </c>
      <c r="M82" s="538" t="s">
        <v>11281</v>
      </c>
      <c r="P82">
        <v>72</v>
      </c>
    </row>
    <row r="83" spans="1:16" ht="15.6" customHeight="1">
      <c r="A83" s="440">
        <v>80</v>
      </c>
      <c r="B83" s="538" t="s">
        <v>698</v>
      </c>
      <c r="C83" s="538" t="s">
        <v>11981</v>
      </c>
      <c r="D83" s="540" t="s">
        <v>11981</v>
      </c>
      <c r="E83" s="538" t="s">
        <v>11981</v>
      </c>
      <c r="F83" s="538" t="s">
        <v>11981</v>
      </c>
      <c r="G83" s="538" t="s">
        <v>11981</v>
      </c>
      <c r="H83" s="538" t="s">
        <v>11981</v>
      </c>
      <c r="I83" s="538" t="s">
        <v>698</v>
      </c>
      <c r="J83" s="538" t="s">
        <v>698</v>
      </c>
      <c r="K83" s="538" t="s">
        <v>11981</v>
      </c>
      <c r="L83" s="538" t="str">
        <f>B83</f>
        <v xml:space="preserve"> </v>
      </c>
      <c r="M83" s="538" t="str">
        <f>B83</f>
        <v xml:space="preserve"> </v>
      </c>
      <c r="P83">
        <v>73</v>
      </c>
    </row>
    <row r="84" spans="1:16" ht="15.6" customHeight="1">
      <c r="A84" s="440">
        <v>81</v>
      </c>
      <c r="B84" s="538" t="s">
        <v>2387</v>
      </c>
      <c r="C84" s="538" t="s">
        <v>9139</v>
      </c>
      <c r="D84" s="540" t="s">
        <v>2440</v>
      </c>
      <c r="E84" s="538" t="s">
        <v>9203</v>
      </c>
      <c r="F84" s="538" t="s">
        <v>13169</v>
      </c>
      <c r="G84" s="538" t="s">
        <v>11238</v>
      </c>
      <c r="H84" s="538" t="s">
        <v>9140</v>
      </c>
      <c r="I84" s="538" t="s">
        <v>13249</v>
      </c>
      <c r="J84" s="538" t="s">
        <v>13343</v>
      </c>
      <c r="K84" s="538" t="s">
        <v>9246</v>
      </c>
      <c r="L84" s="538" t="s">
        <v>9074</v>
      </c>
      <c r="M84" s="538" t="s">
        <v>11282</v>
      </c>
      <c r="P84">
        <v>74</v>
      </c>
    </row>
    <row r="85" spans="1:16" ht="15.6" customHeight="1">
      <c r="A85" s="440">
        <v>82</v>
      </c>
      <c r="B85" s="538" t="s">
        <v>2374</v>
      </c>
      <c r="C85" s="538" t="s">
        <v>9141</v>
      </c>
      <c r="D85" s="540" t="s">
        <v>3050</v>
      </c>
      <c r="E85" s="538" t="s">
        <v>9204</v>
      </c>
      <c r="F85" s="538" t="s">
        <v>13170</v>
      </c>
      <c r="G85" s="538" t="s">
        <v>11239</v>
      </c>
      <c r="H85" s="538" t="s">
        <v>9142</v>
      </c>
      <c r="I85" s="538" t="s">
        <v>13250</v>
      </c>
      <c r="J85" s="538" t="s">
        <v>13344</v>
      </c>
      <c r="K85" s="538" t="s">
        <v>9247</v>
      </c>
      <c r="L85" s="542" t="s">
        <v>9075</v>
      </c>
      <c r="M85" s="538" t="s">
        <v>11283</v>
      </c>
      <c r="P85">
        <v>75</v>
      </c>
    </row>
    <row r="86" spans="1:16" ht="15.6" customHeight="1">
      <c r="A86" s="440">
        <v>83</v>
      </c>
      <c r="B86" s="538" t="s">
        <v>9076</v>
      </c>
      <c r="C86" s="538" t="s">
        <v>9143</v>
      </c>
      <c r="D86" s="540" t="s">
        <v>3051</v>
      </c>
      <c r="E86" s="538" t="s">
        <v>9205</v>
      </c>
      <c r="F86" s="538" t="s">
        <v>13171</v>
      </c>
      <c r="G86" s="538" t="s">
        <v>11240</v>
      </c>
      <c r="H86" s="538" t="s">
        <v>9144</v>
      </c>
      <c r="I86" s="538" t="s">
        <v>13251</v>
      </c>
      <c r="J86" s="538" t="s">
        <v>13345</v>
      </c>
      <c r="K86" s="538" t="s">
        <v>9248</v>
      </c>
      <c r="L86" s="543" t="s">
        <v>9077</v>
      </c>
      <c r="M86" s="538" t="s">
        <v>11284</v>
      </c>
      <c r="P86">
        <v>76</v>
      </c>
    </row>
    <row r="87" spans="1:16" ht="15.6" customHeight="1">
      <c r="A87" s="440">
        <v>84</v>
      </c>
      <c r="B87" s="538" t="s">
        <v>9078</v>
      </c>
      <c r="C87" s="538" t="s">
        <v>9145</v>
      </c>
      <c r="D87" s="540" t="s">
        <v>3052</v>
      </c>
      <c r="E87" s="538" t="s">
        <v>9206</v>
      </c>
      <c r="F87" s="538" t="s">
        <v>13172</v>
      </c>
      <c r="G87" s="538" t="s">
        <v>11241</v>
      </c>
      <c r="H87" s="538" t="s">
        <v>9146</v>
      </c>
      <c r="I87" s="538" t="s">
        <v>13252</v>
      </c>
      <c r="J87" s="538" t="s">
        <v>13346</v>
      </c>
      <c r="K87" s="538" t="s">
        <v>9249</v>
      </c>
      <c r="L87" s="538" t="s">
        <v>9079</v>
      </c>
      <c r="M87" s="538" t="s">
        <v>11285</v>
      </c>
      <c r="P87">
        <v>77</v>
      </c>
    </row>
    <row r="88" spans="1:16" ht="15">
      <c r="A88" s="440">
        <v>85</v>
      </c>
      <c r="B88" s="538" t="s">
        <v>9080</v>
      </c>
      <c r="C88" s="538" t="s">
        <v>9147</v>
      </c>
      <c r="D88" s="540" t="s">
        <v>3053</v>
      </c>
      <c r="E88" s="538" t="s">
        <v>9207</v>
      </c>
      <c r="F88" s="538" t="s">
        <v>13173</v>
      </c>
      <c r="G88" s="538" t="s">
        <v>11242</v>
      </c>
      <c r="H88" s="538" t="s">
        <v>9148</v>
      </c>
      <c r="I88" s="538" t="s">
        <v>13253</v>
      </c>
      <c r="J88" s="538" t="s">
        <v>13347</v>
      </c>
      <c r="K88" s="538" t="s">
        <v>9250</v>
      </c>
      <c r="L88" s="538" t="s">
        <v>9081</v>
      </c>
      <c r="M88" s="538" t="s">
        <v>11286</v>
      </c>
      <c r="P88">
        <v>78</v>
      </c>
    </row>
    <row r="89" spans="1:16" ht="15">
      <c r="A89" s="440">
        <v>86</v>
      </c>
      <c r="B89" s="538" t="s">
        <v>2375</v>
      </c>
      <c r="C89" s="538" t="s">
        <v>9149</v>
      </c>
      <c r="D89" s="540" t="s">
        <v>3054</v>
      </c>
      <c r="E89" s="538" t="s">
        <v>9208</v>
      </c>
      <c r="F89" s="538" t="s">
        <v>13174</v>
      </c>
      <c r="G89" s="538" t="s">
        <v>11243</v>
      </c>
      <c r="H89" s="538" t="s">
        <v>9150</v>
      </c>
      <c r="I89" s="538" t="s">
        <v>13254</v>
      </c>
      <c r="J89" s="538" t="s">
        <v>13348</v>
      </c>
      <c r="K89" s="538" t="s">
        <v>9251</v>
      </c>
      <c r="L89" s="538" t="s">
        <v>9082</v>
      </c>
      <c r="M89" s="538" t="s">
        <v>11287</v>
      </c>
      <c r="P89">
        <v>79</v>
      </c>
    </row>
    <row r="90" spans="1:16" ht="15">
      <c r="A90" s="440">
        <v>87</v>
      </c>
      <c r="B90" s="538" t="s">
        <v>13588</v>
      </c>
      <c r="C90" s="538" t="s">
        <v>13587</v>
      </c>
      <c r="D90" s="540" t="s">
        <v>13586</v>
      </c>
      <c r="E90" s="538" t="s">
        <v>13585</v>
      </c>
      <c r="F90" s="538" t="s">
        <v>13584</v>
      </c>
      <c r="G90" s="538" t="s">
        <v>13583</v>
      </c>
      <c r="H90" s="538" t="s">
        <v>13582</v>
      </c>
      <c r="I90" s="538" t="s">
        <v>13581</v>
      </c>
      <c r="J90" s="538" t="s">
        <v>13580</v>
      </c>
      <c r="K90" s="538" t="s">
        <v>13579</v>
      </c>
      <c r="L90" s="538" t="s">
        <v>9083</v>
      </c>
      <c r="M90" s="538" t="s">
        <v>13578</v>
      </c>
      <c r="P90">
        <v>80</v>
      </c>
    </row>
    <row r="91" spans="1:16" ht="15">
      <c r="A91" s="440">
        <v>88</v>
      </c>
      <c r="B91" s="538" t="s">
        <v>12134</v>
      </c>
      <c r="C91" s="544" t="s">
        <v>12299</v>
      </c>
      <c r="D91" s="540" t="s">
        <v>3055</v>
      </c>
      <c r="E91" s="538" t="s">
        <v>9209</v>
      </c>
      <c r="F91" s="538" t="s">
        <v>13175</v>
      </c>
      <c r="G91" s="538" t="s">
        <v>11244</v>
      </c>
      <c r="H91" s="538" t="s">
        <v>9151</v>
      </c>
      <c r="I91" s="538" t="s">
        <v>13255</v>
      </c>
      <c r="J91" s="538" t="s">
        <v>13349</v>
      </c>
      <c r="K91" s="538" t="s">
        <v>9252</v>
      </c>
      <c r="L91" s="538" t="s">
        <v>9084</v>
      </c>
      <c r="M91" s="538" t="s">
        <v>11288</v>
      </c>
      <c r="P91">
        <v>81</v>
      </c>
    </row>
    <row r="92" spans="1:16" ht="15">
      <c r="A92" s="440">
        <v>89</v>
      </c>
      <c r="B92" s="538" t="s">
        <v>2386</v>
      </c>
      <c r="C92" s="538" t="s">
        <v>9152</v>
      </c>
      <c r="D92" s="540" t="s">
        <v>3056</v>
      </c>
      <c r="E92" s="538" t="s">
        <v>9210</v>
      </c>
      <c r="F92" s="538" t="s">
        <v>13176</v>
      </c>
      <c r="G92" s="538" t="s">
        <v>11245</v>
      </c>
      <c r="H92" s="538" t="s">
        <v>9153</v>
      </c>
      <c r="I92" s="538" t="s">
        <v>13256</v>
      </c>
      <c r="J92" s="538" t="s">
        <v>13350</v>
      </c>
      <c r="K92" s="538" t="s">
        <v>9253</v>
      </c>
      <c r="L92" s="538" t="s">
        <v>9085</v>
      </c>
      <c r="M92" s="538" t="s">
        <v>11289</v>
      </c>
      <c r="P92">
        <v>82</v>
      </c>
    </row>
    <row r="93" spans="1:16" ht="15">
      <c r="A93" s="440">
        <v>90</v>
      </c>
      <c r="B93" s="538" t="s">
        <v>9086</v>
      </c>
      <c r="C93" s="538" t="s">
        <v>9154</v>
      </c>
      <c r="D93" s="540" t="s">
        <v>3057</v>
      </c>
      <c r="E93" s="538" t="s">
        <v>9211</v>
      </c>
      <c r="F93" s="538" t="s">
        <v>13177</v>
      </c>
      <c r="G93" s="538" t="s">
        <v>11246</v>
      </c>
      <c r="H93" s="538" t="s">
        <v>9155</v>
      </c>
      <c r="I93" s="538" t="s">
        <v>13257</v>
      </c>
      <c r="J93" s="538" t="s">
        <v>13351</v>
      </c>
      <c r="K93" s="538" t="s">
        <v>9254</v>
      </c>
      <c r="L93" s="538" t="s">
        <v>9087</v>
      </c>
      <c r="M93" s="538" t="s">
        <v>11290</v>
      </c>
      <c r="P93">
        <v>83</v>
      </c>
    </row>
    <row r="94" spans="1:16" ht="15">
      <c r="A94" s="440">
        <v>91</v>
      </c>
      <c r="B94" s="538" t="s">
        <v>12131</v>
      </c>
      <c r="C94" s="538" t="s">
        <v>12144</v>
      </c>
      <c r="D94" s="538" t="s">
        <v>12145</v>
      </c>
      <c r="E94" s="538" t="s">
        <v>12153</v>
      </c>
      <c r="F94" s="538" t="s">
        <v>12152</v>
      </c>
      <c r="G94" s="538" t="s">
        <v>12151</v>
      </c>
      <c r="H94" s="538" t="s">
        <v>12148</v>
      </c>
      <c r="I94" s="538" t="s">
        <v>12149</v>
      </c>
      <c r="J94" s="538" t="s">
        <v>13352</v>
      </c>
      <c r="K94" s="538" t="s">
        <v>12150</v>
      </c>
      <c r="L94" s="538" t="s">
        <v>12147</v>
      </c>
      <c r="M94" s="538" t="s">
        <v>12146</v>
      </c>
      <c r="P94">
        <v>84</v>
      </c>
    </row>
    <row r="95" spans="1:16" ht="15">
      <c r="A95" s="440">
        <v>92</v>
      </c>
      <c r="B95" s="538" t="s">
        <v>12154</v>
      </c>
      <c r="C95" s="538" t="s">
        <v>12164</v>
      </c>
      <c r="D95" s="540" t="s">
        <v>12163</v>
      </c>
      <c r="E95" s="538" t="s">
        <v>12155</v>
      </c>
      <c r="F95" s="538" t="s">
        <v>12156</v>
      </c>
      <c r="G95" s="538" t="s">
        <v>12157</v>
      </c>
      <c r="H95" s="538" t="s">
        <v>12158</v>
      </c>
      <c r="I95" s="538" t="s">
        <v>12159</v>
      </c>
      <c r="J95" s="538" t="s">
        <v>13353</v>
      </c>
      <c r="K95" s="538" t="s">
        <v>12160</v>
      </c>
      <c r="L95" s="538" t="s">
        <v>12161</v>
      </c>
      <c r="M95" s="538" t="s">
        <v>12162</v>
      </c>
      <c r="P95">
        <v>85</v>
      </c>
    </row>
    <row r="96" spans="1:16" ht="15">
      <c r="A96" s="440">
        <v>93</v>
      </c>
      <c r="B96" s="538" t="s">
        <v>12132</v>
      </c>
      <c r="C96" s="538" t="s">
        <v>12175</v>
      </c>
      <c r="D96" s="540" t="s">
        <v>12176</v>
      </c>
      <c r="E96" s="538" t="s">
        <v>12177</v>
      </c>
      <c r="F96" s="538" t="s">
        <v>12178</v>
      </c>
      <c r="G96" s="538" t="s">
        <v>12179</v>
      </c>
      <c r="H96" s="538" t="s">
        <v>12180</v>
      </c>
      <c r="I96" s="538" t="s">
        <v>12181</v>
      </c>
      <c r="J96" s="538" t="s">
        <v>13354</v>
      </c>
      <c r="K96" s="538" t="s">
        <v>12182</v>
      </c>
      <c r="L96" s="538" t="s">
        <v>12183</v>
      </c>
      <c r="M96" s="538" t="s">
        <v>12184</v>
      </c>
      <c r="P96">
        <v>86</v>
      </c>
    </row>
    <row r="97" spans="1:16" ht="15">
      <c r="A97" s="440">
        <v>94</v>
      </c>
      <c r="B97" s="538" t="s">
        <v>12133</v>
      </c>
      <c r="C97" s="538" t="s">
        <v>12165</v>
      </c>
      <c r="D97" s="540" t="s">
        <v>12166</v>
      </c>
      <c r="E97" s="538" t="s">
        <v>12174</v>
      </c>
      <c r="F97" s="538" t="s">
        <v>12173</v>
      </c>
      <c r="G97" s="538" t="s">
        <v>12172</v>
      </c>
      <c r="H97" s="538" t="s">
        <v>12171</v>
      </c>
      <c r="I97" s="538" t="s">
        <v>12170</v>
      </c>
      <c r="J97" s="538" t="s">
        <v>13355</v>
      </c>
      <c r="K97" s="538" t="s">
        <v>12169</v>
      </c>
      <c r="L97" s="538" t="s">
        <v>12168</v>
      </c>
      <c r="M97" s="538" t="s">
        <v>12167</v>
      </c>
      <c r="P97">
        <v>87</v>
      </c>
    </row>
    <row r="98" spans="1:16" ht="15">
      <c r="A98" s="440">
        <v>95</v>
      </c>
      <c r="B98" s="538" t="s">
        <v>12723</v>
      </c>
      <c r="C98" s="538" t="s">
        <v>13137</v>
      </c>
      <c r="D98" s="540" t="s">
        <v>13136</v>
      </c>
      <c r="E98" s="538" t="s">
        <v>13135</v>
      </c>
      <c r="F98" s="538" t="s">
        <v>13134</v>
      </c>
      <c r="G98" s="538" t="s">
        <v>13133</v>
      </c>
      <c r="H98" s="538" t="s">
        <v>13132</v>
      </c>
      <c r="I98" s="538" t="s">
        <v>13129</v>
      </c>
      <c r="J98" s="538" t="s">
        <v>13128</v>
      </c>
      <c r="K98" s="538" t="s">
        <v>13127</v>
      </c>
      <c r="L98" s="538" t="s">
        <v>13130</v>
      </c>
      <c r="M98" s="538" t="s">
        <v>13131</v>
      </c>
      <c r="P98">
        <v>88</v>
      </c>
    </row>
    <row r="99" spans="1:16" ht="15">
      <c r="A99" s="440">
        <v>96</v>
      </c>
      <c r="B99" s="538" t="s">
        <v>698</v>
      </c>
      <c r="C99" s="538" t="s">
        <v>11981</v>
      </c>
      <c r="D99" s="540" t="s">
        <v>11981</v>
      </c>
      <c r="E99" s="538" t="s">
        <v>11981</v>
      </c>
      <c r="F99" s="538" t="s">
        <v>11981</v>
      </c>
      <c r="G99" s="538" t="s">
        <v>11981</v>
      </c>
      <c r="H99" s="538" t="s">
        <v>11981</v>
      </c>
      <c r="I99" s="538" t="s">
        <v>11981</v>
      </c>
      <c r="J99" s="538" t="s">
        <v>11981</v>
      </c>
      <c r="K99" s="538" t="s">
        <v>11981</v>
      </c>
      <c r="L99" s="538" t="str">
        <f>B99</f>
        <v xml:space="preserve"> </v>
      </c>
      <c r="M99" s="538" t="str">
        <f>B99</f>
        <v xml:space="preserve"> </v>
      </c>
      <c r="P99">
        <v>89</v>
      </c>
    </row>
    <row r="100" spans="1:16" ht="15">
      <c r="A100" s="440">
        <v>97</v>
      </c>
      <c r="B100" s="538" t="s">
        <v>2367</v>
      </c>
      <c r="C100" s="545" t="s">
        <v>9156</v>
      </c>
      <c r="D100" s="540" t="s">
        <v>2441</v>
      </c>
      <c r="E100" s="538" t="s">
        <v>9212</v>
      </c>
      <c r="F100" s="538" t="s">
        <v>13178</v>
      </c>
      <c r="G100" s="538" t="s">
        <v>11247</v>
      </c>
      <c r="H100" s="538" t="s">
        <v>9157</v>
      </c>
      <c r="I100" s="538" t="s">
        <v>13269</v>
      </c>
      <c r="J100" s="538" t="s">
        <v>13356</v>
      </c>
      <c r="K100" s="538" t="s">
        <v>9255</v>
      </c>
      <c r="L100" s="538" t="s">
        <v>9088</v>
      </c>
      <c r="M100" s="538" t="s">
        <v>11291</v>
      </c>
      <c r="P100">
        <v>90</v>
      </c>
    </row>
    <row r="101" spans="1:16" ht="15">
      <c r="A101" s="440">
        <v>98</v>
      </c>
      <c r="B101" s="538" t="s">
        <v>698</v>
      </c>
      <c r="C101" s="538" t="s">
        <v>11981</v>
      </c>
      <c r="D101" s="540" t="s">
        <v>11981</v>
      </c>
      <c r="E101" s="538" t="s">
        <v>11981</v>
      </c>
      <c r="F101" s="538" t="s">
        <v>698</v>
      </c>
      <c r="G101" s="538" t="s">
        <v>11981</v>
      </c>
      <c r="H101" s="538" t="s">
        <v>11981</v>
      </c>
      <c r="I101" s="538" t="s">
        <v>698</v>
      </c>
      <c r="J101" s="538" t="s">
        <v>698</v>
      </c>
      <c r="K101" s="538" t="s">
        <v>11981</v>
      </c>
      <c r="L101" s="538" t="str">
        <f>B101</f>
        <v xml:space="preserve"> </v>
      </c>
      <c r="M101" s="538" t="str">
        <f>B101</f>
        <v xml:space="preserve"> </v>
      </c>
      <c r="P101">
        <v>91</v>
      </c>
    </row>
    <row r="102" spans="1:16" ht="15">
      <c r="A102" s="440">
        <v>99</v>
      </c>
      <c r="B102" s="538" t="s">
        <v>9089</v>
      </c>
      <c r="C102" s="546" t="s">
        <v>9158</v>
      </c>
      <c r="D102" s="540" t="s">
        <v>3058</v>
      </c>
      <c r="E102" s="538" t="s">
        <v>9213</v>
      </c>
      <c r="F102" s="538" t="s">
        <v>13179</v>
      </c>
      <c r="G102" s="538" t="s">
        <v>11248</v>
      </c>
      <c r="H102" s="538" t="s">
        <v>9159</v>
      </c>
      <c r="I102" s="538" t="s">
        <v>13270</v>
      </c>
      <c r="J102" s="538" t="s">
        <v>13357</v>
      </c>
      <c r="K102" s="538" t="s">
        <v>9256</v>
      </c>
      <c r="L102" s="538" t="s">
        <v>9090</v>
      </c>
      <c r="M102" s="538" t="s">
        <v>11292</v>
      </c>
      <c r="N102" s="444"/>
      <c r="O102" s="444"/>
      <c r="P102">
        <v>92</v>
      </c>
    </row>
    <row r="103" spans="1:16" ht="15">
      <c r="A103" s="440">
        <v>100</v>
      </c>
      <c r="B103" s="538" t="s">
        <v>698</v>
      </c>
      <c r="C103" s="538" t="s">
        <v>11981</v>
      </c>
      <c r="D103" s="540" t="s">
        <v>11981</v>
      </c>
      <c r="E103" s="538" t="s">
        <v>11981</v>
      </c>
      <c r="F103" s="538" t="s">
        <v>698</v>
      </c>
      <c r="G103" s="538" t="s">
        <v>11981</v>
      </c>
      <c r="H103" s="538" t="s">
        <v>11981</v>
      </c>
      <c r="I103" s="538" t="s">
        <v>698</v>
      </c>
      <c r="J103" s="538" t="s">
        <v>698</v>
      </c>
      <c r="K103" s="538" t="s">
        <v>11981</v>
      </c>
      <c r="L103" s="538" t="str">
        <f>B103</f>
        <v xml:space="preserve"> </v>
      </c>
      <c r="M103" s="538" t="str">
        <f>B103</f>
        <v xml:space="preserve"> </v>
      </c>
      <c r="P103">
        <v>93</v>
      </c>
    </row>
    <row r="104" spans="1:16" ht="15">
      <c r="A104" s="440">
        <v>101</v>
      </c>
      <c r="B104" s="538" t="s">
        <v>2901</v>
      </c>
      <c r="C104" s="545" t="s">
        <v>9160</v>
      </c>
      <c r="D104" s="547" t="s">
        <v>3059</v>
      </c>
      <c r="E104" s="546" t="s">
        <v>9214</v>
      </c>
      <c r="F104" s="538" t="s">
        <v>13180</v>
      </c>
      <c r="G104" s="546" t="s">
        <v>11249</v>
      </c>
      <c r="H104" s="546" t="s">
        <v>9161</v>
      </c>
      <c r="I104" s="546" t="s">
        <v>13271</v>
      </c>
      <c r="J104" s="546" t="s">
        <v>13358</v>
      </c>
      <c r="K104" s="546" t="s">
        <v>9257</v>
      </c>
      <c r="L104" s="538" t="s">
        <v>9091</v>
      </c>
      <c r="M104" s="538" t="s">
        <v>11293</v>
      </c>
      <c r="P104">
        <v>94</v>
      </c>
    </row>
    <row r="105" spans="1:16" ht="15">
      <c r="A105" s="440">
        <v>102</v>
      </c>
      <c r="B105" s="538" t="s">
        <v>698</v>
      </c>
      <c r="C105" s="538" t="s">
        <v>11981</v>
      </c>
      <c r="D105" s="540" t="s">
        <v>11981</v>
      </c>
      <c r="E105" s="538" t="s">
        <v>11981</v>
      </c>
      <c r="F105" s="538" t="s">
        <v>698</v>
      </c>
      <c r="G105" s="538" t="s">
        <v>11981</v>
      </c>
      <c r="H105" s="538" t="s">
        <v>11981</v>
      </c>
      <c r="I105" s="538" t="s">
        <v>698</v>
      </c>
      <c r="J105" s="538" t="s">
        <v>698</v>
      </c>
      <c r="K105" s="538" t="s">
        <v>11981</v>
      </c>
      <c r="L105" s="538" t="str">
        <f>B105</f>
        <v xml:space="preserve"> </v>
      </c>
      <c r="M105" s="538" t="str">
        <f>B105</f>
        <v xml:space="preserve"> </v>
      </c>
      <c r="P105">
        <v>95</v>
      </c>
    </row>
    <row r="106" spans="1:16" ht="15">
      <c r="A106" s="440">
        <v>103</v>
      </c>
      <c r="B106" s="538" t="s">
        <v>14477</v>
      </c>
      <c r="C106" s="545" t="s">
        <v>14478</v>
      </c>
      <c r="D106" s="547" t="s">
        <v>14479</v>
      </c>
      <c r="E106" s="546" t="s">
        <v>14480</v>
      </c>
      <c r="F106" s="538" t="s">
        <v>14481</v>
      </c>
      <c r="G106" s="546" t="s">
        <v>14482</v>
      </c>
      <c r="H106" s="538" t="s">
        <v>14483</v>
      </c>
      <c r="I106" s="538" t="s">
        <v>14484</v>
      </c>
      <c r="J106" s="538" t="s">
        <v>14485</v>
      </c>
      <c r="K106" s="538" t="s">
        <v>14486</v>
      </c>
      <c r="L106" s="538" t="s">
        <v>14487</v>
      </c>
      <c r="M106" s="538" t="s">
        <v>14488</v>
      </c>
      <c r="P106">
        <v>96</v>
      </c>
    </row>
    <row r="107" spans="1:16" ht="15">
      <c r="A107" s="440">
        <v>104</v>
      </c>
      <c r="B107" s="538" t="s">
        <v>12772</v>
      </c>
      <c r="C107" s="545" t="s">
        <v>12792</v>
      </c>
      <c r="D107" s="547" t="s">
        <v>12774</v>
      </c>
      <c r="E107" s="546" t="s">
        <v>12790</v>
      </c>
      <c r="F107" s="538" t="s">
        <v>12788</v>
      </c>
      <c r="G107" s="546" t="s">
        <v>12778</v>
      </c>
      <c r="H107" s="538" t="s">
        <v>12776</v>
      </c>
      <c r="I107" s="67" t="s">
        <v>13272</v>
      </c>
      <c r="J107" s="538" t="s">
        <v>12786</v>
      </c>
      <c r="K107" s="538" t="s">
        <v>12784</v>
      </c>
      <c r="L107" s="538" t="s">
        <v>12782</v>
      </c>
      <c r="M107" s="538" t="s">
        <v>12780</v>
      </c>
      <c r="P107">
        <v>97</v>
      </c>
    </row>
    <row r="108" spans="1:16" ht="15">
      <c r="A108" s="440">
        <v>105</v>
      </c>
      <c r="B108" s="538" t="s">
        <v>12773</v>
      </c>
      <c r="C108" s="545" t="s">
        <v>12793</v>
      </c>
      <c r="D108" s="547" t="s">
        <v>12775</v>
      </c>
      <c r="E108" s="546" t="s">
        <v>12791</v>
      </c>
      <c r="F108" s="538" t="s">
        <v>12789</v>
      </c>
      <c r="G108" s="546" t="s">
        <v>12779</v>
      </c>
      <c r="H108" s="538" t="s">
        <v>12777</v>
      </c>
      <c r="I108" s="538" t="s">
        <v>13273</v>
      </c>
      <c r="J108" s="538" t="s">
        <v>12787</v>
      </c>
      <c r="K108" s="538" t="s">
        <v>12785</v>
      </c>
      <c r="L108" s="538" t="s">
        <v>12783</v>
      </c>
      <c r="M108" s="538" t="s">
        <v>12781</v>
      </c>
      <c r="P108">
        <v>98</v>
      </c>
    </row>
    <row r="109" spans="1:16" ht="15">
      <c r="A109" s="440">
        <v>106</v>
      </c>
      <c r="B109" s="538" t="s">
        <v>698</v>
      </c>
      <c r="C109" s="538" t="s">
        <v>11981</v>
      </c>
      <c r="D109" s="540" t="s">
        <v>11981</v>
      </c>
      <c r="E109" s="538" t="s">
        <v>11981</v>
      </c>
      <c r="F109" s="538" t="s">
        <v>11981</v>
      </c>
      <c r="G109" s="538" t="s">
        <v>11981</v>
      </c>
      <c r="H109" s="538" t="s">
        <v>11981</v>
      </c>
      <c r="I109" s="538" t="s">
        <v>698</v>
      </c>
      <c r="J109" s="538" t="s">
        <v>698</v>
      </c>
      <c r="K109" s="538" t="s">
        <v>11981</v>
      </c>
      <c r="L109" s="538" t="str">
        <f>B109</f>
        <v xml:space="preserve"> </v>
      </c>
      <c r="M109" s="538" t="str">
        <f>B109</f>
        <v xml:space="preserve"> </v>
      </c>
      <c r="P109">
        <v>99</v>
      </c>
    </row>
    <row r="110" spans="1:16" ht="15">
      <c r="A110" s="440">
        <v>107</v>
      </c>
      <c r="B110" s="538" t="s">
        <v>3039</v>
      </c>
      <c r="C110" s="545" t="s">
        <v>9162</v>
      </c>
      <c r="D110" s="547" t="s">
        <v>3060</v>
      </c>
      <c r="E110" s="546" t="s">
        <v>9215</v>
      </c>
      <c r="F110" s="538" t="s">
        <v>13181</v>
      </c>
      <c r="G110" s="546" t="s">
        <v>11250</v>
      </c>
      <c r="H110" s="538" t="s">
        <v>9163</v>
      </c>
      <c r="I110" s="538" t="s">
        <v>13274</v>
      </c>
      <c r="J110" s="538" t="s">
        <v>13359</v>
      </c>
      <c r="K110" s="538" t="s">
        <v>9258</v>
      </c>
      <c r="L110" s="538" t="s">
        <v>9092</v>
      </c>
      <c r="M110" s="538" t="s">
        <v>11294</v>
      </c>
      <c r="P110">
        <v>100</v>
      </c>
    </row>
    <row r="111" spans="1:16" ht="15">
      <c r="A111" s="440">
        <v>108</v>
      </c>
      <c r="B111" s="538" t="s">
        <v>698</v>
      </c>
      <c r="C111" s="538" t="s">
        <v>11981</v>
      </c>
      <c r="D111" s="540" t="s">
        <v>11981</v>
      </c>
      <c r="E111" s="538" t="s">
        <v>11981</v>
      </c>
      <c r="F111" s="538" t="s">
        <v>698</v>
      </c>
      <c r="G111" s="538" t="s">
        <v>11981</v>
      </c>
      <c r="H111" s="538" t="s">
        <v>11981</v>
      </c>
      <c r="I111" s="538" t="s">
        <v>698</v>
      </c>
      <c r="J111" s="538" t="s">
        <v>698</v>
      </c>
      <c r="K111" s="538" t="s">
        <v>11981</v>
      </c>
      <c r="L111" s="538" t="str">
        <f>B111</f>
        <v xml:space="preserve"> </v>
      </c>
      <c r="M111" s="538" t="str">
        <f>B111</f>
        <v xml:space="preserve"> </v>
      </c>
      <c r="P111">
        <v>101</v>
      </c>
    </row>
    <row r="112" spans="1:16" ht="15">
      <c r="A112" s="440">
        <v>109</v>
      </c>
      <c r="B112" s="538" t="s">
        <v>14489</v>
      </c>
      <c r="C112" s="545" t="s">
        <v>14490</v>
      </c>
      <c r="D112" s="547" t="s">
        <v>14491</v>
      </c>
      <c r="E112" s="546" t="s">
        <v>14492</v>
      </c>
      <c r="F112" s="538" t="s">
        <v>14496</v>
      </c>
      <c r="G112" s="546" t="s">
        <v>14509</v>
      </c>
      <c r="H112" s="538" t="s">
        <v>14493</v>
      </c>
      <c r="I112" s="538" t="s">
        <v>14497</v>
      </c>
      <c r="J112" s="538" t="s">
        <v>14498</v>
      </c>
      <c r="K112" s="538" t="s">
        <v>14494</v>
      </c>
      <c r="L112" s="538" t="s">
        <v>14495</v>
      </c>
      <c r="M112" s="538" t="s">
        <v>14499</v>
      </c>
      <c r="P112">
        <v>102</v>
      </c>
    </row>
    <row r="113" spans="1:16" ht="15">
      <c r="A113" s="440">
        <v>110</v>
      </c>
      <c r="B113" s="538" t="s">
        <v>698</v>
      </c>
      <c r="C113" s="538" t="s">
        <v>11981</v>
      </c>
      <c r="D113" s="540" t="s">
        <v>11981</v>
      </c>
      <c r="E113" s="538" t="s">
        <v>11981</v>
      </c>
      <c r="F113" s="538" t="s">
        <v>698</v>
      </c>
      <c r="G113" s="538" t="s">
        <v>11981</v>
      </c>
      <c r="H113" s="538" t="s">
        <v>11981</v>
      </c>
      <c r="I113" s="538" t="s">
        <v>698</v>
      </c>
      <c r="J113" s="538" t="s">
        <v>698</v>
      </c>
      <c r="K113" s="538" t="s">
        <v>11981</v>
      </c>
      <c r="L113" s="538" t="str">
        <f>B113</f>
        <v xml:space="preserve"> </v>
      </c>
      <c r="M113" s="538" t="str">
        <f>B113</f>
        <v xml:space="preserve"> </v>
      </c>
      <c r="P113">
        <v>103</v>
      </c>
    </row>
    <row r="114" spans="1:16" ht="15">
      <c r="A114" s="440">
        <v>111</v>
      </c>
      <c r="B114" s="538" t="s">
        <v>14500</v>
      </c>
      <c r="C114" s="538" t="s">
        <v>14501</v>
      </c>
      <c r="D114" s="547" t="s">
        <v>14502</v>
      </c>
      <c r="E114" s="546" t="s">
        <v>14503</v>
      </c>
      <c r="F114" s="538" t="s">
        <v>14507</v>
      </c>
      <c r="G114" s="546" t="s">
        <v>14508</v>
      </c>
      <c r="H114" s="538" t="s">
        <v>14504</v>
      </c>
      <c r="I114" s="538" t="s">
        <v>14510</v>
      </c>
      <c r="J114" s="545" t="s">
        <v>14511</v>
      </c>
      <c r="K114" s="538" t="s">
        <v>14505</v>
      </c>
      <c r="L114" s="538" t="s">
        <v>14506</v>
      </c>
      <c r="M114" s="538" t="s">
        <v>14512</v>
      </c>
      <c r="P114">
        <v>104</v>
      </c>
    </row>
    <row r="115" spans="1:16" ht="15">
      <c r="A115" s="440">
        <v>112</v>
      </c>
      <c r="B115" s="538" t="s">
        <v>9093</v>
      </c>
      <c r="C115" s="545" t="s">
        <v>9164</v>
      </c>
      <c r="D115" s="540" t="s">
        <v>3061</v>
      </c>
      <c r="E115" s="538" t="s">
        <v>9216</v>
      </c>
      <c r="F115" s="538" t="s">
        <v>13182</v>
      </c>
      <c r="G115" s="538" t="s">
        <v>11251</v>
      </c>
      <c r="H115" s="538" t="s">
        <v>9165</v>
      </c>
      <c r="I115" s="538" t="s">
        <v>13275</v>
      </c>
      <c r="J115" s="538" t="s">
        <v>13360</v>
      </c>
      <c r="K115" s="538" t="s">
        <v>9259</v>
      </c>
      <c r="L115" s="538" t="s">
        <v>9094</v>
      </c>
      <c r="M115" s="538" t="s">
        <v>11295</v>
      </c>
      <c r="N115" s="443"/>
      <c r="O115" s="443"/>
      <c r="P115">
        <v>105</v>
      </c>
    </row>
    <row r="116" spans="1:16" ht="15">
      <c r="A116" s="440">
        <v>113</v>
      </c>
      <c r="B116" s="538" t="s">
        <v>698</v>
      </c>
      <c r="C116" s="538" t="s">
        <v>11981</v>
      </c>
      <c r="D116" s="540" t="s">
        <v>11981</v>
      </c>
      <c r="E116" s="538" t="s">
        <v>11981</v>
      </c>
      <c r="F116" s="538" t="s">
        <v>698</v>
      </c>
      <c r="G116" s="538" t="s">
        <v>11981</v>
      </c>
      <c r="H116" s="538" t="s">
        <v>11981</v>
      </c>
      <c r="I116" s="538" t="s">
        <v>698</v>
      </c>
      <c r="J116" s="538" t="s">
        <v>698</v>
      </c>
      <c r="K116" s="538" t="s">
        <v>11981</v>
      </c>
      <c r="L116" s="538" t="str">
        <f>B116</f>
        <v xml:space="preserve"> </v>
      </c>
      <c r="M116" s="538" t="str">
        <f>B116</f>
        <v xml:space="preserve"> </v>
      </c>
      <c r="P116">
        <v>106</v>
      </c>
    </row>
    <row r="117" spans="1:16" ht="15">
      <c r="A117" s="440">
        <v>114</v>
      </c>
      <c r="B117" s="538" t="s">
        <v>9095</v>
      </c>
      <c r="C117" s="545" t="s">
        <v>9166</v>
      </c>
      <c r="D117" s="540" t="s">
        <v>3062</v>
      </c>
      <c r="E117" s="538" t="s">
        <v>9217</v>
      </c>
      <c r="F117" s="538" t="s">
        <v>13183</v>
      </c>
      <c r="G117" s="538" t="s">
        <v>11252</v>
      </c>
      <c r="H117" s="538" t="s">
        <v>9167</v>
      </c>
      <c r="I117" s="538" t="s">
        <v>13276</v>
      </c>
      <c r="J117" s="538" t="s">
        <v>13361</v>
      </c>
      <c r="K117" s="538" t="s">
        <v>9260</v>
      </c>
      <c r="L117" s="538" t="s">
        <v>9096</v>
      </c>
      <c r="M117" s="538" t="s">
        <v>11296</v>
      </c>
      <c r="N117" s="443"/>
      <c r="O117" s="443"/>
      <c r="P117">
        <v>107</v>
      </c>
    </row>
    <row r="118" spans="1:16" ht="15">
      <c r="A118" s="440">
        <v>115</v>
      </c>
      <c r="B118" s="538" t="s">
        <v>9097</v>
      </c>
      <c r="C118" s="542" t="s">
        <v>2456</v>
      </c>
      <c r="D118" s="542" t="s">
        <v>2456</v>
      </c>
      <c r="E118" s="542" t="s">
        <v>2456</v>
      </c>
      <c r="F118" s="542" t="s">
        <v>2456</v>
      </c>
      <c r="G118" s="542" t="s">
        <v>2456</v>
      </c>
      <c r="H118" s="542" t="s">
        <v>2456</v>
      </c>
      <c r="I118" s="542" t="s">
        <v>13277</v>
      </c>
      <c r="J118" s="542" t="s">
        <v>13184</v>
      </c>
      <c r="K118" s="542" t="s">
        <v>2456</v>
      </c>
      <c r="L118" s="542" t="s">
        <v>2456</v>
      </c>
      <c r="M118" s="542" t="s">
        <v>2456</v>
      </c>
      <c r="P118">
        <v>108</v>
      </c>
    </row>
    <row r="119" spans="1:16" ht="15">
      <c r="A119" s="440">
        <v>116</v>
      </c>
      <c r="B119" s="538" t="s">
        <v>698</v>
      </c>
      <c r="C119" s="538" t="s">
        <v>11981</v>
      </c>
      <c r="D119" s="540" t="s">
        <v>11981</v>
      </c>
      <c r="E119" s="538" t="s">
        <v>11981</v>
      </c>
      <c r="F119" s="538" t="s">
        <v>698</v>
      </c>
      <c r="G119" s="538" t="s">
        <v>11981</v>
      </c>
      <c r="H119" s="538" t="s">
        <v>11981</v>
      </c>
      <c r="I119" s="538" t="s">
        <v>698</v>
      </c>
      <c r="J119" s="538" t="s">
        <v>698</v>
      </c>
      <c r="K119" s="538" t="s">
        <v>11981</v>
      </c>
      <c r="L119" s="538" t="str">
        <f>B119</f>
        <v xml:space="preserve"> </v>
      </c>
      <c r="M119" s="538" t="str">
        <f>B119</f>
        <v xml:space="preserve"> </v>
      </c>
      <c r="P119">
        <v>109</v>
      </c>
    </row>
    <row r="120" spans="1:16" ht="15">
      <c r="A120" s="440">
        <v>117</v>
      </c>
      <c r="B120" s="538" t="s">
        <v>9098</v>
      </c>
      <c r="C120" s="545" t="s">
        <v>2458</v>
      </c>
      <c r="D120" s="540" t="s">
        <v>2458</v>
      </c>
      <c r="E120" s="538" t="s">
        <v>9218</v>
      </c>
      <c r="F120" s="538" t="s">
        <v>13185</v>
      </c>
      <c r="G120" s="538" t="s">
        <v>11253</v>
      </c>
      <c r="H120" s="538" t="s">
        <v>9168</v>
      </c>
      <c r="I120" s="538" t="s">
        <v>13278</v>
      </c>
      <c r="J120" s="538" t="s">
        <v>13362</v>
      </c>
      <c r="K120" s="538" t="s">
        <v>9261</v>
      </c>
      <c r="L120" s="538" t="s">
        <v>9099</v>
      </c>
      <c r="M120" s="538" t="s">
        <v>11297</v>
      </c>
      <c r="P120">
        <v>110</v>
      </c>
    </row>
    <row r="121" spans="1:16" ht="15">
      <c r="A121" s="440">
        <v>118</v>
      </c>
      <c r="B121" s="538" t="s">
        <v>698</v>
      </c>
      <c r="C121" s="538" t="s">
        <v>11981</v>
      </c>
      <c r="D121" s="540" t="s">
        <v>11981</v>
      </c>
      <c r="E121" s="538" t="s">
        <v>11981</v>
      </c>
      <c r="F121" s="538" t="s">
        <v>698</v>
      </c>
      <c r="G121" s="538" t="s">
        <v>11981</v>
      </c>
      <c r="H121" s="538" t="s">
        <v>11981</v>
      </c>
      <c r="I121" s="538" t="s">
        <v>698</v>
      </c>
      <c r="J121" s="538" t="s">
        <v>698</v>
      </c>
      <c r="K121" s="538" t="s">
        <v>11981</v>
      </c>
      <c r="L121" s="538" t="str">
        <f>B121</f>
        <v xml:space="preserve"> </v>
      </c>
      <c r="M121" s="538" t="str">
        <f>B121</f>
        <v xml:space="preserve"> </v>
      </c>
      <c r="P121">
        <v>111</v>
      </c>
    </row>
    <row r="122" spans="1:16" ht="15">
      <c r="A122" s="440">
        <v>119</v>
      </c>
      <c r="B122" s="538" t="s">
        <v>2902</v>
      </c>
      <c r="C122" s="543" t="s">
        <v>12300</v>
      </c>
      <c r="D122" s="540" t="s">
        <v>2459</v>
      </c>
      <c r="E122" s="538" t="s">
        <v>9219</v>
      </c>
      <c r="F122" s="538" t="s">
        <v>13186</v>
      </c>
      <c r="G122" s="538" t="s">
        <v>11254</v>
      </c>
      <c r="H122" s="538" t="s">
        <v>9169</v>
      </c>
      <c r="I122" s="538" t="s">
        <v>13279</v>
      </c>
      <c r="J122" s="538" t="s">
        <v>13363</v>
      </c>
      <c r="K122" s="538" t="s">
        <v>9262</v>
      </c>
      <c r="L122" s="538" t="s">
        <v>9100</v>
      </c>
      <c r="M122" s="538" t="s">
        <v>11298</v>
      </c>
      <c r="P122">
        <v>112</v>
      </c>
    </row>
    <row r="123" spans="1:16" ht="15">
      <c r="A123" s="440">
        <v>120</v>
      </c>
      <c r="B123" s="538" t="s">
        <v>698</v>
      </c>
      <c r="C123" s="538" t="s">
        <v>11981</v>
      </c>
      <c r="D123" s="540" t="s">
        <v>11981</v>
      </c>
      <c r="E123" s="538" t="s">
        <v>11981</v>
      </c>
      <c r="F123" s="538" t="s">
        <v>698</v>
      </c>
      <c r="G123" s="538" t="s">
        <v>11981</v>
      </c>
      <c r="H123" s="538" t="s">
        <v>11981</v>
      </c>
      <c r="I123" s="538" t="s">
        <v>698</v>
      </c>
      <c r="J123" s="538" t="s">
        <v>698</v>
      </c>
      <c r="K123" s="538" t="s">
        <v>11981</v>
      </c>
      <c r="L123" s="538" t="str">
        <f>B123</f>
        <v xml:space="preserve"> </v>
      </c>
      <c r="M123" s="538" t="str">
        <f>B123</f>
        <v xml:space="preserve"> </v>
      </c>
      <c r="P123">
        <v>113</v>
      </c>
    </row>
    <row r="124" spans="1:16" ht="15">
      <c r="A124" s="440">
        <v>121</v>
      </c>
      <c r="B124" s="538" t="s">
        <v>12568</v>
      </c>
      <c r="C124" s="538" t="s">
        <v>12569</v>
      </c>
      <c r="D124" s="540" t="s">
        <v>12569</v>
      </c>
      <c r="E124" s="538" t="s">
        <v>12570</v>
      </c>
      <c r="F124" s="538" t="s">
        <v>13187</v>
      </c>
      <c r="G124" s="538" t="s">
        <v>11255</v>
      </c>
      <c r="H124" s="538" t="s">
        <v>12571</v>
      </c>
      <c r="I124" s="538" t="s">
        <v>13280</v>
      </c>
      <c r="J124" s="538" t="s">
        <v>13364</v>
      </c>
      <c r="K124" s="545" t="s">
        <v>12572</v>
      </c>
      <c r="L124" s="538" t="s">
        <v>9101</v>
      </c>
      <c r="M124" s="538" t="s">
        <v>12573</v>
      </c>
      <c r="P124">
        <v>114</v>
      </c>
    </row>
    <row r="125" spans="1:16" ht="15">
      <c r="A125" s="440">
        <v>122</v>
      </c>
      <c r="B125" s="538" t="s">
        <v>12695</v>
      </c>
      <c r="C125" s="538" t="s">
        <v>12698</v>
      </c>
      <c r="D125" s="540" t="s">
        <v>12697</v>
      </c>
      <c r="E125" s="538" t="s">
        <v>12699</v>
      </c>
      <c r="F125" s="538" t="s">
        <v>13188</v>
      </c>
      <c r="G125" s="538" t="s">
        <v>12700</v>
      </c>
      <c r="H125" s="538" t="s">
        <v>12696</v>
      </c>
      <c r="I125" s="538" t="s">
        <v>13281</v>
      </c>
      <c r="J125" s="538" t="s">
        <v>13365</v>
      </c>
      <c r="K125" s="545" t="s">
        <v>12701</v>
      </c>
      <c r="L125" s="538" t="s">
        <v>12702</v>
      </c>
      <c r="M125" s="538" t="s">
        <v>12703</v>
      </c>
      <c r="P125">
        <v>115</v>
      </c>
    </row>
    <row r="126" spans="1:16" ht="15">
      <c r="A126" s="440">
        <v>123</v>
      </c>
      <c r="B126" s="538" t="s">
        <v>12704</v>
      </c>
      <c r="C126" s="538" t="s">
        <v>12712</v>
      </c>
      <c r="D126" s="540" t="s">
        <v>12711</v>
      </c>
      <c r="E126" s="538" t="s">
        <v>12710</v>
      </c>
      <c r="F126" s="538" t="s">
        <v>13189</v>
      </c>
      <c r="G126" s="538" t="s">
        <v>12709</v>
      </c>
      <c r="H126" s="538" t="s">
        <v>12708</v>
      </c>
      <c r="I126" s="538" t="s">
        <v>13282</v>
      </c>
      <c r="J126" s="538" t="s">
        <v>13366</v>
      </c>
      <c r="K126" s="545" t="s">
        <v>12707</v>
      </c>
      <c r="L126" s="538" t="s">
        <v>12706</v>
      </c>
      <c r="M126" s="538" t="s">
        <v>12705</v>
      </c>
      <c r="P126">
        <v>116</v>
      </c>
    </row>
    <row r="127" spans="1:16" ht="15">
      <c r="A127" s="440">
        <v>124</v>
      </c>
      <c r="B127" s="538" t="s">
        <v>698</v>
      </c>
      <c r="C127" s="538" t="s">
        <v>11981</v>
      </c>
      <c r="D127" s="540" t="s">
        <v>11981</v>
      </c>
      <c r="E127" s="538" t="s">
        <v>11981</v>
      </c>
      <c r="F127" s="538" t="s">
        <v>698</v>
      </c>
      <c r="G127" s="538" t="s">
        <v>11981</v>
      </c>
      <c r="H127" s="538" t="s">
        <v>11981</v>
      </c>
      <c r="I127" s="538" t="s">
        <v>698</v>
      </c>
      <c r="J127" s="538" t="s">
        <v>698</v>
      </c>
      <c r="K127" s="538" t="s">
        <v>11981</v>
      </c>
      <c r="L127" s="538" t="str">
        <f>B127</f>
        <v xml:space="preserve"> </v>
      </c>
      <c r="M127" s="538" t="str">
        <f>B127</f>
        <v xml:space="preserve"> </v>
      </c>
      <c r="P127">
        <v>117</v>
      </c>
    </row>
    <row r="128" spans="1:16" ht="15">
      <c r="A128" s="440">
        <v>125</v>
      </c>
      <c r="B128" s="538" t="s">
        <v>2368</v>
      </c>
      <c r="C128" s="545" t="s">
        <v>2457</v>
      </c>
      <c r="D128" s="540" t="s">
        <v>2457</v>
      </c>
      <c r="E128" s="538" t="s">
        <v>9220</v>
      </c>
      <c r="F128" s="538" t="s">
        <v>13190</v>
      </c>
      <c r="G128" s="538" t="s">
        <v>11256</v>
      </c>
      <c r="H128" s="538" t="s">
        <v>9170</v>
      </c>
      <c r="I128" s="538" t="s">
        <v>13283</v>
      </c>
      <c r="J128" s="538" t="s">
        <v>13367</v>
      </c>
      <c r="K128" s="545" t="s">
        <v>9263</v>
      </c>
      <c r="L128" s="538" t="s">
        <v>9102</v>
      </c>
      <c r="M128" s="538" t="s">
        <v>11299</v>
      </c>
      <c r="P128">
        <v>118</v>
      </c>
    </row>
    <row r="129" spans="1:16" ht="15">
      <c r="A129" s="440">
        <v>126</v>
      </c>
      <c r="B129" s="538" t="s">
        <v>698</v>
      </c>
      <c r="C129" s="545" t="s">
        <v>11981</v>
      </c>
      <c r="D129" s="540" t="s">
        <v>11981</v>
      </c>
      <c r="E129" s="538" t="s">
        <v>11981</v>
      </c>
      <c r="F129" s="538" t="s">
        <v>698</v>
      </c>
      <c r="G129" s="538" t="s">
        <v>11981</v>
      </c>
      <c r="H129" s="538" t="s">
        <v>11981</v>
      </c>
      <c r="I129" s="538" t="s">
        <v>698</v>
      </c>
      <c r="J129" s="538" t="s">
        <v>698</v>
      </c>
      <c r="K129" s="538" t="s">
        <v>11981</v>
      </c>
      <c r="L129" s="538" t="str">
        <f>B129</f>
        <v xml:space="preserve"> </v>
      </c>
      <c r="M129" s="538" t="str">
        <f>B129</f>
        <v xml:space="preserve"> </v>
      </c>
      <c r="N129" s="443"/>
      <c r="O129" s="443"/>
      <c r="P129">
        <v>119</v>
      </c>
    </row>
    <row r="130" spans="1:16" ht="15">
      <c r="A130" s="440">
        <v>127</v>
      </c>
      <c r="B130" s="538" t="s">
        <v>13925</v>
      </c>
      <c r="C130" s="538" t="s">
        <v>13926</v>
      </c>
      <c r="D130" s="540" t="s">
        <v>13927</v>
      </c>
      <c r="E130" s="538" t="s">
        <v>13928</v>
      </c>
      <c r="F130" s="538" t="s">
        <v>13929</v>
      </c>
      <c r="G130" s="538" t="s">
        <v>12575</v>
      </c>
      <c r="H130" s="538" t="s">
        <v>13930</v>
      </c>
      <c r="I130" s="538" t="s">
        <v>13284</v>
      </c>
      <c r="J130" s="538" t="s">
        <v>13931</v>
      </c>
      <c r="K130" s="545" t="s">
        <v>13932</v>
      </c>
      <c r="L130" s="538" t="s">
        <v>13933</v>
      </c>
      <c r="M130" s="538" t="s">
        <v>13934</v>
      </c>
      <c r="P130">
        <v>120</v>
      </c>
    </row>
    <row r="131" spans="1:16" ht="15">
      <c r="A131" s="440">
        <v>128</v>
      </c>
      <c r="B131" s="538" t="s">
        <v>13935</v>
      </c>
      <c r="C131" s="545" t="s">
        <v>13936</v>
      </c>
      <c r="D131" s="540" t="s">
        <v>13937</v>
      </c>
      <c r="E131" s="538" t="s">
        <v>13938</v>
      </c>
      <c r="F131" s="538" t="s">
        <v>13939</v>
      </c>
      <c r="G131" s="538" t="s">
        <v>12576</v>
      </c>
      <c r="H131" s="538" t="s">
        <v>13940</v>
      </c>
      <c r="I131" s="538" t="s">
        <v>13285</v>
      </c>
      <c r="J131" s="538" t="s">
        <v>13941</v>
      </c>
      <c r="K131" s="545" t="s">
        <v>13942</v>
      </c>
      <c r="L131" s="538" t="s">
        <v>13943</v>
      </c>
      <c r="M131" s="538" t="s">
        <v>13944</v>
      </c>
      <c r="P131">
        <v>121</v>
      </c>
    </row>
    <row r="132" spans="1:16" ht="15">
      <c r="A132" s="440">
        <v>129</v>
      </c>
      <c r="B132" s="538" t="s">
        <v>13945</v>
      </c>
      <c r="C132" s="545" t="s">
        <v>13946</v>
      </c>
      <c r="D132" s="540" t="s">
        <v>13947</v>
      </c>
      <c r="E132" s="538" t="s">
        <v>13948</v>
      </c>
      <c r="F132" s="538" t="s">
        <v>13949</v>
      </c>
      <c r="G132" s="538" t="s">
        <v>13950</v>
      </c>
      <c r="H132" s="538" t="s">
        <v>13951</v>
      </c>
      <c r="I132" s="538" t="s">
        <v>13286</v>
      </c>
      <c r="J132" s="538" t="s">
        <v>13952</v>
      </c>
      <c r="K132" s="545" t="s">
        <v>13953</v>
      </c>
      <c r="L132" s="538" t="s">
        <v>13954</v>
      </c>
      <c r="M132" s="538" t="s">
        <v>13955</v>
      </c>
      <c r="P132">
        <v>122</v>
      </c>
    </row>
    <row r="133" spans="1:16" ht="15">
      <c r="A133" s="440">
        <v>130</v>
      </c>
      <c r="B133" s="538" t="s">
        <v>13956</v>
      </c>
      <c r="C133" s="545" t="s">
        <v>13957</v>
      </c>
      <c r="D133" s="540" t="s">
        <v>13958</v>
      </c>
      <c r="E133" s="538" t="s">
        <v>13959</v>
      </c>
      <c r="F133" s="538" t="s">
        <v>13960</v>
      </c>
      <c r="G133" s="538" t="s">
        <v>12577</v>
      </c>
      <c r="H133" s="538" t="s">
        <v>13961</v>
      </c>
      <c r="I133" s="538" t="s">
        <v>13287</v>
      </c>
      <c r="J133" s="538" t="s">
        <v>13962</v>
      </c>
      <c r="K133" s="545" t="s">
        <v>13963</v>
      </c>
      <c r="L133" s="538" t="s">
        <v>13964</v>
      </c>
      <c r="M133" s="538" t="s">
        <v>13965</v>
      </c>
      <c r="P133">
        <v>123</v>
      </c>
    </row>
    <row r="134" spans="1:16" ht="15">
      <c r="A134" s="440">
        <v>131</v>
      </c>
      <c r="B134" s="538" t="s">
        <v>13966</v>
      </c>
      <c r="C134" s="538" t="s">
        <v>13967</v>
      </c>
      <c r="D134" s="540" t="s">
        <v>13968</v>
      </c>
      <c r="E134" s="538" t="s">
        <v>13969</v>
      </c>
      <c r="F134" s="538" t="s">
        <v>13970</v>
      </c>
      <c r="G134" s="538" t="s">
        <v>12578</v>
      </c>
      <c r="H134" s="538" t="s">
        <v>13971</v>
      </c>
      <c r="I134" s="538" t="s">
        <v>13288</v>
      </c>
      <c r="J134" s="538" t="s">
        <v>13972</v>
      </c>
      <c r="K134" s="545" t="s">
        <v>13973</v>
      </c>
      <c r="L134" s="538" t="s">
        <v>13974</v>
      </c>
      <c r="M134" s="538" t="s">
        <v>13975</v>
      </c>
      <c r="P134">
        <v>124</v>
      </c>
    </row>
    <row r="135" spans="1:16" ht="15">
      <c r="A135" s="440">
        <v>132</v>
      </c>
      <c r="B135" s="538" t="s">
        <v>13976</v>
      </c>
      <c r="C135" s="545" t="s">
        <v>13977</v>
      </c>
      <c r="D135" s="540" t="s">
        <v>13978</v>
      </c>
      <c r="E135" s="538" t="s">
        <v>13979</v>
      </c>
      <c r="F135" s="538" t="s">
        <v>13980</v>
      </c>
      <c r="G135" s="538" t="s">
        <v>12579</v>
      </c>
      <c r="H135" s="538" t="s">
        <v>13981</v>
      </c>
      <c r="I135" s="538" t="s">
        <v>13289</v>
      </c>
      <c r="J135" s="538" t="s">
        <v>13982</v>
      </c>
      <c r="K135" s="545" t="s">
        <v>13983</v>
      </c>
      <c r="L135" s="538" t="s">
        <v>13984</v>
      </c>
      <c r="M135" s="538" t="s">
        <v>13985</v>
      </c>
      <c r="P135">
        <v>125</v>
      </c>
    </row>
    <row r="136" spans="1:16" ht="15">
      <c r="A136" s="440">
        <v>133</v>
      </c>
      <c r="B136" s="538" t="s">
        <v>13986</v>
      </c>
      <c r="C136" s="538" t="s">
        <v>13987</v>
      </c>
      <c r="D136" s="540" t="s">
        <v>13988</v>
      </c>
      <c r="E136" s="538" t="s">
        <v>13989</v>
      </c>
      <c r="F136" s="538" t="s">
        <v>13990</v>
      </c>
      <c r="G136" s="538" t="s">
        <v>12580</v>
      </c>
      <c r="H136" s="538" t="s">
        <v>13991</v>
      </c>
      <c r="I136" s="538" t="s">
        <v>13290</v>
      </c>
      <c r="J136" s="538" t="s">
        <v>13992</v>
      </c>
      <c r="K136" s="545" t="s">
        <v>13993</v>
      </c>
      <c r="L136" s="538" t="s">
        <v>13994</v>
      </c>
      <c r="M136" s="538" t="s">
        <v>13995</v>
      </c>
      <c r="P136">
        <v>126</v>
      </c>
    </row>
    <row r="137" spans="1:16" ht="15">
      <c r="A137" s="440">
        <v>134</v>
      </c>
      <c r="B137" s="538" t="s">
        <v>13996</v>
      </c>
      <c r="C137" s="538" t="s">
        <v>13997</v>
      </c>
      <c r="D137" s="540" t="s">
        <v>13998</v>
      </c>
      <c r="E137" s="538" t="s">
        <v>13999</v>
      </c>
      <c r="F137" s="538" t="s">
        <v>14000</v>
      </c>
      <c r="G137" s="538" t="s">
        <v>12581</v>
      </c>
      <c r="H137" s="538" t="s">
        <v>14001</v>
      </c>
      <c r="I137" s="538" t="s">
        <v>13291</v>
      </c>
      <c r="J137" s="538" t="s">
        <v>14002</v>
      </c>
      <c r="K137" s="545" t="s">
        <v>14003</v>
      </c>
      <c r="L137" s="538" t="s">
        <v>14004</v>
      </c>
      <c r="M137" s="538" t="s">
        <v>14005</v>
      </c>
      <c r="P137">
        <v>127</v>
      </c>
    </row>
    <row r="138" spans="1:16" ht="15">
      <c r="A138" s="440">
        <v>135</v>
      </c>
      <c r="B138" s="538" t="s">
        <v>14006</v>
      </c>
      <c r="C138" s="538" t="s">
        <v>14007</v>
      </c>
      <c r="D138" s="540" t="s">
        <v>14008</v>
      </c>
      <c r="E138" s="538" t="s">
        <v>14009</v>
      </c>
      <c r="F138" s="538" t="s">
        <v>14010</v>
      </c>
      <c r="G138" s="538" t="s">
        <v>12582</v>
      </c>
      <c r="H138" s="538" t="s">
        <v>14011</v>
      </c>
      <c r="I138" s="538" t="s">
        <v>13292</v>
      </c>
      <c r="J138" s="538" t="s">
        <v>14012</v>
      </c>
      <c r="K138" s="545" t="s">
        <v>14013</v>
      </c>
      <c r="L138" s="538" t="s">
        <v>14014</v>
      </c>
      <c r="M138" s="538" t="s">
        <v>12574</v>
      </c>
      <c r="P138">
        <v>128</v>
      </c>
    </row>
    <row r="139" spans="1:16" ht="15">
      <c r="A139" s="440">
        <v>136</v>
      </c>
      <c r="B139" s="538" t="s">
        <v>698</v>
      </c>
      <c r="C139" s="538" t="s">
        <v>11981</v>
      </c>
      <c r="D139" s="540" t="s">
        <v>11981</v>
      </c>
      <c r="E139" s="538" t="s">
        <v>11981</v>
      </c>
      <c r="F139" s="538" t="s">
        <v>698</v>
      </c>
      <c r="G139" s="538" t="s">
        <v>11981</v>
      </c>
      <c r="H139" s="538" t="s">
        <v>11981</v>
      </c>
      <c r="I139" s="538" t="s">
        <v>698</v>
      </c>
      <c r="J139" s="538" t="s">
        <v>698</v>
      </c>
      <c r="K139" s="538" t="s">
        <v>11981</v>
      </c>
      <c r="L139" s="538" t="str">
        <f>B139</f>
        <v xml:space="preserve"> </v>
      </c>
      <c r="M139" s="538" t="str">
        <f>B139</f>
        <v xml:space="preserve"> </v>
      </c>
      <c r="P139">
        <v>129</v>
      </c>
    </row>
    <row r="140" spans="1:16" ht="15">
      <c r="A140" s="440">
        <v>137</v>
      </c>
      <c r="B140" s="538" t="s">
        <v>14015</v>
      </c>
      <c r="C140" s="538" t="s">
        <v>14016</v>
      </c>
      <c r="D140" s="540" t="s">
        <v>14017</v>
      </c>
      <c r="E140" s="538" t="s">
        <v>14018</v>
      </c>
      <c r="F140" s="538" t="s">
        <v>14019</v>
      </c>
      <c r="G140" s="538" t="s">
        <v>14020</v>
      </c>
      <c r="H140" s="538" t="s">
        <v>14021</v>
      </c>
      <c r="I140" s="538" t="s">
        <v>14022</v>
      </c>
      <c r="J140" s="538" t="s">
        <v>14023</v>
      </c>
      <c r="K140" s="545" t="s">
        <v>14024</v>
      </c>
      <c r="L140" s="538" t="s">
        <v>14025</v>
      </c>
      <c r="M140" s="538" t="s">
        <v>14026</v>
      </c>
      <c r="P140">
        <v>130</v>
      </c>
    </row>
    <row r="141" spans="1:16" ht="15">
      <c r="A141" s="440">
        <v>138</v>
      </c>
      <c r="B141" s="538" t="s">
        <v>2369</v>
      </c>
      <c r="C141" s="538" t="s">
        <v>9171</v>
      </c>
      <c r="D141" s="540" t="s">
        <v>3063</v>
      </c>
      <c r="E141" s="538" t="s">
        <v>9221</v>
      </c>
      <c r="F141" s="538" t="s">
        <v>13191</v>
      </c>
      <c r="G141" s="538" t="s">
        <v>11257</v>
      </c>
      <c r="H141" s="538" t="s">
        <v>9172</v>
      </c>
      <c r="I141" s="538" t="s">
        <v>13293</v>
      </c>
      <c r="J141" s="538" t="s">
        <v>13368</v>
      </c>
      <c r="K141" s="545" t="s">
        <v>9264</v>
      </c>
      <c r="L141" s="538" t="s">
        <v>9103</v>
      </c>
      <c r="M141" s="538" t="s">
        <v>11300</v>
      </c>
      <c r="P141">
        <v>131</v>
      </c>
    </row>
    <row r="142" spans="1:16" ht="15">
      <c r="A142" s="440">
        <v>139</v>
      </c>
      <c r="B142" s="538" t="s">
        <v>2370</v>
      </c>
      <c r="C142" s="538" t="s">
        <v>9173</v>
      </c>
      <c r="D142" s="540" t="s">
        <v>3064</v>
      </c>
      <c r="E142" s="538" t="s">
        <v>9222</v>
      </c>
      <c r="F142" s="538" t="s">
        <v>13192</v>
      </c>
      <c r="G142" s="538" t="s">
        <v>11258</v>
      </c>
      <c r="H142" s="538" t="s">
        <v>9174</v>
      </c>
      <c r="I142" s="538" t="s">
        <v>13294</v>
      </c>
      <c r="J142" s="538" t="s">
        <v>13369</v>
      </c>
      <c r="K142" s="545" t="s">
        <v>9265</v>
      </c>
      <c r="L142" s="538" t="s">
        <v>9104</v>
      </c>
      <c r="M142" s="538" t="s">
        <v>11301</v>
      </c>
      <c r="P142">
        <v>132</v>
      </c>
    </row>
    <row r="143" spans="1:16" ht="15">
      <c r="A143" s="440">
        <v>140</v>
      </c>
      <c r="B143" s="538" t="s">
        <v>2371</v>
      </c>
      <c r="C143" s="545" t="s">
        <v>9175</v>
      </c>
      <c r="D143" s="540" t="s">
        <v>3065</v>
      </c>
      <c r="E143" s="538" t="s">
        <v>9223</v>
      </c>
      <c r="F143" s="538" t="s">
        <v>13193</v>
      </c>
      <c r="G143" s="538" t="s">
        <v>11259</v>
      </c>
      <c r="H143" s="538" t="s">
        <v>9176</v>
      </c>
      <c r="I143" s="538" t="s">
        <v>13295</v>
      </c>
      <c r="J143" s="538" t="s">
        <v>13370</v>
      </c>
      <c r="K143" s="548" t="s">
        <v>9266</v>
      </c>
      <c r="L143" s="538" t="s">
        <v>9105</v>
      </c>
      <c r="M143" s="538" t="s">
        <v>11302</v>
      </c>
      <c r="P143">
        <v>133</v>
      </c>
    </row>
    <row r="144" spans="1:16" ht="15">
      <c r="A144" s="440">
        <v>141</v>
      </c>
      <c r="B144" s="538" t="s">
        <v>2372</v>
      </c>
      <c r="C144" s="545" t="s">
        <v>9177</v>
      </c>
      <c r="D144" s="540" t="s">
        <v>3066</v>
      </c>
      <c r="E144" s="538" t="s">
        <v>9224</v>
      </c>
      <c r="F144" s="538" t="s">
        <v>13194</v>
      </c>
      <c r="G144" s="538" t="s">
        <v>11260</v>
      </c>
      <c r="H144" s="538" t="s">
        <v>9178</v>
      </c>
      <c r="I144" s="538" t="s">
        <v>13296</v>
      </c>
      <c r="J144" s="538" t="s">
        <v>13371</v>
      </c>
      <c r="K144" s="548" t="s">
        <v>9267</v>
      </c>
      <c r="L144" s="538" t="s">
        <v>9106</v>
      </c>
      <c r="M144" s="538" t="s">
        <v>11303</v>
      </c>
      <c r="P144">
        <v>134</v>
      </c>
    </row>
    <row r="145" spans="1:16" ht="15">
      <c r="A145" s="440">
        <v>142</v>
      </c>
      <c r="B145" s="538" t="s">
        <v>2373</v>
      </c>
      <c r="C145" s="538" t="s">
        <v>9179</v>
      </c>
      <c r="D145" s="540" t="s">
        <v>3067</v>
      </c>
      <c r="E145" s="538" t="s">
        <v>9225</v>
      </c>
      <c r="F145" s="538" t="s">
        <v>13195</v>
      </c>
      <c r="G145" s="538" t="s">
        <v>11261</v>
      </c>
      <c r="H145" s="538" t="s">
        <v>9180</v>
      </c>
      <c r="I145" s="538" t="s">
        <v>13297</v>
      </c>
      <c r="J145" s="538" t="s">
        <v>13372</v>
      </c>
      <c r="K145" s="548" t="s">
        <v>9268</v>
      </c>
      <c r="L145" s="538" t="s">
        <v>9107</v>
      </c>
      <c r="M145" s="538" t="s">
        <v>11304</v>
      </c>
      <c r="P145">
        <v>135</v>
      </c>
    </row>
    <row r="146" spans="1:16" ht="15">
      <c r="A146" s="440">
        <v>143</v>
      </c>
      <c r="B146" s="538" t="s">
        <v>2903</v>
      </c>
      <c r="C146" s="538" t="s">
        <v>9181</v>
      </c>
      <c r="D146" s="540" t="s">
        <v>3068</v>
      </c>
      <c r="E146" s="538" t="s">
        <v>9226</v>
      </c>
      <c r="F146" s="538" t="s">
        <v>13196</v>
      </c>
      <c r="G146" s="538" t="s">
        <v>11262</v>
      </c>
      <c r="H146" s="538" t="s">
        <v>9182</v>
      </c>
      <c r="I146" s="538" t="s">
        <v>13298</v>
      </c>
      <c r="J146" s="538" t="s">
        <v>13373</v>
      </c>
      <c r="K146" s="548" t="s">
        <v>9269</v>
      </c>
      <c r="L146" s="538" t="s">
        <v>9108</v>
      </c>
      <c r="M146" s="538" t="s">
        <v>11305</v>
      </c>
      <c r="P146">
        <v>136</v>
      </c>
    </row>
    <row r="147" spans="1:16" ht="15">
      <c r="A147" s="440">
        <v>144</v>
      </c>
      <c r="B147" s="538" t="s">
        <v>2904</v>
      </c>
      <c r="C147" s="538" t="s">
        <v>9183</v>
      </c>
      <c r="D147" s="540" t="s">
        <v>3069</v>
      </c>
      <c r="E147" s="538" t="s">
        <v>9227</v>
      </c>
      <c r="F147" s="538" t="s">
        <v>13197</v>
      </c>
      <c r="G147" s="538" t="s">
        <v>11263</v>
      </c>
      <c r="H147" s="538" t="s">
        <v>9184</v>
      </c>
      <c r="I147" s="538" t="s">
        <v>13299</v>
      </c>
      <c r="J147" s="538" t="s">
        <v>13374</v>
      </c>
      <c r="K147" s="548" t="s">
        <v>9270</v>
      </c>
      <c r="L147" s="538" t="s">
        <v>9109</v>
      </c>
      <c r="M147" s="538" t="s">
        <v>11306</v>
      </c>
      <c r="P147">
        <v>137</v>
      </c>
    </row>
    <row r="167" spans="1:13" ht="14.45" customHeight="1">
      <c r="A167" s="440">
        <v>901</v>
      </c>
      <c r="B167" s="538" t="s">
        <v>14772</v>
      </c>
      <c r="C167" s="538" t="s">
        <v>14776</v>
      </c>
      <c r="D167" s="538" t="s">
        <v>14780</v>
      </c>
      <c r="E167" s="538" t="s">
        <v>14784</v>
      </c>
      <c r="F167" s="538" t="s">
        <v>14788</v>
      </c>
      <c r="G167" s="538" t="s">
        <v>14792</v>
      </c>
      <c r="H167" s="538" t="s">
        <v>14796</v>
      </c>
      <c r="I167" s="538" t="s">
        <v>14800</v>
      </c>
      <c r="J167" s="538" t="s">
        <v>14804</v>
      </c>
      <c r="K167" s="538" t="s">
        <v>14808</v>
      </c>
      <c r="L167" s="538" t="s">
        <v>14812</v>
      </c>
      <c r="M167" s="538" t="s">
        <v>14816</v>
      </c>
    </row>
    <row r="168" spans="1:13" ht="14.45" customHeight="1">
      <c r="A168" s="440">
        <v>902</v>
      </c>
      <c r="B168" s="538" t="s">
        <v>14773</v>
      </c>
      <c r="C168" s="538" t="s">
        <v>14777</v>
      </c>
      <c r="D168" s="538" t="s">
        <v>14781</v>
      </c>
      <c r="E168" s="538" t="s">
        <v>14785</v>
      </c>
      <c r="F168" s="538" t="s">
        <v>14789</v>
      </c>
      <c r="G168" s="538" t="s">
        <v>14793</v>
      </c>
      <c r="H168" s="538" t="s">
        <v>14797</v>
      </c>
      <c r="I168" s="538" t="s">
        <v>14801</v>
      </c>
      <c r="J168" s="538" t="s">
        <v>14805</v>
      </c>
      <c r="K168" s="538" t="s">
        <v>14809</v>
      </c>
      <c r="L168" s="538" t="s">
        <v>14813</v>
      </c>
      <c r="M168" s="538" t="s">
        <v>14817</v>
      </c>
    </row>
    <row r="169" spans="1:13" ht="14.45" customHeight="1">
      <c r="A169" s="440">
        <v>903</v>
      </c>
      <c r="B169" s="538" t="s">
        <v>14774</v>
      </c>
      <c r="C169" s="538" t="s">
        <v>14778</v>
      </c>
      <c r="D169" s="538" t="s">
        <v>14782</v>
      </c>
      <c r="E169" s="538" t="s">
        <v>14786</v>
      </c>
      <c r="F169" s="538" t="s">
        <v>14790</v>
      </c>
      <c r="G169" s="538" t="s">
        <v>14794</v>
      </c>
      <c r="H169" s="538" t="s">
        <v>14798</v>
      </c>
      <c r="I169" s="538" t="s">
        <v>14802</v>
      </c>
      <c r="J169" s="538" t="s">
        <v>14806</v>
      </c>
      <c r="K169" s="538" t="s">
        <v>14810</v>
      </c>
      <c r="L169" s="538" t="s">
        <v>14814</v>
      </c>
      <c r="M169" s="538" t="s">
        <v>14818</v>
      </c>
    </row>
    <row r="170" spans="1:13" ht="14.45" customHeight="1">
      <c r="A170" s="440">
        <v>904</v>
      </c>
      <c r="B170" s="538" t="s">
        <v>14775</v>
      </c>
      <c r="C170" s="538" t="s">
        <v>14779</v>
      </c>
      <c r="D170" s="538" t="s">
        <v>14783</v>
      </c>
      <c r="E170" s="538" t="s">
        <v>14787</v>
      </c>
      <c r="F170" s="538" t="s">
        <v>14791</v>
      </c>
      <c r="G170" s="538" t="s">
        <v>14795</v>
      </c>
      <c r="H170" s="538" t="s">
        <v>14799</v>
      </c>
      <c r="I170" s="538" t="s">
        <v>14803</v>
      </c>
      <c r="J170" s="538" t="s">
        <v>14807</v>
      </c>
      <c r="K170" s="538" t="s">
        <v>14811</v>
      </c>
      <c r="L170" s="538" t="s">
        <v>14815</v>
      </c>
      <c r="M170" s="538" t="s">
        <v>14819</v>
      </c>
    </row>
    <row r="181" spans="3:3" ht="14.45" customHeight="1">
      <c r="C181" s="440"/>
    </row>
  </sheetData>
  <phoneticPr fontId="83" type="noConversion"/>
  <hyperlinks>
    <hyperlink ref="C118" r:id="rId1" xr:uid="{F77C6BEC-2AA0-4CA6-BC98-91D459077664}"/>
    <hyperlink ref="D118:M118"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56"/>
  <sheetViews>
    <sheetView topLeftCell="A920" workbookViewId="0">
      <selection activeCell="B943" sqref="B943"/>
    </sheetView>
  </sheetViews>
  <sheetFormatPr defaultRowHeight="15" customHeight="1"/>
  <cols>
    <col min="1" max="1" width="139.140625" style="235" customWidth="1"/>
    <col min="2" max="4" width="9.140625" style="235"/>
    <col min="5" max="5" width="18.5703125" style="235" bestFit="1" customWidth="1"/>
    <col min="6" max="11" width="9.140625" style="235"/>
  </cols>
  <sheetData>
    <row r="1" spans="1:4">
      <c r="A1" s="234"/>
      <c r="B1" s="235" t="s">
        <v>8982</v>
      </c>
      <c r="C1" s="235" t="s">
        <v>11858</v>
      </c>
      <c r="D1" s="235" t="str">
        <f>'General price list'!$W$17</f>
        <v>čeština</v>
      </c>
    </row>
    <row r="2" spans="1:4">
      <c r="A2" s="234"/>
    </row>
    <row r="3" spans="1:4">
      <c r="A3" s="234"/>
    </row>
    <row r="4" spans="1:4">
      <c r="A4" s="234"/>
    </row>
    <row r="5" spans="1:4">
      <c r="A5" s="234"/>
    </row>
    <row r="6" spans="1:4">
      <c r="A6" s="234"/>
    </row>
    <row r="7" spans="1:4">
      <c r="A7" s="234"/>
    </row>
    <row r="8" spans="1:4">
      <c r="A8" s="234"/>
    </row>
    <row r="9" spans="1:4">
      <c r="A9" s="234"/>
    </row>
    <row r="10" spans="1:4">
      <c r="A10" s="234"/>
    </row>
    <row r="11" spans="1:4">
      <c r="A11" s="234"/>
    </row>
    <row r="12" spans="1:4">
      <c r="A12" s="234"/>
    </row>
    <row r="13" spans="1:4">
      <c r="A13" s="234"/>
    </row>
    <row r="14" spans="1:4">
      <c r="A14" s="234"/>
    </row>
    <row r="15" spans="1:4">
      <c r="A15" s="234"/>
    </row>
    <row r="16" spans="1:4" ht="15.75" thickBot="1">
      <c r="A16" s="234"/>
    </row>
    <row r="17" spans="1:5" ht="15.75" thickTop="1">
      <c r="A17" s="236"/>
    </row>
    <row r="18" spans="1:5">
      <c r="A18" s="237" t="s">
        <v>11992</v>
      </c>
    </row>
    <row r="19" spans="1:5" ht="15.75" thickBot="1">
      <c r="A19" s="238" t="s">
        <v>11993</v>
      </c>
      <c r="B19" s="231" t="s">
        <v>18</v>
      </c>
      <c r="C19" s="231"/>
      <c r="D19" s="231"/>
      <c r="E19" s="232"/>
    </row>
    <row r="20" spans="1:5" ht="15.75" thickTop="1">
      <c r="A20" s="239" t="s">
        <v>11994</v>
      </c>
      <c r="B20" s="233" t="s">
        <v>3089</v>
      </c>
      <c r="C20" s="233"/>
      <c r="D20" s="233"/>
      <c r="E20" s="233"/>
    </row>
    <row r="21" spans="1:5" ht="15.75">
      <c r="A21" s="240" t="s">
        <v>6740</v>
      </c>
      <c r="B21" s="235" t="str">
        <f>IF(A21="","",IF('General price list'!$W$17=B20,A21,IFERROR(VLOOKUP(A21,Kategorie!C:AA,MATCH('General price list'!$W$17,Kategorie!$C$2:$AA$2,0),FALSE),"× Chybí překlad ×")))</f>
        <v>Dětská pyrotechnika</v>
      </c>
      <c r="C21" s="235" t="str">
        <f>IF(A21="","",IF(A21="x","×",$B$1&amp;B21))</f>
        <v xml:space="preserve">                                                               Dětská pyrotechnika</v>
      </c>
    </row>
    <row r="22" spans="1:5">
      <c r="A22" s="241" t="s">
        <v>24</v>
      </c>
      <c r="B22" s="235" t="str">
        <f>IF(A22="","",IF('General price list'!$W$17=B21,A22,IFERROR(VLOOKUP(A22,Kategorie!C:AA,MATCH('General price list'!$W$17,Kategorie!$C$2:$AA$2,0),FALSE),"× Chybí překlad ×")))</f>
        <v/>
      </c>
      <c r="C22" s="235" t="str">
        <f t="shared" ref="C22:C85" si="0">IF(A22="","",IF(A22="x","×",$B$1&amp;B22))</f>
        <v/>
      </c>
    </row>
    <row r="23" spans="1:5">
      <c r="A23" s="241" t="s">
        <v>13495</v>
      </c>
      <c r="B23" s="235" t="str">
        <f>IF(A23="","",IF('General price list'!$W$17=B22,A23,IFERROR(VLOOKUP(A23,Kategorie!C:AA,MATCH('General price list'!$W$17,Kategorie!$C$2:$AA$2,0),FALSE),"× Chybí překlad ×")))</f>
        <v>x</v>
      </c>
      <c r="C23" s="235" t="str">
        <f t="shared" si="0"/>
        <v>×</v>
      </c>
    </row>
    <row r="24" spans="1:5">
      <c r="A24" s="241" t="s">
        <v>13495</v>
      </c>
      <c r="B24" s="235" t="str">
        <f>IF(A24="","",IF('General price list'!$W$17=B23,A24,IFERROR(VLOOKUP(A24,Kategorie!C:AA,MATCH('General price list'!$W$17,Kategorie!$C$2:$AA$2,0),FALSE),"× Chybí překlad ×")))</f>
        <v>x</v>
      </c>
      <c r="C24" s="235" t="str">
        <f t="shared" si="0"/>
        <v>×</v>
      </c>
    </row>
    <row r="25" spans="1:5">
      <c r="A25" s="241" t="s">
        <v>13495</v>
      </c>
      <c r="B25" s="235" t="str">
        <f>IF(A25="","",IF('General price list'!$W$17=B24,A25,IFERROR(VLOOKUP(A25,Kategorie!C:AA,MATCH('General price list'!$W$17,Kategorie!$C$2:$AA$2,0),FALSE),"× Chybí překlad ×")))</f>
        <v>x</v>
      </c>
      <c r="C25" s="235" t="str">
        <f t="shared" si="0"/>
        <v>×</v>
      </c>
    </row>
    <row r="26" spans="1:5">
      <c r="A26" s="241" t="s">
        <v>24</v>
      </c>
      <c r="B26" s="235" t="str">
        <f>IF(A26="","",IF('General price list'!$W$17=B25,A26,IFERROR(VLOOKUP(A26,Kategorie!C:AA,MATCH('General price list'!$W$17,Kategorie!$C$2:$AA$2,0),FALSE),"× Chybí překlad ×")))</f>
        <v/>
      </c>
      <c r="C26" s="235" t="str">
        <f t="shared" si="0"/>
        <v/>
      </c>
    </row>
    <row r="27" spans="1:5">
      <c r="A27" s="241" t="s">
        <v>13495</v>
      </c>
      <c r="B27" s="235" t="str">
        <f>IF(A27="","",IF('General price list'!$W$17=B26,A27,IFERROR(VLOOKUP(A27,Kategorie!C:AA,MATCH('General price list'!$W$17,Kategorie!$C$2:$AA$2,0),FALSE),"× Chybí překlad ×")))</f>
        <v>x</v>
      </c>
      <c r="C27" s="235" t="str">
        <f t="shared" si="0"/>
        <v>×</v>
      </c>
    </row>
    <row r="28" spans="1:5">
      <c r="A28" s="241" t="s">
        <v>24</v>
      </c>
      <c r="B28" s="235" t="str">
        <f>IF(A28="","",IF('General price list'!$W$17=B27,A28,IFERROR(VLOOKUP(A28,Kategorie!C:AA,MATCH('General price list'!$W$17,Kategorie!$C$2:$AA$2,0),FALSE),"× Chybí překlad ×")))</f>
        <v/>
      </c>
      <c r="C28" s="235" t="str">
        <f t="shared" si="0"/>
        <v/>
      </c>
    </row>
    <row r="29" spans="1:5">
      <c r="A29" s="241" t="s">
        <v>24</v>
      </c>
      <c r="B29" s="235" t="str">
        <f>IF(A29="","",IF('General price list'!$W$17=B28,A29,IFERROR(VLOOKUP(A29,Kategorie!C:AA,MATCH('General price list'!$W$17,Kategorie!$C$2:$AA$2,0),FALSE),"× Chybí překlad ×")))</f>
        <v/>
      </c>
      <c r="C29" s="235" t="str">
        <f t="shared" si="0"/>
        <v/>
      </c>
    </row>
    <row r="30" spans="1:5">
      <c r="A30" s="241" t="s">
        <v>24</v>
      </c>
      <c r="B30" s="235" t="str">
        <f>IF(A30="","",IF('General price list'!$W$17=B29,A30,IFERROR(VLOOKUP(A30,Kategorie!C:AA,MATCH('General price list'!$W$17,Kategorie!$C$2:$AA$2,0),FALSE),"× Chybí překlad ×")))</f>
        <v/>
      </c>
      <c r="C30" s="235" t="str">
        <f t="shared" si="0"/>
        <v/>
      </c>
    </row>
    <row r="31" spans="1:5">
      <c r="A31" s="241" t="s">
        <v>24</v>
      </c>
      <c r="B31" s="235" t="str">
        <f>IF(A31="","",IF('General price list'!$W$17=B30,A31,IFERROR(VLOOKUP(A31,Kategorie!C:AA,MATCH('General price list'!$W$17,Kategorie!$C$2:$AA$2,0),FALSE),"× Chybí překlad ×")))</f>
        <v/>
      </c>
      <c r="C31" s="235" t="str">
        <f t="shared" si="0"/>
        <v/>
      </c>
    </row>
    <row r="32" spans="1:5">
      <c r="A32" s="241" t="s">
        <v>13495</v>
      </c>
      <c r="B32" s="235" t="str">
        <f>IF(A32="","",IF('General price list'!$W$17=B31,A32,IFERROR(VLOOKUP(A32,Kategorie!C:AA,MATCH('General price list'!$W$17,Kategorie!$C$2:$AA$2,0),FALSE),"× Chybí překlad ×")))</f>
        <v>x</v>
      </c>
      <c r="C32" s="235" t="str">
        <f t="shared" si="0"/>
        <v>×</v>
      </c>
    </row>
    <row r="33" spans="1:3">
      <c r="A33" s="241" t="s">
        <v>24</v>
      </c>
      <c r="B33" s="235" t="str">
        <f>IF(A33="","",IF('General price list'!$W$17=B32,A33,IFERROR(VLOOKUP(A33,Kategorie!C:AA,MATCH('General price list'!$W$17,Kategorie!$C$2:$AA$2,0),FALSE),"× Chybí překlad ×")))</f>
        <v/>
      </c>
      <c r="C33" s="235" t="str">
        <f t="shared" si="0"/>
        <v/>
      </c>
    </row>
    <row r="34" spans="1:3">
      <c r="A34" s="241" t="s">
        <v>24</v>
      </c>
      <c r="B34" s="235" t="str">
        <f>IF(A34="","",IF('General price list'!$W$17=B33,A34,IFERROR(VLOOKUP(A34,Kategorie!C:AA,MATCH('General price list'!$W$17,Kategorie!$C$2:$AA$2,0),FALSE),"× Chybí překlad ×")))</f>
        <v/>
      </c>
      <c r="C34" s="235" t="str">
        <f t="shared" si="0"/>
        <v/>
      </c>
    </row>
    <row r="35" spans="1:3">
      <c r="A35" s="241" t="s">
        <v>24</v>
      </c>
      <c r="B35" s="235" t="str">
        <f>IF(A35="","",IF('General price list'!$W$17=B34,A35,IFERROR(VLOOKUP(A35,Kategorie!C:AA,MATCH('General price list'!$W$17,Kategorie!$C$2:$AA$2,0),FALSE),"× Chybí překlad ×")))</f>
        <v/>
      </c>
      <c r="C35" s="235" t="str">
        <f t="shared" si="0"/>
        <v/>
      </c>
    </row>
    <row r="36" spans="1:3">
      <c r="A36" s="241" t="s">
        <v>13495</v>
      </c>
      <c r="B36" s="235" t="str">
        <f>IF(A36="","",IF('General price list'!$W$17=B35,A36,IFERROR(VLOOKUP(A36,Kategorie!C:AA,MATCH('General price list'!$W$17,Kategorie!$C$2:$AA$2,0),FALSE),"× Chybí překlad ×")))</f>
        <v>x</v>
      </c>
      <c r="C36" s="235" t="str">
        <f t="shared" si="0"/>
        <v>×</v>
      </c>
    </row>
    <row r="37" spans="1:3">
      <c r="A37" s="241" t="s">
        <v>24</v>
      </c>
      <c r="B37" s="235" t="str">
        <f>IF(A37="","",IF('General price list'!$W$17=B36,A37,IFERROR(VLOOKUP(A37,Kategorie!C:AA,MATCH('General price list'!$W$17,Kategorie!$C$2:$AA$2,0),FALSE),"× Chybí překlad ×")))</f>
        <v/>
      </c>
      <c r="C37" s="235" t="str">
        <f t="shared" si="0"/>
        <v/>
      </c>
    </row>
    <row r="38" spans="1:3">
      <c r="A38" s="241" t="s">
        <v>24</v>
      </c>
      <c r="B38" s="235" t="str">
        <f>IF(A38="","",IF('General price list'!$W$17=B37,A38,IFERROR(VLOOKUP(A38,Kategorie!C:AA,MATCH('General price list'!$W$17,Kategorie!$C$2:$AA$2,0),FALSE),"× Chybí překlad ×")))</f>
        <v/>
      </c>
      <c r="C38" s="235" t="str">
        <f t="shared" si="0"/>
        <v/>
      </c>
    </row>
    <row r="39" spans="1:3">
      <c r="A39" s="241" t="s">
        <v>13495</v>
      </c>
      <c r="B39" s="235" t="str">
        <f>IF(A39="","",IF('General price list'!$W$17=B38,A39,IFERROR(VLOOKUP(A39,Kategorie!C:AA,MATCH('General price list'!$W$17,Kategorie!$C$2:$AA$2,0),FALSE),"× Chybí překlad ×")))</f>
        <v>x</v>
      </c>
      <c r="C39" s="235" t="str">
        <f t="shared" si="0"/>
        <v>×</v>
      </c>
    </row>
    <row r="40" spans="1:3">
      <c r="A40" s="241" t="s">
        <v>24</v>
      </c>
      <c r="B40" s="235" t="str">
        <f>IF(A40="","",IF('General price list'!$W$17=B39,A40,IFERROR(VLOOKUP(A40,Kategorie!C:AA,MATCH('General price list'!$W$17,Kategorie!$C$2:$AA$2,0),FALSE),"× Chybí překlad ×")))</f>
        <v/>
      </c>
      <c r="C40" s="235" t="str">
        <f t="shared" si="0"/>
        <v/>
      </c>
    </row>
    <row r="41" spans="1:3">
      <c r="A41" s="241" t="s">
        <v>24</v>
      </c>
      <c r="B41" s="235" t="str">
        <f>IF(A41="","",IF('General price list'!$W$17=B40,A41,IFERROR(VLOOKUP(A41,Kategorie!C:AA,MATCH('General price list'!$W$17,Kategorie!$C$2:$AA$2,0),FALSE),"× Chybí překlad ×")))</f>
        <v/>
      </c>
      <c r="C41" s="235" t="str">
        <f t="shared" si="0"/>
        <v/>
      </c>
    </row>
    <row r="42" spans="1:3">
      <c r="A42" s="241" t="s">
        <v>13495</v>
      </c>
      <c r="B42" s="235" t="str">
        <f>IF(A42="","",IF('General price list'!$W$17=B41,A42,IFERROR(VLOOKUP(A42,Kategorie!C:AA,MATCH('General price list'!$W$17,Kategorie!$C$2:$AA$2,0),FALSE),"× Chybí překlad ×")))</f>
        <v>x</v>
      </c>
      <c r="C42" s="235" t="str">
        <f t="shared" si="0"/>
        <v>×</v>
      </c>
    </row>
    <row r="43" spans="1:3">
      <c r="A43" s="241" t="s">
        <v>24</v>
      </c>
      <c r="B43" s="235" t="str">
        <f>IF(A43="","",IF('General price list'!$W$17=B42,A43,IFERROR(VLOOKUP(A43,Kategorie!C:AA,MATCH('General price list'!$W$17,Kategorie!$C$2:$AA$2,0),FALSE),"× Chybí překlad ×")))</f>
        <v/>
      </c>
      <c r="C43" s="235" t="str">
        <f t="shared" si="0"/>
        <v/>
      </c>
    </row>
    <row r="44" spans="1:3">
      <c r="A44" s="241" t="s">
        <v>24</v>
      </c>
      <c r="B44" s="235" t="str">
        <f>IF(A44="","",IF('General price list'!$W$17=B43,A44,IFERROR(VLOOKUP(A44,Kategorie!C:AA,MATCH('General price list'!$W$17,Kategorie!$C$2:$AA$2,0),FALSE),"× Chybí překlad ×")))</f>
        <v/>
      </c>
      <c r="C44" s="235" t="str">
        <f t="shared" si="0"/>
        <v/>
      </c>
    </row>
    <row r="45" spans="1:3">
      <c r="A45" s="241" t="s">
        <v>24</v>
      </c>
      <c r="B45" s="235" t="str">
        <f>IF(A45="","",IF('General price list'!$W$17=B44,A45,IFERROR(VLOOKUP(A45,Kategorie!C:AA,MATCH('General price list'!$W$17,Kategorie!$C$2:$AA$2,0),FALSE),"× Chybí překlad ×")))</f>
        <v/>
      </c>
      <c r="C45" s="235" t="str">
        <f t="shared" si="0"/>
        <v/>
      </c>
    </row>
    <row r="46" spans="1:3">
      <c r="A46" s="241" t="s">
        <v>24</v>
      </c>
      <c r="B46" s="235" t="str">
        <f>IF(A46="","",IF('General price list'!$W$17=B45,A46,IFERROR(VLOOKUP(A46,Kategorie!C:AA,MATCH('General price list'!$W$17,Kategorie!$C$2:$AA$2,0),FALSE),"× Chybí překlad ×")))</f>
        <v/>
      </c>
      <c r="C46" s="235" t="str">
        <f t="shared" si="0"/>
        <v/>
      </c>
    </row>
    <row r="47" spans="1:3">
      <c r="A47" s="241" t="s">
        <v>24</v>
      </c>
      <c r="B47" s="235" t="str">
        <f>IF(A47="","",IF('General price list'!$W$17=B46,A47,IFERROR(VLOOKUP(A47,Kategorie!C:AA,MATCH('General price list'!$W$17,Kategorie!$C$2:$AA$2,0),FALSE),"× Chybí překlad ×")))</f>
        <v/>
      </c>
      <c r="C47" s="235" t="str">
        <f t="shared" si="0"/>
        <v/>
      </c>
    </row>
    <row r="48" spans="1:3">
      <c r="A48" s="241" t="s">
        <v>24</v>
      </c>
      <c r="B48" s="235" t="str">
        <f>IF(A48="","",IF('General price list'!$W$17=B47,A48,IFERROR(VLOOKUP(A48,Kategorie!C:AA,MATCH('General price list'!$W$17,Kategorie!$C$2:$AA$2,0),FALSE),"× Chybí překlad ×")))</f>
        <v/>
      </c>
      <c r="C48" s="235" t="str">
        <f t="shared" si="0"/>
        <v/>
      </c>
    </row>
    <row r="49" spans="1:3">
      <c r="A49" s="241" t="s">
        <v>13495</v>
      </c>
      <c r="B49" s="235" t="str">
        <f>IF(A49="","",IF('General price list'!$W$17=B48,A49,IFERROR(VLOOKUP(A49,Kategorie!C:AA,MATCH('General price list'!$W$17,Kategorie!$C$2:$AA$2,0),FALSE),"× Chybí překlad ×")))</f>
        <v>x</v>
      </c>
      <c r="C49" s="235" t="str">
        <f t="shared" si="0"/>
        <v>×</v>
      </c>
    </row>
    <row r="50" spans="1:3">
      <c r="A50" s="241" t="s">
        <v>13495</v>
      </c>
      <c r="B50" s="235" t="str">
        <f>IF(A50="","",IF('General price list'!$W$17=B49,A50,IFERROR(VLOOKUP(A50,Kategorie!C:AA,MATCH('General price list'!$W$17,Kategorie!$C$2:$AA$2,0),FALSE),"× Chybí překlad ×")))</f>
        <v>x</v>
      </c>
      <c r="C50" s="235" t="str">
        <f t="shared" si="0"/>
        <v>×</v>
      </c>
    </row>
    <row r="51" spans="1:3" ht="15.75">
      <c r="A51" s="240" t="s">
        <v>24</v>
      </c>
      <c r="B51" s="235" t="str">
        <f>IF(A51="","",IF('General price list'!$W$17=B50,A51,IFERROR(VLOOKUP(A51,Kategorie!C:AA,MATCH('General price list'!$W$17,Kategorie!$C$2:$AA$2,0),FALSE),"× Chybí překlad ×")))</f>
        <v/>
      </c>
      <c r="C51" s="235" t="str">
        <f t="shared" si="0"/>
        <v/>
      </c>
    </row>
    <row r="52" spans="1:3">
      <c r="A52" s="241" t="s">
        <v>24</v>
      </c>
      <c r="B52" s="235" t="str">
        <f>IF(A52="","",IF('General price list'!$W$17=B51,A52,IFERROR(VLOOKUP(A52,Kategorie!C:AA,MATCH('General price list'!$W$17,Kategorie!$C$2:$AA$2,0),FALSE),"× Chybí překlad ×")))</f>
        <v/>
      </c>
      <c r="C52" s="235" t="str">
        <f t="shared" si="0"/>
        <v/>
      </c>
    </row>
    <row r="53" spans="1:3">
      <c r="A53" s="241" t="s">
        <v>24</v>
      </c>
      <c r="B53" s="235" t="str">
        <f>IF(A53="","",IF('General price list'!$W$17=B52,A53,IFERROR(VLOOKUP(A53,Kategorie!C:AA,MATCH('General price list'!$W$17,Kategorie!$C$2:$AA$2,0),FALSE),"× Chybí překlad ×")))</f>
        <v/>
      </c>
      <c r="C53" s="235" t="str">
        <f t="shared" si="0"/>
        <v/>
      </c>
    </row>
    <row r="54" spans="1:3">
      <c r="A54" s="241" t="s">
        <v>24</v>
      </c>
      <c r="B54" s="235" t="str">
        <f>IF(A54="","",IF('General price list'!$W$17=B53,A54,IFERROR(VLOOKUP(A54,Kategorie!C:AA,MATCH('General price list'!$W$17,Kategorie!$C$2:$AA$2,0),FALSE),"× Chybí překlad ×")))</f>
        <v/>
      </c>
      <c r="C54" s="235" t="str">
        <f t="shared" si="0"/>
        <v/>
      </c>
    </row>
    <row r="55" spans="1:3">
      <c r="A55" s="241" t="s">
        <v>24</v>
      </c>
      <c r="B55" s="235" t="str">
        <f>IF(A55="","",IF('General price list'!$W$17=B54,A55,IFERROR(VLOOKUP(A55,Kategorie!C:AA,MATCH('General price list'!$W$17,Kategorie!$C$2:$AA$2,0),FALSE),"× Chybí překlad ×")))</f>
        <v/>
      </c>
      <c r="C55" s="235" t="str">
        <f t="shared" si="0"/>
        <v/>
      </c>
    </row>
    <row r="56" spans="1:3">
      <c r="A56" s="241" t="s">
        <v>6749</v>
      </c>
      <c r="B56" s="235" t="str">
        <f>IF(A56="","",IF('General price list'!$W$17=B55,A56,IFERROR(VLOOKUP(A56,Kategorie!C:AA,MATCH('General price list'!$W$17,Kategorie!$C$2:$AA$2,0),FALSE),"× Chybí překlad ×")))</f>
        <v>Létající předměty</v>
      </c>
      <c r="C56" s="235" t="str">
        <f t="shared" si="0"/>
        <v xml:space="preserve">                                                               Létající předměty</v>
      </c>
    </row>
    <row r="57" spans="1:3">
      <c r="A57" s="241" t="s">
        <v>24</v>
      </c>
      <c r="B57" s="235" t="str">
        <f>IF(A57="","",IF('General price list'!$W$17=B56,A57,IFERROR(VLOOKUP(A57,Kategorie!C:AA,MATCH('General price list'!$W$17,Kategorie!$C$2:$AA$2,0),FALSE),"× Chybí překlad ×")))</f>
        <v/>
      </c>
      <c r="C57" s="235" t="str">
        <f t="shared" si="0"/>
        <v/>
      </c>
    </row>
    <row r="58" spans="1:3">
      <c r="A58" s="241" t="s">
        <v>13495</v>
      </c>
      <c r="B58" s="235" t="str">
        <f>IF(A58="","",IF('General price list'!$W$17=B57,A58,IFERROR(VLOOKUP(A58,Kategorie!C:AA,MATCH('General price list'!$W$17,Kategorie!$C$2:$AA$2,0),FALSE),"× Chybí překlad ×")))</f>
        <v>x</v>
      </c>
      <c r="C58" s="235" t="str">
        <f t="shared" si="0"/>
        <v>×</v>
      </c>
    </row>
    <row r="59" spans="1:3">
      <c r="A59" s="241" t="s">
        <v>24</v>
      </c>
      <c r="B59" s="235" t="str">
        <f>IF(A59="","",IF('General price list'!$W$17=B58,A59,IFERROR(VLOOKUP(A59,Kategorie!C:AA,MATCH('General price list'!$W$17,Kategorie!$C$2:$AA$2,0),FALSE),"× Chybí překlad ×")))</f>
        <v/>
      </c>
      <c r="C59" s="235" t="str">
        <f t="shared" si="0"/>
        <v/>
      </c>
    </row>
    <row r="60" spans="1:3">
      <c r="A60" s="241" t="s">
        <v>24</v>
      </c>
      <c r="B60" s="235" t="str">
        <f>IF(A60="","",IF('General price list'!$W$17=B59,A60,IFERROR(VLOOKUP(A60,Kategorie!C:AA,MATCH('General price list'!$W$17,Kategorie!$C$2:$AA$2,0),FALSE),"× Chybí překlad ×")))</f>
        <v/>
      </c>
      <c r="C60" s="235" t="str">
        <f t="shared" si="0"/>
        <v/>
      </c>
    </row>
    <row r="61" spans="1:3">
      <c r="A61" s="241" t="s">
        <v>24</v>
      </c>
      <c r="B61" s="235" t="str">
        <f>IF(A61="","",IF('General price list'!$W$17=B60,A61,IFERROR(VLOOKUP(A61,Kategorie!C:AA,MATCH('General price list'!$W$17,Kategorie!$C$2:$AA$2,0),FALSE),"× Chybí překlad ×")))</f>
        <v/>
      </c>
      <c r="C61" s="235" t="str">
        <f t="shared" si="0"/>
        <v/>
      </c>
    </row>
    <row r="62" spans="1:3" ht="15.75">
      <c r="A62" s="240" t="s">
        <v>24</v>
      </c>
      <c r="B62" s="235" t="str">
        <f>IF(A62="","",IF('General price list'!$W$17=B61,A62,IFERROR(VLOOKUP(A62,Kategorie!C:AA,MATCH('General price list'!$W$17,Kategorie!$C$2:$AA$2,0),FALSE),"× Chybí překlad ×")))</f>
        <v/>
      </c>
      <c r="C62" s="235" t="str">
        <f t="shared" si="0"/>
        <v/>
      </c>
    </row>
    <row r="63" spans="1:3">
      <c r="A63" s="241" t="s">
        <v>24</v>
      </c>
      <c r="B63" s="235" t="str">
        <f>IF(A63="","",IF('General price list'!$W$17=B62,A63,IFERROR(VLOOKUP(A63,Kategorie!C:AA,MATCH('General price list'!$W$17,Kategorie!$C$2:$AA$2,0),FALSE),"× Chybí překlad ×")))</f>
        <v/>
      </c>
      <c r="C63" s="235" t="str">
        <f t="shared" si="0"/>
        <v/>
      </c>
    </row>
    <row r="64" spans="1:3">
      <c r="A64" s="241" t="s">
        <v>24</v>
      </c>
      <c r="B64" s="235" t="str">
        <f>IF(A64="","",IF('General price list'!$W$17=B63,A64,IFERROR(VLOOKUP(A64,Kategorie!C:AA,MATCH('General price list'!$W$17,Kategorie!$C$2:$AA$2,0),FALSE),"× Chybí překlad ×")))</f>
        <v/>
      </c>
      <c r="C64" s="235" t="str">
        <f t="shared" si="0"/>
        <v/>
      </c>
    </row>
    <row r="65" spans="1:3">
      <c r="A65" s="241" t="s">
        <v>24</v>
      </c>
      <c r="B65" s="235" t="str">
        <f>IF(A65="","",IF('General price list'!$W$17=B64,A65,IFERROR(VLOOKUP(A65,Kategorie!C:AA,MATCH('General price list'!$W$17,Kategorie!$C$2:$AA$2,0),FALSE),"× Chybí překlad ×")))</f>
        <v/>
      </c>
      <c r="C65" s="235" t="str">
        <f t="shared" si="0"/>
        <v/>
      </c>
    </row>
    <row r="66" spans="1:3">
      <c r="A66" s="241" t="s">
        <v>24</v>
      </c>
      <c r="B66" s="235" t="str">
        <f>IF(A66="","",IF('General price list'!$W$17=B65,A66,IFERROR(VLOOKUP(A66,Kategorie!C:AA,MATCH('General price list'!$W$17,Kategorie!$C$2:$AA$2,0),FALSE),"× Chybí překlad ×")))</f>
        <v/>
      </c>
      <c r="C66" s="235" t="str">
        <f t="shared" si="0"/>
        <v/>
      </c>
    </row>
    <row r="67" spans="1:3">
      <c r="A67" s="241" t="s">
        <v>24</v>
      </c>
      <c r="B67" s="235" t="str">
        <f>IF(A67="","",IF('General price list'!$W$17=B66,A67,IFERROR(VLOOKUP(A67,Kategorie!C:AA,MATCH('General price list'!$W$17,Kategorie!$C$2:$AA$2,0),FALSE),"× Chybí překlad ×")))</f>
        <v/>
      </c>
      <c r="C67" s="235" t="str">
        <f t="shared" si="0"/>
        <v/>
      </c>
    </row>
    <row r="68" spans="1:3">
      <c r="A68" s="241" t="s">
        <v>24</v>
      </c>
      <c r="B68" s="235" t="str">
        <f>IF(A68="","",IF('General price list'!$W$17=B67,A68,IFERROR(VLOOKUP(A68,Kategorie!C:AA,MATCH('General price list'!$W$17,Kategorie!$C$2:$AA$2,0),FALSE),"× Chybí překlad ×")))</f>
        <v/>
      </c>
      <c r="C68" s="235" t="str">
        <f t="shared" si="0"/>
        <v/>
      </c>
    </row>
    <row r="69" spans="1:3">
      <c r="A69" s="241" t="s">
        <v>6758</v>
      </c>
      <c r="B69" s="235" t="str">
        <f>IF(A69="","",IF('General price list'!$W$17=B68,A69,IFERROR(VLOOKUP(A69,Kategorie!C:AA,MATCH('General price list'!$W$17,Kategorie!$C$2:$AA$2,0),FALSE),"× Chybí překlad ×")))</f>
        <v>Rodinná balení</v>
      </c>
      <c r="C69" s="235" t="str">
        <f t="shared" si="0"/>
        <v xml:space="preserve">                                                               Rodinná balení</v>
      </c>
    </row>
    <row r="70" spans="1:3">
      <c r="A70" s="241" t="s">
        <v>24</v>
      </c>
      <c r="B70" s="235" t="str">
        <f>IF(A70="","",IF('General price list'!$W$17=B69,A70,IFERROR(VLOOKUP(A70,Kategorie!C:AA,MATCH('General price list'!$W$17,Kategorie!$C$2:$AA$2,0),FALSE),"× Chybí překlad ×")))</f>
        <v/>
      </c>
      <c r="C70" s="235" t="str">
        <f t="shared" si="0"/>
        <v/>
      </c>
    </row>
    <row r="71" spans="1:3" ht="15.75">
      <c r="A71" s="240" t="s">
        <v>13495</v>
      </c>
      <c r="B71" s="235" t="str">
        <f>IF(A71="","",IF('General price list'!$W$17=B70,A71,IFERROR(VLOOKUP(A71,Kategorie!C:AA,MATCH('General price list'!$W$17,Kategorie!$C$2:$AA$2,0),FALSE),"× Chybí překlad ×")))</f>
        <v>x</v>
      </c>
      <c r="C71" s="235" t="str">
        <f t="shared" si="0"/>
        <v>×</v>
      </c>
    </row>
    <row r="72" spans="1:3">
      <c r="A72" s="241" t="s">
        <v>24</v>
      </c>
      <c r="B72" s="235" t="str">
        <f>IF(A72="","",IF('General price list'!$W$17=B71,A72,IFERROR(VLOOKUP(A72,Kategorie!C:AA,MATCH('General price list'!$W$17,Kategorie!$C$2:$AA$2,0),FALSE),"× Chybí překlad ×")))</f>
        <v/>
      </c>
      <c r="C72" s="235" t="str">
        <f t="shared" si="0"/>
        <v/>
      </c>
    </row>
    <row r="73" spans="1:3">
      <c r="A73" s="241" t="s">
        <v>24</v>
      </c>
      <c r="B73" s="235" t="str">
        <f>IF(A73="","",IF('General price list'!$W$17=B72,A73,IFERROR(VLOOKUP(A73,Kategorie!C:AA,MATCH('General price list'!$W$17,Kategorie!$C$2:$AA$2,0),FALSE),"× Chybí překlad ×")))</f>
        <v/>
      </c>
      <c r="C73" s="235" t="str">
        <f t="shared" si="0"/>
        <v/>
      </c>
    </row>
    <row r="74" spans="1:3">
      <c r="A74" s="241" t="s">
        <v>6767</v>
      </c>
      <c r="B74" s="235" t="str">
        <f>IF(A74="","",IF('General price list'!$W$17=B73,A74,IFERROR(VLOOKUP(A74,Kategorie!C:AA,MATCH('General price list'!$W$17,Kategorie!$C$2:$AA$2,0),FALSE),"× Chybí překlad ×")))</f>
        <v>Prskavky exclusive</v>
      </c>
      <c r="C74" s="235" t="str">
        <f t="shared" si="0"/>
        <v xml:space="preserve">                                                               Prskavky exclusive</v>
      </c>
    </row>
    <row r="75" spans="1:3" ht="15.75">
      <c r="A75" s="240" t="s">
        <v>24</v>
      </c>
      <c r="B75" s="235" t="str">
        <f>IF(A75="","",IF('General price list'!$W$17=B74,A75,IFERROR(VLOOKUP(A75,Kategorie!C:AA,MATCH('General price list'!$W$17,Kategorie!$C$2:$AA$2,0),FALSE),"× Chybí překlad ×")))</f>
        <v/>
      </c>
      <c r="C75" s="235" t="str">
        <f t="shared" si="0"/>
        <v/>
      </c>
    </row>
    <row r="76" spans="1:3">
      <c r="A76" s="241" t="s">
        <v>24</v>
      </c>
      <c r="B76" s="235" t="str">
        <f>IF(A76="","",IF('General price list'!$W$17=B75,A76,IFERROR(VLOOKUP(A76,Kategorie!C:AA,MATCH('General price list'!$W$17,Kategorie!$C$2:$AA$2,0),FALSE),"× Chybí překlad ×")))</f>
        <v/>
      </c>
      <c r="C76" s="235" t="str">
        <f t="shared" si="0"/>
        <v/>
      </c>
    </row>
    <row r="77" spans="1:3">
      <c r="A77" s="241" t="s">
        <v>24</v>
      </c>
      <c r="B77" s="235" t="str">
        <f>IF(A77="","",IF('General price list'!$W$17=B76,A77,IFERROR(VLOOKUP(A77,Kategorie!C:AA,MATCH('General price list'!$W$17,Kategorie!$C$2:$AA$2,0),FALSE),"× Chybí překlad ×")))</f>
        <v/>
      </c>
      <c r="C77" s="235" t="str">
        <f t="shared" si="0"/>
        <v/>
      </c>
    </row>
    <row r="78" spans="1:3">
      <c r="A78" s="241" t="s">
        <v>6776</v>
      </c>
      <c r="B78" s="235" t="str">
        <f>IF(A78="","",IF('General price list'!$W$17=B77,A78,IFERROR(VLOOKUP(A78,Kategorie!C:AA,MATCH('General price list'!$W$17,Kategorie!$C$2:$AA$2,0),FALSE),"× Chybí překlad ×")))</f>
        <v>Prskavky</v>
      </c>
      <c r="C78" s="235" t="str">
        <f t="shared" si="0"/>
        <v xml:space="preserve">                                                               Prskavky</v>
      </c>
    </row>
    <row r="79" spans="1:3">
      <c r="A79" s="241" t="s">
        <v>24</v>
      </c>
      <c r="B79" s="235" t="str">
        <f>IF(A79="","",IF('General price list'!$W$17=B78,A79,IFERROR(VLOOKUP(A79,Kategorie!C:AA,MATCH('General price list'!$W$17,Kategorie!$C$2:$AA$2,0),FALSE),"× Chybí překlad ×")))</f>
        <v/>
      </c>
      <c r="C79" s="235" t="str">
        <f t="shared" si="0"/>
        <v/>
      </c>
    </row>
    <row r="80" spans="1:3">
      <c r="A80" s="241" t="s">
        <v>24</v>
      </c>
      <c r="B80" s="235" t="str">
        <f>IF(A80="","",IF('General price list'!$W$17=B79,A80,IFERROR(VLOOKUP(A80,Kategorie!C:AA,MATCH('General price list'!$W$17,Kategorie!$C$2:$AA$2,0),FALSE),"× Chybí překlad ×")))</f>
        <v/>
      </c>
      <c r="C80" s="235" t="str">
        <f t="shared" si="0"/>
        <v/>
      </c>
    </row>
    <row r="81" spans="1:3">
      <c r="A81" s="241" t="s">
        <v>24</v>
      </c>
      <c r="B81" s="235" t="str">
        <f>IF(A81="","",IF('General price list'!$W$17=B80,A81,IFERROR(VLOOKUP(A81,Kategorie!C:AA,MATCH('General price list'!$W$17,Kategorie!$C$2:$AA$2,0),FALSE),"× Chybí překlad ×")))</f>
        <v/>
      </c>
      <c r="C81" s="235" t="str">
        <f t="shared" si="0"/>
        <v/>
      </c>
    </row>
    <row r="82" spans="1:3">
      <c r="A82" s="241" t="s">
        <v>24</v>
      </c>
      <c r="B82" s="235" t="str">
        <f>IF(A82="","",IF('General price list'!$W$17=B81,A82,IFERROR(VLOOKUP(A82,Kategorie!C:AA,MATCH('General price list'!$W$17,Kategorie!$C$2:$AA$2,0),FALSE),"× Chybí překlad ×")))</f>
        <v/>
      </c>
      <c r="C82" s="235" t="str">
        <f t="shared" si="0"/>
        <v/>
      </c>
    </row>
    <row r="83" spans="1:3">
      <c r="A83" s="241" t="s">
        <v>24</v>
      </c>
      <c r="B83" s="235" t="str">
        <f>IF(A83="","",IF('General price list'!$W$17=B82,A83,IFERROR(VLOOKUP(A83,Kategorie!C:AA,MATCH('General price list'!$W$17,Kategorie!$C$2:$AA$2,0),FALSE),"× Chybí překlad ×")))</f>
        <v/>
      </c>
      <c r="C83" s="235" t="str">
        <f t="shared" si="0"/>
        <v/>
      </c>
    </row>
    <row r="84" spans="1:3">
      <c r="A84" s="241" t="s">
        <v>24</v>
      </c>
      <c r="B84" s="235" t="str">
        <f>IF(A84="","",IF('General price list'!$W$17=B83,A84,IFERROR(VLOOKUP(A84,Kategorie!C:AA,MATCH('General price list'!$W$17,Kategorie!$C$2:$AA$2,0),FALSE),"× Chybí překlad ×")))</f>
        <v/>
      </c>
      <c r="C84" s="235" t="str">
        <f t="shared" si="0"/>
        <v/>
      </c>
    </row>
    <row r="85" spans="1:3" ht="15.75">
      <c r="A85" s="242" t="s">
        <v>24</v>
      </c>
      <c r="B85" s="235" t="str">
        <f>IF(A85="","",IF('General price list'!$W$17=B84,A85,IFERROR(VLOOKUP(A85,Kategorie!C:AA,MATCH('General price list'!$W$17,Kategorie!$C$2:$AA$2,0),FALSE),"× Chybí překlad ×")))</f>
        <v/>
      </c>
      <c r="C85" s="235" t="str">
        <f t="shared" si="0"/>
        <v/>
      </c>
    </row>
    <row r="86" spans="1:3">
      <c r="A86" s="241" t="s">
        <v>24</v>
      </c>
      <c r="B86" s="235" t="str">
        <f>IF(A86="","",IF('General price list'!$W$17=B85,A86,IFERROR(VLOOKUP(A86,Kategorie!C:AA,MATCH('General price list'!$W$17,Kategorie!$C$2:$AA$2,0),FALSE),"× Chybí překlad ×")))</f>
        <v/>
      </c>
      <c r="C86" s="235" t="str">
        <f t="shared" ref="C86:C149" si="1">IF(A86="","",IF(A86="x","×",$B$1&amp;B86))</f>
        <v/>
      </c>
    </row>
    <row r="87" spans="1:3">
      <c r="A87" s="241" t="s">
        <v>13495</v>
      </c>
      <c r="B87" s="235" t="str">
        <f>IF(A87="","",IF('General price list'!$W$17=B86,A87,IFERROR(VLOOKUP(A87,Kategorie!C:AA,MATCH('General price list'!$W$17,Kategorie!$C$2:$AA$2,0),FALSE),"× Chybí překlad ×")))</f>
        <v>x</v>
      </c>
      <c r="C87" s="235" t="str">
        <f t="shared" si="1"/>
        <v>×</v>
      </c>
    </row>
    <row r="88" spans="1:3">
      <c r="A88" s="241" t="s">
        <v>6784</v>
      </c>
      <c r="B88" s="235" t="str">
        <f>IF(A88="","",IF('General price list'!$W$17=B87,A88,IFERROR(VLOOKUP(A88,Kategorie!C:AA,MATCH('General price list'!$W$17,Kategorie!$C$2:$AA$2,0),FALSE),"× Chybí překlad ×")))</f>
        <v>Prskavky speciální</v>
      </c>
      <c r="C88" s="235" t="str">
        <f t="shared" si="1"/>
        <v xml:space="preserve">                                                               Prskavky speciální</v>
      </c>
    </row>
    <row r="89" spans="1:3">
      <c r="A89" s="241" t="s">
        <v>24</v>
      </c>
      <c r="B89" s="235" t="str">
        <f>IF(A89="","",IF('General price list'!$W$17=B88,A89,IFERROR(VLOOKUP(A89,Kategorie!C:AA,MATCH('General price list'!$W$17,Kategorie!$C$2:$AA$2,0),FALSE),"× Chybí překlad ×")))</f>
        <v/>
      </c>
      <c r="C89" s="235" t="str">
        <f t="shared" si="1"/>
        <v/>
      </c>
    </row>
    <row r="90" spans="1:3">
      <c r="A90" s="241" t="s">
        <v>24</v>
      </c>
      <c r="B90" s="235" t="str">
        <f>IF(A90="","",IF('General price list'!$W$17=B89,A90,IFERROR(VLOOKUP(A90,Kategorie!C:AA,MATCH('General price list'!$W$17,Kategorie!$C$2:$AA$2,0),FALSE),"× Chybí překlad ×")))</f>
        <v/>
      </c>
      <c r="C90" s="235" t="str">
        <f t="shared" si="1"/>
        <v/>
      </c>
    </row>
    <row r="91" spans="1:3">
      <c r="A91" s="241" t="s">
        <v>13495</v>
      </c>
      <c r="B91" s="235" t="str">
        <f>IF(A91="","",IF('General price list'!$W$17=B90,A91,IFERROR(VLOOKUP(A91,Kategorie!C:AA,MATCH('General price list'!$W$17,Kategorie!$C$2:$AA$2,0),FALSE),"× Chybí překlad ×")))</f>
        <v>x</v>
      </c>
      <c r="C91" s="235" t="str">
        <f t="shared" si="1"/>
        <v>×</v>
      </c>
    </row>
    <row r="92" spans="1:3">
      <c r="A92" s="241" t="s">
        <v>13495</v>
      </c>
      <c r="B92" s="235" t="str">
        <f>IF(A92="","",IF('General price list'!$W$17=B91,A92,IFERROR(VLOOKUP(A92,Kategorie!C:AA,MATCH('General price list'!$W$17,Kategorie!$C$2:$AA$2,0),FALSE),"× Chybí překlad ×")))</f>
        <v>x</v>
      </c>
      <c r="C92" s="235" t="str">
        <f t="shared" si="1"/>
        <v>×</v>
      </c>
    </row>
    <row r="93" spans="1:3">
      <c r="A93" s="241" t="s">
        <v>13495</v>
      </c>
      <c r="B93" s="235" t="str">
        <f>IF(A93="","",IF('General price list'!$W$17=B92,A93,IFERROR(VLOOKUP(A93,Kategorie!C:AA,MATCH('General price list'!$W$17,Kategorie!$C$2:$AA$2,0),FALSE),"× Chybí překlad ×")))</f>
        <v>x</v>
      </c>
      <c r="C93" s="235" t="str">
        <f t="shared" si="1"/>
        <v>×</v>
      </c>
    </row>
    <row r="94" spans="1:3" ht="15.75">
      <c r="A94" s="242" t="s">
        <v>24</v>
      </c>
      <c r="B94" s="235" t="str">
        <f>IF(A94="","",IF('General price list'!$W$17=B93,A94,IFERROR(VLOOKUP(A94,Kategorie!C:AA,MATCH('General price list'!$W$17,Kategorie!$C$2:$AA$2,0),FALSE),"× Chybí překlad ×")))</f>
        <v/>
      </c>
      <c r="C94" s="235" t="str">
        <f t="shared" si="1"/>
        <v/>
      </c>
    </row>
    <row r="95" spans="1:3">
      <c r="A95" s="241" t="s">
        <v>24</v>
      </c>
      <c r="B95" s="235" t="str">
        <f>IF(A95="","",IF('General price list'!$W$17=B94,A95,IFERROR(VLOOKUP(A95,Kategorie!C:AA,MATCH('General price list'!$W$17,Kategorie!$C$2:$AA$2,0),FALSE),"× Chybí překlad ×")))</f>
        <v/>
      </c>
      <c r="C95" s="235" t="str">
        <f t="shared" si="1"/>
        <v/>
      </c>
    </row>
    <row r="96" spans="1:3">
      <c r="A96" s="241" t="s">
        <v>6793</v>
      </c>
      <c r="B96" s="235" t="str">
        <f>IF(A96="","",IF('General price list'!$W$17=B95,A96,IFERROR(VLOOKUP(A96,Kategorie!C:AA,MATCH('General price list'!$W$17,Kategorie!$C$2:$AA$2,0),FALSE),"× Chybí překlad ×")))</f>
        <v>Dýmovnice se zápalnou šňůrou</v>
      </c>
      <c r="C96" s="235" t="str">
        <f t="shared" si="1"/>
        <v xml:space="preserve">                                                               Dýmovnice se zápalnou šňůrou</v>
      </c>
    </row>
    <row r="97" spans="1:3">
      <c r="A97" s="241" t="s">
        <v>24</v>
      </c>
      <c r="B97" s="235" t="str">
        <f>IF(A97="","",IF('General price list'!$W$17=B96,A97,IFERROR(VLOOKUP(A97,Kategorie!C:AA,MATCH('General price list'!$W$17,Kategorie!$C$2:$AA$2,0),FALSE),"× Chybí překlad ×")))</f>
        <v/>
      </c>
      <c r="C97" s="235" t="str">
        <f t="shared" si="1"/>
        <v/>
      </c>
    </row>
    <row r="98" spans="1:3">
      <c r="A98" s="241" t="s">
        <v>24</v>
      </c>
      <c r="B98" s="235" t="str">
        <f>IF(A98="","",IF('General price list'!$W$17=B97,A98,IFERROR(VLOOKUP(A98,Kategorie!C:AA,MATCH('General price list'!$W$17,Kategorie!$C$2:$AA$2,0),FALSE),"× Chybí překlad ×")))</f>
        <v/>
      </c>
      <c r="C98" s="235" t="str">
        <f t="shared" si="1"/>
        <v/>
      </c>
    </row>
    <row r="99" spans="1:3">
      <c r="A99" s="241" t="s">
        <v>24</v>
      </c>
      <c r="B99" s="235" t="str">
        <f>IF(A99="","",IF('General price list'!$W$17=B98,A99,IFERROR(VLOOKUP(A99,Kategorie!C:AA,MATCH('General price list'!$W$17,Kategorie!$C$2:$AA$2,0),FALSE),"× Chybí překlad ×")))</f>
        <v/>
      </c>
      <c r="C99" s="235" t="str">
        <f t="shared" si="1"/>
        <v/>
      </c>
    </row>
    <row r="100" spans="1:3">
      <c r="A100" s="241" t="s">
        <v>24</v>
      </c>
      <c r="B100" s="235" t="str">
        <f>IF(A100="","",IF('General price list'!$W$17=B99,A100,IFERROR(VLOOKUP(A100,Kategorie!C:AA,MATCH('General price list'!$W$17,Kategorie!$C$2:$AA$2,0),FALSE),"× Chybí překlad ×")))</f>
        <v/>
      </c>
      <c r="C100" s="235" t="str">
        <f t="shared" si="1"/>
        <v/>
      </c>
    </row>
    <row r="101" spans="1:3">
      <c r="A101" s="241" t="s">
        <v>13495</v>
      </c>
      <c r="B101" s="235" t="str">
        <f>IF(A101="","",IF('General price list'!$W$17=B100,A101,IFERROR(VLOOKUP(A101,Kategorie!C:AA,MATCH('General price list'!$W$17,Kategorie!$C$2:$AA$2,0),FALSE),"× Chybí překlad ×")))</f>
        <v>x</v>
      </c>
      <c r="C101" s="235" t="str">
        <f t="shared" si="1"/>
        <v>×</v>
      </c>
    </row>
    <row r="102" spans="1:3">
      <c r="A102" s="241" t="s">
        <v>13495</v>
      </c>
      <c r="B102" s="235" t="str">
        <f>IF(A102="","",IF('General price list'!$W$17=B101,A102,IFERROR(VLOOKUP(A102,Kategorie!C:AA,MATCH('General price list'!$W$17,Kategorie!$C$2:$AA$2,0),FALSE),"× Chybí překlad ×")))</f>
        <v>x</v>
      </c>
      <c r="C102" s="235" t="str">
        <f t="shared" si="1"/>
        <v>×</v>
      </c>
    </row>
    <row r="103" spans="1:3">
      <c r="A103" s="241" t="s">
        <v>24</v>
      </c>
      <c r="B103" s="235" t="str">
        <f>IF(A103="","",IF('General price list'!$W$17=B102,A103,IFERROR(VLOOKUP(A103,Kategorie!C:AA,MATCH('General price list'!$W$17,Kategorie!$C$2:$AA$2,0),FALSE),"× Chybí překlad ×")))</f>
        <v/>
      </c>
      <c r="C103" s="235" t="str">
        <f t="shared" si="1"/>
        <v/>
      </c>
    </row>
    <row r="104" spans="1:3">
      <c r="A104" s="241" t="s">
        <v>24</v>
      </c>
      <c r="B104" s="235" t="str">
        <f>IF(A104="","",IF('General price list'!$W$17=B103,A104,IFERROR(VLOOKUP(A104,Kategorie!C:AA,MATCH('General price list'!$W$17,Kategorie!$C$2:$AA$2,0),FALSE),"× Chybí překlad ×")))</f>
        <v/>
      </c>
      <c r="C104" s="235" t="str">
        <f t="shared" si="1"/>
        <v/>
      </c>
    </row>
    <row r="105" spans="1:3">
      <c r="A105" s="241" t="s">
        <v>13495</v>
      </c>
      <c r="B105" s="235" t="str">
        <f>IF(A105="","",IF('General price list'!$W$17=B104,A105,IFERROR(VLOOKUP(A105,Kategorie!C:AA,MATCH('General price list'!$W$17,Kategorie!$C$2:$AA$2,0),FALSE),"× Chybí překlad ×")))</f>
        <v>x</v>
      </c>
      <c r="C105" s="235" t="str">
        <f t="shared" si="1"/>
        <v>×</v>
      </c>
    </row>
    <row r="106" spans="1:3">
      <c r="A106" s="241" t="s">
        <v>24</v>
      </c>
      <c r="B106" s="235" t="str">
        <f>IF(A106="","",IF('General price list'!$W$17=B105,A106,IFERROR(VLOOKUP(A106,Kategorie!C:AA,MATCH('General price list'!$W$17,Kategorie!$C$2:$AA$2,0),FALSE),"× Chybí překlad ×")))</f>
        <v/>
      </c>
      <c r="C106" s="235" t="str">
        <f t="shared" si="1"/>
        <v/>
      </c>
    </row>
    <row r="107" spans="1:3">
      <c r="A107" s="241" t="s">
        <v>13495</v>
      </c>
      <c r="B107" s="235" t="str">
        <f>IF(A107="","",IF('General price list'!$W$17=B106,A107,IFERROR(VLOOKUP(A107,Kategorie!C:AA,MATCH('General price list'!$W$17,Kategorie!$C$2:$AA$2,0),FALSE),"× Chybí překlad ×")))</f>
        <v>x</v>
      </c>
      <c r="C107" s="235" t="str">
        <f t="shared" si="1"/>
        <v>×</v>
      </c>
    </row>
    <row r="108" spans="1:3">
      <c r="A108" s="241" t="s">
        <v>24</v>
      </c>
      <c r="B108" s="235" t="str">
        <f>IF(A108="","",IF('General price list'!$W$17=B107,A108,IFERROR(VLOOKUP(A108,Kategorie!C:AA,MATCH('General price list'!$W$17,Kategorie!$C$2:$AA$2,0),FALSE),"× Chybí překlad ×")))</f>
        <v/>
      </c>
      <c r="C108" s="235" t="str">
        <f t="shared" si="1"/>
        <v/>
      </c>
    </row>
    <row r="109" spans="1:3">
      <c r="A109" s="241" t="s">
        <v>24</v>
      </c>
      <c r="B109" s="235" t="str">
        <f>IF(A109="","",IF('General price list'!$W$17=B108,A109,IFERROR(VLOOKUP(A109,Kategorie!C:AA,MATCH('General price list'!$W$17,Kategorie!$C$2:$AA$2,0),FALSE),"× Chybí překlad ×")))</f>
        <v/>
      </c>
      <c r="C109" s="235" t="str">
        <f t="shared" si="1"/>
        <v/>
      </c>
    </row>
    <row r="110" spans="1:3">
      <c r="A110" s="241" t="s">
        <v>13495</v>
      </c>
      <c r="B110" s="235" t="str">
        <f>IF(A110="","",IF('General price list'!$W$17=B109,A110,IFERROR(VLOOKUP(A110,Kategorie!C:AA,MATCH('General price list'!$W$17,Kategorie!$C$2:$AA$2,0),FALSE),"× Chybí překlad ×")))</f>
        <v>x</v>
      </c>
      <c r="C110" s="235" t="str">
        <f t="shared" si="1"/>
        <v>×</v>
      </c>
    </row>
    <row r="111" spans="1:3">
      <c r="A111" s="241" t="s">
        <v>24</v>
      </c>
      <c r="B111" s="235" t="str">
        <f>IF(A111="","",IF('General price list'!$W$17=B110,A111,IFERROR(VLOOKUP(A111,Kategorie!C:AA,MATCH('General price list'!$W$17,Kategorie!$C$2:$AA$2,0),FALSE),"× Chybí překlad ×")))</f>
        <v/>
      </c>
      <c r="C111" s="235" t="str">
        <f t="shared" si="1"/>
        <v/>
      </c>
    </row>
    <row r="112" spans="1:3">
      <c r="A112" s="241" t="s">
        <v>13495</v>
      </c>
      <c r="B112" s="235" t="str">
        <f>IF(A112="","",IF('General price list'!$W$17=B111,A112,IFERROR(VLOOKUP(A112,Kategorie!C:AA,MATCH('General price list'!$W$17,Kategorie!$C$2:$AA$2,0),FALSE),"× Chybí překlad ×")))</f>
        <v>x</v>
      </c>
      <c r="C112" s="235" t="str">
        <f t="shared" si="1"/>
        <v>×</v>
      </c>
    </row>
    <row r="113" spans="1:3">
      <c r="A113" s="241" t="s">
        <v>13495</v>
      </c>
      <c r="B113" s="235" t="str">
        <f>IF(A113="","",IF('General price list'!$W$17=B112,A113,IFERROR(VLOOKUP(A113,Kategorie!C:AA,MATCH('General price list'!$W$17,Kategorie!$C$2:$AA$2,0),FALSE),"× Chybí překlad ×")))</f>
        <v>x</v>
      </c>
      <c r="C113" s="235" t="str">
        <f t="shared" si="1"/>
        <v>×</v>
      </c>
    </row>
    <row r="114" spans="1:3">
      <c r="A114" s="241" t="s">
        <v>13495</v>
      </c>
      <c r="B114" s="235" t="str">
        <f>IF(A114="","",IF('General price list'!$W$17=B113,A114,IFERROR(VLOOKUP(A114,Kategorie!C:AA,MATCH('General price list'!$W$17,Kategorie!$C$2:$AA$2,0),FALSE),"× Chybí překlad ×")))</f>
        <v>x</v>
      </c>
      <c r="C114" s="235" t="str">
        <f t="shared" si="1"/>
        <v>×</v>
      </c>
    </row>
    <row r="115" spans="1:3" ht="15.75">
      <c r="A115" s="242" t="s">
        <v>24</v>
      </c>
      <c r="B115" s="235" t="str">
        <f>IF(A115="","",IF('General price list'!$W$17=B114,A115,IFERROR(VLOOKUP(A115,Kategorie!C:AA,MATCH('General price list'!$W$17,Kategorie!$C$2:$AA$2,0),FALSE),"× Chybí překlad ×")))</f>
        <v/>
      </c>
      <c r="C115" s="235" t="str">
        <f t="shared" si="1"/>
        <v/>
      </c>
    </row>
    <row r="116" spans="1:3">
      <c r="A116" s="241" t="s">
        <v>24</v>
      </c>
      <c r="B116" s="235" t="str">
        <f>IF(A116="","",IF('General price list'!$W$17=B115,A116,IFERROR(VLOOKUP(A116,Kategorie!C:AA,MATCH('General price list'!$W$17,Kategorie!$C$2:$AA$2,0),FALSE),"× Chybí překlad ×")))</f>
        <v/>
      </c>
      <c r="C116" s="235" t="str">
        <f t="shared" si="1"/>
        <v/>
      </c>
    </row>
    <row r="117" spans="1:3">
      <c r="A117" s="241" t="s">
        <v>24</v>
      </c>
      <c r="B117" s="235" t="str">
        <f>IF(A117="","",IF('General price list'!$W$17=B116,A117,IFERROR(VLOOKUP(A117,Kategorie!C:AA,MATCH('General price list'!$W$17,Kategorie!$C$2:$AA$2,0),FALSE),"× Chybí překlad ×")))</f>
        <v/>
      </c>
      <c r="C117" s="235" t="str">
        <f t="shared" si="1"/>
        <v/>
      </c>
    </row>
    <row r="118" spans="1:3">
      <c r="A118" s="241" t="s">
        <v>6802</v>
      </c>
      <c r="B118" s="235" t="str">
        <f>IF(A118="","",IF('General price list'!$W$17=B117,A118,IFERROR(VLOOKUP(A118,Kategorie!C:AA,MATCH('General price list'!$W$17,Kategorie!$C$2:$AA$2,0),FALSE),"× Chybí překlad ×")))</f>
        <v>Dýmovnice s trhací pojistkou</v>
      </c>
      <c r="C118" s="235" t="str">
        <f t="shared" si="1"/>
        <v xml:space="preserve">                                                               Dýmovnice s trhací pojistkou</v>
      </c>
    </row>
    <row r="119" spans="1:3">
      <c r="A119" s="241" t="s">
        <v>13495</v>
      </c>
      <c r="B119" s="235" t="str">
        <f>IF(A119="","",IF('General price list'!$W$17=B118,A119,IFERROR(VLOOKUP(A119,Kategorie!C:AA,MATCH('General price list'!$W$17,Kategorie!$C$2:$AA$2,0),FALSE),"× Chybí překlad ×")))</f>
        <v>x</v>
      </c>
      <c r="C119" s="235" t="str">
        <f t="shared" si="1"/>
        <v>×</v>
      </c>
    </row>
    <row r="120" spans="1:3">
      <c r="A120" s="241" t="s">
        <v>13495</v>
      </c>
      <c r="B120" s="235" t="str">
        <f>IF(A120="","",IF('General price list'!$W$17=B119,A120,IFERROR(VLOOKUP(A120,Kategorie!C:AA,MATCH('General price list'!$W$17,Kategorie!$C$2:$AA$2,0),FALSE),"× Chybí překlad ×")))</f>
        <v>x</v>
      </c>
      <c r="C120" s="235" t="str">
        <f t="shared" si="1"/>
        <v>×</v>
      </c>
    </row>
    <row r="121" spans="1:3">
      <c r="A121" s="241" t="s">
        <v>13495</v>
      </c>
      <c r="B121" s="235" t="str">
        <f>IF(A121="","",IF('General price list'!$W$17=B120,A121,IFERROR(VLOOKUP(A121,Kategorie!C:AA,MATCH('General price list'!$W$17,Kategorie!$C$2:$AA$2,0),FALSE),"× Chybí překlad ×")))</f>
        <v>x</v>
      </c>
      <c r="C121" s="235" t="str">
        <f t="shared" si="1"/>
        <v>×</v>
      </c>
    </row>
    <row r="122" spans="1:3">
      <c r="A122" s="241" t="s">
        <v>13495</v>
      </c>
      <c r="B122" s="235" t="str">
        <f>IF(A122="","",IF('General price list'!$W$17=B121,A122,IFERROR(VLOOKUP(A122,Kategorie!C:AA,MATCH('General price list'!$W$17,Kategorie!$C$2:$AA$2,0),FALSE),"× Chybí překlad ×")))</f>
        <v>x</v>
      </c>
      <c r="C122" s="235" t="str">
        <f t="shared" si="1"/>
        <v>×</v>
      </c>
    </row>
    <row r="123" spans="1:3">
      <c r="A123" s="241" t="s">
        <v>13495</v>
      </c>
      <c r="B123" s="235" t="str">
        <f>IF(A123="","",IF('General price list'!$W$17=B122,A123,IFERROR(VLOOKUP(A123,Kategorie!C:AA,MATCH('General price list'!$W$17,Kategorie!$C$2:$AA$2,0),FALSE),"× Chybí překlad ×")))</f>
        <v>x</v>
      </c>
      <c r="C123" s="235" t="str">
        <f t="shared" si="1"/>
        <v>×</v>
      </c>
    </row>
    <row r="124" spans="1:3">
      <c r="A124" s="241" t="s">
        <v>13495</v>
      </c>
      <c r="B124" s="235" t="str">
        <f>IF(A124="","",IF('General price list'!$W$17=B123,A124,IFERROR(VLOOKUP(A124,Kategorie!C:AA,MATCH('General price list'!$W$17,Kategorie!$C$2:$AA$2,0),FALSE),"× Chybí překlad ×")))</f>
        <v>x</v>
      </c>
      <c r="C124" s="235" t="str">
        <f t="shared" si="1"/>
        <v>×</v>
      </c>
    </row>
    <row r="125" spans="1:3">
      <c r="A125" s="241" t="s">
        <v>13495</v>
      </c>
      <c r="B125" s="235" t="str">
        <f>IF(A125="","",IF('General price list'!$W$17=B124,A125,IFERROR(VLOOKUP(A125,Kategorie!C:AA,MATCH('General price list'!$W$17,Kategorie!$C$2:$AA$2,0),FALSE),"× Chybí překlad ×")))</f>
        <v>x</v>
      </c>
      <c r="C125" s="235" t="str">
        <f t="shared" si="1"/>
        <v>×</v>
      </c>
    </row>
    <row r="126" spans="1:3">
      <c r="A126" s="241" t="s">
        <v>13495</v>
      </c>
      <c r="B126" s="235" t="str">
        <f>IF(A126="","",IF('General price list'!$W$17=B125,A126,IFERROR(VLOOKUP(A126,Kategorie!C:AA,MATCH('General price list'!$W$17,Kategorie!$C$2:$AA$2,0),FALSE),"× Chybí překlad ×")))</f>
        <v>x</v>
      </c>
      <c r="C126" s="235" t="str">
        <f t="shared" si="1"/>
        <v>×</v>
      </c>
    </row>
    <row r="127" spans="1:3">
      <c r="A127" s="241" t="s">
        <v>13495</v>
      </c>
      <c r="B127" s="235" t="str">
        <f>IF(A127="","",IF('General price list'!$W$17=B126,A127,IFERROR(VLOOKUP(A127,Kategorie!C:AA,MATCH('General price list'!$W$17,Kategorie!$C$2:$AA$2,0),FALSE),"× Chybí překlad ×")))</f>
        <v>x</v>
      </c>
      <c r="C127" s="235" t="str">
        <f t="shared" si="1"/>
        <v>×</v>
      </c>
    </row>
    <row r="128" spans="1:3">
      <c r="A128" s="241" t="s">
        <v>6811</v>
      </c>
      <c r="B128" s="235" t="str">
        <f>IF(A128="","",IF('General price list'!$W$17=B127,A128,IFERROR(VLOOKUP(A128,Kategorie!C:AA,MATCH('General price list'!$W$17,Kategorie!$C$2:$AA$2,0),FALSE),"× Chybí překlad ×")))</f>
        <v>Dýmovnice škrtací</v>
      </c>
      <c r="C128" s="235" t="str">
        <f t="shared" si="1"/>
        <v xml:space="preserve">                                                               Dýmovnice škrtací</v>
      </c>
    </row>
    <row r="129" spans="1:3">
      <c r="A129" s="241" t="s">
        <v>13495</v>
      </c>
      <c r="B129" s="235" t="str">
        <f>IF(A129="","",IF('General price list'!$W$17=B128,A129,IFERROR(VLOOKUP(A129,Kategorie!C:AA,MATCH('General price list'!$W$17,Kategorie!$C$2:$AA$2,0),FALSE),"× Chybí překlad ×")))</f>
        <v>x</v>
      </c>
      <c r="C129" s="235" t="str">
        <f t="shared" si="1"/>
        <v>×</v>
      </c>
    </row>
    <row r="130" spans="1:3">
      <c r="A130" s="241" t="s">
        <v>13495</v>
      </c>
      <c r="B130" s="235" t="str">
        <f>IF(A130="","",IF('General price list'!$W$17=B129,A130,IFERROR(VLOOKUP(A130,Kategorie!C:AA,MATCH('General price list'!$W$17,Kategorie!$C$2:$AA$2,0),FALSE),"× Chybí překlad ×")))</f>
        <v>x</v>
      </c>
      <c r="C130" s="235" t="str">
        <f t="shared" si="1"/>
        <v>×</v>
      </c>
    </row>
    <row r="131" spans="1:3">
      <c r="A131" s="241" t="s">
        <v>13495</v>
      </c>
      <c r="B131" s="235" t="str">
        <f>IF(A131="","",IF('General price list'!$W$17=B130,A131,IFERROR(VLOOKUP(A131,Kategorie!C:AA,MATCH('General price list'!$W$17,Kategorie!$C$2:$AA$2,0),FALSE),"× Chybí překlad ×")))</f>
        <v>x</v>
      </c>
      <c r="C131" s="235" t="str">
        <f t="shared" si="1"/>
        <v>×</v>
      </c>
    </row>
    <row r="132" spans="1:3">
      <c r="A132" s="241" t="s">
        <v>13495</v>
      </c>
      <c r="B132" s="235" t="str">
        <f>IF(A132="","",IF('General price list'!$W$17=B131,A132,IFERROR(VLOOKUP(A132,Kategorie!C:AA,MATCH('General price list'!$W$17,Kategorie!$C$2:$AA$2,0),FALSE),"× Chybí překlad ×")))</f>
        <v>x</v>
      </c>
      <c r="C132" s="235" t="str">
        <f t="shared" si="1"/>
        <v>×</v>
      </c>
    </row>
    <row r="133" spans="1:3">
      <c r="A133" s="241" t="s">
        <v>13495</v>
      </c>
      <c r="B133" s="235" t="str">
        <f>IF(A133="","",IF('General price list'!$W$17=B132,A133,IFERROR(VLOOKUP(A133,Kategorie!C:AA,MATCH('General price list'!$W$17,Kategorie!$C$2:$AA$2,0),FALSE),"× Chybí překlad ×")))</f>
        <v>x</v>
      </c>
      <c r="C133" s="235" t="str">
        <f t="shared" si="1"/>
        <v>×</v>
      </c>
    </row>
    <row r="134" spans="1:3">
      <c r="A134" s="241" t="s">
        <v>13495</v>
      </c>
      <c r="B134" s="235" t="str">
        <f>IF(A134="","",IF('General price list'!$W$17=B133,A134,IFERROR(VLOOKUP(A134,Kategorie!C:AA,MATCH('General price list'!$W$17,Kategorie!$C$2:$AA$2,0),FALSE),"× Chybí překlad ×")))</f>
        <v>x</v>
      </c>
      <c r="C134" s="235" t="str">
        <f t="shared" si="1"/>
        <v>×</v>
      </c>
    </row>
    <row r="135" spans="1:3">
      <c r="A135" s="241" t="s">
        <v>13495</v>
      </c>
      <c r="B135" s="235" t="str">
        <f>IF(A135="","",IF('General price list'!$W$17=B134,A135,IFERROR(VLOOKUP(A135,Kategorie!C:AA,MATCH('General price list'!$W$17,Kategorie!$C$2:$AA$2,0),FALSE),"× Chybí překlad ×")))</f>
        <v>x</v>
      </c>
      <c r="C135" s="235" t="str">
        <f t="shared" si="1"/>
        <v>×</v>
      </c>
    </row>
    <row r="136" spans="1:3">
      <c r="A136" s="241" t="s">
        <v>13495</v>
      </c>
      <c r="B136" s="235" t="str">
        <f>IF(A136="","",IF('General price list'!$W$17=B135,A136,IFERROR(VLOOKUP(A136,Kategorie!C:AA,MATCH('General price list'!$W$17,Kategorie!$C$2:$AA$2,0),FALSE),"× Chybí překlad ×")))</f>
        <v>x</v>
      </c>
      <c r="C136" s="235" t="str">
        <f t="shared" si="1"/>
        <v>×</v>
      </c>
    </row>
    <row r="137" spans="1:3" ht="15.75">
      <c r="A137" s="242" t="s">
        <v>6819</v>
      </c>
      <c r="B137" s="235" t="str">
        <f>IF(A137="","",IF('General price list'!$W$17=B136,A137,IFERROR(VLOOKUP(A137,Kategorie!C:AA,MATCH('General price list'!$W$17,Kategorie!$C$2:$AA$2,0),FALSE),"× Chybí překlad ×")))</f>
        <v>Dýmovnice s pákovou roznětkou</v>
      </c>
      <c r="C137" s="235" t="str">
        <f t="shared" si="1"/>
        <v xml:space="preserve">                                                               Dýmovnice s pákovou roznětkou</v>
      </c>
    </row>
    <row r="138" spans="1:3">
      <c r="A138" s="241" t="s">
        <v>13495</v>
      </c>
      <c r="B138" s="235" t="str">
        <f>IF(A138="","",IF('General price list'!$W$17=B137,A138,IFERROR(VLOOKUP(A138,Kategorie!C:AA,MATCH('General price list'!$W$17,Kategorie!$C$2:$AA$2,0),FALSE),"× Chybí překlad ×")))</f>
        <v>x</v>
      </c>
      <c r="C138" s="235" t="str">
        <f t="shared" si="1"/>
        <v>×</v>
      </c>
    </row>
    <row r="139" spans="1:3">
      <c r="A139" s="241" t="s">
        <v>13495</v>
      </c>
      <c r="B139" s="235" t="str">
        <f>IF(A139="","",IF('General price list'!$W$17=B138,A139,IFERROR(VLOOKUP(A139,Kategorie!C:AA,MATCH('General price list'!$W$17,Kategorie!$C$2:$AA$2,0),FALSE),"× Chybí překlad ×")))</f>
        <v>x</v>
      </c>
      <c r="C139" s="235" t="str">
        <f t="shared" si="1"/>
        <v>×</v>
      </c>
    </row>
    <row r="140" spans="1:3">
      <c r="A140" s="241" t="s">
        <v>13495</v>
      </c>
      <c r="B140" s="235" t="str">
        <f>IF(A140="","",IF('General price list'!$W$17=B139,A140,IFERROR(VLOOKUP(A140,Kategorie!C:AA,MATCH('General price list'!$W$17,Kategorie!$C$2:$AA$2,0),FALSE),"× Chybí překlad ×")))</f>
        <v>x</v>
      </c>
      <c r="C140" s="235" t="str">
        <f t="shared" si="1"/>
        <v>×</v>
      </c>
    </row>
    <row r="141" spans="1:3">
      <c r="A141" s="241" t="s">
        <v>13495</v>
      </c>
      <c r="B141" s="235" t="str">
        <f>IF(A141="","",IF('General price list'!$W$17=B140,A141,IFERROR(VLOOKUP(A141,Kategorie!C:AA,MATCH('General price list'!$W$17,Kategorie!$C$2:$AA$2,0),FALSE),"× Chybí překlad ×")))</f>
        <v>x</v>
      </c>
      <c r="C141" s="235" t="str">
        <f t="shared" si="1"/>
        <v>×</v>
      </c>
    </row>
    <row r="142" spans="1:3">
      <c r="A142" s="241" t="s">
        <v>13495</v>
      </c>
      <c r="B142" s="235" t="str">
        <f>IF(A142="","",IF('General price list'!$W$17=B141,A142,IFERROR(VLOOKUP(A142,Kategorie!C:AA,MATCH('General price list'!$W$17,Kategorie!$C$2:$AA$2,0),FALSE),"× Chybí překlad ×")))</f>
        <v>x</v>
      </c>
      <c r="C142" s="235" t="str">
        <f t="shared" si="1"/>
        <v>×</v>
      </c>
    </row>
    <row r="143" spans="1:3">
      <c r="A143" s="241" t="s">
        <v>13495</v>
      </c>
      <c r="B143" s="235" t="str">
        <f>IF(A143="","",IF('General price list'!$W$17=B142,A143,IFERROR(VLOOKUP(A143,Kategorie!C:AA,MATCH('General price list'!$W$17,Kategorie!$C$2:$AA$2,0),FALSE),"× Chybí překlad ×")))</f>
        <v>x</v>
      </c>
      <c r="C143" s="235" t="str">
        <f t="shared" si="1"/>
        <v>×</v>
      </c>
    </row>
    <row r="144" spans="1:3">
      <c r="A144" s="241" t="s">
        <v>13495</v>
      </c>
      <c r="B144" s="235" t="str">
        <f>IF(A144="","",IF('General price list'!$W$17=B143,A144,IFERROR(VLOOKUP(A144,Kategorie!C:AA,MATCH('General price list'!$W$17,Kategorie!$C$2:$AA$2,0),FALSE),"× Chybí překlad ×")))</f>
        <v>x</v>
      </c>
      <c r="C144" s="235" t="str">
        <f t="shared" si="1"/>
        <v>×</v>
      </c>
    </row>
    <row r="145" spans="1:3">
      <c r="A145" s="241" t="s">
        <v>13495</v>
      </c>
      <c r="B145" s="235" t="str">
        <f>IF(A145="","",IF('General price list'!$W$17=B144,A145,IFERROR(VLOOKUP(A145,Kategorie!C:AA,MATCH('General price list'!$W$17,Kategorie!$C$2:$AA$2,0),FALSE),"× Chybí překlad ×")))</f>
        <v>x</v>
      </c>
      <c r="C145" s="235" t="str">
        <f t="shared" si="1"/>
        <v>×</v>
      </c>
    </row>
    <row r="146" spans="1:3">
      <c r="A146" s="241" t="s">
        <v>13495</v>
      </c>
      <c r="B146" s="235" t="str">
        <f>IF(A146="","",IF('General price list'!$W$17=B145,A146,IFERROR(VLOOKUP(A146,Kategorie!C:AA,MATCH('General price list'!$W$17,Kategorie!$C$2:$AA$2,0),FALSE),"× Chybí překlad ×")))</f>
        <v>x</v>
      </c>
      <c r="C146" s="235" t="str">
        <f t="shared" si="1"/>
        <v>×</v>
      </c>
    </row>
    <row r="147" spans="1:3">
      <c r="A147" s="241" t="s">
        <v>6828</v>
      </c>
      <c r="B147" s="235" t="str">
        <f>IF(A147="","",IF('General price list'!$W$17=B146,A147,IFERROR(VLOOKUP(A147,Kategorie!C:AA,MATCH('General price list'!$W$17,Kategorie!$C$2:$AA$2,0),FALSE),"× Chybí překlad ×")))</f>
        <v>Dýmové pochodně</v>
      </c>
      <c r="C147" s="235" t="str">
        <f t="shared" si="1"/>
        <v xml:space="preserve">                                                               Dýmové pochodně</v>
      </c>
    </row>
    <row r="148" spans="1:3">
      <c r="A148" s="241" t="s">
        <v>13495</v>
      </c>
      <c r="B148" s="235" t="str">
        <f>IF(A148="","",IF('General price list'!$W$17=B147,A148,IFERROR(VLOOKUP(A148,Kategorie!C:AA,MATCH('General price list'!$W$17,Kategorie!$C$2:$AA$2,0),FALSE),"× Chybí překlad ×")))</f>
        <v>x</v>
      </c>
      <c r="C148" s="235" t="str">
        <f t="shared" si="1"/>
        <v>×</v>
      </c>
    </row>
    <row r="149" spans="1:3">
      <c r="A149" s="241" t="s">
        <v>13495</v>
      </c>
      <c r="B149" s="235" t="str">
        <f>IF(A149="","",IF('General price list'!$W$17=B148,A149,IFERROR(VLOOKUP(A149,Kategorie!C:AA,MATCH('General price list'!$W$17,Kategorie!$C$2:$AA$2,0),FALSE),"× Chybí překlad ×")))</f>
        <v>x</v>
      </c>
      <c r="C149" s="235" t="str">
        <f t="shared" si="1"/>
        <v>×</v>
      </c>
    </row>
    <row r="150" spans="1:3" ht="15.75">
      <c r="A150" s="242" t="s">
        <v>13495</v>
      </c>
      <c r="B150" s="235" t="str">
        <f>IF(A150="","",IF('General price list'!$W$17=B149,A150,IFERROR(VLOOKUP(A150,Kategorie!C:AA,MATCH('General price list'!$W$17,Kategorie!$C$2:$AA$2,0),FALSE),"× Chybí překlad ×")))</f>
        <v>x</v>
      </c>
      <c r="C150" s="235" t="str">
        <f t="shared" ref="C150:C213" si="2">IF(A150="","",IF(A150="x","×",$B$1&amp;B150))</f>
        <v>×</v>
      </c>
    </row>
    <row r="151" spans="1:3">
      <c r="A151" s="241" t="s">
        <v>24</v>
      </c>
      <c r="B151" s="235" t="str">
        <f>IF(A151="","",IF('General price list'!$W$17=B150,A151,IFERROR(VLOOKUP(A151,Kategorie!C:AA,MATCH('General price list'!$W$17,Kategorie!$C$2:$AA$2,0),FALSE),"× Chybí překlad ×")))</f>
        <v/>
      </c>
      <c r="C151" s="235" t="str">
        <f t="shared" si="2"/>
        <v/>
      </c>
    </row>
    <row r="152" spans="1:3">
      <c r="A152" s="241" t="s">
        <v>24</v>
      </c>
      <c r="B152" s="235" t="str">
        <f>IF(A152="","",IF('General price list'!$W$17=B151,A152,IFERROR(VLOOKUP(A152,Kategorie!C:AA,MATCH('General price list'!$W$17,Kategorie!$C$2:$AA$2,0),FALSE),"× Chybí překlad ×")))</f>
        <v/>
      </c>
      <c r="C152" s="235" t="str">
        <f t="shared" si="2"/>
        <v/>
      </c>
    </row>
    <row r="153" spans="1:3">
      <c r="A153" s="241" t="s">
        <v>24</v>
      </c>
      <c r="B153" s="235" t="str">
        <f>IF(A153="","",IF('General price list'!$W$17=B152,A153,IFERROR(VLOOKUP(A153,Kategorie!C:AA,MATCH('General price list'!$W$17,Kategorie!$C$2:$AA$2,0),FALSE),"× Chybí překlad ×")))</f>
        <v/>
      </c>
      <c r="C153" s="235" t="str">
        <f t="shared" si="2"/>
        <v/>
      </c>
    </row>
    <row r="154" spans="1:3">
      <c r="A154" s="241" t="s">
        <v>24</v>
      </c>
      <c r="B154" s="235" t="str">
        <f>IF(A154="","",IF('General price list'!$W$17=B153,A154,IFERROR(VLOOKUP(A154,Kategorie!C:AA,MATCH('General price list'!$W$17,Kategorie!$C$2:$AA$2,0),FALSE),"× Chybí překlad ×")))</f>
        <v/>
      </c>
      <c r="C154" s="235" t="str">
        <f t="shared" si="2"/>
        <v/>
      </c>
    </row>
    <row r="155" spans="1:3">
      <c r="A155" s="241" t="s">
        <v>24</v>
      </c>
      <c r="B155" s="235" t="str">
        <f>IF(A155="","",IF('General price list'!$W$17=B154,A155,IFERROR(VLOOKUP(A155,Kategorie!C:AA,MATCH('General price list'!$W$17,Kategorie!$C$2:$AA$2,0),FALSE),"× Chybí překlad ×")))</f>
        <v/>
      </c>
      <c r="C155" s="235" t="str">
        <f t="shared" si="2"/>
        <v/>
      </c>
    </row>
    <row r="156" spans="1:3">
      <c r="A156" s="241" t="s">
        <v>24</v>
      </c>
      <c r="B156" s="235" t="str">
        <f>IF(A156="","",IF('General price list'!$W$17=B155,A156,IFERROR(VLOOKUP(A156,Kategorie!C:AA,MATCH('General price list'!$W$17,Kategorie!$C$2:$AA$2,0),FALSE),"× Chybí překlad ×")))</f>
        <v/>
      </c>
      <c r="C156" s="235" t="str">
        <f t="shared" si="2"/>
        <v/>
      </c>
    </row>
    <row r="157" spans="1:3">
      <c r="A157" s="241" t="s">
        <v>24</v>
      </c>
      <c r="B157" s="235" t="str">
        <f>IF(A157="","",IF('General price list'!$W$17=B156,A157,IFERROR(VLOOKUP(A157,Kategorie!C:AA,MATCH('General price list'!$W$17,Kategorie!$C$2:$AA$2,0),FALSE),"× Chybí překlad ×")))</f>
        <v/>
      </c>
      <c r="C157" s="235" t="str">
        <f t="shared" si="2"/>
        <v/>
      </c>
    </row>
    <row r="158" spans="1:3">
      <c r="A158" s="241" t="s">
        <v>6837</v>
      </c>
      <c r="B158" s="235" t="str">
        <f>IF(A158="","",IF('General price list'!$W$17=B157,A158,IFERROR(VLOOKUP(A158,Kategorie!C:AA,MATCH('General price list'!$W$17,Kategorie!$C$2:$AA$2,0),FALSE),"× Chybí překlad ×")))</f>
        <v>Pochodně</v>
      </c>
      <c r="C158" s="235" t="str">
        <f t="shared" si="2"/>
        <v xml:space="preserve">                                                               Pochodně</v>
      </c>
    </row>
    <row r="159" spans="1:3">
      <c r="A159" s="241" t="s">
        <v>24</v>
      </c>
      <c r="B159" s="235" t="str">
        <f>IF(A159="","",IF('General price list'!$W$17=B158,A159,IFERROR(VLOOKUP(A159,Kategorie!C:AA,MATCH('General price list'!$W$17,Kategorie!$C$2:$AA$2,0),FALSE),"× Chybí překlad ×")))</f>
        <v/>
      </c>
      <c r="C159" s="235" t="str">
        <f t="shared" si="2"/>
        <v/>
      </c>
    </row>
    <row r="160" spans="1:3">
      <c r="A160" s="241" t="s">
        <v>24</v>
      </c>
      <c r="B160" s="235" t="str">
        <f>IF(A160="","",IF('General price list'!$W$17=B159,A160,IFERROR(VLOOKUP(A160,Kategorie!C:AA,MATCH('General price list'!$W$17,Kategorie!$C$2:$AA$2,0),FALSE),"× Chybí překlad ×")))</f>
        <v/>
      </c>
      <c r="C160" s="235" t="str">
        <f t="shared" si="2"/>
        <v/>
      </c>
    </row>
    <row r="161" spans="1:3">
      <c r="A161" s="241" t="s">
        <v>13495</v>
      </c>
      <c r="B161" s="235" t="str">
        <f>IF(A161="","",IF('General price list'!$W$17=B160,A161,IFERROR(VLOOKUP(A161,Kategorie!C:AA,MATCH('General price list'!$W$17,Kategorie!$C$2:$AA$2,0),FALSE),"× Chybí překlad ×")))</f>
        <v>x</v>
      </c>
      <c r="C161" s="235" t="str">
        <f t="shared" si="2"/>
        <v>×</v>
      </c>
    </row>
    <row r="162" spans="1:3">
      <c r="A162" s="241" t="s">
        <v>13495</v>
      </c>
      <c r="B162" s="235" t="str">
        <f>IF(A162="","",IF('General price list'!$W$17=B161,A162,IFERROR(VLOOKUP(A162,Kategorie!C:AA,MATCH('General price list'!$W$17,Kategorie!$C$2:$AA$2,0),FALSE),"× Chybí překlad ×")))</f>
        <v>x</v>
      </c>
      <c r="C162" s="235" t="str">
        <f t="shared" si="2"/>
        <v>×</v>
      </c>
    </row>
    <row r="163" spans="1:3">
      <c r="A163" s="241" t="s">
        <v>24</v>
      </c>
      <c r="B163" s="235" t="str">
        <f>IF(A163="","",IF('General price list'!$W$17=B162,A163,IFERROR(VLOOKUP(A163,Kategorie!C:AA,MATCH('General price list'!$W$17,Kategorie!$C$2:$AA$2,0),FALSE),"× Chybí překlad ×")))</f>
        <v/>
      </c>
      <c r="C163" s="235" t="str">
        <f t="shared" si="2"/>
        <v/>
      </c>
    </row>
    <row r="164" spans="1:3">
      <c r="A164" s="241" t="s">
        <v>24</v>
      </c>
      <c r="B164" s="235" t="str">
        <f>IF(A164="","",IF('General price list'!$W$17=B163,A164,IFERROR(VLOOKUP(A164,Kategorie!C:AA,MATCH('General price list'!$W$17,Kategorie!$C$2:$AA$2,0),FALSE),"× Chybí překlad ×")))</f>
        <v/>
      </c>
      <c r="C164" s="235" t="str">
        <f t="shared" si="2"/>
        <v/>
      </c>
    </row>
    <row r="165" spans="1:3" ht="15.75">
      <c r="A165" s="242" t="s">
        <v>6846</v>
      </c>
      <c r="B165" s="235" t="str">
        <f>IF(A165="","",IF('General price list'!$W$17=B164,A165,IFERROR(VLOOKUP(A165,Kategorie!C:AA,MATCH('General price list'!$W$17,Kategorie!$C$2:$AA$2,0),FALSE),"× Chybí překlad ×")))</f>
        <v>Stroboskopy</v>
      </c>
      <c r="C165" s="235" t="str">
        <f t="shared" si="2"/>
        <v xml:space="preserve">                                                               Stroboskopy</v>
      </c>
    </row>
    <row r="166" spans="1:3">
      <c r="A166" s="241" t="s">
        <v>24</v>
      </c>
      <c r="B166" s="235" t="str">
        <f>IF(A166="","",IF('General price list'!$W$17=B165,A166,IFERROR(VLOOKUP(A166,Kategorie!C:AA,MATCH('General price list'!$W$17,Kategorie!$C$2:$AA$2,0),FALSE),"× Chybí překlad ×")))</f>
        <v/>
      </c>
      <c r="C166" s="235" t="str">
        <f t="shared" si="2"/>
        <v/>
      </c>
    </row>
    <row r="167" spans="1:3">
      <c r="A167" s="241" t="s">
        <v>24</v>
      </c>
      <c r="B167" s="235" t="str">
        <f>IF(A167="","",IF('General price list'!$W$17=B166,A167,IFERROR(VLOOKUP(A167,Kategorie!C:AA,MATCH('General price list'!$W$17,Kategorie!$C$2:$AA$2,0),FALSE),"× Chybí překlad ×")))</f>
        <v/>
      </c>
      <c r="C167" s="235" t="str">
        <f t="shared" si="2"/>
        <v/>
      </c>
    </row>
    <row r="168" spans="1:3">
      <c r="A168" s="241" t="s">
        <v>6853</v>
      </c>
      <c r="B168" s="235" t="str">
        <f>IF(A168="","",IF('General price list'!$W$17=B167,A168,IFERROR(VLOOKUP(A168,Kategorie!C:AA,MATCH('General price list'!$W$17,Kategorie!$C$2:$AA$2,0),FALSE),"× Chybí překlad ×")))</f>
        <v>Fontány</v>
      </c>
      <c r="C168" s="235" t="str">
        <f t="shared" si="2"/>
        <v xml:space="preserve">                                                               Fontány</v>
      </c>
    </row>
    <row r="169" spans="1:3">
      <c r="A169" s="241" t="s">
        <v>24</v>
      </c>
      <c r="B169" s="235" t="str">
        <f>IF(A169="","",IF('General price list'!$W$17=B168,A169,IFERROR(VLOOKUP(A169,Kategorie!C:AA,MATCH('General price list'!$W$17,Kategorie!$C$2:$AA$2,0),FALSE),"× Chybí překlad ×")))</f>
        <v/>
      </c>
      <c r="C169" s="235" t="str">
        <f t="shared" si="2"/>
        <v/>
      </c>
    </row>
    <row r="170" spans="1:3">
      <c r="A170" s="241" t="s">
        <v>24</v>
      </c>
      <c r="B170" s="235" t="str">
        <f>IF(A170="","",IF('General price list'!$W$17=B169,A170,IFERROR(VLOOKUP(A170,Kategorie!C:AA,MATCH('General price list'!$W$17,Kategorie!$C$2:$AA$2,0),FALSE),"× Chybí překlad ×")))</f>
        <v/>
      </c>
      <c r="C170" s="235" t="str">
        <f t="shared" si="2"/>
        <v/>
      </c>
    </row>
    <row r="171" spans="1:3">
      <c r="A171" s="241" t="s">
        <v>24</v>
      </c>
      <c r="B171" s="235" t="str">
        <f>IF(A171="","",IF('General price list'!$W$17=B170,A171,IFERROR(VLOOKUP(A171,Kategorie!C:AA,MATCH('General price list'!$W$17,Kategorie!$C$2:$AA$2,0),FALSE),"× Chybí překlad ×")))</f>
        <v/>
      </c>
      <c r="C171" s="235" t="str">
        <f t="shared" si="2"/>
        <v/>
      </c>
    </row>
    <row r="172" spans="1:3">
      <c r="A172" s="241" t="s">
        <v>24</v>
      </c>
      <c r="B172" s="235" t="str">
        <f>IF(A172="","",IF('General price list'!$W$17=B171,A172,IFERROR(VLOOKUP(A172,Kategorie!C:AA,MATCH('General price list'!$W$17,Kategorie!$C$2:$AA$2,0),FALSE),"× Chybí překlad ×")))</f>
        <v/>
      </c>
      <c r="C172" s="235" t="str">
        <f t="shared" si="2"/>
        <v/>
      </c>
    </row>
    <row r="173" spans="1:3">
      <c r="A173" s="241" t="s">
        <v>24</v>
      </c>
      <c r="B173" s="235" t="str">
        <f>IF(A173="","",IF('General price list'!$W$17=B172,A173,IFERROR(VLOOKUP(A173,Kategorie!C:AA,MATCH('General price list'!$W$17,Kategorie!$C$2:$AA$2,0),FALSE),"× Chybí překlad ×")))</f>
        <v/>
      </c>
      <c r="C173" s="235" t="str">
        <f t="shared" si="2"/>
        <v/>
      </c>
    </row>
    <row r="174" spans="1:3">
      <c r="A174" s="241" t="s">
        <v>24</v>
      </c>
      <c r="B174" s="235" t="str">
        <f>IF(A174="","",IF('General price list'!$W$17=B173,A174,IFERROR(VLOOKUP(A174,Kategorie!C:AA,MATCH('General price list'!$W$17,Kategorie!$C$2:$AA$2,0),FALSE),"× Chybí překlad ×")))</f>
        <v/>
      </c>
      <c r="C174" s="235" t="str">
        <f t="shared" si="2"/>
        <v/>
      </c>
    </row>
    <row r="175" spans="1:3">
      <c r="A175" s="241" t="s">
        <v>24</v>
      </c>
      <c r="B175" s="235" t="str">
        <f>IF(A175="","",IF('General price list'!$W$17=B174,A175,IFERROR(VLOOKUP(A175,Kategorie!C:AA,MATCH('General price list'!$W$17,Kategorie!$C$2:$AA$2,0),FALSE),"× Chybí překlad ×")))</f>
        <v/>
      </c>
      <c r="C175" s="235" t="str">
        <f t="shared" si="2"/>
        <v/>
      </c>
    </row>
    <row r="176" spans="1:3">
      <c r="A176" s="241" t="s">
        <v>24</v>
      </c>
      <c r="B176" s="235" t="str">
        <f>IF(A176="","",IF('General price list'!$W$17=B175,A176,IFERROR(VLOOKUP(A176,Kategorie!C:AA,MATCH('General price list'!$W$17,Kategorie!$C$2:$AA$2,0),FALSE),"× Chybí překlad ×")))</f>
        <v/>
      </c>
      <c r="C176" s="235" t="str">
        <f t="shared" si="2"/>
        <v/>
      </c>
    </row>
    <row r="177" spans="1:3">
      <c r="A177" s="241" t="s">
        <v>24</v>
      </c>
      <c r="B177" s="235" t="str">
        <f>IF(A177="","",IF('General price list'!$W$17=B176,A177,IFERROR(VLOOKUP(A177,Kategorie!C:AA,MATCH('General price list'!$W$17,Kategorie!$C$2:$AA$2,0),FALSE),"× Chybí překlad ×")))</f>
        <v/>
      </c>
      <c r="C177" s="235" t="str">
        <f t="shared" si="2"/>
        <v/>
      </c>
    </row>
    <row r="178" spans="1:3">
      <c r="A178" s="241" t="s">
        <v>24</v>
      </c>
      <c r="B178" s="235" t="str">
        <f>IF(A178="","",IF('General price list'!$W$17=B177,A178,IFERROR(VLOOKUP(A178,Kategorie!C:AA,MATCH('General price list'!$W$17,Kategorie!$C$2:$AA$2,0),FALSE),"× Chybí překlad ×")))</f>
        <v/>
      </c>
      <c r="C178" s="235" t="str">
        <f t="shared" si="2"/>
        <v/>
      </c>
    </row>
    <row r="179" spans="1:3">
      <c r="A179" s="241" t="s">
        <v>13495</v>
      </c>
      <c r="B179" s="235" t="str">
        <f>IF(A179="","",IF('General price list'!$W$17=B178,A179,IFERROR(VLOOKUP(A179,Kategorie!C:AA,MATCH('General price list'!$W$17,Kategorie!$C$2:$AA$2,0),FALSE),"× Chybí překlad ×")))</f>
        <v>x</v>
      </c>
      <c r="C179" s="235" t="str">
        <f t="shared" si="2"/>
        <v>×</v>
      </c>
    </row>
    <row r="180" spans="1:3">
      <c r="A180" s="241" t="s">
        <v>6861</v>
      </c>
      <c r="B180" s="235" t="str">
        <f>IF(A180="","",IF('General price list'!$W$17=B179,A180,IFERROR(VLOOKUP(A180,Kategorie!C:AA,MATCH('General price list'!$W$17,Kategorie!$C$2:$AA$2,0),FALSE),"× Chybí překlad ×")))</f>
        <v>Vulkány</v>
      </c>
      <c r="C180" s="235" t="str">
        <f t="shared" si="2"/>
        <v xml:space="preserve">                                                               Vulkány</v>
      </c>
    </row>
    <row r="181" spans="1:3">
      <c r="A181" s="241" t="s">
        <v>24</v>
      </c>
      <c r="B181" s="235" t="str">
        <f>IF(A181="","",IF('General price list'!$W$17=B180,A181,IFERROR(VLOOKUP(A181,Kategorie!C:AA,MATCH('General price list'!$W$17,Kategorie!$C$2:$AA$2,0),FALSE),"× Chybí překlad ×")))</f>
        <v/>
      </c>
      <c r="C181" s="235" t="str">
        <f t="shared" si="2"/>
        <v/>
      </c>
    </row>
    <row r="182" spans="1:3" ht="15.75">
      <c r="A182" s="242" t="s">
        <v>24</v>
      </c>
      <c r="B182" s="235" t="str">
        <f>IF(A182="","",IF('General price list'!$W$17=B181,A182,IFERROR(VLOOKUP(A182,Kategorie!C:AA,MATCH('General price list'!$W$17,Kategorie!$C$2:$AA$2,0),FALSE),"× Chybí překlad ×")))</f>
        <v/>
      </c>
      <c r="C182" s="235" t="str">
        <f t="shared" si="2"/>
        <v/>
      </c>
    </row>
    <row r="183" spans="1:3">
      <c r="A183" s="241" t="s">
        <v>13495</v>
      </c>
      <c r="B183" s="235" t="str">
        <f>IF(A183="","",IF('General price list'!$W$17=B182,A183,IFERROR(VLOOKUP(A183,Kategorie!C:AA,MATCH('General price list'!$W$17,Kategorie!$C$2:$AA$2,0),FALSE),"× Chybí překlad ×")))</f>
        <v>x</v>
      </c>
      <c r="C183" s="235" t="str">
        <f t="shared" si="2"/>
        <v>×</v>
      </c>
    </row>
    <row r="184" spans="1:3">
      <c r="A184" s="241" t="s">
        <v>24</v>
      </c>
      <c r="B184" s="235" t="str">
        <f>IF(A184="","",IF('General price list'!$W$17=B183,A184,IFERROR(VLOOKUP(A184,Kategorie!C:AA,MATCH('General price list'!$W$17,Kategorie!$C$2:$AA$2,0),FALSE),"× Chybí překlad ×")))</f>
        <v/>
      </c>
      <c r="C184" s="235" t="str">
        <f t="shared" si="2"/>
        <v/>
      </c>
    </row>
    <row r="185" spans="1:3">
      <c r="A185" s="241" t="s">
        <v>24</v>
      </c>
      <c r="B185" s="235" t="str">
        <f>IF(A185="","",IF('General price list'!$W$17=B184,A185,IFERROR(VLOOKUP(A185,Kategorie!C:AA,MATCH('General price list'!$W$17,Kategorie!$C$2:$AA$2,0),FALSE),"× Chybí překlad ×")))</f>
        <v/>
      </c>
      <c r="C185" s="235" t="str">
        <f t="shared" si="2"/>
        <v/>
      </c>
    </row>
    <row r="186" spans="1:3">
      <c r="A186" s="241" t="s">
        <v>24</v>
      </c>
      <c r="B186" s="235" t="str">
        <f>IF(A186="","",IF('General price list'!$W$17=B185,A186,IFERROR(VLOOKUP(A186,Kategorie!C:AA,MATCH('General price list'!$W$17,Kategorie!$C$2:$AA$2,0),FALSE),"× Chybí překlad ×")))</f>
        <v/>
      </c>
      <c r="C186" s="235" t="str">
        <f t="shared" si="2"/>
        <v/>
      </c>
    </row>
    <row r="187" spans="1:3">
      <c r="A187" s="241" t="s">
        <v>24</v>
      </c>
      <c r="B187" s="235" t="str">
        <f>IF(A187="","",IF('General price list'!$W$17=B186,A187,IFERROR(VLOOKUP(A187,Kategorie!C:AA,MATCH('General price list'!$W$17,Kategorie!$C$2:$AA$2,0),FALSE),"× Chybí překlad ×")))</f>
        <v/>
      </c>
      <c r="C187" s="235" t="str">
        <f t="shared" si="2"/>
        <v/>
      </c>
    </row>
    <row r="188" spans="1:3">
      <c r="A188" s="241" t="s">
        <v>24</v>
      </c>
      <c r="B188" s="235" t="str">
        <f>IF(A188="","",IF('General price list'!$W$17=B187,A188,IFERROR(VLOOKUP(A188,Kategorie!C:AA,MATCH('General price list'!$W$17,Kategorie!$C$2:$AA$2,0),FALSE),"× Chybí překlad ×")))</f>
        <v/>
      </c>
      <c r="C188" s="235" t="str">
        <f t="shared" si="2"/>
        <v/>
      </c>
    </row>
    <row r="189" spans="1:3">
      <c r="A189" s="241" t="s">
        <v>24</v>
      </c>
      <c r="B189" s="235" t="str">
        <f>IF(A189="","",IF('General price list'!$W$17=B188,A189,IFERROR(VLOOKUP(A189,Kategorie!C:AA,MATCH('General price list'!$W$17,Kategorie!$C$2:$AA$2,0),FALSE),"× Chybí překlad ×")))</f>
        <v/>
      </c>
      <c r="C189" s="235" t="str">
        <f t="shared" si="2"/>
        <v/>
      </c>
    </row>
    <row r="190" spans="1:3">
      <c r="A190" s="241" t="s">
        <v>24</v>
      </c>
      <c r="B190" s="235" t="str">
        <f>IF(A190="","",IF('General price list'!$W$17=B189,A190,IFERROR(VLOOKUP(A190,Kategorie!C:AA,MATCH('General price list'!$W$17,Kategorie!$C$2:$AA$2,0),FALSE),"× Chybí překlad ×")))</f>
        <v/>
      </c>
      <c r="C190" s="235" t="str">
        <f t="shared" si="2"/>
        <v/>
      </c>
    </row>
    <row r="191" spans="1:3">
      <c r="A191" s="241" t="s">
        <v>24</v>
      </c>
      <c r="B191" s="235" t="str">
        <f>IF(A191="","",IF('General price list'!$W$17=B190,A191,IFERROR(VLOOKUP(A191,Kategorie!C:AA,MATCH('General price list'!$W$17,Kategorie!$C$2:$AA$2,0),FALSE),"× Chybí překlad ×")))</f>
        <v/>
      </c>
      <c r="C191" s="235" t="str">
        <f t="shared" si="2"/>
        <v/>
      </c>
    </row>
    <row r="192" spans="1:3">
      <c r="A192" s="241" t="s">
        <v>24</v>
      </c>
      <c r="B192" s="235" t="str">
        <f>IF(A192="","",IF('General price list'!$W$17=B191,A192,IFERROR(VLOOKUP(A192,Kategorie!C:AA,MATCH('General price list'!$W$17,Kategorie!$C$2:$AA$2,0),FALSE),"× Chybí překlad ×")))</f>
        <v/>
      </c>
      <c r="C192" s="235" t="str">
        <f t="shared" si="2"/>
        <v/>
      </c>
    </row>
    <row r="193" spans="1:3">
      <c r="A193" s="241" t="s">
        <v>6869</v>
      </c>
      <c r="B193" s="235" t="str">
        <f>IF(A193="","",IF('General price list'!$W$17=B192,A193,IFERROR(VLOOKUP(A193,Kategorie!C:AA,MATCH('General price list'!$W$17,Kategorie!$C$2:$AA$2,0),FALSE),"× Chybí překlad ×")))</f>
        <v>Interiérové fontány</v>
      </c>
      <c r="C193" s="235" t="str">
        <f t="shared" si="2"/>
        <v xml:space="preserve">                                                               Interiérové fontány</v>
      </c>
    </row>
    <row r="194" spans="1:3">
      <c r="A194" s="241" t="s">
        <v>13495</v>
      </c>
      <c r="B194" s="235" t="str">
        <f>IF(A194="","",IF('General price list'!$W$17=B193,A194,IFERROR(VLOOKUP(A194,Kategorie!C:AA,MATCH('General price list'!$W$17,Kategorie!$C$2:$AA$2,0),FALSE),"× Chybí překlad ×")))</f>
        <v>x</v>
      </c>
      <c r="C194" s="235" t="str">
        <f t="shared" si="2"/>
        <v>×</v>
      </c>
    </row>
    <row r="195" spans="1:3">
      <c r="A195" s="241" t="s">
        <v>24</v>
      </c>
      <c r="B195" s="235" t="str">
        <f>IF(A195="","",IF('General price list'!$W$17=B194,A195,IFERROR(VLOOKUP(A195,Kategorie!C:AA,MATCH('General price list'!$W$17,Kategorie!$C$2:$AA$2,0),FALSE),"× Chybí překlad ×")))</f>
        <v/>
      </c>
      <c r="C195" s="235" t="str">
        <f t="shared" si="2"/>
        <v/>
      </c>
    </row>
    <row r="196" spans="1:3">
      <c r="A196" s="241" t="s">
        <v>24</v>
      </c>
      <c r="B196" s="235" t="str">
        <f>IF(A196="","",IF('General price list'!$W$17=B195,A196,IFERROR(VLOOKUP(A196,Kategorie!C:AA,MATCH('General price list'!$W$17,Kategorie!$C$2:$AA$2,0),FALSE),"× Chybí překlad ×")))</f>
        <v/>
      </c>
      <c r="C196" s="235" t="str">
        <f t="shared" si="2"/>
        <v/>
      </c>
    </row>
    <row r="197" spans="1:3">
      <c r="A197" s="241" t="s">
        <v>24</v>
      </c>
      <c r="B197" s="235" t="str">
        <f>IF(A197="","",IF('General price list'!$W$17=B196,A197,IFERROR(VLOOKUP(A197,Kategorie!C:AA,MATCH('General price list'!$W$17,Kategorie!$C$2:$AA$2,0),FALSE),"× Chybí překlad ×")))</f>
        <v/>
      </c>
      <c r="C197" s="235" t="str">
        <f t="shared" si="2"/>
        <v/>
      </c>
    </row>
    <row r="198" spans="1:3">
      <c r="A198" s="241" t="s">
        <v>13495</v>
      </c>
      <c r="B198" s="235" t="str">
        <f>IF(A198="","",IF('General price list'!$W$17=B197,A198,IFERROR(VLOOKUP(A198,Kategorie!C:AA,MATCH('General price list'!$W$17,Kategorie!$C$2:$AA$2,0),FALSE),"× Chybí překlad ×")))</f>
        <v>x</v>
      </c>
      <c r="C198" s="235" t="str">
        <f t="shared" si="2"/>
        <v>×</v>
      </c>
    </row>
    <row r="199" spans="1:3">
      <c r="A199" s="241" t="s">
        <v>6878</v>
      </c>
      <c r="B199" s="235" t="str">
        <f>IF(A199="","",IF('General price list'!$W$17=B198,A199,IFERROR(VLOOKUP(A199,Kategorie!C:AA,MATCH('General price list'!$W$17,Kategorie!$C$2:$AA$2,0),FALSE),"× Chybí překlad ×")))</f>
        <v>Konfety 50mm</v>
      </c>
      <c r="C199" s="235" t="str">
        <f t="shared" si="2"/>
        <v xml:space="preserve">                                                               Konfety 50mm</v>
      </c>
    </row>
    <row r="200" spans="1:3">
      <c r="A200" s="241" t="s">
        <v>24</v>
      </c>
      <c r="B200" s="235" t="str">
        <f>IF(A200="","",IF('General price list'!$W$17=B199,A200,IFERROR(VLOOKUP(A200,Kategorie!C:AA,MATCH('General price list'!$W$17,Kategorie!$C$2:$AA$2,0),FALSE),"× Chybí překlad ×")))</f>
        <v/>
      </c>
      <c r="C200" s="235" t="str">
        <f t="shared" si="2"/>
        <v/>
      </c>
    </row>
    <row r="201" spans="1:3" ht="15.75">
      <c r="A201" s="242" t="s">
        <v>13495</v>
      </c>
      <c r="B201" s="235" t="str">
        <f>IF(A201="","",IF('General price list'!$W$17=B200,A201,IFERROR(VLOOKUP(A201,Kategorie!C:AA,MATCH('General price list'!$W$17,Kategorie!$C$2:$AA$2,0),FALSE),"× Chybí překlad ×")))</f>
        <v>x</v>
      </c>
      <c r="C201" s="235" t="str">
        <f t="shared" si="2"/>
        <v>×</v>
      </c>
    </row>
    <row r="202" spans="1:3">
      <c r="A202" s="241" t="s">
        <v>13495</v>
      </c>
      <c r="B202" s="235" t="str">
        <f>IF(A202="","",IF('General price list'!$W$17=B201,A202,IFERROR(VLOOKUP(A202,Kategorie!C:AA,MATCH('General price list'!$W$17,Kategorie!$C$2:$AA$2,0),FALSE),"× Chybí překlad ×")))</f>
        <v>x</v>
      </c>
      <c r="C202" s="235" t="str">
        <f t="shared" si="2"/>
        <v>×</v>
      </c>
    </row>
    <row r="203" spans="1:3">
      <c r="A203" s="241" t="s">
        <v>24</v>
      </c>
      <c r="B203" s="235" t="str">
        <f>IF(A203="","",IF('General price list'!$W$17=B202,A203,IFERROR(VLOOKUP(A203,Kategorie!C:AA,MATCH('General price list'!$W$17,Kategorie!$C$2:$AA$2,0),FALSE),"× Chybí překlad ×")))</f>
        <v/>
      </c>
      <c r="C203" s="235" t="str">
        <f t="shared" si="2"/>
        <v/>
      </c>
    </row>
    <row r="204" spans="1:3">
      <c r="A204" s="241" t="s">
        <v>6886</v>
      </c>
      <c r="B204" s="235" t="str">
        <f>IF(A204="","",IF('General price list'!$W$17=B203,A204,IFERROR(VLOOKUP(A204,Kategorie!C:AA,MATCH('General price list'!$W$17,Kategorie!$C$2:$AA$2,0),FALSE),"× Chybí překlad ×")))</f>
        <v>Římské svíce 7mm</v>
      </c>
      <c r="C204" s="235" t="str">
        <f t="shared" si="2"/>
        <v xml:space="preserve">                                                               Římské svíce 7mm</v>
      </c>
    </row>
    <row r="205" spans="1:3">
      <c r="A205" s="241" t="s">
        <v>24</v>
      </c>
      <c r="B205" s="235" t="str">
        <f>IF(A205="","",IF('General price list'!$W$17=B204,A205,IFERROR(VLOOKUP(A205,Kategorie!C:AA,MATCH('General price list'!$W$17,Kategorie!$C$2:$AA$2,0),FALSE),"× Chybí překlad ×")))</f>
        <v/>
      </c>
      <c r="C205" s="235" t="str">
        <f t="shared" si="2"/>
        <v/>
      </c>
    </row>
    <row r="206" spans="1:3">
      <c r="A206" s="241" t="s">
        <v>24</v>
      </c>
      <c r="B206" s="235" t="str">
        <f>IF(A206="","",IF('General price list'!$W$17=B205,A206,IFERROR(VLOOKUP(A206,Kategorie!C:AA,MATCH('General price list'!$W$17,Kategorie!$C$2:$AA$2,0),FALSE),"× Chybí překlad ×")))</f>
        <v/>
      </c>
      <c r="C206" s="235" t="str">
        <f t="shared" si="2"/>
        <v/>
      </c>
    </row>
    <row r="207" spans="1:3">
      <c r="A207" s="241" t="s">
        <v>6895</v>
      </c>
      <c r="B207" s="235" t="str">
        <f>IF(A207="","",IF('General price list'!$W$17=B206,A207,IFERROR(VLOOKUP(A207,Kategorie!C:AA,MATCH('General price list'!$W$17,Kategorie!$C$2:$AA$2,0),FALSE),"× Chybí překlad ×")))</f>
        <v>Římské svíce 10mm</v>
      </c>
      <c r="C207" s="235" t="str">
        <f t="shared" si="2"/>
        <v xml:space="preserve">                                                               Římské svíce 10mm</v>
      </c>
    </row>
    <row r="208" spans="1:3">
      <c r="A208" s="241" t="s">
        <v>24</v>
      </c>
      <c r="B208" s="235" t="str">
        <f>IF(A208="","",IF('General price list'!$W$17=B207,A208,IFERROR(VLOOKUP(A208,Kategorie!C:AA,MATCH('General price list'!$W$17,Kategorie!$C$2:$AA$2,0),FALSE),"× Chybí překlad ×")))</f>
        <v/>
      </c>
      <c r="C208" s="235" t="str">
        <f t="shared" si="2"/>
        <v/>
      </c>
    </row>
    <row r="209" spans="1:3" ht="15.75">
      <c r="A209" s="242" t="s">
        <v>24</v>
      </c>
      <c r="B209" s="235" t="str">
        <f>IF(A209="","",IF('General price list'!$W$17=B208,A209,IFERROR(VLOOKUP(A209,Kategorie!C:AA,MATCH('General price list'!$W$17,Kategorie!$C$2:$AA$2,0),FALSE),"× Chybí překlad ×")))</f>
        <v/>
      </c>
      <c r="C209" s="235" t="str">
        <f t="shared" si="2"/>
        <v/>
      </c>
    </row>
    <row r="210" spans="1:3">
      <c r="A210" s="241" t="s">
        <v>24</v>
      </c>
      <c r="B210" s="235" t="str">
        <f>IF(A210="","",IF('General price list'!$W$17=B209,A210,IFERROR(VLOOKUP(A210,Kategorie!C:AA,MATCH('General price list'!$W$17,Kategorie!$C$2:$AA$2,0),FALSE),"× Chybí překlad ×")))</f>
        <v/>
      </c>
      <c r="C210" s="235" t="str">
        <f t="shared" si="2"/>
        <v/>
      </c>
    </row>
    <row r="211" spans="1:3">
      <c r="A211" s="241" t="s">
        <v>24</v>
      </c>
      <c r="B211" s="235" t="str">
        <f>IF(A211="","",IF('General price list'!$W$17=B210,A211,IFERROR(VLOOKUP(A211,Kategorie!C:AA,MATCH('General price list'!$W$17,Kategorie!$C$2:$AA$2,0),FALSE),"× Chybí překlad ×")))</f>
        <v/>
      </c>
      <c r="C211" s="235" t="str">
        <f t="shared" si="2"/>
        <v/>
      </c>
    </row>
    <row r="212" spans="1:3" ht="15.75">
      <c r="A212" s="242" t="s">
        <v>24</v>
      </c>
      <c r="B212" s="235" t="str">
        <f>IF(A212="","",IF('General price list'!$W$17=B211,A212,IFERROR(VLOOKUP(A212,Kategorie!C:AA,MATCH('General price list'!$W$17,Kategorie!$C$2:$AA$2,0),FALSE),"× Chybí překlad ×")))</f>
        <v/>
      </c>
      <c r="C212" s="235" t="str">
        <f t="shared" si="2"/>
        <v/>
      </c>
    </row>
    <row r="213" spans="1:3">
      <c r="A213" s="241" t="s">
        <v>24</v>
      </c>
      <c r="B213" s="235" t="str">
        <f>IF(A213="","",IF('General price list'!$W$17=B212,A213,IFERROR(VLOOKUP(A213,Kategorie!C:AA,MATCH('General price list'!$W$17,Kategorie!$C$2:$AA$2,0),FALSE),"× Chybí překlad ×")))</f>
        <v/>
      </c>
      <c r="C213" s="235" t="str">
        <f t="shared" si="2"/>
        <v/>
      </c>
    </row>
    <row r="214" spans="1:3">
      <c r="A214" s="241" t="s">
        <v>24</v>
      </c>
      <c r="B214" s="235" t="str">
        <f>IF(A214="","",IF('General price list'!$W$17=B213,A214,IFERROR(VLOOKUP(A214,Kategorie!C:AA,MATCH('General price list'!$W$17,Kategorie!$C$2:$AA$2,0),FALSE),"× Chybí překlad ×")))</f>
        <v/>
      </c>
      <c r="C214" s="235" t="str">
        <f t="shared" ref="C214:C277" si="3">IF(A214="","",IF(A214="x","×",$B$1&amp;B214))</f>
        <v/>
      </c>
    </row>
    <row r="215" spans="1:3">
      <c r="A215" s="241" t="s">
        <v>6904</v>
      </c>
      <c r="B215" s="235" t="str">
        <f>IF(A215="","",IF('General price list'!$W$17=B214,A215,IFERROR(VLOOKUP(A215,Kategorie!C:AA,MATCH('General price list'!$W$17,Kategorie!$C$2:$AA$2,0),FALSE),"× Chybí překlad ×")))</f>
        <v>Římské svíce 20mm</v>
      </c>
      <c r="C215" s="235" t="str">
        <f t="shared" si="3"/>
        <v xml:space="preserve">                                                               Římské svíce 20mm</v>
      </c>
    </row>
    <row r="216" spans="1:3">
      <c r="A216" s="241" t="s">
        <v>24</v>
      </c>
      <c r="B216" s="235" t="str">
        <f>IF(A216="","",IF('General price list'!$W$17=B215,A216,IFERROR(VLOOKUP(A216,Kategorie!C:AA,MATCH('General price list'!$W$17,Kategorie!$C$2:$AA$2,0),FALSE),"× Chybí překlad ×")))</f>
        <v/>
      </c>
      <c r="C216" s="235" t="str">
        <f t="shared" si="3"/>
        <v/>
      </c>
    </row>
    <row r="217" spans="1:3">
      <c r="A217" s="241" t="s">
        <v>24</v>
      </c>
      <c r="B217" s="235" t="str">
        <f>IF(A217="","",IF('General price list'!$W$17=B216,A217,IFERROR(VLOOKUP(A217,Kategorie!C:AA,MATCH('General price list'!$W$17,Kategorie!$C$2:$AA$2,0),FALSE),"× Chybí překlad ×")))</f>
        <v/>
      </c>
      <c r="C217" s="235" t="str">
        <f t="shared" si="3"/>
        <v/>
      </c>
    </row>
    <row r="218" spans="1:3">
      <c r="A218" s="241" t="s">
        <v>24</v>
      </c>
      <c r="B218" s="235" t="str">
        <f>IF(A218="","",IF('General price list'!$W$17=B217,A218,IFERROR(VLOOKUP(A218,Kategorie!C:AA,MATCH('General price list'!$W$17,Kategorie!$C$2:$AA$2,0),FALSE),"× Chybí překlad ×")))</f>
        <v/>
      </c>
      <c r="C218" s="235" t="str">
        <f t="shared" si="3"/>
        <v/>
      </c>
    </row>
    <row r="219" spans="1:3">
      <c r="A219" s="241" t="s">
        <v>24</v>
      </c>
      <c r="B219" s="235" t="str">
        <f>IF(A219="","",IF('General price list'!$W$17=B218,A219,IFERROR(VLOOKUP(A219,Kategorie!C:AA,MATCH('General price list'!$W$17,Kategorie!$C$2:$AA$2,0),FALSE),"× Chybí překlad ×")))</f>
        <v/>
      </c>
      <c r="C219" s="235" t="str">
        <f t="shared" si="3"/>
        <v/>
      </c>
    </row>
    <row r="220" spans="1:3">
      <c r="A220" s="241" t="s">
        <v>24</v>
      </c>
      <c r="B220" s="235" t="str">
        <f>IF(A220="","",IF('General price list'!$W$17=B219,A220,IFERROR(VLOOKUP(A220,Kategorie!C:AA,MATCH('General price list'!$W$17,Kategorie!$C$2:$AA$2,0),FALSE),"× Chybí překlad ×")))</f>
        <v/>
      </c>
      <c r="C220" s="235" t="str">
        <f t="shared" si="3"/>
        <v/>
      </c>
    </row>
    <row r="221" spans="1:3">
      <c r="A221" s="241" t="s">
        <v>24</v>
      </c>
      <c r="B221" s="235" t="str">
        <f>IF(A221="","",IF('General price list'!$W$17=B220,A221,IFERROR(VLOOKUP(A221,Kategorie!C:AA,MATCH('General price list'!$W$17,Kategorie!$C$2:$AA$2,0),FALSE),"× Chybí překlad ×")))</f>
        <v/>
      </c>
      <c r="C221" s="235" t="str">
        <f t="shared" si="3"/>
        <v/>
      </c>
    </row>
    <row r="222" spans="1:3">
      <c r="A222" s="241" t="s">
        <v>6913</v>
      </c>
      <c r="B222" s="235" t="str">
        <f>IF(A222="","",IF('General price list'!$W$17=B221,A222,IFERROR(VLOOKUP(A222,Kategorie!C:AA,MATCH('General price list'!$W$17,Kategorie!$C$2:$AA$2,0),FALSE),"× Chybí překlad ×")))</f>
        <v>Římské svíce 30mm</v>
      </c>
      <c r="C222" s="235" t="str">
        <f t="shared" si="3"/>
        <v xml:space="preserve">                                                               Římské svíce 30mm</v>
      </c>
    </row>
    <row r="223" spans="1:3">
      <c r="A223" s="241" t="s">
        <v>24</v>
      </c>
      <c r="B223" s="235" t="str">
        <f>IF(A223="","",IF('General price list'!$W$17=B222,A223,IFERROR(VLOOKUP(A223,Kategorie!C:AA,MATCH('General price list'!$W$17,Kategorie!$C$2:$AA$2,0),FALSE),"× Chybí překlad ×")))</f>
        <v/>
      </c>
      <c r="C223" s="235" t="str">
        <f t="shared" si="3"/>
        <v/>
      </c>
    </row>
    <row r="224" spans="1:3" ht="15.75">
      <c r="A224" s="242" t="s">
        <v>24</v>
      </c>
      <c r="B224" s="235" t="str">
        <f>IF(A224="","",IF('General price list'!$W$17=B223,A224,IFERROR(VLOOKUP(A224,Kategorie!C:AA,MATCH('General price list'!$W$17,Kategorie!$C$2:$AA$2,0),FALSE),"× Chybí překlad ×")))</f>
        <v/>
      </c>
      <c r="C224" s="235" t="str">
        <f t="shared" si="3"/>
        <v/>
      </c>
    </row>
    <row r="225" spans="1:3">
      <c r="A225" s="241" t="s">
        <v>24</v>
      </c>
      <c r="B225" s="235" t="str">
        <f>IF(A225="","",IF('General price list'!$W$17=B224,A225,IFERROR(VLOOKUP(A225,Kategorie!C:AA,MATCH('General price list'!$W$17,Kategorie!$C$2:$AA$2,0),FALSE),"× Chybí překlad ×")))</f>
        <v/>
      </c>
      <c r="C225" s="235" t="str">
        <f t="shared" si="3"/>
        <v/>
      </c>
    </row>
    <row r="226" spans="1:3">
      <c r="A226" s="241" t="s">
        <v>6922</v>
      </c>
      <c r="B226" s="235" t="str">
        <f>IF(A226="","",IF('General price list'!$W$17=B225,A226,IFERROR(VLOOKUP(A226,Kategorie!C:AA,MATCH('General price list'!$W$17,Kategorie!$C$2:$AA$2,0),FALSE),"× Chybí překlad ×")))</f>
        <v>Baterie římských svící</v>
      </c>
      <c r="C226" s="235" t="str">
        <f t="shared" si="3"/>
        <v xml:space="preserve">                                                               Baterie římských svící</v>
      </c>
    </row>
    <row r="227" spans="1:3">
      <c r="A227" s="241" t="s">
        <v>24</v>
      </c>
      <c r="B227" s="235" t="str">
        <f>IF(A227="","",IF('General price list'!$W$17=B226,A227,IFERROR(VLOOKUP(A227,Kategorie!C:AA,MATCH('General price list'!$W$17,Kategorie!$C$2:$AA$2,0),FALSE),"× Chybí překlad ×")))</f>
        <v/>
      </c>
      <c r="C227" s="235" t="str">
        <f t="shared" si="3"/>
        <v/>
      </c>
    </row>
    <row r="228" spans="1:3">
      <c r="A228" s="241" t="s">
        <v>6931</v>
      </c>
      <c r="B228" s="235" t="str">
        <f>IF(A228="","",IF('General price list'!$W$17=B227,A228,IFERROR(VLOOKUP(A228,Kategorie!C:AA,MATCH('General price list'!$W$17,Kategorie!$C$2:$AA$2,0),FALSE),"× Chybí překlad ×")))</f>
        <v>Vystřelovací trubice F2</v>
      </c>
      <c r="C228" s="235" t="str">
        <f t="shared" si="3"/>
        <v xml:space="preserve">                                                               Vystřelovací trubice F2</v>
      </c>
    </row>
    <row r="229" spans="1:3">
      <c r="A229" s="241" t="s">
        <v>24</v>
      </c>
      <c r="B229" s="235" t="str">
        <f>IF(A229="","",IF('General price list'!$W$17=B228,A229,IFERROR(VLOOKUP(A229,Kategorie!C:AA,MATCH('General price list'!$W$17,Kategorie!$C$2:$AA$2,0),FALSE),"× Chybí překlad ×")))</f>
        <v/>
      </c>
      <c r="C229" s="235" t="str">
        <f t="shared" si="3"/>
        <v/>
      </c>
    </row>
    <row r="230" spans="1:3" ht="15.75">
      <c r="A230" s="242" t="s">
        <v>24</v>
      </c>
      <c r="B230" s="235" t="str">
        <f>IF(A230="","",IF('General price list'!$W$17=B229,A230,IFERROR(VLOOKUP(A230,Kategorie!C:AA,MATCH('General price list'!$W$17,Kategorie!$C$2:$AA$2,0),FALSE),"× Chybí překlad ×")))</f>
        <v/>
      </c>
      <c r="C230" s="235" t="str">
        <f t="shared" si="3"/>
        <v/>
      </c>
    </row>
    <row r="231" spans="1:3">
      <c r="A231" s="241" t="s">
        <v>24</v>
      </c>
      <c r="B231" s="235" t="str">
        <f>IF(A231="","",IF('General price list'!$W$17=B230,A231,IFERROR(VLOOKUP(A231,Kategorie!C:AA,MATCH('General price list'!$W$17,Kategorie!$C$2:$AA$2,0),FALSE),"× Chybí překlad ×")))</f>
        <v/>
      </c>
      <c r="C231" s="235" t="str">
        <f t="shared" si="3"/>
        <v/>
      </c>
    </row>
    <row r="232" spans="1:3">
      <c r="A232" s="241" t="s">
        <v>6958</v>
      </c>
      <c r="B232" s="235" t="str">
        <f>IF(A232="","",IF('General price list'!$W$17=B231,A232,IFERROR(VLOOKUP(A232,Kategorie!C:AA,MATCH('General price list'!$W$17,Kategorie!$C$2:$AA$2,0),FALSE),"× Chybí překlad ×")))</f>
        <v>Vystřelovací trubice F3</v>
      </c>
      <c r="C232" s="235" t="str">
        <f t="shared" si="3"/>
        <v xml:space="preserve">                                                               Vystřelovací trubice F3</v>
      </c>
    </row>
    <row r="233" spans="1:3">
      <c r="A233" s="241" t="s">
        <v>24</v>
      </c>
      <c r="B233" s="235" t="str">
        <f>IF(A233="","",IF('General price list'!$W$17=B232,A233,IFERROR(VLOOKUP(A233,Kategorie!C:AA,MATCH('General price list'!$W$17,Kategorie!$C$2:$AA$2,0),FALSE),"× Chybí překlad ×")))</f>
        <v/>
      </c>
      <c r="C233" s="235" t="str">
        <f t="shared" si="3"/>
        <v/>
      </c>
    </row>
    <row r="234" spans="1:3" ht="15.75">
      <c r="A234" s="242" t="s">
        <v>24</v>
      </c>
      <c r="B234" s="235" t="str">
        <f>IF(A234="","",IF('General price list'!$W$17=B233,A234,IFERROR(VLOOKUP(A234,Kategorie!C:AA,MATCH('General price list'!$W$17,Kategorie!$C$2:$AA$2,0),FALSE),"× Chybí překlad ×")))</f>
        <v/>
      </c>
      <c r="C234" s="235" t="str">
        <f t="shared" si="3"/>
        <v/>
      </c>
    </row>
    <row r="235" spans="1:3">
      <c r="A235" s="241" t="s">
        <v>24</v>
      </c>
      <c r="B235" s="235" t="str">
        <f>IF(A235="","",IF('General price list'!$W$17=B234,A235,IFERROR(VLOOKUP(A235,Kategorie!C:AA,MATCH('General price list'!$W$17,Kategorie!$C$2:$AA$2,0),FALSE),"× Chybí překlad ×")))</f>
        <v/>
      </c>
      <c r="C235" s="235" t="str">
        <f t="shared" si="3"/>
        <v/>
      </c>
    </row>
    <row r="236" spans="1:3" ht="15.75">
      <c r="A236" s="242" t="s">
        <v>24</v>
      </c>
      <c r="B236" s="235" t="str">
        <f>IF(A236="","",IF('General price list'!$W$17=B235,A236,IFERROR(VLOOKUP(A236,Kategorie!C:AA,MATCH('General price list'!$W$17,Kategorie!$C$2:$AA$2,0),FALSE),"× Chybí překlad ×")))</f>
        <v/>
      </c>
      <c r="C236" s="235" t="str">
        <f t="shared" si="3"/>
        <v/>
      </c>
    </row>
    <row r="237" spans="1:3">
      <c r="A237" s="241" t="s">
        <v>6940</v>
      </c>
      <c r="B237" s="235" t="str">
        <f>IF(A237="","",IF('General price list'!$W$17=B236,A237,IFERROR(VLOOKUP(A237,Kategorie!C:AA,MATCH('General price list'!$W$17,Kategorie!$C$2:$AA$2,0),FALSE),"× Chybí překlad ×")))</f>
        <v>Vystřelovací trubice(3 rány), 20mm moždíř</v>
      </c>
      <c r="C237" s="235" t="str">
        <f t="shared" si="3"/>
        <v xml:space="preserve">                                                               Vystřelovací trubice(3 rány), 20mm moždíř</v>
      </c>
    </row>
    <row r="238" spans="1:3">
      <c r="A238" s="241" t="s">
        <v>24</v>
      </c>
      <c r="B238" s="235" t="str">
        <f>IF(A238="","",IF('General price list'!$W$17=B237,A238,IFERROR(VLOOKUP(A238,Kategorie!C:AA,MATCH('General price list'!$W$17,Kategorie!$C$2:$AA$2,0),FALSE),"× Chybí překlad ×")))</f>
        <v/>
      </c>
      <c r="C238" s="235" t="str">
        <f t="shared" si="3"/>
        <v/>
      </c>
    </row>
    <row r="239" spans="1:3">
      <c r="A239" s="241" t="s">
        <v>6949</v>
      </c>
      <c r="B239" s="235" t="str">
        <f>IF(A239="","",IF('General price list'!$W$17=B238,A239,IFERROR(VLOOKUP(A239,Kategorie!C:AA,MATCH('General price list'!$W$17,Kategorie!$C$2:$AA$2,0),FALSE),"× Chybí překlad ×")))</f>
        <v>Vystřelovací trubice(3 rány), 30mm moždíř</v>
      </c>
      <c r="C239" s="235" t="str">
        <f t="shared" si="3"/>
        <v xml:space="preserve">                                                               Vystřelovací trubice(3 rány), 30mm moždíř</v>
      </c>
    </row>
    <row r="240" spans="1:3">
      <c r="A240" s="241" t="s">
        <v>24</v>
      </c>
      <c r="B240" s="235" t="str">
        <f>IF(A240="","",IF('General price list'!$W$17=B239,A240,IFERROR(VLOOKUP(A240,Kategorie!C:AA,MATCH('General price list'!$W$17,Kategorie!$C$2:$AA$2,0),FALSE),"× Chybí překlad ×")))</f>
        <v/>
      </c>
      <c r="C240" s="235" t="str">
        <f t="shared" si="3"/>
        <v/>
      </c>
    </row>
    <row r="241" spans="1:3">
      <c r="A241" s="241" t="s">
        <v>6976</v>
      </c>
      <c r="B241" s="235" t="str">
        <f>IF(A241="","",IF('General price list'!$W$17=B240,A241,IFERROR(VLOOKUP(A241,Kategorie!C:AA,MATCH('General price list'!$W$17,Kategorie!$C$2:$AA$2,0),FALSE),"× Chybí překlad ×")))</f>
        <v>Sada kulových pum s moždířem</v>
      </c>
      <c r="C241" s="235" t="str">
        <f t="shared" si="3"/>
        <v xml:space="preserve">                                                               Sada kulových pum s moždířem</v>
      </c>
    </row>
    <row r="242" spans="1:3">
      <c r="A242" s="241" t="s">
        <v>24</v>
      </c>
      <c r="B242" s="235" t="str">
        <f>IF(A242="","",IF('General price list'!$W$17=B241,A242,IFERROR(VLOOKUP(A242,Kategorie!C:AA,MATCH('General price list'!$W$17,Kategorie!$C$2:$AA$2,0),FALSE),"× Chybí překlad ×")))</f>
        <v/>
      </c>
      <c r="C242" s="235" t="str">
        <f t="shared" si="3"/>
        <v/>
      </c>
    </row>
    <row r="243" spans="1:3" ht="15.75">
      <c r="A243" s="242" t="s">
        <v>6985</v>
      </c>
      <c r="B243" s="235" t="str">
        <f>IF(A243="","",IF('General price list'!$W$17=B242,A243,IFERROR(VLOOKUP(A243,Kategorie!C:AA,MATCH('General price list'!$W$17,Kategorie!$C$2:$AA$2,0),FALSE),"× Chybí překlad ×")))</f>
        <v>Fontána s explozí</v>
      </c>
      <c r="C243" s="235" t="str">
        <f t="shared" si="3"/>
        <v xml:space="preserve">                                                               Fontána s explozí</v>
      </c>
    </row>
    <row r="244" spans="1:3">
      <c r="A244" s="241" t="s">
        <v>24</v>
      </c>
      <c r="B244" s="235" t="str">
        <f>IF(A244="","",IF('General price list'!$W$17=B243,A244,IFERROR(VLOOKUP(A244,Kategorie!C:AA,MATCH('General price list'!$W$17,Kategorie!$C$2:$AA$2,0),FALSE),"× Chybí překlad ×")))</f>
        <v/>
      </c>
      <c r="C244" s="235" t="str">
        <f t="shared" si="3"/>
        <v/>
      </c>
    </row>
    <row r="245" spans="1:3">
      <c r="A245" s="241" t="s">
        <v>13495</v>
      </c>
      <c r="B245" s="235" t="str">
        <f>IF(A245="","",IF('General price list'!$W$17=B244,A245,IFERROR(VLOOKUP(A245,Kategorie!C:AA,MATCH('General price list'!$W$17,Kategorie!$C$2:$AA$2,0),FALSE),"× Chybí překlad ×")))</f>
        <v>x</v>
      </c>
      <c r="C245" s="235" t="str">
        <f t="shared" si="3"/>
        <v>×</v>
      </c>
    </row>
    <row r="246" spans="1:3" ht="15.75">
      <c r="A246" s="242" t="s">
        <v>24</v>
      </c>
      <c r="B246" s="235" t="str">
        <f>IF(A246="","",IF('General price list'!$W$17=B245,A246,IFERROR(VLOOKUP(A246,Kategorie!C:AA,MATCH('General price list'!$W$17,Kategorie!$C$2:$AA$2,0),FALSE),"× Chybí překlad ×")))</f>
        <v/>
      </c>
      <c r="C246" s="235" t="str">
        <f t="shared" si="3"/>
        <v/>
      </c>
    </row>
    <row r="247" spans="1:3">
      <c r="A247" s="241" t="s">
        <v>13495</v>
      </c>
      <c r="B247" s="235" t="str">
        <f>IF(A247="","",IF('General price list'!$W$17=B246,A247,IFERROR(VLOOKUP(A247,Kategorie!C:AA,MATCH('General price list'!$W$17,Kategorie!$C$2:$AA$2,0),FALSE),"× Chybí překlad ×")))</f>
        <v>x</v>
      </c>
      <c r="C247" s="235" t="str">
        <f t="shared" si="3"/>
        <v>×</v>
      </c>
    </row>
    <row r="248" spans="1:3">
      <c r="A248" s="241" t="s">
        <v>13495</v>
      </c>
      <c r="B248" s="235" t="str">
        <f>IF(A248="","",IF('General price list'!$W$17=B247,A248,IFERROR(VLOOKUP(A248,Kategorie!C:AA,MATCH('General price list'!$W$17,Kategorie!$C$2:$AA$2,0),FALSE),"× Chybí překlad ×")))</f>
        <v>x</v>
      </c>
      <c r="C248" s="235" t="str">
        <f t="shared" si="3"/>
        <v>×</v>
      </c>
    </row>
    <row r="249" spans="1:3" ht="15.75">
      <c r="A249" s="242" t="s">
        <v>13495</v>
      </c>
      <c r="B249" s="235" t="str">
        <f>IF(A249="","",IF('General price list'!$W$17=B248,A249,IFERROR(VLOOKUP(A249,Kategorie!C:AA,MATCH('General price list'!$W$17,Kategorie!$C$2:$AA$2,0),FALSE),"× Chybí překlad ×")))</f>
        <v>x</v>
      </c>
      <c r="C249" s="235" t="str">
        <f t="shared" si="3"/>
        <v>×</v>
      </c>
    </row>
    <row r="250" spans="1:3">
      <c r="A250" s="241" t="s">
        <v>6994</v>
      </c>
      <c r="B250" s="235" t="str">
        <f>IF(A250="","",IF('General price list'!$W$17=B249,A250,IFERROR(VLOOKUP(A250,Kategorie!C:AA,MATCH('General price list'!$W$17,Kategorie!$C$2:$AA$2,0),FALSE),"× Chybí překlad ×")))</f>
        <v>Škrtací petardy</v>
      </c>
      <c r="C250" s="235" t="str">
        <f t="shared" si="3"/>
        <v xml:space="preserve">                                                               Škrtací petardy</v>
      </c>
    </row>
    <row r="251" spans="1:3">
      <c r="A251" s="241" t="s">
        <v>24</v>
      </c>
      <c r="B251" s="235" t="str">
        <f>IF(A251="","",IF('General price list'!$W$17=B250,A251,IFERROR(VLOOKUP(A251,Kategorie!C:AA,MATCH('General price list'!$W$17,Kategorie!$C$2:$AA$2,0),FALSE),"× Chybí překlad ×")))</f>
        <v/>
      </c>
      <c r="C251" s="235" t="str">
        <f t="shared" si="3"/>
        <v/>
      </c>
    </row>
    <row r="252" spans="1:3">
      <c r="A252" s="241" t="s">
        <v>24</v>
      </c>
      <c r="B252" s="235" t="str">
        <f>IF(A252="","",IF('General price list'!$W$17=B251,A252,IFERROR(VLOOKUP(A252,Kategorie!C:AA,MATCH('General price list'!$W$17,Kategorie!$C$2:$AA$2,0),FALSE),"× Chybí překlad ×")))</f>
        <v/>
      </c>
      <c r="C252" s="235" t="str">
        <f t="shared" si="3"/>
        <v/>
      </c>
    </row>
    <row r="253" spans="1:3">
      <c r="A253" s="241" t="s">
        <v>24</v>
      </c>
      <c r="B253" s="235" t="str">
        <f>IF(A253="","",IF('General price list'!$W$17=B252,A253,IFERROR(VLOOKUP(A253,Kategorie!C:AA,MATCH('General price list'!$W$17,Kategorie!$C$2:$AA$2,0),FALSE),"× Chybí překlad ×")))</f>
        <v/>
      </c>
      <c r="C253" s="235" t="str">
        <f t="shared" si="3"/>
        <v/>
      </c>
    </row>
    <row r="254" spans="1:3" ht="15.75">
      <c r="A254" s="242" t="s">
        <v>24</v>
      </c>
      <c r="B254" s="235" t="str">
        <f>IF(A254="","",IF('General price list'!$W$17=B253,A254,IFERROR(VLOOKUP(A254,Kategorie!C:AA,MATCH('General price list'!$W$17,Kategorie!$C$2:$AA$2,0),FALSE),"× Chybí překlad ×")))</f>
        <v/>
      </c>
      <c r="C254" s="235" t="str">
        <f t="shared" si="3"/>
        <v/>
      </c>
    </row>
    <row r="255" spans="1:3" ht="15.75">
      <c r="A255" s="242" t="s">
        <v>7003</v>
      </c>
      <c r="B255" s="235" t="str">
        <f>IF(A255="","",IF('General price list'!$W$17=B254,A255,IFERROR(VLOOKUP(A255,Kategorie!C:AA,MATCH('General price list'!$W$17,Kategorie!$C$2:$AA$2,0),FALSE),"× Chybí překlad ×")))</f>
        <v>Petardy se zápalnou šňůrou F2</v>
      </c>
      <c r="C255" s="235" t="str">
        <f t="shared" ref="C255" si="4">IF(A255="","",IF(A255="x","×",$B$1&amp;B255))</f>
        <v xml:space="preserve">                                                               Petardy se zápalnou šňůrou F2</v>
      </c>
    </row>
    <row r="256" spans="1:3" ht="15.75">
      <c r="A256" s="242" t="s">
        <v>24</v>
      </c>
      <c r="B256" s="235" t="str">
        <f>IF(A256="","",IF('General price list'!$W$17=#REF!,A256,IFERROR(VLOOKUP(A256,Kategorie!C:AA,MATCH('General price list'!$W$17,Kategorie!$C$2:$AA$2,0),FALSE),"× Chybí překlad ×")))</f>
        <v/>
      </c>
      <c r="C256" s="235" t="str">
        <f t="shared" si="3"/>
        <v/>
      </c>
    </row>
    <row r="257" spans="1:3">
      <c r="A257" s="241" t="s">
        <v>24</v>
      </c>
      <c r="B257" s="235" t="str">
        <f>IF(A257="","",IF('General price list'!$W$17=B256,A257,IFERROR(VLOOKUP(A257,Kategorie!C:AA,MATCH('General price list'!$W$17,Kategorie!$C$2:$AA$2,0),FALSE),"× Chybí překlad ×")))</f>
        <v/>
      </c>
      <c r="C257" s="235" t="str">
        <f t="shared" si="3"/>
        <v/>
      </c>
    </row>
    <row r="258" spans="1:3">
      <c r="A258" s="241" t="s">
        <v>24</v>
      </c>
      <c r="B258" s="235" t="str">
        <f>IF(A258="","",IF('General price list'!$W$17=B257,A258,IFERROR(VLOOKUP(A258,Kategorie!C:AA,MATCH('General price list'!$W$17,Kategorie!$C$2:$AA$2,0),FALSE),"× Chybí překlad ×")))</f>
        <v/>
      </c>
      <c r="C258" s="235" t="str">
        <f t="shared" si="3"/>
        <v/>
      </c>
    </row>
    <row r="259" spans="1:3" ht="15.75">
      <c r="A259" s="242" t="s">
        <v>24</v>
      </c>
      <c r="B259" s="235" t="str">
        <f>IF(A259="","",IF('General price list'!$W$17=B258,A259,IFERROR(VLOOKUP(A259,Kategorie!C:AA,MATCH('General price list'!$W$17,Kategorie!$C$2:$AA$2,0),FALSE),"× Chybí překlad ×")))</f>
        <v/>
      </c>
      <c r="C259" s="235" t="str">
        <f t="shared" si="3"/>
        <v/>
      </c>
    </row>
    <row r="260" spans="1:3">
      <c r="A260" s="241" t="s">
        <v>24</v>
      </c>
      <c r="B260" s="235" t="str">
        <f>IF(A260="","",IF('General price list'!$W$17=B259,A260,IFERROR(VLOOKUP(A260,Kategorie!C:AA,MATCH('General price list'!$W$17,Kategorie!$C$2:$AA$2,0),FALSE),"× Chybí překlad ×")))</f>
        <v/>
      </c>
      <c r="C260" s="235" t="str">
        <f t="shared" si="3"/>
        <v/>
      </c>
    </row>
    <row r="261" spans="1:3" ht="15.75">
      <c r="A261" s="242" t="s">
        <v>24</v>
      </c>
      <c r="B261" s="235" t="str">
        <f>IF(A261="","",IF('General price list'!$W$17=B260,A261,IFERROR(VLOOKUP(A261,Kategorie!C:AA,MATCH('General price list'!$W$17,Kategorie!$C$2:$AA$2,0),FALSE),"× Chybí překlad ×")))</f>
        <v/>
      </c>
      <c r="C261" s="235" t="str">
        <f t="shared" si="3"/>
        <v/>
      </c>
    </row>
    <row r="262" spans="1:3">
      <c r="A262" s="241" t="s">
        <v>24</v>
      </c>
      <c r="B262" s="235" t="str">
        <f>IF(A262="","",IF('General price list'!$W$17=B261,A262,IFERROR(VLOOKUP(A262,Kategorie!C:AA,MATCH('General price list'!$W$17,Kategorie!$C$2:$AA$2,0),FALSE),"× Chybí překlad ×")))</f>
        <v/>
      </c>
      <c r="C262" s="235" t="str">
        <f t="shared" si="3"/>
        <v/>
      </c>
    </row>
    <row r="263" spans="1:3">
      <c r="A263" s="241" t="s">
        <v>24</v>
      </c>
      <c r="B263" s="235" t="str">
        <f>IF(A263="","",IF('General price list'!$W$17=B262,A263,IFERROR(VLOOKUP(A263,Kategorie!C:AA,MATCH('General price list'!$W$17,Kategorie!$C$2:$AA$2,0),FALSE),"× Chybí překlad ×")))</f>
        <v/>
      </c>
      <c r="C263" s="235" t="str">
        <f t="shared" si="3"/>
        <v/>
      </c>
    </row>
    <row r="264" spans="1:3">
      <c r="A264" s="241" t="s">
        <v>7012</v>
      </c>
      <c r="B264" s="235" t="str">
        <f>IF(A264="","",IF('General price list'!$W$17=B263,A264,IFERROR(VLOOKUP(A264,Kategorie!C:AA,MATCH('General price list'!$W$17,Kategorie!$C$2:$AA$2,0),FALSE),"× Chybí překlad ×")))</f>
        <v>Petardy se zápalnou šňůrou F3</v>
      </c>
      <c r="C264" s="235" t="str">
        <f t="shared" si="3"/>
        <v xml:space="preserve">                                                               Petardy se zápalnou šňůrou F3</v>
      </c>
    </row>
    <row r="265" spans="1:3">
      <c r="A265" s="241" t="s">
        <v>24</v>
      </c>
      <c r="B265" s="235" t="str">
        <f>IF(A265="","",IF('General price list'!$W$17=B264,A265,IFERROR(VLOOKUP(A265,Kategorie!C:AA,MATCH('General price list'!$W$17,Kategorie!$C$2:$AA$2,0),FALSE),"× Chybí překlad ×")))</f>
        <v/>
      </c>
      <c r="C265" s="235" t="str">
        <f t="shared" si="3"/>
        <v/>
      </c>
    </row>
    <row r="266" spans="1:3">
      <c r="A266" s="241" t="s">
        <v>24</v>
      </c>
      <c r="B266" s="235" t="str">
        <f>IF(A266="","",IF('General price list'!$W$17=B265,A266,IFERROR(VLOOKUP(A266,Kategorie!C:AA,MATCH('General price list'!$W$17,Kategorie!$C$2:$AA$2,0),FALSE),"× Chybí překlad ×")))</f>
        <v/>
      </c>
      <c r="C266" s="235" t="str">
        <f t="shared" si="3"/>
        <v/>
      </c>
    </row>
    <row r="267" spans="1:3">
      <c r="A267" s="241" t="s">
        <v>24</v>
      </c>
      <c r="B267" s="235" t="str">
        <f>IF(A267="","",IF('General price list'!$W$17=B266,A267,IFERROR(VLOOKUP(A267,Kategorie!C:AA,MATCH('General price list'!$W$17,Kategorie!$C$2:$AA$2,0),FALSE),"× Chybí překlad ×")))</f>
        <v/>
      </c>
      <c r="C267" s="235" t="str">
        <f t="shared" si="3"/>
        <v/>
      </c>
    </row>
    <row r="268" spans="1:3">
      <c r="A268" s="241" t="s">
        <v>13495</v>
      </c>
      <c r="B268" s="235" t="str">
        <f>IF(A268="","",IF('General price list'!$W$17=B267,A268,IFERROR(VLOOKUP(A268,Kategorie!C:AA,MATCH('General price list'!$W$17,Kategorie!$C$2:$AA$2,0),FALSE),"× Chybí překlad ×")))</f>
        <v>x</v>
      </c>
      <c r="C268" s="235" t="str">
        <f t="shared" si="3"/>
        <v>×</v>
      </c>
    </row>
    <row r="269" spans="1:3">
      <c r="A269" s="241" t="s">
        <v>24</v>
      </c>
      <c r="B269" s="235" t="str">
        <f>IF(A269="","",IF('General price list'!$W$17=B268,A269,IFERROR(VLOOKUP(A269,Kategorie!C:AA,MATCH('General price list'!$W$17,Kategorie!$C$2:$AA$2,0),FALSE),"× Chybí překlad ×")))</f>
        <v/>
      </c>
      <c r="C269" s="235" t="str">
        <f t="shared" si="3"/>
        <v/>
      </c>
    </row>
    <row r="270" spans="1:3">
      <c r="A270" s="241" t="s">
        <v>24</v>
      </c>
      <c r="B270" s="235" t="str">
        <f>IF(A270="","",IF('General price list'!$W$17=B269,A270,IFERROR(VLOOKUP(A270,Kategorie!C:AA,MATCH('General price list'!$W$17,Kategorie!$C$2:$AA$2,0),FALSE),"× Chybí překlad ×")))</f>
        <v/>
      </c>
      <c r="C270" s="235" t="str">
        <f t="shared" si="3"/>
        <v/>
      </c>
    </row>
    <row r="271" spans="1:3" ht="15.75">
      <c r="A271" s="242" t="s">
        <v>24</v>
      </c>
      <c r="B271" s="235" t="str">
        <f>IF(A271="","",IF('General price list'!$W$17=B270,A271,IFERROR(VLOOKUP(A271,Kategorie!C:AA,MATCH('General price list'!$W$17,Kategorie!$C$2:$AA$2,0),FALSE),"× Chybí překlad ×")))</f>
        <v/>
      </c>
      <c r="C271" s="235" t="str">
        <f t="shared" si="3"/>
        <v/>
      </c>
    </row>
    <row r="272" spans="1:3">
      <c r="A272" s="241" t="s">
        <v>24</v>
      </c>
      <c r="B272" s="235" t="str">
        <f>IF(A272="","",IF('General price list'!$W$17=B271,A272,IFERROR(VLOOKUP(A272,Kategorie!C:AA,MATCH('General price list'!$W$17,Kategorie!$C$2:$AA$2,0),FALSE),"× Chybí překlad ×")))</f>
        <v/>
      </c>
      <c r="C272" s="235" t="str">
        <f t="shared" si="3"/>
        <v/>
      </c>
    </row>
    <row r="273" spans="1:3">
      <c r="A273" s="241" t="s">
        <v>24</v>
      </c>
      <c r="B273" s="235" t="str">
        <f>IF(A273="","",IF('General price list'!$W$17=B272,A273,IFERROR(VLOOKUP(A273,Kategorie!C:AA,MATCH('General price list'!$W$17,Kategorie!$C$2:$AA$2,0),FALSE),"× Chybí překlad ×")))</f>
        <v/>
      </c>
      <c r="C273" s="235" t="str">
        <f t="shared" si="3"/>
        <v/>
      </c>
    </row>
    <row r="274" spans="1:3">
      <c r="A274" s="241" t="s">
        <v>24</v>
      </c>
      <c r="B274" s="235" t="str">
        <f>IF(A274="","",IF('General price list'!$W$17=B273,A274,IFERROR(VLOOKUP(A274,Kategorie!C:AA,MATCH('General price list'!$W$17,Kategorie!$C$2:$AA$2,0),FALSE),"× Chybí překlad ×")))</f>
        <v/>
      </c>
      <c r="C274" s="235" t="str">
        <f t="shared" si="3"/>
        <v/>
      </c>
    </row>
    <row r="275" spans="1:3">
      <c r="A275" s="241" t="s">
        <v>24</v>
      </c>
      <c r="B275" s="235" t="str">
        <f>IF(A275="","",IF('General price list'!$W$17=B274,A275,IFERROR(VLOOKUP(A275,Kategorie!C:AA,MATCH('General price list'!$W$17,Kategorie!$C$2:$AA$2,0),FALSE),"× Chybí překlad ×")))</f>
        <v/>
      </c>
      <c r="C275" s="235" t="str">
        <f t="shared" si="3"/>
        <v/>
      </c>
    </row>
    <row r="276" spans="1:3">
      <c r="A276" s="241" t="s">
        <v>24</v>
      </c>
      <c r="B276" s="235" t="str">
        <f>IF(A276="","",IF('General price list'!$W$17=B275,A276,IFERROR(VLOOKUP(A276,Kategorie!C:AA,MATCH('General price list'!$W$17,Kategorie!$C$2:$AA$2,0),FALSE),"× Chybí překlad ×")))</f>
        <v/>
      </c>
      <c r="C276" s="235" t="str">
        <f t="shared" si="3"/>
        <v/>
      </c>
    </row>
    <row r="277" spans="1:3">
      <c r="A277" s="241" t="s">
        <v>24</v>
      </c>
      <c r="B277" s="235" t="str">
        <f>IF(A277="","",IF('General price list'!$W$17=B276,A277,IFERROR(VLOOKUP(A277,Kategorie!C:AA,MATCH('General price list'!$W$17,Kategorie!$C$2:$AA$2,0),FALSE),"× Chybí překlad ×")))</f>
        <v/>
      </c>
      <c r="C277" s="235" t="str">
        <f t="shared" si="3"/>
        <v/>
      </c>
    </row>
    <row r="278" spans="1:3">
      <c r="A278" s="241" t="s">
        <v>24</v>
      </c>
      <c r="B278" s="235" t="str">
        <f>IF(A278="","",IF('General price list'!$W$17=B277,A278,IFERROR(VLOOKUP(A278,Kategorie!C:AA,MATCH('General price list'!$W$17,Kategorie!$C$2:$AA$2,0),FALSE),"× Chybí překlad ×")))</f>
        <v/>
      </c>
      <c r="C278" s="235" t="str">
        <f t="shared" ref="C278:C340" si="5">IF(A278="","",IF(A278="x","×",$B$1&amp;B278))</f>
        <v/>
      </c>
    </row>
    <row r="279" spans="1:3" ht="15.75">
      <c r="A279" s="242" t="s">
        <v>24</v>
      </c>
      <c r="B279" s="235" t="str">
        <f>IF(A279="","",IF('General price list'!$W$17=B278,A279,IFERROR(VLOOKUP(A279,Kategorie!C:AA,MATCH('General price list'!$W$17,Kategorie!$C$2:$AA$2,0),FALSE),"× Chybí překlad ×")))</f>
        <v/>
      </c>
      <c r="C279" s="235" t="str">
        <f t="shared" si="5"/>
        <v/>
      </c>
    </row>
    <row r="280" spans="1:3">
      <c r="A280" s="241" t="s">
        <v>13495</v>
      </c>
      <c r="B280" s="235" t="str">
        <f>IF(A280="","",IF('General price list'!$W$17=B279,A280,IFERROR(VLOOKUP(A280,Kategorie!C:AA,MATCH('General price list'!$W$17,Kategorie!$C$2:$AA$2,0),FALSE),"× Chybí překlad ×")))</f>
        <v>x</v>
      </c>
      <c r="C280" s="235" t="str">
        <f t="shared" si="5"/>
        <v>×</v>
      </c>
    </row>
    <row r="281" spans="1:3">
      <c r="A281" s="241" t="s">
        <v>7030</v>
      </c>
      <c r="B281" s="235" t="str">
        <f>IF(A281="","",IF('General price list'!$W$17=B280,A281,IFERROR(VLOOKUP(A281,Kategorie!C:AA,MATCH('General price list'!$W$17,Kategorie!$C$2:$AA$2,0),FALSE),"× Chybí překlad ×")))</f>
        <v>Petardy se zápalnou šňůrou F4+T2</v>
      </c>
      <c r="C281" s="235" t="str">
        <f t="shared" si="5"/>
        <v xml:space="preserve">                                                               Petardy se zápalnou šňůrou F4+T2</v>
      </c>
    </row>
    <row r="282" spans="1:3">
      <c r="A282" s="241" t="s">
        <v>24</v>
      </c>
      <c r="B282" s="235" t="str">
        <f>IF(A282="","",IF('General price list'!$W$17=B281,A282,IFERROR(VLOOKUP(A282,Kategorie!C:AA,MATCH('General price list'!$W$17,Kategorie!$C$2:$AA$2,0),FALSE),"× Chybí překlad ×")))</f>
        <v/>
      </c>
      <c r="C282" s="235" t="str">
        <f t="shared" si="5"/>
        <v/>
      </c>
    </row>
    <row r="283" spans="1:3">
      <c r="A283" s="241" t="s">
        <v>7039</v>
      </c>
      <c r="B283" s="235" t="str">
        <f>IF(A283="","",IF('General price list'!$W$17=B282,A283,IFERROR(VLOOKUP(A283,Kategorie!C:AA,MATCH('General price list'!$W$17,Kategorie!$C$2:$AA$2,0),FALSE),"× Chybí překlad ×")))</f>
        <v>Baterie petard</v>
      </c>
      <c r="C283" s="235" t="str">
        <f t="shared" si="5"/>
        <v xml:space="preserve">                                                               Baterie petard</v>
      </c>
    </row>
    <row r="284" spans="1:3">
      <c r="A284" s="241" t="s">
        <v>24</v>
      </c>
      <c r="B284" s="235" t="str">
        <f>IF(A284="","",IF('General price list'!$W$17=B283,A284,IFERROR(VLOOKUP(A284,Kategorie!C:AA,MATCH('General price list'!$W$17,Kategorie!$C$2:$AA$2,0),FALSE),"× Chybí překlad ×")))</f>
        <v/>
      </c>
      <c r="C284" s="235" t="str">
        <f t="shared" si="5"/>
        <v/>
      </c>
    </row>
    <row r="285" spans="1:3">
      <c r="A285" s="241" t="s">
        <v>13495</v>
      </c>
      <c r="B285" s="235" t="str">
        <f>IF(A285="","",IF('General price list'!$W$17=B284,A285,IFERROR(VLOOKUP(A285,Kategorie!C:AA,MATCH('General price list'!$W$17,Kategorie!$C$2:$AA$2,0),FALSE),"× Chybí překlad ×")))</f>
        <v>x</v>
      </c>
      <c r="C285" s="235" t="str">
        <f t="shared" si="5"/>
        <v>×</v>
      </c>
    </row>
    <row r="286" spans="1:3">
      <c r="A286" s="241" t="s">
        <v>24</v>
      </c>
      <c r="B286" s="235" t="str">
        <f>IF(A286="","",IF('General price list'!$W$17=B285,A286,IFERROR(VLOOKUP(A286,Kategorie!C:AA,MATCH('General price list'!$W$17,Kategorie!$C$2:$AA$2,0),FALSE),"× Chybí překlad ×")))</f>
        <v/>
      </c>
      <c r="C286" s="235" t="str">
        <f t="shared" si="5"/>
        <v/>
      </c>
    </row>
    <row r="287" spans="1:3">
      <c r="A287" s="241" t="s">
        <v>24</v>
      </c>
      <c r="B287" s="235" t="str">
        <f>IF(A287="","",IF('General price list'!$W$17=B286,A287,IFERROR(VLOOKUP(A287,Kategorie!C:AA,MATCH('General price list'!$W$17,Kategorie!$C$2:$AA$2,0),FALSE),"× Chybí překlad ×")))</f>
        <v/>
      </c>
      <c r="C287" s="235" t="str">
        <f t="shared" si="5"/>
        <v/>
      </c>
    </row>
    <row r="288" spans="1:3">
      <c r="A288" s="241" t="s">
        <v>24</v>
      </c>
      <c r="B288" s="235" t="str">
        <f>IF(A288="","",IF('General price list'!$W$17=B287,A288,IFERROR(VLOOKUP(A288,Kategorie!C:AA,MATCH('General price list'!$W$17,Kategorie!$C$2:$AA$2,0),FALSE),"× Chybí překlad ×")))</f>
        <v/>
      </c>
      <c r="C288" s="235" t="str">
        <f t="shared" si="5"/>
        <v/>
      </c>
    </row>
    <row r="289" spans="1:3" ht="15.75">
      <c r="A289" s="242" t="s">
        <v>24</v>
      </c>
      <c r="B289" s="235" t="str">
        <f>IF(A289="","",IF('General price list'!$W$17=B288,A289,IFERROR(VLOOKUP(A289,Kategorie!C:AA,MATCH('General price list'!$W$17,Kategorie!$C$2:$AA$2,0),FALSE),"× Chybí překlad ×")))</f>
        <v/>
      </c>
      <c r="C289" s="235" t="str">
        <f t="shared" si="5"/>
        <v/>
      </c>
    </row>
    <row r="290" spans="1:3">
      <c r="A290" s="241" t="s">
        <v>24</v>
      </c>
      <c r="B290" s="235" t="str">
        <f>IF(A290="","",IF('General price list'!$W$17=B289,A290,IFERROR(VLOOKUP(A290,Kategorie!C:AA,MATCH('General price list'!$W$17,Kategorie!$C$2:$AA$2,0),FALSE),"× Chybí překlad ×")))</f>
        <v/>
      </c>
      <c r="C290" s="235" t="str">
        <f t="shared" si="5"/>
        <v/>
      </c>
    </row>
    <row r="291" spans="1:3">
      <c r="A291" s="241" t="s">
        <v>24</v>
      </c>
      <c r="B291" s="235" t="str">
        <f>IF(A291="","",IF('General price list'!$W$17=B290,A291,IFERROR(VLOOKUP(A291,Kategorie!C:AA,MATCH('General price list'!$W$17,Kategorie!$C$2:$AA$2,0),FALSE),"× Chybí překlad ×")))</f>
        <v/>
      </c>
      <c r="C291" s="235" t="str">
        <f t="shared" si="5"/>
        <v/>
      </c>
    </row>
    <row r="292" spans="1:3">
      <c r="A292" s="241" t="s">
        <v>24</v>
      </c>
      <c r="B292" s="235" t="str">
        <f>IF(A292="","",IF('General price list'!$W$17=B291,A292,IFERROR(VLOOKUP(A292,Kategorie!C:AA,MATCH('General price list'!$W$17,Kategorie!$C$2:$AA$2,0),FALSE),"× Chybí překlad ×")))</f>
        <v/>
      </c>
      <c r="C292" s="235" t="str">
        <f t="shared" si="5"/>
        <v/>
      </c>
    </row>
    <row r="293" spans="1:3">
      <c r="A293" s="241" t="s">
        <v>24</v>
      </c>
      <c r="B293" s="235" t="str">
        <f>IF(A293="","",IF('General price list'!$W$17=B292,A293,IFERROR(VLOOKUP(A293,Kategorie!C:AA,MATCH('General price list'!$W$17,Kategorie!$C$2:$AA$2,0),FALSE),"× Chybí překlad ×")))</f>
        <v/>
      </c>
      <c r="C293" s="235" t="str">
        <f t="shared" si="5"/>
        <v/>
      </c>
    </row>
    <row r="294" spans="1:3" ht="15.75">
      <c r="A294" s="242" t="s">
        <v>13495</v>
      </c>
      <c r="B294" s="235" t="str">
        <f>IF(A294="","",IF('General price list'!$W$17=B293,A294,IFERROR(VLOOKUP(A294,Kategorie!C:AA,MATCH('General price list'!$W$17,Kategorie!$C$2:$AA$2,0),FALSE),"× Chybí překlad ×")))</f>
        <v>x</v>
      </c>
      <c r="C294" s="235" t="str">
        <f t="shared" si="5"/>
        <v>×</v>
      </c>
    </row>
    <row r="295" spans="1:3">
      <c r="A295" s="241" t="s">
        <v>24</v>
      </c>
      <c r="B295" s="235" t="str">
        <f>IF(A295="","",IF('General price list'!$W$17=B294,A295,IFERROR(VLOOKUP(A295,Kategorie!C:AA,MATCH('General price list'!$W$17,Kategorie!$C$2:$AA$2,0),FALSE),"× Chybí překlad ×")))</f>
        <v/>
      </c>
      <c r="C295" s="235" t="str">
        <f t="shared" si="5"/>
        <v/>
      </c>
    </row>
    <row r="296" spans="1:3">
      <c r="A296" s="241" t="s">
        <v>7048</v>
      </c>
      <c r="B296" s="235" t="str">
        <f>IF(A296="","",IF('General price list'!$W$17=B295,A296,IFERROR(VLOOKUP(A296,Kategorie!C:AA,MATCH('General price list'!$W$17,Kategorie!$C$2:$AA$2,0),FALSE),"× Chybí překlad ×")))</f>
        <v>Raketové sety F2-1.4G</v>
      </c>
      <c r="C296" s="235" t="str">
        <f t="shared" si="5"/>
        <v xml:space="preserve">                                                               Raketové sety F2-1.4G</v>
      </c>
    </row>
    <row r="297" spans="1:3">
      <c r="A297" s="241" t="s">
        <v>24</v>
      </c>
      <c r="B297" s="235" t="str">
        <f>IF(A297="","",IF('General price list'!$W$17=B296,A297,IFERROR(VLOOKUP(A297,Kategorie!C:AA,MATCH('General price list'!$W$17,Kategorie!$C$2:$AA$2,0),FALSE),"× Chybí překlad ×")))</f>
        <v/>
      </c>
      <c r="C297" s="235" t="str">
        <f t="shared" si="5"/>
        <v/>
      </c>
    </row>
    <row r="298" spans="1:3">
      <c r="A298" s="241" t="s">
        <v>24</v>
      </c>
      <c r="B298" s="235" t="str">
        <f>IF(A298="","",IF('General price list'!$W$17=B297,A298,IFERROR(VLOOKUP(A298,Kategorie!C:AA,MATCH('General price list'!$W$17,Kategorie!$C$2:$AA$2,0),FALSE),"× Chybí překlad ×")))</f>
        <v/>
      </c>
      <c r="C298" s="235" t="str">
        <f t="shared" si="5"/>
        <v/>
      </c>
    </row>
    <row r="299" spans="1:3">
      <c r="A299" s="241" t="s">
        <v>24</v>
      </c>
      <c r="B299" s="235" t="str">
        <f>IF(A299="","",IF('General price list'!$W$17=B298,A299,IFERROR(VLOOKUP(A299,Kategorie!C:AA,MATCH('General price list'!$W$17,Kategorie!$C$2:$AA$2,0),FALSE),"× Chybí překlad ×")))</f>
        <v/>
      </c>
      <c r="C299" s="235" t="str">
        <f t="shared" si="5"/>
        <v/>
      </c>
    </row>
    <row r="300" spans="1:3">
      <c r="A300" s="241" t="s">
        <v>24</v>
      </c>
      <c r="B300" s="235" t="str">
        <f>IF(A300="","",IF('General price list'!$W$17=B299,A300,IFERROR(VLOOKUP(A300,Kategorie!C:AA,MATCH('General price list'!$W$17,Kategorie!$C$2:$AA$2,0),FALSE),"× Chybí překlad ×")))</f>
        <v/>
      </c>
      <c r="C300" s="235" t="str">
        <f t="shared" si="5"/>
        <v/>
      </c>
    </row>
    <row r="301" spans="1:3">
      <c r="A301" s="241" t="s">
        <v>24</v>
      </c>
      <c r="B301" s="235" t="str">
        <f>IF(A301="","",IF('General price list'!$W$17=B300,A301,IFERROR(VLOOKUP(A301,Kategorie!C:AA,MATCH('General price list'!$W$17,Kategorie!$C$2:$AA$2,0),FALSE),"× Chybí překlad ×")))</f>
        <v/>
      </c>
      <c r="C301" s="235" t="str">
        <f t="shared" si="5"/>
        <v/>
      </c>
    </row>
    <row r="302" spans="1:3" ht="15.75">
      <c r="A302" s="242" t="s">
        <v>24</v>
      </c>
      <c r="B302" s="235" t="str">
        <f>IF(A302="","",IF('General price list'!$W$17=B301,A302,IFERROR(VLOOKUP(A302,Kategorie!C:AA,MATCH('General price list'!$W$17,Kategorie!$C$2:$AA$2,0),FALSE),"× Chybí překlad ×")))</f>
        <v/>
      </c>
      <c r="C302" s="235" t="str">
        <f t="shared" si="5"/>
        <v/>
      </c>
    </row>
    <row r="303" spans="1:3">
      <c r="A303" s="241" t="s">
        <v>24</v>
      </c>
      <c r="B303" s="235" t="str">
        <f>IF(A303="","",IF('General price list'!$W$17=B302,A303,IFERROR(VLOOKUP(A303,Kategorie!C:AA,MATCH('General price list'!$W$17,Kategorie!$C$2:$AA$2,0),FALSE),"× Chybí překlad ×")))</f>
        <v/>
      </c>
      <c r="C303" s="235" t="str">
        <f t="shared" si="5"/>
        <v/>
      </c>
    </row>
    <row r="304" spans="1:3">
      <c r="A304" s="241" t="s">
        <v>13495</v>
      </c>
      <c r="B304" s="235" t="str">
        <f>IF(A304="","",IF('General price list'!$W$17=B303,A304,IFERROR(VLOOKUP(A304,Kategorie!C:AA,MATCH('General price list'!$W$17,Kategorie!$C$2:$AA$2,0),FALSE),"× Chybí překlad ×")))</f>
        <v>x</v>
      </c>
      <c r="C304" s="235" t="str">
        <f t="shared" si="5"/>
        <v>×</v>
      </c>
    </row>
    <row r="305" spans="1:3">
      <c r="A305" s="241" t="s">
        <v>24</v>
      </c>
      <c r="B305" s="235" t="str">
        <f>IF(A305="","",IF('General price list'!$W$17=B304,A305,IFERROR(VLOOKUP(A305,Kategorie!C:AA,MATCH('General price list'!$W$17,Kategorie!$C$2:$AA$2,0),FALSE),"× Chybí překlad ×")))</f>
        <v/>
      </c>
      <c r="C305" s="235" t="str">
        <f t="shared" si="5"/>
        <v/>
      </c>
    </row>
    <row r="306" spans="1:3">
      <c r="A306" s="241" t="s">
        <v>24</v>
      </c>
      <c r="B306" s="235" t="str">
        <f>IF(A306="","",IF('General price list'!$W$17=B305,A306,IFERROR(VLOOKUP(A306,Kategorie!C:AA,MATCH('General price list'!$W$17,Kategorie!$C$2:$AA$2,0),FALSE),"× Chybí překlad ×")))</f>
        <v/>
      </c>
      <c r="C306" s="235" t="str">
        <f t="shared" si="5"/>
        <v/>
      </c>
    </row>
    <row r="307" spans="1:3">
      <c r="A307" s="241" t="s">
        <v>24</v>
      </c>
      <c r="B307" s="235" t="str">
        <f>IF(A307="","",IF('General price list'!$W$17=B306,A307,IFERROR(VLOOKUP(A307,Kategorie!C:AA,MATCH('General price list'!$W$17,Kategorie!$C$2:$AA$2,0),FALSE),"× Chybí překlad ×")))</f>
        <v/>
      </c>
      <c r="C307" s="235" t="str">
        <f t="shared" si="5"/>
        <v/>
      </c>
    </row>
    <row r="308" spans="1:3">
      <c r="A308" s="241" t="s">
        <v>24</v>
      </c>
      <c r="B308" s="235" t="str">
        <f>IF(A308="","",IF('General price list'!$W$17=B307,A308,IFERROR(VLOOKUP(A308,Kategorie!C:AA,MATCH('General price list'!$W$17,Kategorie!$C$2:$AA$2,0),FALSE),"× Chybí překlad ×")))</f>
        <v/>
      </c>
      <c r="C308" s="235" t="str">
        <f t="shared" si="5"/>
        <v/>
      </c>
    </row>
    <row r="309" spans="1:3">
      <c r="A309" s="241" t="s">
        <v>24</v>
      </c>
      <c r="B309" s="235" t="str">
        <f>IF(A309="","",IF('General price list'!$W$17=B308,A309,IFERROR(VLOOKUP(A309,Kategorie!C:AA,MATCH('General price list'!$W$17,Kategorie!$C$2:$AA$2,0),FALSE),"× Chybí překlad ×")))</f>
        <v/>
      </c>
      <c r="C309" s="235" t="str">
        <f t="shared" si="5"/>
        <v/>
      </c>
    </row>
    <row r="310" spans="1:3">
      <c r="A310" s="241" t="s">
        <v>24</v>
      </c>
      <c r="B310" s="235" t="str">
        <f>IF(A310="","",IF('General price list'!$W$17=B309,A310,IFERROR(VLOOKUP(A310,Kategorie!C:AA,MATCH('General price list'!$W$17,Kategorie!$C$2:$AA$2,0),FALSE),"× Chybí překlad ×")))</f>
        <v/>
      </c>
      <c r="C310" s="235" t="str">
        <f t="shared" si="5"/>
        <v/>
      </c>
    </row>
    <row r="311" spans="1:3">
      <c r="A311" s="241" t="s">
        <v>24</v>
      </c>
      <c r="B311" s="235" t="str">
        <f>IF(A311="","",IF('General price list'!$W$17=B310,A311,IFERROR(VLOOKUP(A311,Kategorie!C:AA,MATCH('General price list'!$W$17,Kategorie!$C$2:$AA$2,0),FALSE),"× Chybí překlad ×")))</f>
        <v/>
      </c>
      <c r="C311" s="235" t="str">
        <f t="shared" si="5"/>
        <v/>
      </c>
    </row>
    <row r="312" spans="1:3">
      <c r="A312" s="241" t="s">
        <v>24</v>
      </c>
      <c r="B312" s="235" t="str">
        <f>IF(A312="","",IF('General price list'!$W$17=B311,A312,IFERROR(VLOOKUP(A312,Kategorie!C:AA,MATCH('General price list'!$W$17,Kategorie!$C$2:$AA$2,0),FALSE),"× Chybí překlad ×")))</f>
        <v/>
      </c>
      <c r="C312" s="235" t="str">
        <f t="shared" si="5"/>
        <v/>
      </c>
    </row>
    <row r="313" spans="1:3">
      <c r="A313" s="241" t="s">
        <v>7057</v>
      </c>
      <c r="B313" s="235" t="str">
        <f>IF(A313="","",IF('General price list'!$W$17=B312,A313,IFERROR(VLOOKUP(A313,Kategorie!C:AA,MATCH('General price list'!$W$17,Kategorie!$C$2:$AA$2,0),FALSE),"× Chybí překlad ×")))</f>
        <v>Raketové sety 1.3G+1.4G</v>
      </c>
      <c r="C313" s="235" t="str">
        <f t="shared" si="5"/>
        <v xml:space="preserve">                                                               Raketové sety 1.3G+1.4G</v>
      </c>
    </row>
    <row r="314" spans="1:3" ht="15.75">
      <c r="A314" s="242" t="s">
        <v>24</v>
      </c>
      <c r="B314" s="235" t="str">
        <f>IF(A314="","",IF('General price list'!$W$17=B313,A314,IFERROR(VLOOKUP(A314,Kategorie!C:AA,MATCH('General price list'!$W$17,Kategorie!$C$2:$AA$2,0),FALSE),"× Chybí překlad ×")))</f>
        <v/>
      </c>
      <c r="C314" s="235" t="str">
        <f t="shared" si="5"/>
        <v/>
      </c>
    </row>
    <row r="315" spans="1:3">
      <c r="A315" s="241" t="s">
        <v>24</v>
      </c>
      <c r="B315" s="235" t="str">
        <f>IF(A315="","",IF('General price list'!$W$17=B314,A315,IFERROR(VLOOKUP(A315,Kategorie!C:AA,MATCH('General price list'!$W$17,Kategorie!$C$2:$AA$2,0),FALSE),"× Chybí překlad ×")))</f>
        <v/>
      </c>
      <c r="C315" s="235" t="str">
        <f t="shared" si="5"/>
        <v/>
      </c>
    </row>
    <row r="316" spans="1:3">
      <c r="A316" s="241" t="s">
        <v>24</v>
      </c>
      <c r="B316" s="235" t="str">
        <f>IF(A316="","",IF('General price list'!$W$17=B315,A316,IFERROR(VLOOKUP(A316,Kategorie!C:AA,MATCH('General price list'!$W$17,Kategorie!$C$2:$AA$2,0),FALSE),"× Chybí překlad ×")))</f>
        <v/>
      </c>
      <c r="C316" s="235" t="str">
        <f t="shared" si="5"/>
        <v/>
      </c>
    </row>
    <row r="317" spans="1:3">
      <c r="A317" s="241" t="s">
        <v>24</v>
      </c>
      <c r="B317" s="235" t="str">
        <f>IF(A317="","",IF('General price list'!$W$17=B316,A317,IFERROR(VLOOKUP(A317,Kategorie!C:AA,MATCH('General price list'!$W$17,Kategorie!$C$2:$AA$2,0),FALSE),"× Chybí překlad ×")))</f>
        <v/>
      </c>
      <c r="C317" s="235" t="str">
        <f t="shared" si="5"/>
        <v/>
      </c>
    </row>
    <row r="318" spans="1:3">
      <c r="A318" s="241" t="s">
        <v>24</v>
      </c>
      <c r="B318" s="235" t="str">
        <f>IF(A318="","",IF('General price list'!$W$17=B317,A318,IFERROR(VLOOKUP(A318,Kategorie!C:AA,MATCH('General price list'!$W$17,Kategorie!$C$2:$AA$2,0),FALSE),"× Chybí překlad ×")))</f>
        <v/>
      </c>
      <c r="C318" s="235" t="str">
        <f t="shared" si="5"/>
        <v/>
      </c>
    </row>
    <row r="319" spans="1:3">
      <c r="A319" s="241" t="s">
        <v>24</v>
      </c>
      <c r="B319" s="235" t="str">
        <f>IF(A319="","",IF('General price list'!$W$17=B318,A319,IFERROR(VLOOKUP(A319,Kategorie!C:AA,MATCH('General price list'!$W$17,Kategorie!$C$2:$AA$2,0),FALSE),"× Chybí překlad ×")))</f>
        <v/>
      </c>
      <c r="C319" s="235" t="str">
        <f t="shared" si="5"/>
        <v/>
      </c>
    </row>
    <row r="320" spans="1:3">
      <c r="A320" s="241" t="s">
        <v>24</v>
      </c>
      <c r="B320" s="235" t="str">
        <f>IF(A320="","",IF('General price list'!$W$17=B319,A320,IFERROR(VLOOKUP(A320,Kategorie!C:AA,MATCH('General price list'!$W$17,Kategorie!$C$2:$AA$2,0),FALSE),"× Chybí překlad ×")))</f>
        <v/>
      </c>
      <c r="C320" s="235" t="str">
        <f t="shared" si="5"/>
        <v/>
      </c>
    </row>
    <row r="321" spans="1:3">
      <c r="A321" s="241" t="s">
        <v>24</v>
      </c>
      <c r="B321" s="235" t="str">
        <f>IF(A321="","",IF('General price list'!$W$17=B320,A321,IFERROR(VLOOKUP(A321,Kategorie!C:AA,MATCH('General price list'!$W$17,Kategorie!$C$2:$AA$2,0),FALSE),"× Chybí překlad ×")))</f>
        <v/>
      </c>
      <c r="C321" s="235" t="str">
        <f t="shared" si="5"/>
        <v/>
      </c>
    </row>
    <row r="322" spans="1:3">
      <c r="A322" s="241" t="s">
        <v>24</v>
      </c>
      <c r="B322" s="235" t="str">
        <f>IF(A322="","",IF('General price list'!$W$17=B321,A322,IFERROR(VLOOKUP(A322,Kategorie!C:AA,MATCH('General price list'!$W$17,Kategorie!$C$2:$AA$2,0),FALSE),"× Chybí překlad ×")))</f>
        <v/>
      </c>
      <c r="C322" s="235" t="str">
        <f t="shared" si="5"/>
        <v/>
      </c>
    </row>
    <row r="323" spans="1:3">
      <c r="A323" s="241" t="s">
        <v>24</v>
      </c>
      <c r="B323" s="235" t="str">
        <f>IF(A323="","",IF('General price list'!$W$17=B322,A323,IFERROR(VLOOKUP(A323,Kategorie!C:AA,MATCH('General price list'!$W$17,Kategorie!$C$2:$AA$2,0),FALSE),"× Chybí překlad ×")))</f>
        <v/>
      </c>
      <c r="C323" s="235" t="str">
        <f t="shared" si="5"/>
        <v/>
      </c>
    </row>
    <row r="324" spans="1:3">
      <c r="A324" s="241" t="s">
        <v>24</v>
      </c>
      <c r="B324" s="235" t="str">
        <f>IF(A324="","",IF('General price list'!$W$17=B323,A324,IFERROR(VLOOKUP(A324,Kategorie!C:AA,MATCH('General price list'!$W$17,Kategorie!$C$2:$AA$2,0),FALSE),"× Chybí překlad ×")))</f>
        <v/>
      </c>
      <c r="C324" s="235" t="str">
        <f t="shared" si="5"/>
        <v/>
      </c>
    </row>
    <row r="325" spans="1:3">
      <c r="A325" s="241" t="s">
        <v>24</v>
      </c>
      <c r="B325" s="235" t="str">
        <f>IF(A325="","",IF('General price list'!$W$17=B324,A325,IFERROR(VLOOKUP(A325,Kategorie!C:AA,MATCH('General price list'!$W$17,Kategorie!$C$2:$AA$2,0),FALSE),"× Chybí překlad ×")))</f>
        <v/>
      </c>
      <c r="C325" s="235" t="str">
        <f t="shared" si="5"/>
        <v/>
      </c>
    </row>
    <row r="326" spans="1:3">
      <c r="A326" s="241" t="s">
        <v>24</v>
      </c>
      <c r="B326" s="235" t="str">
        <f>IF(A326="","",IF('General price list'!$W$17=B325,A326,IFERROR(VLOOKUP(A326,Kategorie!C:AA,MATCH('General price list'!$W$17,Kategorie!$C$2:$AA$2,0),FALSE),"× Chybí překlad ×")))</f>
        <v/>
      </c>
      <c r="C326" s="235" t="str">
        <f t="shared" si="5"/>
        <v/>
      </c>
    </row>
    <row r="327" spans="1:3">
      <c r="A327" s="241" t="s">
        <v>7066</v>
      </c>
      <c r="B327" s="235" t="str">
        <f>IF(A327="","",IF('General price list'!$W$17=B326,A327,IFERROR(VLOOKUP(A327,Kategorie!C:AA,MATCH('General price list'!$W$17,Kategorie!$C$2:$AA$2,0),FALSE),"× Chybí překlad ×")))</f>
        <v>Oblečení</v>
      </c>
      <c r="C327" s="235" t="str">
        <f t="shared" si="5"/>
        <v xml:space="preserve">                                                               Oblečení</v>
      </c>
    </row>
    <row r="328" spans="1:3">
      <c r="A328" s="241" t="s">
        <v>13495</v>
      </c>
      <c r="B328" s="235" t="str">
        <f>IF(A328="","",IF('General price list'!$W$17=B327,A328,IFERROR(VLOOKUP(A328,Kategorie!C:AA,MATCH('General price list'!$W$17,Kategorie!$C$2:$AA$2,0),FALSE),"× Chybí překlad ×")))</f>
        <v>x</v>
      </c>
      <c r="C328" s="235" t="str">
        <f t="shared" si="5"/>
        <v>×</v>
      </c>
    </row>
    <row r="329" spans="1:3">
      <c r="A329" s="241" t="s">
        <v>13495</v>
      </c>
      <c r="B329" s="235" t="str">
        <f>IF(A329="","",IF('General price list'!$W$17=B328,A329,IFERROR(VLOOKUP(A329,Kategorie!C:AA,MATCH('General price list'!$W$17,Kategorie!$C$2:$AA$2,0),FALSE),"× Chybí překlad ×")))</f>
        <v>x</v>
      </c>
      <c r="C329" s="235" t="str">
        <f t="shared" si="5"/>
        <v>×</v>
      </c>
    </row>
    <row r="330" spans="1:3">
      <c r="A330" s="241" t="s">
        <v>13495</v>
      </c>
      <c r="B330" s="235" t="str">
        <f>IF(A330="","",IF('General price list'!$W$17=B329,A330,IFERROR(VLOOKUP(A330,Kategorie!C:AA,MATCH('General price list'!$W$17,Kategorie!$C$2:$AA$2,0),FALSE),"× Chybí překlad ×")))</f>
        <v>x</v>
      </c>
      <c r="C330" s="235" t="str">
        <f t="shared" si="5"/>
        <v>×</v>
      </c>
    </row>
    <row r="331" spans="1:3">
      <c r="A331" s="241" t="s">
        <v>13495</v>
      </c>
      <c r="B331" s="235" t="str">
        <f>IF(A331="","",IF('General price list'!$W$17=B330,A331,IFERROR(VLOOKUP(A331,Kategorie!C:AA,MATCH('General price list'!$W$17,Kategorie!$C$2:$AA$2,0),FALSE),"× Chybí překlad ×")))</f>
        <v>x</v>
      </c>
      <c r="C331" s="235" t="str">
        <f t="shared" si="5"/>
        <v>×</v>
      </c>
    </row>
    <row r="332" spans="1:3" ht="15.75">
      <c r="A332" s="242" t="s">
        <v>13495</v>
      </c>
      <c r="B332" s="235" t="str">
        <f>IF(A332="","",IF('General price list'!$W$17=B331,A332,IFERROR(VLOOKUP(A332,Kategorie!C:AA,MATCH('General price list'!$W$17,Kategorie!$C$2:$AA$2,0),FALSE),"× Chybí překlad ×")))</f>
        <v>x</v>
      </c>
      <c r="C332" s="235" t="str">
        <f t="shared" si="5"/>
        <v>×</v>
      </c>
    </row>
    <row r="333" spans="1:3">
      <c r="A333" s="241" t="s">
        <v>7075</v>
      </c>
      <c r="B333" s="235" t="str">
        <f>IF(A333="","",IF('General price list'!$W$17=B332,A333,IFERROR(VLOOKUP(A333,Kategorie!C:AA,MATCH('General price list'!$W$17,Kategorie!$C$2:$AA$2,0),FALSE),"× Chybí překlad ×")))</f>
        <v>Oblečení Dumbum limitovaná edice</v>
      </c>
      <c r="C333" s="235" t="str">
        <f t="shared" si="5"/>
        <v xml:space="preserve">                                                               Oblečení Dumbum limitovaná edice</v>
      </c>
    </row>
    <row r="334" spans="1:3">
      <c r="A334" s="241" t="s">
        <v>24</v>
      </c>
      <c r="B334" s="235" t="str">
        <f>IF(A334="","",IF('General price list'!$W$17=B333,A334,IFERROR(VLOOKUP(A334,Kategorie!C:AA,MATCH('General price list'!$W$17,Kategorie!$C$2:$AA$2,0),FALSE),"× Chybí překlad ×")))</f>
        <v/>
      </c>
      <c r="C334" s="235" t="str">
        <f t="shared" si="5"/>
        <v/>
      </c>
    </row>
    <row r="335" spans="1:3">
      <c r="A335" s="241" t="s">
        <v>24</v>
      </c>
      <c r="B335" s="235" t="str">
        <f>IF(A335="","",IF('General price list'!$W$17=B334,A335,IFERROR(VLOOKUP(A335,Kategorie!C:AA,MATCH('General price list'!$W$17,Kategorie!$C$2:$AA$2,0),FALSE),"× Chybí překlad ×")))</f>
        <v/>
      </c>
      <c r="C335" s="235" t="str">
        <f t="shared" si="5"/>
        <v/>
      </c>
    </row>
    <row r="336" spans="1:3">
      <c r="A336" s="241" t="s">
        <v>24</v>
      </c>
      <c r="B336" s="235" t="str">
        <f>IF(A336="","",IF('General price list'!$W$17=B335,A336,IFERROR(VLOOKUP(A336,Kategorie!C:AA,MATCH('General price list'!$W$17,Kategorie!$C$2:$AA$2,0),FALSE),"× Chybí překlad ×")))</f>
        <v/>
      </c>
      <c r="C336" s="235" t="str">
        <f t="shared" si="5"/>
        <v/>
      </c>
    </row>
    <row r="337" spans="1:3">
      <c r="A337" s="241" t="s">
        <v>24</v>
      </c>
      <c r="B337" s="235" t="str">
        <f>IF(A337="","",IF('General price list'!$W$17=B336,A337,IFERROR(VLOOKUP(A337,Kategorie!C:AA,MATCH('General price list'!$W$17,Kategorie!$C$2:$AA$2,0),FALSE),"× Chybí překlad ×")))</f>
        <v/>
      </c>
      <c r="C337" s="235" t="str">
        <f t="shared" si="5"/>
        <v/>
      </c>
    </row>
    <row r="338" spans="1:3">
      <c r="A338" s="241" t="s">
        <v>24</v>
      </c>
      <c r="B338" s="235" t="str">
        <f>IF(A338="","",IF('General price list'!$W$17=#REF!,A338,IFERROR(VLOOKUP(A338,Kategorie!C:AA,MATCH('General price list'!$W$17,Kategorie!$C$2:$AA$2,0),FALSE),"× Chybí překlad ×")))</f>
        <v/>
      </c>
      <c r="C338" s="235" t="str">
        <f t="shared" si="5"/>
        <v/>
      </c>
    </row>
    <row r="339" spans="1:3">
      <c r="A339" s="241" t="s">
        <v>24</v>
      </c>
      <c r="B339" s="235" t="str">
        <f>IF(A339="","",IF('General price list'!$W$17=B338,A339,IFERROR(VLOOKUP(A339,Kategorie!C:AA,MATCH('General price list'!$W$17,Kategorie!$C$2:$AA$2,0),FALSE),"× Chybí překlad ×")))</f>
        <v/>
      </c>
      <c r="C339" s="235" t="str">
        <f t="shared" si="5"/>
        <v/>
      </c>
    </row>
    <row r="340" spans="1:3">
      <c r="A340" s="241" t="s">
        <v>24</v>
      </c>
      <c r="B340" s="235" t="str">
        <f>IF(A340="","",IF('General price list'!$W$17=B339,A340,IFERROR(VLOOKUP(A340,Kategorie!C:AA,MATCH('General price list'!$W$17,Kategorie!$C$2:$AA$2,0),FALSE),"× Chybí překlad ×")))</f>
        <v/>
      </c>
      <c r="C340" s="235" t="str">
        <f t="shared" si="5"/>
        <v/>
      </c>
    </row>
    <row r="341" spans="1:3">
      <c r="A341" s="241" t="s">
        <v>24</v>
      </c>
      <c r="B341" s="235" t="str">
        <f>IF(A341="","",IF('General price list'!$W$17=B340,A341,IFERROR(VLOOKUP(A341,Kategorie!C:AA,MATCH('General price list'!$W$17,Kategorie!$C$2:$AA$2,0),FALSE),"× Chybí překlad ×")))</f>
        <v/>
      </c>
      <c r="C341" s="235" t="str">
        <f t="shared" ref="C341:C399" si="6">IF(A341="","",IF(A341="x","×",$B$1&amp;B341))</f>
        <v/>
      </c>
    </row>
    <row r="342" spans="1:3">
      <c r="A342" s="241" t="s">
        <v>24</v>
      </c>
      <c r="B342" s="235" t="str">
        <f>IF(A342="","",IF('General price list'!$W$17=#REF!,A342,IFERROR(VLOOKUP(A342,Kategorie!C:AA,MATCH('General price list'!$W$17,Kategorie!$C$2:$AA$2,0),FALSE),"× Chybí překlad ×")))</f>
        <v/>
      </c>
      <c r="C342" s="235" t="str">
        <f t="shared" si="6"/>
        <v/>
      </c>
    </row>
    <row r="343" spans="1:3">
      <c r="A343" s="241" t="s">
        <v>24</v>
      </c>
      <c r="B343" s="235" t="str">
        <f>IF(A343="","",IF('General price list'!$W$17=B342,A343,IFERROR(VLOOKUP(A343,Kategorie!C:AA,MATCH('General price list'!$W$17,Kategorie!$C$2:$AA$2,0),FALSE),"× Chybí překlad ×")))</f>
        <v/>
      </c>
      <c r="C343" s="235" t="str">
        <f t="shared" si="6"/>
        <v/>
      </c>
    </row>
    <row r="344" spans="1:3">
      <c r="A344" s="241" t="s">
        <v>24</v>
      </c>
      <c r="B344" s="235" t="str">
        <f>IF(A344="","",IF('General price list'!$W$17=B343,A344,IFERROR(VLOOKUP(A344,Kategorie!C:AA,MATCH('General price list'!$W$17,Kategorie!$C$2:$AA$2,0),FALSE),"× Chybí překlad ×")))</f>
        <v/>
      </c>
      <c r="C344" s="235" t="str">
        <f t="shared" si="6"/>
        <v/>
      </c>
    </row>
    <row r="345" spans="1:3">
      <c r="A345" s="241" t="s">
        <v>24</v>
      </c>
      <c r="B345" s="235" t="str">
        <f>IF(A345="","",IF('General price list'!$W$17=B344,A345,IFERROR(VLOOKUP(A345,Kategorie!C:AA,MATCH('General price list'!$W$17,Kategorie!$C$2:$AA$2,0),FALSE),"× Chybí překlad ×")))</f>
        <v/>
      </c>
      <c r="C345" s="235" t="str">
        <f t="shared" si="6"/>
        <v/>
      </c>
    </row>
    <row r="346" spans="1:3">
      <c r="A346" s="241" t="s">
        <v>24</v>
      </c>
      <c r="B346" s="235" t="str">
        <f>IF(A346="","",IF('General price list'!$W$17=#REF!,A346,IFERROR(VLOOKUP(A346,Kategorie!C:AA,MATCH('General price list'!$W$17,Kategorie!$C$2:$AA$2,0),FALSE),"× Chybí překlad ×")))</f>
        <v/>
      </c>
      <c r="C346" s="235" t="str">
        <f t="shared" si="6"/>
        <v/>
      </c>
    </row>
    <row r="347" spans="1:3" ht="15.75">
      <c r="A347" s="242" t="s">
        <v>24</v>
      </c>
      <c r="B347" s="235" t="str">
        <f>IF(A347="","",IF('General price list'!$W$17=B346,A347,IFERROR(VLOOKUP(A347,Kategorie!C:AA,MATCH('General price list'!$W$17,Kategorie!$C$2:$AA$2,0),FALSE),"× Chybí překlad ×")))</f>
        <v/>
      </c>
      <c r="C347" s="235" t="str">
        <f t="shared" si="6"/>
        <v/>
      </c>
    </row>
    <row r="348" spans="1:3">
      <c r="A348" s="241" t="s">
        <v>24</v>
      </c>
      <c r="B348" s="235" t="str">
        <f>IF(A348="","",IF('General price list'!$W$17=B347,A348,IFERROR(VLOOKUP(A348,Kategorie!C:AA,MATCH('General price list'!$W$17,Kategorie!$C$2:$AA$2,0),FALSE),"× Chybí překlad ×")))</f>
        <v/>
      </c>
      <c r="C348" s="235" t="str">
        <f t="shared" si="6"/>
        <v/>
      </c>
    </row>
    <row r="349" spans="1:3">
      <c r="A349" s="241" t="s">
        <v>24</v>
      </c>
      <c r="B349" s="235" t="str">
        <f>IF(A349="","",IF('General price list'!$W$17=B348,A349,IFERROR(VLOOKUP(A349,Kategorie!C:AA,MATCH('General price list'!$W$17,Kategorie!$C$2:$AA$2,0),FALSE),"× Chybí překlad ×")))</f>
        <v/>
      </c>
      <c r="C349" s="235" t="str">
        <f t="shared" si="6"/>
        <v/>
      </c>
    </row>
    <row r="350" spans="1:3">
      <c r="A350" s="241" t="s">
        <v>24</v>
      </c>
      <c r="B350" s="235" t="str">
        <f>IF(A350="","",IF('General price list'!$W$17=#REF!,A350,IFERROR(VLOOKUP(A350,Kategorie!C:AA,MATCH('General price list'!$W$17,Kategorie!$C$2:$AA$2,0),FALSE),"× Chybí překlad ×")))</f>
        <v/>
      </c>
      <c r="C350" s="235" t="str">
        <f t="shared" si="6"/>
        <v/>
      </c>
    </row>
    <row r="351" spans="1:3">
      <c r="A351" s="241" t="s">
        <v>24</v>
      </c>
      <c r="B351" s="235" t="str">
        <f>IF(A351="","",IF('General price list'!$W$17=B350,A351,IFERROR(VLOOKUP(A351,Kategorie!C:AA,MATCH('General price list'!$W$17,Kategorie!$C$2:$AA$2,0),FALSE),"× Chybí překlad ×")))</f>
        <v/>
      </c>
      <c r="C351" s="235" t="str">
        <f t="shared" si="6"/>
        <v/>
      </c>
    </row>
    <row r="352" spans="1:3">
      <c r="A352" s="241" t="s">
        <v>24</v>
      </c>
      <c r="B352" s="235" t="str">
        <f>IF(A352="","",IF('General price list'!$W$17=B351,A352,IFERROR(VLOOKUP(A352,Kategorie!C:AA,MATCH('General price list'!$W$17,Kategorie!$C$2:$AA$2,0),FALSE),"× Chybí překlad ×")))</f>
        <v/>
      </c>
      <c r="C352" s="235" t="str">
        <f t="shared" si="6"/>
        <v/>
      </c>
    </row>
    <row r="353" spans="1:3">
      <c r="A353" s="241" t="s">
        <v>24</v>
      </c>
      <c r="B353" s="235" t="str">
        <f>IF(A353="","",IF('General price list'!$W$17=B352,A353,IFERROR(VLOOKUP(A353,Kategorie!C:AA,MATCH('General price list'!$W$17,Kategorie!$C$2:$AA$2,0),FALSE),"× Chybí překlad ×")))</f>
        <v/>
      </c>
      <c r="C353" s="235" t="str">
        <f t="shared" si="6"/>
        <v/>
      </c>
    </row>
    <row r="354" spans="1:3">
      <c r="A354" s="241" t="s">
        <v>24</v>
      </c>
      <c r="B354" s="235" t="str">
        <f>IF(A354="","",IF('General price list'!$W$17=#REF!,A354,IFERROR(VLOOKUP(A354,Kategorie!C:AA,MATCH('General price list'!$W$17,Kategorie!$C$2:$AA$2,0),FALSE),"× Chybí překlad ×")))</f>
        <v/>
      </c>
      <c r="C354" s="235" t="str">
        <f t="shared" si="6"/>
        <v/>
      </c>
    </row>
    <row r="355" spans="1:3">
      <c r="A355" s="241" t="s">
        <v>24</v>
      </c>
      <c r="B355" s="235" t="str">
        <f>IF(A355="","",IF('General price list'!$W$17=B354,A355,IFERROR(VLOOKUP(A355,Kategorie!C:AA,MATCH('General price list'!$W$17,Kategorie!$C$2:$AA$2,0),FALSE),"× Chybí překlad ×")))</f>
        <v/>
      </c>
      <c r="C355" s="235" t="str">
        <f t="shared" si="6"/>
        <v/>
      </c>
    </row>
    <row r="356" spans="1:3" ht="15.75">
      <c r="A356" s="242" t="s">
        <v>24</v>
      </c>
      <c r="B356" s="235" t="str">
        <f>IF(A356="","",IF('General price list'!$W$17=B355,A356,IFERROR(VLOOKUP(A356,Kategorie!C:AA,MATCH('General price list'!$W$17,Kategorie!$C$2:$AA$2,0),FALSE),"× Chybí překlad ×")))</f>
        <v/>
      </c>
      <c r="C356" s="235" t="str">
        <f t="shared" si="6"/>
        <v/>
      </c>
    </row>
    <row r="357" spans="1:3">
      <c r="A357" s="241" t="s">
        <v>24</v>
      </c>
      <c r="B357" s="235" t="str">
        <f>IF(A357="","",IF('General price list'!$W$17=B356,A357,IFERROR(VLOOKUP(A357,Kategorie!C:AA,MATCH('General price list'!$W$17,Kategorie!$C$2:$AA$2,0),FALSE),"× Chybí překlad ×")))</f>
        <v/>
      </c>
      <c r="C357" s="235" t="str">
        <f t="shared" si="6"/>
        <v/>
      </c>
    </row>
    <row r="358" spans="1:3">
      <c r="A358" s="241" t="s">
        <v>24</v>
      </c>
      <c r="B358" s="235" t="str">
        <f>IF(A358="","",IF('General price list'!$W$17=#REF!,A358,IFERROR(VLOOKUP(A358,Kategorie!C:AA,MATCH('General price list'!$W$17,Kategorie!$C$2:$AA$2,0),FALSE),"× Chybí překlad ×")))</f>
        <v/>
      </c>
      <c r="C358" s="235" t="str">
        <f t="shared" si="6"/>
        <v/>
      </c>
    </row>
    <row r="359" spans="1:3">
      <c r="A359" s="241" t="s">
        <v>24</v>
      </c>
      <c r="B359" s="235" t="str">
        <f>IF(A359="","",IF('General price list'!$W$17=B358,A359,IFERROR(VLOOKUP(A359,Kategorie!C:AA,MATCH('General price list'!$W$17,Kategorie!$C$2:$AA$2,0),FALSE),"× Chybí překlad ×")))</f>
        <v/>
      </c>
      <c r="C359" s="235" t="str">
        <f t="shared" si="6"/>
        <v/>
      </c>
    </row>
    <row r="360" spans="1:3">
      <c r="A360" s="241" t="s">
        <v>7084</v>
      </c>
      <c r="B360" s="235" t="str">
        <f>IF(A360="","",IF('General price list'!$W$17=B359,A360,IFERROR(VLOOKUP(A360,Kategorie!C:AA,MATCH('General price list'!$W$17,Kategorie!$C$2:$AA$2,0),FALSE),"× Chybí překlad ×")))</f>
        <v>Reklamní položky</v>
      </c>
      <c r="C360" s="235" t="str">
        <f t="shared" si="6"/>
        <v xml:space="preserve">                                                               Reklamní položky</v>
      </c>
    </row>
    <row r="361" spans="1:3">
      <c r="A361" s="241" t="s">
        <v>24</v>
      </c>
      <c r="B361" s="235" t="str">
        <f>IF(A361="","",IF('General price list'!$W$17=B360,A361,IFERROR(VLOOKUP(A361,Kategorie!C:AA,MATCH('General price list'!$W$17,Kategorie!$C$2:$AA$2,0),FALSE),"× Chybí překlad ×")))</f>
        <v/>
      </c>
      <c r="C361" s="235" t="str">
        <f t="shared" si="6"/>
        <v/>
      </c>
    </row>
    <row r="362" spans="1:3">
      <c r="A362" s="241" t="s">
        <v>13495</v>
      </c>
      <c r="B362" s="235" t="str">
        <f>IF(A362="","",IF('General price list'!$W$17=B361,A362,IFERROR(VLOOKUP(A362,Kategorie!C:AA,MATCH('General price list'!$W$17,Kategorie!$C$2:$AA$2,0),FALSE),"× Chybí překlad ×")))</f>
        <v>x</v>
      </c>
      <c r="C362" s="235" t="str">
        <f t="shared" si="6"/>
        <v>×</v>
      </c>
    </row>
    <row r="363" spans="1:3">
      <c r="A363" s="241" t="s">
        <v>24</v>
      </c>
      <c r="B363" s="235" t="str">
        <f>IF(A363="","",IF('General price list'!$W$17=B362,A363,IFERROR(VLOOKUP(A363,Kategorie!C:AA,MATCH('General price list'!$W$17,Kategorie!$C$2:$AA$2,0),FALSE),"× Chybí překlad ×")))</f>
        <v/>
      </c>
      <c r="C363" s="235" t="str">
        <f t="shared" si="6"/>
        <v/>
      </c>
    </row>
    <row r="364" spans="1:3">
      <c r="A364" s="241" t="s">
        <v>24</v>
      </c>
      <c r="B364" s="235" t="str">
        <f>IF(A364="","",IF('General price list'!$W$17=B363,A364,IFERROR(VLOOKUP(A364,Kategorie!C:AA,MATCH('General price list'!$W$17,Kategorie!$C$2:$AA$2,0),FALSE),"× Chybí překlad ×")))</f>
        <v/>
      </c>
      <c r="C364" s="235" t="str">
        <f t="shared" si="6"/>
        <v/>
      </c>
    </row>
    <row r="365" spans="1:3">
      <c r="A365" s="241" t="s">
        <v>24</v>
      </c>
      <c r="B365" s="235" t="str">
        <f>IF(A365="","",IF('General price list'!$W$17=B364,A365,IFERROR(VLOOKUP(A365,Kategorie!C:AA,MATCH('General price list'!$W$17,Kategorie!$C$2:$AA$2,0),FALSE),"× Chybí překlad ×")))</f>
        <v/>
      </c>
      <c r="C365" s="235" t="str">
        <f t="shared" si="6"/>
        <v/>
      </c>
    </row>
    <row r="366" spans="1:3">
      <c r="A366" s="241" t="s">
        <v>24</v>
      </c>
      <c r="B366" s="235" t="str">
        <f>IF(A366="","",IF('General price list'!$W$17=B365,A366,IFERROR(VLOOKUP(A366,Kategorie!C:AA,MATCH('General price list'!$W$17,Kategorie!$C$2:$AA$2,0),FALSE),"× Chybí překlad ×")))</f>
        <v/>
      </c>
      <c r="C366" s="235" t="str">
        <f t="shared" si="6"/>
        <v/>
      </c>
    </row>
    <row r="367" spans="1:3">
      <c r="A367" s="241" t="s">
        <v>24</v>
      </c>
      <c r="B367" s="235" t="str">
        <f>IF(A367="","",IF('General price list'!$W$17=B366,A367,IFERROR(VLOOKUP(A367,Kategorie!C:AA,MATCH('General price list'!$W$17,Kategorie!$C$2:$AA$2,0),FALSE),"× Chybí překlad ×")))</f>
        <v/>
      </c>
      <c r="C367" s="235" t="str">
        <f t="shared" si="6"/>
        <v/>
      </c>
    </row>
    <row r="368" spans="1:3">
      <c r="A368" s="241" t="s">
        <v>13495</v>
      </c>
      <c r="B368" s="235" t="str">
        <f>IF(A368="","",IF('General price list'!$W$17=B367,A368,IFERROR(VLOOKUP(A368,Kategorie!C:AA,MATCH('General price list'!$W$17,Kategorie!$C$2:$AA$2,0),FALSE),"× Chybí překlad ×")))</f>
        <v>x</v>
      </c>
      <c r="C368" s="235" t="str">
        <f t="shared" si="6"/>
        <v>×</v>
      </c>
    </row>
    <row r="369" spans="1:3">
      <c r="A369" s="241" t="s">
        <v>24</v>
      </c>
      <c r="B369" s="235" t="str">
        <f>IF(A369="","",IF('General price list'!$W$17=B368,A369,IFERROR(VLOOKUP(A369,Kategorie!C:AA,MATCH('General price list'!$W$17,Kategorie!$C$2:$AA$2,0),FALSE),"× Chybí překlad ×")))</f>
        <v/>
      </c>
      <c r="C369" s="235" t="str">
        <f t="shared" si="6"/>
        <v/>
      </c>
    </row>
    <row r="370" spans="1:3">
      <c r="A370" s="241" t="s">
        <v>24</v>
      </c>
      <c r="B370" s="235" t="str">
        <f>IF(A370="","",IF('General price list'!$W$17=B369,A370,IFERROR(VLOOKUP(A370,Kategorie!C:AA,MATCH('General price list'!$W$17,Kategorie!$C$2:$AA$2,0),FALSE),"× Chybí překlad ×")))</f>
        <v/>
      </c>
      <c r="C370" s="235" t="str">
        <f t="shared" si="6"/>
        <v/>
      </c>
    </row>
    <row r="371" spans="1:3">
      <c r="A371" s="241" t="s">
        <v>24</v>
      </c>
      <c r="B371" s="235" t="str">
        <f>IF(A371="","",IF('General price list'!$W$17=B370,A371,IFERROR(VLOOKUP(A371,Kategorie!C:AA,MATCH('General price list'!$W$17,Kategorie!$C$2:$AA$2,0),FALSE),"× Chybí překlad ×")))</f>
        <v/>
      </c>
      <c r="C371" s="235" t="str">
        <f t="shared" si="6"/>
        <v/>
      </c>
    </row>
    <row r="372" spans="1:3">
      <c r="A372" s="241" t="s">
        <v>24</v>
      </c>
      <c r="B372" s="235" t="str">
        <f>IF(A372="","",IF('General price list'!$W$17=B371,A372,IFERROR(VLOOKUP(A372,Kategorie!C:AA,MATCH('General price list'!$W$17,Kategorie!$C$2:$AA$2,0),FALSE),"× Chybí překlad ×")))</f>
        <v/>
      </c>
      <c r="C372" s="235" t="str">
        <f t="shared" si="6"/>
        <v/>
      </c>
    </row>
    <row r="373" spans="1:3">
      <c r="A373" s="241" t="s">
        <v>13495</v>
      </c>
      <c r="B373" s="235" t="str">
        <f>IF(A373="","",IF('General price list'!$W$17=B372,A373,IFERROR(VLOOKUP(A373,Kategorie!C:AA,MATCH('General price list'!$W$17,Kategorie!$C$2:$AA$2,0),FALSE),"× Chybí překlad ×")))</f>
        <v>x</v>
      </c>
      <c r="C373" s="235" t="str">
        <f t="shared" si="6"/>
        <v>×</v>
      </c>
    </row>
    <row r="374" spans="1:3">
      <c r="A374" s="241" t="s">
        <v>24</v>
      </c>
      <c r="B374" s="235" t="str">
        <f>IF(A374="","",IF('General price list'!$W$17=B373,A374,IFERROR(VLOOKUP(A374,Kategorie!C:AA,MATCH('General price list'!$W$17,Kategorie!$C$2:$AA$2,0),FALSE),"× Chybí překlad ×")))</f>
        <v/>
      </c>
      <c r="C374" s="235" t="str">
        <f t="shared" si="6"/>
        <v/>
      </c>
    </row>
    <row r="375" spans="1:3">
      <c r="A375" s="241" t="s">
        <v>7100</v>
      </c>
      <c r="B375" s="235" t="str">
        <f>IF(A375="","",IF('General price list'!$W$17=B374,A375,IFERROR(VLOOKUP(A375,Kategorie!C:AA,MATCH('General price list'!$W$17,Kategorie!$C$2:$AA$2,0),FALSE),"× Chybí překlad ×")))</f>
        <v>Ostatní</v>
      </c>
      <c r="C375" s="235" t="str">
        <f t="shared" si="6"/>
        <v xml:space="preserve">                                                               Ostatní</v>
      </c>
    </row>
    <row r="376" spans="1:3" ht="15.75">
      <c r="A376" s="242" t="s">
        <v>24</v>
      </c>
      <c r="B376" s="235" t="str">
        <f>IF(A376="","",IF('General price list'!$W$17=B375,A376,IFERROR(VLOOKUP(A376,Kategorie!C:AA,MATCH('General price list'!$W$17,Kategorie!$C$2:$AA$2,0),FALSE),"× Chybí překlad ×")))</f>
        <v/>
      </c>
      <c r="C376" s="235" t="str">
        <f t="shared" si="6"/>
        <v/>
      </c>
    </row>
    <row r="377" spans="1:3">
      <c r="A377" s="241" t="s">
        <v>24</v>
      </c>
      <c r="B377" s="235" t="str">
        <f>IF(A377="","",IF('General price list'!$W$17=B376,A377,IFERROR(VLOOKUP(A377,Kategorie!C:AA,MATCH('General price list'!$W$17,Kategorie!$C$2:$AA$2,0),FALSE),"× Chybí překlad ×")))</f>
        <v/>
      </c>
      <c r="C377" s="235" t="str">
        <f t="shared" si="6"/>
        <v/>
      </c>
    </row>
    <row r="378" spans="1:3">
      <c r="A378" s="241" t="s">
        <v>13496</v>
      </c>
      <c r="B378" s="235" t="str">
        <f>IF(A378="","",IF('General price list'!$W$17=B377,A378,IFERROR(VLOOKUP(A378,Kategorie!C:AA,MATCH('General price list'!$W$17,Kategorie!$C$2:$AA$2,0),FALSE),"× Chybí překlad ×")))</f>
        <v>Baterie raket 25-1000ran, 8mm moždíř-1.4G</v>
      </c>
      <c r="C378" s="235" t="str">
        <f t="shared" si="6"/>
        <v xml:space="preserve">                                                               Baterie raket 25-1000ran, 8mm moždíř-1.4G</v>
      </c>
    </row>
    <row r="379" spans="1:3">
      <c r="A379" s="241" t="s">
        <v>24</v>
      </c>
      <c r="B379" s="235" t="str">
        <f>IF(A379="","",IF('General price list'!$W$17=B378,A379,IFERROR(VLOOKUP(A379,Kategorie!C:AA,MATCH('General price list'!$W$17,Kategorie!$C$2:$AA$2,0),FALSE),"× Chybí překlad ×")))</f>
        <v/>
      </c>
      <c r="C379" s="235" t="str">
        <f t="shared" si="6"/>
        <v/>
      </c>
    </row>
    <row r="380" spans="1:3">
      <c r="A380" s="241" t="s">
        <v>24</v>
      </c>
      <c r="B380" s="235" t="str">
        <f>IF(A380="","",IF('General price list'!$W$17=B379,A380,IFERROR(VLOOKUP(A380,Kategorie!C:AA,MATCH('General price list'!$W$17,Kategorie!$C$2:$AA$2,0),FALSE),"× Chybí překlad ×")))</f>
        <v/>
      </c>
      <c r="C380" s="235" t="str">
        <f t="shared" si="6"/>
        <v/>
      </c>
    </row>
    <row r="381" spans="1:3">
      <c r="A381" s="241" t="s">
        <v>24</v>
      </c>
      <c r="B381" s="235" t="str">
        <f>IF(A381="","",IF('General price list'!$W$17=B380,A381,IFERROR(VLOOKUP(A381,Kategorie!C:AA,MATCH('General price list'!$W$17,Kategorie!$C$2:$AA$2,0),FALSE),"× Chybí překlad ×")))</f>
        <v/>
      </c>
      <c r="C381" s="235" t="str">
        <f t="shared" si="6"/>
        <v/>
      </c>
    </row>
    <row r="382" spans="1:3">
      <c r="A382" s="241" t="s">
        <v>24</v>
      </c>
      <c r="B382" s="235" t="str">
        <f>IF(A382="","",IF('General price list'!$W$17=B381,A382,IFERROR(VLOOKUP(A382,Kategorie!C:AA,MATCH('General price list'!$W$17,Kategorie!$C$2:$AA$2,0),FALSE),"× Chybí překlad ×")))</f>
        <v/>
      </c>
      <c r="C382" s="235" t="str">
        <f t="shared" si="6"/>
        <v/>
      </c>
    </row>
    <row r="383" spans="1:3">
      <c r="A383" s="241" t="s">
        <v>7135</v>
      </c>
      <c r="B383" s="235" t="str">
        <f>IF(A383="","",IF('General price list'!$W$17=B382,A383,IFERROR(VLOOKUP(A383,Kategorie!C:AA,MATCH('General price list'!$W$17,Kategorie!$C$2:$AA$2,0),FALSE),"× Chybí překlad ×")))</f>
        <v>Baterie 100ran, 8mm moždíř-1.4G</v>
      </c>
      <c r="C383" s="235" t="str">
        <f t="shared" si="6"/>
        <v xml:space="preserve">                                                               Baterie 100ran, 8mm moždíř-1.4G</v>
      </c>
    </row>
    <row r="384" spans="1:3">
      <c r="A384" s="241" t="s">
        <v>24</v>
      </c>
      <c r="B384" s="235" t="str">
        <f>IF(A384="","",IF('General price list'!$W$17=B383,A384,IFERROR(VLOOKUP(A384,Kategorie!C:AA,MATCH('General price list'!$W$17,Kategorie!$C$2:$AA$2,0),FALSE),"× Chybí překlad ×")))</f>
        <v/>
      </c>
      <c r="C384" s="235" t="str">
        <f t="shared" si="6"/>
        <v/>
      </c>
    </row>
    <row r="385" spans="1:3">
      <c r="A385" s="241" t="s">
        <v>7143</v>
      </c>
      <c r="B385" s="235" t="str">
        <f>IF(A385="","",IF('General price list'!$W$17=B384,A385,IFERROR(VLOOKUP(A385,Kategorie!C:AA,MATCH('General price list'!$W$17,Kategorie!$C$2:$AA$2,0),FALSE),"× Chybí překlad ×")))</f>
        <v>Baterie 16ran, 14mm moždíř-1.4G</v>
      </c>
      <c r="C385" s="235" t="str">
        <f t="shared" si="6"/>
        <v xml:space="preserve">                                                               Baterie 16ran, 14mm moždíř-1.4G</v>
      </c>
    </row>
    <row r="386" spans="1:3">
      <c r="A386" s="241" t="s">
        <v>24</v>
      </c>
      <c r="B386" s="235" t="str">
        <f>IF(A386="","",IF('General price list'!$W$17=B385,A386,IFERROR(VLOOKUP(A386,Kategorie!C:AA,MATCH('General price list'!$W$17,Kategorie!$C$2:$AA$2,0),FALSE),"× Chybí překlad ×")))</f>
        <v/>
      </c>
      <c r="C386" s="235" t="str">
        <f t="shared" si="6"/>
        <v/>
      </c>
    </row>
    <row r="387" spans="1:3">
      <c r="A387" s="241" t="s">
        <v>7152</v>
      </c>
      <c r="B387" s="235" t="str">
        <f>IF(A387="","",IF('General price list'!$W$17=B386,A387,IFERROR(VLOOKUP(A387,Kategorie!C:AA,MATCH('General price list'!$W$17,Kategorie!$C$2:$AA$2,0),FALSE),"× Chybí překlad ×")))</f>
        <v>Baterie 100ran, 14mm moždíř-1.3G</v>
      </c>
      <c r="C387" s="235" t="str">
        <f t="shared" si="6"/>
        <v xml:space="preserve">                                                               Baterie 100ran, 14mm moždíř-1.3G</v>
      </c>
    </row>
    <row r="388" spans="1:3">
      <c r="A388" s="241" t="s">
        <v>24</v>
      </c>
      <c r="B388" s="235" t="str">
        <f>IF(A388="","",IF('General price list'!$W$17=B387,A388,IFERROR(VLOOKUP(A388,Kategorie!C:AA,MATCH('General price list'!$W$17,Kategorie!$C$2:$AA$2,0),FALSE),"× Chybí překlad ×")))</f>
        <v/>
      </c>
      <c r="C388" s="235" t="str">
        <f t="shared" si="6"/>
        <v/>
      </c>
    </row>
    <row r="389" spans="1:3">
      <c r="A389" s="241" t="s">
        <v>7161</v>
      </c>
      <c r="B389" s="235" t="str">
        <f>IF(A389="","",IF('General price list'!$W$17=B388,A389,IFERROR(VLOOKUP(A389,Kategorie!C:AA,MATCH('General price list'!$W$17,Kategorie!$C$2:$AA$2,0),FALSE),"× Chybí překlad ×")))</f>
        <v>Baterie 208ran, 14mm rovný+šikmý moždíř-1.4G</v>
      </c>
      <c r="C389" s="235" t="str">
        <f t="shared" si="6"/>
        <v xml:space="preserve">                                                               Baterie 208ran, 14mm rovný+šikmý moždíř-1.4G</v>
      </c>
    </row>
    <row r="390" spans="1:3">
      <c r="A390" s="241" t="s">
        <v>24</v>
      </c>
      <c r="B390" s="235" t="str">
        <f>IF(A390="","",IF('General price list'!$W$17=B389,A390,IFERROR(VLOOKUP(A390,Kategorie!C:AA,MATCH('General price list'!$W$17,Kategorie!$C$2:$AA$2,0),FALSE),"× Chybí překlad ×")))</f>
        <v/>
      </c>
      <c r="C390" s="235" t="str">
        <f t="shared" si="6"/>
        <v/>
      </c>
    </row>
    <row r="391" spans="1:3">
      <c r="A391" s="241" t="s">
        <v>7169</v>
      </c>
      <c r="B391" s="235" t="str">
        <f>IF(A391="","",IF('General price list'!$W$17=B390,A391,IFERROR(VLOOKUP(A391,Kategorie!C:AA,MATCH('General price list'!$W$17,Kategorie!$C$2:$AA$2,0),FALSE),"× Chybí překlad ×")))</f>
        <v>Baterie 9ran, 20mm moždíř-1.3G</v>
      </c>
      <c r="C391" s="235" t="str">
        <f t="shared" si="6"/>
        <v xml:space="preserve">                                                               Baterie 9ran, 20mm moždíř-1.3G</v>
      </c>
    </row>
    <row r="392" spans="1:3">
      <c r="A392" s="241" t="s">
        <v>24</v>
      </c>
      <c r="B392" s="235" t="str">
        <f>IF(A392="","",IF('General price list'!$W$17=B391,A392,IFERROR(VLOOKUP(A392,Kategorie!C:AA,MATCH('General price list'!$W$17,Kategorie!$C$2:$AA$2,0),FALSE),"× Chybí překlad ×")))</f>
        <v/>
      </c>
      <c r="C392" s="235" t="str">
        <f t="shared" si="6"/>
        <v/>
      </c>
    </row>
    <row r="393" spans="1:3">
      <c r="A393" s="241" t="s">
        <v>24</v>
      </c>
      <c r="B393" s="235" t="str">
        <f>IF(A393="","",IF('General price list'!$W$17=B392,A393,IFERROR(VLOOKUP(A393,Kategorie!C:AA,MATCH('General price list'!$W$17,Kategorie!$C$2:$AA$2,0),FALSE),"× Chybí překlad ×")))</f>
        <v/>
      </c>
      <c r="C393" s="235" t="str">
        <f t="shared" si="6"/>
        <v/>
      </c>
    </row>
    <row r="394" spans="1:3">
      <c r="A394" s="241" t="s">
        <v>7187</v>
      </c>
      <c r="B394" s="235" t="str">
        <f>IF(A394="","",IF('General price list'!$W$17=B393,A394,IFERROR(VLOOKUP(A394,Kategorie!C:AA,MATCH('General price list'!$W$17,Kategorie!$C$2:$AA$2,0),FALSE),"× Chybí překlad ×")))</f>
        <v>Baterie 16ran, 20mm moždíř-1.3G</v>
      </c>
      <c r="C394" s="235" t="str">
        <f t="shared" si="6"/>
        <v xml:space="preserve">                                                               Baterie 16ran, 20mm moždíř-1.3G</v>
      </c>
    </row>
    <row r="395" spans="1:3">
      <c r="A395" s="241" t="s">
        <v>24</v>
      </c>
      <c r="B395" s="235" t="str">
        <f>IF(A395="","",IF('General price list'!$W$17=B394,A395,IFERROR(VLOOKUP(A395,Kategorie!C:AA,MATCH('General price list'!$W$17,Kategorie!$C$2:$AA$2,0),FALSE),"× Chybí překlad ×")))</f>
        <v/>
      </c>
      <c r="C395" s="235" t="str">
        <f t="shared" si="6"/>
        <v/>
      </c>
    </row>
    <row r="396" spans="1:3">
      <c r="A396" s="241" t="s">
        <v>24</v>
      </c>
      <c r="B396" s="235" t="str">
        <f>IF(A396="","",IF('General price list'!$W$17=B395,A396,IFERROR(VLOOKUP(A396,Kategorie!C:AA,MATCH('General price list'!$W$17,Kategorie!$C$2:$AA$2,0),FALSE),"× Chybí překlad ×")))</f>
        <v/>
      </c>
      <c r="C396" s="235" t="str">
        <f t="shared" si="6"/>
        <v/>
      </c>
    </row>
    <row r="397" spans="1:3">
      <c r="A397" s="241" t="s">
        <v>24</v>
      </c>
      <c r="B397" s="235" t="str">
        <f>IF(A397="","",IF('General price list'!$W$17=B396,A397,IFERROR(VLOOKUP(A397,Kategorie!C:AA,MATCH('General price list'!$W$17,Kategorie!$C$2:$AA$2,0),FALSE),"× Chybí překlad ×")))</f>
        <v/>
      </c>
      <c r="C397" s="235" t="str">
        <f t="shared" si="6"/>
        <v/>
      </c>
    </row>
    <row r="398" spans="1:3">
      <c r="A398" s="241" t="s">
        <v>24</v>
      </c>
      <c r="B398" s="235" t="str">
        <f>IF(A398="","",IF('General price list'!$W$17=B397,A398,IFERROR(VLOOKUP(A398,Kategorie!C:AA,MATCH('General price list'!$W$17,Kategorie!$C$2:$AA$2,0),FALSE),"× Chybí překlad ×")))</f>
        <v/>
      </c>
      <c r="C398" s="235" t="str">
        <f t="shared" si="6"/>
        <v/>
      </c>
    </row>
    <row r="399" spans="1:3" ht="15.75">
      <c r="A399" s="242" t="s">
        <v>24</v>
      </c>
      <c r="B399" s="235" t="str">
        <f>IF(A399="","",IF('General price list'!$W$17=B398,A399,IFERROR(VLOOKUP(A399,Kategorie!C:AA,MATCH('General price list'!$W$17,Kategorie!$C$2:$AA$2,0),FALSE),"× Chybí překlad ×")))</f>
        <v/>
      </c>
      <c r="C399" s="235" t="str">
        <f t="shared" si="6"/>
        <v/>
      </c>
    </row>
    <row r="400" spans="1:3">
      <c r="A400" s="241" t="s">
        <v>24</v>
      </c>
      <c r="B400" s="235" t="str">
        <f>IF(A400="","",IF('General price list'!$W$17=B399,A400,IFERROR(VLOOKUP(A400,Kategorie!C:AA,MATCH('General price list'!$W$17,Kategorie!$C$2:$AA$2,0),FALSE),"× Chybí překlad ×")))</f>
        <v/>
      </c>
      <c r="C400" s="235" t="str">
        <f t="shared" ref="C400:C463" si="7">IF(A400="","",IF(A400="x","×",$B$1&amp;B400))</f>
        <v/>
      </c>
    </row>
    <row r="401" spans="1:3">
      <c r="A401" s="241" t="s">
        <v>24</v>
      </c>
      <c r="B401" s="235" t="str">
        <f>IF(A401="","",IF('General price list'!$W$17=B400,A401,IFERROR(VLOOKUP(A401,Kategorie!C:AA,MATCH('General price list'!$W$17,Kategorie!$C$2:$AA$2,0),FALSE),"× Chybí překlad ×")))</f>
        <v/>
      </c>
      <c r="C401" s="235" t="str">
        <f t="shared" si="7"/>
        <v/>
      </c>
    </row>
    <row r="402" spans="1:3">
      <c r="A402" s="241" t="s">
        <v>24</v>
      </c>
      <c r="B402" s="235" t="str">
        <f>IF(A402="","",IF('General price list'!$W$17=B401,A402,IFERROR(VLOOKUP(A402,Kategorie!C:AA,MATCH('General price list'!$W$17,Kategorie!$C$2:$AA$2,0),FALSE),"× Chybí překlad ×")))</f>
        <v/>
      </c>
      <c r="C402" s="235" t="str">
        <f t="shared" si="7"/>
        <v/>
      </c>
    </row>
    <row r="403" spans="1:3">
      <c r="A403" s="241" t="s">
        <v>7196</v>
      </c>
      <c r="B403" s="235" t="str">
        <f>IF(A403="","",IF('General price list'!$W$17=B402,A403,IFERROR(VLOOKUP(A403,Kategorie!C:AA,MATCH('General price list'!$W$17,Kategorie!$C$2:$AA$2,0),FALSE),"× Chybí překlad ×")))</f>
        <v>Baterie 16ran, 20mm moždíř-1.4G</v>
      </c>
      <c r="C403" s="235" t="str">
        <f t="shared" si="7"/>
        <v xml:space="preserve">                                                               Baterie 16ran, 20mm moždíř-1.4G</v>
      </c>
    </row>
    <row r="404" spans="1:3">
      <c r="A404" s="241" t="s">
        <v>24</v>
      </c>
      <c r="B404" s="235" t="str">
        <f>IF(A404="","",IF('General price list'!$W$17=B403,A404,IFERROR(VLOOKUP(A404,Kategorie!C:AA,MATCH('General price list'!$W$17,Kategorie!$C$2:$AA$2,0),FALSE),"× Chybí překlad ×")))</f>
        <v/>
      </c>
      <c r="C404" s="235" t="str">
        <f t="shared" si="7"/>
        <v/>
      </c>
    </row>
    <row r="405" spans="1:3">
      <c r="A405" s="241" t="s">
        <v>24</v>
      </c>
      <c r="B405" s="235" t="str">
        <f>IF(A405="","",IF('General price list'!$W$17=B404,A405,IFERROR(VLOOKUP(A405,Kategorie!C:AA,MATCH('General price list'!$W$17,Kategorie!$C$2:$AA$2,0),FALSE),"× Chybí překlad ×")))</f>
        <v/>
      </c>
      <c r="C405" s="235" t="str">
        <f t="shared" si="7"/>
        <v/>
      </c>
    </row>
    <row r="406" spans="1:3">
      <c r="A406" s="241" t="s">
        <v>24</v>
      </c>
      <c r="B406" s="235" t="str">
        <f>IF(A406="","",IF('General price list'!$W$17=B405,A406,IFERROR(VLOOKUP(A406,Kategorie!C:AA,MATCH('General price list'!$W$17,Kategorie!$C$2:$AA$2,0),FALSE),"× Chybí překlad ×")))</f>
        <v/>
      </c>
      <c r="C406" s="235" t="str">
        <f t="shared" si="7"/>
        <v/>
      </c>
    </row>
    <row r="407" spans="1:3">
      <c r="A407" s="241" t="s">
        <v>24</v>
      </c>
      <c r="B407" s="235" t="str">
        <f>IF(A407="","",IF('General price list'!$W$17=B406,A407,IFERROR(VLOOKUP(A407,Kategorie!C:AA,MATCH('General price list'!$W$17,Kategorie!$C$2:$AA$2,0),FALSE),"× Chybí překlad ×")))</f>
        <v/>
      </c>
      <c r="C407" s="235" t="str">
        <f t="shared" si="7"/>
        <v/>
      </c>
    </row>
    <row r="408" spans="1:3">
      <c r="A408" s="241" t="s">
        <v>7205</v>
      </c>
      <c r="B408" s="235" t="str">
        <f>IF(A408="","",IF('General price list'!$W$17=B407,A408,IFERROR(VLOOKUP(A408,Kategorie!C:AA,MATCH('General price list'!$W$17,Kategorie!$C$2:$AA$2,0),FALSE),"× Chybí překlad ×")))</f>
        <v>Baterie 16ran, 20mm šikmý moždíř-1.3G</v>
      </c>
      <c r="C408" s="235" t="str">
        <f t="shared" si="7"/>
        <v xml:space="preserve">                                                               Baterie 16ran, 20mm šikmý moždíř-1.3G</v>
      </c>
    </row>
    <row r="409" spans="1:3">
      <c r="A409" s="241" t="s">
        <v>24</v>
      </c>
      <c r="B409" s="235" t="str">
        <f>IF(A409="","",IF('General price list'!$W$17=B408,A409,IFERROR(VLOOKUP(A409,Kategorie!C:AA,MATCH('General price list'!$W$17,Kategorie!$C$2:$AA$2,0),FALSE),"× Chybí překlad ×")))</f>
        <v/>
      </c>
      <c r="C409" s="235" t="str">
        <f t="shared" si="7"/>
        <v/>
      </c>
    </row>
    <row r="410" spans="1:3">
      <c r="A410" s="241" t="s">
        <v>24</v>
      </c>
      <c r="B410" s="235" t="str">
        <f>IF(A410="","",IF('General price list'!$W$17=B409,A410,IFERROR(VLOOKUP(A410,Kategorie!C:AA,MATCH('General price list'!$W$17,Kategorie!$C$2:$AA$2,0),FALSE),"× Chybí překlad ×")))</f>
        <v/>
      </c>
      <c r="C410" s="235" t="str">
        <f t="shared" si="7"/>
        <v/>
      </c>
    </row>
    <row r="411" spans="1:3">
      <c r="A411" s="241" t="s">
        <v>7214</v>
      </c>
      <c r="B411" s="235" t="str">
        <f>IF(A411="","",IF('General price list'!$W$17=B410,A411,IFERROR(VLOOKUP(A411,Kategorie!C:AA,MATCH('General price list'!$W$17,Kategorie!$C$2:$AA$2,0),FALSE),"× Chybí překlad ×")))</f>
        <v>Baterie 25ran, 20mm moždíř-1.3G</v>
      </c>
      <c r="C411" s="235" t="str">
        <f t="shared" si="7"/>
        <v xml:space="preserve">                                                               Baterie 25ran, 20mm moždíř-1.3G</v>
      </c>
    </row>
    <row r="412" spans="1:3">
      <c r="A412" s="241" t="s">
        <v>24</v>
      </c>
      <c r="B412" s="235" t="str">
        <f>IF(A412="","",IF('General price list'!$W$17=B411,A412,IFERROR(VLOOKUP(A412,Kategorie!C:AA,MATCH('General price list'!$W$17,Kategorie!$C$2:$AA$2,0),FALSE),"× Chybí překlad ×")))</f>
        <v/>
      </c>
      <c r="C412" s="235" t="str">
        <f t="shared" si="7"/>
        <v/>
      </c>
    </row>
    <row r="413" spans="1:3">
      <c r="A413" s="241" t="s">
        <v>24</v>
      </c>
      <c r="B413" s="235" t="str">
        <f>IF(A413="","",IF('General price list'!$W$17=B412,A413,IFERROR(VLOOKUP(A413,Kategorie!C:AA,MATCH('General price list'!$W$17,Kategorie!$C$2:$AA$2,0),FALSE),"× Chybí překlad ×")))</f>
        <v/>
      </c>
      <c r="C413" s="235" t="str">
        <f t="shared" si="7"/>
        <v/>
      </c>
    </row>
    <row r="414" spans="1:3">
      <c r="A414" s="241" t="s">
        <v>24</v>
      </c>
      <c r="B414" s="235" t="str">
        <f>IF(A414="","",IF('General price list'!$W$17=B413,A414,IFERROR(VLOOKUP(A414,Kategorie!C:AA,MATCH('General price list'!$W$17,Kategorie!$C$2:$AA$2,0),FALSE),"× Chybí překlad ×")))</f>
        <v/>
      </c>
      <c r="C414" s="235" t="str">
        <f t="shared" si="7"/>
        <v/>
      </c>
    </row>
    <row r="415" spans="1:3">
      <c r="A415" s="241" t="s">
        <v>24</v>
      </c>
      <c r="B415" s="235" t="str">
        <f>IF(A415="","",IF('General price list'!$W$17=B414,A415,IFERROR(VLOOKUP(A415,Kategorie!C:AA,MATCH('General price list'!$W$17,Kategorie!$C$2:$AA$2,0),FALSE),"× Chybí překlad ×")))</f>
        <v/>
      </c>
      <c r="C415" s="235" t="str">
        <f t="shared" si="7"/>
        <v/>
      </c>
    </row>
    <row r="416" spans="1:3">
      <c r="A416" s="241" t="s">
        <v>24</v>
      </c>
      <c r="B416" s="235" t="str">
        <f>IF(A416="","",IF('General price list'!$W$17=B415,A416,IFERROR(VLOOKUP(A416,Kategorie!C:AA,MATCH('General price list'!$W$17,Kategorie!$C$2:$AA$2,0),FALSE),"× Chybí překlad ×")))</f>
        <v/>
      </c>
      <c r="C416" s="235" t="str">
        <f t="shared" si="7"/>
        <v/>
      </c>
    </row>
    <row r="417" spans="1:3">
      <c r="A417" s="241" t="s">
        <v>24</v>
      </c>
      <c r="B417" s="235" t="str">
        <f>IF(A417="","",IF('General price list'!$W$17=B416,A417,IFERROR(VLOOKUP(A417,Kategorie!C:AA,MATCH('General price list'!$W$17,Kategorie!$C$2:$AA$2,0),FALSE),"× Chybí překlad ×")))</f>
        <v/>
      </c>
      <c r="C417" s="235" t="str">
        <f t="shared" si="7"/>
        <v/>
      </c>
    </row>
    <row r="418" spans="1:3">
      <c r="A418" s="241" t="s">
        <v>24</v>
      </c>
      <c r="B418" s="235" t="str">
        <f>IF(A418="","",IF('General price list'!$W$17=B417,A418,IFERROR(VLOOKUP(A418,Kategorie!C:AA,MATCH('General price list'!$W$17,Kategorie!$C$2:$AA$2,0),FALSE),"× Chybí překlad ×")))</f>
        <v/>
      </c>
      <c r="C418" s="235" t="str">
        <f t="shared" si="7"/>
        <v/>
      </c>
    </row>
    <row r="419" spans="1:3" ht="15.75">
      <c r="A419" s="242" t="s">
        <v>24</v>
      </c>
      <c r="B419" s="235" t="str">
        <f>IF(A419="","",IF('General price list'!$W$17=B418,A419,IFERROR(VLOOKUP(A419,Kategorie!C:AA,MATCH('General price list'!$W$17,Kategorie!$C$2:$AA$2,0),FALSE),"× Chybí překlad ×")))</f>
        <v/>
      </c>
      <c r="C419" s="235" t="str">
        <f t="shared" si="7"/>
        <v/>
      </c>
    </row>
    <row r="420" spans="1:3">
      <c r="A420" s="241" t="s">
        <v>24</v>
      </c>
      <c r="B420" s="235" t="str">
        <f>IF(A420="","",IF('General price list'!$W$17=B419,A420,IFERROR(VLOOKUP(A420,Kategorie!C:AA,MATCH('General price list'!$W$17,Kategorie!$C$2:$AA$2,0),FALSE),"× Chybí překlad ×")))</f>
        <v/>
      </c>
      <c r="C420" s="235" t="str">
        <f t="shared" si="7"/>
        <v/>
      </c>
    </row>
    <row r="421" spans="1:3">
      <c r="A421" s="241" t="s">
        <v>24</v>
      </c>
      <c r="B421" s="235" t="str">
        <f>IF(A421="","",IF('General price list'!$W$17=B420,A421,IFERROR(VLOOKUP(A421,Kategorie!C:AA,MATCH('General price list'!$W$17,Kategorie!$C$2:$AA$2,0),FALSE),"× Chybí překlad ×")))</f>
        <v/>
      </c>
      <c r="C421" s="235" t="str">
        <f t="shared" si="7"/>
        <v/>
      </c>
    </row>
    <row r="422" spans="1:3">
      <c r="A422" s="241" t="s">
        <v>7223</v>
      </c>
      <c r="B422" s="235" t="str">
        <f>IF(A422="","",IF('General price list'!$W$17=B421,A422,IFERROR(VLOOKUP(A422,Kategorie!C:AA,MATCH('General price list'!$W$17,Kategorie!$C$2:$AA$2,0),FALSE),"× Chybí překlad ×")))</f>
        <v>Baterie 25ran, 20mm moždíř-1.4G</v>
      </c>
      <c r="C422" s="235" t="str">
        <f t="shared" si="7"/>
        <v xml:space="preserve">                                                               Baterie 25ran, 20mm moždíř-1.4G</v>
      </c>
    </row>
    <row r="423" spans="1:3">
      <c r="A423" s="241" t="s">
        <v>24</v>
      </c>
      <c r="B423" s="235" t="str">
        <f>IF(A423="","",IF('General price list'!$W$17=B422,A423,IFERROR(VLOOKUP(A423,Kategorie!C:AA,MATCH('General price list'!$W$17,Kategorie!$C$2:$AA$2,0),FALSE),"× Chybí překlad ×")))</f>
        <v/>
      </c>
      <c r="C423" s="235" t="str">
        <f t="shared" si="7"/>
        <v/>
      </c>
    </row>
    <row r="424" spans="1:3">
      <c r="A424" s="241" t="s">
        <v>24</v>
      </c>
      <c r="B424" s="235" t="str">
        <f>IF(A424="","",IF('General price list'!$W$17=B423,A424,IFERROR(VLOOKUP(A424,Kategorie!C:AA,MATCH('General price list'!$W$17,Kategorie!$C$2:$AA$2,0),FALSE),"× Chybí překlad ×")))</f>
        <v/>
      </c>
      <c r="C424" s="235" t="str">
        <f t="shared" si="7"/>
        <v/>
      </c>
    </row>
    <row r="425" spans="1:3">
      <c r="A425" s="241" t="s">
        <v>24</v>
      </c>
      <c r="B425" s="235" t="str">
        <f>IF(A425="","",IF('General price list'!$W$17=B424,A425,IFERROR(VLOOKUP(A425,Kategorie!C:AA,MATCH('General price list'!$W$17,Kategorie!$C$2:$AA$2,0),FALSE),"× Chybí překlad ×")))</f>
        <v/>
      </c>
      <c r="C425" s="235" t="str">
        <f t="shared" si="7"/>
        <v/>
      </c>
    </row>
    <row r="426" spans="1:3">
      <c r="A426" s="241" t="s">
        <v>7232</v>
      </c>
      <c r="B426" s="235" t="str">
        <f>IF(A426="","",IF('General price list'!$W$17=B425,A426,IFERROR(VLOOKUP(A426,Kategorie!C:AA,MATCH('General price list'!$W$17,Kategorie!$C$2:$AA$2,0),FALSE),"× Chybí překlad ×")))</f>
        <v>Baterie 49ran, 20mm moždíř-1.3G</v>
      </c>
      <c r="C426" s="235" t="str">
        <f t="shared" si="7"/>
        <v xml:space="preserve">                                                               Baterie 49ran, 20mm moždíř-1.3G</v>
      </c>
    </row>
    <row r="427" spans="1:3">
      <c r="A427" s="241" t="s">
        <v>24</v>
      </c>
      <c r="B427" s="235" t="str">
        <f>IF(A427="","",IF('General price list'!$W$17=B426,A427,IFERROR(VLOOKUP(A427,Kategorie!C:AA,MATCH('General price list'!$W$17,Kategorie!$C$2:$AA$2,0),FALSE),"× Chybí překlad ×")))</f>
        <v/>
      </c>
      <c r="C427" s="235" t="str">
        <f t="shared" si="7"/>
        <v/>
      </c>
    </row>
    <row r="428" spans="1:3">
      <c r="A428" s="241" t="s">
        <v>24</v>
      </c>
      <c r="B428" s="235" t="str">
        <f>IF(A428="","",IF('General price list'!$W$17=B427,A428,IFERROR(VLOOKUP(A428,Kategorie!C:AA,MATCH('General price list'!$W$17,Kategorie!$C$2:$AA$2,0),FALSE),"× Chybí překlad ×")))</f>
        <v/>
      </c>
      <c r="C428" s="235" t="str">
        <f t="shared" si="7"/>
        <v/>
      </c>
    </row>
    <row r="429" spans="1:3">
      <c r="A429" s="241" t="s">
        <v>24</v>
      </c>
      <c r="B429" s="235" t="str">
        <f>IF(A429="","",IF('General price list'!$W$17=B428,A429,IFERROR(VLOOKUP(A429,Kategorie!C:AA,MATCH('General price list'!$W$17,Kategorie!$C$2:$AA$2,0),FALSE),"× Chybí překlad ×")))</f>
        <v/>
      </c>
      <c r="C429" s="235" t="str">
        <f t="shared" si="7"/>
        <v/>
      </c>
    </row>
    <row r="430" spans="1:3">
      <c r="A430" s="241" t="s">
        <v>24</v>
      </c>
      <c r="B430" s="235" t="str">
        <f>IF(A430="","",IF('General price list'!$W$17=B429,A430,IFERROR(VLOOKUP(A430,Kategorie!C:AA,MATCH('General price list'!$W$17,Kategorie!$C$2:$AA$2,0),FALSE),"× Chybí překlad ×")))</f>
        <v/>
      </c>
      <c r="C430" s="235" t="str">
        <f t="shared" si="7"/>
        <v/>
      </c>
    </row>
    <row r="431" spans="1:3">
      <c r="A431" s="241" t="s">
        <v>24</v>
      </c>
      <c r="B431" s="235" t="str">
        <f>IF(A431="","",IF('General price list'!$W$17=B430,A431,IFERROR(VLOOKUP(A431,Kategorie!C:AA,MATCH('General price list'!$W$17,Kategorie!$C$2:$AA$2,0),FALSE),"× Chybí překlad ×")))</f>
        <v/>
      </c>
      <c r="C431" s="235" t="str">
        <f t="shared" si="7"/>
        <v/>
      </c>
    </row>
    <row r="432" spans="1:3">
      <c r="A432" s="241" t="s">
        <v>24</v>
      </c>
      <c r="B432" s="235" t="str">
        <f>IF(A432="","",IF('General price list'!$W$17=B431,A432,IFERROR(VLOOKUP(A432,Kategorie!C:AA,MATCH('General price list'!$W$17,Kategorie!$C$2:$AA$2,0),FALSE),"× Chybí překlad ×")))</f>
        <v/>
      </c>
      <c r="C432" s="235" t="str">
        <f t="shared" si="7"/>
        <v/>
      </c>
    </row>
    <row r="433" spans="1:3" ht="15.75">
      <c r="A433" s="242" t="s">
        <v>7241</v>
      </c>
      <c r="B433" s="235" t="str">
        <f>IF(A433="","",IF('General price list'!$W$17=B432,A433,IFERROR(VLOOKUP(A433,Kategorie!C:AA,MATCH('General price list'!$W$17,Kategorie!$C$2:$AA$2,0),FALSE),"× Chybí překlad ×")))</f>
        <v>Baterie 49ran, 20mm moždíř-1.4G</v>
      </c>
      <c r="C433" s="235" t="str">
        <f t="shared" si="7"/>
        <v xml:space="preserve">                                                               Baterie 49ran, 20mm moždíř-1.4G</v>
      </c>
    </row>
    <row r="434" spans="1:3">
      <c r="A434" s="241" t="s">
        <v>24</v>
      </c>
      <c r="B434" s="235" t="str">
        <f>IF(A434="","",IF('General price list'!$W$17=B433,A434,IFERROR(VLOOKUP(A434,Kategorie!C:AA,MATCH('General price list'!$W$17,Kategorie!$C$2:$AA$2,0),FALSE),"× Chybí překlad ×")))</f>
        <v/>
      </c>
      <c r="C434" s="235" t="str">
        <f t="shared" si="7"/>
        <v/>
      </c>
    </row>
    <row r="435" spans="1:3">
      <c r="A435" s="241" t="s">
        <v>24</v>
      </c>
      <c r="B435" s="235" t="str">
        <f>IF(A435="","",IF('General price list'!$W$17=B434,A435,IFERROR(VLOOKUP(A435,Kategorie!C:AA,MATCH('General price list'!$W$17,Kategorie!$C$2:$AA$2,0),FALSE),"× Chybí překlad ×")))</f>
        <v/>
      </c>
      <c r="C435" s="235" t="str">
        <f t="shared" si="7"/>
        <v/>
      </c>
    </row>
    <row r="436" spans="1:3">
      <c r="A436" s="241" t="s">
        <v>24</v>
      </c>
      <c r="B436" s="235" t="str">
        <f>IF(A436="","",IF('General price list'!$W$17=B435,A436,IFERROR(VLOOKUP(A436,Kategorie!C:AA,MATCH('General price list'!$W$17,Kategorie!$C$2:$AA$2,0),FALSE),"× Chybí překlad ×")))</f>
        <v/>
      </c>
      <c r="C436" s="235" t="str">
        <f t="shared" si="7"/>
        <v/>
      </c>
    </row>
    <row r="437" spans="1:3">
      <c r="A437" s="241" t="s">
        <v>7250</v>
      </c>
      <c r="B437" s="235" t="str">
        <f>IF(A437="","",IF('General price list'!$W$17=B436,A437,IFERROR(VLOOKUP(A437,Kategorie!C:AA,MATCH('General price list'!$W$17,Kategorie!$C$2:$AA$2,0),FALSE),"× Chybí překlad ×")))</f>
        <v>Baterie 49ran, 20mm šikmý moždíř-1.3G</v>
      </c>
      <c r="C437" s="235" t="str">
        <f t="shared" si="7"/>
        <v xml:space="preserve">                                                               Baterie 49ran, 20mm šikmý moždíř-1.3G</v>
      </c>
    </row>
    <row r="438" spans="1:3" ht="15.75">
      <c r="A438" s="242" t="s">
        <v>24</v>
      </c>
      <c r="B438" s="235" t="str">
        <f>IF(A438="","",IF('General price list'!$W$17=B437,A438,IFERROR(VLOOKUP(A438,Kategorie!C:AA,MATCH('General price list'!$W$17,Kategorie!$C$2:$AA$2,0),FALSE),"× Chybí překlad ×")))</f>
        <v/>
      </c>
      <c r="C438" s="235" t="str">
        <f t="shared" si="7"/>
        <v/>
      </c>
    </row>
    <row r="439" spans="1:3">
      <c r="A439" s="241" t="s">
        <v>24</v>
      </c>
      <c r="B439" s="235" t="str">
        <f>IF(A439="","",IF('General price list'!$W$17=B438,A439,IFERROR(VLOOKUP(A439,Kategorie!C:AA,MATCH('General price list'!$W$17,Kategorie!$C$2:$AA$2,0),FALSE),"× Chybí překlad ×")))</f>
        <v/>
      </c>
      <c r="C439" s="235" t="str">
        <f t="shared" si="7"/>
        <v/>
      </c>
    </row>
    <row r="440" spans="1:3" ht="15.75">
      <c r="A440" s="242" t="s">
        <v>13495</v>
      </c>
      <c r="B440" s="235" t="str">
        <f>IF(A440="","",IF('General price list'!$W$17=B439,A440,IFERROR(VLOOKUP(A440,Kategorie!C:AA,MATCH('General price list'!$W$17,Kategorie!$C$2:$AA$2,0),FALSE),"× Chybí překlad ×")))</f>
        <v>x</v>
      </c>
      <c r="C440" s="235" t="str">
        <f t="shared" si="7"/>
        <v>×</v>
      </c>
    </row>
    <row r="441" spans="1:3">
      <c r="A441" s="241" t="s">
        <v>24</v>
      </c>
      <c r="B441" s="235" t="str">
        <f>IF(A441="","",IF('General price list'!$W$17=B440,A441,IFERROR(VLOOKUP(A441,Kategorie!C:AA,MATCH('General price list'!$W$17,Kategorie!$C$2:$AA$2,0),FALSE),"× Chybí překlad ×")))</f>
        <v/>
      </c>
      <c r="C441" s="235" t="str">
        <f t="shared" si="7"/>
        <v/>
      </c>
    </row>
    <row r="442" spans="1:3" ht="15.75">
      <c r="A442" s="242" t="s">
        <v>7259</v>
      </c>
      <c r="B442" s="235" t="str">
        <f>IF(A442="","",IF('General price list'!$W$17=B441,A442,IFERROR(VLOOKUP(A442,Kategorie!C:AA,MATCH('General price list'!$W$17,Kategorie!$C$2:$AA$2,0),FALSE),"× Chybí překlad ×")))</f>
        <v>Baterie 49ran, 20mm šikmý moždíř-1.4G</v>
      </c>
      <c r="C442" s="235" t="str">
        <f t="shared" si="7"/>
        <v xml:space="preserve">                                                               Baterie 49ran, 20mm šikmý moždíř-1.4G</v>
      </c>
    </row>
    <row r="443" spans="1:3">
      <c r="A443" s="241" t="s">
        <v>24</v>
      </c>
      <c r="B443" s="235" t="str">
        <f>IF(A443="","",IF('General price list'!$W$17=B442,A443,IFERROR(VLOOKUP(A443,Kategorie!C:AA,MATCH('General price list'!$W$17,Kategorie!$C$2:$AA$2,0),FALSE),"× Chybí překlad ×")))</f>
        <v/>
      </c>
      <c r="C443" s="235" t="str">
        <f t="shared" si="7"/>
        <v/>
      </c>
    </row>
    <row r="444" spans="1:3" ht="15.75">
      <c r="A444" s="242" t="s">
        <v>7268</v>
      </c>
      <c r="B444" s="235" t="str">
        <f>IF(A444="","",IF('General price list'!$W$17=B443,A444,IFERROR(VLOOKUP(A444,Kategorie!C:AA,MATCH('General price list'!$W$17,Kategorie!$C$2:$AA$2,0),FALSE),"× Chybí překlad ×")))</f>
        <v>Baterie 64ran, 20mm moždíř-1.3G</v>
      </c>
      <c r="C444" s="235" t="str">
        <f t="shared" si="7"/>
        <v xml:space="preserve">                                                               Baterie 64ran, 20mm moždíř-1.3G</v>
      </c>
    </row>
    <row r="445" spans="1:3">
      <c r="A445" s="241" t="s">
        <v>13495</v>
      </c>
      <c r="B445" s="235" t="str">
        <f>IF(A445="","",IF('General price list'!$W$17=B444,A445,IFERROR(VLOOKUP(A445,Kategorie!C:AA,MATCH('General price list'!$W$17,Kategorie!$C$2:$AA$2,0),FALSE),"× Chybí překlad ×")))</f>
        <v>x</v>
      </c>
      <c r="C445" s="235" t="str">
        <f t="shared" si="7"/>
        <v>×</v>
      </c>
    </row>
    <row r="446" spans="1:3" ht="15.75">
      <c r="A446" s="242" t="s">
        <v>24</v>
      </c>
      <c r="B446" s="235" t="str">
        <f>IF(A446="","",IF('General price list'!$W$17=B445,A446,IFERROR(VLOOKUP(A446,Kategorie!C:AA,MATCH('General price list'!$W$17,Kategorie!$C$2:$AA$2,0),FALSE),"× Chybí překlad ×")))</f>
        <v/>
      </c>
      <c r="C446" s="235" t="str">
        <f t="shared" si="7"/>
        <v/>
      </c>
    </row>
    <row r="447" spans="1:3">
      <c r="A447" s="241" t="s">
        <v>24</v>
      </c>
      <c r="B447" s="235" t="str">
        <f>IF(A447="","",IF('General price list'!$W$17=B446,A447,IFERROR(VLOOKUP(A447,Kategorie!C:AA,MATCH('General price list'!$W$17,Kategorie!$C$2:$AA$2,0),FALSE),"× Chybí překlad ×")))</f>
        <v/>
      </c>
      <c r="C447" s="235" t="str">
        <f t="shared" si="7"/>
        <v/>
      </c>
    </row>
    <row r="448" spans="1:3" ht="15.75">
      <c r="A448" s="242" t="s">
        <v>24</v>
      </c>
      <c r="B448" s="235" t="str">
        <f>IF(A448="","",IF('General price list'!$W$17=B447,A448,IFERROR(VLOOKUP(A448,Kategorie!C:AA,MATCH('General price list'!$W$17,Kategorie!$C$2:$AA$2,0),FALSE),"× Chybí překlad ×")))</f>
        <v/>
      </c>
      <c r="C448" s="235" t="str">
        <f t="shared" si="7"/>
        <v/>
      </c>
    </row>
    <row r="449" spans="1:3">
      <c r="A449" s="241" t="s">
        <v>7277</v>
      </c>
      <c r="B449" s="235" t="str">
        <f>IF(A449="","",IF('General price list'!$W$17=B448,A449,IFERROR(VLOOKUP(A449,Kategorie!C:AA,MATCH('General price list'!$W$17,Kategorie!$C$2:$AA$2,0),FALSE),"× Chybí překlad ×")))</f>
        <v>Baterie 64ran, 20mm moždíř-1.4G</v>
      </c>
      <c r="C449" s="235" t="str">
        <f t="shared" si="7"/>
        <v xml:space="preserve">                                                               Baterie 64ran, 20mm moždíř-1.4G</v>
      </c>
    </row>
    <row r="450" spans="1:3">
      <c r="A450" s="241" t="s">
        <v>24</v>
      </c>
      <c r="B450" s="235" t="str">
        <f>IF(A450="","",IF('General price list'!$W$17=B449,A450,IFERROR(VLOOKUP(A450,Kategorie!C:AA,MATCH('General price list'!$W$17,Kategorie!$C$2:$AA$2,0),FALSE),"× Chybí překlad ×")))</f>
        <v/>
      </c>
      <c r="C450" s="235" t="str">
        <f t="shared" si="7"/>
        <v/>
      </c>
    </row>
    <row r="451" spans="1:3" ht="15.75">
      <c r="A451" s="242" t="s">
        <v>24</v>
      </c>
      <c r="B451" s="235" t="str">
        <f>IF(A451="","",IF('General price list'!$W$17=B450,A451,IFERROR(VLOOKUP(A451,Kategorie!C:AA,MATCH('General price list'!$W$17,Kategorie!$C$2:$AA$2,0),FALSE),"× Chybí překlad ×")))</f>
        <v/>
      </c>
      <c r="C451" s="235" t="str">
        <f t="shared" si="7"/>
        <v/>
      </c>
    </row>
    <row r="452" spans="1:3">
      <c r="A452" s="241" t="s">
        <v>7286</v>
      </c>
      <c r="B452" s="235" t="str">
        <f>IF(A452="","",IF('General price list'!$W$17=B451,A452,IFERROR(VLOOKUP(A452,Kategorie!C:AA,MATCH('General price list'!$W$17,Kategorie!$C$2:$AA$2,0),FALSE),"× Chybí překlad ×")))</f>
        <v>Baterie 66ran, 20mm I+V+W+šikmý moždíř-1.3G</v>
      </c>
      <c r="C452" s="235" t="str">
        <f t="shared" si="7"/>
        <v xml:space="preserve">                                                               Baterie 66ran, 20mm I+V+W+šikmý moždíř-1.3G</v>
      </c>
    </row>
    <row r="453" spans="1:3" ht="15.75">
      <c r="A453" s="242" t="s">
        <v>24</v>
      </c>
      <c r="B453" s="235" t="str">
        <f>IF(A453="","",IF('General price list'!$W$17=B452,A453,IFERROR(VLOOKUP(A453,Kategorie!C:AA,MATCH('General price list'!$W$17,Kategorie!$C$2:$AA$2,0),FALSE),"× Chybí překlad ×")))</f>
        <v/>
      </c>
      <c r="C453" s="235" t="str">
        <f t="shared" si="7"/>
        <v/>
      </c>
    </row>
    <row r="454" spans="1:3">
      <c r="A454" s="241" t="s">
        <v>24</v>
      </c>
      <c r="B454" s="235" t="str">
        <f>IF(A454="","",IF('General price list'!$W$17=B453,A454,IFERROR(VLOOKUP(A454,Kategorie!C:AA,MATCH('General price list'!$W$17,Kategorie!$C$2:$AA$2,0),FALSE),"× Chybí překlad ×")))</f>
        <v/>
      </c>
      <c r="C454" s="235" t="str">
        <f t="shared" si="7"/>
        <v/>
      </c>
    </row>
    <row r="455" spans="1:3">
      <c r="A455" s="241" t="s">
        <v>24</v>
      </c>
      <c r="B455" s="235" t="str">
        <f>IF(A455="","",IF('General price list'!$W$17=B454,A455,IFERROR(VLOOKUP(A455,Kategorie!C:AA,MATCH('General price list'!$W$17,Kategorie!$C$2:$AA$2,0),FALSE),"× Chybí překlad ×")))</f>
        <v/>
      </c>
      <c r="C455" s="235" t="str">
        <f t="shared" si="7"/>
        <v/>
      </c>
    </row>
    <row r="456" spans="1:3" ht="15.75">
      <c r="A456" s="242" t="s">
        <v>7295</v>
      </c>
      <c r="B456" s="235" t="str">
        <f>IF(A456="","",IF('General price list'!$W$17=B455,A456,IFERROR(VLOOKUP(A456,Kategorie!C:AA,MATCH('General price list'!$W$17,Kategorie!$C$2:$AA$2,0),FALSE),"× Chybí překlad ×")))</f>
        <v>Baterie 66ran, 20mm I+V+W+šikmý moždíř-1.4G</v>
      </c>
      <c r="C456" s="235" t="str">
        <f t="shared" si="7"/>
        <v xml:space="preserve">                                                               Baterie 66ran, 20mm I+V+W+šikmý moždíř-1.4G</v>
      </c>
    </row>
    <row r="457" spans="1:3">
      <c r="A457" s="241" t="s">
        <v>24</v>
      </c>
      <c r="B457" s="235" t="str">
        <f>IF(A457="","",IF('General price list'!$W$17=B456,A457,IFERROR(VLOOKUP(A457,Kategorie!C:AA,MATCH('General price list'!$W$17,Kategorie!$C$2:$AA$2,0),FALSE),"× Chybí překlad ×")))</f>
        <v/>
      </c>
      <c r="C457" s="235" t="str">
        <f t="shared" si="7"/>
        <v/>
      </c>
    </row>
    <row r="458" spans="1:3">
      <c r="A458" s="241" t="s">
        <v>24</v>
      </c>
      <c r="B458" s="235" t="str">
        <f>IF(A458="","",IF('General price list'!$W$17=B457,A458,IFERROR(VLOOKUP(A458,Kategorie!C:AA,MATCH('General price list'!$W$17,Kategorie!$C$2:$AA$2,0),FALSE),"× Chybí překlad ×")))</f>
        <v/>
      </c>
      <c r="C458" s="235" t="str">
        <f t="shared" si="7"/>
        <v/>
      </c>
    </row>
    <row r="459" spans="1:3">
      <c r="A459" s="241" t="s">
        <v>7303</v>
      </c>
      <c r="B459" s="235" t="str">
        <f>IF(A459="","",IF('General price list'!$W$17=B458,A459,IFERROR(VLOOKUP(A459,Kategorie!C:AA,MATCH('General price list'!$W$17,Kategorie!$C$2:$AA$2,0),FALSE),"× Chybí překlad ×")))</f>
        <v>Baterie 90ran, 20mm moždíř-1.3G</v>
      </c>
      <c r="C459" s="235" t="str">
        <f t="shared" si="7"/>
        <v xml:space="preserve">                                                               Baterie 90ran, 20mm moždíř-1.3G</v>
      </c>
    </row>
    <row r="460" spans="1:3" ht="15.75">
      <c r="A460" s="242" t="s">
        <v>24</v>
      </c>
      <c r="B460" s="235" t="str">
        <f>IF(A460="","",IF('General price list'!$W$17=B459,A460,IFERROR(VLOOKUP(A460,Kategorie!C:AA,MATCH('General price list'!$W$17,Kategorie!$C$2:$AA$2,0),FALSE),"× Chybí překlad ×")))</f>
        <v/>
      </c>
      <c r="C460" s="235" t="str">
        <f t="shared" si="7"/>
        <v/>
      </c>
    </row>
    <row r="461" spans="1:3">
      <c r="A461" s="241" t="s">
        <v>24</v>
      </c>
      <c r="B461" s="235" t="str">
        <f>IF(A461="","",IF('General price list'!$W$17=B460,A461,IFERROR(VLOOKUP(A461,Kategorie!C:AA,MATCH('General price list'!$W$17,Kategorie!$C$2:$AA$2,0),FALSE),"× Chybí překlad ×")))</f>
        <v/>
      </c>
      <c r="C461" s="235" t="str">
        <f t="shared" si="7"/>
        <v/>
      </c>
    </row>
    <row r="462" spans="1:3">
      <c r="A462" s="241" t="s">
        <v>24</v>
      </c>
      <c r="B462" s="235" t="str">
        <f>IF(A462="","",IF('General price list'!$W$17=B461,A462,IFERROR(VLOOKUP(A462,Kategorie!C:AA,MATCH('General price list'!$W$17,Kategorie!$C$2:$AA$2,0),FALSE),"× Chybí překlad ×")))</f>
        <v/>
      </c>
      <c r="C462" s="235" t="str">
        <f t="shared" si="7"/>
        <v/>
      </c>
    </row>
    <row r="463" spans="1:3">
      <c r="A463" s="241" t="s">
        <v>7312</v>
      </c>
      <c r="B463" s="235" t="str">
        <f>IF(A463="","",IF('General price list'!$W$17=B462,A463,IFERROR(VLOOKUP(A463,Kategorie!C:AA,MATCH('General price list'!$W$17,Kategorie!$C$2:$AA$2,0),FALSE),"× Chybí překlad ×")))</f>
        <v>Baterie 100ran, 20mm moždíř-1.4G</v>
      </c>
      <c r="C463" s="235" t="str">
        <f t="shared" si="7"/>
        <v xml:space="preserve">                                                               Baterie 100ran, 20mm moždíř-1.4G</v>
      </c>
    </row>
    <row r="464" spans="1:3">
      <c r="A464" s="241" t="s">
        <v>24</v>
      </c>
      <c r="B464" s="235" t="str">
        <f>IF(A464="","",IF('General price list'!$W$17=B463,A464,IFERROR(VLOOKUP(A464,Kategorie!C:AA,MATCH('General price list'!$W$17,Kategorie!$C$2:$AA$2,0),FALSE),"× Chybí překlad ×")))</f>
        <v/>
      </c>
      <c r="C464" s="235" t="str">
        <f t="shared" ref="C464:C527" si="8">IF(A464="","",IF(A464="x","×",$B$1&amp;B464))</f>
        <v/>
      </c>
    </row>
    <row r="465" spans="1:3">
      <c r="A465" s="241" t="s">
        <v>24</v>
      </c>
      <c r="B465" s="235" t="str">
        <f>IF(A465="","",IF('General price list'!$W$17=B464,A465,IFERROR(VLOOKUP(A465,Kategorie!C:AA,MATCH('General price list'!$W$17,Kategorie!$C$2:$AA$2,0),FALSE),"× Chybí překlad ×")))</f>
        <v/>
      </c>
      <c r="C465" s="235" t="str">
        <f t="shared" si="8"/>
        <v/>
      </c>
    </row>
    <row r="466" spans="1:3">
      <c r="A466" s="241" t="s">
        <v>24</v>
      </c>
      <c r="B466" s="235" t="str">
        <f>IF(A466="","",IF('General price list'!$W$17=B465,A466,IFERROR(VLOOKUP(A466,Kategorie!C:AA,MATCH('General price list'!$W$17,Kategorie!$C$2:$AA$2,0),FALSE),"× Chybí překlad ×")))</f>
        <v/>
      </c>
      <c r="C466" s="235" t="str">
        <f t="shared" si="8"/>
        <v/>
      </c>
    </row>
    <row r="467" spans="1:3" ht="15.75">
      <c r="A467" s="242" t="s">
        <v>24</v>
      </c>
      <c r="B467" s="235" t="str">
        <f>IF(A467="","",IF('General price list'!$W$17=B466,A467,IFERROR(VLOOKUP(A467,Kategorie!C:AA,MATCH('General price list'!$W$17,Kategorie!$C$2:$AA$2,0),FALSE),"× Chybí překlad ×")))</f>
        <v/>
      </c>
      <c r="C467" s="235" t="str">
        <f t="shared" si="8"/>
        <v/>
      </c>
    </row>
    <row r="468" spans="1:3">
      <c r="A468" s="241" t="s">
        <v>7321</v>
      </c>
      <c r="B468" s="235" t="str">
        <f>IF(A468="","",IF('General price list'!$W$17=B467,A468,IFERROR(VLOOKUP(A468,Kategorie!C:AA,MATCH('General price list'!$W$17,Kategorie!$C$2:$AA$2,0),FALSE),"× Chybí překlad ×")))</f>
        <v>Baterie 100ran, 20mm moždíř(všechny směry)-1.4G</v>
      </c>
      <c r="C468" s="235" t="str">
        <f t="shared" si="8"/>
        <v xml:space="preserve">                                                               Baterie 100ran, 20mm moždíř(všechny směry)-1.4G</v>
      </c>
    </row>
    <row r="469" spans="1:3">
      <c r="A469" s="241" t="s">
        <v>13495</v>
      </c>
      <c r="B469" s="235" t="str">
        <f>IF(A469="","",IF('General price list'!$W$17=B468,A469,IFERROR(VLOOKUP(A469,Kategorie!C:AA,MATCH('General price list'!$W$17,Kategorie!$C$2:$AA$2,0),FALSE),"× Chybí překlad ×")))</f>
        <v>x</v>
      </c>
      <c r="C469" s="235" t="str">
        <f t="shared" si="8"/>
        <v>×</v>
      </c>
    </row>
    <row r="470" spans="1:3">
      <c r="A470" s="241" t="s">
        <v>24</v>
      </c>
      <c r="B470" s="235" t="str">
        <f>IF(A470="","",IF('General price list'!$W$17=B469,A470,IFERROR(VLOOKUP(A470,Kategorie!C:AA,MATCH('General price list'!$W$17,Kategorie!$C$2:$AA$2,0),FALSE),"× Chybí překlad ×")))</f>
        <v/>
      </c>
      <c r="C470" s="235" t="str">
        <f t="shared" si="8"/>
        <v/>
      </c>
    </row>
    <row r="471" spans="1:3">
      <c r="A471" s="241" t="s">
        <v>24</v>
      </c>
      <c r="B471" s="235" t="str">
        <f>IF(A471="","",IF('General price list'!$W$17=B470,A471,IFERROR(VLOOKUP(A471,Kategorie!C:AA,MATCH('General price list'!$W$17,Kategorie!$C$2:$AA$2,0),FALSE),"× Chybí překlad ×")))</f>
        <v/>
      </c>
      <c r="C471" s="235" t="str">
        <f t="shared" si="8"/>
        <v/>
      </c>
    </row>
    <row r="472" spans="1:3">
      <c r="A472" s="241" t="s">
        <v>24</v>
      </c>
      <c r="B472" s="235" t="str">
        <f>IF(A472="","",IF('General price list'!$W$17=B471,A472,IFERROR(VLOOKUP(A472,Kategorie!C:AA,MATCH('General price list'!$W$17,Kategorie!$C$2:$AA$2,0),FALSE),"× Chybí překlad ×")))</f>
        <v/>
      </c>
      <c r="C472" s="235" t="str">
        <f t="shared" si="8"/>
        <v/>
      </c>
    </row>
    <row r="473" spans="1:3" ht="15.75">
      <c r="A473" s="242" t="s">
        <v>7330</v>
      </c>
      <c r="B473" s="235" t="str">
        <f>IF(A473="","",IF('General price list'!$W$17=B472,A473,IFERROR(VLOOKUP(A473,Kategorie!C:AA,MATCH('General price list'!$W$17,Kategorie!$C$2:$AA$2,0),FALSE),"× Chybí překlad ×")))</f>
        <v>Baterie 100ran, 20mm šikmý moždíř-1.3G</v>
      </c>
      <c r="C473" s="235" t="str">
        <f t="shared" si="8"/>
        <v xml:space="preserve">                                                               Baterie 100ran, 20mm šikmý moždíř-1.3G</v>
      </c>
    </row>
    <row r="474" spans="1:3">
      <c r="A474" s="241" t="s">
        <v>24</v>
      </c>
      <c r="B474" s="235" t="str">
        <f>IF(A474="","",IF('General price list'!$W$17=B473,A474,IFERROR(VLOOKUP(A474,Kategorie!C:AA,MATCH('General price list'!$W$17,Kategorie!$C$2:$AA$2,0),FALSE),"× Chybí překlad ×")))</f>
        <v/>
      </c>
      <c r="C474" s="235" t="str">
        <f t="shared" si="8"/>
        <v/>
      </c>
    </row>
    <row r="475" spans="1:3">
      <c r="A475" s="241" t="s">
        <v>24</v>
      </c>
      <c r="B475" s="235" t="str">
        <f>IF(A475="","",IF('General price list'!$W$17=B474,A475,IFERROR(VLOOKUP(A475,Kategorie!C:AA,MATCH('General price list'!$W$17,Kategorie!$C$2:$AA$2,0),FALSE),"× Chybí překlad ×")))</f>
        <v/>
      </c>
      <c r="C475" s="235" t="str">
        <f t="shared" si="8"/>
        <v/>
      </c>
    </row>
    <row r="476" spans="1:3" ht="15.75">
      <c r="A476" s="242" t="s">
        <v>7339</v>
      </c>
      <c r="B476" s="235" t="str">
        <f>IF(A476="","",IF('General price list'!$W$17=B475,A476,IFERROR(VLOOKUP(A476,Kategorie!C:AA,MATCH('General price list'!$W$17,Kategorie!$C$2:$AA$2,0),FALSE),"× Chybí překlad ×")))</f>
        <v>Baterie 130ran, 20mm moždíř-1.3G</v>
      </c>
      <c r="C476" s="235" t="str">
        <f t="shared" si="8"/>
        <v xml:space="preserve">                                                               Baterie 130ran, 20mm moždíř-1.3G</v>
      </c>
    </row>
    <row r="477" spans="1:3">
      <c r="A477" s="241" t="s">
        <v>24</v>
      </c>
      <c r="B477" s="235" t="str">
        <f>IF(A477="","",IF('General price list'!$W$17=B476,A477,IFERROR(VLOOKUP(A477,Kategorie!C:AA,MATCH('General price list'!$W$17,Kategorie!$C$2:$AA$2,0),FALSE),"× Chybí překlad ×")))</f>
        <v/>
      </c>
      <c r="C477" s="235" t="str">
        <f t="shared" si="8"/>
        <v/>
      </c>
    </row>
    <row r="478" spans="1:3">
      <c r="A478" s="241" t="s">
        <v>24</v>
      </c>
      <c r="B478" s="235" t="str">
        <f>IF(A478="","",IF('General price list'!$W$17=B477,A478,IFERROR(VLOOKUP(A478,Kategorie!C:AA,MATCH('General price list'!$W$17,Kategorie!$C$2:$AA$2,0),FALSE),"× Chybí překlad ×")))</f>
        <v/>
      </c>
      <c r="C478" s="235" t="str">
        <f t="shared" si="8"/>
        <v/>
      </c>
    </row>
    <row r="479" spans="1:3">
      <c r="A479" s="241" t="s">
        <v>24</v>
      </c>
      <c r="B479" s="235" t="str">
        <f>IF(A479="","",IF('General price list'!$W$17=B478,A479,IFERROR(VLOOKUP(A479,Kategorie!C:AA,MATCH('General price list'!$W$17,Kategorie!$C$2:$AA$2,0),FALSE),"× Chybí překlad ×")))</f>
        <v/>
      </c>
      <c r="C479" s="235" t="str">
        <f t="shared" si="8"/>
        <v/>
      </c>
    </row>
    <row r="480" spans="1:3">
      <c r="A480" s="241" t="s">
        <v>7348</v>
      </c>
      <c r="B480" s="235" t="str">
        <f>IF(A480="","",IF('General price list'!$W$17=B479,A480,IFERROR(VLOOKUP(A480,Kategorie!C:AA,MATCH('General price list'!$W$17,Kategorie!$C$2:$AA$2,0),FALSE),"× Chybí překlad ×")))</f>
        <v>Baterie 134ran, 20mm I+V+W+šikmý moždíř-1.3G</v>
      </c>
      <c r="C480" s="235" t="str">
        <f t="shared" si="8"/>
        <v xml:space="preserve">                                                               Baterie 134ran, 20mm I+V+W+šikmý moždíř-1.3G</v>
      </c>
    </row>
    <row r="481" spans="1:3">
      <c r="A481" s="241" t="s">
        <v>24</v>
      </c>
      <c r="B481" s="235" t="str">
        <f>IF(A481="","",IF('General price list'!$W$17=B480,A481,IFERROR(VLOOKUP(A481,Kategorie!C:AA,MATCH('General price list'!$W$17,Kategorie!$C$2:$AA$2,0),FALSE),"× Chybí překlad ×")))</f>
        <v/>
      </c>
      <c r="C481" s="235" t="str">
        <f t="shared" si="8"/>
        <v/>
      </c>
    </row>
    <row r="482" spans="1:3">
      <c r="A482" s="241" t="s">
        <v>24</v>
      </c>
      <c r="B482" s="235" t="str">
        <f>IF(A482="","",IF('General price list'!$W$17=B481,A482,IFERROR(VLOOKUP(A482,Kategorie!C:AA,MATCH('General price list'!$W$17,Kategorie!$C$2:$AA$2,0),FALSE),"× Chybí překlad ×")))</f>
        <v/>
      </c>
      <c r="C482" s="235" t="str">
        <f t="shared" si="8"/>
        <v/>
      </c>
    </row>
    <row r="483" spans="1:3">
      <c r="A483" s="241" t="s">
        <v>7366</v>
      </c>
      <c r="B483" s="235" t="str">
        <f>IF(A483="","",IF('General price list'!$W$17=B482,A483,IFERROR(VLOOKUP(A483,Kategorie!C:AA,MATCH('General price list'!$W$17,Kategorie!$C$2:$AA$2,0),FALSE),"× Chybí překlad ×")))</f>
        <v>Baterie 200ran, 20mm moždíř-1.3G</v>
      </c>
      <c r="C483" s="235" t="str">
        <f t="shared" si="8"/>
        <v xml:space="preserve">                                                               Baterie 200ran, 20mm moždíř-1.3G</v>
      </c>
    </row>
    <row r="484" spans="1:3">
      <c r="A484" s="241" t="s">
        <v>24</v>
      </c>
      <c r="B484" s="235" t="str">
        <f>IF(A484="","",IF('General price list'!$W$17=B483,A484,IFERROR(VLOOKUP(A484,Kategorie!C:AA,MATCH('General price list'!$W$17,Kategorie!$C$2:$AA$2,0),FALSE),"× Chybí překlad ×")))</f>
        <v/>
      </c>
      <c r="C484" s="235" t="str">
        <f t="shared" si="8"/>
        <v/>
      </c>
    </row>
    <row r="485" spans="1:3" ht="15.75">
      <c r="A485" s="242" t="s">
        <v>13495</v>
      </c>
      <c r="B485" s="235" t="str">
        <f>IF(A485="","",IF('General price list'!$W$17=B484,A485,IFERROR(VLOOKUP(A485,Kategorie!C:AA,MATCH('General price list'!$W$17,Kategorie!$C$2:$AA$2,0),FALSE),"× Chybí překlad ×")))</f>
        <v>x</v>
      </c>
      <c r="C485" s="235" t="str">
        <f t="shared" si="8"/>
        <v>×</v>
      </c>
    </row>
    <row r="486" spans="1:3">
      <c r="A486" s="241" t="s">
        <v>24</v>
      </c>
      <c r="B486" s="235" t="str">
        <f>IF(A486="","",IF('General price list'!$W$17=B485,A486,IFERROR(VLOOKUP(A486,Kategorie!C:AA,MATCH('General price list'!$W$17,Kategorie!$C$2:$AA$2,0),FALSE),"× Chybí překlad ×")))</f>
        <v/>
      </c>
      <c r="C486" s="235" t="str">
        <f t="shared" si="8"/>
        <v/>
      </c>
    </row>
    <row r="487" spans="1:3">
      <c r="A487" s="241" t="s">
        <v>24</v>
      </c>
      <c r="B487" s="235" t="str">
        <f>IF(A487="","",IF('General price list'!$W$17=B486,A487,IFERROR(VLOOKUP(A487,Kategorie!C:AA,MATCH('General price list'!$W$17,Kategorie!$C$2:$AA$2,0),FALSE),"× Chybí překlad ×")))</f>
        <v/>
      </c>
      <c r="C487" s="235" t="str">
        <f t="shared" si="8"/>
        <v/>
      </c>
    </row>
    <row r="488" spans="1:3">
      <c r="A488" s="241" t="s">
        <v>7375</v>
      </c>
      <c r="B488" s="235" t="str">
        <f>IF(A488="","",IF('General price list'!$W$17=B487,A488,IFERROR(VLOOKUP(A488,Kategorie!C:AA,MATCH('General price list'!$W$17,Kategorie!$C$2:$AA$2,0),FALSE),"× Chybí překlad ×")))</f>
        <v>Baterie 200ran, 20mm moždíř(všechny směry)-1.3G</v>
      </c>
      <c r="C488" s="235" t="str">
        <f t="shared" si="8"/>
        <v xml:space="preserve">                                                               Baterie 200ran, 20mm moždíř(všechny směry)-1.3G</v>
      </c>
    </row>
    <row r="489" spans="1:3">
      <c r="A489" s="241" t="s">
        <v>24</v>
      </c>
      <c r="B489" s="235" t="str">
        <f>IF(A489="","",IF('General price list'!$W$17=B488,A489,IFERROR(VLOOKUP(A489,Kategorie!C:AA,MATCH('General price list'!$W$17,Kategorie!$C$2:$AA$2,0),FALSE),"× Chybí překlad ×")))</f>
        <v/>
      </c>
      <c r="C489" s="235" t="str">
        <f t="shared" si="8"/>
        <v/>
      </c>
    </row>
    <row r="490" spans="1:3">
      <c r="A490" s="241" t="s">
        <v>13495</v>
      </c>
      <c r="B490" s="235" t="str">
        <f>IF(A490="","",IF('General price list'!$W$17=B489,A490,IFERROR(VLOOKUP(A490,Kategorie!C:AA,MATCH('General price list'!$W$17,Kategorie!$C$2:$AA$2,0),FALSE),"× Chybí překlad ×")))</f>
        <v>x</v>
      </c>
      <c r="C490" s="235" t="str">
        <f t="shared" si="8"/>
        <v>×</v>
      </c>
    </row>
    <row r="491" spans="1:3">
      <c r="A491" s="241" t="s">
        <v>24</v>
      </c>
      <c r="B491" s="235" t="str">
        <f>IF(A491="","",IF('General price list'!$W$17=B490,A491,IFERROR(VLOOKUP(A491,Kategorie!C:AA,MATCH('General price list'!$W$17,Kategorie!$C$2:$AA$2,0),FALSE),"× Chybí překlad ×")))</f>
        <v/>
      </c>
      <c r="C491" s="235" t="str">
        <f t="shared" si="8"/>
        <v/>
      </c>
    </row>
    <row r="492" spans="1:3">
      <c r="A492" s="241" t="s">
        <v>7384</v>
      </c>
      <c r="B492" s="235" t="str">
        <f>IF(A492="","",IF('General price list'!$W$17=B491,A492,IFERROR(VLOOKUP(A492,Kategorie!C:AA,MATCH('General price list'!$W$17,Kategorie!$C$2:$AA$2,0),FALSE),"× Chybí překlad ×")))</f>
        <v>Složený ohňostroj 20mm - F2 - 1.4G</v>
      </c>
      <c r="C492" s="235" t="str">
        <f t="shared" si="8"/>
        <v xml:space="preserve">                                                               Složený ohňostroj 20mm - F2 - 1.4G</v>
      </c>
    </row>
    <row r="493" spans="1:3" ht="15.75">
      <c r="A493" s="242" t="s">
        <v>24</v>
      </c>
      <c r="B493" s="235" t="str">
        <f>IF(A493="","",IF('General price list'!$W$17=B492,A493,IFERROR(VLOOKUP(A493,Kategorie!C:AA,MATCH('General price list'!$W$17,Kategorie!$C$2:$AA$2,0),FALSE),"× Chybí překlad ×")))</f>
        <v/>
      </c>
      <c r="C493" s="235" t="str">
        <f t="shared" si="8"/>
        <v/>
      </c>
    </row>
    <row r="494" spans="1:3">
      <c r="A494" s="241" t="s">
        <v>24</v>
      </c>
      <c r="B494" s="235" t="str">
        <f>IF(A494="","",IF('General price list'!$W$17=B493,A494,IFERROR(VLOOKUP(A494,Kategorie!C:AA,MATCH('General price list'!$W$17,Kategorie!$C$2:$AA$2,0),FALSE),"× Chybí překlad ×")))</f>
        <v/>
      </c>
      <c r="C494" s="235" t="str">
        <f t="shared" si="8"/>
        <v/>
      </c>
    </row>
    <row r="495" spans="1:3">
      <c r="A495" s="241" t="s">
        <v>24</v>
      </c>
      <c r="B495" s="235" t="str">
        <f>IF(A495="","",IF('General price list'!$W$17=B494,A495,IFERROR(VLOOKUP(A495,Kategorie!C:AA,MATCH('General price list'!$W$17,Kategorie!$C$2:$AA$2,0),FALSE),"× Chybí překlad ×")))</f>
        <v/>
      </c>
      <c r="C495" s="235" t="str">
        <f t="shared" si="8"/>
        <v/>
      </c>
    </row>
    <row r="496" spans="1:3">
      <c r="A496" s="241" t="s">
        <v>24</v>
      </c>
      <c r="B496" s="235" t="str">
        <f>IF(A496="","",IF('General price list'!$W$17=B495,A496,IFERROR(VLOOKUP(A496,Kategorie!C:AA,MATCH('General price list'!$W$17,Kategorie!$C$2:$AA$2,0),FALSE),"× Chybí překlad ×")))</f>
        <v/>
      </c>
      <c r="C496" s="235" t="str">
        <f t="shared" si="8"/>
        <v/>
      </c>
    </row>
    <row r="497" spans="1:3">
      <c r="A497" s="241" t="s">
        <v>24</v>
      </c>
      <c r="B497" s="235" t="str">
        <f>IF(A497="","",IF('General price list'!$W$17=B496,A497,IFERROR(VLOOKUP(A497,Kategorie!C:AA,MATCH('General price list'!$W$17,Kategorie!$C$2:$AA$2,0),FALSE),"× Chybí překlad ×")))</f>
        <v/>
      </c>
      <c r="C497" s="235" t="str">
        <f t="shared" si="8"/>
        <v/>
      </c>
    </row>
    <row r="498" spans="1:3">
      <c r="A498" s="241" t="s">
        <v>24</v>
      </c>
      <c r="B498" s="235" t="str">
        <f>IF(A498="","",IF('General price list'!$W$17=B497,A498,IFERROR(VLOOKUP(A498,Kategorie!C:AA,MATCH('General price list'!$W$17,Kategorie!$C$2:$AA$2,0),FALSE),"× Chybí překlad ×")))</f>
        <v/>
      </c>
      <c r="C498" s="235" t="str">
        <f t="shared" si="8"/>
        <v/>
      </c>
    </row>
    <row r="499" spans="1:3" ht="15.75">
      <c r="A499" s="242" t="s">
        <v>24</v>
      </c>
      <c r="B499" s="235" t="str">
        <f>IF(A499="","",IF('General price list'!$W$17=B498,A499,IFERROR(VLOOKUP(A499,Kategorie!C:AA,MATCH('General price list'!$W$17,Kategorie!$C$2:$AA$2,0),FALSE),"× Chybí překlad ×")))</f>
        <v/>
      </c>
      <c r="C499" s="235" t="str">
        <f t="shared" si="8"/>
        <v/>
      </c>
    </row>
    <row r="500" spans="1:3">
      <c r="A500" s="241" t="s">
        <v>24</v>
      </c>
      <c r="B500" s="235" t="str">
        <f>IF(A500="","",IF('General price list'!$W$17=B499,A500,IFERROR(VLOOKUP(A500,Kategorie!C:AA,MATCH('General price list'!$W$17,Kategorie!$C$2:$AA$2,0),FALSE),"× Chybí překlad ×")))</f>
        <v/>
      </c>
      <c r="C500" s="235" t="str">
        <f t="shared" si="8"/>
        <v/>
      </c>
    </row>
    <row r="501" spans="1:3">
      <c r="A501" s="241" t="s">
        <v>24</v>
      </c>
      <c r="B501" s="235" t="str">
        <f>IF(A501="","",IF('General price list'!$W$17=B500,A501,IFERROR(VLOOKUP(A501,Kategorie!C:AA,MATCH('General price list'!$W$17,Kategorie!$C$2:$AA$2,0),FALSE),"× Chybí překlad ×")))</f>
        <v/>
      </c>
      <c r="C501" s="235" t="str">
        <f t="shared" si="8"/>
        <v/>
      </c>
    </row>
    <row r="502" spans="1:3">
      <c r="A502" s="241" t="s">
        <v>24</v>
      </c>
      <c r="B502" s="235" t="str">
        <f>IF(A502="","",IF('General price list'!$W$17=B501,A502,IFERROR(VLOOKUP(A502,Kategorie!C:AA,MATCH('General price list'!$W$17,Kategorie!$C$2:$AA$2,0),FALSE),"× Chybí překlad ×")))</f>
        <v/>
      </c>
      <c r="C502" s="235" t="str">
        <f t="shared" si="8"/>
        <v/>
      </c>
    </row>
    <row r="503" spans="1:3">
      <c r="A503" s="241" t="s">
        <v>7393</v>
      </c>
      <c r="B503" s="235" t="str">
        <f>IF(A503="","",IF('General price list'!$W$17=B502,A503,IFERROR(VLOOKUP(A503,Kategorie!C:AA,MATCH('General price list'!$W$17,Kategorie!$C$2:$AA$2,0),FALSE),"× Chybí překlad ×")))</f>
        <v>Složený ohňostroj 20mm(s ochraným obalem) - F2 - 1.4G</v>
      </c>
      <c r="C503" s="235" t="str">
        <f t="shared" si="8"/>
        <v xml:space="preserve">                                                               Složený ohňostroj 20mm(s ochraným obalem) - F2 - 1.4G</v>
      </c>
    </row>
    <row r="504" spans="1:3" ht="15.75">
      <c r="A504" s="242" t="s">
        <v>24</v>
      </c>
      <c r="B504" s="235" t="str">
        <f>IF(A504="","",IF('General price list'!$W$17=B503,A504,IFERROR(VLOOKUP(A504,Kategorie!C:AA,MATCH('General price list'!$W$17,Kategorie!$C$2:$AA$2,0),FALSE),"× Chybí překlad ×")))</f>
        <v/>
      </c>
      <c r="C504" s="235" t="str">
        <f t="shared" si="8"/>
        <v/>
      </c>
    </row>
    <row r="505" spans="1:3">
      <c r="A505" s="241" t="s">
        <v>24</v>
      </c>
      <c r="B505" s="235" t="str">
        <f>IF(A505="","",IF('General price list'!$W$17=B504,A505,IFERROR(VLOOKUP(A505,Kategorie!C:AA,MATCH('General price list'!$W$17,Kategorie!$C$2:$AA$2,0),FALSE),"× Chybí překlad ×")))</f>
        <v/>
      </c>
      <c r="C505" s="235" t="str">
        <f t="shared" si="8"/>
        <v/>
      </c>
    </row>
    <row r="506" spans="1:3">
      <c r="A506" s="241" t="s">
        <v>24</v>
      </c>
      <c r="B506" s="235" t="str">
        <f>IF(A506="","",IF('General price list'!$W$17=B505,A506,IFERROR(VLOOKUP(A506,Kategorie!C:AA,MATCH('General price list'!$W$17,Kategorie!$C$2:$AA$2,0),FALSE),"× Chybí překlad ×")))</f>
        <v/>
      </c>
      <c r="C506" s="235" t="str">
        <f t="shared" si="8"/>
        <v/>
      </c>
    </row>
    <row r="507" spans="1:3">
      <c r="A507" s="241" t="s">
        <v>24</v>
      </c>
      <c r="B507" s="235" t="str">
        <f>IF(A507="","",IF('General price list'!$W$17=B506,A507,IFERROR(VLOOKUP(A507,Kategorie!C:AA,MATCH('General price list'!$W$17,Kategorie!$C$2:$AA$2,0),FALSE),"× Chybí překlad ×")))</f>
        <v/>
      </c>
      <c r="C507" s="235" t="str">
        <f t="shared" si="8"/>
        <v/>
      </c>
    </row>
    <row r="508" spans="1:3">
      <c r="A508" s="241" t="s">
        <v>24</v>
      </c>
      <c r="B508" s="235" t="str">
        <f>IF(A508="","",IF('General price list'!$W$17=B507,A508,IFERROR(VLOOKUP(A508,Kategorie!C:AA,MATCH('General price list'!$W$17,Kategorie!$C$2:$AA$2,0),FALSE),"× Chybí překlad ×")))</f>
        <v/>
      </c>
      <c r="C508" s="235" t="str">
        <f t="shared" si="8"/>
        <v/>
      </c>
    </row>
    <row r="509" spans="1:3">
      <c r="A509" s="241" t="s">
        <v>24</v>
      </c>
      <c r="B509" s="235" t="str">
        <f>IF(A509="","",IF('General price list'!$W$17=B508,A509,IFERROR(VLOOKUP(A509,Kategorie!C:AA,MATCH('General price list'!$W$17,Kategorie!$C$2:$AA$2,0),FALSE),"× Chybí překlad ×")))</f>
        <v/>
      </c>
      <c r="C509" s="235" t="str">
        <f t="shared" si="8"/>
        <v/>
      </c>
    </row>
    <row r="510" spans="1:3">
      <c r="A510" s="241" t="s">
        <v>24</v>
      </c>
      <c r="B510" s="235" t="str">
        <f>IF(A510="","",IF('General price list'!$W$17=B509,A510,IFERROR(VLOOKUP(A510,Kategorie!C:AA,MATCH('General price list'!$W$17,Kategorie!$C$2:$AA$2,0),FALSE),"× Chybí překlad ×")))</f>
        <v/>
      </c>
      <c r="C510" s="235" t="str">
        <f t="shared" si="8"/>
        <v/>
      </c>
    </row>
    <row r="511" spans="1:3" ht="15.75">
      <c r="A511" s="242" t="s">
        <v>24</v>
      </c>
      <c r="B511" s="235" t="str">
        <f>IF(A511="","",IF('General price list'!$W$17=B510,A511,IFERROR(VLOOKUP(A511,Kategorie!C:AA,MATCH('General price list'!$W$17,Kategorie!$C$2:$AA$2,0),FALSE),"× Chybí překlad ×")))</f>
        <v/>
      </c>
      <c r="C511" s="235" t="str">
        <f t="shared" si="8"/>
        <v/>
      </c>
    </row>
    <row r="512" spans="1:3">
      <c r="A512" s="241" t="s">
        <v>24</v>
      </c>
      <c r="B512" s="235" t="str">
        <f>IF(A512="","",IF('General price list'!$W$17=B511,A512,IFERROR(VLOOKUP(A512,Kategorie!C:AA,MATCH('General price list'!$W$17,Kategorie!$C$2:$AA$2,0),FALSE),"× Chybí překlad ×")))</f>
        <v/>
      </c>
      <c r="C512" s="235" t="str">
        <f t="shared" si="8"/>
        <v/>
      </c>
    </row>
    <row r="513" spans="1:3">
      <c r="A513" s="241" t="s">
        <v>24</v>
      </c>
      <c r="B513" s="235" t="str">
        <f>IF(A513="","",IF('General price list'!$W$17=B512,A513,IFERROR(VLOOKUP(A513,Kategorie!C:AA,MATCH('General price list'!$W$17,Kategorie!$C$2:$AA$2,0),FALSE),"× Chybí překlad ×")))</f>
        <v/>
      </c>
      <c r="C513" s="235" t="str">
        <f t="shared" si="8"/>
        <v/>
      </c>
    </row>
    <row r="514" spans="1:3">
      <c r="A514" s="241" t="s">
        <v>7402</v>
      </c>
      <c r="B514" s="235" t="str">
        <f>IF(A514="","",IF('General price list'!$W$17=B513,A514,IFERROR(VLOOKUP(A514,Kategorie!C:AA,MATCH('General price list'!$W$17,Kategorie!$C$2:$AA$2,0),FALSE),"× Chybí překlad ×")))</f>
        <v>Složený ohňostroj 20mm - F2 - 1.3G</v>
      </c>
      <c r="C514" s="235" t="str">
        <f t="shared" si="8"/>
        <v xml:space="preserve">                                                               Složený ohňostroj 20mm - F2 - 1.3G</v>
      </c>
    </row>
    <row r="515" spans="1:3">
      <c r="A515" s="241" t="s">
        <v>24</v>
      </c>
      <c r="B515" s="235" t="str">
        <f>IF(A515="","",IF('General price list'!$W$17=B514,A515,IFERROR(VLOOKUP(A515,Kategorie!C:AA,MATCH('General price list'!$W$17,Kategorie!$C$2:$AA$2,0),FALSE),"× Chybí překlad ×")))</f>
        <v/>
      </c>
      <c r="C515" s="235" t="str">
        <f t="shared" si="8"/>
        <v/>
      </c>
    </row>
    <row r="516" spans="1:3">
      <c r="A516" s="241" t="s">
        <v>24</v>
      </c>
      <c r="B516" s="235" t="str">
        <f>IF(A516="","",IF('General price list'!$W$17=B515,A516,IFERROR(VLOOKUP(A516,Kategorie!C:AA,MATCH('General price list'!$W$17,Kategorie!$C$2:$AA$2,0),FALSE),"× Chybí překlad ×")))</f>
        <v/>
      </c>
      <c r="C516" s="235" t="str">
        <f t="shared" si="8"/>
        <v/>
      </c>
    </row>
    <row r="517" spans="1:3" ht="15.75">
      <c r="A517" s="242" t="s">
        <v>24</v>
      </c>
      <c r="B517" s="235" t="str">
        <f>IF(A517="","",IF('General price list'!$W$17=B516,A517,IFERROR(VLOOKUP(A517,Kategorie!C:AA,MATCH('General price list'!$W$17,Kategorie!$C$2:$AA$2,0),FALSE),"× Chybí překlad ×")))</f>
        <v/>
      </c>
      <c r="C517" s="235" t="str">
        <f t="shared" si="8"/>
        <v/>
      </c>
    </row>
    <row r="518" spans="1:3">
      <c r="A518" s="241" t="s">
        <v>24</v>
      </c>
      <c r="B518" s="235" t="str">
        <f>IF(A518="","",IF('General price list'!$W$17=B517,A518,IFERROR(VLOOKUP(A518,Kategorie!C:AA,MATCH('General price list'!$W$17,Kategorie!$C$2:$AA$2,0),FALSE),"× Chybí překlad ×")))</f>
        <v/>
      </c>
      <c r="C518" s="235" t="str">
        <f t="shared" si="8"/>
        <v/>
      </c>
    </row>
    <row r="519" spans="1:3">
      <c r="A519" s="241" t="s">
        <v>24</v>
      </c>
      <c r="B519" s="235" t="str">
        <f>IF(A519="","",IF('General price list'!$W$17=B518,A519,IFERROR(VLOOKUP(A519,Kategorie!C:AA,MATCH('General price list'!$W$17,Kategorie!$C$2:$AA$2,0),FALSE),"× Chybí překlad ×")))</f>
        <v/>
      </c>
      <c r="C519" s="235" t="str">
        <f t="shared" si="8"/>
        <v/>
      </c>
    </row>
    <row r="520" spans="1:3">
      <c r="A520" s="241" t="s">
        <v>24</v>
      </c>
      <c r="B520" s="235" t="str">
        <f>IF(A520="","",IF('General price list'!$W$17=B519,A520,IFERROR(VLOOKUP(A520,Kategorie!C:AA,MATCH('General price list'!$W$17,Kategorie!$C$2:$AA$2,0),FALSE),"× Chybí překlad ×")))</f>
        <v/>
      </c>
      <c r="C520" s="235" t="str">
        <f t="shared" si="8"/>
        <v/>
      </c>
    </row>
    <row r="521" spans="1:3" ht="15.75">
      <c r="A521" s="242" t="s">
        <v>24</v>
      </c>
      <c r="B521" s="235" t="str">
        <f>IF(A521="","",IF('General price list'!$W$17=B520,A521,IFERROR(VLOOKUP(A521,Kategorie!C:AA,MATCH('General price list'!$W$17,Kategorie!$C$2:$AA$2,0),FALSE),"× Chybí překlad ×")))</f>
        <v/>
      </c>
      <c r="C521" s="235" t="str">
        <f t="shared" si="8"/>
        <v/>
      </c>
    </row>
    <row r="522" spans="1:3">
      <c r="A522" s="241" t="s">
        <v>24</v>
      </c>
      <c r="B522" s="235" t="str">
        <f>IF(A522="","",IF('General price list'!$W$17=B521,A522,IFERROR(VLOOKUP(A522,Kategorie!C:AA,MATCH('General price list'!$W$17,Kategorie!$C$2:$AA$2,0),FALSE),"× Chybí překlad ×")))</f>
        <v/>
      </c>
      <c r="C522" s="235" t="str">
        <f t="shared" si="8"/>
        <v/>
      </c>
    </row>
    <row r="523" spans="1:3">
      <c r="A523" s="241" t="s">
        <v>24</v>
      </c>
      <c r="B523" s="235" t="str">
        <f>IF(A523="","",IF('General price list'!$W$17=B522,A523,IFERROR(VLOOKUP(A523,Kategorie!C:AA,MATCH('General price list'!$W$17,Kategorie!$C$2:$AA$2,0),FALSE),"× Chybí překlad ×")))</f>
        <v/>
      </c>
      <c r="C523" s="235" t="str">
        <f t="shared" si="8"/>
        <v/>
      </c>
    </row>
    <row r="524" spans="1:3" ht="15.75">
      <c r="A524" s="242" t="s">
        <v>7411</v>
      </c>
      <c r="B524" s="235" t="str">
        <f>IF(A524="","",IF('General price list'!$W$17=B523,A524,IFERROR(VLOOKUP(A524,Kategorie!C:AA,MATCH('General price list'!$W$17,Kategorie!$C$2:$AA$2,0),FALSE),"× Chybí překlad ×")))</f>
        <v>Složený ohňostroj 20mm(s ochraným obalem) - F2 - 1.3G</v>
      </c>
      <c r="C524" s="235" t="str">
        <f t="shared" si="8"/>
        <v xml:space="preserve">                                                               Složený ohňostroj 20mm(s ochraným obalem) - F2 - 1.3G</v>
      </c>
    </row>
    <row r="525" spans="1:3">
      <c r="A525" s="241" t="s">
        <v>24</v>
      </c>
      <c r="B525" s="235" t="str">
        <f>IF(A525="","",IF('General price list'!$W$17=B524,A525,IFERROR(VLOOKUP(A525,Kategorie!C:AA,MATCH('General price list'!$W$17,Kategorie!$C$2:$AA$2,0),FALSE),"× Chybí překlad ×")))</f>
        <v/>
      </c>
      <c r="C525" s="235" t="str">
        <f t="shared" si="8"/>
        <v/>
      </c>
    </row>
    <row r="526" spans="1:3">
      <c r="A526" s="241" t="s">
        <v>24</v>
      </c>
      <c r="B526" s="235" t="str">
        <f>IF(A526="","",IF('General price list'!$W$17=B525,A526,IFERROR(VLOOKUP(A526,Kategorie!C:AA,MATCH('General price list'!$W$17,Kategorie!$C$2:$AA$2,0),FALSE),"× Chybí překlad ×")))</f>
        <v/>
      </c>
      <c r="C526" s="235" t="str">
        <f t="shared" si="8"/>
        <v/>
      </c>
    </row>
    <row r="527" spans="1:3" ht="15.75">
      <c r="A527" s="242" t="s">
        <v>24</v>
      </c>
      <c r="B527" s="235" t="str">
        <f>IF(A527="","",IF('General price list'!$W$17=B526,A527,IFERROR(VLOOKUP(A527,Kategorie!C:AA,MATCH('General price list'!$W$17,Kategorie!$C$2:$AA$2,0),FALSE),"× Chybí překlad ×")))</f>
        <v/>
      </c>
      <c r="C527" s="235" t="str">
        <f t="shared" si="8"/>
        <v/>
      </c>
    </row>
    <row r="528" spans="1:3">
      <c r="A528" s="241" t="s">
        <v>24</v>
      </c>
      <c r="B528" s="235" t="str">
        <f>IF(A528="","",IF('General price list'!$W$17=B527,A528,IFERROR(VLOOKUP(A528,Kategorie!C:AA,MATCH('General price list'!$W$17,Kategorie!$C$2:$AA$2,0),FALSE),"× Chybí překlad ×")))</f>
        <v/>
      </c>
      <c r="C528" s="235" t="str">
        <f t="shared" ref="C528:C591" si="9">IF(A528="","",IF(A528="x","×",$B$1&amp;B528))</f>
        <v/>
      </c>
    </row>
    <row r="529" spans="1:3" ht="15.75">
      <c r="A529" s="242" t="s">
        <v>24</v>
      </c>
      <c r="B529" s="235" t="str">
        <f>IF(A529="","",IF('General price list'!$W$17=B528,A529,IFERROR(VLOOKUP(A529,Kategorie!C:AA,MATCH('General price list'!$W$17,Kategorie!$C$2:$AA$2,0),FALSE),"× Chybí překlad ×")))</f>
        <v/>
      </c>
      <c r="C529" s="235" t="str">
        <f t="shared" si="9"/>
        <v/>
      </c>
    </row>
    <row r="530" spans="1:3">
      <c r="A530" s="241" t="s">
        <v>24</v>
      </c>
      <c r="B530" s="235" t="str">
        <f>IF(A530="","",IF('General price list'!$W$17=B529,A530,IFERROR(VLOOKUP(A530,Kategorie!C:AA,MATCH('General price list'!$W$17,Kategorie!$C$2:$AA$2,0),FALSE),"× Chybí překlad ×")))</f>
        <v/>
      </c>
      <c r="C530" s="235" t="str">
        <f t="shared" si="9"/>
        <v/>
      </c>
    </row>
    <row r="531" spans="1:3">
      <c r="A531" s="241" t="s">
        <v>24</v>
      </c>
      <c r="B531" s="235" t="str">
        <f>IF(A531="","",IF('General price list'!$W$17=B530,A531,IFERROR(VLOOKUP(A531,Kategorie!C:AA,MATCH('General price list'!$W$17,Kategorie!$C$2:$AA$2,0),FALSE),"× Chybí překlad ×")))</f>
        <v/>
      </c>
      <c r="C531" s="235" t="str">
        <f t="shared" si="9"/>
        <v/>
      </c>
    </row>
    <row r="532" spans="1:3">
      <c r="A532" s="241" t="s">
        <v>24</v>
      </c>
      <c r="B532" s="235" t="str">
        <f>IF(A532="","",IF('General price list'!$W$17=B531,A532,IFERROR(VLOOKUP(A532,Kategorie!C:AA,MATCH('General price list'!$W$17,Kategorie!$C$2:$AA$2,0),FALSE),"× Chybí překlad ×")))</f>
        <v/>
      </c>
      <c r="C532" s="235" t="str">
        <f t="shared" si="9"/>
        <v/>
      </c>
    </row>
    <row r="533" spans="1:3">
      <c r="A533" s="241" t="s">
        <v>7420</v>
      </c>
      <c r="B533" s="235" t="str">
        <f>IF(A533="","",IF('General price list'!$W$17=B532,A533,IFERROR(VLOOKUP(A533,Kategorie!C:AA,MATCH('General price list'!$W$17,Kategorie!$C$2:$AA$2,0),FALSE),"× Chybí překlad ×")))</f>
        <v>Složený ohňostroj F3 - 1.3G</v>
      </c>
      <c r="C533" s="235" t="str">
        <f t="shared" si="9"/>
        <v xml:space="preserve">                                                               Složený ohňostroj F3 - 1.3G</v>
      </c>
    </row>
    <row r="534" spans="1:3">
      <c r="A534" s="241" t="s">
        <v>24</v>
      </c>
      <c r="B534" s="235" t="str">
        <f>IF(A534="","",IF('General price list'!$W$17=B533,A534,IFERROR(VLOOKUP(A534,Kategorie!C:AA,MATCH('General price list'!$W$17,Kategorie!$C$2:$AA$2,0),FALSE),"× Chybí překlad ×")))</f>
        <v/>
      </c>
      <c r="C534" s="235" t="str">
        <f t="shared" si="9"/>
        <v/>
      </c>
    </row>
    <row r="535" spans="1:3" ht="15.75">
      <c r="A535" s="242" t="s">
        <v>24</v>
      </c>
      <c r="B535" s="235" t="str">
        <f>IF(A535="","",IF('General price list'!$W$17=B534,A535,IFERROR(VLOOKUP(A535,Kategorie!C:AA,MATCH('General price list'!$W$17,Kategorie!$C$2:$AA$2,0),FALSE),"× Chybí překlad ×")))</f>
        <v/>
      </c>
      <c r="C535" s="235" t="str">
        <f t="shared" si="9"/>
        <v/>
      </c>
    </row>
    <row r="536" spans="1:3">
      <c r="A536" s="241" t="s">
        <v>24</v>
      </c>
      <c r="B536" s="235" t="str">
        <f>IF(A536="","",IF('General price list'!$W$17=B535,A536,IFERROR(VLOOKUP(A536,Kategorie!C:AA,MATCH('General price list'!$W$17,Kategorie!$C$2:$AA$2,0),FALSE),"× Chybí překlad ×")))</f>
        <v/>
      </c>
      <c r="C536" s="235" t="str">
        <f t="shared" si="9"/>
        <v/>
      </c>
    </row>
    <row r="537" spans="1:3">
      <c r="A537" s="241" t="s">
        <v>24</v>
      </c>
      <c r="B537" s="235" t="str">
        <f>IF(A537="","",IF('General price list'!$W$17=B536,A537,IFERROR(VLOOKUP(A537,Kategorie!C:AA,MATCH('General price list'!$W$17,Kategorie!$C$2:$AA$2,0),FALSE),"× Chybí překlad ×")))</f>
        <v/>
      </c>
      <c r="C537" s="235" t="str">
        <f t="shared" si="9"/>
        <v/>
      </c>
    </row>
    <row r="538" spans="1:3" ht="15.75">
      <c r="A538" s="242" t="s">
        <v>24</v>
      </c>
      <c r="B538" s="235" t="str">
        <f>IF(A538="","",IF('General price list'!$W$17=B537,A538,IFERROR(VLOOKUP(A538,Kategorie!C:AA,MATCH('General price list'!$W$17,Kategorie!$C$2:$AA$2,0),FALSE),"× Chybí překlad ×")))</f>
        <v/>
      </c>
      <c r="C538" s="235" t="str">
        <f t="shared" si="9"/>
        <v/>
      </c>
    </row>
    <row r="539" spans="1:3">
      <c r="A539" s="241" t="s">
        <v>24</v>
      </c>
      <c r="B539" s="235" t="str">
        <f>IF(A539="","",IF('General price list'!$W$17=B538,A539,IFERROR(VLOOKUP(A539,Kategorie!C:AA,MATCH('General price list'!$W$17,Kategorie!$C$2:$AA$2,0),FALSE),"× Chybí překlad ×")))</f>
        <v/>
      </c>
      <c r="C539" s="235" t="str">
        <f t="shared" si="9"/>
        <v/>
      </c>
    </row>
    <row r="540" spans="1:3">
      <c r="A540" s="241" t="s">
        <v>24</v>
      </c>
      <c r="B540" s="235" t="str">
        <f>IF(A540="","",IF('General price list'!$W$17=B539,A540,IFERROR(VLOOKUP(A540,Kategorie!C:AA,MATCH('General price list'!$W$17,Kategorie!$C$2:$AA$2,0),FALSE),"× Chybí překlad ×")))</f>
        <v/>
      </c>
      <c r="C540" s="235" t="str">
        <f t="shared" si="9"/>
        <v/>
      </c>
    </row>
    <row r="541" spans="1:3">
      <c r="A541" s="241" t="s">
        <v>24</v>
      </c>
      <c r="B541" s="235" t="str">
        <f>IF(A541="","",IF('General price list'!$W$17=B540,A541,IFERROR(VLOOKUP(A541,Kategorie!C:AA,MATCH('General price list'!$W$17,Kategorie!$C$2:$AA$2,0),FALSE),"× Chybí překlad ×")))</f>
        <v/>
      </c>
      <c r="C541" s="235" t="str">
        <f t="shared" si="9"/>
        <v/>
      </c>
    </row>
    <row r="542" spans="1:3" ht="15.75">
      <c r="A542" s="242" t="s">
        <v>7429</v>
      </c>
      <c r="B542" s="235" t="str">
        <f>IF(A542="","",IF('General price list'!$W$17=B541,A542,IFERROR(VLOOKUP(A542,Kategorie!C:AA,MATCH('General price list'!$W$17,Kategorie!$C$2:$AA$2,0),FALSE),"× Chybí překlad ×")))</f>
        <v>Složený ohňostroj(s ochraným obalem) F3 - 1.3G</v>
      </c>
      <c r="C542" s="235" t="str">
        <f t="shared" si="9"/>
        <v xml:space="preserve">                                                               Složený ohňostroj(s ochraným obalem) F3 - 1.3G</v>
      </c>
    </row>
    <row r="543" spans="1:3">
      <c r="A543" s="241" t="s">
        <v>24</v>
      </c>
      <c r="B543" s="235" t="str">
        <f>IF(A543="","",IF('General price list'!$W$17=B542,A543,IFERROR(VLOOKUP(A543,Kategorie!C:AA,MATCH('General price list'!$W$17,Kategorie!$C$2:$AA$2,0),FALSE),"× Chybí překlad ×")))</f>
        <v/>
      </c>
      <c r="C543" s="235" t="str">
        <f t="shared" si="9"/>
        <v/>
      </c>
    </row>
    <row r="544" spans="1:3">
      <c r="A544" s="241" t="s">
        <v>24</v>
      </c>
      <c r="B544" s="235" t="str">
        <f>IF(A544="","",IF('General price list'!$W$17=B543,A544,IFERROR(VLOOKUP(A544,Kategorie!C:AA,MATCH('General price list'!$W$17,Kategorie!$C$2:$AA$2,0),FALSE),"× Chybí překlad ×")))</f>
        <v/>
      </c>
      <c r="C544" s="235" t="str">
        <f t="shared" si="9"/>
        <v/>
      </c>
    </row>
    <row r="545" spans="1:3">
      <c r="A545" s="241" t="s">
        <v>24</v>
      </c>
      <c r="B545" s="235" t="str">
        <f>IF(A545="","",IF('General price list'!$W$17=B544,A545,IFERROR(VLOOKUP(A545,Kategorie!C:AA,MATCH('General price list'!$W$17,Kategorie!$C$2:$AA$2,0),FALSE),"× Chybí překlad ×")))</f>
        <v/>
      </c>
      <c r="C545" s="235" t="str">
        <f t="shared" si="9"/>
        <v/>
      </c>
    </row>
    <row r="546" spans="1:3">
      <c r="A546" s="241" t="s">
        <v>24</v>
      </c>
      <c r="B546" s="235" t="str">
        <f>IF(A546="","",IF('General price list'!$W$17=B545,A546,IFERROR(VLOOKUP(A546,Kategorie!C:AA,MATCH('General price list'!$W$17,Kategorie!$C$2:$AA$2,0),FALSE),"× Chybí překlad ×")))</f>
        <v/>
      </c>
      <c r="C546" s="235" t="str">
        <f t="shared" si="9"/>
        <v/>
      </c>
    </row>
    <row r="547" spans="1:3" ht="15.75">
      <c r="A547" s="242" t="s">
        <v>24</v>
      </c>
      <c r="B547" s="235" t="str">
        <f>IF(A547="","",IF('General price list'!$W$17=B546,A547,IFERROR(VLOOKUP(A547,Kategorie!C:AA,MATCH('General price list'!$W$17,Kategorie!$C$2:$AA$2,0),FALSE),"× Chybí překlad ×")))</f>
        <v/>
      </c>
      <c r="C547" s="235" t="str">
        <f t="shared" si="9"/>
        <v/>
      </c>
    </row>
    <row r="548" spans="1:3">
      <c r="A548" s="241" t="s">
        <v>24</v>
      </c>
      <c r="B548" s="235" t="str">
        <f>IF(A548="","",IF('General price list'!$W$17=B547,A548,IFERROR(VLOOKUP(A548,Kategorie!C:AA,MATCH('General price list'!$W$17,Kategorie!$C$2:$AA$2,0),FALSE),"× Chybí překlad ×")))</f>
        <v/>
      </c>
      <c r="C548" s="235" t="str">
        <f t="shared" si="9"/>
        <v/>
      </c>
    </row>
    <row r="549" spans="1:3">
      <c r="A549" s="241" t="s">
        <v>24</v>
      </c>
      <c r="B549" s="235" t="str">
        <f>IF(A549="","",IF('General price list'!$W$17=B548,A549,IFERROR(VLOOKUP(A549,Kategorie!C:AA,MATCH('General price list'!$W$17,Kategorie!$C$2:$AA$2,0),FALSE),"× Chybí překlad ×")))</f>
        <v/>
      </c>
      <c r="C549" s="235" t="str">
        <f t="shared" si="9"/>
        <v/>
      </c>
    </row>
    <row r="550" spans="1:3">
      <c r="A550" s="241" t="s">
        <v>7438</v>
      </c>
      <c r="B550" s="235" t="str">
        <f>IF(A550="","",IF('General price list'!$W$17=B549,A550,IFERROR(VLOOKUP(A550,Kategorie!C:AA,MATCH('General price list'!$W$17,Kategorie!$C$2:$AA$2,0),FALSE),"× Chybí překlad ×")))</f>
        <v>Baterie 16ran, 25mm moždíř-1.3G</v>
      </c>
      <c r="C550" s="235" t="str">
        <f t="shared" si="9"/>
        <v xml:space="preserve">                                                               Baterie 16ran, 25mm moždíř-1.3G</v>
      </c>
    </row>
    <row r="551" spans="1:3">
      <c r="A551" s="241" t="s">
        <v>24</v>
      </c>
      <c r="B551" s="235" t="str">
        <f>IF(A551="","",IF('General price list'!$W$17=B550,A551,IFERROR(VLOOKUP(A551,Kategorie!C:AA,MATCH('General price list'!$W$17,Kategorie!$C$2:$AA$2,0),FALSE),"× Chybí překlad ×")))</f>
        <v/>
      </c>
      <c r="C551" s="235" t="str">
        <f t="shared" si="9"/>
        <v/>
      </c>
    </row>
    <row r="552" spans="1:3" ht="15.75">
      <c r="A552" s="242" t="s">
        <v>24</v>
      </c>
      <c r="B552" s="235" t="str">
        <f>IF(A552="","",IF('General price list'!$W$17=B551,A552,IFERROR(VLOOKUP(A552,Kategorie!C:AA,MATCH('General price list'!$W$17,Kategorie!$C$2:$AA$2,0),FALSE),"× Chybí překlad ×")))</f>
        <v/>
      </c>
      <c r="C552" s="235" t="str">
        <f t="shared" si="9"/>
        <v/>
      </c>
    </row>
    <row r="553" spans="1:3">
      <c r="A553" s="241" t="s">
        <v>24</v>
      </c>
      <c r="B553" s="235" t="str">
        <f>IF(A553="","",IF('General price list'!$W$17=B552,A553,IFERROR(VLOOKUP(A553,Kategorie!C:AA,MATCH('General price list'!$W$17,Kategorie!$C$2:$AA$2,0),FALSE),"× Chybí překlad ×")))</f>
        <v/>
      </c>
      <c r="C553" s="235" t="str">
        <f t="shared" si="9"/>
        <v/>
      </c>
    </row>
    <row r="554" spans="1:3">
      <c r="A554" s="241" t="s">
        <v>24</v>
      </c>
      <c r="B554" s="235" t="str">
        <f>IF(A554="","",IF('General price list'!$W$17=B553,A554,IFERROR(VLOOKUP(A554,Kategorie!C:AA,MATCH('General price list'!$W$17,Kategorie!$C$2:$AA$2,0),FALSE),"× Chybí překlad ×")))</f>
        <v/>
      </c>
      <c r="C554" s="235" t="str">
        <f t="shared" si="9"/>
        <v/>
      </c>
    </row>
    <row r="555" spans="1:3">
      <c r="A555" s="241" t="s">
        <v>7447</v>
      </c>
      <c r="B555" s="235" t="str">
        <f>IF(A555="","",IF('General price list'!$W$17=B554,A555,IFERROR(VLOOKUP(A555,Kategorie!C:AA,MATCH('General price list'!$W$17,Kategorie!$C$2:$AA$2,0),FALSE),"× Chybí překlad ×")))</f>
        <v>Baterie 16ran, 25mm moždíř-1.4G</v>
      </c>
      <c r="C555" s="235" t="str">
        <f t="shared" si="9"/>
        <v xml:space="preserve">                                                               Baterie 16ran, 25mm moždíř-1.4G</v>
      </c>
    </row>
    <row r="556" spans="1:3">
      <c r="A556" s="241" t="s">
        <v>24</v>
      </c>
      <c r="B556" s="235" t="str">
        <f>IF(A556="","",IF('General price list'!$W$17=B555,A556,IFERROR(VLOOKUP(A556,Kategorie!C:AA,MATCH('General price list'!$W$17,Kategorie!$C$2:$AA$2,0),FALSE),"× Chybí překlad ×")))</f>
        <v/>
      </c>
      <c r="C556" s="235" t="str">
        <f t="shared" si="9"/>
        <v/>
      </c>
    </row>
    <row r="557" spans="1:3" ht="15.75">
      <c r="A557" s="242" t="s">
        <v>24</v>
      </c>
      <c r="B557" s="235" t="str">
        <f>IF(A557="","",IF('General price list'!$W$17=B556,A557,IFERROR(VLOOKUP(A557,Kategorie!C:AA,MATCH('General price list'!$W$17,Kategorie!$C$2:$AA$2,0),FALSE),"× Chybí překlad ×")))</f>
        <v/>
      </c>
      <c r="C557" s="235" t="str">
        <f t="shared" si="9"/>
        <v/>
      </c>
    </row>
    <row r="558" spans="1:3">
      <c r="A558" s="241" t="s">
        <v>24</v>
      </c>
      <c r="B558" s="235" t="str">
        <f>IF(A558="","",IF('General price list'!$W$17=B557,A558,IFERROR(VLOOKUP(A558,Kategorie!C:AA,MATCH('General price list'!$W$17,Kategorie!$C$2:$AA$2,0),FALSE),"× Chybí překlad ×")))</f>
        <v/>
      </c>
      <c r="C558" s="235" t="str">
        <f t="shared" si="9"/>
        <v/>
      </c>
    </row>
    <row r="559" spans="1:3">
      <c r="A559" s="241" t="s">
        <v>7456</v>
      </c>
      <c r="B559" s="235" t="str">
        <f>IF(A559="","",IF('General price list'!$W$17=B558,A559,IFERROR(VLOOKUP(A559,Kategorie!C:AA,MATCH('General price list'!$W$17,Kategorie!$C$2:$AA$2,0),FALSE),"× Chybí překlad ×")))</f>
        <v>Baterie 25ran, 25mm moždíř-1.3G</v>
      </c>
      <c r="C559" s="235" t="str">
        <f t="shared" si="9"/>
        <v xml:space="preserve">                                                               Baterie 25ran, 25mm moždíř-1.3G</v>
      </c>
    </row>
    <row r="560" spans="1:3">
      <c r="A560" s="241" t="s">
        <v>24</v>
      </c>
      <c r="B560" s="235" t="str">
        <f>IF(A560="","",IF('General price list'!$W$17=B559,A560,IFERROR(VLOOKUP(A560,Kategorie!C:AA,MATCH('General price list'!$W$17,Kategorie!$C$2:$AA$2,0),FALSE),"× Chybí překlad ×")))</f>
        <v/>
      </c>
      <c r="C560" s="235" t="str">
        <f t="shared" si="9"/>
        <v/>
      </c>
    </row>
    <row r="561" spans="1:3" ht="15.75">
      <c r="A561" s="242" t="s">
        <v>24</v>
      </c>
      <c r="B561" s="235" t="str">
        <f>IF(A561="","",IF('General price list'!$W$17=B560,A561,IFERROR(VLOOKUP(A561,Kategorie!C:AA,MATCH('General price list'!$W$17,Kategorie!$C$2:$AA$2,0),FALSE),"× Chybí překlad ×")))</f>
        <v/>
      </c>
      <c r="C561" s="235" t="str">
        <f t="shared" si="9"/>
        <v/>
      </c>
    </row>
    <row r="562" spans="1:3">
      <c r="A562" s="241" t="s">
        <v>24</v>
      </c>
      <c r="B562" s="235" t="str">
        <f>IF(A562="","",IF('General price list'!$W$17=B561,A562,IFERROR(VLOOKUP(A562,Kategorie!C:AA,MATCH('General price list'!$W$17,Kategorie!$C$2:$AA$2,0),FALSE),"× Chybí překlad ×")))</f>
        <v/>
      </c>
      <c r="C562" s="235" t="str">
        <f t="shared" si="9"/>
        <v/>
      </c>
    </row>
    <row r="563" spans="1:3">
      <c r="A563" s="241" t="s">
        <v>24</v>
      </c>
      <c r="B563" s="235" t="str">
        <f>IF(A563="","",IF('General price list'!$W$17=B562,A563,IFERROR(VLOOKUP(A563,Kategorie!C:AA,MATCH('General price list'!$W$17,Kategorie!$C$2:$AA$2,0),FALSE),"× Chybí překlad ×")))</f>
        <v/>
      </c>
      <c r="C563" s="235" t="str">
        <f t="shared" si="9"/>
        <v/>
      </c>
    </row>
    <row r="564" spans="1:3" ht="15.75">
      <c r="A564" s="242" t="s">
        <v>24</v>
      </c>
      <c r="B564" s="235" t="str">
        <f>IF(A564="","",IF('General price list'!$W$17=B563,A564,IFERROR(VLOOKUP(A564,Kategorie!C:AA,MATCH('General price list'!$W$17,Kategorie!$C$2:$AA$2,0),FALSE),"× Chybí překlad ×")))</f>
        <v/>
      </c>
      <c r="C564" s="235" t="str">
        <f t="shared" si="9"/>
        <v/>
      </c>
    </row>
    <row r="565" spans="1:3">
      <c r="A565" s="241" t="s">
        <v>7465</v>
      </c>
      <c r="B565" s="235" t="str">
        <f>IF(A565="","",IF('General price list'!$W$17=B564,A565,IFERROR(VLOOKUP(A565,Kategorie!C:AA,MATCH('General price list'!$W$17,Kategorie!$C$2:$AA$2,0),FALSE),"× Chybí překlad ×")))</f>
        <v>Baterie 25ran, 25mm moždíř-1.4G</v>
      </c>
      <c r="C565" s="235" t="str">
        <f t="shared" si="9"/>
        <v xml:space="preserve">                                                               Baterie 25ran, 25mm moždíř-1.4G</v>
      </c>
    </row>
    <row r="566" spans="1:3">
      <c r="A566" s="241" t="s">
        <v>24</v>
      </c>
      <c r="B566" s="235" t="str">
        <f>IF(A566="","",IF('General price list'!$W$17=B565,A566,IFERROR(VLOOKUP(A566,Kategorie!C:AA,MATCH('General price list'!$W$17,Kategorie!$C$2:$AA$2,0),FALSE),"× Chybí překlad ×")))</f>
        <v/>
      </c>
      <c r="C566" s="235" t="str">
        <f t="shared" si="9"/>
        <v/>
      </c>
    </row>
    <row r="567" spans="1:3">
      <c r="A567" s="241" t="s">
        <v>7473</v>
      </c>
      <c r="B567" s="235" t="str">
        <f>IF(A567="","",IF('General price list'!$W$17=B566,A567,IFERROR(VLOOKUP(A567,Kategorie!C:AA,MATCH('General price list'!$W$17,Kategorie!$C$2:$AA$2,0),FALSE),"× Chybí překlad ×")))</f>
        <v>Baterie 25ran, 25mm šíkmý moždíř-1.3G</v>
      </c>
      <c r="C567" s="235" t="str">
        <f t="shared" si="9"/>
        <v xml:space="preserve">                                                               Baterie 25ran, 25mm šíkmý moždíř-1.3G</v>
      </c>
    </row>
    <row r="568" spans="1:3">
      <c r="A568" s="241" t="s">
        <v>24</v>
      </c>
      <c r="B568" s="235" t="str">
        <f>IF(A568="","",IF('General price list'!$W$17=B567,A568,IFERROR(VLOOKUP(A568,Kategorie!C:AA,MATCH('General price list'!$W$17,Kategorie!$C$2:$AA$2,0),FALSE),"× Chybí překlad ×")))</f>
        <v/>
      </c>
      <c r="C568" s="235" t="str">
        <f t="shared" si="9"/>
        <v/>
      </c>
    </row>
    <row r="569" spans="1:3">
      <c r="A569" s="241" t="s">
        <v>24</v>
      </c>
      <c r="B569" s="235" t="str">
        <f>IF(A569="","",IF('General price list'!$W$17=B568,A569,IFERROR(VLOOKUP(A569,Kategorie!C:AA,MATCH('General price list'!$W$17,Kategorie!$C$2:$AA$2,0),FALSE),"× Chybí překlad ×")))</f>
        <v/>
      </c>
      <c r="C569" s="235" t="str">
        <f t="shared" si="9"/>
        <v/>
      </c>
    </row>
    <row r="570" spans="1:3" ht="15.75">
      <c r="A570" s="242" t="s">
        <v>24</v>
      </c>
      <c r="B570" s="235" t="str">
        <f>IF(A570="","",IF('General price list'!$W$17=B569,A570,IFERROR(VLOOKUP(A570,Kategorie!C:AA,MATCH('General price list'!$W$17,Kategorie!$C$2:$AA$2,0),FALSE),"× Chybí překlad ×")))</f>
        <v/>
      </c>
      <c r="C570" s="235" t="str">
        <f t="shared" si="9"/>
        <v/>
      </c>
    </row>
    <row r="571" spans="1:3">
      <c r="A571" s="241" t="s">
        <v>7482</v>
      </c>
      <c r="B571" s="235" t="str">
        <f>IF(A571="","",IF('General price list'!$W$17=B570,A571,IFERROR(VLOOKUP(A571,Kategorie!C:AA,MATCH('General price list'!$W$17,Kategorie!$C$2:$AA$2,0),FALSE),"× Chybí překlad ×")))</f>
        <v>Baterie 48ran, 25mm rovný+šikmý moždíř-1.3G</v>
      </c>
      <c r="C571" s="235" t="str">
        <f t="shared" si="9"/>
        <v xml:space="preserve">                                                               Baterie 48ran, 25mm rovný+šikmý moždíř-1.3G</v>
      </c>
    </row>
    <row r="572" spans="1:3">
      <c r="A572" s="241" t="s">
        <v>13495</v>
      </c>
      <c r="B572" s="235" t="str">
        <f>IF(A572="","",IF('General price list'!$W$17=B571,A572,IFERROR(VLOOKUP(A572,Kategorie!C:AA,MATCH('General price list'!$W$17,Kategorie!$C$2:$AA$2,0),FALSE),"× Chybí překlad ×")))</f>
        <v>x</v>
      </c>
      <c r="C572" s="235" t="str">
        <f t="shared" si="9"/>
        <v>×</v>
      </c>
    </row>
    <row r="573" spans="1:3" ht="15.75">
      <c r="A573" s="242" t="s">
        <v>7491</v>
      </c>
      <c r="B573" s="235" t="str">
        <f>IF(A573="","",IF('General price list'!$W$17=B572,A573,IFERROR(VLOOKUP(A573,Kategorie!C:AA,MATCH('General price list'!$W$17,Kategorie!$C$2:$AA$2,0),FALSE),"× Chybí překlad ×")))</f>
        <v>Baterie 49ran, 25mm moždíř-F2-1.3G</v>
      </c>
      <c r="C573" s="235" t="str">
        <f t="shared" si="9"/>
        <v xml:space="preserve">                                                               Baterie 49ran, 25mm moždíř-F2-1.3G</v>
      </c>
    </row>
    <row r="574" spans="1:3">
      <c r="A574" s="241" t="s">
        <v>24</v>
      </c>
      <c r="B574" s="235" t="str">
        <f>IF(A574="","",IF('General price list'!$W$17=B573,A574,IFERROR(VLOOKUP(A574,Kategorie!C:AA,MATCH('General price list'!$W$17,Kategorie!$C$2:$AA$2,0),FALSE),"× Chybí překlad ×")))</f>
        <v/>
      </c>
      <c r="C574" s="235" t="str">
        <f t="shared" si="9"/>
        <v/>
      </c>
    </row>
    <row r="575" spans="1:3" ht="15.75">
      <c r="A575" s="242" t="s">
        <v>24</v>
      </c>
      <c r="B575" s="235" t="str">
        <f>IF(A575="","",IF('General price list'!$W$17=B574,A575,IFERROR(VLOOKUP(A575,Kategorie!C:AA,MATCH('General price list'!$W$17,Kategorie!$C$2:$AA$2,0),FALSE),"× Chybí překlad ×")))</f>
        <v/>
      </c>
      <c r="C575" s="235" t="str">
        <f t="shared" si="9"/>
        <v/>
      </c>
    </row>
    <row r="576" spans="1:3">
      <c r="A576" s="241" t="s">
        <v>24</v>
      </c>
      <c r="B576" s="235" t="str">
        <f>IF(A576="","",IF('General price list'!$W$17=B575,A576,IFERROR(VLOOKUP(A576,Kategorie!C:AA,MATCH('General price list'!$W$17,Kategorie!$C$2:$AA$2,0),FALSE),"× Chybí překlad ×")))</f>
        <v/>
      </c>
      <c r="C576" s="235" t="str">
        <f t="shared" si="9"/>
        <v/>
      </c>
    </row>
    <row r="577" spans="1:3">
      <c r="A577" s="241" t="s">
        <v>7500</v>
      </c>
      <c r="B577" s="235" t="str">
        <f>IF(A577="","",IF('General price list'!$W$17=B576,A577,IFERROR(VLOOKUP(A577,Kategorie!C:AA,MATCH('General price list'!$W$17,Kategorie!$C$2:$AA$2,0),FALSE),"× Chybí překlad ×")))</f>
        <v>Baterie 49ran, 25mm moždíř-F2-1.4G</v>
      </c>
      <c r="C577" s="235" t="str">
        <f t="shared" si="9"/>
        <v xml:space="preserve">                                                               Baterie 49ran, 25mm moždíř-F2-1.4G</v>
      </c>
    </row>
    <row r="578" spans="1:3">
      <c r="A578" s="241" t="s">
        <v>24</v>
      </c>
      <c r="B578" s="235" t="str">
        <f>IF(A578="","",IF('General price list'!$W$17=B577,A578,IFERROR(VLOOKUP(A578,Kategorie!C:AA,MATCH('General price list'!$W$17,Kategorie!$C$2:$AA$2,0),FALSE),"× Chybí překlad ×")))</f>
        <v/>
      </c>
      <c r="C578" s="235" t="str">
        <f t="shared" si="9"/>
        <v/>
      </c>
    </row>
    <row r="579" spans="1:3" ht="15.75">
      <c r="A579" s="242" t="s">
        <v>24</v>
      </c>
      <c r="B579" s="235" t="str">
        <f>IF(A579="","",IF('General price list'!$W$17=B578,A579,IFERROR(VLOOKUP(A579,Kategorie!C:AA,MATCH('General price list'!$W$17,Kategorie!$C$2:$AA$2,0),FALSE),"× Chybí překlad ×")))</f>
        <v/>
      </c>
      <c r="C579" s="235" t="str">
        <f t="shared" si="9"/>
        <v/>
      </c>
    </row>
    <row r="580" spans="1:3">
      <c r="A580" s="241" t="s">
        <v>24</v>
      </c>
      <c r="B580" s="235" t="str">
        <f>IF(A580="","",IF('General price list'!$W$17=B579,A580,IFERROR(VLOOKUP(A580,Kategorie!C:AA,MATCH('General price list'!$W$17,Kategorie!$C$2:$AA$2,0),FALSE),"× Chybí překlad ×")))</f>
        <v/>
      </c>
      <c r="C580" s="235" t="str">
        <f t="shared" si="9"/>
        <v/>
      </c>
    </row>
    <row r="581" spans="1:3">
      <c r="A581" s="241" t="s">
        <v>7509</v>
      </c>
      <c r="B581" s="235" t="str">
        <f>IF(A581="","",IF('General price list'!$W$17=B580,A581,IFERROR(VLOOKUP(A581,Kategorie!C:AA,MATCH('General price list'!$W$17,Kategorie!$C$2:$AA$2,0),FALSE),"× Chybí překlad ×")))</f>
        <v>Baterie 49ran, 25mm moždíř-F3-1.3G</v>
      </c>
      <c r="C581" s="235" t="str">
        <f t="shared" si="9"/>
        <v xml:space="preserve">                                                               Baterie 49ran, 25mm moždíř-F3-1.3G</v>
      </c>
    </row>
    <row r="582" spans="1:3">
      <c r="A582" s="241" t="s">
        <v>24</v>
      </c>
      <c r="B582" s="235" t="str">
        <f>IF(A582="","",IF('General price list'!$W$17=B581,A582,IFERROR(VLOOKUP(A582,Kategorie!C:AA,MATCH('General price list'!$W$17,Kategorie!$C$2:$AA$2,0),FALSE),"× Chybí překlad ×")))</f>
        <v/>
      </c>
      <c r="C582" s="235" t="str">
        <f t="shared" si="9"/>
        <v/>
      </c>
    </row>
    <row r="583" spans="1:3" ht="15.75">
      <c r="A583" s="242" t="s">
        <v>24</v>
      </c>
      <c r="B583" s="235" t="str">
        <f>IF(A583="","",IF('General price list'!$W$17=B582,A583,IFERROR(VLOOKUP(A583,Kategorie!C:AA,MATCH('General price list'!$W$17,Kategorie!$C$2:$AA$2,0),FALSE),"× Chybí překlad ×")))</f>
        <v/>
      </c>
      <c r="C583" s="235" t="str">
        <f t="shared" si="9"/>
        <v/>
      </c>
    </row>
    <row r="584" spans="1:3">
      <c r="A584" s="241" t="s">
        <v>24</v>
      </c>
      <c r="B584" s="235" t="str">
        <f>IF(A584="","",IF('General price list'!$W$17=B583,A584,IFERROR(VLOOKUP(A584,Kategorie!C:AA,MATCH('General price list'!$W$17,Kategorie!$C$2:$AA$2,0),FALSE),"× Chybí překlad ×")))</f>
        <v/>
      </c>
      <c r="C584" s="235" t="str">
        <f t="shared" si="9"/>
        <v/>
      </c>
    </row>
    <row r="585" spans="1:3">
      <c r="A585" s="241" t="s">
        <v>7518</v>
      </c>
      <c r="B585" s="235" t="str">
        <f>IF(A585="","",IF('General price list'!$W$17=B584,A585,IFERROR(VLOOKUP(A585,Kategorie!C:AA,MATCH('General price list'!$W$17,Kategorie!$C$2:$AA$2,0),FALSE),"× Chybí překlad ×")))</f>
        <v>Baterie 49ran, 25mm šíkmý moždíř-1.3G</v>
      </c>
      <c r="C585" s="235" t="str">
        <f t="shared" si="9"/>
        <v xml:space="preserve">                                                               Baterie 49ran, 25mm šíkmý moždíř-1.3G</v>
      </c>
    </row>
    <row r="586" spans="1:3">
      <c r="A586" s="241" t="s">
        <v>24</v>
      </c>
      <c r="B586" s="235" t="str">
        <f>IF(A586="","",IF('General price list'!$W$17=B585,A586,IFERROR(VLOOKUP(A586,Kategorie!C:AA,MATCH('General price list'!$W$17,Kategorie!$C$2:$AA$2,0),FALSE),"× Chybí překlad ×")))</f>
        <v/>
      </c>
      <c r="C586" s="235" t="str">
        <f t="shared" si="9"/>
        <v/>
      </c>
    </row>
    <row r="587" spans="1:3">
      <c r="A587" s="241" t="s">
        <v>24</v>
      </c>
      <c r="B587" s="235" t="str">
        <f>IF(A587="","",IF('General price list'!$W$17=B586,A587,IFERROR(VLOOKUP(A587,Kategorie!C:AA,MATCH('General price list'!$W$17,Kategorie!$C$2:$AA$2,0),FALSE),"× Chybí překlad ×")))</f>
        <v/>
      </c>
      <c r="C587" s="235" t="str">
        <f t="shared" si="9"/>
        <v/>
      </c>
    </row>
    <row r="588" spans="1:3">
      <c r="A588" s="241" t="s">
        <v>24</v>
      </c>
      <c r="B588" s="235" t="str">
        <f>IF(A588="","",IF('General price list'!$W$17=B587,A588,IFERROR(VLOOKUP(A588,Kategorie!C:AA,MATCH('General price list'!$W$17,Kategorie!$C$2:$AA$2,0),FALSE),"× Chybí překlad ×")))</f>
        <v/>
      </c>
      <c r="C588" s="235" t="str">
        <f t="shared" si="9"/>
        <v/>
      </c>
    </row>
    <row r="589" spans="1:3">
      <c r="A589" s="241" t="s">
        <v>7527</v>
      </c>
      <c r="B589" s="235" t="str">
        <f>IF(A589="","",IF('General price list'!$W$17=B588,A589,IFERROR(VLOOKUP(A589,Kategorie!C:AA,MATCH('General price list'!$W$17,Kategorie!$C$2:$AA$2,0),FALSE),"× Chybí překlad ×")))</f>
        <v>Baterie 64ran, 25mm moždíř(všechny směry)-1.3G</v>
      </c>
      <c r="C589" s="235" t="str">
        <f t="shared" si="9"/>
        <v xml:space="preserve">                                                               Baterie 64ran, 25mm moždíř(všechny směry)-1.3G</v>
      </c>
    </row>
    <row r="590" spans="1:3">
      <c r="A590" s="241" t="s">
        <v>24</v>
      </c>
      <c r="B590" s="235" t="str">
        <f>IF(A590="","",IF('General price list'!$W$17=B589,A590,IFERROR(VLOOKUP(A590,Kategorie!C:AA,MATCH('General price list'!$W$17,Kategorie!$C$2:$AA$2,0),FALSE),"× Chybí překlad ×")))</f>
        <v/>
      </c>
      <c r="C590" s="235" t="str">
        <f t="shared" si="9"/>
        <v/>
      </c>
    </row>
    <row r="591" spans="1:3">
      <c r="A591" s="241" t="s">
        <v>7536</v>
      </c>
      <c r="B591" s="235" t="str">
        <f>IF(A591="","",IF('General price list'!$W$17=B590,A591,IFERROR(VLOOKUP(A591,Kategorie!C:AA,MATCH('General price list'!$W$17,Kategorie!$C$2:$AA$2,0),FALSE),"× Chybí překlad ×")))</f>
        <v>Baterie 88ran, 25mm moždíř-1.3G</v>
      </c>
      <c r="C591" s="235" t="str">
        <f t="shared" si="9"/>
        <v xml:space="preserve">                                                               Baterie 88ran, 25mm moždíř-1.3G</v>
      </c>
    </row>
    <row r="592" spans="1:3">
      <c r="A592" s="241" t="s">
        <v>24</v>
      </c>
      <c r="B592" s="235" t="str">
        <f>IF(A592="","",IF('General price list'!$W$17=B591,A592,IFERROR(VLOOKUP(A592,Kategorie!C:AA,MATCH('General price list'!$W$17,Kategorie!$C$2:$AA$2,0),FALSE),"× Chybí překlad ×")))</f>
        <v/>
      </c>
      <c r="C592" s="235" t="str">
        <f t="shared" ref="C592:C655" si="10">IF(A592="","",IF(A592="x","×",$B$1&amp;B592))</f>
        <v/>
      </c>
    </row>
    <row r="593" spans="1:3" ht="15.75">
      <c r="A593" s="242" t="s">
        <v>24</v>
      </c>
      <c r="B593" s="235" t="str">
        <f>IF(A593="","",IF('General price list'!$W$17=B592,A593,IFERROR(VLOOKUP(A593,Kategorie!C:AA,MATCH('General price list'!$W$17,Kategorie!$C$2:$AA$2,0),FALSE),"× Chybí překlad ×")))</f>
        <v/>
      </c>
      <c r="C593" s="235" t="str">
        <f t="shared" si="10"/>
        <v/>
      </c>
    </row>
    <row r="594" spans="1:3">
      <c r="A594" s="241" t="s">
        <v>24</v>
      </c>
      <c r="B594" s="235" t="str">
        <f>IF(A594="","",IF('General price list'!$W$17=B593,A594,IFERROR(VLOOKUP(A594,Kategorie!C:AA,MATCH('General price list'!$W$17,Kategorie!$C$2:$AA$2,0),FALSE),"× Chybí překlad ×")))</f>
        <v/>
      </c>
      <c r="C594" s="235" t="str">
        <f t="shared" si="10"/>
        <v/>
      </c>
    </row>
    <row r="595" spans="1:3">
      <c r="A595" s="241" t="s">
        <v>24</v>
      </c>
      <c r="B595" s="235" t="str">
        <f>IF(A595="","",IF('General price list'!$W$17=B594,A595,IFERROR(VLOOKUP(A595,Kategorie!C:AA,MATCH('General price list'!$W$17,Kategorie!$C$2:$AA$2,0),FALSE),"× Chybí překlad ×")))</f>
        <v/>
      </c>
      <c r="C595" s="235" t="str">
        <f t="shared" si="10"/>
        <v/>
      </c>
    </row>
    <row r="596" spans="1:3">
      <c r="A596" s="241" t="s">
        <v>7545</v>
      </c>
      <c r="B596" s="235" t="str">
        <f>IF(A596="","",IF('General price list'!$W$17=B595,A596,IFERROR(VLOOKUP(A596,Kategorie!C:AA,MATCH('General price list'!$W$17,Kategorie!$C$2:$AA$2,0),FALSE),"× Chybí překlad ×")))</f>
        <v>Baterie 89ran, 25mm I+W+šikmý moždíř-1.3G</v>
      </c>
      <c r="C596" s="235" t="str">
        <f t="shared" si="10"/>
        <v xml:space="preserve">                                                               Baterie 89ran, 25mm I+W+šikmý moždíř-1.3G</v>
      </c>
    </row>
    <row r="597" spans="1:3">
      <c r="A597" s="241" t="s">
        <v>24</v>
      </c>
      <c r="B597" s="235" t="str">
        <f>IF(A597="","",IF('General price list'!$W$17=B596,A597,IFERROR(VLOOKUP(A597,Kategorie!C:AA,MATCH('General price list'!$W$17,Kategorie!$C$2:$AA$2,0),FALSE),"× Chybí překlad ×")))</f>
        <v/>
      </c>
      <c r="C597" s="235" t="str">
        <f t="shared" si="10"/>
        <v/>
      </c>
    </row>
    <row r="598" spans="1:3" ht="15.75">
      <c r="A598" s="242" t="s">
        <v>24</v>
      </c>
      <c r="B598" s="235" t="str">
        <f>IF(A598="","",IF('General price list'!$W$17=B597,A598,IFERROR(VLOOKUP(A598,Kategorie!C:AA,MATCH('General price list'!$W$17,Kategorie!$C$2:$AA$2,0),FALSE),"× Chybí překlad ×")))</f>
        <v/>
      </c>
      <c r="C598" s="235" t="str">
        <f t="shared" si="10"/>
        <v/>
      </c>
    </row>
    <row r="599" spans="1:3">
      <c r="A599" s="241" t="s">
        <v>7554</v>
      </c>
      <c r="B599" s="235" t="str">
        <f>IF(A599="","",IF('General price list'!$W$17=B598,A599,IFERROR(VLOOKUP(A599,Kategorie!C:AA,MATCH('General price list'!$W$17,Kategorie!$C$2:$AA$2,0),FALSE),"× Chybí překlad ×")))</f>
        <v>Baterie 100ran, 25mm moždíř-1.3G</v>
      </c>
      <c r="C599" s="235" t="str">
        <f t="shared" si="10"/>
        <v xml:space="preserve">                                                               Baterie 100ran, 25mm moždíř-1.3G</v>
      </c>
    </row>
    <row r="600" spans="1:3">
      <c r="A600" s="241" t="s">
        <v>24</v>
      </c>
      <c r="B600" s="235" t="str">
        <f>IF(A600="","",IF('General price list'!$W$17=B599,A600,IFERROR(VLOOKUP(A600,Kategorie!C:AA,MATCH('General price list'!$W$17,Kategorie!$C$2:$AA$2,0),FALSE),"× Chybí překlad ×")))</f>
        <v/>
      </c>
      <c r="C600" s="235" t="str">
        <f t="shared" si="10"/>
        <v/>
      </c>
    </row>
    <row r="601" spans="1:3">
      <c r="A601" s="241" t="s">
        <v>24</v>
      </c>
      <c r="B601" s="235" t="str">
        <f>IF(A601="","",IF('General price list'!$W$17=B600,A601,IFERROR(VLOOKUP(A601,Kategorie!C:AA,MATCH('General price list'!$W$17,Kategorie!$C$2:$AA$2,0),FALSE),"× Chybí překlad ×")))</f>
        <v/>
      </c>
      <c r="C601" s="235" t="str">
        <f t="shared" si="10"/>
        <v/>
      </c>
    </row>
    <row r="602" spans="1:3">
      <c r="A602" s="241" t="s">
        <v>24</v>
      </c>
      <c r="B602" s="235" t="str">
        <f>IF(A602="","",IF('General price list'!$W$17=B601,A602,IFERROR(VLOOKUP(A602,Kategorie!C:AA,MATCH('General price list'!$W$17,Kategorie!$C$2:$AA$2,0),FALSE),"× Chybí překlad ×")))</f>
        <v/>
      </c>
      <c r="C602" s="235" t="str">
        <f t="shared" si="10"/>
        <v/>
      </c>
    </row>
    <row r="603" spans="1:3">
      <c r="A603" s="241" t="s">
        <v>24</v>
      </c>
      <c r="B603" s="235" t="str">
        <f>IF(A603="","",IF('General price list'!$W$17=B602,A603,IFERROR(VLOOKUP(A603,Kategorie!C:AA,MATCH('General price list'!$W$17,Kategorie!$C$2:$AA$2,0),FALSE),"× Chybí překlad ×")))</f>
        <v/>
      </c>
      <c r="C603" s="235" t="str">
        <f t="shared" si="10"/>
        <v/>
      </c>
    </row>
    <row r="604" spans="1:3">
      <c r="A604" s="241" t="s">
        <v>24</v>
      </c>
      <c r="B604" s="235" t="str">
        <f>IF(A604="","",IF('General price list'!$W$17=B603,A604,IFERROR(VLOOKUP(A604,Kategorie!C:AA,MATCH('General price list'!$W$17,Kategorie!$C$2:$AA$2,0),FALSE),"× Chybí překlad ×")))</f>
        <v/>
      </c>
      <c r="C604" s="235" t="str">
        <f t="shared" si="10"/>
        <v/>
      </c>
    </row>
    <row r="605" spans="1:3">
      <c r="A605" s="241" t="s">
        <v>7563</v>
      </c>
      <c r="B605" s="235" t="str">
        <f>IF(A605="","",IF('General price list'!$W$17=B604,A605,IFERROR(VLOOKUP(A605,Kategorie!C:AA,MATCH('General price list'!$W$17,Kategorie!$C$2:$AA$2,0),FALSE),"× Chybí překlad ×")))</f>
        <v>Složený ohňostroj 25mm - F2 - 1.4G</v>
      </c>
      <c r="C605" s="235" t="str">
        <f t="shared" si="10"/>
        <v xml:space="preserve">                                                               Složený ohňostroj 25mm - F2 - 1.4G</v>
      </c>
    </row>
    <row r="606" spans="1:3">
      <c r="A606" s="241" t="s">
        <v>13495</v>
      </c>
      <c r="B606" s="235" t="str">
        <f>IF(A606="","",IF('General price list'!$W$17=B605,A606,IFERROR(VLOOKUP(A606,Kategorie!C:AA,MATCH('General price list'!$W$17,Kategorie!$C$2:$AA$2,0),FALSE),"× Chybí překlad ×")))</f>
        <v>x</v>
      </c>
      <c r="C606" s="235" t="str">
        <f t="shared" si="10"/>
        <v>×</v>
      </c>
    </row>
    <row r="607" spans="1:3">
      <c r="A607" s="241" t="s">
        <v>24</v>
      </c>
      <c r="B607" s="235" t="str">
        <f>IF(A607="","",IF('General price list'!$W$17=B606,A607,IFERROR(VLOOKUP(A607,Kategorie!C:AA,MATCH('General price list'!$W$17,Kategorie!$C$2:$AA$2,0),FALSE),"× Chybí překlad ×")))</f>
        <v/>
      </c>
      <c r="C607" s="235" t="str">
        <f t="shared" si="10"/>
        <v/>
      </c>
    </row>
    <row r="608" spans="1:3" ht="15.75">
      <c r="A608" s="242" t="s">
        <v>24</v>
      </c>
      <c r="B608" s="235" t="str">
        <f>IF(A608="","",IF('General price list'!$W$17=B607,A608,IFERROR(VLOOKUP(A608,Kategorie!C:AA,MATCH('General price list'!$W$17,Kategorie!$C$2:$AA$2,0),FALSE),"× Chybí překlad ×")))</f>
        <v/>
      </c>
      <c r="C608" s="235" t="str">
        <f t="shared" si="10"/>
        <v/>
      </c>
    </row>
    <row r="609" spans="1:3">
      <c r="A609" s="241" t="s">
        <v>24</v>
      </c>
      <c r="B609" s="235" t="str">
        <f>IF(A609="","",IF('General price list'!$W$17=B608,A609,IFERROR(VLOOKUP(A609,Kategorie!C:AA,MATCH('General price list'!$W$17,Kategorie!$C$2:$AA$2,0),FALSE),"× Chybí překlad ×")))</f>
        <v/>
      </c>
      <c r="C609" s="235" t="str">
        <f t="shared" si="10"/>
        <v/>
      </c>
    </row>
    <row r="610" spans="1:3">
      <c r="A610" s="241" t="s">
        <v>24</v>
      </c>
      <c r="B610" s="235" t="str">
        <f>IF(A610="","",IF('General price list'!$W$17=B609,A610,IFERROR(VLOOKUP(A610,Kategorie!C:AA,MATCH('General price list'!$W$17,Kategorie!$C$2:$AA$2,0),FALSE),"× Chybí překlad ×")))</f>
        <v/>
      </c>
      <c r="C610" s="235" t="str">
        <f t="shared" si="10"/>
        <v/>
      </c>
    </row>
    <row r="611" spans="1:3">
      <c r="A611" s="241" t="s">
        <v>24</v>
      </c>
      <c r="B611" s="235" t="str">
        <f>IF(A611="","",IF('General price list'!$W$17=B610,A611,IFERROR(VLOOKUP(A611,Kategorie!C:AA,MATCH('General price list'!$W$17,Kategorie!$C$2:$AA$2,0),FALSE),"× Chybí překlad ×")))</f>
        <v/>
      </c>
      <c r="C611" s="235" t="str">
        <f t="shared" si="10"/>
        <v/>
      </c>
    </row>
    <row r="612" spans="1:3">
      <c r="A612" s="241" t="s">
        <v>24</v>
      </c>
      <c r="B612" s="235" t="str">
        <f>IF(A612="","",IF('General price list'!$W$17=B611,A612,IFERROR(VLOOKUP(A612,Kategorie!C:AA,MATCH('General price list'!$W$17,Kategorie!$C$2:$AA$2,0),FALSE),"× Chybí překlad ×")))</f>
        <v/>
      </c>
      <c r="C612" s="235" t="str">
        <f t="shared" si="10"/>
        <v/>
      </c>
    </row>
    <row r="613" spans="1:3">
      <c r="A613" s="241" t="s">
        <v>7572</v>
      </c>
      <c r="B613" s="235" t="str">
        <f>IF(A613="","",IF('General price list'!$W$17=B612,A613,IFERROR(VLOOKUP(A613,Kategorie!C:AA,MATCH('General price list'!$W$17,Kategorie!$C$2:$AA$2,0),FALSE),"× Chybí překlad ×")))</f>
        <v>Složený ohňostroj(s ochraným obalem) 25mm - F2 - 1.4G</v>
      </c>
      <c r="C613" s="235" t="str">
        <f t="shared" si="10"/>
        <v xml:space="preserve">                                                               Složený ohňostroj(s ochraným obalem) 25mm - F2 - 1.4G</v>
      </c>
    </row>
    <row r="614" spans="1:3" ht="15.75">
      <c r="A614" s="242" t="s">
        <v>24</v>
      </c>
      <c r="B614" s="235" t="str">
        <f>IF(A614="","",IF('General price list'!$W$17=B613,A614,IFERROR(VLOOKUP(A614,Kategorie!C:AA,MATCH('General price list'!$W$17,Kategorie!$C$2:$AA$2,0),FALSE),"× Chybí překlad ×")))</f>
        <v/>
      </c>
      <c r="C614" s="235" t="str">
        <f t="shared" si="10"/>
        <v/>
      </c>
    </row>
    <row r="615" spans="1:3">
      <c r="A615" s="241" t="s">
        <v>24</v>
      </c>
      <c r="B615" s="235" t="str">
        <f>IF(A615="","",IF('General price list'!$W$17=B614,A615,IFERROR(VLOOKUP(A615,Kategorie!C:AA,MATCH('General price list'!$W$17,Kategorie!$C$2:$AA$2,0),FALSE),"× Chybí překlad ×")))</f>
        <v/>
      </c>
      <c r="C615" s="235" t="str">
        <f t="shared" si="10"/>
        <v/>
      </c>
    </row>
    <row r="616" spans="1:3">
      <c r="A616" s="241" t="s">
        <v>24</v>
      </c>
      <c r="B616" s="235" t="str">
        <f>IF(A616="","",IF('General price list'!$W$17=B615,A616,IFERROR(VLOOKUP(A616,Kategorie!C:AA,MATCH('General price list'!$W$17,Kategorie!$C$2:$AA$2,0),FALSE),"× Chybí překlad ×")))</f>
        <v/>
      </c>
      <c r="C616" s="235" t="str">
        <f t="shared" si="10"/>
        <v/>
      </c>
    </row>
    <row r="617" spans="1:3">
      <c r="A617" s="241" t="s">
        <v>24</v>
      </c>
      <c r="B617" s="235" t="str">
        <f>IF(A617="","",IF('General price list'!$W$17=B616,A617,IFERROR(VLOOKUP(A617,Kategorie!C:AA,MATCH('General price list'!$W$17,Kategorie!$C$2:$AA$2,0),FALSE),"× Chybí překlad ×")))</f>
        <v/>
      </c>
      <c r="C617" s="235" t="str">
        <f t="shared" si="10"/>
        <v/>
      </c>
    </row>
    <row r="618" spans="1:3">
      <c r="A618" s="241" t="s">
        <v>24</v>
      </c>
      <c r="B618" s="235" t="str">
        <f>IF(A618="","",IF('General price list'!$W$17=B617,A618,IFERROR(VLOOKUP(A618,Kategorie!C:AA,MATCH('General price list'!$W$17,Kategorie!$C$2:$AA$2,0),FALSE),"× Chybí překlad ×")))</f>
        <v/>
      </c>
      <c r="C618" s="235" t="str">
        <f t="shared" si="10"/>
        <v/>
      </c>
    </row>
    <row r="619" spans="1:3">
      <c r="A619" s="241" t="s">
        <v>24</v>
      </c>
      <c r="B619" s="235" t="str">
        <f>IF(A619="","",IF('General price list'!$W$17=B618,A619,IFERROR(VLOOKUP(A619,Kategorie!C:AA,MATCH('General price list'!$W$17,Kategorie!$C$2:$AA$2,0),FALSE),"× Chybí překlad ×")))</f>
        <v/>
      </c>
      <c r="C619" s="235" t="str">
        <f t="shared" si="10"/>
        <v/>
      </c>
    </row>
    <row r="620" spans="1:3">
      <c r="A620" s="241" t="s">
        <v>7581</v>
      </c>
      <c r="B620" s="235" t="str">
        <f>IF(A620="","",IF('General price list'!$W$17=B619,A620,IFERROR(VLOOKUP(A620,Kategorie!C:AA,MATCH('General price list'!$W$17,Kategorie!$C$2:$AA$2,0),FALSE),"× Chybí překlad ×")))</f>
        <v>Složený ohňostroj 25mm - F2 - 1.3G</v>
      </c>
      <c r="C620" s="235" t="str">
        <f t="shared" si="10"/>
        <v xml:space="preserve">                                                               Složený ohňostroj 25mm - F2 - 1.3G</v>
      </c>
    </row>
    <row r="621" spans="1:3">
      <c r="A621" s="241" t="s">
        <v>24</v>
      </c>
      <c r="B621" s="235" t="str">
        <f>IF(A621="","",IF('General price list'!$W$17=B620,A621,IFERROR(VLOOKUP(A621,Kategorie!C:AA,MATCH('General price list'!$W$17,Kategorie!$C$2:$AA$2,0),FALSE),"× Chybí překlad ×")))</f>
        <v/>
      </c>
      <c r="C621" s="235" t="str">
        <f t="shared" si="10"/>
        <v/>
      </c>
    </row>
    <row r="622" spans="1:3">
      <c r="A622" s="241" t="s">
        <v>24</v>
      </c>
      <c r="B622" s="235" t="str">
        <f>IF(A622="","",IF('General price list'!$W$17=B621,A622,IFERROR(VLOOKUP(A622,Kategorie!C:AA,MATCH('General price list'!$W$17,Kategorie!$C$2:$AA$2,0),FALSE),"× Chybí překlad ×")))</f>
        <v/>
      </c>
      <c r="C622" s="235" t="str">
        <f t="shared" si="10"/>
        <v/>
      </c>
    </row>
    <row r="623" spans="1:3">
      <c r="A623" s="241" t="s">
        <v>24</v>
      </c>
      <c r="B623" s="235" t="str">
        <f>IF(A623="","",IF('General price list'!$W$17=B622,A623,IFERROR(VLOOKUP(A623,Kategorie!C:AA,MATCH('General price list'!$W$17,Kategorie!$C$2:$AA$2,0),FALSE),"× Chybí překlad ×")))</f>
        <v/>
      </c>
      <c r="C623" s="235" t="str">
        <f t="shared" si="10"/>
        <v/>
      </c>
    </row>
    <row r="624" spans="1:3">
      <c r="A624" s="241" t="s">
        <v>7590</v>
      </c>
      <c r="B624" s="235" t="str">
        <f>IF(A624="","",IF('General price list'!$W$17=B623,A624,IFERROR(VLOOKUP(A624,Kategorie!C:AA,MATCH('General price list'!$W$17,Kategorie!$C$2:$AA$2,0),FALSE),"× Chybí překlad ×")))</f>
        <v>Složený ohňostroj(s ochraným obalem) 25mm - F2 - 1.3G</v>
      </c>
      <c r="C624" s="235" t="str">
        <f t="shared" si="10"/>
        <v xml:space="preserve">                                                               Složený ohňostroj(s ochraným obalem) 25mm - F2 - 1.3G</v>
      </c>
    </row>
    <row r="625" spans="1:3" ht="15.75">
      <c r="A625" s="242" t="s">
        <v>24</v>
      </c>
      <c r="B625" s="235" t="str">
        <f>IF(A625="","",IF('General price list'!$W$17=B624,A625,IFERROR(VLOOKUP(A625,Kategorie!C:AA,MATCH('General price list'!$W$17,Kategorie!$C$2:$AA$2,0),FALSE),"× Chybí překlad ×")))</f>
        <v/>
      </c>
      <c r="C625" s="235" t="str">
        <f t="shared" si="10"/>
        <v/>
      </c>
    </row>
    <row r="626" spans="1:3">
      <c r="A626" s="241" t="s">
        <v>24</v>
      </c>
      <c r="B626" s="235" t="str">
        <f>IF(A626="","",IF('General price list'!$W$17=B625,A626,IFERROR(VLOOKUP(A626,Kategorie!C:AA,MATCH('General price list'!$W$17,Kategorie!$C$2:$AA$2,0),FALSE),"× Chybí překlad ×")))</f>
        <v/>
      </c>
      <c r="C626" s="235" t="str">
        <f t="shared" si="10"/>
        <v/>
      </c>
    </row>
    <row r="627" spans="1:3">
      <c r="A627" s="241" t="s">
        <v>24</v>
      </c>
      <c r="B627" s="235" t="str">
        <f>IF(A627="","",IF('General price list'!$W$17=B626,A627,IFERROR(VLOOKUP(A627,Kategorie!C:AA,MATCH('General price list'!$W$17,Kategorie!$C$2:$AA$2,0),FALSE),"× Chybí překlad ×")))</f>
        <v/>
      </c>
      <c r="C627" s="235" t="str">
        <f t="shared" si="10"/>
        <v/>
      </c>
    </row>
    <row r="628" spans="1:3">
      <c r="A628" s="241" t="s">
        <v>7599</v>
      </c>
      <c r="B628" s="235" t="str">
        <f>IF(A628="","",IF('General price list'!$W$17=B627,A628,IFERROR(VLOOKUP(A628,Kategorie!C:AA,MATCH('General price list'!$W$17,Kategorie!$C$2:$AA$2,0),FALSE),"× Chybí překlad ×")))</f>
        <v>Složený ohňostroj 25mm - F3 - 1.3G</v>
      </c>
      <c r="C628" s="235" t="str">
        <f t="shared" si="10"/>
        <v xml:space="preserve">                                                               Složený ohňostroj 25mm - F3 - 1.3G</v>
      </c>
    </row>
    <row r="629" spans="1:3">
      <c r="A629" s="241" t="s">
        <v>13495</v>
      </c>
      <c r="B629" s="235" t="str">
        <f>IF(A629="","",IF('General price list'!$W$17=B628,A629,IFERROR(VLOOKUP(A629,Kategorie!C:AA,MATCH('General price list'!$W$17,Kategorie!$C$2:$AA$2,0),FALSE),"× Chybí překlad ×")))</f>
        <v>x</v>
      </c>
      <c r="C629" s="235" t="str">
        <f t="shared" si="10"/>
        <v>×</v>
      </c>
    </row>
    <row r="630" spans="1:3">
      <c r="A630" s="241" t="s">
        <v>24</v>
      </c>
      <c r="B630" s="235" t="str">
        <f>IF(A630="","",IF('General price list'!$W$17=B629,A630,IFERROR(VLOOKUP(A630,Kategorie!C:AA,MATCH('General price list'!$W$17,Kategorie!$C$2:$AA$2,0),FALSE),"× Chybí překlad ×")))</f>
        <v/>
      </c>
      <c r="C630" s="235" t="str">
        <f t="shared" si="10"/>
        <v/>
      </c>
    </row>
    <row r="631" spans="1:3">
      <c r="A631" s="241" t="s">
        <v>24</v>
      </c>
      <c r="B631" s="235" t="str">
        <f>IF(A631="","",IF('General price list'!$W$17=B630,A631,IFERROR(VLOOKUP(A631,Kategorie!C:AA,MATCH('General price list'!$W$17,Kategorie!$C$2:$AA$2,0),FALSE),"× Chybí překlad ×")))</f>
        <v/>
      </c>
      <c r="C631" s="235" t="str">
        <f t="shared" si="10"/>
        <v/>
      </c>
    </row>
    <row r="632" spans="1:3" ht="15.75">
      <c r="A632" s="242" t="s">
        <v>24</v>
      </c>
      <c r="B632" s="235" t="str">
        <f>IF(A632="","",IF('General price list'!$W$17=B631,A632,IFERROR(VLOOKUP(A632,Kategorie!C:AA,MATCH('General price list'!$W$17,Kategorie!$C$2:$AA$2,0),FALSE),"× Chybí překlad ×")))</f>
        <v/>
      </c>
      <c r="C632" s="235" t="str">
        <f t="shared" si="10"/>
        <v/>
      </c>
    </row>
    <row r="633" spans="1:3">
      <c r="A633" s="241" t="s">
        <v>24</v>
      </c>
      <c r="B633" s="235" t="str">
        <f>IF(A633="","",IF('General price list'!$W$17=B632,A633,IFERROR(VLOOKUP(A633,Kategorie!C:AA,MATCH('General price list'!$W$17,Kategorie!$C$2:$AA$2,0),FALSE),"× Chybí překlad ×")))</f>
        <v/>
      </c>
      <c r="C633" s="235" t="str">
        <f t="shared" si="10"/>
        <v/>
      </c>
    </row>
    <row r="634" spans="1:3">
      <c r="A634" s="241" t="s">
        <v>13495</v>
      </c>
      <c r="B634" s="235" t="str">
        <f>IF(A634="","",IF('General price list'!$W$17=B633,A634,IFERROR(VLOOKUP(A634,Kategorie!C:AA,MATCH('General price list'!$W$17,Kategorie!$C$2:$AA$2,0),FALSE),"× Chybí překlad ×")))</f>
        <v>x</v>
      </c>
      <c r="C634" s="235" t="str">
        <f t="shared" si="10"/>
        <v>×</v>
      </c>
    </row>
    <row r="635" spans="1:3">
      <c r="A635" s="241" t="s">
        <v>24</v>
      </c>
      <c r="B635" s="235" t="str">
        <f>IF(A635="","",IF('General price list'!$W$17=B634,A635,IFERROR(VLOOKUP(A635,Kategorie!C:AA,MATCH('General price list'!$W$17,Kategorie!$C$2:$AA$2,0),FALSE),"× Chybí překlad ×")))</f>
        <v/>
      </c>
      <c r="C635" s="235" t="str">
        <f t="shared" si="10"/>
        <v/>
      </c>
    </row>
    <row r="636" spans="1:3">
      <c r="A636" s="241" t="s">
        <v>7607</v>
      </c>
      <c r="B636" s="235" t="str">
        <f>IF(A636="","",IF('General price list'!$W$17=B635,A636,IFERROR(VLOOKUP(A636,Kategorie!C:AA,MATCH('General price list'!$W$17,Kategorie!$C$2:$AA$2,0),FALSE),"× Chybí překlad ×")))</f>
        <v>Složený ohňostroj(s ochraným obalem) 25mm - F3 - 1.3G</v>
      </c>
      <c r="C636" s="235" t="str">
        <f t="shared" si="10"/>
        <v xml:space="preserve">                                                               Složený ohňostroj(s ochraným obalem) 25mm - F3 - 1.3G</v>
      </c>
    </row>
    <row r="637" spans="1:3">
      <c r="A637" s="241" t="s">
        <v>24</v>
      </c>
      <c r="B637" s="235" t="str">
        <f>IF(A637="","",IF('General price list'!$W$17=B636,A637,IFERROR(VLOOKUP(A637,Kategorie!C:AA,MATCH('General price list'!$W$17,Kategorie!$C$2:$AA$2,0),FALSE),"× Chybí překlad ×")))</f>
        <v/>
      </c>
      <c r="C637" s="235" t="str">
        <f t="shared" si="10"/>
        <v/>
      </c>
    </row>
    <row r="638" spans="1:3" ht="15.75">
      <c r="A638" s="242" t="s">
        <v>24</v>
      </c>
      <c r="B638" s="235" t="str">
        <f>IF(A638="","",IF('General price list'!$W$17=B637,A638,IFERROR(VLOOKUP(A638,Kategorie!C:AA,MATCH('General price list'!$W$17,Kategorie!$C$2:$AA$2,0),FALSE),"× Chybí překlad ×")))</f>
        <v/>
      </c>
      <c r="C638" s="235" t="str">
        <f t="shared" si="10"/>
        <v/>
      </c>
    </row>
    <row r="639" spans="1:3">
      <c r="A639" s="241" t="s">
        <v>24</v>
      </c>
      <c r="B639" s="235" t="str">
        <f>IF(A639="","",IF('General price list'!$W$17=B638,A639,IFERROR(VLOOKUP(A639,Kategorie!C:AA,MATCH('General price list'!$W$17,Kategorie!$C$2:$AA$2,0),FALSE),"× Chybí překlad ×")))</f>
        <v/>
      </c>
      <c r="C639" s="235" t="str">
        <f t="shared" si="10"/>
        <v/>
      </c>
    </row>
    <row r="640" spans="1:3">
      <c r="A640" s="241" t="s">
        <v>24</v>
      </c>
      <c r="B640" s="235" t="str">
        <f>IF(A640="","",IF('General price list'!$W$17=B639,A640,IFERROR(VLOOKUP(A640,Kategorie!C:AA,MATCH('General price list'!$W$17,Kategorie!$C$2:$AA$2,0),FALSE),"× Chybí překlad ×")))</f>
        <v/>
      </c>
      <c r="C640" s="235" t="str">
        <f t="shared" si="10"/>
        <v/>
      </c>
    </row>
    <row r="641" spans="1:3">
      <c r="A641" s="241" t="s">
        <v>24</v>
      </c>
      <c r="B641" s="235" t="str">
        <f>IF(A641="","",IF('General price list'!$W$17=B640,A641,IFERROR(VLOOKUP(A641,Kategorie!C:AA,MATCH('General price list'!$W$17,Kategorie!$C$2:$AA$2,0),FALSE),"× Chybí překlad ×")))</f>
        <v/>
      </c>
      <c r="C641" s="235" t="str">
        <f t="shared" si="10"/>
        <v/>
      </c>
    </row>
    <row r="642" spans="1:3" ht="15.75">
      <c r="A642" s="242" t="s">
        <v>24</v>
      </c>
      <c r="B642" s="235" t="str">
        <f>IF(A642="","",IF('General price list'!$W$17=B641,A642,IFERROR(VLOOKUP(A642,Kategorie!C:AA,MATCH('General price list'!$W$17,Kategorie!$C$2:$AA$2,0),FALSE),"× Chybí překlad ×")))</f>
        <v/>
      </c>
      <c r="C642" s="235" t="str">
        <f t="shared" si="10"/>
        <v/>
      </c>
    </row>
    <row r="643" spans="1:3">
      <c r="A643" s="241" t="s">
        <v>7625</v>
      </c>
      <c r="B643" s="235" t="str">
        <f>IF(A643="","",IF('General price list'!$W$17=B642,A643,IFERROR(VLOOKUP(A643,Kategorie!C:AA,MATCH('General price list'!$W$17,Kategorie!$C$2:$AA$2,0),FALSE),"× Chybí překlad ×")))</f>
        <v>Baterie 16ran, 30mm moždíř-1.3G</v>
      </c>
      <c r="C643" s="235" t="str">
        <f t="shared" si="10"/>
        <v xml:space="preserve">                                                               Baterie 16ran, 30mm moždíř-1.3G</v>
      </c>
    </row>
    <row r="644" spans="1:3">
      <c r="A644" s="241" t="s">
        <v>24</v>
      </c>
      <c r="B644" s="235" t="str">
        <f>IF(A644="","",IF('General price list'!$W$17=B643,A644,IFERROR(VLOOKUP(A644,Kategorie!C:AA,MATCH('General price list'!$W$17,Kategorie!$C$2:$AA$2,0),FALSE),"× Chybí překlad ×")))</f>
        <v/>
      </c>
      <c r="C644" s="235" t="str">
        <f t="shared" si="10"/>
        <v/>
      </c>
    </row>
    <row r="645" spans="1:3">
      <c r="A645" s="241" t="s">
        <v>24</v>
      </c>
      <c r="B645" s="235" t="str">
        <f>IF(A645="","",IF('General price list'!$W$17=B644,A645,IFERROR(VLOOKUP(A645,Kategorie!C:AA,MATCH('General price list'!$W$17,Kategorie!$C$2:$AA$2,0),FALSE),"× Chybí překlad ×")))</f>
        <v/>
      </c>
      <c r="C645" s="235" t="str">
        <f t="shared" si="10"/>
        <v/>
      </c>
    </row>
    <row r="646" spans="1:3">
      <c r="A646" s="241" t="s">
        <v>24</v>
      </c>
      <c r="B646" s="235" t="str">
        <f>IF(A646="","",IF('General price list'!$W$17=B645,A646,IFERROR(VLOOKUP(A646,Kategorie!C:AA,MATCH('General price list'!$W$17,Kategorie!$C$2:$AA$2,0),FALSE),"× Chybí překlad ×")))</f>
        <v/>
      </c>
      <c r="C646" s="235" t="str">
        <f t="shared" si="10"/>
        <v/>
      </c>
    </row>
    <row r="647" spans="1:3">
      <c r="A647" s="241" t="s">
        <v>24</v>
      </c>
      <c r="B647" s="235" t="str">
        <f>IF(A647="","",IF('General price list'!$W$17=B646,A647,IFERROR(VLOOKUP(A647,Kategorie!C:AA,MATCH('General price list'!$W$17,Kategorie!$C$2:$AA$2,0),FALSE),"× Chybí překlad ×")))</f>
        <v/>
      </c>
      <c r="C647" s="235" t="str">
        <f t="shared" si="10"/>
        <v/>
      </c>
    </row>
    <row r="648" spans="1:3">
      <c r="A648" s="241" t="s">
        <v>24</v>
      </c>
      <c r="B648" s="235" t="str">
        <f>IF(A648="","",IF('General price list'!$W$17=B647,A648,IFERROR(VLOOKUP(A648,Kategorie!C:AA,MATCH('General price list'!$W$17,Kategorie!$C$2:$AA$2,0),FALSE),"× Chybí překlad ×")))</f>
        <v/>
      </c>
      <c r="C648" s="235" t="str">
        <f t="shared" si="10"/>
        <v/>
      </c>
    </row>
    <row r="649" spans="1:3">
      <c r="A649" s="241" t="s">
        <v>24</v>
      </c>
      <c r="B649" s="235" t="str">
        <f>IF(A649="","",IF('General price list'!$W$17=B648,A649,IFERROR(VLOOKUP(A649,Kategorie!C:AA,MATCH('General price list'!$W$17,Kategorie!$C$2:$AA$2,0),FALSE),"× Chybí překlad ×")))</f>
        <v/>
      </c>
      <c r="C649" s="235" t="str">
        <f t="shared" si="10"/>
        <v/>
      </c>
    </row>
    <row r="650" spans="1:3" ht="15.75">
      <c r="A650" s="242" t="s">
        <v>24</v>
      </c>
      <c r="B650" s="235" t="str">
        <f>IF(A650="","",IF('General price list'!$W$17=B649,A650,IFERROR(VLOOKUP(A650,Kategorie!C:AA,MATCH('General price list'!$W$17,Kategorie!$C$2:$AA$2,0),FALSE),"× Chybí překlad ×")))</f>
        <v/>
      </c>
      <c r="C650" s="235" t="str">
        <f t="shared" si="10"/>
        <v/>
      </c>
    </row>
    <row r="651" spans="1:3">
      <c r="A651" s="241" t="s">
        <v>7634</v>
      </c>
      <c r="B651" s="235" t="str">
        <f>IF(A651="","",IF('General price list'!$W$17=B650,A651,IFERROR(VLOOKUP(A651,Kategorie!C:AA,MATCH('General price list'!$W$17,Kategorie!$C$2:$AA$2,0),FALSE),"× Chybí překlad ×")))</f>
        <v>Baterie 16ran, 30mm moždíř-1.4G</v>
      </c>
      <c r="C651" s="235" t="str">
        <f t="shared" si="10"/>
        <v xml:space="preserve">                                                               Baterie 16ran, 30mm moždíř-1.4G</v>
      </c>
    </row>
    <row r="652" spans="1:3">
      <c r="A652" s="241" t="s">
        <v>24</v>
      </c>
      <c r="B652" s="235" t="str">
        <f>IF(A652="","",IF('General price list'!$W$17=B651,A652,IFERROR(VLOOKUP(A652,Kategorie!C:AA,MATCH('General price list'!$W$17,Kategorie!$C$2:$AA$2,0),FALSE),"× Chybí překlad ×")))</f>
        <v/>
      </c>
      <c r="C652" s="235" t="str">
        <f t="shared" si="10"/>
        <v/>
      </c>
    </row>
    <row r="653" spans="1:3">
      <c r="A653" s="241" t="s">
        <v>7643</v>
      </c>
      <c r="B653" s="235" t="str">
        <f>IF(A653="","",IF('General price list'!$W$17=B652,A653,IFERROR(VLOOKUP(A653,Kategorie!C:AA,MATCH('General price list'!$W$17,Kategorie!$C$2:$AA$2,0),FALSE),"× Chybí překlad ×")))</f>
        <v>Baterie 19ran, 30mm moždíř-1.3G</v>
      </c>
      <c r="C653" s="235" t="str">
        <f t="shared" si="10"/>
        <v xml:space="preserve">                                                               Baterie 19ran, 30mm moždíř-1.3G</v>
      </c>
    </row>
    <row r="654" spans="1:3">
      <c r="A654" s="241" t="s">
        <v>13495</v>
      </c>
      <c r="B654" s="235" t="str">
        <f>IF(A654="","",IF('General price list'!$W$17=B653,A654,IFERROR(VLOOKUP(A654,Kategorie!C:AA,MATCH('General price list'!$W$17,Kategorie!$C$2:$AA$2,0),FALSE),"× Chybí překlad ×")))</f>
        <v>x</v>
      </c>
      <c r="C654" s="235" t="str">
        <f t="shared" si="10"/>
        <v>×</v>
      </c>
    </row>
    <row r="655" spans="1:3">
      <c r="A655" s="241" t="s">
        <v>24</v>
      </c>
      <c r="B655" s="235" t="str">
        <f>IF(A655="","",IF('General price list'!$W$17=B654,A655,IFERROR(VLOOKUP(A655,Kategorie!C:AA,MATCH('General price list'!$W$17,Kategorie!$C$2:$AA$2,0),FALSE),"× Chybí překlad ×")))</f>
        <v/>
      </c>
      <c r="C655" s="235" t="str">
        <f t="shared" si="10"/>
        <v/>
      </c>
    </row>
    <row r="656" spans="1:3" ht="15.75">
      <c r="A656" s="242" t="s">
        <v>24</v>
      </c>
      <c r="B656" s="235" t="str">
        <f>IF(A656="","",IF('General price list'!$W$17=B655,A656,IFERROR(VLOOKUP(A656,Kategorie!C:AA,MATCH('General price list'!$W$17,Kategorie!$C$2:$AA$2,0),FALSE),"× Chybí překlad ×")))</f>
        <v/>
      </c>
      <c r="C656" s="235" t="str">
        <f t="shared" ref="C656:C719" si="11">IF(A656="","",IF(A656="x","×",$B$1&amp;B656))</f>
        <v/>
      </c>
    </row>
    <row r="657" spans="1:3">
      <c r="A657" s="241" t="s">
        <v>24</v>
      </c>
      <c r="B657" s="235" t="str">
        <f>IF(A657="","",IF('General price list'!$W$17=B656,A657,IFERROR(VLOOKUP(A657,Kategorie!C:AA,MATCH('General price list'!$W$17,Kategorie!$C$2:$AA$2,0),FALSE),"× Chybí překlad ×")))</f>
        <v/>
      </c>
      <c r="C657" s="235" t="str">
        <f t="shared" si="11"/>
        <v/>
      </c>
    </row>
    <row r="658" spans="1:3">
      <c r="A658" s="241" t="s">
        <v>24</v>
      </c>
      <c r="B658" s="235" t="str">
        <f>IF(A658="","",IF('General price list'!$W$17=B657,A658,IFERROR(VLOOKUP(A658,Kategorie!C:AA,MATCH('General price list'!$W$17,Kategorie!$C$2:$AA$2,0),FALSE),"× Chybí překlad ×")))</f>
        <v/>
      </c>
      <c r="C658" s="235" t="str">
        <f t="shared" si="11"/>
        <v/>
      </c>
    </row>
    <row r="659" spans="1:3">
      <c r="A659" s="241" t="s">
        <v>24</v>
      </c>
      <c r="B659" s="235" t="str">
        <f>IF(A659="","",IF('General price list'!$W$17=B658,A659,IFERROR(VLOOKUP(A659,Kategorie!C:AA,MATCH('General price list'!$W$17,Kategorie!$C$2:$AA$2,0),FALSE),"× Chybí překlad ×")))</f>
        <v/>
      </c>
      <c r="C659" s="235" t="str">
        <f t="shared" si="11"/>
        <v/>
      </c>
    </row>
    <row r="660" spans="1:3" ht="15.75">
      <c r="A660" s="242" t="s">
        <v>7661</v>
      </c>
      <c r="B660" s="235" t="str">
        <f>IF(A660="","",IF('General price list'!$W$17=B659,A660,IFERROR(VLOOKUP(A660,Kategorie!C:AA,MATCH('General price list'!$W$17,Kategorie!$C$2:$AA$2,0),FALSE),"× Chybí překlad ×")))</f>
        <v>Baterie 25ran, 30mm moždíř F3 - 1.3G</v>
      </c>
      <c r="C660" s="235" t="str">
        <f t="shared" si="11"/>
        <v xml:space="preserve">                                                               Baterie 25ran, 30mm moždíř F3 - 1.3G</v>
      </c>
    </row>
    <row r="661" spans="1:3">
      <c r="A661" s="241" t="s">
        <v>24</v>
      </c>
      <c r="B661" s="235" t="str">
        <f>IF(A661="","",IF('General price list'!$W$17=B660,A661,IFERROR(VLOOKUP(A661,Kategorie!C:AA,MATCH('General price list'!$W$17,Kategorie!$C$2:$AA$2,0),FALSE),"× Chybí překlad ×")))</f>
        <v/>
      </c>
      <c r="C661" s="235" t="str">
        <f t="shared" si="11"/>
        <v/>
      </c>
    </row>
    <row r="662" spans="1:3" ht="15.75">
      <c r="A662" s="242" t="s">
        <v>24</v>
      </c>
      <c r="B662" s="235" t="str">
        <f>IF(A662="","",IF('General price list'!$W$17=B661,A662,IFERROR(VLOOKUP(A662,Kategorie!C:AA,MATCH('General price list'!$W$17,Kategorie!$C$2:$AA$2,0),FALSE),"× Chybí překlad ×")))</f>
        <v/>
      </c>
      <c r="C662" s="235" t="str">
        <f t="shared" si="11"/>
        <v/>
      </c>
    </row>
    <row r="663" spans="1:3">
      <c r="A663" s="241" t="s">
        <v>24</v>
      </c>
      <c r="B663" s="235" t="str">
        <f>IF(A663="","",IF('General price list'!$W$17=B662,A663,IFERROR(VLOOKUP(A663,Kategorie!C:AA,MATCH('General price list'!$W$17,Kategorie!$C$2:$AA$2,0),FALSE),"× Chybí překlad ×")))</f>
        <v/>
      </c>
      <c r="C663" s="235" t="str">
        <f t="shared" si="11"/>
        <v/>
      </c>
    </row>
    <row r="664" spans="1:3">
      <c r="A664" s="241" t="s">
        <v>24</v>
      </c>
      <c r="B664" s="235" t="str">
        <f>IF(A664="","",IF('General price list'!$W$17=B663,A664,IFERROR(VLOOKUP(A664,Kategorie!C:AA,MATCH('General price list'!$W$17,Kategorie!$C$2:$AA$2,0),FALSE),"× Chybí překlad ×")))</f>
        <v/>
      </c>
      <c r="C664" s="235" t="str">
        <f t="shared" si="11"/>
        <v/>
      </c>
    </row>
    <row r="665" spans="1:3" ht="15.75">
      <c r="A665" s="242" t="s">
        <v>24</v>
      </c>
      <c r="B665" s="235" t="str">
        <f>IF(A665="","",IF('General price list'!$W$17=B664,A665,IFERROR(VLOOKUP(A665,Kategorie!C:AA,MATCH('General price list'!$W$17,Kategorie!$C$2:$AA$2,0),FALSE),"× Chybí překlad ×")))</f>
        <v/>
      </c>
      <c r="C665" s="235" t="str">
        <f t="shared" si="11"/>
        <v/>
      </c>
    </row>
    <row r="666" spans="1:3">
      <c r="A666" s="241" t="s">
        <v>7670</v>
      </c>
      <c r="B666" s="235" t="str">
        <f>IF(A666="","",IF('General price list'!$W$17=B665,A666,IFERROR(VLOOKUP(A666,Kategorie!C:AA,MATCH('General price list'!$W$17,Kategorie!$C$2:$AA$2,0),FALSE),"× Chybí překlad ×")))</f>
        <v>Baterie 25ran, 30mm moždíř F2 -1.4G</v>
      </c>
      <c r="C666" s="235" t="str">
        <f t="shared" si="11"/>
        <v xml:space="preserve">                                                               Baterie 25ran, 30mm moždíř F2 -1.4G</v>
      </c>
    </row>
    <row r="667" spans="1:3">
      <c r="A667" s="241" t="s">
        <v>24</v>
      </c>
      <c r="B667" s="235" t="str">
        <f>IF(A667="","",IF('General price list'!$W$17=B666,A667,IFERROR(VLOOKUP(A667,Kategorie!C:AA,MATCH('General price list'!$W$17,Kategorie!$C$2:$AA$2,0),FALSE),"× Chybí překlad ×")))</f>
        <v/>
      </c>
      <c r="C667" s="235" t="str">
        <f t="shared" si="11"/>
        <v/>
      </c>
    </row>
    <row r="668" spans="1:3">
      <c r="A668" s="241" t="s">
        <v>24</v>
      </c>
      <c r="B668" s="235" t="str">
        <f>IF(A668="","",IF('General price list'!$W$17=B667,A668,IFERROR(VLOOKUP(A668,Kategorie!C:AA,MATCH('General price list'!$W$17,Kategorie!$C$2:$AA$2,0),FALSE),"× Chybí překlad ×")))</f>
        <v/>
      </c>
      <c r="C668" s="235" t="str">
        <f t="shared" si="11"/>
        <v/>
      </c>
    </row>
    <row r="669" spans="1:3" ht="15.75">
      <c r="A669" s="242" t="s">
        <v>24</v>
      </c>
      <c r="B669" s="235" t="str">
        <f>IF(A669="","",IF('General price list'!$W$17=B668,A669,IFERROR(VLOOKUP(A669,Kategorie!C:AA,MATCH('General price list'!$W$17,Kategorie!$C$2:$AA$2,0),FALSE),"× Chybí překlad ×")))</f>
        <v/>
      </c>
      <c r="C669" s="235" t="str">
        <f t="shared" si="11"/>
        <v/>
      </c>
    </row>
    <row r="670" spans="1:3">
      <c r="A670" s="241" t="s">
        <v>24</v>
      </c>
      <c r="B670" s="235" t="str">
        <f>IF(A670="","",IF('General price list'!$W$17=B669,A670,IFERROR(VLOOKUP(A670,Kategorie!C:AA,MATCH('General price list'!$W$17,Kategorie!$C$2:$AA$2,0),FALSE),"× Chybí překlad ×")))</f>
        <v/>
      </c>
      <c r="C670" s="235" t="str">
        <f t="shared" si="11"/>
        <v/>
      </c>
    </row>
    <row r="671" spans="1:3">
      <c r="A671" s="241" t="s">
        <v>24</v>
      </c>
      <c r="B671" s="235" t="str">
        <f>IF(A671="","",IF('General price list'!$W$17=B670,A671,IFERROR(VLOOKUP(A671,Kategorie!C:AA,MATCH('General price list'!$W$17,Kategorie!$C$2:$AA$2,0),FALSE),"× Chybí překlad ×")))</f>
        <v/>
      </c>
      <c r="C671" s="235" t="str">
        <f t="shared" si="11"/>
        <v/>
      </c>
    </row>
    <row r="672" spans="1:3">
      <c r="A672" s="241" t="s">
        <v>24</v>
      </c>
      <c r="B672" s="235" t="str">
        <f>IF(A672="","",IF('General price list'!$W$17=B671,A672,IFERROR(VLOOKUP(A672,Kategorie!C:AA,MATCH('General price list'!$W$17,Kategorie!$C$2:$AA$2,0),FALSE),"× Chybí překlad ×")))</f>
        <v/>
      </c>
      <c r="C672" s="235" t="str">
        <f t="shared" si="11"/>
        <v/>
      </c>
    </row>
    <row r="673" spans="1:3" ht="15.75">
      <c r="A673" s="242" t="s">
        <v>7688</v>
      </c>
      <c r="B673" s="235" t="str">
        <f>IF(A673="","",IF('General price list'!$W$17=B672,A673,IFERROR(VLOOKUP(A673,Kategorie!C:AA,MATCH('General price list'!$W$17,Kategorie!$C$2:$AA$2,0),FALSE),"× Chybí překlad ×")))</f>
        <v>Baterie 25ran, 30mm moždíř-1.4G</v>
      </c>
      <c r="C673" s="235" t="str">
        <f t="shared" si="11"/>
        <v xml:space="preserve">                                                               Baterie 25ran, 30mm moždíř-1.4G</v>
      </c>
    </row>
    <row r="674" spans="1:3">
      <c r="A674" s="241" t="s">
        <v>24</v>
      </c>
      <c r="B674" s="235" t="str">
        <f>IF(A674="","",IF('General price list'!$W$17=B673,A674,IFERROR(VLOOKUP(A674,Kategorie!C:AA,MATCH('General price list'!$W$17,Kategorie!$C$2:$AA$2,0),FALSE),"× Chybí překlad ×")))</f>
        <v/>
      </c>
      <c r="C674" s="235" t="str">
        <f t="shared" si="11"/>
        <v/>
      </c>
    </row>
    <row r="675" spans="1:3">
      <c r="A675" s="241" t="s">
        <v>7697</v>
      </c>
      <c r="B675" s="235" t="str">
        <f>IF(A675="","",IF('General price list'!$W$17=B674,A675,IFERROR(VLOOKUP(A675,Kategorie!C:AA,MATCH('General price list'!$W$17,Kategorie!$C$2:$AA$2,0),FALSE),"× Chybí překlad ×")))</f>
        <v>Baterie 25ran, 30mm šikmý moždíř-1.4G</v>
      </c>
      <c r="C675" s="235" t="str">
        <f t="shared" si="11"/>
        <v xml:space="preserve">                                                               Baterie 25ran, 30mm šikmý moždíř-1.4G</v>
      </c>
    </row>
    <row r="676" spans="1:3">
      <c r="A676" s="241" t="s">
        <v>24</v>
      </c>
      <c r="B676" s="235" t="str">
        <f>IF(A676="","",IF('General price list'!$W$17=B675,A676,IFERROR(VLOOKUP(A676,Kategorie!C:AA,MATCH('General price list'!$W$17,Kategorie!$C$2:$AA$2,0),FALSE),"× Chybí překlad ×")))</f>
        <v/>
      </c>
      <c r="C676" s="235" t="str">
        <f t="shared" si="11"/>
        <v/>
      </c>
    </row>
    <row r="677" spans="1:3">
      <c r="A677" s="241" t="s">
        <v>24</v>
      </c>
      <c r="B677" s="235" t="str">
        <f>IF(A677="","",IF('General price list'!$W$17=B676,A677,IFERROR(VLOOKUP(A677,Kategorie!C:AA,MATCH('General price list'!$W$17,Kategorie!$C$2:$AA$2,0),FALSE),"× Chybí překlad ×")))</f>
        <v/>
      </c>
      <c r="C677" s="235" t="str">
        <f t="shared" si="11"/>
        <v/>
      </c>
    </row>
    <row r="678" spans="1:3">
      <c r="A678" s="241" t="s">
        <v>24</v>
      </c>
      <c r="B678" s="235" t="str">
        <f>IF(A678="","",IF('General price list'!$W$17=B677,A678,IFERROR(VLOOKUP(A678,Kategorie!C:AA,MATCH('General price list'!$W$17,Kategorie!$C$2:$AA$2,0),FALSE),"× Chybí překlad ×")))</f>
        <v/>
      </c>
      <c r="C678" s="235" t="str">
        <f t="shared" si="11"/>
        <v/>
      </c>
    </row>
    <row r="679" spans="1:3" ht="15.75">
      <c r="A679" s="242" t="s">
        <v>7721</v>
      </c>
      <c r="B679" s="235" t="str">
        <f>IF(A679="","",IF('General price list'!$W$17=B678,A679,IFERROR(VLOOKUP(A679,Kategorie!C:AA,MATCH('General price list'!$W$17,Kategorie!$C$2:$AA$2,0),FALSE),"× Chybí překlad ×")))</f>
        <v>Baterie 36ran, 30mm moždíř-1.3G</v>
      </c>
      <c r="C679" s="235" t="str">
        <f t="shared" si="11"/>
        <v xml:space="preserve">                                                               Baterie 36ran, 30mm moždíř-1.3G</v>
      </c>
    </row>
    <row r="680" spans="1:3">
      <c r="A680" s="241" t="s">
        <v>24</v>
      </c>
      <c r="B680" s="235" t="str">
        <f>IF(A680="","",IF('General price list'!$W$17=B679,A680,IFERROR(VLOOKUP(A680,Kategorie!C:AA,MATCH('General price list'!$W$17,Kategorie!$C$2:$AA$2,0),FALSE),"× Chybí překlad ×")))</f>
        <v/>
      </c>
      <c r="C680" s="235" t="str">
        <f t="shared" si="11"/>
        <v/>
      </c>
    </row>
    <row r="681" spans="1:3">
      <c r="A681" s="241" t="s">
        <v>24</v>
      </c>
      <c r="B681" s="235" t="str">
        <f>IF(A681="","",IF('General price list'!$W$17=B680,A681,IFERROR(VLOOKUP(A681,Kategorie!C:AA,MATCH('General price list'!$W$17,Kategorie!$C$2:$AA$2,0),FALSE),"× Chybí překlad ×")))</f>
        <v/>
      </c>
      <c r="C681" s="235" t="str">
        <f t="shared" si="11"/>
        <v/>
      </c>
    </row>
    <row r="682" spans="1:3">
      <c r="A682" s="241" t="s">
        <v>24</v>
      </c>
      <c r="B682" s="235" t="str">
        <f>IF(A682="","",IF('General price list'!$W$17=B681,A682,IFERROR(VLOOKUP(A682,Kategorie!C:AA,MATCH('General price list'!$W$17,Kategorie!$C$2:$AA$2,0),FALSE),"× Chybí překlad ×")))</f>
        <v/>
      </c>
      <c r="C682" s="235" t="str">
        <f t="shared" si="11"/>
        <v/>
      </c>
    </row>
    <row r="683" spans="1:3" ht="15.75">
      <c r="A683" s="242" t="s">
        <v>24</v>
      </c>
      <c r="B683" s="235" t="str">
        <f>IF(A683="","",IF('General price list'!$W$17=B682,A683,IFERROR(VLOOKUP(A683,Kategorie!C:AA,MATCH('General price list'!$W$17,Kategorie!$C$2:$AA$2,0),FALSE),"× Chybí překlad ×")))</f>
        <v/>
      </c>
      <c r="C683" s="235" t="str">
        <f t="shared" si="11"/>
        <v/>
      </c>
    </row>
    <row r="684" spans="1:3">
      <c r="A684" s="241" t="s">
        <v>7730</v>
      </c>
      <c r="B684" s="235" t="str">
        <f>IF(A684="","",IF('General price list'!$W$17=B683,A684,IFERROR(VLOOKUP(A684,Kategorie!C:AA,MATCH('General price list'!$W$17,Kategorie!$C$2:$AA$2,0),FALSE),"× Chybí překlad ×")))</f>
        <v>Baterie 36ran, 30mm šikmý moždíř-1.3G</v>
      </c>
      <c r="C684" s="235" t="str">
        <f t="shared" si="11"/>
        <v xml:space="preserve">                                                               Baterie 36ran, 30mm šikmý moždíř-1.3G</v>
      </c>
    </row>
    <row r="685" spans="1:3" ht="15.75">
      <c r="A685" s="242" t="s">
        <v>24</v>
      </c>
      <c r="B685" s="235" t="str">
        <f>IF(A685="","",IF('General price list'!$W$17=B684,A685,IFERROR(VLOOKUP(A685,Kategorie!C:AA,MATCH('General price list'!$W$17,Kategorie!$C$2:$AA$2,0),FALSE),"× Chybí překlad ×")))</f>
        <v/>
      </c>
      <c r="C685" s="235" t="str">
        <f t="shared" si="11"/>
        <v/>
      </c>
    </row>
    <row r="686" spans="1:3">
      <c r="A686" s="241" t="s">
        <v>7739</v>
      </c>
      <c r="B686" s="235" t="str">
        <f>IF(A686="","",IF('General price list'!$W$17=B685,A686,IFERROR(VLOOKUP(A686,Kategorie!C:AA,MATCH('General price list'!$W$17,Kategorie!$C$2:$AA$2,0),FALSE),"× Chybí překlad ×")))</f>
        <v>Baterie 49ran, 30mm moždíř-1.3G</v>
      </c>
      <c r="C686" s="235" t="str">
        <f t="shared" si="11"/>
        <v xml:space="preserve">                                                               Baterie 49ran, 30mm moždíř-1.3G</v>
      </c>
    </row>
    <row r="687" spans="1:3">
      <c r="A687" s="241" t="s">
        <v>24</v>
      </c>
      <c r="B687" s="235" t="str">
        <f>IF(A687="","",IF('General price list'!$W$17=B686,A687,IFERROR(VLOOKUP(A687,Kategorie!C:AA,MATCH('General price list'!$W$17,Kategorie!$C$2:$AA$2,0),FALSE),"× Chybí překlad ×")))</f>
        <v/>
      </c>
      <c r="C687" s="235" t="str">
        <f t="shared" si="11"/>
        <v/>
      </c>
    </row>
    <row r="688" spans="1:3">
      <c r="A688" s="241" t="s">
        <v>24</v>
      </c>
      <c r="B688" s="235" t="str">
        <f>IF(A688="","",IF('General price list'!$W$17=B687,A688,IFERROR(VLOOKUP(A688,Kategorie!C:AA,MATCH('General price list'!$W$17,Kategorie!$C$2:$AA$2,0),FALSE),"× Chybí překlad ×")))</f>
        <v/>
      </c>
      <c r="C688" s="235" t="str">
        <f t="shared" si="11"/>
        <v/>
      </c>
    </row>
    <row r="689" spans="1:3">
      <c r="A689" s="241" t="s">
        <v>24</v>
      </c>
      <c r="B689" s="235" t="str">
        <f>IF(A689="","",IF('General price list'!$W$17=B688,A689,IFERROR(VLOOKUP(A689,Kategorie!C:AA,MATCH('General price list'!$W$17,Kategorie!$C$2:$AA$2,0),FALSE),"× Chybí překlad ×")))</f>
        <v/>
      </c>
      <c r="C689" s="235" t="str">
        <f t="shared" si="11"/>
        <v/>
      </c>
    </row>
    <row r="690" spans="1:3" ht="15.75">
      <c r="A690" s="242" t="s">
        <v>24</v>
      </c>
      <c r="B690" s="235" t="str">
        <f>IF(A690="","",IF('General price list'!$W$17=B689,A690,IFERROR(VLOOKUP(A690,Kategorie!C:AA,MATCH('General price list'!$W$17,Kategorie!$C$2:$AA$2,0),FALSE),"× Chybí překlad ×")))</f>
        <v/>
      </c>
      <c r="C690" s="235" t="str">
        <f t="shared" si="11"/>
        <v/>
      </c>
    </row>
    <row r="691" spans="1:3">
      <c r="A691" s="241" t="s">
        <v>24</v>
      </c>
      <c r="B691" s="235" t="str">
        <f>IF(A691="","",IF('General price list'!$W$17=B690,A691,IFERROR(VLOOKUP(A691,Kategorie!C:AA,MATCH('General price list'!$W$17,Kategorie!$C$2:$AA$2,0),FALSE),"× Chybí překlad ×")))</f>
        <v/>
      </c>
      <c r="C691" s="235" t="str">
        <f t="shared" si="11"/>
        <v/>
      </c>
    </row>
    <row r="692" spans="1:3">
      <c r="A692" s="241" t="s">
        <v>24</v>
      </c>
      <c r="B692" s="235" t="str">
        <f>IF(A692="","",IF('General price list'!$W$17=B691,A692,IFERROR(VLOOKUP(A692,Kategorie!C:AA,MATCH('General price list'!$W$17,Kategorie!$C$2:$AA$2,0),FALSE),"× Chybí překlad ×")))</f>
        <v/>
      </c>
      <c r="C692" s="235" t="str">
        <f t="shared" si="11"/>
        <v/>
      </c>
    </row>
    <row r="693" spans="1:3">
      <c r="A693" s="241" t="s">
        <v>24</v>
      </c>
      <c r="B693" s="235" t="str">
        <f>IF(A693="","",IF('General price list'!$W$17=B692,A693,IFERROR(VLOOKUP(A693,Kategorie!C:AA,MATCH('General price list'!$W$17,Kategorie!$C$2:$AA$2,0),FALSE),"× Chybí překlad ×")))</f>
        <v/>
      </c>
      <c r="C693" s="235" t="str">
        <f t="shared" si="11"/>
        <v/>
      </c>
    </row>
    <row r="694" spans="1:3" ht="15.75">
      <c r="A694" s="242" t="s">
        <v>24</v>
      </c>
      <c r="B694" s="235" t="str">
        <f>IF(A694="","",IF('General price list'!$W$17=B693,A694,IFERROR(VLOOKUP(A694,Kategorie!C:AA,MATCH('General price list'!$W$17,Kategorie!$C$2:$AA$2,0),FALSE),"× Chybí překlad ×")))</f>
        <v/>
      </c>
      <c r="C694" s="235" t="str">
        <f t="shared" si="11"/>
        <v/>
      </c>
    </row>
    <row r="695" spans="1:3">
      <c r="A695" s="241" t="s">
        <v>24</v>
      </c>
      <c r="B695" s="235" t="str">
        <f>IF(A695="","",IF('General price list'!$W$17=B694,A695,IFERROR(VLOOKUP(A695,Kategorie!C:AA,MATCH('General price list'!$W$17,Kategorie!$C$2:$AA$2,0),FALSE),"× Chybí překlad ×")))</f>
        <v/>
      </c>
      <c r="C695" s="235" t="str">
        <f t="shared" si="11"/>
        <v/>
      </c>
    </row>
    <row r="696" spans="1:3">
      <c r="A696" s="241" t="s">
        <v>24</v>
      </c>
      <c r="B696" s="235" t="str">
        <f>IF(A696="","",IF('General price list'!$W$17=B695,A696,IFERROR(VLOOKUP(A696,Kategorie!C:AA,MATCH('General price list'!$W$17,Kategorie!$C$2:$AA$2,0),FALSE),"× Chybí překlad ×")))</f>
        <v/>
      </c>
      <c r="C696" s="235" t="str">
        <f t="shared" si="11"/>
        <v/>
      </c>
    </row>
    <row r="697" spans="1:3">
      <c r="A697" s="241" t="s">
        <v>24</v>
      </c>
      <c r="B697" s="235" t="str">
        <f>IF(A697="","",IF('General price list'!$W$17=B696,A697,IFERROR(VLOOKUP(A697,Kategorie!C:AA,MATCH('General price list'!$W$17,Kategorie!$C$2:$AA$2,0),FALSE),"× Chybí překlad ×")))</f>
        <v/>
      </c>
      <c r="C697" s="235" t="str">
        <f t="shared" si="11"/>
        <v/>
      </c>
    </row>
    <row r="698" spans="1:3">
      <c r="A698" s="241" t="s">
        <v>7748</v>
      </c>
      <c r="B698" s="235" t="str">
        <f>IF(A698="","",IF('General price list'!$W$17=B697,A698,IFERROR(VLOOKUP(A698,Kategorie!C:AA,MATCH('General price list'!$W$17,Kategorie!$C$2:$AA$2,0),FALSE),"× Chybí překlad ×")))</f>
        <v>Baterie 49ran, 30mm šikmý moždíř-1.3G</v>
      </c>
      <c r="C698" s="235" t="str">
        <f t="shared" si="11"/>
        <v xml:space="preserve">                                                               Baterie 49ran, 30mm šikmý moždíř-1.3G</v>
      </c>
    </row>
    <row r="699" spans="1:3">
      <c r="A699" s="241" t="s">
        <v>24</v>
      </c>
      <c r="B699" s="235" t="str">
        <f>IF(A699="","",IF('General price list'!$W$17=B698,A699,IFERROR(VLOOKUP(A699,Kategorie!C:AA,MATCH('General price list'!$W$17,Kategorie!$C$2:$AA$2,0),FALSE),"× Chybí překlad ×")))</f>
        <v/>
      </c>
      <c r="C699" s="235" t="str">
        <f t="shared" si="11"/>
        <v/>
      </c>
    </row>
    <row r="700" spans="1:3">
      <c r="A700" s="241" t="s">
        <v>24</v>
      </c>
      <c r="B700" s="235" t="str">
        <f>IF(A700="","",IF('General price list'!$W$17=B699,A700,IFERROR(VLOOKUP(A700,Kategorie!C:AA,MATCH('General price list'!$W$17,Kategorie!$C$2:$AA$2,0),FALSE),"× Chybí překlad ×")))</f>
        <v/>
      </c>
      <c r="C700" s="235" t="str">
        <f t="shared" si="11"/>
        <v/>
      </c>
    </row>
    <row r="701" spans="1:3" ht="15.75">
      <c r="A701" s="242" t="s">
        <v>24</v>
      </c>
      <c r="B701" s="235" t="str">
        <f>IF(A701="","",IF('General price list'!$W$17=B700,A701,IFERROR(VLOOKUP(A701,Kategorie!C:AA,MATCH('General price list'!$W$17,Kategorie!$C$2:$AA$2,0),FALSE),"× Chybí překlad ×")))</f>
        <v/>
      </c>
      <c r="C701" s="235" t="str">
        <f t="shared" si="11"/>
        <v/>
      </c>
    </row>
    <row r="702" spans="1:3">
      <c r="A702" s="241" t="s">
        <v>24</v>
      </c>
      <c r="B702" s="235" t="str">
        <f>IF(A702="","",IF('General price list'!$W$17=B701,A702,IFERROR(VLOOKUP(A702,Kategorie!C:AA,MATCH('General price list'!$W$17,Kategorie!$C$2:$AA$2,0),FALSE),"× Chybí překlad ×")))</f>
        <v/>
      </c>
      <c r="C702" s="235" t="str">
        <f t="shared" si="11"/>
        <v/>
      </c>
    </row>
    <row r="703" spans="1:3">
      <c r="A703" s="241" t="s">
        <v>7757</v>
      </c>
      <c r="B703" s="235" t="str">
        <f>IF(A703="","",IF('General price list'!$W$17=B702,A703,IFERROR(VLOOKUP(A703,Kategorie!C:AA,MATCH('General price list'!$W$17,Kategorie!$C$2:$AA$2,0),FALSE),"× Chybí překlad ×")))</f>
        <v>Baterie 50ran, 30mm moždíř-1.3G</v>
      </c>
      <c r="C703" s="235" t="str">
        <f t="shared" si="11"/>
        <v xml:space="preserve">                                                               Baterie 50ran, 30mm moždíř-1.3G</v>
      </c>
    </row>
    <row r="704" spans="1:3">
      <c r="A704" s="241" t="s">
        <v>24</v>
      </c>
      <c r="B704" s="235" t="str">
        <f>IF(A704="","",IF('General price list'!$W$17=B703,A704,IFERROR(VLOOKUP(A704,Kategorie!C:AA,MATCH('General price list'!$W$17,Kategorie!$C$2:$AA$2,0),FALSE),"× Chybí překlad ×")))</f>
        <v/>
      </c>
      <c r="C704" s="235" t="str">
        <f t="shared" si="11"/>
        <v/>
      </c>
    </row>
    <row r="705" spans="1:3">
      <c r="A705" s="241" t="s">
        <v>24</v>
      </c>
      <c r="B705" s="235" t="str">
        <f>IF(A705="","",IF('General price list'!$W$17=B704,A705,IFERROR(VLOOKUP(A705,Kategorie!C:AA,MATCH('General price list'!$W$17,Kategorie!$C$2:$AA$2,0),FALSE),"× Chybí překlad ×")))</f>
        <v/>
      </c>
      <c r="C705" s="235" t="str">
        <f t="shared" si="11"/>
        <v/>
      </c>
    </row>
    <row r="706" spans="1:3">
      <c r="A706" s="241" t="s">
        <v>24</v>
      </c>
      <c r="B706" s="235" t="str">
        <f>IF(A706="","",IF('General price list'!$W$17=B705,A706,IFERROR(VLOOKUP(A706,Kategorie!C:AA,MATCH('General price list'!$W$17,Kategorie!$C$2:$AA$2,0),FALSE),"× Chybí překlad ×")))</f>
        <v/>
      </c>
      <c r="C706" s="235" t="str">
        <f t="shared" si="11"/>
        <v/>
      </c>
    </row>
    <row r="707" spans="1:3">
      <c r="A707" s="241" t="s">
        <v>24</v>
      </c>
      <c r="B707" s="235" t="str">
        <f>IF(A707="","",IF('General price list'!$W$17=B706,A707,IFERROR(VLOOKUP(A707,Kategorie!C:AA,MATCH('General price list'!$W$17,Kategorie!$C$2:$AA$2,0),FALSE),"× Chybí překlad ×")))</f>
        <v/>
      </c>
      <c r="C707" s="235" t="str">
        <f t="shared" si="11"/>
        <v/>
      </c>
    </row>
    <row r="708" spans="1:3">
      <c r="A708" s="241" t="s">
        <v>24</v>
      </c>
      <c r="B708" s="235" t="str">
        <f>IF(A708="","",IF('General price list'!$W$17=B707,A708,IFERROR(VLOOKUP(A708,Kategorie!C:AA,MATCH('General price list'!$W$17,Kategorie!$C$2:$AA$2,0),FALSE),"× Chybí překlad ×")))</f>
        <v/>
      </c>
      <c r="C708" s="235" t="str">
        <f t="shared" si="11"/>
        <v/>
      </c>
    </row>
    <row r="709" spans="1:3" ht="15.75">
      <c r="A709" s="242" t="s">
        <v>13495</v>
      </c>
      <c r="B709" s="235" t="str">
        <f>IF(A709="","",IF('General price list'!$W$17=B708,A709,IFERROR(VLOOKUP(A709,Kategorie!C:AA,MATCH('General price list'!$W$17,Kategorie!$C$2:$AA$2,0),FALSE),"× Chybí překlad ×")))</f>
        <v>x</v>
      </c>
      <c r="C709" s="235" t="str">
        <f t="shared" si="11"/>
        <v>×</v>
      </c>
    </row>
    <row r="710" spans="1:3">
      <c r="A710" s="241" t="s">
        <v>7766</v>
      </c>
      <c r="B710" s="235" t="str">
        <f>IF(A710="","",IF('General price list'!$W$17=B709,A710,IFERROR(VLOOKUP(A710,Kategorie!C:AA,MATCH('General price list'!$W$17,Kategorie!$C$2:$AA$2,0),FALSE),"× Chybí překlad ×")))</f>
        <v>Baterie 64ran, 30mm moždíř-1.3G</v>
      </c>
      <c r="C710" s="235" t="str">
        <f t="shared" si="11"/>
        <v xml:space="preserve">                                                               Baterie 64ran, 30mm moždíř-1.3G</v>
      </c>
    </row>
    <row r="711" spans="1:3">
      <c r="A711" s="241" t="s">
        <v>24</v>
      </c>
      <c r="B711" s="235" t="str">
        <f>IF(A711="","",IF('General price list'!$W$17=B710,A711,IFERROR(VLOOKUP(A711,Kategorie!C:AA,MATCH('General price list'!$W$17,Kategorie!$C$2:$AA$2,0),FALSE),"× Chybí překlad ×")))</f>
        <v/>
      </c>
      <c r="C711" s="235" t="str">
        <f t="shared" si="11"/>
        <v/>
      </c>
    </row>
    <row r="712" spans="1:3">
      <c r="A712" s="241" t="s">
        <v>24</v>
      </c>
      <c r="B712" s="235" t="str">
        <f>IF(A712="","",IF('General price list'!$W$17=B711,A712,IFERROR(VLOOKUP(A712,Kategorie!C:AA,MATCH('General price list'!$W$17,Kategorie!$C$2:$AA$2,0),FALSE),"× Chybí překlad ×")))</f>
        <v/>
      </c>
      <c r="C712" s="235" t="str">
        <f t="shared" si="11"/>
        <v/>
      </c>
    </row>
    <row r="713" spans="1:3">
      <c r="A713" s="241" t="s">
        <v>24</v>
      </c>
      <c r="B713" s="235" t="str">
        <f>IF(A713="","",IF('General price list'!$W$17=B712,A713,IFERROR(VLOOKUP(A713,Kategorie!C:AA,MATCH('General price list'!$W$17,Kategorie!$C$2:$AA$2,0),FALSE),"× Chybí překlad ×")))</f>
        <v/>
      </c>
      <c r="C713" s="235" t="str">
        <f t="shared" si="11"/>
        <v/>
      </c>
    </row>
    <row r="714" spans="1:3" ht="15.75">
      <c r="A714" s="242" t="s">
        <v>24</v>
      </c>
      <c r="B714" s="235" t="str">
        <f>IF(A714="","",IF('General price list'!$W$17=B713,A714,IFERROR(VLOOKUP(A714,Kategorie!C:AA,MATCH('General price list'!$W$17,Kategorie!$C$2:$AA$2,0),FALSE),"× Chybí překlad ×")))</f>
        <v/>
      </c>
      <c r="C714" s="235" t="str">
        <f t="shared" si="11"/>
        <v/>
      </c>
    </row>
    <row r="715" spans="1:3">
      <c r="A715" s="241" t="s">
        <v>7775</v>
      </c>
      <c r="B715" s="235" t="str">
        <f>IF(A715="","",IF('General price list'!$W$17=B714,A715,IFERROR(VLOOKUP(A715,Kategorie!C:AA,MATCH('General price list'!$W$17,Kategorie!$C$2:$AA$2,0),FALSE),"× Chybí překlad ×")))</f>
        <v>Baterie 64ran, 30mm šikmý moždíř-1.3G</v>
      </c>
      <c r="C715" s="235" t="str">
        <f t="shared" si="11"/>
        <v xml:space="preserve">                                                               Baterie 64ran, 30mm šikmý moždíř-1.3G</v>
      </c>
    </row>
    <row r="716" spans="1:3">
      <c r="A716" s="241" t="s">
        <v>24</v>
      </c>
      <c r="B716" s="235" t="str">
        <f>IF(A716="","",IF('General price list'!$W$17=B715,A716,IFERROR(VLOOKUP(A716,Kategorie!C:AA,MATCH('General price list'!$W$17,Kategorie!$C$2:$AA$2,0),FALSE),"× Chybí překlad ×")))</f>
        <v/>
      </c>
      <c r="C716" s="235" t="str">
        <f t="shared" si="11"/>
        <v/>
      </c>
    </row>
    <row r="717" spans="1:3">
      <c r="A717" s="241" t="s">
        <v>24</v>
      </c>
      <c r="B717" s="235" t="str">
        <f>IF(A717="","",IF('General price list'!$W$17=B716,A717,IFERROR(VLOOKUP(A717,Kategorie!C:AA,MATCH('General price list'!$W$17,Kategorie!$C$2:$AA$2,0),FALSE),"× Chybí překlad ×")))</f>
        <v/>
      </c>
      <c r="C717" s="235" t="str">
        <f t="shared" si="11"/>
        <v/>
      </c>
    </row>
    <row r="718" spans="1:3">
      <c r="A718" s="241" t="s">
        <v>7784</v>
      </c>
      <c r="B718" s="235" t="str">
        <f>IF(A718="","",IF('General price list'!$W$17=B717,A718,IFERROR(VLOOKUP(A718,Kategorie!C:AA,MATCH('General price list'!$W$17,Kategorie!$C$2:$AA$2,0),FALSE),"× Chybí překlad ×")))</f>
        <v>Baterie 64ran, 30mm rovný+šikmý moždíř-1.3G</v>
      </c>
      <c r="C718" s="235" t="str">
        <f t="shared" si="11"/>
        <v xml:space="preserve">                                                               Baterie 64ran, 30mm rovný+šikmý moždíř-1.3G</v>
      </c>
    </row>
    <row r="719" spans="1:3" ht="15.75">
      <c r="A719" s="242" t="s">
        <v>24</v>
      </c>
      <c r="B719" s="235" t="str">
        <f>IF(A719="","",IF('General price list'!$W$17=B718,A719,IFERROR(VLOOKUP(A719,Kategorie!C:AA,MATCH('General price list'!$W$17,Kategorie!$C$2:$AA$2,0),FALSE),"× Chybí překlad ×")))</f>
        <v/>
      </c>
      <c r="C719" s="235" t="str">
        <f t="shared" si="11"/>
        <v/>
      </c>
    </row>
    <row r="720" spans="1:3">
      <c r="A720" s="241" t="s">
        <v>7793</v>
      </c>
      <c r="B720" s="235" t="str">
        <f>IF(A720="","",IF('General price list'!$W$17=B719,A720,IFERROR(VLOOKUP(A720,Kategorie!C:AA,MATCH('General price list'!$W$17,Kategorie!$C$2:$AA$2,0),FALSE),"× Chybí překlad ×")))</f>
        <v>Baterie 64ran, 30mm rovný+šikmý+V+W moždíř-1.3G</v>
      </c>
      <c r="C720" s="235" t="str">
        <f t="shared" ref="C720:C783" si="12">IF(A720="","",IF(A720="x","×",$B$1&amp;B720))</f>
        <v xml:space="preserve">                                                               Baterie 64ran, 30mm rovný+šikmý+V+W moždíř-1.3G</v>
      </c>
    </row>
    <row r="721" spans="1:3">
      <c r="A721" s="241" t="s">
        <v>24</v>
      </c>
      <c r="B721" s="235" t="str">
        <f>IF(A721="","",IF('General price list'!$W$17=B720,A721,IFERROR(VLOOKUP(A721,Kategorie!C:AA,MATCH('General price list'!$W$17,Kategorie!$C$2:$AA$2,0),FALSE),"× Chybí překlad ×")))</f>
        <v/>
      </c>
      <c r="C721" s="235" t="str">
        <f t="shared" si="12"/>
        <v/>
      </c>
    </row>
    <row r="722" spans="1:3" ht="15.75">
      <c r="A722" s="242" t="s">
        <v>24</v>
      </c>
      <c r="B722" s="235" t="str">
        <f>IF(A722="","",IF('General price list'!$W$17=B721,A722,IFERROR(VLOOKUP(A722,Kategorie!C:AA,MATCH('General price list'!$W$17,Kategorie!$C$2:$AA$2,0),FALSE),"× Chybí překlad ×")))</f>
        <v/>
      </c>
      <c r="C722" s="235" t="str">
        <f t="shared" si="12"/>
        <v/>
      </c>
    </row>
    <row r="723" spans="1:3">
      <c r="A723" s="241" t="s">
        <v>7801</v>
      </c>
      <c r="B723" s="235" t="str">
        <f>IF(A723="","",IF('General price list'!$W$17=B722,A723,IFERROR(VLOOKUP(A723,Kategorie!C:AA,MATCH('General price list'!$W$17,Kategorie!$C$2:$AA$2,0),FALSE),"× Chybí překlad ×")))</f>
        <v>Složený ohňostroj 30mm - F2 - 1.4G</v>
      </c>
      <c r="C723" s="235" t="str">
        <f t="shared" si="12"/>
        <v xml:space="preserve">                                                               Složený ohňostroj 30mm - F2 - 1.4G</v>
      </c>
    </row>
    <row r="724" spans="1:3">
      <c r="A724" s="241" t="s">
        <v>24</v>
      </c>
      <c r="B724" s="235" t="str">
        <f>IF(A724="","",IF('General price list'!$W$17=B723,A724,IFERROR(VLOOKUP(A724,Kategorie!C:AA,MATCH('General price list'!$W$17,Kategorie!$C$2:$AA$2,0),FALSE),"× Chybí překlad ×")))</f>
        <v/>
      </c>
      <c r="C724" s="235" t="str">
        <f t="shared" si="12"/>
        <v/>
      </c>
    </row>
    <row r="725" spans="1:3">
      <c r="A725" s="241" t="s">
        <v>24</v>
      </c>
      <c r="B725" s="235" t="str">
        <f>IF(A725="","",IF('General price list'!$W$17=B724,A725,IFERROR(VLOOKUP(A725,Kategorie!C:AA,MATCH('General price list'!$W$17,Kategorie!$C$2:$AA$2,0),FALSE),"× Chybí překlad ×")))</f>
        <v/>
      </c>
      <c r="C725" s="235" t="str">
        <f t="shared" si="12"/>
        <v/>
      </c>
    </row>
    <row r="726" spans="1:3">
      <c r="A726" s="241" t="s">
        <v>24</v>
      </c>
      <c r="B726" s="235" t="str">
        <f>IF(A726="","",IF('General price list'!$W$17=B725,A726,IFERROR(VLOOKUP(A726,Kategorie!C:AA,MATCH('General price list'!$W$17,Kategorie!$C$2:$AA$2,0),FALSE),"× Chybí překlad ×")))</f>
        <v/>
      </c>
      <c r="C726" s="235" t="str">
        <f t="shared" si="12"/>
        <v/>
      </c>
    </row>
    <row r="727" spans="1:3">
      <c r="A727" s="241" t="s">
        <v>24</v>
      </c>
      <c r="B727" s="235" t="str">
        <f>IF(A727="","",IF('General price list'!$W$17=B726,A727,IFERROR(VLOOKUP(A727,Kategorie!C:AA,MATCH('General price list'!$W$17,Kategorie!$C$2:$AA$2,0),FALSE),"× Chybí překlad ×")))</f>
        <v/>
      </c>
      <c r="C727" s="235" t="str">
        <f t="shared" si="12"/>
        <v/>
      </c>
    </row>
    <row r="728" spans="1:3">
      <c r="A728" s="241" t="s">
        <v>13495</v>
      </c>
      <c r="B728" s="235" t="str">
        <f>IF(A728="","",IF('General price list'!$W$17=B727,A728,IFERROR(VLOOKUP(A728,Kategorie!C:AA,MATCH('General price list'!$W$17,Kategorie!$C$2:$AA$2,0),FALSE),"× Chybí překlad ×")))</f>
        <v>x</v>
      </c>
      <c r="C728" s="235" t="str">
        <f t="shared" si="12"/>
        <v>×</v>
      </c>
    </row>
    <row r="729" spans="1:3">
      <c r="A729" s="241" t="s">
        <v>24</v>
      </c>
      <c r="B729" s="235" t="str">
        <f>IF(A729="","",IF('General price list'!$W$17=B728,A729,IFERROR(VLOOKUP(A729,Kategorie!C:AA,MATCH('General price list'!$W$17,Kategorie!$C$2:$AA$2,0),FALSE),"× Chybí překlad ×")))</f>
        <v/>
      </c>
      <c r="C729" s="235" t="str">
        <f t="shared" si="12"/>
        <v/>
      </c>
    </row>
    <row r="730" spans="1:3">
      <c r="A730" s="241" t="s">
        <v>24</v>
      </c>
      <c r="B730" s="235" t="str">
        <f>IF(A730="","",IF('General price list'!$W$17=B729,A730,IFERROR(VLOOKUP(A730,Kategorie!C:AA,MATCH('General price list'!$W$17,Kategorie!$C$2:$AA$2,0),FALSE),"× Chybí překlad ×")))</f>
        <v/>
      </c>
      <c r="C730" s="235" t="str">
        <f t="shared" si="12"/>
        <v/>
      </c>
    </row>
    <row r="731" spans="1:3">
      <c r="A731" s="241" t="s">
        <v>24</v>
      </c>
      <c r="B731" s="235" t="str">
        <f>IF(A731="","",IF('General price list'!$W$17=B730,A731,IFERROR(VLOOKUP(A731,Kategorie!C:AA,MATCH('General price list'!$W$17,Kategorie!$C$2:$AA$2,0),FALSE),"× Chybí překlad ×")))</f>
        <v/>
      </c>
      <c r="C731" s="235" t="str">
        <f t="shared" si="12"/>
        <v/>
      </c>
    </row>
    <row r="732" spans="1:3">
      <c r="A732" s="241" t="s">
        <v>24</v>
      </c>
      <c r="B732" s="235" t="str">
        <f>IF(A732="","",IF('General price list'!$W$17=B731,A732,IFERROR(VLOOKUP(A732,Kategorie!C:AA,MATCH('General price list'!$W$17,Kategorie!$C$2:$AA$2,0),FALSE),"× Chybí překlad ×")))</f>
        <v/>
      </c>
      <c r="C732" s="235" t="str">
        <f t="shared" si="12"/>
        <v/>
      </c>
    </row>
    <row r="733" spans="1:3">
      <c r="A733" s="241" t="s">
        <v>24</v>
      </c>
      <c r="B733" s="235" t="str">
        <f>IF(A733="","",IF('General price list'!$W$17=B732,A733,IFERROR(VLOOKUP(A733,Kategorie!C:AA,MATCH('General price list'!$W$17,Kategorie!$C$2:$AA$2,0),FALSE),"× Chybí překlad ×")))</f>
        <v/>
      </c>
      <c r="C733" s="235" t="str">
        <f t="shared" si="12"/>
        <v/>
      </c>
    </row>
    <row r="734" spans="1:3">
      <c r="A734" s="241" t="s">
        <v>24</v>
      </c>
      <c r="B734" s="235" t="str">
        <f>IF(A734="","",IF('General price list'!$W$17=B733,A734,IFERROR(VLOOKUP(A734,Kategorie!C:AA,MATCH('General price list'!$W$17,Kategorie!$C$2:$AA$2,0),FALSE),"× Chybí překlad ×")))</f>
        <v/>
      </c>
      <c r="C734" s="235" t="str">
        <f t="shared" si="12"/>
        <v/>
      </c>
    </row>
    <row r="735" spans="1:3" ht="15.75">
      <c r="A735" s="242" t="s">
        <v>7810</v>
      </c>
      <c r="B735" s="235" t="str">
        <f>IF(A735="","",IF('General price list'!$W$17=B734,A735,IFERROR(VLOOKUP(A735,Kategorie!C:AA,MATCH('General price list'!$W$17,Kategorie!$C$2:$AA$2,0),FALSE),"× Chybí překlad ×")))</f>
        <v>Složený ohňostroj(s ochraným obalem) 30mm - F2 - 1.4G</v>
      </c>
      <c r="C735" s="235" t="str">
        <f t="shared" si="12"/>
        <v xml:space="preserve">                                                               Složený ohňostroj(s ochraným obalem) 30mm - F2 - 1.4G</v>
      </c>
    </row>
    <row r="736" spans="1:3">
      <c r="A736" s="241" t="s">
        <v>24</v>
      </c>
      <c r="B736" s="235" t="str">
        <f>IF(A736="","",IF('General price list'!$W$17=B735,A736,IFERROR(VLOOKUP(A736,Kategorie!C:AA,MATCH('General price list'!$W$17,Kategorie!$C$2:$AA$2,0),FALSE),"× Chybí překlad ×")))</f>
        <v/>
      </c>
      <c r="C736" s="235" t="str">
        <f t="shared" si="12"/>
        <v/>
      </c>
    </row>
    <row r="737" spans="1:3">
      <c r="A737" s="241" t="s">
        <v>24</v>
      </c>
      <c r="B737" s="235" t="str">
        <f>IF(A737="","",IF('General price list'!$W$17=B736,A737,IFERROR(VLOOKUP(A737,Kategorie!C:AA,MATCH('General price list'!$W$17,Kategorie!$C$2:$AA$2,0),FALSE),"× Chybí překlad ×")))</f>
        <v/>
      </c>
      <c r="C737" s="235" t="str">
        <f t="shared" si="12"/>
        <v/>
      </c>
    </row>
    <row r="738" spans="1:3">
      <c r="A738" s="241" t="s">
        <v>24</v>
      </c>
      <c r="B738" s="235" t="str">
        <f>IF(A738="","",IF('General price list'!$W$17=B737,A738,IFERROR(VLOOKUP(A738,Kategorie!C:AA,MATCH('General price list'!$W$17,Kategorie!$C$2:$AA$2,0),FALSE),"× Chybí překlad ×")))</f>
        <v/>
      </c>
      <c r="C738" s="235" t="str">
        <f t="shared" si="12"/>
        <v/>
      </c>
    </row>
    <row r="739" spans="1:3">
      <c r="A739" s="241" t="s">
        <v>24</v>
      </c>
      <c r="B739" s="235" t="str">
        <f>IF(A739="","",IF('General price list'!$W$17=B738,A739,IFERROR(VLOOKUP(A739,Kategorie!C:AA,MATCH('General price list'!$W$17,Kategorie!$C$2:$AA$2,0),FALSE),"× Chybí překlad ×")))</f>
        <v/>
      </c>
      <c r="C739" s="235" t="str">
        <f t="shared" si="12"/>
        <v/>
      </c>
    </row>
    <row r="740" spans="1:3">
      <c r="A740" s="241" t="s">
        <v>24</v>
      </c>
      <c r="B740" s="235" t="str">
        <f>IF(A740="","",IF('General price list'!$W$17=B739,A740,IFERROR(VLOOKUP(A740,Kategorie!C:AA,MATCH('General price list'!$W$17,Kategorie!$C$2:$AA$2,0),FALSE),"× Chybí překlad ×")))</f>
        <v/>
      </c>
      <c r="C740" s="235" t="str">
        <f t="shared" si="12"/>
        <v/>
      </c>
    </row>
    <row r="741" spans="1:3">
      <c r="A741" s="241" t="s">
        <v>24</v>
      </c>
      <c r="B741" s="235" t="str">
        <f>IF(A741="","",IF('General price list'!$W$17=B740,A741,IFERROR(VLOOKUP(A741,Kategorie!C:AA,MATCH('General price list'!$W$17,Kategorie!$C$2:$AA$2,0),FALSE),"× Chybí překlad ×")))</f>
        <v/>
      </c>
      <c r="C741" s="235" t="str">
        <f t="shared" si="12"/>
        <v/>
      </c>
    </row>
    <row r="742" spans="1:3" ht="15.75">
      <c r="A742" s="242" t="s">
        <v>24</v>
      </c>
      <c r="B742" s="235" t="str">
        <f>IF(A742="","",IF('General price list'!$W$17=B741,A742,IFERROR(VLOOKUP(A742,Kategorie!C:AA,MATCH('General price list'!$W$17,Kategorie!$C$2:$AA$2,0),FALSE),"× Chybí překlad ×")))</f>
        <v/>
      </c>
      <c r="C742" s="235" t="str">
        <f t="shared" si="12"/>
        <v/>
      </c>
    </row>
    <row r="743" spans="1:3">
      <c r="A743" s="241" t="s">
        <v>24</v>
      </c>
      <c r="B743" s="235" t="str">
        <f>IF(A743="","",IF('General price list'!$W$17=B742,A743,IFERROR(VLOOKUP(A743,Kategorie!C:AA,MATCH('General price list'!$W$17,Kategorie!$C$2:$AA$2,0),FALSE),"× Chybí překlad ×")))</f>
        <v/>
      </c>
      <c r="C743" s="235" t="str">
        <f t="shared" si="12"/>
        <v/>
      </c>
    </row>
    <row r="744" spans="1:3" ht="15.75">
      <c r="A744" s="242" t="s">
        <v>24</v>
      </c>
      <c r="B744" s="235" t="str">
        <f>IF(A744="","",IF('General price list'!$W$17=B743,A744,IFERROR(VLOOKUP(A744,Kategorie!C:AA,MATCH('General price list'!$W$17,Kategorie!$C$2:$AA$2,0),FALSE),"× Chybí překlad ×")))</f>
        <v/>
      </c>
      <c r="C744" s="235" t="str">
        <f t="shared" si="12"/>
        <v/>
      </c>
    </row>
    <row r="745" spans="1:3">
      <c r="A745" s="241" t="s">
        <v>24</v>
      </c>
      <c r="B745" s="235" t="str">
        <f>IF(A745="","",IF('General price list'!$W$17=B744,A745,IFERROR(VLOOKUP(A745,Kategorie!C:AA,MATCH('General price list'!$W$17,Kategorie!$C$2:$AA$2,0),FALSE),"× Chybí překlad ×")))</f>
        <v/>
      </c>
      <c r="C745" s="235" t="str">
        <f t="shared" si="12"/>
        <v/>
      </c>
    </row>
    <row r="746" spans="1:3">
      <c r="A746" s="241" t="s">
        <v>7819</v>
      </c>
      <c r="B746" s="235" t="str">
        <f>IF(A746="","",IF('General price list'!$W$17=B745,A746,IFERROR(VLOOKUP(A746,Kategorie!C:AA,MATCH('General price list'!$W$17,Kategorie!$C$2:$AA$2,0),FALSE),"× Chybí překlad ×")))</f>
        <v>Složený ohňostroj 30mm - F3 - 1.3G</v>
      </c>
      <c r="C746" s="235" t="str">
        <f t="shared" si="12"/>
        <v xml:space="preserve">                                                               Složený ohňostroj 30mm - F3 - 1.3G</v>
      </c>
    </row>
    <row r="747" spans="1:3">
      <c r="A747" s="241" t="s">
        <v>24</v>
      </c>
      <c r="B747" s="235" t="str">
        <f>IF(A747="","",IF('General price list'!$W$17=B746,A747,IFERROR(VLOOKUP(A747,Kategorie!C:AA,MATCH('General price list'!$W$17,Kategorie!$C$2:$AA$2,0),FALSE),"× Chybí překlad ×")))</f>
        <v/>
      </c>
      <c r="C747" s="235" t="str">
        <f t="shared" si="12"/>
        <v/>
      </c>
    </row>
    <row r="748" spans="1:3">
      <c r="A748" s="241" t="s">
        <v>13495</v>
      </c>
      <c r="B748" s="235" t="str">
        <f>IF(A748="","",IF('General price list'!$W$17=B747,A748,IFERROR(VLOOKUP(A748,Kategorie!C:AA,MATCH('General price list'!$W$17,Kategorie!$C$2:$AA$2,0),FALSE),"× Chybí překlad ×")))</f>
        <v>x</v>
      </c>
      <c r="C748" s="235" t="str">
        <f t="shared" si="12"/>
        <v>×</v>
      </c>
    </row>
    <row r="749" spans="1:3">
      <c r="A749" s="241" t="s">
        <v>24</v>
      </c>
      <c r="B749" s="235" t="str">
        <f>IF(A749="","",IF('General price list'!$W$17=B748,A749,IFERROR(VLOOKUP(A749,Kategorie!C:AA,MATCH('General price list'!$W$17,Kategorie!$C$2:$AA$2,0),FALSE),"× Chybí překlad ×")))</f>
        <v/>
      </c>
      <c r="C749" s="235" t="str">
        <f t="shared" si="12"/>
        <v/>
      </c>
    </row>
    <row r="750" spans="1:3">
      <c r="A750" s="241" t="s">
        <v>24</v>
      </c>
      <c r="B750" s="235" t="str">
        <f>IF(A750="","",IF('General price list'!$W$17=B749,A750,IFERROR(VLOOKUP(A750,Kategorie!C:AA,MATCH('General price list'!$W$17,Kategorie!$C$2:$AA$2,0),FALSE),"× Chybí překlad ×")))</f>
        <v/>
      </c>
      <c r="C750" s="235" t="str">
        <f t="shared" si="12"/>
        <v/>
      </c>
    </row>
    <row r="751" spans="1:3">
      <c r="A751" s="241" t="s">
        <v>24</v>
      </c>
      <c r="B751" s="235" t="str">
        <f>IF(A751="","",IF('General price list'!$W$17=B750,A751,IFERROR(VLOOKUP(A751,Kategorie!C:AA,MATCH('General price list'!$W$17,Kategorie!$C$2:$AA$2,0),FALSE),"× Chybí překlad ×")))</f>
        <v/>
      </c>
      <c r="C751" s="235" t="str">
        <f t="shared" si="12"/>
        <v/>
      </c>
    </row>
    <row r="752" spans="1:3" ht="15.75">
      <c r="A752" s="242" t="s">
        <v>24</v>
      </c>
      <c r="B752" s="235" t="str">
        <f>IF(A752="","",IF('General price list'!$W$17=B751,A752,IFERROR(VLOOKUP(A752,Kategorie!C:AA,MATCH('General price list'!$W$17,Kategorie!$C$2:$AA$2,0),FALSE),"× Chybí překlad ×")))</f>
        <v/>
      </c>
      <c r="C752" s="235" t="str">
        <f t="shared" si="12"/>
        <v/>
      </c>
    </row>
    <row r="753" spans="1:3">
      <c r="A753" s="241" t="s">
        <v>24</v>
      </c>
      <c r="B753" s="235" t="str">
        <f>IF(A753="","",IF('General price list'!$W$17=B752,A753,IFERROR(VLOOKUP(A753,Kategorie!C:AA,MATCH('General price list'!$W$17,Kategorie!$C$2:$AA$2,0),FALSE),"× Chybí překlad ×")))</f>
        <v/>
      </c>
      <c r="C753" s="235" t="str">
        <f t="shared" si="12"/>
        <v/>
      </c>
    </row>
    <row r="754" spans="1:3">
      <c r="A754" s="241" t="s">
        <v>24</v>
      </c>
      <c r="B754" s="235" t="str">
        <f>IF(A754="","",IF('General price list'!$W$17=B753,A754,IFERROR(VLOOKUP(A754,Kategorie!C:AA,MATCH('General price list'!$W$17,Kategorie!$C$2:$AA$2,0),FALSE),"× Chybí překlad ×")))</f>
        <v/>
      </c>
      <c r="C754" s="235" t="str">
        <f t="shared" si="12"/>
        <v/>
      </c>
    </row>
    <row r="755" spans="1:3">
      <c r="A755" s="241" t="s">
        <v>24</v>
      </c>
      <c r="B755" s="235" t="str">
        <f>IF(A755="","",IF('General price list'!$W$17=B754,A755,IFERROR(VLOOKUP(A755,Kategorie!C:AA,MATCH('General price list'!$W$17,Kategorie!$C$2:$AA$2,0),FALSE),"× Chybí překlad ×")))</f>
        <v/>
      </c>
      <c r="C755" s="235" t="str">
        <f t="shared" si="12"/>
        <v/>
      </c>
    </row>
    <row r="756" spans="1:3">
      <c r="A756" s="241" t="s">
        <v>24</v>
      </c>
      <c r="B756" s="235" t="str">
        <f>IF(A756="","",IF('General price list'!$W$17=B755,A756,IFERROR(VLOOKUP(A756,Kategorie!C:AA,MATCH('General price list'!$W$17,Kategorie!$C$2:$AA$2,0),FALSE),"× Chybí překlad ×")))</f>
        <v/>
      </c>
      <c r="C756" s="235" t="str">
        <f t="shared" si="12"/>
        <v/>
      </c>
    </row>
    <row r="757" spans="1:3" ht="15.75">
      <c r="A757" s="242" t="s">
        <v>24</v>
      </c>
      <c r="B757" s="235" t="str">
        <f>IF(A757="","",IF('General price list'!$W$17=B756,A757,IFERROR(VLOOKUP(A757,Kategorie!C:AA,MATCH('General price list'!$W$17,Kategorie!$C$2:$AA$2,0),FALSE),"× Chybí překlad ×")))</f>
        <v/>
      </c>
      <c r="C757" s="235" t="str">
        <f t="shared" si="12"/>
        <v/>
      </c>
    </row>
    <row r="758" spans="1:3">
      <c r="A758" s="241" t="s">
        <v>24</v>
      </c>
      <c r="B758" s="235" t="str">
        <f>IF(A758="","",IF('General price list'!$W$17=B757,A758,IFERROR(VLOOKUP(A758,Kategorie!C:AA,MATCH('General price list'!$W$17,Kategorie!$C$2:$AA$2,0),FALSE),"× Chybí překlad ×")))</f>
        <v/>
      </c>
      <c r="C758" s="235" t="str">
        <f t="shared" si="12"/>
        <v/>
      </c>
    </row>
    <row r="759" spans="1:3">
      <c r="A759" s="241" t="s">
        <v>24</v>
      </c>
      <c r="B759" s="235" t="str">
        <f>IF(A759="","",IF('General price list'!$W$17=B758,A759,IFERROR(VLOOKUP(A759,Kategorie!C:AA,MATCH('General price list'!$W$17,Kategorie!$C$2:$AA$2,0),FALSE),"× Chybí překlad ×")))</f>
        <v/>
      </c>
      <c r="C759" s="235" t="str">
        <f t="shared" si="12"/>
        <v/>
      </c>
    </row>
    <row r="760" spans="1:3">
      <c r="A760" s="241" t="s">
        <v>24</v>
      </c>
      <c r="B760" s="235" t="str">
        <f>IF(A760="","",IF('General price list'!$W$17=B759,A760,IFERROR(VLOOKUP(A760,Kategorie!C:AA,MATCH('General price list'!$W$17,Kategorie!$C$2:$AA$2,0),FALSE),"× Chybí překlad ×")))</f>
        <v/>
      </c>
      <c r="C760" s="235" t="str">
        <f t="shared" si="12"/>
        <v/>
      </c>
    </row>
    <row r="761" spans="1:3">
      <c r="A761" s="241" t="s">
        <v>24</v>
      </c>
      <c r="B761" s="235" t="str">
        <f>IF(A761="","",IF('General price list'!$W$17=B760,A761,IFERROR(VLOOKUP(A761,Kategorie!C:AA,MATCH('General price list'!$W$17,Kategorie!$C$2:$AA$2,0),FALSE),"× Chybí překlad ×")))</f>
        <v/>
      </c>
      <c r="C761" s="235" t="str">
        <f t="shared" si="12"/>
        <v/>
      </c>
    </row>
    <row r="762" spans="1:3">
      <c r="A762" s="241" t="s">
        <v>24</v>
      </c>
      <c r="B762" s="235" t="str">
        <f>IF(A762="","",IF('General price list'!$W$17=B761,A762,IFERROR(VLOOKUP(A762,Kategorie!C:AA,MATCH('General price list'!$W$17,Kategorie!$C$2:$AA$2,0),FALSE),"× Chybí překlad ×")))</f>
        <v/>
      </c>
      <c r="C762" s="235" t="str">
        <f t="shared" si="12"/>
        <v/>
      </c>
    </row>
    <row r="763" spans="1:3" ht="15.75">
      <c r="A763" s="242" t="s">
        <v>24</v>
      </c>
      <c r="B763" s="235" t="str">
        <f>IF(A763="","",IF('General price list'!$W$17=B762,A763,IFERROR(VLOOKUP(A763,Kategorie!C:AA,MATCH('General price list'!$W$17,Kategorie!$C$2:$AA$2,0),FALSE),"× Chybí překlad ×")))</f>
        <v/>
      </c>
      <c r="C763" s="235" t="str">
        <f t="shared" si="12"/>
        <v/>
      </c>
    </row>
    <row r="764" spans="1:3">
      <c r="A764" s="241" t="s">
        <v>24</v>
      </c>
      <c r="B764" s="235" t="str">
        <f>IF(A764="","",IF('General price list'!$W$17=B763,A764,IFERROR(VLOOKUP(A764,Kategorie!C:AA,MATCH('General price list'!$W$17,Kategorie!$C$2:$AA$2,0),FALSE),"× Chybí překlad ×")))</f>
        <v/>
      </c>
      <c r="C764" s="235" t="str">
        <f t="shared" si="12"/>
        <v/>
      </c>
    </row>
    <row r="765" spans="1:3">
      <c r="A765" s="241" t="s">
        <v>7827</v>
      </c>
      <c r="B765" s="235" t="str">
        <f>IF(A765="","",IF('General price list'!$W$17=B764,A765,IFERROR(VLOOKUP(A765,Kategorie!C:AA,MATCH('General price list'!$W$17,Kategorie!$C$2:$AA$2,0),FALSE),"× Chybí překlad ×")))</f>
        <v>Složený ohňostroj(s ochraným obalem) 30mm - F3 - 1.3G</v>
      </c>
      <c r="C765" s="235" t="str">
        <f t="shared" si="12"/>
        <v xml:space="preserve">                                                               Složený ohňostroj(s ochraným obalem) 30mm - F3 - 1.3G</v>
      </c>
    </row>
    <row r="766" spans="1:3" ht="15.75">
      <c r="A766" s="242" t="s">
        <v>24</v>
      </c>
      <c r="B766" s="235" t="str">
        <f>IF(A766="","",IF('General price list'!$W$17=B765,A766,IFERROR(VLOOKUP(A766,Kategorie!C:AA,MATCH('General price list'!$W$17,Kategorie!$C$2:$AA$2,0),FALSE),"× Chybí překlad ×")))</f>
        <v/>
      </c>
      <c r="C766" s="235" t="str">
        <f t="shared" si="12"/>
        <v/>
      </c>
    </row>
    <row r="767" spans="1:3">
      <c r="A767" s="241" t="s">
        <v>24</v>
      </c>
      <c r="B767" s="235" t="str">
        <f>IF(A767="","",IF('General price list'!$W$17=B766,A767,IFERROR(VLOOKUP(A767,Kategorie!C:AA,MATCH('General price list'!$W$17,Kategorie!$C$2:$AA$2,0),FALSE),"× Chybí překlad ×")))</f>
        <v/>
      </c>
      <c r="C767" s="235" t="str">
        <f t="shared" si="12"/>
        <v/>
      </c>
    </row>
    <row r="768" spans="1:3">
      <c r="A768" s="241" t="s">
        <v>24</v>
      </c>
      <c r="B768" s="235" t="str">
        <f>IF(A768="","",IF('General price list'!$W$17=B767,A768,IFERROR(VLOOKUP(A768,Kategorie!C:AA,MATCH('General price list'!$W$17,Kategorie!$C$2:$AA$2,0),FALSE),"× Chybí překlad ×")))</f>
        <v/>
      </c>
      <c r="C768" s="235" t="str">
        <f t="shared" si="12"/>
        <v/>
      </c>
    </row>
    <row r="769" spans="1:3">
      <c r="A769" s="241" t="s">
        <v>24</v>
      </c>
      <c r="B769" s="235" t="str">
        <f>IF(A769="","",IF('General price list'!$W$17=B768,A769,IFERROR(VLOOKUP(A769,Kategorie!C:AA,MATCH('General price list'!$W$17,Kategorie!$C$2:$AA$2,0),FALSE),"× Chybí překlad ×")))</f>
        <v/>
      </c>
      <c r="C769" s="235" t="str">
        <f t="shared" si="12"/>
        <v/>
      </c>
    </row>
    <row r="770" spans="1:3">
      <c r="A770" s="241" t="s">
        <v>24</v>
      </c>
      <c r="B770" s="235" t="str">
        <f>IF(A770="","",IF('General price list'!$W$17=B769,A770,IFERROR(VLOOKUP(A770,Kategorie!C:AA,MATCH('General price list'!$W$17,Kategorie!$C$2:$AA$2,0),FALSE),"× Chybí překlad ×")))</f>
        <v/>
      </c>
      <c r="C770" s="235" t="str">
        <f t="shared" si="12"/>
        <v/>
      </c>
    </row>
    <row r="771" spans="1:3">
      <c r="A771" s="241" t="s">
        <v>24</v>
      </c>
      <c r="B771" s="235" t="str">
        <f>IF(A771="","",IF('General price list'!$W$17=B770,A771,IFERROR(VLOOKUP(A771,Kategorie!C:AA,MATCH('General price list'!$W$17,Kategorie!$C$2:$AA$2,0),FALSE),"× Chybí překlad ×")))</f>
        <v/>
      </c>
      <c r="C771" s="235" t="str">
        <f t="shared" si="12"/>
        <v/>
      </c>
    </row>
    <row r="772" spans="1:3" ht="15.75">
      <c r="A772" s="242" t="s">
        <v>24</v>
      </c>
      <c r="B772" s="235" t="str">
        <f>IF(A772="","",IF('General price list'!$W$17=B771,A772,IFERROR(VLOOKUP(A772,Kategorie!C:AA,MATCH('General price list'!$W$17,Kategorie!$C$2:$AA$2,0),FALSE),"× Chybí překlad ×")))</f>
        <v/>
      </c>
      <c r="C772" s="235" t="str">
        <f t="shared" si="12"/>
        <v/>
      </c>
    </row>
    <row r="773" spans="1:3">
      <c r="A773" s="241" t="s">
        <v>24</v>
      </c>
      <c r="B773" s="235" t="str">
        <f>IF(A773="","",IF('General price list'!$W$17=B772,A773,IFERROR(VLOOKUP(A773,Kategorie!C:AA,MATCH('General price list'!$W$17,Kategorie!$C$2:$AA$2,0),FALSE),"× Chybí překlad ×")))</f>
        <v/>
      </c>
      <c r="C773" s="235" t="str">
        <f t="shared" si="12"/>
        <v/>
      </c>
    </row>
    <row r="774" spans="1:3" ht="15.75">
      <c r="A774" s="242" t="s">
        <v>24</v>
      </c>
      <c r="B774" s="235" t="str">
        <f>IF(A774="","",IF('General price list'!$W$17=B773,A774,IFERROR(VLOOKUP(A774,Kategorie!C:AA,MATCH('General price list'!$W$17,Kategorie!$C$2:$AA$2,0),FALSE),"× Chybí překlad ×")))</f>
        <v/>
      </c>
      <c r="C774" s="235" t="str">
        <f t="shared" si="12"/>
        <v/>
      </c>
    </row>
    <row r="775" spans="1:3">
      <c r="A775" s="241" t="s">
        <v>24</v>
      </c>
      <c r="B775" s="235" t="str">
        <f>IF(A775="","",IF('General price list'!$W$17=B774,A775,IFERROR(VLOOKUP(A775,Kategorie!C:AA,MATCH('General price list'!$W$17,Kategorie!$C$2:$AA$2,0),FALSE),"× Chybí překlad ×")))</f>
        <v/>
      </c>
      <c r="C775" s="235" t="str">
        <f t="shared" si="12"/>
        <v/>
      </c>
    </row>
    <row r="776" spans="1:3">
      <c r="A776" s="241" t="s">
        <v>24</v>
      </c>
      <c r="B776" s="235" t="str">
        <f>IF(A776="","",IF('General price list'!$W$17=B775,A776,IFERROR(VLOOKUP(A776,Kategorie!C:AA,MATCH('General price list'!$W$17,Kategorie!$C$2:$AA$2,0),FALSE),"× Chybí překlad ×")))</f>
        <v/>
      </c>
      <c r="C776" s="235" t="str">
        <f t="shared" si="12"/>
        <v/>
      </c>
    </row>
    <row r="777" spans="1:3">
      <c r="A777" s="241" t="s">
        <v>24</v>
      </c>
      <c r="B777" s="235" t="str">
        <f>IF(A777="","",IF('General price list'!$W$17=B776,A777,IFERROR(VLOOKUP(A777,Kategorie!C:AA,MATCH('General price list'!$W$17,Kategorie!$C$2:$AA$2,0),FALSE),"× Chybí překlad ×")))</f>
        <v/>
      </c>
      <c r="C777" s="235" t="str">
        <f t="shared" si="12"/>
        <v/>
      </c>
    </row>
    <row r="778" spans="1:3" ht="15.75">
      <c r="A778" s="242" t="s">
        <v>24</v>
      </c>
      <c r="B778" s="235" t="str">
        <f>IF(A778="","",IF('General price list'!$W$17=B777,A778,IFERROR(VLOOKUP(A778,Kategorie!C:AA,MATCH('General price list'!$W$17,Kategorie!$C$2:$AA$2,0),FALSE),"× Chybí překlad ×")))</f>
        <v/>
      </c>
      <c r="C778" s="235" t="str">
        <f t="shared" si="12"/>
        <v/>
      </c>
    </row>
    <row r="779" spans="1:3">
      <c r="A779" s="241" t="s">
        <v>24</v>
      </c>
      <c r="B779" s="235" t="str">
        <f>IF(A779="","",IF('General price list'!$W$17=B778,A779,IFERROR(VLOOKUP(A779,Kategorie!C:AA,MATCH('General price list'!$W$17,Kategorie!$C$2:$AA$2,0),FALSE),"× Chybí překlad ×")))</f>
        <v/>
      </c>
      <c r="C779" s="235" t="str">
        <f t="shared" si="12"/>
        <v/>
      </c>
    </row>
    <row r="780" spans="1:3">
      <c r="A780" s="241" t="s">
        <v>7845</v>
      </c>
      <c r="B780" s="235" t="str">
        <f>IF(A780="","",IF('General price list'!$W$17=B779,A780,IFERROR(VLOOKUP(A780,Kategorie!C:AA,MATCH('General price list'!$W$17,Kategorie!$C$2:$AA$2,0),FALSE),"× Chybí překlad ×")))</f>
        <v>Baterie 16ran, 50mm moždíř-1.3G</v>
      </c>
      <c r="C780" s="235" t="str">
        <f t="shared" si="12"/>
        <v xml:space="preserve">                                                               Baterie 16ran, 50mm moždíř-1.3G</v>
      </c>
    </row>
    <row r="781" spans="1:3" ht="15.75">
      <c r="A781" s="242" t="s">
        <v>24</v>
      </c>
      <c r="B781" s="235" t="str">
        <f>IF(A781="","",IF('General price list'!$W$17=B780,A781,IFERROR(VLOOKUP(A781,Kategorie!C:AA,MATCH('General price list'!$W$17,Kategorie!$C$2:$AA$2,0),FALSE),"× Chybí překlad ×")))</f>
        <v/>
      </c>
      <c r="C781" s="235" t="str">
        <f t="shared" si="12"/>
        <v/>
      </c>
    </row>
    <row r="782" spans="1:3">
      <c r="A782" s="241" t="s">
        <v>24</v>
      </c>
      <c r="B782" s="235" t="str">
        <f>IF(A782="","",IF('General price list'!$W$17=B781,A782,IFERROR(VLOOKUP(A782,Kategorie!C:AA,MATCH('General price list'!$W$17,Kategorie!$C$2:$AA$2,0),FALSE),"× Chybí překlad ×")))</f>
        <v/>
      </c>
      <c r="C782" s="235" t="str">
        <f t="shared" si="12"/>
        <v/>
      </c>
    </row>
    <row r="783" spans="1:3">
      <c r="A783" s="241" t="s">
        <v>7854</v>
      </c>
      <c r="B783" s="235" t="str">
        <f>IF(A783="","",IF('General price list'!$W$17=B782,A783,IFERROR(VLOOKUP(A783,Kategorie!C:AA,MATCH('General price list'!$W$17,Kategorie!$C$2:$AA$2,0),FALSE),"× Chybí překlad ×")))</f>
        <v>Baterie 25ran, 45mm moždíř-1.3G</v>
      </c>
      <c r="C783" s="235" t="str">
        <f t="shared" si="12"/>
        <v xml:space="preserve">                                                               Baterie 25ran, 45mm moždíř-1.3G</v>
      </c>
    </row>
    <row r="784" spans="1:3">
      <c r="A784" s="241" t="s">
        <v>24</v>
      </c>
      <c r="B784" s="235" t="str">
        <f>IF(A784="","",IF('General price list'!$W$17=B783,A784,IFERROR(VLOOKUP(A784,Kategorie!C:AA,MATCH('General price list'!$W$17,Kategorie!$C$2:$AA$2,0),FALSE),"× Chybí překlad ×")))</f>
        <v/>
      </c>
      <c r="C784" s="235" t="str">
        <f t="shared" ref="C784:C847" si="13">IF(A784="","",IF(A784="x","×",$B$1&amp;B784))</f>
        <v/>
      </c>
    </row>
    <row r="785" spans="1:3" ht="15.75">
      <c r="A785" s="242" t="s">
        <v>24</v>
      </c>
      <c r="B785" s="235" t="str">
        <f>IF(A785="","",IF('General price list'!$W$17=B784,A785,IFERROR(VLOOKUP(A785,Kategorie!C:AA,MATCH('General price list'!$W$17,Kategorie!$C$2:$AA$2,0),FALSE),"× Chybí překlad ×")))</f>
        <v/>
      </c>
      <c r="C785" s="235" t="str">
        <f t="shared" si="13"/>
        <v/>
      </c>
    </row>
    <row r="786" spans="1:3">
      <c r="A786" s="241" t="s">
        <v>13495</v>
      </c>
      <c r="B786" s="235" t="str">
        <f>IF(A786="","",IF('General price list'!$W$17=B785,A786,IFERROR(VLOOKUP(A786,Kategorie!C:AA,MATCH('General price list'!$W$17,Kategorie!$C$2:$AA$2,0),FALSE),"× Chybí překlad ×")))</f>
        <v>x</v>
      </c>
      <c r="C786" s="235" t="str">
        <f t="shared" si="13"/>
        <v>×</v>
      </c>
    </row>
    <row r="787" spans="1:3">
      <c r="A787" s="241" t="s">
        <v>7863</v>
      </c>
      <c r="B787" s="235" t="str">
        <f>IF(A787="","",IF('General price list'!$W$17=B786,A787,IFERROR(VLOOKUP(A787,Kategorie!C:AA,MATCH('General price list'!$W$17,Kategorie!$C$2:$AA$2,0),FALSE),"× Chybí překlad ×")))</f>
        <v>Baterie 25ran, 50mm moždíř-1.3G</v>
      </c>
      <c r="C787" s="235" t="str">
        <f t="shared" si="13"/>
        <v xml:space="preserve">                                                               Baterie 25ran, 50mm moždíř-1.3G</v>
      </c>
    </row>
    <row r="788" spans="1:3">
      <c r="A788" s="241" t="s">
        <v>24</v>
      </c>
      <c r="B788" s="235" t="str">
        <f>IF(A788="","",IF('General price list'!$W$17=B787,A788,IFERROR(VLOOKUP(A788,Kategorie!C:AA,MATCH('General price list'!$W$17,Kategorie!$C$2:$AA$2,0),FALSE),"× Chybí překlad ×")))</f>
        <v/>
      </c>
      <c r="C788" s="235" t="str">
        <f t="shared" si="13"/>
        <v/>
      </c>
    </row>
    <row r="789" spans="1:3">
      <c r="A789" s="241" t="s">
        <v>7872</v>
      </c>
      <c r="B789" s="235" t="str">
        <f>IF(A789="","",IF('General price list'!$W$17=B788,A789,IFERROR(VLOOKUP(A789,Kategorie!C:AA,MATCH('General price list'!$W$17,Kategorie!$C$2:$AA$2,0),FALSE),"× Chybí překlad ×")))</f>
        <v>Baterie 35ran, 45mm moždíř-1.3G</v>
      </c>
      <c r="C789" s="235" t="str">
        <f t="shared" si="13"/>
        <v xml:space="preserve">                                                               Baterie 35ran, 45mm moždíř-1.3G</v>
      </c>
    </row>
    <row r="790" spans="1:3">
      <c r="A790" s="241" t="s">
        <v>24</v>
      </c>
      <c r="B790" s="235" t="str">
        <f>IF(A790="","",IF('General price list'!$W$17=B789,A790,IFERROR(VLOOKUP(A790,Kategorie!C:AA,MATCH('General price list'!$W$17,Kategorie!$C$2:$AA$2,0),FALSE),"× Chybí překlad ×")))</f>
        <v/>
      </c>
      <c r="C790" s="235" t="str">
        <f t="shared" si="13"/>
        <v/>
      </c>
    </row>
    <row r="791" spans="1:3">
      <c r="A791" s="241" t="s">
        <v>24</v>
      </c>
      <c r="B791" s="235" t="str">
        <f>IF(A791="","",IF('General price list'!$W$17=B790,A791,IFERROR(VLOOKUP(A791,Kategorie!C:AA,MATCH('General price list'!$W$17,Kategorie!$C$2:$AA$2,0),FALSE),"× Chybí překlad ×")))</f>
        <v/>
      </c>
      <c r="C791" s="235" t="str">
        <f t="shared" si="13"/>
        <v/>
      </c>
    </row>
    <row r="792" spans="1:3">
      <c r="A792" s="241" t="s">
        <v>7881</v>
      </c>
      <c r="B792" s="235" t="str">
        <f>IF(A792="","",IF('General price list'!$W$17=B791,A792,IFERROR(VLOOKUP(A792,Kategorie!C:AA,MATCH('General price list'!$W$17,Kategorie!$C$2:$AA$2,0),FALSE),"× Chybí překlad ×")))</f>
        <v>Baterie 36ran, 45mm moždíř-1.3G</v>
      </c>
      <c r="C792" s="235" t="str">
        <f t="shared" si="13"/>
        <v xml:space="preserve">                                                               Baterie 36ran, 45mm moždíř-1.3G</v>
      </c>
    </row>
    <row r="793" spans="1:3">
      <c r="A793" s="241" t="s">
        <v>24</v>
      </c>
      <c r="B793" s="235" t="str">
        <f>IF(A793="","",IF('General price list'!$W$17=B792,A793,IFERROR(VLOOKUP(A793,Kategorie!C:AA,MATCH('General price list'!$W$17,Kategorie!$C$2:$AA$2,0),FALSE),"× Chybí překlad ×")))</f>
        <v/>
      </c>
      <c r="C793" s="235" t="str">
        <f t="shared" si="13"/>
        <v/>
      </c>
    </row>
    <row r="794" spans="1:3">
      <c r="A794" s="241" t="s">
        <v>24</v>
      </c>
      <c r="B794" s="235" t="str">
        <f>IF(A794="","",IF('General price list'!$W$17=B793,A794,IFERROR(VLOOKUP(A794,Kategorie!C:AA,MATCH('General price list'!$W$17,Kategorie!$C$2:$AA$2,0),FALSE),"× Chybí překlad ×")))</f>
        <v/>
      </c>
      <c r="C794" s="235" t="str">
        <f t="shared" si="13"/>
        <v/>
      </c>
    </row>
    <row r="795" spans="1:3">
      <c r="A795" s="241" t="s">
        <v>7890</v>
      </c>
      <c r="B795" s="235" t="str">
        <f>IF(A795="","",IF('General price list'!$W$17=B794,A795,IFERROR(VLOOKUP(A795,Kategorie!C:AA,MATCH('General price list'!$W$17,Kategorie!$C$2:$AA$2,0),FALSE),"× Chybí překlad ×")))</f>
        <v>Baterie 36ran, 50mm moždíř-1.3G</v>
      </c>
      <c r="C795" s="235" t="str">
        <f t="shared" si="13"/>
        <v xml:space="preserve">                                                               Baterie 36ran, 50mm moždíř-1.3G</v>
      </c>
    </row>
    <row r="796" spans="1:3">
      <c r="A796" s="241" t="s">
        <v>24</v>
      </c>
      <c r="B796" s="235" t="str">
        <f>IF(A796="","",IF('General price list'!$W$17=B795,A796,IFERROR(VLOOKUP(A796,Kategorie!C:AA,MATCH('General price list'!$W$17,Kategorie!$C$2:$AA$2,0),FALSE),"× Chybí překlad ×")))</f>
        <v/>
      </c>
      <c r="C796" s="235" t="str">
        <f t="shared" si="13"/>
        <v/>
      </c>
    </row>
    <row r="797" spans="1:3" ht="15.75">
      <c r="A797" s="242" t="s">
        <v>7899</v>
      </c>
      <c r="B797" s="235" t="str">
        <f>IF(A797="","",IF('General price list'!$W$17=B796,A797,IFERROR(VLOOKUP(A797,Kategorie!C:AA,MATCH('General price list'!$W$17,Kategorie!$C$2:$AA$2,0),FALSE),"× Chybí překlad ×")))</f>
        <v>Složený ohňostroj 45+50mm - 1.3G</v>
      </c>
      <c r="C797" s="235" t="str">
        <f t="shared" si="13"/>
        <v xml:space="preserve">                                                               Složený ohňostroj 45+50mm - 1.3G</v>
      </c>
    </row>
    <row r="798" spans="1:3">
      <c r="A798" s="241" t="s">
        <v>24</v>
      </c>
      <c r="B798" s="235" t="str">
        <f>IF(A798="","",IF('General price list'!$W$17=B797,A798,IFERROR(VLOOKUP(A798,Kategorie!C:AA,MATCH('General price list'!$W$17,Kategorie!$C$2:$AA$2,0),FALSE),"× Chybí překlad ×")))</f>
        <v/>
      </c>
      <c r="C798" s="235" t="str">
        <f t="shared" si="13"/>
        <v/>
      </c>
    </row>
    <row r="799" spans="1:3" ht="15.75">
      <c r="A799" s="242" t="s">
        <v>24</v>
      </c>
      <c r="B799" s="235" t="str">
        <f>IF(A799="","",IF('General price list'!$W$17=B798,A799,IFERROR(VLOOKUP(A799,Kategorie!C:AA,MATCH('General price list'!$W$17,Kategorie!$C$2:$AA$2,0),FALSE),"× Chybí překlad ×")))</f>
        <v/>
      </c>
      <c r="C799" s="235" t="str">
        <f t="shared" si="13"/>
        <v/>
      </c>
    </row>
    <row r="800" spans="1:3">
      <c r="A800" s="241" t="s">
        <v>24</v>
      </c>
      <c r="B800" s="235" t="str">
        <f>IF(A800="","",IF('General price list'!$W$17=B799,A800,IFERROR(VLOOKUP(A800,Kategorie!C:AA,MATCH('General price list'!$W$17,Kategorie!$C$2:$AA$2,0),FALSE),"× Chybí překlad ×")))</f>
        <v/>
      </c>
      <c r="C800" s="235" t="str">
        <f t="shared" si="13"/>
        <v/>
      </c>
    </row>
    <row r="801" spans="1:3">
      <c r="A801" s="241" t="s">
        <v>24</v>
      </c>
      <c r="B801" s="235" t="str">
        <f>IF(A801="","",IF('General price list'!$W$17=B800,A801,IFERROR(VLOOKUP(A801,Kategorie!C:AA,MATCH('General price list'!$W$17,Kategorie!$C$2:$AA$2,0),FALSE),"× Chybí překlad ×")))</f>
        <v/>
      </c>
      <c r="C801" s="235" t="str">
        <f t="shared" si="13"/>
        <v/>
      </c>
    </row>
    <row r="802" spans="1:3">
      <c r="A802" s="241" t="s">
        <v>7908</v>
      </c>
      <c r="B802" s="235" t="str">
        <f>IF(A802="","",IF('General price list'!$W$17=B801,A802,IFERROR(VLOOKUP(A802,Kategorie!C:AA,MATCH('General price list'!$W$17,Kategorie!$C$2:$AA$2,0),FALSE),"× Chybí překlad ×")))</f>
        <v>Složený ohňostroj(s ochraným obalem) 45+50mm - 1.3G</v>
      </c>
      <c r="C802" s="235" t="str">
        <f t="shared" si="13"/>
        <v xml:space="preserve">                                                               Složený ohňostroj(s ochraným obalem) 45+50mm - 1.3G</v>
      </c>
    </row>
    <row r="803" spans="1:3">
      <c r="A803" s="241" t="s">
        <v>24</v>
      </c>
      <c r="B803" s="235" t="str">
        <f>IF(A803="","",IF('General price list'!$W$17=B802,A803,IFERROR(VLOOKUP(A803,Kategorie!C:AA,MATCH('General price list'!$W$17,Kategorie!$C$2:$AA$2,0),FALSE),"× Chybí překlad ×")))</f>
        <v/>
      </c>
      <c r="C803" s="235" t="str">
        <f t="shared" si="13"/>
        <v/>
      </c>
    </row>
    <row r="804" spans="1:3" ht="15.75">
      <c r="A804" s="242" t="s">
        <v>24</v>
      </c>
      <c r="B804" s="235" t="str">
        <f>IF(A804="","",IF('General price list'!$W$17=B803,A804,IFERROR(VLOOKUP(A804,Kategorie!C:AA,MATCH('General price list'!$W$17,Kategorie!$C$2:$AA$2,0),FALSE),"× Chybí překlad ×")))</f>
        <v/>
      </c>
      <c r="C804" s="235" t="str">
        <f t="shared" si="13"/>
        <v/>
      </c>
    </row>
    <row r="805" spans="1:3">
      <c r="A805" s="241" t="s">
        <v>24</v>
      </c>
      <c r="B805" s="235" t="str">
        <f>IF(A805="","",IF('General price list'!$W$17=B804,A805,IFERROR(VLOOKUP(A805,Kategorie!C:AA,MATCH('General price list'!$W$17,Kategorie!$C$2:$AA$2,0),FALSE),"× Chybí překlad ×")))</f>
        <v/>
      </c>
      <c r="C805" s="235" t="str">
        <f t="shared" si="13"/>
        <v/>
      </c>
    </row>
    <row r="806" spans="1:3" ht="15.75">
      <c r="A806" s="242" t="s">
        <v>24</v>
      </c>
      <c r="B806" s="235" t="str">
        <f>IF(A806="","",IF('General price list'!$W$17=B805,A806,IFERROR(VLOOKUP(A806,Kategorie!C:AA,MATCH('General price list'!$W$17,Kategorie!$C$2:$AA$2,0),FALSE),"× Chybí překlad ×")))</f>
        <v/>
      </c>
      <c r="C806" s="235" t="str">
        <f t="shared" si="13"/>
        <v/>
      </c>
    </row>
    <row r="807" spans="1:3">
      <c r="A807" s="241" t="s">
        <v>7917</v>
      </c>
      <c r="B807" s="235" t="str">
        <f>IF(A807="","",IF('General price list'!$W$17=B806,A807,IFERROR(VLOOKUP(A807,Kategorie!C:AA,MATCH('General price list'!$W$17,Kategorie!$C$2:$AA$2,0),FALSE),"× Chybí překlad ×")))</f>
        <v>Baterie min 250ran, 50mm moždíř-1.3G</v>
      </c>
      <c r="C807" s="235" t="str">
        <f t="shared" si="13"/>
        <v xml:space="preserve">                                                               Baterie min 250ran, 50mm moždíř-1.3G</v>
      </c>
    </row>
    <row r="808" spans="1:3">
      <c r="A808" s="241" t="s">
        <v>24</v>
      </c>
      <c r="B808" s="235" t="str">
        <f>IF(A808="","",IF('General price list'!$W$17=B807,A808,IFERROR(VLOOKUP(A808,Kategorie!C:AA,MATCH('General price list'!$W$17,Kategorie!$C$2:$AA$2,0),FALSE),"× Chybí překlad ×")))</f>
        <v/>
      </c>
      <c r="C808" s="235" t="str">
        <f t="shared" si="13"/>
        <v/>
      </c>
    </row>
    <row r="809" spans="1:3">
      <c r="A809" s="241" t="s">
        <v>7926</v>
      </c>
      <c r="B809" s="235" t="str">
        <f>IF(A809="","",IF('General price list'!$W$17=B808,A809,IFERROR(VLOOKUP(A809,Kategorie!C:AA,MATCH('General price list'!$W$17,Kategorie!$C$2:$AA$2,0),FALSE),"× Chybí překlad ×")))</f>
        <v>Baterie 24ran, 63mm moždíř-1.3G</v>
      </c>
      <c r="C809" s="235" t="str">
        <f t="shared" si="13"/>
        <v xml:space="preserve">                                                               Baterie 24ran, 63mm moždíř-1.3G</v>
      </c>
    </row>
    <row r="810" spans="1:3" ht="15.75">
      <c r="A810" s="242" t="s">
        <v>24</v>
      </c>
      <c r="B810" s="235" t="str">
        <f>IF(A810="","",IF('General price list'!$W$17=B809,A810,IFERROR(VLOOKUP(A810,Kategorie!C:AA,MATCH('General price list'!$W$17,Kategorie!$C$2:$AA$2,0),FALSE),"× Chybí překlad ×")))</f>
        <v/>
      </c>
      <c r="C810" s="235" t="str">
        <f t="shared" si="13"/>
        <v/>
      </c>
    </row>
    <row r="811" spans="1:3">
      <c r="A811" s="241" t="s">
        <v>7935</v>
      </c>
      <c r="B811" s="235" t="str">
        <f>IF(A811="","",IF('General price list'!$W$17=B810,A811,IFERROR(VLOOKUP(A811,Kategorie!C:AA,MATCH('General price list'!$W$17,Kategorie!$C$2:$AA$2,0),FALSE),"× Chybí překlad ×")))</f>
        <v>Baterie 49ran, 63mm moždíř-1.3G</v>
      </c>
      <c r="C811" s="235" t="str">
        <f t="shared" si="13"/>
        <v xml:space="preserve">                                                               Baterie 49ran, 63mm moždíř-1.3G</v>
      </c>
    </row>
    <row r="812" spans="1:3">
      <c r="A812" s="241" t="s">
        <v>24</v>
      </c>
      <c r="B812" s="235" t="str">
        <f>IF(A812="","",IF('General price list'!$W$17=B811,A812,IFERROR(VLOOKUP(A812,Kategorie!C:AA,MATCH('General price list'!$W$17,Kategorie!$C$2:$AA$2,0),FALSE),"× Chybí překlad ×")))</f>
        <v/>
      </c>
      <c r="C812" s="235" t="str">
        <f t="shared" si="13"/>
        <v/>
      </c>
    </row>
    <row r="813" spans="1:3" ht="15.75">
      <c r="A813" s="242" t="s">
        <v>7944</v>
      </c>
      <c r="B813" s="235" t="str">
        <f>IF(A813="","",IF('General price list'!$W$17=B812,A813,IFERROR(VLOOKUP(A813,Kategorie!C:AA,MATCH('General price list'!$W$17,Kategorie!$C$2:$AA$2,0),FALSE),"× Chybí překlad ×")))</f>
        <v>Baterie 16ran, 75mm moždíř-1.3G</v>
      </c>
      <c r="C813" s="235" t="str">
        <f t="shared" si="13"/>
        <v xml:space="preserve">                                                               Baterie 16ran, 75mm moždíř-1.3G</v>
      </c>
    </row>
    <row r="814" spans="1:3">
      <c r="A814" s="241" t="s">
        <v>7953</v>
      </c>
      <c r="B814" s="235" t="str">
        <f>IF(A814="","",IF('General price list'!$W$17=B813,A814,IFERROR(VLOOKUP(A814,Kategorie!C:AA,MATCH('General price list'!$W$17,Kategorie!$C$2:$AA$2,0),FALSE),"× Chybí překlad ×")))</f>
        <v>Baterie 25ran, 75mm moždíř-1.3G</v>
      </c>
      <c r="C814" s="235" t="str">
        <f t="shared" si="13"/>
        <v xml:space="preserve">                                                               Baterie 25ran, 75mm moždíř-1.3G</v>
      </c>
    </row>
    <row r="815" spans="1:3">
      <c r="A815" s="241" t="s">
        <v>24</v>
      </c>
      <c r="B815" s="235" t="str">
        <f>IF(A815="","",IF('General price list'!$W$17=B814,A815,IFERROR(VLOOKUP(A815,Kategorie!C:AA,MATCH('General price list'!$W$17,Kategorie!$C$2:$AA$2,0),FALSE),"× Chybí překlad ×")))</f>
        <v/>
      </c>
      <c r="C815" s="235" t="str">
        <f t="shared" si="13"/>
        <v/>
      </c>
    </row>
    <row r="816" spans="1:3" ht="15.75">
      <c r="A816" s="242" t="s">
        <v>7962</v>
      </c>
      <c r="B816" s="235" t="str">
        <f>IF(A816="","",IF('General price list'!$W$17=B815,A816,IFERROR(VLOOKUP(A816,Kategorie!C:AA,MATCH('General price list'!$W$17,Kategorie!$C$2:$AA$2,0),FALSE),"× Chybí překlad ×")))</f>
        <v>Multikaliberní kompakty do 30mm</v>
      </c>
      <c r="C816" s="235" t="str">
        <f t="shared" si="13"/>
        <v xml:space="preserve">                                                               Multikaliberní kompakty do 30mm</v>
      </c>
    </row>
    <row r="817" spans="1:3">
      <c r="A817" s="241" t="s">
        <v>7980</v>
      </c>
      <c r="B817" s="235" t="str">
        <f>IF(A817="","",IF('General price list'!$W$17=B816,A817,IFERROR(VLOOKUP(A817,Kategorie!C:AA,MATCH('General price list'!$W$17,Kategorie!$C$2:$AA$2,0),FALSE),"× Chybí překlad ×")))</f>
        <v>Baterie 39ran, 20+25+30mm šikmý+V+W moždíř-1.3G</v>
      </c>
      <c r="C817" s="235" t="str">
        <f t="shared" si="13"/>
        <v xml:space="preserve">                                                               Baterie 39ran, 20+25+30mm šikmý+V+W moždíř-1.3G</v>
      </c>
    </row>
    <row r="818" spans="1:3">
      <c r="A818" s="241" t="s">
        <v>24</v>
      </c>
      <c r="B818" s="235" t="str">
        <f>IF(A818="","",IF('General price list'!$W$17=B817,A818,IFERROR(VLOOKUP(A818,Kategorie!C:AA,MATCH('General price list'!$W$17,Kategorie!$C$2:$AA$2,0),FALSE),"× Chybí překlad ×")))</f>
        <v/>
      </c>
      <c r="C818" s="235" t="str">
        <f t="shared" si="13"/>
        <v/>
      </c>
    </row>
    <row r="819" spans="1:3">
      <c r="A819" s="241" t="s">
        <v>7989</v>
      </c>
      <c r="B819" s="235" t="str">
        <f>IF(A819="","",IF('General price list'!$W$17=B818,A819,IFERROR(VLOOKUP(A819,Kategorie!C:AA,MATCH('General price list'!$W$17,Kategorie!$C$2:$AA$2,0),FALSE),"× Chybí překlad ×")))</f>
        <v>Baterie 39ran, 20+25+30mm šikmý+V+W moždíř-1.4G</v>
      </c>
      <c r="C819" s="235" t="str">
        <f t="shared" si="13"/>
        <v xml:space="preserve">                                                               Baterie 39ran, 20+25+30mm šikmý+V+W moždíř-1.4G</v>
      </c>
    </row>
    <row r="820" spans="1:3">
      <c r="A820" s="241" t="s">
        <v>13495</v>
      </c>
      <c r="B820" s="235" t="str">
        <f>IF(A820="","",IF('General price list'!$W$17=B819,A820,IFERROR(VLOOKUP(A820,Kategorie!C:AA,MATCH('General price list'!$W$17,Kategorie!$C$2:$AA$2,0),FALSE),"× Chybí překlad ×")))</f>
        <v>x</v>
      </c>
      <c r="C820" s="235" t="str">
        <f t="shared" si="13"/>
        <v>×</v>
      </c>
    </row>
    <row r="821" spans="1:3" ht="15.75">
      <c r="A821" s="242" t="s">
        <v>7998</v>
      </c>
      <c r="B821" s="235" t="str">
        <f>IF(A821="","",IF('General price list'!$W$17=B820,A821,IFERROR(VLOOKUP(A821,Kategorie!C:AA,MATCH('General price list'!$W$17,Kategorie!$C$2:$AA$2,0),FALSE),"× Chybí překlad ×")))</f>
        <v>Baterie + Fontána 40ran, 20+25+30mm moždíř-1.3G</v>
      </c>
      <c r="C821" s="235" t="str">
        <f t="shared" si="13"/>
        <v xml:space="preserve">                                                               Baterie + Fontána 40ran, 20+25+30mm moždíř-1.3G</v>
      </c>
    </row>
    <row r="822" spans="1:3">
      <c r="A822" s="241" t="s">
        <v>24</v>
      </c>
      <c r="B822" s="235" t="str">
        <f>IF(A822="","",IF('General price list'!$W$17=B821,A822,IFERROR(VLOOKUP(A822,Kategorie!C:AA,MATCH('General price list'!$W$17,Kategorie!$C$2:$AA$2,0),FALSE),"× Chybí překlad ×")))</f>
        <v/>
      </c>
      <c r="C822" s="235" t="str">
        <f t="shared" si="13"/>
        <v/>
      </c>
    </row>
    <row r="823" spans="1:3">
      <c r="A823" s="241" t="s">
        <v>8007</v>
      </c>
      <c r="B823" s="235" t="str">
        <f>IF(A823="","",IF('General price list'!$W$17=B822,A823,IFERROR(VLOOKUP(A823,Kategorie!C:AA,MATCH('General price list'!$W$17,Kategorie!$C$2:$AA$2,0),FALSE),"× Chybí překlad ×")))</f>
        <v>Baterie 41ran, 20+25+30mm rovný+šikmý+S moždíř+V moždíř-1.3G</v>
      </c>
      <c r="C823" s="235" t="str">
        <f t="shared" si="13"/>
        <v xml:space="preserve">                                                               Baterie 41ran, 20+25+30mm rovný+šikmý+S moždíř+V moždíř-1.3G</v>
      </c>
    </row>
    <row r="824" spans="1:3" ht="15.75">
      <c r="A824" s="242" t="s">
        <v>13495</v>
      </c>
      <c r="B824" s="235" t="str">
        <f>IF(A824="","",IF('General price list'!$W$17=B823,A824,IFERROR(VLOOKUP(A824,Kategorie!C:AA,MATCH('General price list'!$W$17,Kategorie!$C$2:$AA$2,0),FALSE),"× Chybí překlad ×")))</f>
        <v>x</v>
      </c>
      <c r="C824" s="235" t="str">
        <f t="shared" si="13"/>
        <v>×</v>
      </c>
    </row>
    <row r="825" spans="1:3">
      <c r="A825" s="241" t="s">
        <v>8025</v>
      </c>
      <c r="B825" s="235" t="str">
        <f>IF(A825="","",IF('General price list'!$W$17=B824,A825,IFERROR(VLOOKUP(A825,Kategorie!C:AA,MATCH('General price list'!$W$17,Kategorie!$C$2:$AA$2,0),FALSE),"× Chybí překlad ×")))</f>
        <v>Baterie 50ran, 20+25+30mm rovný+šikmý+S moždíř-1.3G</v>
      </c>
      <c r="C825" s="235" t="str">
        <f t="shared" si="13"/>
        <v xml:space="preserve">                                                               Baterie 50ran, 20+25+30mm rovný+šikmý+S moždíř-1.3G</v>
      </c>
    </row>
    <row r="826" spans="1:3">
      <c r="A826" s="241" t="s">
        <v>24</v>
      </c>
      <c r="B826" s="235" t="str">
        <f>IF(A826="","",IF('General price list'!$W$17=B825,A826,IFERROR(VLOOKUP(A826,Kategorie!C:AA,MATCH('General price list'!$W$17,Kategorie!$C$2:$AA$2,0),FALSE),"× Chybí překlad ×")))</f>
        <v/>
      </c>
      <c r="C826" s="235" t="str">
        <f t="shared" si="13"/>
        <v/>
      </c>
    </row>
    <row r="827" spans="1:3" ht="15.75">
      <c r="A827" s="242" t="s">
        <v>24</v>
      </c>
      <c r="B827" s="235" t="str">
        <f>IF(A827="","",IF('General price list'!$W$17=B826,A827,IFERROR(VLOOKUP(A827,Kategorie!C:AA,MATCH('General price list'!$W$17,Kategorie!$C$2:$AA$2,0),FALSE),"× Chybí překlad ×")))</f>
        <v/>
      </c>
      <c r="C827" s="235" t="str">
        <f t="shared" si="13"/>
        <v/>
      </c>
    </row>
    <row r="828" spans="1:3">
      <c r="A828" s="241" t="s">
        <v>8034</v>
      </c>
      <c r="B828" s="235" t="str">
        <f>IF(A828="","",IF('General price list'!$W$17=B827,A828,IFERROR(VLOOKUP(A828,Kategorie!C:AA,MATCH('General price list'!$W$17,Kategorie!$C$2:$AA$2,0),FALSE),"× Chybí překlad ×")))</f>
        <v>Baterie 50ran, 20+25+30mm rovný+šikmý+S moždíř-1.4G</v>
      </c>
      <c r="C828" s="235" t="str">
        <f t="shared" si="13"/>
        <v xml:space="preserve">                                                               Baterie 50ran, 20+25+30mm rovný+šikmý+S moždíř-1.4G</v>
      </c>
    </row>
    <row r="829" spans="1:3">
      <c r="A829" s="241" t="s">
        <v>13495</v>
      </c>
      <c r="B829" s="235" t="str">
        <f>IF(A829="","",IF('General price list'!$W$17=B828,A829,IFERROR(VLOOKUP(A829,Kategorie!C:AA,MATCH('General price list'!$W$17,Kategorie!$C$2:$AA$2,0),FALSE),"× Chybí překlad ×")))</f>
        <v>x</v>
      </c>
      <c r="C829" s="235" t="str">
        <f t="shared" si="13"/>
        <v>×</v>
      </c>
    </row>
    <row r="830" spans="1:3">
      <c r="A830" s="241" t="s">
        <v>8061</v>
      </c>
      <c r="B830" s="235" t="str">
        <f>IF(A830="","",IF('General price list'!$W$17=B829,A830,IFERROR(VLOOKUP(A830,Kategorie!C:AA,MATCH('General price list'!$W$17,Kategorie!$C$2:$AA$2,0),FALSE),"× Chybí překlad ×")))</f>
        <v>Baterie 64ran, 20+25mm moždíř-1.3G</v>
      </c>
      <c r="C830" s="235" t="str">
        <f t="shared" si="13"/>
        <v xml:space="preserve">                                                               Baterie 64ran, 20+25mm moždíř-1.3G</v>
      </c>
    </row>
    <row r="831" spans="1:3">
      <c r="A831" s="241" t="s">
        <v>24</v>
      </c>
      <c r="B831" s="235" t="str">
        <f>IF(A831="","",IF('General price list'!$W$17=B830,A831,IFERROR(VLOOKUP(A831,Kategorie!C:AA,MATCH('General price list'!$W$17,Kategorie!$C$2:$AA$2,0),FALSE),"× Chybí překlad ×")))</f>
        <v/>
      </c>
      <c r="C831" s="235" t="str">
        <f t="shared" si="13"/>
        <v/>
      </c>
    </row>
    <row r="832" spans="1:3">
      <c r="A832" s="241" t="s">
        <v>24</v>
      </c>
      <c r="B832" s="235" t="str">
        <f>IF(A832="","",IF('General price list'!$W$17=B831,A832,IFERROR(VLOOKUP(A832,Kategorie!C:AA,MATCH('General price list'!$W$17,Kategorie!$C$2:$AA$2,0),FALSE),"× Chybí překlad ×")))</f>
        <v/>
      </c>
      <c r="C832" s="235" t="str">
        <f t="shared" si="13"/>
        <v/>
      </c>
    </row>
    <row r="833" spans="1:3">
      <c r="A833" s="241" t="s">
        <v>8070</v>
      </c>
      <c r="B833" s="235" t="str">
        <f>IF(A833="","",IF('General price list'!$W$17=B832,A833,IFERROR(VLOOKUP(A833,Kategorie!C:AA,MATCH('General price list'!$W$17,Kategorie!$C$2:$AA$2,0),FALSE),"× Chybí překlad ×")))</f>
        <v>Baterie 64ran, 20+25mm moždíř-1.4G</v>
      </c>
      <c r="C833" s="235" t="str">
        <f t="shared" si="13"/>
        <v xml:space="preserve">                                                               Baterie 64ran, 20+25mm moždíř-1.4G</v>
      </c>
    </row>
    <row r="834" spans="1:3">
      <c r="A834" s="241" t="s">
        <v>13495</v>
      </c>
      <c r="B834" s="235" t="str">
        <f>IF(A834="","",IF('General price list'!$W$17=B833,A834,IFERROR(VLOOKUP(A834,Kategorie!C:AA,MATCH('General price list'!$W$17,Kategorie!$C$2:$AA$2,0),FALSE),"× Chybí překlad ×")))</f>
        <v>x</v>
      </c>
      <c r="C834" s="235" t="str">
        <f t="shared" si="13"/>
        <v>×</v>
      </c>
    </row>
    <row r="835" spans="1:3" ht="15.75">
      <c r="A835" s="242" t="s">
        <v>8088</v>
      </c>
      <c r="B835" s="235" t="str">
        <f>IF(A835="","",IF('General price list'!$W$17=B834,A835,IFERROR(VLOOKUP(A835,Kategorie!C:AA,MATCH('General price list'!$W$17,Kategorie!$C$2:$AA$2,0),FALSE),"× Chybí překlad ×")))</f>
        <v>Baterie 68ran, 20+25+30mm moždíř(všechny směry)-1.3G</v>
      </c>
      <c r="C835" s="235" t="str">
        <f t="shared" si="13"/>
        <v xml:space="preserve">                                                               Baterie 68ran, 20+25+30mm moždíř(všechny směry)-1.3G</v>
      </c>
    </row>
    <row r="836" spans="1:3">
      <c r="A836" s="241" t="s">
        <v>24</v>
      </c>
      <c r="B836" s="235" t="str">
        <f>IF(A836="","",IF('General price list'!$W$17=B835,A836,IFERROR(VLOOKUP(A836,Kategorie!C:AA,MATCH('General price list'!$W$17,Kategorie!$C$2:$AA$2,0),FALSE),"× Chybí překlad ×")))</f>
        <v/>
      </c>
      <c r="C836" s="235" t="str">
        <f t="shared" si="13"/>
        <v/>
      </c>
    </row>
    <row r="837" spans="1:3">
      <c r="A837" s="241" t="s">
        <v>24</v>
      </c>
      <c r="B837" s="235" t="str">
        <f>IF(A837="","",IF('General price list'!$W$17=B836,A837,IFERROR(VLOOKUP(A837,Kategorie!C:AA,MATCH('General price list'!$W$17,Kategorie!$C$2:$AA$2,0),FALSE),"× Chybí překlad ×")))</f>
        <v/>
      </c>
      <c r="C837" s="235" t="str">
        <f t="shared" si="13"/>
        <v/>
      </c>
    </row>
    <row r="838" spans="1:3">
      <c r="A838" s="241" t="s">
        <v>8097</v>
      </c>
      <c r="B838" s="235" t="str">
        <f>IF(A838="","",IF('General price list'!$W$17=B837,A838,IFERROR(VLOOKUP(A838,Kategorie!C:AA,MATCH('General price list'!$W$17,Kategorie!$C$2:$AA$2,0),FALSE),"× Chybí překlad ×")))</f>
        <v>Baterie 68ran, 20+25+30mm moždíř(všechny směry)-1.4G</v>
      </c>
      <c r="C838" s="235" t="str">
        <f t="shared" si="13"/>
        <v xml:space="preserve">                                                               Baterie 68ran, 20+25+30mm moždíř(všechny směry)-1.4G</v>
      </c>
    </row>
    <row r="839" spans="1:3">
      <c r="A839" s="241" t="s">
        <v>24</v>
      </c>
      <c r="B839" s="235" t="str">
        <f>IF(A839="","",IF('General price list'!$W$17=B838,A839,IFERROR(VLOOKUP(A839,Kategorie!C:AA,MATCH('General price list'!$W$17,Kategorie!$C$2:$AA$2,0),FALSE),"× Chybí překlad ×")))</f>
        <v/>
      </c>
      <c r="C839" s="235" t="str">
        <f t="shared" si="13"/>
        <v/>
      </c>
    </row>
    <row r="840" spans="1:3">
      <c r="A840" s="241" t="s">
        <v>13495</v>
      </c>
      <c r="B840" s="235" t="str">
        <f>IF(A840="","",IF('General price list'!$W$17=B839,A840,IFERROR(VLOOKUP(A840,Kategorie!C:AA,MATCH('General price list'!$W$17,Kategorie!$C$2:$AA$2,0),FALSE),"× Chybí překlad ×")))</f>
        <v>x</v>
      </c>
      <c r="C840" s="235" t="str">
        <f t="shared" si="13"/>
        <v>×</v>
      </c>
    </row>
    <row r="841" spans="1:3">
      <c r="A841" s="241" t="s">
        <v>8106</v>
      </c>
      <c r="B841" s="235" t="str">
        <f>IF(A841="","",IF('General price list'!$W$17=B840,A841,IFERROR(VLOOKUP(A841,Kategorie!C:AA,MATCH('General price list'!$W$17,Kategorie!$C$2:$AA$2,0),FALSE),"× Chybí překlad ×")))</f>
        <v>Baterie 100ran, 20+25+30mm rovný+šikmý+S moždíř-1.3G</v>
      </c>
      <c r="C841" s="235" t="str">
        <f t="shared" si="13"/>
        <v xml:space="preserve">                                                               Baterie 100ran, 20+25+30mm rovný+šikmý+S moždíř-1.3G</v>
      </c>
    </row>
    <row r="842" spans="1:3">
      <c r="A842" s="241" t="s">
        <v>24</v>
      </c>
      <c r="B842" s="235" t="str">
        <f>IF(A842="","",IF('General price list'!$W$17=B841,A842,IFERROR(VLOOKUP(A842,Kategorie!C:AA,MATCH('General price list'!$W$17,Kategorie!$C$2:$AA$2,0),FALSE),"× Chybí překlad ×")))</f>
        <v/>
      </c>
      <c r="C842" s="235" t="str">
        <f t="shared" si="13"/>
        <v/>
      </c>
    </row>
    <row r="843" spans="1:3" ht="15.75">
      <c r="A843" s="242" t="s">
        <v>24</v>
      </c>
      <c r="B843" s="235" t="str">
        <f>IF(A843="","",IF('General price list'!$W$17=B842,A843,IFERROR(VLOOKUP(A843,Kategorie!C:AA,MATCH('General price list'!$W$17,Kategorie!$C$2:$AA$2,0),FALSE),"× Chybí překlad ×")))</f>
        <v/>
      </c>
      <c r="C843" s="235" t="str">
        <f t="shared" si="13"/>
        <v/>
      </c>
    </row>
    <row r="844" spans="1:3">
      <c r="A844" s="241" t="s">
        <v>8115</v>
      </c>
      <c r="B844" s="235" t="str">
        <f>IF(A844="","",IF('General price list'!$W$17=B843,A844,IFERROR(VLOOKUP(A844,Kategorie!C:AA,MATCH('General price list'!$W$17,Kategorie!$C$2:$AA$2,0),FALSE),"× Chybí překlad ×")))</f>
        <v>Baterie 106ran, 20+25+30mm rovný+šikmý+S moždíř-1.3G</v>
      </c>
      <c r="C844" s="235" t="str">
        <f t="shared" si="13"/>
        <v xml:space="preserve">                                                               Baterie 106ran, 20+25+30mm rovný+šikmý+S moždíř-1.3G</v>
      </c>
    </row>
    <row r="845" spans="1:3">
      <c r="A845" s="241" t="s">
        <v>24</v>
      </c>
      <c r="B845" s="235" t="str">
        <f>IF(A845="","",IF('General price list'!$W$17=B844,A845,IFERROR(VLOOKUP(A845,Kategorie!C:AA,MATCH('General price list'!$W$17,Kategorie!$C$2:$AA$2,0),FALSE),"× Chybí překlad ×")))</f>
        <v/>
      </c>
      <c r="C845" s="235" t="str">
        <f t="shared" si="13"/>
        <v/>
      </c>
    </row>
    <row r="846" spans="1:3">
      <c r="A846" s="241" t="s">
        <v>24</v>
      </c>
      <c r="B846" s="235" t="str">
        <f>IF(A846="","",IF('General price list'!$W$17=B845,A846,IFERROR(VLOOKUP(A846,Kategorie!C:AA,MATCH('General price list'!$W$17,Kategorie!$C$2:$AA$2,0),FALSE),"× Chybí překlad ×")))</f>
        <v/>
      </c>
      <c r="C846" s="235" t="str">
        <f t="shared" si="13"/>
        <v/>
      </c>
    </row>
    <row r="847" spans="1:3">
      <c r="A847" s="241" t="s">
        <v>8124</v>
      </c>
      <c r="B847" s="235" t="str">
        <f>IF(A847="","",IF('General price list'!$W$17=B846,A847,IFERROR(VLOOKUP(A847,Kategorie!C:AA,MATCH('General price list'!$W$17,Kategorie!$C$2:$AA$2,0),FALSE),"× Chybí překlad ×")))</f>
        <v>Baterie 109ran, 20+25+30mm moždíř-1.3G</v>
      </c>
      <c r="C847" s="235" t="str">
        <f t="shared" si="13"/>
        <v xml:space="preserve">                                                               Baterie 109ran, 20+25+30mm moždíř-1.3G</v>
      </c>
    </row>
    <row r="848" spans="1:3" ht="15.75">
      <c r="A848" s="242" t="s">
        <v>24</v>
      </c>
      <c r="B848" s="235" t="str">
        <f>IF(A848="","",IF('General price list'!$W$17=B847,A848,IFERROR(VLOOKUP(A848,Kategorie!C:AA,MATCH('General price list'!$W$17,Kategorie!$C$2:$AA$2,0),FALSE),"× Chybí překlad ×")))</f>
        <v/>
      </c>
      <c r="C848" s="235" t="str">
        <f t="shared" ref="C848:C911" si="14">IF(A848="","",IF(A848="x","×",$B$1&amp;B848))</f>
        <v/>
      </c>
    </row>
    <row r="849" spans="1:3">
      <c r="A849" s="241" t="s">
        <v>24</v>
      </c>
      <c r="B849" s="235" t="str">
        <f>IF(A849="","",IF('General price list'!$W$17=B848,A849,IFERROR(VLOOKUP(A849,Kategorie!C:AA,MATCH('General price list'!$W$17,Kategorie!$C$2:$AA$2,0),FALSE),"× Chybí překlad ×")))</f>
        <v/>
      </c>
      <c r="C849" s="235" t="str">
        <f t="shared" si="14"/>
        <v/>
      </c>
    </row>
    <row r="850" spans="1:3" ht="15.75">
      <c r="A850" s="242" t="s">
        <v>8133</v>
      </c>
      <c r="B850" s="235" t="str">
        <f>IF(A850="","",IF('General price list'!$W$17=B849,A850,IFERROR(VLOOKUP(A850,Kategorie!C:AA,MATCH('General price list'!$W$17,Kategorie!$C$2:$AA$2,0),FALSE),"× Chybí překlad ×")))</f>
        <v>Složený ohňostroj multikaliber F2 - 1.4G</v>
      </c>
      <c r="C850" s="235" t="str">
        <f t="shared" si="14"/>
        <v xml:space="preserve">                                                               Složený ohňostroj multikaliber F2 - 1.4G</v>
      </c>
    </row>
    <row r="851" spans="1:3">
      <c r="A851" s="241" t="s">
        <v>24</v>
      </c>
      <c r="B851" s="235" t="str">
        <f>IF(A851="","",IF('General price list'!$W$17=B850,A851,IFERROR(VLOOKUP(A851,Kategorie!C:AA,MATCH('General price list'!$W$17,Kategorie!$C$2:$AA$2,0),FALSE),"× Chybí překlad ×")))</f>
        <v/>
      </c>
      <c r="C851" s="235" t="str">
        <f t="shared" si="14"/>
        <v/>
      </c>
    </row>
    <row r="852" spans="1:3">
      <c r="A852" s="241" t="s">
        <v>24</v>
      </c>
      <c r="B852" s="235" t="str">
        <f>IF(A852="","",IF('General price list'!$W$17=B851,A852,IFERROR(VLOOKUP(A852,Kategorie!C:AA,MATCH('General price list'!$W$17,Kategorie!$C$2:$AA$2,0),FALSE),"× Chybí překlad ×")))</f>
        <v/>
      </c>
      <c r="C852" s="235" t="str">
        <f t="shared" si="14"/>
        <v/>
      </c>
    </row>
    <row r="853" spans="1:3">
      <c r="A853" s="241" t="s">
        <v>24</v>
      </c>
      <c r="B853" s="235" t="str">
        <f>IF(A853="","",IF('General price list'!$W$17=B852,A853,IFERROR(VLOOKUP(A853,Kategorie!C:AA,MATCH('General price list'!$W$17,Kategorie!$C$2:$AA$2,0),FALSE),"× Chybí překlad ×")))</f>
        <v/>
      </c>
      <c r="C853" s="235" t="str">
        <f t="shared" si="14"/>
        <v/>
      </c>
    </row>
    <row r="854" spans="1:3">
      <c r="A854" s="241" t="s">
        <v>24</v>
      </c>
      <c r="B854" s="235" t="str">
        <f>IF(A854="","",IF('General price list'!$W$17=B853,A854,IFERROR(VLOOKUP(A854,Kategorie!C:AA,MATCH('General price list'!$W$17,Kategorie!$C$2:$AA$2,0),FALSE),"× Chybí překlad ×")))</f>
        <v/>
      </c>
      <c r="C854" s="235" t="str">
        <f t="shared" si="14"/>
        <v/>
      </c>
    </row>
    <row r="855" spans="1:3">
      <c r="A855" s="241" t="s">
        <v>24</v>
      </c>
      <c r="B855" s="235" t="str">
        <f>IF(A855="","",IF('General price list'!$W$17=B854,A855,IFERROR(VLOOKUP(A855,Kategorie!C:AA,MATCH('General price list'!$W$17,Kategorie!$C$2:$AA$2,0),FALSE),"× Chybí překlad ×")))</f>
        <v/>
      </c>
      <c r="C855" s="235" t="str">
        <f t="shared" si="14"/>
        <v/>
      </c>
    </row>
    <row r="856" spans="1:3">
      <c r="A856" s="241" t="s">
        <v>24</v>
      </c>
      <c r="B856" s="235" t="str">
        <f>IF(A856="","",IF('General price list'!$W$17=B855,A856,IFERROR(VLOOKUP(A856,Kategorie!C:AA,MATCH('General price list'!$W$17,Kategorie!$C$2:$AA$2,0),FALSE),"× Chybí překlad ×")))</f>
        <v/>
      </c>
      <c r="C856" s="235" t="str">
        <f t="shared" si="14"/>
        <v/>
      </c>
    </row>
    <row r="857" spans="1:3">
      <c r="A857" s="241" t="s">
        <v>24</v>
      </c>
      <c r="B857" s="235" t="str">
        <f>IF(A857="","",IF('General price list'!$W$17=B856,A857,IFERROR(VLOOKUP(A857,Kategorie!C:AA,MATCH('General price list'!$W$17,Kategorie!$C$2:$AA$2,0),FALSE),"× Chybí překlad ×")))</f>
        <v/>
      </c>
      <c r="C857" s="235" t="str">
        <f t="shared" si="14"/>
        <v/>
      </c>
    </row>
    <row r="858" spans="1:3" ht="15.75">
      <c r="A858" s="242" t="s">
        <v>24</v>
      </c>
      <c r="B858" s="235" t="str">
        <f>IF(A858="","",IF('General price list'!$W$17=B857,A858,IFERROR(VLOOKUP(A858,Kategorie!C:AA,MATCH('General price list'!$W$17,Kategorie!$C$2:$AA$2,0),FALSE),"× Chybí překlad ×")))</f>
        <v/>
      </c>
      <c r="C858" s="235" t="str">
        <f t="shared" si="14"/>
        <v/>
      </c>
    </row>
    <row r="859" spans="1:3">
      <c r="A859" s="241" t="s">
        <v>24</v>
      </c>
      <c r="B859" s="235" t="str">
        <f>IF(A859="","",IF('General price list'!$W$17=B858,A859,IFERROR(VLOOKUP(A859,Kategorie!C:AA,MATCH('General price list'!$W$17,Kategorie!$C$2:$AA$2,0),FALSE),"× Chybí překlad ×")))</f>
        <v/>
      </c>
      <c r="C859" s="235" t="str">
        <f t="shared" si="14"/>
        <v/>
      </c>
    </row>
    <row r="860" spans="1:3">
      <c r="A860" s="241" t="s">
        <v>24</v>
      </c>
      <c r="B860" s="235" t="str">
        <f>IF(A860="","",IF('General price list'!$W$17=B859,A860,IFERROR(VLOOKUP(A860,Kategorie!C:AA,MATCH('General price list'!$W$17,Kategorie!$C$2:$AA$2,0),FALSE),"× Chybí překlad ×")))</f>
        <v/>
      </c>
      <c r="C860" s="235" t="str">
        <f t="shared" si="14"/>
        <v/>
      </c>
    </row>
    <row r="861" spans="1:3">
      <c r="A861" s="241" t="s">
        <v>24</v>
      </c>
      <c r="B861" s="235" t="str">
        <f>IF(A861="","",IF('General price list'!$W$17=B860,A861,IFERROR(VLOOKUP(A861,Kategorie!C:AA,MATCH('General price list'!$W$17,Kategorie!$C$2:$AA$2,0),FALSE),"× Chybí překlad ×")))</f>
        <v/>
      </c>
      <c r="C861" s="235" t="str">
        <f t="shared" si="14"/>
        <v/>
      </c>
    </row>
    <row r="862" spans="1:3">
      <c r="A862" s="241" t="s">
        <v>8142</v>
      </c>
      <c r="B862" s="235" t="str">
        <f>IF(A862="","",IF('General price list'!$W$17=B861,A862,IFERROR(VLOOKUP(A862,Kategorie!C:AA,MATCH('General price list'!$W$17,Kategorie!$C$2:$AA$2,0),FALSE),"× Chybí překlad ×")))</f>
        <v>Složený ohňostroj(s ochraným obalem) multikaliber F2 - 1.4G</v>
      </c>
      <c r="C862" s="235" t="str">
        <f t="shared" si="14"/>
        <v xml:space="preserve">                                                               Složený ohňostroj(s ochraným obalem) multikaliber F2 - 1.4G</v>
      </c>
    </row>
    <row r="863" spans="1:3">
      <c r="A863" s="241" t="s">
        <v>24</v>
      </c>
      <c r="B863" s="235" t="str">
        <f>IF(A863="","",IF('General price list'!$W$17=B862,A863,IFERROR(VLOOKUP(A863,Kategorie!C:AA,MATCH('General price list'!$W$17,Kategorie!$C$2:$AA$2,0),FALSE),"× Chybí překlad ×")))</f>
        <v/>
      </c>
      <c r="C863" s="235" t="str">
        <f t="shared" si="14"/>
        <v/>
      </c>
    </row>
    <row r="864" spans="1:3" ht="15.75">
      <c r="A864" s="242" t="s">
        <v>24</v>
      </c>
      <c r="B864" s="235" t="str">
        <f>IF(A864="","",IF('General price list'!$W$17=B863,A864,IFERROR(VLOOKUP(A864,Kategorie!C:AA,MATCH('General price list'!$W$17,Kategorie!$C$2:$AA$2,0),FALSE),"× Chybí překlad ×")))</f>
        <v/>
      </c>
      <c r="C864" s="235" t="str">
        <f t="shared" si="14"/>
        <v/>
      </c>
    </row>
    <row r="865" spans="1:3">
      <c r="A865" s="241" t="s">
        <v>24</v>
      </c>
      <c r="B865" s="235" t="str">
        <f>IF(A865="","",IF('General price list'!$W$17=B864,A865,IFERROR(VLOOKUP(A865,Kategorie!C:AA,MATCH('General price list'!$W$17,Kategorie!$C$2:$AA$2,0),FALSE),"× Chybí překlad ×")))</f>
        <v/>
      </c>
      <c r="C865" s="235" t="str">
        <f t="shared" si="14"/>
        <v/>
      </c>
    </row>
    <row r="866" spans="1:3">
      <c r="A866" s="241" t="s">
        <v>24</v>
      </c>
      <c r="B866" s="235" t="str">
        <f>IF(A866="","",IF('General price list'!$W$17=B865,A866,IFERROR(VLOOKUP(A866,Kategorie!C:AA,MATCH('General price list'!$W$17,Kategorie!$C$2:$AA$2,0),FALSE),"× Chybí překlad ×")))</f>
        <v/>
      </c>
      <c r="C866" s="235" t="str">
        <f t="shared" si="14"/>
        <v/>
      </c>
    </row>
    <row r="867" spans="1:3">
      <c r="A867" s="241" t="s">
        <v>24</v>
      </c>
      <c r="B867" s="235" t="str">
        <f>IF(A867="","",IF('General price list'!$W$17=B866,A867,IFERROR(VLOOKUP(A867,Kategorie!C:AA,MATCH('General price list'!$W$17,Kategorie!$C$2:$AA$2,0),FALSE),"× Chybí překlad ×")))</f>
        <v/>
      </c>
      <c r="C867" s="235" t="str">
        <f t="shared" si="14"/>
        <v/>
      </c>
    </row>
    <row r="868" spans="1:3" ht="15.75">
      <c r="A868" s="242" t="s">
        <v>24</v>
      </c>
      <c r="B868" s="235" t="str">
        <f>IF(A868="","",IF('General price list'!$W$17=B867,A868,IFERROR(VLOOKUP(A868,Kategorie!C:AA,MATCH('General price list'!$W$17,Kategorie!$C$2:$AA$2,0),FALSE),"× Chybí překlad ×")))</f>
        <v/>
      </c>
      <c r="C868" s="235" t="str">
        <f t="shared" si="14"/>
        <v/>
      </c>
    </row>
    <row r="869" spans="1:3">
      <c r="A869" s="241" t="s">
        <v>24</v>
      </c>
      <c r="B869" s="235" t="str">
        <f>IF(A869="","",IF('General price list'!$W$17=B868,A869,IFERROR(VLOOKUP(A869,Kategorie!C:AA,MATCH('General price list'!$W$17,Kategorie!$C$2:$AA$2,0),FALSE),"× Chybí překlad ×")))</f>
        <v/>
      </c>
      <c r="C869" s="235" t="str">
        <f t="shared" si="14"/>
        <v/>
      </c>
    </row>
    <row r="870" spans="1:3" ht="15.75">
      <c r="A870" s="242" t="s">
        <v>24</v>
      </c>
      <c r="B870" s="235" t="str">
        <f>IF(A870="","",IF('General price list'!$W$17=B869,A870,IFERROR(VLOOKUP(A870,Kategorie!C:AA,MATCH('General price list'!$W$17,Kategorie!$C$2:$AA$2,0),FALSE),"× Chybí překlad ×")))</f>
        <v/>
      </c>
      <c r="C870" s="235" t="str">
        <f t="shared" si="14"/>
        <v/>
      </c>
    </row>
    <row r="871" spans="1:3">
      <c r="A871" s="241" t="s">
        <v>24</v>
      </c>
      <c r="B871" s="235" t="str">
        <f>IF(A871="","",IF('General price list'!$W$17=B870,A871,IFERROR(VLOOKUP(A871,Kategorie!C:AA,MATCH('General price list'!$W$17,Kategorie!$C$2:$AA$2,0),FALSE),"× Chybí překlad ×")))</f>
        <v/>
      </c>
      <c r="C871" s="235" t="str">
        <f t="shared" si="14"/>
        <v/>
      </c>
    </row>
    <row r="872" spans="1:3">
      <c r="A872" s="241" t="s">
        <v>24</v>
      </c>
      <c r="B872" s="235" t="str">
        <f>IF(A872="","",IF('General price list'!$W$17=B871,A872,IFERROR(VLOOKUP(A872,Kategorie!C:AA,MATCH('General price list'!$W$17,Kategorie!$C$2:$AA$2,0),FALSE),"× Chybí překlad ×")))</f>
        <v/>
      </c>
      <c r="C872" s="235" t="str">
        <f t="shared" si="14"/>
        <v/>
      </c>
    </row>
    <row r="873" spans="1:3" ht="15.75">
      <c r="A873" s="242" t="s">
        <v>24</v>
      </c>
      <c r="B873" s="235" t="str">
        <f>IF(A873="","",IF('General price list'!$W$17=B872,A873,IFERROR(VLOOKUP(A873,Kategorie!C:AA,MATCH('General price list'!$W$17,Kategorie!$C$2:$AA$2,0),FALSE),"× Chybí překlad ×")))</f>
        <v/>
      </c>
      <c r="C873" s="235" t="str">
        <f t="shared" si="14"/>
        <v/>
      </c>
    </row>
    <row r="874" spans="1:3">
      <c r="A874" s="241" t="s">
        <v>8151</v>
      </c>
      <c r="B874" s="235" t="str">
        <f>IF(A874="","",IF('General price list'!$W$17=B873,A874,IFERROR(VLOOKUP(A874,Kategorie!C:AA,MATCH('General price list'!$W$17,Kategorie!$C$2:$AA$2,0),FALSE),"× Chybí překlad ×")))</f>
        <v>Složený ohňostroj, multikaliber F2 - 1.3G</v>
      </c>
      <c r="C874" s="235" t="str">
        <f t="shared" si="14"/>
        <v xml:space="preserve">                                                               Složený ohňostroj, multikaliber F2 - 1.3G</v>
      </c>
    </row>
    <row r="875" spans="1:3">
      <c r="A875" s="241" t="s">
        <v>24</v>
      </c>
      <c r="B875" s="235" t="str">
        <f>IF(A875="","",IF('General price list'!$W$17=B874,A875,IFERROR(VLOOKUP(A875,Kategorie!C:AA,MATCH('General price list'!$W$17,Kategorie!$C$2:$AA$2,0),FALSE),"× Chybí překlad ×")))</f>
        <v/>
      </c>
      <c r="C875" s="235" t="str">
        <f t="shared" si="14"/>
        <v/>
      </c>
    </row>
    <row r="876" spans="1:3">
      <c r="A876" s="241" t="s">
        <v>24</v>
      </c>
      <c r="B876" s="235" t="str">
        <f>IF(A876="","",IF('General price list'!$W$17=B875,A876,IFERROR(VLOOKUP(A876,Kategorie!C:AA,MATCH('General price list'!$W$17,Kategorie!$C$2:$AA$2,0),FALSE),"× Chybí překlad ×")))</f>
        <v/>
      </c>
      <c r="C876" s="235" t="str">
        <f t="shared" si="14"/>
        <v/>
      </c>
    </row>
    <row r="877" spans="1:3">
      <c r="A877" s="241" t="s">
        <v>24</v>
      </c>
      <c r="B877" s="235" t="str">
        <f>IF(A877="","",IF('General price list'!$W$17=B876,A877,IFERROR(VLOOKUP(A877,Kategorie!C:AA,MATCH('General price list'!$W$17,Kategorie!$C$2:$AA$2,0),FALSE),"× Chybí překlad ×")))</f>
        <v/>
      </c>
      <c r="C877" s="235" t="str">
        <f t="shared" si="14"/>
        <v/>
      </c>
    </row>
    <row r="878" spans="1:3">
      <c r="A878" s="241" t="s">
        <v>24</v>
      </c>
      <c r="B878" s="235" t="str">
        <f>IF(A878="","",IF('General price list'!$W$17=B877,A878,IFERROR(VLOOKUP(A878,Kategorie!C:AA,MATCH('General price list'!$W$17,Kategorie!$C$2:$AA$2,0),FALSE),"× Chybí překlad ×")))</f>
        <v/>
      </c>
      <c r="C878" s="235" t="str">
        <f t="shared" si="14"/>
        <v/>
      </c>
    </row>
    <row r="879" spans="1:3">
      <c r="A879" s="241" t="s">
        <v>24</v>
      </c>
      <c r="B879" s="235" t="str">
        <f>IF(A879="","",IF('General price list'!$W$17=B878,A879,IFERROR(VLOOKUP(A879,Kategorie!C:AA,MATCH('General price list'!$W$17,Kategorie!$C$2:$AA$2,0),FALSE),"× Chybí překlad ×")))</f>
        <v/>
      </c>
      <c r="C879" s="235" t="str">
        <f t="shared" si="14"/>
        <v/>
      </c>
    </row>
    <row r="880" spans="1:3">
      <c r="A880" s="241" t="s">
        <v>24</v>
      </c>
      <c r="B880" s="235" t="str">
        <f>IF(A880="","",IF('General price list'!$W$17=B879,A880,IFERROR(VLOOKUP(A880,Kategorie!C:AA,MATCH('General price list'!$W$17,Kategorie!$C$2:$AA$2,0),FALSE),"× Chybí překlad ×")))</f>
        <v/>
      </c>
      <c r="C880" s="235" t="str">
        <f t="shared" si="14"/>
        <v/>
      </c>
    </row>
    <row r="881" spans="1:3">
      <c r="A881" s="241" t="s">
        <v>24</v>
      </c>
      <c r="B881" s="235" t="str">
        <f>IF(A881="","",IF('General price list'!$W$17=B880,A881,IFERROR(VLOOKUP(A881,Kategorie!C:AA,MATCH('General price list'!$W$17,Kategorie!$C$2:$AA$2,0),FALSE),"× Chybí překlad ×")))</f>
        <v/>
      </c>
      <c r="C881" s="235" t="str">
        <f t="shared" si="14"/>
        <v/>
      </c>
    </row>
    <row r="882" spans="1:3">
      <c r="A882" s="241" t="s">
        <v>8160</v>
      </c>
      <c r="B882" s="235" t="str">
        <f>IF(A882="","",IF('General price list'!$W$17=B881,A882,IFERROR(VLOOKUP(A882,Kategorie!C:AA,MATCH('General price list'!$W$17,Kategorie!$C$2:$AA$2,0),FALSE),"× Chybí překlad ×")))</f>
        <v>Složený ohňostroj(s ochraným obalem), multikaliber F2 - 1.3G</v>
      </c>
      <c r="C882" s="235" t="str">
        <f t="shared" si="14"/>
        <v xml:space="preserve">                                                               Složený ohňostroj(s ochraným obalem), multikaliber F2 - 1.3G</v>
      </c>
    </row>
    <row r="883" spans="1:3">
      <c r="A883" s="241" t="s">
        <v>24</v>
      </c>
      <c r="B883" s="235" t="str">
        <f>IF(A883="","",IF('General price list'!$W$17=B882,A883,IFERROR(VLOOKUP(A883,Kategorie!C:AA,MATCH('General price list'!$W$17,Kategorie!$C$2:$AA$2,0),FALSE),"× Chybí překlad ×")))</f>
        <v/>
      </c>
      <c r="C883" s="235" t="str">
        <f t="shared" si="14"/>
        <v/>
      </c>
    </row>
    <row r="884" spans="1:3">
      <c r="A884" s="241" t="s">
        <v>24</v>
      </c>
      <c r="B884" s="235" t="str">
        <f>IF(A884="","",IF('General price list'!$W$17=B883,A884,IFERROR(VLOOKUP(A884,Kategorie!C:AA,MATCH('General price list'!$W$17,Kategorie!$C$2:$AA$2,0),FALSE),"× Chybí překlad ×")))</f>
        <v/>
      </c>
      <c r="C884" s="235" t="str">
        <f t="shared" si="14"/>
        <v/>
      </c>
    </row>
    <row r="885" spans="1:3">
      <c r="A885" s="241" t="s">
        <v>24</v>
      </c>
      <c r="B885" s="235" t="str">
        <f>IF(A885="","",IF('General price list'!$W$17=B884,A885,IFERROR(VLOOKUP(A885,Kategorie!C:AA,MATCH('General price list'!$W$17,Kategorie!$C$2:$AA$2,0),FALSE),"× Chybí překlad ×")))</f>
        <v/>
      </c>
      <c r="C885" s="235" t="str">
        <f t="shared" si="14"/>
        <v/>
      </c>
    </row>
    <row r="886" spans="1:3">
      <c r="A886" s="241" t="s">
        <v>24</v>
      </c>
      <c r="B886" s="235" t="str">
        <f>IF(A886="","",IF('General price list'!$W$17=B885,A886,IFERROR(VLOOKUP(A886,Kategorie!C:AA,MATCH('General price list'!$W$17,Kategorie!$C$2:$AA$2,0),FALSE),"× Chybí překlad ×")))</f>
        <v/>
      </c>
      <c r="C886" s="235" t="str">
        <f t="shared" si="14"/>
        <v/>
      </c>
    </row>
    <row r="887" spans="1:3">
      <c r="A887" s="241" t="s">
        <v>24</v>
      </c>
      <c r="B887" s="235" t="str">
        <f>IF(A887="","",IF('General price list'!$W$17=B886,A887,IFERROR(VLOOKUP(A887,Kategorie!C:AA,MATCH('General price list'!$W$17,Kategorie!$C$2:$AA$2,0),FALSE),"× Chybí překlad ×")))</f>
        <v/>
      </c>
      <c r="C887" s="235" t="str">
        <f t="shared" si="14"/>
        <v/>
      </c>
    </row>
    <row r="888" spans="1:3">
      <c r="A888" s="241" t="s">
        <v>24</v>
      </c>
      <c r="B888" s="235" t="str">
        <f>IF(A888="","",IF('General price list'!$W$17=B887,A888,IFERROR(VLOOKUP(A888,Kategorie!C:AA,MATCH('General price list'!$W$17,Kategorie!$C$2:$AA$2,0),FALSE),"× Chybí překlad ×")))</f>
        <v/>
      </c>
      <c r="C888" s="235" t="str">
        <f t="shared" si="14"/>
        <v/>
      </c>
    </row>
    <row r="889" spans="1:3">
      <c r="A889" s="241" t="s">
        <v>24</v>
      </c>
      <c r="B889" s="235" t="str">
        <f>IF(A889="","",IF('General price list'!$W$17=B888,A889,IFERROR(VLOOKUP(A889,Kategorie!C:AA,MATCH('General price list'!$W$17,Kategorie!$C$2:$AA$2,0),FALSE),"× Chybí překlad ×")))</f>
        <v/>
      </c>
      <c r="C889" s="235" t="str">
        <f t="shared" si="14"/>
        <v/>
      </c>
    </row>
    <row r="890" spans="1:3" ht="15.75">
      <c r="A890" s="242" t="s">
        <v>8169</v>
      </c>
      <c r="B890" s="235" t="str">
        <f>IF(A890="","",IF('General price list'!$W$17=B889,A890,IFERROR(VLOOKUP(A890,Kategorie!C:AA,MATCH('General price list'!$W$17,Kategorie!$C$2:$AA$2,0),FALSE),"× Chybí překlad ×")))</f>
        <v>Složený ohňostroj, multikaliber(20-30mm) F3 - 1.3G</v>
      </c>
      <c r="C890" s="235" t="str">
        <f t="shared" si="14"/>
        <v xml:space="preserve">                                                               Složený ohňostroj, multikaliber(20-30mm) F3 - 1.3G</v>
      </c>
    </row>
    <row r="891" spans="1:3">
      <c r="A891" s="241" t="s">
        <v>24</v>
      </c>
      <c r="B891" s="235" t="str">
        <f>IF(A891="","",IF('General price list'!$W$17=B890,A891,IFERROR(VLOOKUP(A891,Kategorie!C:AA,MATCH('General price list'!$W$17,Kategorie!$C$2:$AA$2,0),FALSE),"× Chybí překlad ×")))</f>
        <v/>
      </c>
      <c r="C891" s="235" t="str">
        <f t="shared" si="14"/>
        <v/>
      </c>
    </row>
    <row r="892" spans="1:3">
      <c r="A892" s="241" t="s">
        <v>24</v>
      </c>
      <c r="B892" s="235" t="str">
        <f>IF(A892="","",IF('General price list'!$W$17=B891,A892,IFERROR(VLOOKUP(A892,Kategorie!C:AA,MATCH('General price list'!$W$17,Kategorie!$C$2:$AA$2,0),FALSE),"× Chybí překlad ×")))</f>
        <v/>
      </c>
      <c r="C892" s="235" t="str">
        <f t="shared" si="14"/>
        <v/>
      </c>
    </row>
    <row r="893" spans="1:3">
      <c r="A893" s="241" t="s">
        <v>24</v>
      </c>
      <c r="B893" s="235" t="str">
        <f>IF(A893="","",IF('General price list'!$W$17=B892,A893,IFERROR(VLOOKUP(A893,Kategorie!C:AA,MATCH('General price list'!$W$17,Kategorie!$C$2:$AA$2,0),FALSE),"× Chybí překlad ×")))</f>
        <v/>
      </c>
      <c r="C893" s="235" t="str">
        <f t="shared" si="14"/>
        <v/>
      </c>
    </row>
    <row r="894" spans="1:3">
      <c r="A894" s="241" t="s">
        <v>24</v>
      </c>
      <c r="B894" s="235" t="str">
        <f>IF(A894="","",IF('General price list'!$W$17=B893,A894,IFERROR(VLOOKUP(A894,Kategorie!C:AA,MATCH('General price list'!$W$17,Kategorie!$C$2:$AA$2,0),FALSE),"× Chybí překlad ×")))</f>
        <v/>
      </c>
      <c r="C894" s="235" t="str">
        <f t="shared" si="14"/>
        <v/>
      </c>
    </row>
    <row r="895" spans="1:3">
      <c r="A895" s="241" t="s">
        <v>24</v>
      </c>
      <c r="B895" s="235" t="str">
        <f>IF(A895="","",IF('General price list'!$W$17=B894,A895,IFERROR(VLOOKUP(A895,Kategorie!C:AA,MATCH('General price list'!$W$17,Kategorie!$C$2:$AA$2,0),FALSE),"× Chybí překlad ×")))</f>
        <v/>
      </c>
      <c r="C895" s="235" t="str">
        <f t="shared" si="14"/>
        <v/>
      </c>
    </row>
    <row r="896" spans="1:3">
      <c r="A896" s="241" t="s">
        <v>24</v>
      </c>
      <c r="B896" s="235" t="str">
        <f>IF(A896="","",IF('General price list'!$W$17=B895,A896,IFERROR(VLOOKUP(A896,Kategorie!C:AA,MATCH('General price list'!$W$17,Kategorie!$C$2:$AA$2,0),FALSE),"× Chybí překlad ×")))</f>
        <v/>
      </c>
      <c r="C896" s="235" t="str">
        <f t="shared" si="14"/>
        <v/>
      </c>
    </row>
    <row r="897" spans="1:3">
      <c r="A897" s="241" t="s">
        <v>8178</v>
      </c>
      <c r="B897" s="235" t="str">
        <f>IF(A897="","",IF('General price list'!$W$17=B896,A897,IFERROR(VLOOKUP(A897,Kategorie!C:AA,MATCH('General price list'!$W$17,Kategorie!$C$2:$AA$2,0),FALSE),"× Chybí překlad ×")))</f>
        <v>Složený ohňostroj(s ochraným obalem) multikaliber(20-30mm) F3 - 1.3G</v>
      </c>
      <c r="C897" s="235" t="str">
        <f t="shared" si="14"/>
        <v xml:space="preserve">                                                               Složený ohňostroj(s ochraným obalem) multikaliber(20-30mm) F3 - 1.3G</v>
      </c>
    </row>
    <row r="898" spans="1:3">
      <c r="A898" s="241" t="s">
        <v>24</v>
      </c>
      <c r="B898" s="235" t="str">
        <f>IF(A898="","",IF('General price list'!$W$17=B897,A898,IFERROR(VLOOKUP(A898,Kategorie!C:AA,MATCH('General price list'!$W$17,Kategorie!$C$2:$AA$2,0),FALSE),"× Chybí překlad ×")))</f>
        <v/>
      </c>
      <c r="C898" s="235" t="str">
        <f t="shared" si="14"/>
        <v/>
      </c>
    </row>
    <row r="899" spans="1:3">
      <c r="A899" s="241" t="s">
        <v>24</v>
      </c>
      <c r="B899" s="235" t="str">
        <f>IF(A899="","",IF('General price list'!$W$17=B898,A899,IFERROR(VLOOKUP(A899,Kategorie!C:AA,MATCH('General price list'!$W$17,Kategorie!$C$2:$AA$2,0),FALSE),"× Chybí překlad ×")))</f>
        <v/>
      </c>
      <c r="C899" s="235" t="str">
        <f t="shared" si="14"/>
        <v/>
      </c>
    </row>
    <row r="900" spans="1:3" ht="15.75">
      <c r="A900" s="242" t="s">
        <v>24</v>
      </c>
      <c r="B900" s="235" t="str">
        <f>IF(A900="","",IF('General price list'!$W$17=B899,A900,IFERROR(VLOOKUP(A900,Kategorie!C:AA,MATCH('General price list'!$W$17,Kategorie!$C$2:$AA$2,0),FALSE),"× Chybí překlad ×")))</f>
        <v/>
      </c>
      <c r="C900" s="235" t="str">
        <f t="shared" si="14"/>
        <v/>
      </c>
    </row>
    <row r="901" spans="1:3">
      <c r="A901" s="241" t="s">
        <v>24</v>
      </c>
      <c r="B901" s="235" t="str">
        <f>IF(A901="","",IF('General price list'!$W$17=B900,A901,IFERROR(VLOOKUP(A901,Kategorie!C:AA,MATCH('General price list'!$W$17,Kategorie!$C$2:$AA$2,0),FALSE),"× Chybí překlad ×")))</f>
        <v/>
      </c>
      <c r="C901" s="235" t="str">
        <f t="shared" si="14"/>
        <v/>
      </c>
    </row>
    <row r="902" spans="1:3">
      <c r="A902" s="241" t="s">
        <v>24</v>
      </c>
      <c r="B902" s="235" t="str">
        <f>IF(A902="","",IF('General price list'!$W$17=B901,A902,IFERROR(VLOOKUP(A902,Kategorie!C:AA,MATCH('General price list'!$W$17,Kategorie!$C$2:$AA$2,0),FALSE),"× Chybí překlad ×")))</f>
        <v/>
      </c>
      <c r="C902" s="235" t="str">
        <f t="shared" si="14"/>
        <v/>
      </c>
    </row>
    <row r="903" spans="1:3">
      <c r="A903" s="241" t="s">
        <v>24</v>
      </c>
      <c r="B903" s="235" t="str">
        <f>IF(A903="","",IF('General price list'!$W$17=B902,A903,IFERROR(VLOOKUP(A903,Kategorie!C:AA,MATCH('General price list'!$W$17,Kategorie!$C$2:$AA$2,0),FALSE),"× Chybí překlad ×")))</f>
        <v/>
      </c>
      <c r="C903" s="235" t="str">
        <f t="shared" si="14"/>
        <v/>
      </c>
    </row>
    <row r="904" spans="1:3">
      <c r="A904" s="241" t="s">
        <v>8187</v>
      </c>
      <c r="B904" s="235" t="str">
        <f>IF(A904="","",IF('General price list'!$W$17=B903,A904,IFERROR(VLOOKUP(A904,Kategorie!C:AA,MATCH('General price list'!$W$17,Kategorie!$C$2:$AA$2,0),FALSE),"× Chybí překlad ×")))</f>
        <v>Multikaliberní kompakty nad 30mm</v>
      </c>
      <c r="C904" s="235" t="str">
        <f t="shared" si="14"/>
        <v xml:space="preserve">                                                               Multikaliberní kompakty nad 30mm</v>
      </c>
    </row>
    <row r="905" spans="1:3">
      <c r="A905" s="241" t="s">
        <v>8195</v>
      </c>
      <c r="B905" s="235" t="str">
        <f>IF(A905="","",IF('General price list'!$W$17=B904,A905,IFERROR(VLOOKUP(A905,Kategorie!C:AA,MATCH('General price list'!$W$17,Kategorie!$C$2:$AA$2,0),FALSE),"× Chybí překlad ×")))</f>
        <v>Baterie 23ran, 30+50mm moždíř-1.3G</v>
      </c>
      <c r="C905" s="235" t="str">
        <f t="shared" si="14"/>
        <v xml:space="preserve">                                                               Baterie 23ran, 30+50mm moždíř-1.3G</v>
      </c>
    </row>
    <row r="906" spans="1:3">
      <c r="A906" s="241" t="s">
        <v>24</v>
      </c>
      <c r="B906" s="235" t="str">
        <f>IF(A906="","",IF('General price list'!$W$17=B905,A906,IFERROR(VLOOKUP(A906,Kategorie!C:AA,MATCH('General price list'!$W$17,Kategorie!$C$2:$AA$2,0),FALSE),"× Chybí překlad ×")))</f>
        <v/>
      </c>
      <c r="C906" s="235" t="str">
        <f t="shared" si="14"/>
        <v/>
      </c>
    </row>
    <row r="907" spans="1:3">
      <c r="A907" s="241" t="s">
        <v>8204</v>
      </c>
      <c r="B907" s="235" t="str">
        <f>IF(A907="","",IF('General price list'!$W$17=B906,A907,IFERROR(VLOOKUP(A907,Kategorie!C:AA,MATCH('General price list'!$W$17,Kategorie!$C$2:$AA$2,0),FALSE),"× Chybí překlad ×")))</f>
        <v>Baterie 24ran, 20+24+30+40mm moždíř-1.3G</v>
      </c>
      <c r="C907" s="235" t="str">
        <f t="shared" si="14"/>
        <v xml:space="preserve">                                                               Baterie 24ran, 20+24+30+40mm moždíř-1.3G</v>
      </c>
    </row>
    <row r="908" spans="1:3">
      <c r="A908" s="241" t="s">
        <v>24</v>
      </c>
      <c r="B908" s="235" t="str">
        <f>IF(A908="","",IF('General price list'!$W$17=B907,A908,IFERROR(VLOOKUP(A908,Kategorie!C:AA,MATCH('General price list'!$W$17,Kategorie!$C$2:$AA$2,0),FALSE),"× Chybí překlad ×")))</f>
        <v/>
      </c>
      <c r="C908" s="235" t="str">
        <f t="shared" si="14"/>
        <v/>
      </c>
    </row>
    <row r="909" spans="1:3">
      <c r="A909" s="241" t="s">
        <v>8213</v>
      </c>
      <c r="B909" s="235" t="str">
        <f>IF(A909="","",IF('General price list'!$W$17=B908,A909,IFERROR(VLOOKUP(A909,Kategorie!C:AA,MATCH('General price list'!$W$17,Kategorie!$C$2:$AA$2,0),FALSE),"× Chybí překlad ×")))</f>
        <v>Baterie 36ran, 36+50mm moždíř-1.3G</v>
      </c>
      <c r="C909" s="235" t="str">
        <f t="shared" si="14"/>
        <v xml:space="preserve">                                                               Baterie 36ran, 36+50mm moždíř-1.3G</v>
      </c>
    </row>
    <row r="910" spans="1:3">
      <c r="A910" s="241" t="s">
        <v>24</v>
      </c>
      <c r="B910" s="235" t="str">
        <f>IF(A910="","",IF('General price list'!$W$17=B909,A910,IFERROR(VLOOKUP(A910,Kategorie!C:AA,MATCH('General price list'!$W$17,Kategorie!$C$2:$AA$2,0),FALSE),"× Chybí překlad ×")))</f>
        <v/>
      </c>
      <c r="C910" s="235" t="str">
        <f t="shared" si="14"/>
        <v/>
      </c>
    </row>
    <row r="911" spans="1:3">
      <c r="A911" s="241" t="s">
        <v>8222</v>
      </c>
      <c r="B911" s="235" t="str">
        <f>IF(A911="","",IF('General price list'!$W$17=B910,A911,IFERROR(VLOOKUP(A911,Kategorie!C:AA,MATCH('General price list'!$W$17,Kategorie!$C$2:$AA$2,0),FALSE),"× Chybí překlad ×")))</f>
        <v>Baterie 42ran, 25+40mm rovný+šikmý moždíř-1.3G</v>
      </c>
      <c r="C911" s="235" t="str">
        <f t="shared" si="14"/>
        <v xml:space="preserve">                                                               Baterie 42ran, 25+40mm rovný+šikmý moždíř-1.3G</v>
      </c>
    </row>
    <row r="912" spans="1:3">
      <c r="A912" s="241" t="s">
        <v>24</v>
      </c>
      <c r="B912" s="235" t="str">
        <f>IF(A912="","",IF('General price list'!$W$17=B911,A912,IFERROR(VLOOKUP(A912,Kategorie!C:AA,MATCH('General price list'!$W$17,Kategorie!$C$2:$AA$2,0),FALSE),"× Chybí překlad ×")))</f>
        <v/>
      </c>
      <c r="C912" s="235" t="str">
        <f t="shared" ref="C912:C974" si="15">IF(A912="","",IF(A912="x","×",$B$1&amp;B912))</f>
        <v/>
      </c>
    </row>
    <row r="913" spans="1:3">
      <c r="A913" s="241" t="s">
        <v>8240</v>
      </c>
      <c r="B913" s="235" t="str">
        <f>IF(A913="","",IF('General price list'!$W$17=B912,A913,IFERROR(VLOOKUP(A913,Kategorie!C:AA,MATCH('General price list'!$W$17,Kategorie!$C$2:$AA$2,0),FALSE),"× Chybí překlad ×")))</f>
        <v>Baterie 47ran, 30+50mm rovný+šikmý moždíř-1.3G</v>
      </c>
      <c r="C913" s="235" t="str">
        <f t="shared" si="15"/>
        <v xml:space="preserve">                                                               Baterie 47ran, 30+50mm rovný+šikmý moždíř-1.3G</v>
      </c>
    </row>
    <row r="914" spans="1:3">
      <c r="A914" s="241" t="s">
        <v>24</v>
      </c>
      <c r="B914" s="235" t="str">
        <f>IF(A914="","",IF('General price list'!$W$17=B913,A914,IFERROR(VLOOKUP(A914,Kategorie!C:AA,MATCH('General price list'!$W$17,Kategorie!$C$2:$AA$2,0),FALSE),"× Chybí překlad ×")))</f>
        <v/>
      </c>
      <c r="C914" s="235" t="str">
        <f t="shared" si="15"/>
        <v/>
      </c>
    </row>
    <row r="915" spans="1:3">
      <c r="A915" s="241" t="s">
        <v>13495</v>
      </c>
      <c r="B915" s="235" t="str">
        <f>IF(A915="","",IF('General price list'!$W$17=B914,A915,IFERROR(VLOOKUP(A915,Kategorie!C:AA,MATCH('General price list'!$W$17,Kategorie!$C$2:$AA$2,0),FALSE),"× Chybí překlad ×")))</f>
        <v>x</v>
      </c>
      <c r="C915" s="235" t="str">
        <f t="shared" si="15"/>
        <v>×</v>
      </c>
    </row>
    <row r="916" spans="1:3">
      <c r="A916" s="241" t="s">
        <v>8240</v>
      </c>
      <c r="B916" s="235" t="str">
        <f>IF(A916="","",IF('General price list'!$W$17=B915,A916,IFERROR(VLOOKUP(A916,Kategorie!C:AA,MATCH('General price list'!$W$17,Kategorie!$C$2:$AA$2,0),FALSE),"× Chybí překlad ×")))</f>
        <v>Baterie 47ran, 30+50mm rovný+šikmý moždíř-1.3G</v>
      </c>
      <c r="C916" s="235" t="str">
        <f t="shared" si="15"/>
        <v xml:space="preserve">                                                               Baterie 47ran, 30+50mm rovný+šikmý moždíř-1.3G</v>
      </c>
    </row>
    <row r="917" spans="1:3">
      <c r="A917" s="241" t="s">
        <v>24</v>
      </c>
      <c r="B917" s="235" t="str">
        <f>IF(A917="","",IF('General price list'!$W$17=B916,A917,IFERROR(VLOOKUP(A917,Kategorie!C:AA,MATCH('General price list'!$W$17,Kategorie!$C$2:$AA$2,0),FALSE),"× Chybí překlad ×")))</f>
        <v/>
      </c>
      <c r="C917" s="235" t="str">
        <f t="shared" si="15"/>
        <v/>
      </c>
    </row>
    <row r="918" spans="1:3">
      <c r="A918" s="241" t="s">
        <v>24</v>
      </c>
      <c r="B918" s="235" t="str">
        <f>IF(A918="","",IF('General price list'!$W$17=B917,A918,IFERROR(VLOOKUP(A918,Kategorie!C:AA,MATCH('General price list'!$W$17,Kategorie!$C$2:$AA$2,0),FALSE),"× Chybí překlad ×")))</f>
        <v/>
      </c>
      <c r="C918" s="235" t="str">
        <f t="shared" si="15"/>
        <v/>
      </c>
    </row>
    <row r="919" spans="1:3">
      <c r="A919" s="241" t="s">
        <v>8249</v>
      </c>
      <c r="B919" s="235" t="str">
        <f>IF(A919="","",IF('General price list'!$W$17=B918,A919,IFERROR(VLOOKUP(A919,Kategorie!C:AA,MATCH('General price list'!$W$17,Kategorie!$C$2:$AA$2,0),FALSE),"× Chybí překlad ×")))</f>
        <v>Baterie 62ran, 20+25+30+48mm rovný+šikmý+S moždíř-1.3G</v>
      </c>
      <c r="C919" s="235" t="str">
        <f t="shared" si="15"/>
        <v xml:space="preserve">                                                               Baterie 62ran, 20+25+30+48mm rovný+šikmý+S moždíř-1.3G</v>
      </c>
    </row>
    <row r="920" spans="1:3">
      <c r="A920" s="241" t="s">
        <v>13495</v>
      </c>
      <c r="B920" s="235" t="str">
        <f>IF(A920="","",IF('General price list'!$W$17=B919,A920,IFERROR(VLOOKUP(A920,Kategorie!C:AA,MATCH('General price list'!$W$17,Kategorie!$C$2:$AA$2,0),FALSE),"× Chybí překlad ×")))</f>
        <v>x</v>
      </c>
      <c r="C920" s="235" t="str">
        <f t="shared" si="15"/>
        <v>×</v>
      </c>
    </row>
    <row r="921" spans="1:3">
      <c r="A921" s="241" t="s">
        <v>8258</v>
      </c>
      <c r="B921" s="235" t="str">
        <f>IF(A921="","",IF('General price list'!$W$17=B920,A921,IFERROR(VLOOKUP(A921,Kategorie!C:AA,MATCH('General price list'!$W$17,Kategorie!$C$2:$AA$2,0),FALSE),"× Chybí překlad ×")))</f>
        <v>Baterie 63ran, 25+45mm rovný+šikmý moždíř-1.3G</v>
      </c>
      <c r="C921" s="235" t="str">
        <f t="shared" si="15"/>
        <v xml:space="preserve">                                                               Baterie 63ran, 25+45mm rovný+šikmý moždíř-1.3G</v>
      </c>
    </row>
    <row r="922" spans="1:3" ht="15.75">
      <c r="A922" s="242" t="s">
        <v>24</v>
      </c>
      <c r="B922" s="235" t="str">
        <f>IF(A922="","",IF('General price list'!$W$17=B921,A922,IFERROR(VLOOKUP(A922,Kategorie!C:AA,MATCH('General price list'!$W$17,Kategorie!$C$2:$AA$2,0),FALSE),"× Chybí překlad ×")))</f>
        <v/>
      </c>
      <c r="C922" s="235" t="str">
        <f t="shared" si="15"/>
        <v/>
      </c>
    </row>
    <row r="923" spans="1:3">
      <c r="A923" s="241" t="s">
        <v>13495</v>
      </c>
      <c r="B923" s="235" t="str">
        <f>IF(A923="","",IF('General price list'!$W$17=B922,A923,IFERROR(VLOOKUP(A923,Kategorie!C:AA,MATCH('General price list'!$W$17,Kategorie!$C$2:$AA$2,0),FALSE),"× Chybí překlad ×")))</f>
        <v>x</v>
      </c>
      <c r="C923" s="235" t="str">
        <f t="shared" si="15"/>
        <v>×</v>
      </c>
    </row>
    <row r="924" spans="1:3">
      <c r="A924" s="241" t="s">
        <v>8267</v>
      </c>
      <c r="B924" s="235" t="str">
        <f>IF(A924="","",IF('General price list'!$W$17=B923,A924,IFERROR(VLOOKUP(A924,Kategorie!C:AA,MATCH('General price list'!$W$17,Kategorie!$C$2:$AA$2,0),FALSE),"× Chybí překlad ×")))</f>
        <v>Baterie 66ran, 20+25+30+48mm moždíř-1.3G</v>
      </c>
      <c r="C924" s="235" t="str">
        <f t="shared" si="15"/>
        <v xml:space="preserve">                                                               Baterie 66ran, 20+25+30+48mm moždíř-1.3G</v>
      </c>
    </row>
    <row r="925" spans="1:3">
      <c r="A925" s="241" t="s">
        <v>24</v>
      </c>
      <c r="B925" s="235" t="str">
        <f>IF(A925="","",IF('General price list'!$W$17=B924,A925,IFERROR(VLOOKUP(A925,Kategorie!C:AA,MATCH('General price list'!$W$17,Kategorie!$C$2:$AA$2,0),FALSE),"× Chybí překlad ×")))</f>
        <v/>
      </c>
      <c r="C925" s="235" t="str">
        <f t="shared" si="15"/>
        <v/>
      </c>
    </row>
    <row r="926" spans="1:3">
      <c r="A926" s="241" t="s">
        <v>8285</v>
      </c>
      <c r="B926" s="235" t="str">
        <f>IF(A926="","",IF('General price list'!$W$17=B925,A926,IFERROR(VLOOKUP(A926,Kategorie!C:AA,MATCH('General price list'!$W$17,Kategorie!$C$2:$AA$2,0),FALSE),"× Chybí překlad ×")))</f>
        <v>Složený ohňostroj, multikaliber(30-50mm) F3 - 1.3G</v>
      </c>
      <c r="C926" s="235" t="str">
        <f t="shared" si="15"/>
        <v xml:space="preserve">                                                               Složený ohňostroj, multikaliber(30-50mm) F3 - 1.3G</v>
      </c>
    </row>
    <row r="927" spans="1:3">
      <c r="A927" s="241" t="s">
        <v>24</v>
      </c>
      <c r="B927" s="235" t="str">
        <f>IF(A927="","",IF('General price list'!$W$17=B926,A927,IFERROR(VLOOKUP(A927,Kategorie!C:AA,MATCH('General price list'!$W$17,Kategorie!$C$2:$AA$2,0),FALSE),"× Chybí překlad ×")))</f>
        <v/>
      </c>
      <c r="C927" s="235" t="str">
        <f t="shared" si="15"/>
        <v/>
      </c>
    </row>
    <row r="928" spans="1:3">
      <c r="A928" s="241" t="s">
        <v>24</v>
      </c>
      <c r="B928" s="235" t="str">
        <f>IF(A928="","",IF('General price list'!$W$17=B927,A928,IFERROR(VLOOKUP(A928,Kategorie!C:AA,MATCH('General price list'!$W$17,Kategorie!$C$2:$AA$2,0),FALSE),"× Chybí překlad ×")))</f>
        <v/>
      </c>
      <c r="C928" s="235" t="str">
        <f t="shared" si="15"/>
        <v/>
      </c>
    </row>
    <row r="929" spans="1:3">
      <c r="A929" s="241" t="s">
        <v>24</v>
      </c>
      <c r="B929" s="235" t="str">
        <f>IF(A929="","",IF('General price list'!$W$17=B928,A929,IFERROR(VLOOKUP(A929,Kategorie!C:AA,MATCH('General price list'!$W$17,Kategorie!$C$2:$AA$2,0),FALSE),"× Chybí překlad ×")))</f>
        <v/>
      </c>
      <c r="C929" s="235" t="str">
        <f t="shared" si="15"/>
        <v/>
      </c>
    </row>
    <row r="930" spans="1:3">
      <c r="A930" s="241" t="s">
        <v>24</v>
      </c>
      <c r="B930" s="235" t="str">
        <f>IF(A930="","",IF('General price list'!$W$17=B929,A930,IFERROR(VLOOKUP(A930,Kategorie!C:AA,MATCH('General price list'!$W$17,Kategorie!$C$2:$AA$2,0),FALSE),"× Chybí překlad ×")))</f>
        <v/>
      </c>
      <c r="C930" s="235" t="str">
        <f t="shared" si="15"/>
        <v/>
      </c>
    </row>
    <row r="931" spans="1:3">
      <c r="A931" s="241" t="s">
        <v>24</v>
      </c>
      <c r="B931" s="235" t="str">
        <f>IF(A931="","",IF('General price list'!$W$17=B930,A931,IFERROR(VLOOKUP(A931,Kategorie!C:AA,MATCH('General price list'!$W$17,Kategorie!$C$2:$AA$2,0),FALSE),"× Chybí překlad ×")))</f>
        <v/>
      </c>
      <c r="C931" s="235" t="str">
        <f t="shared" si="15"/>
        <v/>
      </c>
    </row>
    <row r="932" spans="1:3">
      <c r="A932" s="241" t="s">
        <v>24</v>
      </c>
      <c r="B932" s="235" t="str">
        <f>IF(A932="","",IF('General price list'!$W$17=B931,A932,IFERROR(VLOOKUP(A932,Kategorie!C:AA,MATCH('General price list'!$W$17,Kategorie!$C$2:$AA$2,0),FALSE),"× Chybí překlad ×")))</f>
        <v/>
      </c>
      <c r="C932" s="235" t="str">
        <f t="shared" si="15"/>
        <v/>
      </c>
    </row>
    <row r="933" spans="1:3">
      <c r="A933" s="241" t="s">
        <v>24</v>
      </c>
      <c r="B933" s="235" t="str">
        <f>IF(A933="","",IF('General price list'!$W$17=B932,A933,IFERROR(VLOOKUP(A933,Kategorie!C:AA,MATCH('General price list'!$W$17,Kategorie!$C$2:$AA$2,0),FALSE),"× Chybí překlad ×")))</f>
        <v/>
      </c>
      <c r="C933" s="235" t="str">
        <f t="shared" si="15"/>
        <v/>
      </c>
    </row>
    <row r="934" spans="1:3">
      <c r="A934" s="241" t="s">
        <v>24</v>
      </c>
      <c r="B934" s="235" t="str">
        <f>IF(A934="","",IF('General price list'!$W$17=B933,A934,IFERROR(VLOOKUP(A934,Kategorie!C:AA,MATCH('General price list'!$W$17,Kategorie!$C$2:$AA$2,0),FALSE),"× Chybí překlad ×")))</f>
        <v/>
      </c>
      <c r="C934" s="235" t="str">
        <f t="shared" si="15"/>
        <v/>
      </c>
    </row>
    <row r="935" spans="1:3">
      <c r="A935" s="241" t="s">
        <v>8294</v>
      </c>
      <c r="B935" s="235" t="str">
        <f>IF(A935="","",IF('General price list'!$W$17=B934,A935,IFERROR(VLOOKUP(A935,Kategorie!C:AA,MATCH('General price list'!$W$17,Kategorie!$C$2:$AA$2,0),FALSE),"× Chybí překlad ×")))</f>
        <v>Složený ohňostroj(s ochraným obalem), multikaliber(30-50mm) F3 - 1.3G</v>
      </c>
      <c r="C935" s="235" t="str">
        <f t="shared" si="15"/>
        <v xml:space="preserve">                                                               Složený ohňostroj(s ochraným obalem), multikaliber(30-50mm) F3 - 1.3G</v>
      </c>
    </row>
    <row r="936" spans="1:3">
      <c r="A936" s="241" t="s">
        <v>24</v>
      </c>
      <c r="B936" s="235" t="str">
        <f>IF(A936="","",IF('General price list'!$W$17=B935,A936,IFERROR(VLOOKUP(A936,Kategorie!C:AA,MATCH('General price list'!$W$17,Kategorie!$C$2:$AA$2,0),FALSE),"× Chybí překlad ×")))</f>
        <v/>
      </c>
      <c r="C936" s="235" t="str">
        <f t="shared" si="15"/>
        <v/>
      </c>
    </row>
    <row r="937" spans="1:3">
      <c r="A937" s="241" t="s">
        <v>24</v>
      </c>
      <c r="B937" s="235" t="str">
        <f>IF(A937="","",IF('General price list'!$W$17=B936,A937,IFERROR(VLOOKUP(A937,Kategorie!C:AA,MATCH('General price list'!$W$17,Kategorie!$C$2:$AA$2,0),FALSE),"× Chybí překlad ×")))</f>
        <v/>
      </c>
      <c r="C937" s="235" t="str">
        <f t="shared" si="15"/>
        <v/>
      </c>
    </row>
    <row r="938" spans="1:3" ht="15.75">
      <c r="A938" s="242" t="s">
        <v>24</v>
      </c>
      <c r="B938" s="235" t="str">
        <f>IF(A938="","",IF('General price list'!$W$17=B937,A938,IFERROR(VLOOKUP(A938,Kategorie!C:AA,MATCH('General price list'!$W$17,Kategorie!$C$2:$AA$2,0),FALSE),"× Chybí překlad ×")))</f>
        <v/>
      </c>
      <c r="C938" s="235" t="str">
        <f t="shared" si="15"/>
        <v/>
      </c>
    </row>
    <row r="939" spans="1:3">
      <c r="A939" s="241" t="s">
        <v>24</v>
      </c>
      <c r="B939" s="235" t="str">
        <f>IF(A939="","",IF('General price list'!$W$17=B938,A939,IFERROR(VLOOKUP(A939,Kategorie!C:AA,MATCH('General price list'!$W$17,Kategorie!$C$2:$AA$2,0),FALSE),"× Chybí překlad ×")))</f>
        <v/>
      </c>
      <c r="C939" s="235" t="str">
        <f t="shared" si="15"/>
        <v/>
      </c>
    </row>
    <row r="940" spans="1:3" ht="15.75">
      <c r="A940" s="242" t="s">
        <v>24</v>
      </c>
      <c r="B940" s="235" t="str">
        <f>IF(A940="","",IF('General price list'!$W$17=B939,A940,IFERROR(VLOOKUP(A940,Kategorie!C:AA,MATCH('General price list'!$W$17,Kategorie!$C$2:$AA$2,0),FALSE),"× Chybí překlad ×")))</f>
        <v/>
      </c>
      <c r="C940" s="235" t="str">
        <f t="shared" si="15"/>
        <v/>
      </c>
    </row>
    <row r="941" spans="1:3">
      <c r="A941" s="241" t="s">
        <v>24</v>
      </c>
      <c r="B941" s="235" t="str">
        <f>IF(A941="","",IF('General price list'!$W$17=B940,A941,IFERROR(VLOOKUP(A941,Kategorie!C:AA,MATCH('General price list'!$W$17,Kategorie!$C$2:$AA$2,0),FALSE),"× Chybí překlad ×")))</f>
        <v/>
      </c>
      <c r="C941" s="235" t="str">
        <f t="shared" si="15"/>
        <v/>
      </c>
    </row>
    <row r="942" spans="1:3">
      <c r="A942" s="241" t="s">
        <v>24</v>
      </c>
      <c r="B942" s="235" t="str">
        <f>IF(A942="","",IF('General price list'!$W$17=B941,A942,IFERROR(VLOOKUP(A942,Kategorie!C:AA,MATCH('General price list'!$W$17,Kategorie!$C$2:$AA$2,0),FALSE),"× Chybí překlad ×")))</f>
        <v/>
      </c>
      <c r="C942" s="235" t="str">
        <f t="shared" si="15"/>
        <v/>
      </c>
    </row>
    <row r="943" spans="1:3">
      <c r="A943" s="241" t="s">
        <v>8303</v>
      </c>
      <c r="B943" s="235" t="str">
        <f>IF(A943="","",IF('General price list'!$W$17=B942,A943,IFERROR(VLOOKUP(A943,Kategorie!C:AA,MATCH('General price list'!$W$17,Kategorie!$C$2:$AA$2,0),FALSE),"× Chybí překlad ×")))</f>
        <v>Baterie multikaliberní (více průměru moždířů+různé úhly moždířů) F4 - 1.3G</v>
      </c>
      <c r="C943" s="235" t="str">
        <f t="shared" si="15"/>
        <v xml:space="preserve">                                                               Baterie multikaliberní (více průměru moždířů+různé úhly moždířů) F4 - 1.3G</v>
      </c>
    </row>
    <row r="944" spans="1:3" ht="15.75">
      <c r="A944" s="242" t="s">
        <v>24</v>
      </c>
      <c r="B944" s="235" t="str">
        <f>IF(A944="","",IF('General price list'!$W$17=B943,A944,IFERROR(VLOOKUP(A944,Kategorie!C:AA,MATCH('General price list'!$W$17,Kategorie!$C$2:$AA$2,0),FALSE),"× Chybí překlad ×")))</f>
        <v/>
      </c>
      <c r="C944" s="235" t="str">
        <f t="shared" si="15"/>
        <v/>
      </c>
    </row>
    <row r="945" spans="1:3">
      <c r="A945" s="241" t="s">
        <v>24</v>
      </c>
      <c r="B945" s="235" t="str">
        <f>IF(A945="","",IF('General price list'!$W$17=B944,A945,IFERROR(VLOOKUP(A945,Kategorie!C:AA,MATCH('General price list'!$W$17,Kategorie!$C$2:$AA$2,0),FALSE),"× Chybí překlad ×")))</f>
        <v/>
      </c>
      <c r="C945" s="235" t="str">
        <f t="shared" si="15"/>
        <v/>
      </c>
    </row>
    <row r="946" spans="1:3" ht="15.75">
      <c r="A946" s="242" t="s">
        <v>8311</v>
      </c>
      <c r="B946" s="235" t="str">
        <f>IF(A946="","",IF('General price list'!$W$17=B945,A946,IFERROR(VLOOKUP(A946,Kategorie!C:AA,MATCH('General price list'!$W$17,Kategorie!$C$2:$AA$2,0),FALSE),"× Chybí překlad ×")))</f>
        <v>Římské svíce 8ran (30mm)</v>
      </c>
      <c r="C946" s="235" t="str">
        <f t="shared" ref="C946" si="16">IF(A946="","",IF(A946="x","×",$B$1&amp;B946))</f>
        <v xml:space="preserve">                                                               Římské svíce 8ran (30mm)</v>
      </c>
    </row>
    <row r="947" spans="1:3">
      <c r="A947" s="241" t="s">
        <v>13495</v>
      </c>
      <c r="B947" s="235" t="str">
        <f>IF(A947="","",IF('General price list'!$W$17=B946,A947,IFERROR(VLOOKUP(A947,Kategorie!C:AA,MATCH('General price list'!$W$17,Kategorie!$C$2:$AA$2,0),FALSE),"× Chybí překlad ×")))</f>
        <v>x</v>
      </c>
      <c r="C947" s="235" t="str">
        <f t="shared" si="15"/>
        <v>×</v>
      </c>
    </row>
    <row r="948" spans="1:3">
      <c r="A948" s="241" t="s">
        <v>13495</v>
      </c>
      <c r="B948" s="235" t="str">
        <f>IF(A948="","",IF('General price list'!$W$17=B947,A948,IFERROR(VLOOKUP(A948,Kategorie!C:AA,MATCH('General price list'!$W$17,Kategorie!$C$2:$AA$2,0),FALSE),"× Chybí překlad ×")))</f>
        <v>x</v>
      </c>
      <c r="C948" s="235" t="str">
        <f t="shared" si="15"/>
        <v>×</v>
      </c>
    </row>
    <row r="949" spans="1:3" ht="15.75">
      <c r="A949" s="242" t="s">
        <v>13495</v>
      </c>
      <c r="B949" s="235" t="str">
        <f>IF(A949="","",IF('General price list'!$W$17=B948,A949,IFERROR(VLOOKUP(A949,Kategorie!C:AA,MATCH('General price list'!$W$17,Kategorie!$C$2:$AA$2,0),FALSE),"× Chybí překlad ×")))</f>
        <v>x</v>
      </c>
      <c r="C949" s="235" t="str">
        <f t="shared" si="15"/>
        <v>×</v>
      </c>
    </row>
    <row r="950" spans="1:3">
      <c r="A950" s="241" t="s">
        <v>8319</v>
      </c>
      <c r="B950" s="235" t="str">
        <f>IF(A950="","",IF('General price list'!$W$17=B949,A950,IFERROR(VLOOKUP(A950,Kategorie!C:AA,MATCH('General price list'!$W$17,Kategorie!$C$2:$AA$2,0),FALSE),"× Chybí překlad ×")))</f>
        <v>Vystřelovací trubice 30mm</v>
      </c>
      <c r="C950" s="235" t="str">
        <f t="shared" si="15"/>
        <v xml:space="preserve">                                                               Vystřelovací trubice 30mm</v>
      </c>
    </row>
    <row r="951" spans="1:3">
      <c r="A951" s="241" t="s">
        <v>13495</v>
      </c>
      <c r="B951" s="235" t="str">
        <f>IF(A951="","",IF('General price list'!$W$17=B950,A951,IFERROR(VLOOKUP(A951,Kategorie!C:AA,MATCH('General price list'!$W$17,Kategorie!$C$2:$AA$2,0),FALSE),"× Chybí překlad ×")))</f>
        <v>x</v>
      </c>
      <c r="C951" s="235" t="str">
        <f t="shared" si="15"/>
        <v>×</v>
      </c>
    </row>
    <row r="952" spans="1:3">
      <c r="A952" s="241" t="s">
        <v>13495</v>
      </c>
      <c r="B952" s="235" t="str">
        <f>IF(A952="","",IF('General price list'!$W$17=B951,A952,IFERROR(VLOOKUP(A952,Kategorie!C:AA,MATCH('General price list'!$W$17,Kategorie!$C$2:$AA$2,0),FALSE),"× Chybí překlad ×")))</f>
        <v>x</v>
      </c>
      <c r="C952" s="235" t="str">
        <f t="shared" si="15"/>
        <v>×</v>
      </c>
    </row>
    <row r="953" spans="1:3" ht="15.75">
      <c r="A953" s="242" t="s">
        <v>13495</v>
      </c>
      <c r="B953" s="235" t="str">
        <f>IF(A953="","",IF('General price list'!$W$17=B952,A953,IFERROR(VLOOKUP(A953,Kategorie!C:AA,MATCH('General price list'!$W$17,Kategorie!$C$2:$AA$2,0),FALSE),"× Chybí překlad ×")))</f>
        <v>x</v>
      </c>
      <c r="C953" s="235" t="str">
        <f t="shared" si="15"/>
        <v>×</v>
      </c>
    </row>
    <row r="954" spans="1:3">
      <c r="A954" s="241" t="s">
        <v>8327</v>
      </c>
      <c r="B954" s="235" t="str">
        <f>IF(A954="","",IF('General price list'!$W$17=B953,A954,IFERROR(VLOOKUP(A954,Kategorie!C:AA,MATCH('General price list'!$W$17,Kategorie!$C$2:$AA$2,0),FALSE),"× Chybí překlad ×")))</f>
        <v>Vystřelovací trubice 50mm</v>
      </c>
      <c r="C954" s="235" t="str">
        <f t="shared" si="15"/>
        <v xml:space="preserve">                                                               Vystřelovací trubice 50mm</v>
      </c>
    </row>
    <row r="955" spans="1:3">
      <c r="A955" s="241" t="s">
        <v>13495</v>
      </c>
      <c r="B955" s="235" t="str">
        <f>IF(A955="","",IF('General price list'!$W$17=B954,A955,IFERROR(VLOOKUP(A955,Kategorie!C:AA,MATCH('General price list'!$W$17,Kategorie!$C$2:$AA$2,0),FALSE),"× Chybí překlad ×")))</f>
        <v>x</v>
      </c>
      <c r="C955" s="235" t="str">
        <f t="shared" si="15"/>
        <v>×</v>
      </c>
    </row>
    <row r="956" spans="1:3">
      <c r="A956" s="241" t="s">
        <v>13495</v>
      </c>
      <c r="B956" s="235" t="str">
        <f>IF(A956="","",IF('General price list'!$W$17=B955,A956,IFERROR(VLOOKUP(A956,Kategorie!C:AA,MATCH('General price list'!$W$17,Kategorie!$C$2:$AA$2,0),FALSE),"× Chybí překlad ×")))</f>
        <v>x</v>
      </c>
      <c r="C956" s="235" t="str">
        <f t="shared" si="15"/>
        <v>×</v>
      </c>
    </row>
    <row r="957" spans="1:3">
      <c r="A957" s="241" t="s">
        <v>8335</v>
      </c>
      <c r="B957" s="235" t="str">
        <f>IF(A957="","",IF('General price list'!$W$17=B956,A957,IFERROR(VLOOKUP(A957,Kategorie!C:AA,MATCH('General price list'!$W$17,Kategorie!$C$2:$AA$2,0),FALSE),"× Chybí překlad ×")))</f>
        <v>Baterie 135ran, 20mm šikmý moždíř</v>
      </c>
      <c r="C957" s="235" t="str">
        <f t="shared" si="15"/>
        <v xml:space="preserve">                                                               Baterie 135ran, 20mm šikmý moždíř</v>
      </c>
    </row>
    <row r="958" spans="1:3" ht="15.75">
      <c r="A958" s="242" t="s">
        <v>24</v>
      </c>
      <c r="B958" s="235" t="str">
        <f>IF(A958="","",IF('General price list'!$W$17=B957,A958,IFERROR(VLOOKUP(A958,Kategorie!C:AA,MATCH('General price list'!$W$17,Kategorie!$C$2:$AA$2,0),FALSE),"× Chybí překlad ×")))</f>
        <v/>
      </c>
      <c r="C958" s="235" t="str">
        <f t="shared" si="15"/>
        <v/>
      </c>
    </row>
    <row r="959" spans="1:3">
      <c r="A959" s="241" t="s">
        <v>13495</v>
      </c>
      <c r="B959" s="235" t="str">
        <f>IF(A959="","",IF('General price list'!$W$17=B958,A959,IFERROR(VLOOKUP(A959,Kategorie!C:AA,MATCH('General price list'!$W$17,Kategorie!$C$2:$AA$2,0),FALSE),"× Chybí překlad ×")))</f>
        <v>x</v>
      </c>
      <c r="C959" s="235" t="str">
        <f t="shared" si="15"/>
        <v>×</v>
      </c>
    </row>
    <row r="960" spans="1:3">
      <c r="A960" s="241" t="s">
        <v>24</v>
      </c>
      <c r="B960" s="235" t="str">
        <f>IF(A960="","",IF('General price list'!$W$17=B959,A960,IFERROR(VLOOKUP(A960,Kategorie!C:AA,MATCH('General price list'!$W$17,Kategorie!$C$2:$AA$2,0),FALSE),"× Chybí překlad ×")))</f>
        <v/>
      </c>
      <c r="C960" s="235" t="str">
        <f t="shared" si="15"/>
        <v/>
      </c>
    </row>
    <row r="961" spans="1:3">
      <c r="A961" s="241" t="s">
        <v>24</v>
      </c>
      <c r="B961" s="235" t="str">
        <f>IF(A961="","",IF('General price list'!$W$17=B960,A961,IFERROR(VLOOKUP(A961,Kategorie!C:AA,MATCH('General price list'!$W$17,Kategorie!$C$2:$AA$2,0),FALSE),"× Chybí překlad ×")))</f>
        <v/>
      </c>
      <c r="C961" s="235" t="str">
        <f t="shared" si="15"/>
        <v/>
      </c>
    </row>
    <row r="962" spans="1:3" ht="15.75">
      <c r="A962" s="242" t="s">
        <v>24</v>
      </c>
      <c r="B962" s="235" t="str">
        <f>IF(A962="","",IF('General price list'!$W$17=B961,A962,IFERROR(VLOOKUP(A962,Kategorie!C:AA,MATCH('General price list'!$W$17,Kategorie!$C$2:$AA$2,0),FALSE),"× Chybí překlad ×")))</f>
        <v/>
      </c>
      <c r="C962" s="235" t="str">
        <f t="shared" si="15"/>
        <v/>
      </c>
    </row>
    <row r="963" spans="1:3">
      <c r="A963" s="241" t="s">
        <v>24</v>
      </c>
      <c r="B963" s="235" t="str">
        <f>IF(A963="","",IF('General price list'!$W$17=B962,A963,IFERROR(VLOOKUP(A963,Kategorie!C:AA,MATCH('General price list'!$W$17,Kategorie!$C$2:$AA$2,0),FALSE),"× Chybí překlad ×")))</f>
        <v/>
      </c>
      <c r="C963" s="235" t="str">
        <f t="shared" si="15"/>
        <v/>
      </c>
    </row>
    <row r="964" spans="1:3">
      <c r="A964" s="241" t="s">
        <v>24</v>
      </c>
      <c r="B964" s="235" t="str">
        <f>IF(A964="","",IF('General price list'!$W$17=B963,A964,IFERROR(VLOOKUP(A964,Kategorie!C:AA,MATCH('General price list'!$W$17,Kategorie!$C$2:$AA$2,0),FALSE),"× Chybí překlad ×")))</f>
        <v/>
      </c>
      <c r="C964" s="235" t="str">
        <f t="shared" si="15"/>
        <v/>
      </c>
    </row>
    <row r="965" spans="1:3">
      <c r="A965" s="241" t="s">
        <v>24</v>
      </c>
      <c r="B965" s="235" t="str">
        <f>IF(A965="","",IF('General price list'!$W$17=B964,A965,IFERROR(VLOOKUP(A965,Kategorie!C:AA,MATCH('General price list'!$W$17,Kategorie!$C$2:$AA$2,0),FALSE),"× Chybí překlad ×")))</f>
        <v/>
      </c>
      <c r="C965" s="235" t="str">
        <f t="shared" si="15"/>
        <v/>
      </c>
    </row>
    <row r="966" spans="1:3">
      <c r="A966" s="241" t="s">
        <v>8343</v>
      </c>
      <c r="B966" s="235" t="str">
        <f>IF(A966="","",IF('General price list'!$W$17=B965,A966,IFERROR(VLOOKUP(A966,Kategorie!C:AA,MATCH('General price list'!$W$17,Kategorie!$C$2:$AA$2,0),FALSE),"× Chybí překlad ×")))</f>
        <v>Baterie 25ran, 30mm moždíř</v>
      </c>
      <c r="C966" s="235" t="str">
        <f t="shared" si="15"/>
        <v xml:space="preserve">                                                               Baterie 25ran, 30mm moždíř</v>
      </c>
    </row>
    <row r="967" spans="1:3" ht="15.75">
      <c r="A967" s="242" t="s">
        <v>24</v>
      </c>
      <c r="B967" s="235" t="str">
        <f>IF(A967="","",IF('General price list'!$W$17=B966,A967,IFERROR(VLOOKUP(A967,Kategorie!C:AA,MATCH('General price list'!$W$17,Kategorie!$C$2:$AA$2,0),FALSE),"× Chybí překlad ×")))</f>
        <v/>
      </c>
      <c r="C967" s="235" t="str">
        <f t="shared" si="15"/>
        <v/>
      </c>
    </row>
    <row r="968" spans="1:3">
      <c r="A968" s="241" t="s">
        <v>24</v>
      </c>
      <c r="B968" s="235" t="str">
        <f>IF(A968="","",IF('General price list'!$W$17=B967,A968,IFERROR(VLOOKUP(A968,Kategorie!C:AA,MATCH('General price list'!$W$17,Kategorie!$C$2:$AA$2,0),FALSE),"× Chybí překlad ×")))</f>
        <v/>
      </c>
      <c r="C968" s="235" t="str">
        <f t="shared" si="15"/>
        <v/>
      </c>
    </row>
    <row r="969" spans="1:3">
      <c r="A969" s="241" t="s">
        <v>8359</v>
      </c>
      <c r="B969" s="235" t="str">
        <f>IF(A969="","",IF('General price list'!$W$17=B968,A969,IFERROR(VLOOKUP(A969,Kategorie!C:AA,MATCH('General price list'!$W$17,Kategorie!$C$2:$AA$2,0),FALSE),"× Chybí překlad ×")))</f>
        <v>Baterie 50ran, 30mm moždíř</v>
      </c>
      <c r="C969" s="235" t="str">
        <f t="shared" si="15"/>
        <v xml:space="preserve">                                                               Baterie 50ran, 30mm moždíř</v>
      </c>
    </row>
    <row r="970" spans="1:3">
      <c r="A970" s="241" t="s">
        <v>13495</v>
      </c>
      <c r="B970" s="235" t="str">
        <f>IF(A970="","",IF('General price list'!$W$17=B969,A970,IFERROR(VLOOKUP(A970,Kategorie!C:AA,MATCH('General price list'!$W$17,Kategorie!$C$2:$AA$2,0),FALSE),"× Chybí překlad ×")))</f>
        <v>x</v>
      </c>
      <c r="C970" s="235" t="str">
        <f t="shared" si="15"/>
        <v>×</v>
      </c>
    </row>
    <row r="971" spans="1:3">
      <c r="A971" s="241" t="s">
        <v>8367</v>
      </c>
      <c r="B971" s="235" t="str">
        <f>IF(A971="","",IF('General price list'!$W$17=B970,A971,IFERROR(VLOOKUP(A971,Kategorie!C:AA,MATCH('General price list'!$W$17,Kategorie!$C$2:$AA$2,0),FALSE),"× Chybí překlad ×")))</f>
        <v>Baterie 50ran, 30mm šikmý moždíř</v>
      </c>
      <c r="C971" s="235" t="str">
        <f t="shared" si="15"/>
        <v xml:space="preserve">                                                               Baterie 50ran, 30mm šikmý moždíř</v>
      </c>
    </row>
    <row r="972" spans="1:3" ht="15.75">
      <c r="A972" s="242" t="s">
        <v>24</v>
      </c>
      <c r="B972" s="235" t="str">
        <f>IF(A972="","",IF('General price list'!$W$17=B971,A972,IFERROR(VLOOKUP(A972,Kategorie!C:AA,MATCH('General price list'!$W$17,Kategorie!$C$2:$AA$2,0),FALSE),"× Chybí překlad ×")))</f>
        <v/>
      </c>
      <c r="C972" s="235" t="str">
        <f t="shared" si="15"/>
        <v/>
      </c>
    </row>
    <row r="973" spans="1:3">
      <c r="A973" s="241" t="s">
        <v>24</v>
      </c>
      <c r="B973" s="235" t="str">
        <f>IF(A973="","",IF('General price list'!$W$17=B972,A973,IFERROR(VLOOKUP(A973,Kategorie!C:AA,MATCH('General price list'!$W$17,Kategorie!$C$2:$AA$2,0),FALSE),"× Chybí překlad ×")))</f>
        <v/>
      </c>
      <c r="C973" s="235" t="str">
        <f t="shared" si="15"/>
        <v/>
      </c>
    </row>
    <row r="974" spans="1:3" ht="15.75">
      <c r="A974" s="242" t="s">
        <v>24</v>
      </c>
      <c r="B974" s="235" t="str">
        <f>IF(A974="","",IF('General price list'!$W$17=B973,A974,IFERROR(VLOOKUP(A974,Kategorie!C:AA,MATCH('General price list'!$W$17,Kategorie!$C$2:$AA$2,0),FALSE),"× Chybí překlad ×")))</f>
        <v/>
      </c>
      <c r="C974" s="235" t="str">
        <f t="shared" si="15"/>
        <v/>
      </c>
    </row>
    <row r="975" spans="1:3">
      <c r="A975" s="241" t="s">
        <v>24</v>
      </c>
      <c r="B975" s="235" t="str">
        <f>IF(A975="","",IF('General price list'!$W$17=B974,A975,IFERROR(VLOOKUP(A975,Kategorie!C:AA,MATCH('General price list'!$W$17,Kategorie!$C$2:$AA$2,0),FALSE),"× Chybí překlad ×")))</f>
        <v/>
      </c>
      <c r="C975" s="235" t="str">
        <f t="shared" ref="C975:C1038" si="17">IF(A975="","",IF(A975="x","×",$B$1&amp;B975))</f>
        <v/>
      </c>
    </row>
    <row r="976" spans="1:3">
      <c r="A976" s="241" t="s">
        <v>24</v>
      </c>
      <c r="B976" s="235" t="str">
        <f>IF(A976="","",IF('General price list'!$W$17=B975,A976,IFERROR(VLOOKUP(A976,Kategorie!C:AA,MATCH('General price list'!$W$17,Kategorie!$C$2:$AA$2,0),FALSE),"× Chybí překlad ×")))</f>
        <v/>
      </c>
      <c r="C976" s="235" t="str">
        <f t="shared" si="17"/>
        <v/>
      </c>
    </row>
    <row r="977" spans="1:3" ht="15.75">
      <c r="A977" s="242" t="s">
        <v>24</v>
      </c>
      <c r="B977" s="235" t="str">
        <f>IF(A977="","",IF('General price list'!$W$17=B976,A977,IFERROR(VLOOKUP(A977,Kategorie!C:AA,MATCH('General price list'!$W$17,Kategorie!$C$2:$AA$2,0),FALSE),"× Chybí překlad ×")))</f>
        <v/>
      </c>
      <c r="C977" s="235" t="str">
        <f t="shared" si="17"/>
        <v/>
      </c>
    </row>
    <row r="978" spans="1:3">
      <c r="A978" s="241" t="s">
        <v>24</v>
      </c>
      <c r="B978" s="235" t="str">
        <f>IF(A978="","",IF('General price list'!$W$17=B977,A978,IFERROR(VLOOKUP(A978,Kategorie!C:AA,MATCH('General price list'!$W$17,Kategorie!$C$2:$AA$2,0),FALSE),"× Chybí překlad ×")))</f>
        <v/>
      </c>
      <c r="C978" s="235" t="str">
        <f t="shared" si="17"/>
        <v/>
      </c>
    </row>
    <row r="979" spans="1:3" ht="15.75">
      <c r="A979" s="242" t="s">
        <v>24</v>
      </c>
      <c r="B979" s="235" t="str">
        <f>IF(A979="","",IF('General price list'!$W$17=B978,A979,IFERROR(VLOOKUP(A979,Kategorie!C:AA,MATCH('General price list'!$W$17,Kategorie!$C$2:$AA$2,0),FALSE),"× Chybí překlad ×")))</f>
        <v/>
      </c>
      <c r="C979" s="235" t="str">
        <f t="shared" si="17"/>
        <v/>
      </c>
    </row>
    <row r="980" spans="1:3">
      <c r="A980" s="241" t="s">
        <v>13495</v>
      </c>
      <c r="B980" s="235" t="str">
        <f>IF(A980="","",IF('General price list'!$W$17=B979,A980,IFERROR(VLOOKUP(A980,Kategorie!C:AA,MATCH('General price list'!$W$17,Kategorie!$C$2:$AA$2,0),FALSE),"× Chybí překlad ×")))</f>
        <v>x</v>
      </c>
      <c r="C980" s="235" t="str">
        <f t="shared" si="17"/>
        <v>×</v>
      </c>
    </row>
    <row r="981" spans="1:3">
      <c r="A981" s="241" t="s">
        <v>13495</v>
      </c>
      <c r="B981" s="235" t="str">
        <f>IF(A981="","",IF('General price list'!$W$17=B980,A981,IFERROR(VLOOKUP(A981,Kategorie!C:AA,MATCH('General price list'!$W$17,Kategorie!$C$2:$AA$2,0),FALSE),"× Chybí překlad ×")))</f>
        <v>x</v>
      </c>
      <c r="C981" s="235" t="str">
        <f t="shared" si="17"/>
        <v>×</v>
      </c>
    </row>
    <row r="982" spans="1:3" ht="15.75">
      <c r="A982" s="242" t="s">
        <v>13495</v>
      </c>
      <c r="B982" s="235" t="str">
        <f>IF(A982="","",IF('General price list'!$W$17=B981,A982,IFERROR(VLOOKUP(A982,Kategorie!C:AA,MATCH('General price list'!$W$17,Kategorie!$C$2:$AA$2,0),FALSE),"× Chybí překlad ×")))</f>
        <v>x</v>
      </c>
      <c r="C982" s="235" t="str">
        <f t="shared" si="17"/>
        <v>×</v>
      </c>
    </row>
    <row r="983" spans="1:3">
      <c r="A983" s="241" t="s">
        <v>24</v>
      </c>
      <c r="B983" s="235" t="str">
        <f>IF(A983="","",IF('General price list'!$W$17=B982,A983,IFERROR(VLOOKUP(A983,Kategorie!C:AA,MATCH('General price list'!$W$17,Kategorie!$C$2:$AA$2,0),FALSE),"× Chybí překlad ×")))</f>
        <v/>
      </c>
      <c r="C983" s="235" t="str">
        <f t="shared" si="17"/>
        <v/>
      </c>
    </row>
    <row r="984" spans="1:3" ht="15.75">
      <c r="A984" s="242" t="s">
        <v>24</v>
      </c>
      <c r="B984" s="235" t="str">
        <f>IF(A984="","",IF('General price list'!$W$17=B983,A984,IFERROR(VLOOKUP(A984,Kategorie!C:AA,MATCH('General price list'!$W$17,Kategorie!$C$2:$AA$2,0),FALSE),"× Chybí překlad ×")))</f>
        <v/>
      </c>
      <c r="C984" s="235" t="str">
        <f t="shared" si="17"/>
        <v/>
      </c>
    </row>
    <row r="985" spans="1:3">
      <c r="A985" s="241" t="s">
        <v>8375</v>
      </c>
      <c r="B985" s="235" t="str">
        <f>IF(A985="","",IF('General price list'!$W$17=B984,A985,IFERROR(VLOOKUP(A985,Kategorie!C:AA,MATCH('General price list'!$W$17,Kategorie!$C$2:$AA$2,0),FALSE),"× Chybí překlad ×")))</f>
        <v>Baterie 50ran, 30mm S moždíř</v>
      </c>
      <c r="C985" s="235" t="str">
        <f t="shared" si="17"/>
        <v xml:space="preserve">                                                               Baterie 50ran, 30mm S moždíř</v>
      </c>
    </row>
    <row r="986" spans="1:3">
      <c r="A986" s="234" t="s">
        <v>24</v>
      </c>
      <c r="B986" s="235" t="str">
        <f>IF(A986="","",IF('General price list'!$W$17=B985,A986,IFERROR(VLOOKUP(A986,Kategorie!C:AA,MATCH('General price list'!$W$17,Kategorie!$C$2:$AA$2,0),FALSE),"× Chybí překlad ×")))</f>
        <v/>
      </c>
      <c r="C986" s="235" t="str">
        <f t="shared" si="17"/>
        <v/>
      </c>
    </row>
    <row r="987" spans="1:3" ht="15.75">
      <c r="A987" s="240" t="s">
        <v>24</v>
      </c>
      <c r="B987" s="235" t="str">
        <f>IF(A987="","",IF('General price list'!$W$17=B986,A987,IFERROR(VLOOKUP(A987,Kategorie!C:AA,MATCH('General price list'!$W$17,Kategorie!$C$2:$AA$2,0),FALSE),"× Chybí překlad ×")))</f>
        <v/>
      </c>
      <c r="C987" s="235" t="str">
        <f t="shared" si="17"/>
        <v/>
      </c>
    </row>
    <row r="988" spans="1:3" ht="15.75">
      <c r="A988" s="240" t="s">
        <v>24</v>
      </c>
      <c r="B988" s="235" t="str">
        <f>IF(A988="","",IF('General price list'!$W$17=B987,A988,IFERROR(VLOOKUP(A988,Kategorie!C:AA,MATCH('General price list'!$W$17,Kategorie!$C$2:$AA$2,0),FALSE),"× Chybí překlad ×")))</f>
        <v/>
      </c>
      <c r="C988" s="235" t="str">
        <f t="shared" si="17"/>
        <v/>
      </c>
    </row>
    <row r="989" spans="1:3" ht="15.75">
      <c r="A989" s="242" t="s">
        <v>13495</v>
      </c>
      <c r="B989" s="235" t="str">
        <f>IF(A989="","",IF('General price list'!$W$17=B988,A989,IFERROR(VLOOKUP(A989,Kategorie!C:AA,MATCH('General price list'!$W$17,Kategorie!$C$2:$AA$2,0),FALSE),"× Chybí překlad ×")))</f>
        <v>x</v>
      </c>
      <c r="C989" s="235" t="str">
        <f t="shared" si="17"/>
        <v>×</v>
      </c>
    </row>
    <row r="990" spans="1:3">
      <c r="A990" s="241" t="s">
        <v>24</v>
      </c>
      <c r="B990" s="235" t="str">
        <f>IF(A990="","",IF('General price list'!$W$17=B989,A990,IFERROR(VLOOKUP(A990,Kategorie!C:AA,MATCH('General price list'!$W$17,Kategorie!$C$2:$AA$2,0),FALSE),"× Chybí překlad ×")))</f>
        <v/>
      </c>
      <c r="C990" s="235" t="str">
        <f t="shared" si="17"/>
        <v/>
      </c>
    </row>
    <row r="991" spans="1:3">
      <c r="A991" s="241" t="s">
        <v>24</v>
      </c>
      <c r="B991" s="235" t="str">
        <f>IF(A991="","",IF('General price list'!$W$17=B990,A991,IFERROR(VLOOKUP(A991,Kategorie!C:AA,MATCH('General price list'!$W$17,Kategorie!$C$2:$AA$2,0),FALSE),"× Chybí překlad ×")))</f>
        <v/>
      </c>
      <c r="C991" s="235" t="str">
        <f t="shared" si="17"/>
        <v/>
      </c>
    </row>
    <row r="992" spans="1:3" ht="15.75">
      <c r="A992" s="242" t="s">
        <v>13495</v>
      </c>
      <c r="B992" s="235" t="str">
        <f>IF(A992="","",IF('General price list'!$W$17=B991,A992,IFERROR(VLOOKUP(A992,Kategorie!C:AA,MATCH('General price list'!$W$17,Kategorie!$C$2:$AA$2,0),FALSE),"× Chybí překlad ×")))</f>
        <v>x</v>
      </c>
      <c r="C992" s="235" t="str">
        <f t="shared" si="17"/>
        <v>×</v>
      </c>
    </row>
    <row r="993" spans="1:3">
      <c r="A993" s="241" t="s">
        <v>13495</v>
      </c>
      <c r="B993" s="235" t="str">
        <f>IF(A993="","",IF('General price list'!$W$17=B992,A993,IFERROR(VLOOKUP(A993,Kategorie!C:AA,MATCH('General price list'!$W$17,Kategorie!$C$2:$AA$2,0),FALSE),"× Chybí překlad ×")))</f>
        <v>x</v>
      </c>
      <c r="C993" s="235" t="str">
        <f t="shared" si="17"/>
        <v>×</v>
      </c>
    </row>
    <row r="994" spans="1:3" ht="15.75">
      <c r="A994" s="242" t="s">
        <v>13495</v>
      </c>
      <c r="B994" s="235" t="str">
        <f>IF(A994="","",IF('General price list'!$W$17=B993,A994,IFERROR(VLOOKUP(A994,Kategorie!C:AA,MATCH('General price list'!$W$17,Kategorie!$C$2:$AA$2,0),FALSE),"× Chybí překlad ×")))</f>
        <v>x</v>
      </c>
      <c r="C994" s="235" t="str">
        <f t="shared" si="17"/>
        <v>×</v>
      </c>
    </row>
    <row r="995" spans="1:3">
      <c r="A995" s="241" t="s">
        <v>24</v>
      </c>
      <c r="B995" s="235" t="str">
        <f>IF(A995="","",IF('General price list'!$W$17=B994,A995,IFERROR(VLOOKUP(A995,Kategorie!C:AA,MATCH('General price list'!$W$17,Kategorie!$C$2:$AA$2,0),FALSE),"× Chybí překlad ×")))</f>
        <v/>
      </c>
      <c r="C995" s="235" t="str">
        <f t="shared" si="17"/>
        <v/>
      </c>
    </row>
    <row r="996" spans="1:3" ht="15.75">
      <c r="A996" s="242" t="s">
        <v>13495</v>
      </c>
      <c r="B996" s="235" t="str">
        <f>IF(A996="","",IF('General price list'!$W$17=B995,A996,IFERROR(VLOOKUP(A996,Kategorie!C:AA,MATCH('General price list'!$W$17,Kategorie!$C$2:$AA$2,0),FALSE),"× Chybí překlad ×")))</f>
        <v>x</v>
      </c>
      <c r="C996" s="235" t="str">
        <f t="shared" si="17"/>
        <v>×</v>
      </c>
    </row>
    <row r="997" spans="1:3">
      <c r="A997" s="241" t="s">
        <v>13495</v>
      </c>
      <c r="B997" s="235" t="str">
        <f>IF(A997="","",IF('General price list'!$W$17=B996,A997,IFERROR(VLOOKUP(A997,Kategorie!C:AA,MATCH('General price list'!$W$17,Kategorie!$C$2:$AA$2,0),FALSE),"× Chybí překlad ×")))</f>
        <v>x</v>
      </c>
      <c r="C997" s="235" t="str">
        <f t="shared" si="17"/>
        <v>×</v>
      </c>
    </row>
    <row r="998" spans="1:3" ht="15.75">
      <c r="A998" s="242" t="s">
        <v>13495</v>
      </c>
      <c r="B998" s="235" t="str">
        <f>IF(A998="","",IF('General price list'!$W$17=B997,A998,IFERROR(VLOOKUP(A998,Kategorie!C:AA,MATCH('General price list'!$W$17,Kategorie!$C$2:$AA$2,0),FALSE),"× Chybí překlad ×")))</f>
        <v>x</v>
      </c>
      <c r="C998" s="235" t="str">
        <f t="shared" si="17"/>
        <v>×</v>
      </c>
    </row>
    <row r="999" spans="1:3">
      <c r="A999" s="241" t="s">
        <v>24</v>
      </c>
      <c r="B999" s="235" t="str">
        <f>IF(A999="","",IF('General price list'!$W$17=B998,A999,IFERROR(VLOOKUP(A999,Kategorie!C:AA,MATCH('General price list'!$W$17,Kategorie!$C$2:$AA$2,0),FALSE),"× Chybí překlad ×")))</f>
        <v/>
      </c>
      <c r="C999" s="235" t="str">
        <f t="shared" si="17"/>
        <v/>
      </c>
    </row>
    <row r="1000" spans="1:3" ht="15.75">
      <c r="A1000" s="242" t="s">
        <v>13495</v>
      </c>
      <c r="B1000" s="235" t="str">
        <f>IF(A1000="","",IF('General price list'!$W$17=B999,A1000,IFERROR(VLOOKUP(A1000,Kategorie!C:AA,MATCH('General price list'!$W$17,Kategorie!$C$2:$AA$2,0),FALSE),"× Chybí překlad ×")))</f>
        <v>x</v>
      </c>
      <c r="C1000" s="235" t="str">
        <f t="shared" si="17"/>
        <v>×</v>
      </c>
    </row>
    <row r="1001" spans="1:3">
      <c r="A1001" s="241" t="s">
        <v>13495</v>
      </c>
      <c r="B1001" s="235" t="str">
        <f>IF(A1001="","",IF('General price list'!$W$17=B1000,A1001,IFERROR(VLOOKUP(A1001,Kategorie!C:AA,MATCH('General price list'!$W$17,Kategorie!$C$2:$AA$2,0),FALSE),"× Chybí překlad ×")))</f>
        <v>x</v>
      </c>
      <c r="C1001" s="235" t="str">
        <f t="shared" si="17"/>
        <v>×</v>
      </c>
    </row>
    <row r="1002" spans="1:3" ht="15.75">
      <c r="A1002" s="242" t="s">
        <v>24</v>
      </c>
      <c r="B1002" s="235" t="str">
        <f>IF(A1002="","",IF('General price list'!$W$17=B1001,A1002,IFERROR(VLOOKUP(A1002,Kategorie!C:AA,MATCH('General price list'!$W$17,Kategorie!$C$2:$AA$2,0),FALSE),"× Chybí překlad ×")))</f>
        <v/>
      </c>
      <c r="C1002" s="235" t="str">
        <f t="shared" si="17"/>
        <v/>
      </c>
    </row>
    <row r="1003" spans="1:3">
      <c r="A1003" s="241" t="s">
        <v>13495</v>
      </c>
      <c r="B1003" s="235" t="str">
        <f>IF(A1003="","",IF('General price list'!$W$17=B1002,A1003,IFERROR(VLOOKUP(A1003,Kategorie!C:AA,MATCH('General price list'!$W$17,Kategorie!$C$2:$AA$2,0),FALSE),"× Chybí překlad ×")))</f>
        <v>x</v>
      </c>
      <c r="C1003" s="235" t="str">
        <f t="shared" si="17"/>
        <v>×</v>
      </c>
    </row>
    <row r="1004" spans="1:3">
      <c r="A1004" s="241" t="s">
        <v>8383</v>
      </c>
      <c r="B1004" s="235" t="str">
        <f>IF(A1004="","",IF('General price list'!$W$17=B1003,A1004,IFERROR(VLOOKUP(A1004,Kategorie!C:AA,MATCH('General price list'!$W$17,Kategorie!$C$2:$AA$2,0),FALSE),"× Chybí překlad ×")))</f>
        <v>Baterie 50ran, 30mm V moždíř</v>
      </c>
      <c r="C1004" s="235" t="str">
        <f t="shared" si="17"/>
        <v xml:space="preserve">                                                               Baterie 50ran, 30mm V moždíř</v>
      </c>
    </row>
    <row r="1005" spans="1:3">
      <c r="A1005" s="241" t="s">
        <v>13495</v>
      </c>
      <c r="B1005" s="235" t="str">
        <f>IF(A1005="","",IF('General price list'!$W$17=B1004,A1005,IFERROR(VLOOKUP(A1005,Kategorie!C:AA,MATCH('General price list'!$W$17,Kategorie!$C$2:$AA$2,0),FALSE),"× Chybí překlad ×")))</f>
        <v>x</v>
      </c>
      <c r="C1005" s="235" t="str">
        <f t="shared" si="17"/>
        <v>×</v>
      </c>
    </row>
    <row r="1006" spans="1:3" ht="15.75">
      <c r="A1006" s="242" t="s">
        <v>13495</v>
      </c>
      <c r="B1006" s="235" t="str">
        <f>IF(A1006="","",IF('General price list'!$W$17=B1005,A1006,IFERROR(VLOOKUP(A1006,Kategorie!C:AA,MATCH('General price list'!$W$17,Kategorie!$C$2:$AA$2,0),FALSE),"× Chybí překlad ×")))</f>
        <v>x</v>
      </c>
      <c r="C1006" s="235" t="str">
        <f t="shared" si="17"/>
        <v>×</v>
      </c>
    </row>
    <row r="1007" spans="1:3">
      <c r="A1007" s="241" t="s">
        <v>13495</v>
      </c>
      <c r="B1007" s="235" t="str">
        <f>IF(A1007="","",IF('General price list'!$W$17=B1006,A1007,IFERROR(VLOOKUP(A1007,Kategorie!C:AA,MATCH('General price list'!$W$17,Kategorie!$C$2:$AA$2,0),FALSE),"× Chybí překlad ×")))</f>
        <v>x</v>
      </c>
      <c r="C1007" s="235" t="str">
        <f t="shared" si="17"/>
        <v>×</v>
      </c>
    </row>
    <row r="1008" spans="1:3">
      <c r="A1008" s="241" t="s">
        <v>8423</v>
      </c>
      <c r="B1008" s="235" t="str">
        <f>IF(A1008="","",IF('General price list'!$W$17=B1007,A1008,IFERROR(VLOOKUP(A1008,Kategorie!C:AA,MATCH('General price list'!$W$17,Kategorie!$C$2:$AA$2,0),FALSE),"× Chybí překlad ×")))</f>
        <v>Baterie 19ran, 30mm šikmý moždíř</v>
      </c>
      <c r="C1008" s="235" t="str">
        <f t="shared" si="17"/>
        <v xml:space="preserve">                                                               Baterie 19ran, 30mm šikmý moždíř</v>
      </c>
    </row>
    <row r="1009" spans="1:3">
      <c r="A1009" s="241" t="s">
        <v>13495</v>
      </c>
      <c r="B1009" s="235" t="str">
        <f>IF(A1009="","",IF('General price list'!$W$17=B1008,A1009,IFERROR(VLOOKUP(A1009,Kategorie!C:AA,MATCH('General price list'!$W$17,Kategorie!$C$2:$AA$2,0),FALSE),"× Chybí překlad ×")))</f>
        <v>x</v>
      </c>
      <c r="C1009" s="235" t="str">
        <f t="shared" si="17"/>
        <v>×</v>
      </c>
    </row>
    <row r="1010" spans="1:3" ht="15.75">
      <c r="A1010" s="242" t="s">
        <v>13495</v>
      </c>
      <c r="B1010" s="235" t="str">
        <f>IF(A1010="","",IF('General price list'!$W$17=B1009,A1010,IFERROR(VLOOKUP(A1010,Kategorie!C:AA,MATCH('General price list'!$W$17,Kategorie!$C$2:$AA$2,0),FALSE),"× Chybí překlad ×")))</f>
        <v>x</v>
      </c>
      <c r="C1010" s="235" t="str">
        <f t="shared" si="17"/>
        <v>×</v>
      </c>
    </row>
    <row r="1011" spans="1:3">
      <c r="A1011" s="241" t="s">
        <v>13495</v>
      </c>
      <c r="B1011" s="235" t="str">
        <f>IF(A1011="","",IF('General price list'!$W$17=B1010,A1011,IFERROR(VLOOKUP(A1011,Kategorie!C:AA,MATCH('General price list'!$W$17,Kategorie!$C$2:$AA$2,0),FALSE),"× Chybí překlad ×")))</f>
        <v>x</v>
      </c>
      <c r="C1011" s="235" t="str">
        <f t="shared" si="17"/>
        <v>×</v>
      </c>
    </row>
    <row r="1012" spans="1:3">
      <c r="A1012" s="241" t="s">
        <v>13495</v>
      </c>
      <c r="B1012" s="235" t="str">
        <f>IF(A1012="","",IF('General price list'!$W$17=B1011,A1012,IFERROR(VLOOKUP(A1012,Kategorie!C:AA,MATCH('General price list'!$W$17,Kategorie!$C$2:$AA$2,0),FALSE),"× Chybí překlad ×")))</f>
        <v>x</v>
      </c>
      <c r="C1012" s="235" t="str">
        <f t="shared" si="17"/>
        <v>×</v>
      </c>
    </row>
    <row r="1013" spans="1:3">
      <c r="A1013" s="241" t="s">
        <v>13495</v>
      </c>
      <c r="B1013" s="235" t="str">
        <f>IF(A1013="","",IF('General price list'!$W$17=B1012,A1013,IFERROR(VLOOKUP(A1013,Kategorie!C:AA,MATCH('General price list'!$W$17,Kategorie!$C$2:$AA$2,0),FALSE),"× Chybí překlad ×")))</f>
        <v>x</v>
      </c>
      <c r="C1013" s="235" t="str">
        <f t="shared" si="17"/>
        <v>×</v>
      </c>
    </row>
    <row r="1014" spans="1:3">
      <c r="A1014" s="241" t="s">
        <v>8439</v>
      </c>
      <c r="B1014" s="235" t="str">
        <f>IF(A1014="","",IF('General price list'!$W$17=B1013,A1014,IFERROR(VLOOKUP(A1014,Kategorie!C:AA,MATCH('General price list'!$W$17,Kategorie!$C$2:$AA$2,0),FALSE),"× Chybí překlad ×")))</f>
        <v>Kulové pumy 50mm</v>
      </c>
      <c r="C1014" s="235" t="str">
        <f t="shared" si="17"/>
        <v xml:space="preserve">                                                               Kulové pumy 50mm</v>
      </c>
    </row>
    <row r="1015" spans="1:3" ht="15.75">
      <c r="A1015" s="242" t="s">
        <v>24</v>
      </c>
      <c r="B1015" s="235" t="str">
        <f>IF(A1015="","",IF('General price list'!$W$17=B1014,A1015,IFERROR(VLOOKUP(A1015,Kategorie!C:AA,MATCH('General price list'!$W$17,Kategorie!$C$2:$AA$2,0),FALSE),"× Chybí překlad ×")))</f>
        <v/>
      </c>
      <c r="C1015" s="235" t="str">
        <f t="shared" si="17"/>
        <v/>
      </c>
    </row>
    <row r="1016" spans="1:3">
      <c r="A1016" s="241" t="s">
        <v>8455</v>
      </c>
      <c r="B1016" s="235" t="str">
        <f>IF(A1016="","",IF('General price list'!$W$17=B1015,A1016,IFERROR(VLOOKUP(A1016,Kategorie!C:AA,MATCH('General price list'!$W$17,Kategorie!$C$2:$AA$2,0),FALSE),"× Chybí překlad ×")))</f>
        <v>Kulové pumy 75mm, prémiová kvalita</v>
      </c>
      <c r="C1016" s="235" t="str">
        <f t="shared" si="17"/>
        <v xml:space="preserve">                                                               Kulové pumy 75mm, prémiová kvalita</v>
      </c>
    </row>
    <row r="1017" spans="1:3">
      <c r="A1017" s="241" t="s">
        <v>24</v>
      </c>
      <c r="B1017" s="235" t="str">
        <f>IF(A1017="","",IF('General price list'!$W$17=B1016,A1017,IFERROR(VLOOKUP(A1017,Kategorie!C:AA,MATCH('General price list'!$W$17,Kategorie!$C$2:$AA$2,0),FALSE),"× Chybí překlad ×")))</f>
        <v/>
      </c>
      <c r="C1017" s="235" t="str">
        <f t="shared" si="17"/>
        <v/>
      </c>
    </row>
    <row r="1018" spans="1:3" ht="15.75">
      <c r="A1018" s="242" t="s">
        <v>24</v>
      </c>
      <c r="B1018" s="235" t="str">
        <f>IF(A1018="","",IF('General price list'!$W$17=B1017,A1018,IFERROR(VLOOKUP(A1018,Kategorie!C:AA,MATCH('General price list'!$W$17,Kategorie!$C$2:$AA$2,0),FALSE),"× Chybí překlad ×")))</f>
        <v/>
      </c>
      <c r="C1018" s="235" t="str">
        <f t="shared" si="17"/>
        <v/>
      </c>
    </row>
    <row r="1019" spans="1:3">
      <c r="A1019" s="241" t="s">
        <v>24</v>
      </c>
      <c r="B1019" s="235" t="str">
        <f>IF(A1019="","",IF('General price list'!$W$17=B1018,A1019,IFERROR(VLOOKUP(A1019,Kategorie!C:AA,MATCH('General price list'!$W$17,Kategorie!$C$2:$AA$2,0),FALSE),"× Chybí překlad ×")))</f>
        <v/>
      </c>
      <c r="C1019" s="235" t="str">
        <f t="shared" si="17"/>
        <v/>
      </c>
    </row>
    <row r="1020" spans="1:3">
      <c r="A1020" s="241" t="s">
        <v>24</v>
      </c>
      <c r="B1020" s="235" t="str">
        <f>IF(A1020="","",IF('General price list'!$W$17=B1019,A1020,IFERROR(VLOOKUP(A1020,Kategorie!C:AA,MATCH('General price list'!$W$17,Kategorie!$C$2:$AA$2,0),FALSE),"× Chybí překlad ×")))</f>
        <v/>
      </c>
      <c r="C1020" s="235" t="str">
        <f t="shared" si="17"/>
        <v/>
      </c>
    </row>
    <row r="1021" spans="1:3" ht="15.75">
      <c r="A1021" s="242" t="s">
        <v>24</v>
      </c>
      <c r="B1021" s="235" t="str">
        <f>IF(A1021="","",IF('General price list'!$W$17=B1020,A1021,IFERROR(VLOOKUP(A1021,Kategorie!C:AA,MATCH('General price list'!$W$17,Kategorie!$C$2:$AA$2,0),FALSE),"× Chybí překlad ×")))</f>
        <v/>
      </c>
      <c r="C1021" s="235" t="str">
        <f t="shared" si="17"/>
        <v/>
      </c>
    </row>
    <row r="1022" spans="1:3">
      <c r="A1022" s="241" t="s">
        <v>8463</v>
      </c>
      <c r="B1022" s="235" t="str">
        <f>IF(A1022="","",IF('General price list'!$W$17=B1021,A1022,IFERROR(VLOOKUP(A1022,Kategorie!C:AA,MATCH('General price list'!$W$17,Kategorie!$C$2:$AA$2,0),FALSE),"× Chybí překlad ×")))</f>
        <v>Kulové pumy 100mm</v>
      </c>
      <c r="C1022" s="235" t="str">
        <f t="shared" si="17"/>
        <v xml:space="preserve">                                                               Kulové pumy 100mm</v>
      </c>
    </row>
    <row r="1023" spans="1:3" ht="15.75">
      <c r="A1023" s="242" t="s">
        <v>24</v>
      </c>
      <c r="B1023" s="235" t="str">
        <f>IF(A1023="","",IF('General price list'!$W$17=B1022,A1023,IFERROR(VLOOKUP(A1023,Kategorie!C:AA,MATCH('General price list'!$W$17,Kategorie!$C$2:$AA$2,0),FALSE),"× Chybí překlad ×")))</f>
        <v/>
      </c>
      <c r="C1023" s="235" t="str">
        <f t="shared" si="17"/>
        <v/>
      </c>
    </row>
    <row r="1024" spans="1:3">
      <c r="A1024" s="241" t="s">
        <v>8471</v>
      </c>
      <c r="B1024" s="235" t="str">
        <f>IF(A1024="","",IF('General price list'!$W$17=B1023,A1024,IFERROR(VLOOKUP(A1024,Kategorie!C:AA,MATCH('General price list'!$W$17,Kategorie!$C$2:$AA$2,0),FALSE),"× Chybí překlad ×")))</f>
        <v>Kulové pumy 100mm, prémiová kvalita</v>
      </c>
      <c r="C1024" s="235" t="str">
        <f t="shared" si="17"/>
        <v xml:space="preserve">                                                               Kulové pumy 100mm, prémiová kvalita</v>
      </c>
    </row>
    <row r="1025" spans="1:3">
      <c r="A1025" s="241" t="s">
        <v>24</v>
      </c>
      <c r="B1025" s="235" t="str">
        <f>IF(A1025="","",IF('General price list'!$W$17=B1024,A1025,IFERROR(VLOOKUP(A1025,Kategorie!C:AA,MATCH('General price list'!$W$17,Kategorie!$C$2:$AA$2,0),FALSE),"× Chybí překlad ×")))</f>
        <v/>
      </c>
      <c r="C1025" s="235" t="str">
        <f t="shared" si="17"/>
        <v/>
      </c>
    </row>
    <row r="1026" spans="1:3" ht="15.75">
      <c r="A1026" s="242" t="s">
        <v>24</v>
      </c>
      <c r="B1026" s="235" t="str">
        <f>IF(A1026="","",IF('General price list'!$W$17=B1025,A1026,IFERROR(VLOOKUP(A1026,Kategorie!C:AA,MATCH('General price list'!$W$17,Kategorie!$C$2:$AA$2,0),FALSE),"× Chybí překlad ×")))</f>
        <v/>
      </c>
      <c r="C1026" s="235" t="str">
        <f t="shared" si="17"/>
        <v/>
      </c>
    </row>
    <row r="1027" spans="1:3">
      <c r="A1027" s="241" t="s">
        <v>24</v>
      </c>
      <c r="B1027" s="235" t="str">
        <f>IF(A1027="","",IF('General price list'!$W$17=B1026,A1027,IFERROR(VLOOKUP(A1027,Kategorie!C:AA,MATCH('General price list'!$W$17,Kategorie!$C$2:$AA$2,0),FALSE),"× Chybí překlad ×")))</f>
        <v/>
      </c>
      <c r="C1027" s="235" t="str">
        <f t="shared" si="17"/>
        <v/>
      </c>
    </row>
    <row r="1028" spans="1:3">
      <c r="A1028" s="241" t="s">
        <v>24</v>
      </c>
      <c r="B1028" s="235" t="str">
        <f>IF(A1028="","",IF('General price list'!$W$17=B1027,A1028,IFERROR(VLOOKUP(A1028,Kategorie!C:AA,MATCH('General price list'!$W$17,Kategorie!$C$2:$AA$2,0),FALSE),"× Chybí překlad ×")))</f>
        <v/>
      </c>
      <c r="C1028" s="235" t="str">
        <f t="shared" si="17"/>
        <v/>
      </c>
    </row>
    <row r="1029" spans="1:3" ht="15.75">
      <c r="A1029" s="242" t="s">
        <v>24</v>
      </c>
      <c r="B1029" s="235" t="str">
        <f>IF(A1029="","",IF('General price list'!$W$17=B1028,A1029,IFERROR(VLOOKUP(A1029,Kategorie!C:AA,MATCH('General price list'!$W$17,Kategorie!$C$2:$AA$2,0),FALSE),"× Chybí překlad ×")))</f>
        <v/>
      </c>
      <c r="C1029" s="235" t="str">
        <f t="shared" si="17"/>
        <v/>
      </c>
    </row>
    <row r="1030" spans="1:3">
      <c r="A1030" s="241" t="s">
        <v>24</v>
      </c>
      <c r="B1030" s="235" t="str">
        <f>IF(A1030="","",IF('General price list'!$W$17=B1029,A1030,IFERROR(VLOOKUP(A1030,Kategorie!C:AA,MATCH('General price list'!$W$17,Kategorie!$C$2:$AA$2,0),FALSE),"× Chybí překlad ×")))</f>
        <v/>
      </c>
      <c r="C1030" s="235" t="str">
        <f t="shared" si="17"/>
        <v/>
      </c>
    </row>
    <row r="1031" spans="1:3">
      <c r="A1031" s="241" t="s">
        <v>24</v>
      </c>
      <c r="B1031" s="235" t="str">
        <f>IF(A1031="","",IF('General price list'!$W$17=B1030,A1031,IFERROR(VLOOKUP(A1031,Kategorie!C:AA,MATCH('General price list'!$W$17,Kategorie!$C$2:$AA$2,0),FALSE),"× Chybí překlad ×")))</f>
        <v/>
      </c>
      <c r="C1031" s="235" t="str">
        <f t="shared" si="17"/>
        <v/>
      </c>
    </row>
    <row r="1032" spans="1:3">
      <c r="A1032" s="241" t="s">
        <v>24</v>
      </c>
      <c r="B1032" s="235" t="str">
        <f>IF(A1032="","",IF('General price list'!$W$17=B1031,A1032,IFERROR(VLOOKUP(A1032,Kategorie!C:AA,MATCH('General price list'!$W$17,Kategorie!$C$2:$AA$2,0),FALSE),"× Chybí překlad ×")))</f>
        <v/>
      </c>
      <c r="C1032" s="235" t="str">
        <f t="shared" si="17"/>
        <v/>
      </c>
    </row>
    <row r="1033" spans="1:3" ht="15.75">
      <c r="A1033" s="242" t="s">
        <v>24</v>
      </c>
      <c r="B1033" s="235" t="str">
        <f>IF(A1033="","",IF('General price list'!$W$17=B1032,A1033,IFERROR(VLOOKUP(A1033,Kategorie!C:AA,MATCH('General price list'!$W$17,Kategorie!$C$2:$AA$2,0),FALSE),"× Chybí překlad ×")))</f>
        <v/>
      </c>
      <c r="C1033" s="235" t="str">
        <f t="shared" si="17"/>
        <v/>
      </c>
    </row>
    <row r="1034" spans="1:3">
      <c r="A1034" s="241" t="s">
        <v>24</v>
      </c>
      <c r="B1034" s="235" t="str">
        <f>IF(A1034="","",IF('General price list'!$W$17=B1033,A1034,IFERROR(VLOOKUP(A1034,Kategorie!C:AA,MATCH('General price list'!$W$17,Kategorie!$C$2:$AA$2,0),FALSE),"× Chybí překlad ×")))</f>
        <v/>
      </c>
      <c r="C1034" s="235" t="str">
        <f t="shared" si="17"/>
        <v/>
      </c>
    </row>
    <row r="1035" spans="1:3">
      <c r="A1035" s="241" t="s">
        <v>24</v>
      </c>
      <c r="B1035" s="235" t="str">
        <f>IF(A1035="","",IF('General price list'!$W$17=B1034,A1035,IFERROR(VLOOKUP(A1035,Kategorie!C:AA,MATCH('General price list'!$W$17,Kategorie!$C$2:$AA$2,0),FALSE),"× Chybí překlad ×")))</f>
        <v/>
      </c>
      <c r="C1035" s="235" t="str">
        <f t="shared" si="17"/>
        <v/>
      </c>
    </row>
    <row r="1036" spans="1:3" ht="15.75">
      <c r="A1036" s="242" t="s">
        <v>24</v>
      </c>
      <c r="B1036" s="235" t="str">
        <f>IF(A1036="","",IF('General price list'!$W$17=B1035,A1036,IFERROR(VLOOKUP(A1036,Kategorie!C:AA,MATCH('General price list'!$W$17,Kategorie!$C$2:$AA$2,0),FALSE),"× Chybí překlad ×")))</f>
        <v/>
      </c>
      <c r="C1036" s="235" t="str">
        <f t="shared" si="17"/>
        <v/>
      </c>
    </row>
    <row r="1037" spans="1:3">
      <c r="A1037" s="241" t="s">
        <v>24</v>
      </c>
      <c r="B1037" s="235" t="str">
        <f>IF(A1037="","",IF('General price list'!$W$17=B1036,A1037,IFERROR(VLOOKUP(A1037,Kategorie!C:AA,MATCH('General price list'!$W$17,Kategorie!$C$2:$AA$2,0),FALSE),"× Chybí překlad ×")))</f>
        <v/>
      </c>
      <c r="C1037" s="235" t="str">
        <f t="shared" si="17"/>
        <v/>
      </c>
    </row>
    <row r="1038" spans="1:3">
      <c r="A1038" s="241" t="s">
        <v>24</v>
      </c>
      <c r="B1038" s="235" t="str">
        <f>IF(A1038="","",IF('General price list'!$W$17=B1037,A1038,IFERROR(VLOOKUP(A1038,Kategorie!C:AA,MATCH('General price list'!$W$17,Kategorie!$C$2:$AA$2,0),FALSE),"× Chybí překlad ×")))</f>
        <v/>
      </c>
      <c r="C1038" s="235" t="str">
        <f t="shared" si="17"/>
        <v/>
      </c>
    </row>
    <row r="1039" spans="1:3">
      <c r="A1039" s="241" t="s">
        <v>13495</v>
      </c>
      <c r="B1039" s="235" t="str">
        <f>IF(A1039="","",IF('General price list'!$W$17=B1038,A1039,IFERROR(VLOOKUP(A1039,Kategorie!C:AA,MATCH('General price list'!$W$17,Kategorie!$C$2:$AA$2,0),FALSE),"× Chybí překlad ×")))</f>
        <v>x</v>
      </c>
      <c r="C1039" s="235" t="str">
        <f t="shared" ref="C1039:C1072" si="18">IF(A1039="","",IF(A1039="x","×",$B$1&amp;B1039))</f>
        <v>×</v>
      </c>
    </row>
    <row r="1040" spans="1:3">
      <c r="A1040" s="241" t="s">
        <v>24</v>
      </c>
      <c r="B1040" s="235" t="str">
        <f>IF(A1040="","",IF('General price list'!$W$17=B1039,A1040,IFERROR(VLOOKUP(A1040,Kategorie!C:AA,MATCH('General price list'!$W$17,Kategorie!$C$2:$AA$2,0),FALSE),"× Chybí překlad ×")))</f>
        <v/>
      </c>
      <c r="C1040" s="235" t="str">
        <f t="shared" si="18"/>
        <v/>
      </c>
    </row>
    <row r="1041" spans="1:3">
      <c r="A1041" s="241" t="s">
        <v>8479</v>
      </c>
      <c r="B1041" s="235" t="str">
        <f>IF(A1041="","",IF('General price list'!$W$17=B1040,A1041,IFERROR(VLOOKUP(A1041,Kategorie!C:AA,MATCH('General price list'!$W$17,Kategorie!$C$2:$AA$2,0),FALSE),"× Chybí překlad ×")))</f>
        <v>Kulové pumy 125mm, prémiová kvalita</v>
      </c>
      <c r="C1041" s="235" t="str">
        <f t="shared" si="18"/>
        <v xml:space="preserve">                                                               Kulové pumy 125mm, prémiová kvalita</v>
      </c>
    </row>
    <row r="1042" spans="1:3">
      <c r="A1042" s="241" t="s">
        <v>24</v>
      </c>
      <c r="B1042" s="235" t="str">
        <f>IF(A1042="","",IF('General price list'!$W$17=B1041,A1042,IFERROR(VLOOKUP(A1042,Kategorie!C:AA,MATCH('General price list'!$W$17,Kategorie!$C$2:$AA$2,0),FALSE),"× Chybí překlad ×")))</f>
        <v/>
      </c>
      <c r="C1042" s="235" t="str">
        <f t="shared" si="18"/>
        <v/>
      </c>
    </row>
    <row r="1043" spans="1:3">
      <c r="A1043" s="241" t="s">
        <v>24</v>
      </c>
      <c r="B1043" s="235" t="str">
        <f>IF(A1043="","",IF('General price list'!$W$17=B1042,A1043,IFERROR(VLOOKUP(A1043,Kategorie!C:AA,MATCH('General price list'!$W$17,Kategorie!$C$2:$AA$2,0),FALSE),"× Chybí překlad ×")))</f>
        <v/>
      </c>
      <c r="C1043" s="235" t="str">
        <f t="shared" si="18"/>
        <v/>
      </c>
    </row>
    <row r="1044" spans="1:3">
      <c r="A1044" s="241" t="s">
        <v>24</v>
      </c>
      <c r="B1044" s="235" t="str">
        <f>IF(A1044="","",IF('General price list'!$W$17=B1043,A1044,IFERROR(VLOOKUP(A1044,Kategorie!C:AA,MATCH('General price list'!$W$17,Kategorie!$C$2:$AA$2,0),FALSE),"× Chybí překlad ×")))</f>
        <v/>
      </c>
      <c r="C1044" s="235" t="str">
        <f t="shared" si="18"/>
        <v/>
      </c>
    </row>
    <row r="1045" spans="1:3">
      <c r="A1045" s="241" t="s">
        <v>24</v>
      </c>
      <c r="B1045" s="235" t="str">
        <f>IF(A1045="","",IF('General price list'!$W$17=B1044,A1045,IFERROR(VLOOKUP(A1045,Kategorie!C:AA,MATCH('General price list'!$W$17,Kategorie!$C$2:$AA$2,0),FALSE),"× Chybí překlad ×")))</f>
        <v/>
      </c>
      <c r="C1045" s="235" t="str">
        <f t="shared" si="18"/>
        <v/>
      </c>
    </row>
    <row r="1046" spans="1:3">
      <c r="A1046" s="241" t="s">
        <v>8487</v>
      </c>
      <c r="B1046" s="235" t="str">
        <f>IF(A1046="","",IF('General price list'!$W$17=B1045,A1046,IFERROR(VLOOKUP(A1046,Kategorie!C:AA,MATCH('General price list'!$W$17,Kategorie!$C$2:$AA$2,0),FALSE),"× Chybí překlad ×")))</f>
        <v>Kulové pumy 150mm</v>
      </c>
      <c r="C1046" s="235" t="str">
        <f t="shared" si="18"/>
        <v xml:space="preserve">                                                               Kulové pumy 150mm</v>
      </c>
    </row>
    <row r="1047" spans="1:3">
      <c r="A1047" s="241" t="s">
        <v>24</v>
      </c>
      <c r="B1047" s="235" t="str">
        <f>IF(A1047="","",IF('General price list'!$W$17=B1046,A1047,IFERROR(VLOOKUP(A1047,Kategorie!C:AA,MATCH('General price list'!$W$17,Kategorie!$C$2:$AA$2,0),FALSE),"× Chybí překlad ×")))</f>
        <v/>
      </c>
      <c r="C1047" s="235" t="str">
        <f t="shared" si="18"/>
        <v/>
      </c>
    </row>
    <row r="1048" spans="1:3" ht="15.75">
      <c r="A1048" s="242" t="s">
        <v>8495</v>
      </c>
      <c r="B1048" s="235" t="str">
        <f>IF(A1048="","",IF('General price list'!$W$17=B1047,A1048,IFERROR(VLOOKUP(A1048,Kategorie!C:AA,MATCH('General price list'!$W$17,Kategorie!$C$2:$AA$2,0),FALSE),"× Chybí překlad ×")))</f>
        <v>Kulové pumy 150mm, prémiová kvalita</v>
      </c>
      <c r="C1048" s="235" t="str">
        <f t="shared" si="18"/>
        <v xml:space="preserve">                                                               Kulové pumy 150mm, prémiová kvalita</v>
      </c>
    </row>
    <row r="1049" spans="1:3">
      <c r="A1049" s="241" t="s">
        <v>24</v>
      </c>
      <c r="B1049" s="235" t="str">
        <f>IF(A1049="","",IF('General price list'!$W$17=B1048,A1049,IFERROR(VLOOKUP(A1049,Kategorie!C:AA,MATCH('General price list'!$W$17,Kategorie!$C$2:$AA$2,0),FALSE),"× Chybí překlad ×")))</f>
        <v/>
      </c>
      <c r="C1049" s="235" t="str">
        <f t="shared" si="18"/>
        <v/>
      </c>
    </row>
    <row r="1050" spans="1:3">
      <c r="A1050" s="241" t="s">
        <v>24</v>
      </c>
      <c r="B1050" s="235" t="str">
        <f>IF(A1050="","",IF('General price list'!$W$17=B1049,A1050,IFERROR(VLOOKUP(A1050,Kategorie!C:AA,MATCH('General price list'!$W$17,Kategorie!$C$2:$AA$2,0),FALSE),"× Chybí překlad ×")))</f>
        <v/>
      </c>
      <c r="C1050" s="235" t="str">
        <f t="shared" si="18"/>
        <v/>
      </c>
    </row>
    <row r="1051" spans="1:3">
      <c r="A1051" s="241" t="s">
        <v>24</v>
      </c>
      <c r="B1051" s="235" t="str">
        <f>IF(A1051="","",IF('General price list'!$W$17=B1050,A1051,IFERROR(VLOOKUP(A1051,Kategorie!C:AA,MATCH('General price list'!$W$17,Kategorie!$C$2:$AA$2,0),FALSE),"× Chybí překlad ×")))</f>
        <v/>
      </c>
      <c r="C1051" s="235" t="str">
        <f t="shared" si="18"/>
        <v/>
      </c>
    </row>
    <row r="1052" spans="1:3">
      <c r="A1052" s="241" t="s">
        <v>24</v>
      </c>
      <c r="B1052" s="235" t="str">
        <f>IF(A1052="","",IF('General price list'!$W$17=B1051,A1052,IFERROR(VLOOKUP(A1052,Kategorie!C:AA,MATCH('General price list'!$W$17,Kategorie!$C$2:$AA$2,0),FALSE),"× Chybí překlad ×")))</f>
        <v/>
      </c>
      <c r="C1052" s="235" t="str">
        <f t="shared" si="18"/>
        <v/>
      </c>
    </row>
    <row r="1053" spans="1:3" ht="15.75">
      <c r="A1053" s="242" t="s">
        <v>8503</v>
      </c>
      <c r="B1053" s="235" t="str">
        <f>IF(A1053="","",IF('General price list'!$W$17=B1052,A1053,IFERROR(VLOOKUP(A1053,Kategorie!C:AA,MATCH('General price list'!$W$17,Kategorie!$C$2:$AA$2,0),FALSE),"× Chybí překlad ×")))</f>
        <v>Nezničitelné moždíře</v>
      </c>
      <c r="C1053" s="235" t="str">
        <f t="shared" si="18"/>
        <v xml:space="preserve">                                                               Nezničitelné moždíře</v>
      </c>
    </row>
    <row r="1054" spans="1:3">
      <c r="A1054" s="241" t="s">
        <v>24</v>
      </c>
      <c r="B1054" s="235" t="str">
        <f>IF(A1054="","",IF('General price list'!$W$17=B1053,A1054,IFERROR(VLOOKUP(A1054,Kategorie!C:AA,MATCH('General price list'!$W$17,Kategorie!$C$2:$AA$2,0),FALSE),"× Chybí překlad ×")))</f>
        <v/>
      </c>
      <c r="C1054" s="235" t="str">
        <f t="shared" si="18"/>
        <v/>
      </c>
    </row>
    <row r="1055" spans="1:3">
      <c r="A1055" s="241" t="s">
        <v>24</v>
      </c>
      <c r="B1055" s="235" t="str">
        <f>IF(A1055="","",IF('General price list'!$W$17=B1054,A1055,IFERROR(VLOOKUP(A1055,Kategorie!C:AA,MATCH('General price list'!$W$17,Kategorie!$C$2:$AA$2,0),FALSE),"× Chybí překlad ×")))</f>
        <v/>
      </c>
      <c r="C1055" s="235" t="str">
        <f t="shared" si="18"/>
        <v/>
      </c>
    </row>
    <row r="1056" spans="1:3">
      <c r="A1056" s="241" t="s">
        <v>24</v>
      </c>
      <c r="B1056" s="235" t="str">
        <f>IF(A1056="","",IF('General price list'!$W$17=B1055,A1056,IFERROR(VLOOKUP(A1056,Kategorie!C:AA,MATCH('General price list'!$W$17,Kategorie!$C$2:$AA$2,0),FALSE),"× Chybí překlad ×")))</f>
        <v/>
      </c>
      <c r="C1056" s="235" t="str">
        <f t="shared" si="18"/>
        <v/>
      </c>
    </row>
    <row r="1057" spans="1:3">
      <c r="A1057" s="241" t="s">
        <v>24</v>
      </c>
      <c r="B1057" s="235" t="str">
        <f>IF(A1057="","",IF('General price list'!$W$17=B1056,A1057,IFERROR(VLOOKUP(A1057,Kategorie!C:AA,MATCH('General price list'!$W$17,Kategorie!$C$2:$AA$2,0),FALSE),"× Chybí překlad ×")))</f>
        <v/>
      </c>
      <c r="C1057" s="235" t="str">
        <f t="shared" si="18"/>
        <v/>
      </c>
    </row>
    <row r="1058" spans="1:3">
      <c r="A1058" s="241" t="s">
        <v>24</v>
      </c>
      <c r="B1058" s="235" t="str">
        <f>IF(A1058="","",IF('General price list'!$W$17=B1057,A1058,IFERROR(VLOOKUP(A1058,Kategorie!C:AA,MATCH('General price list'!$W$17,Kategorie!$C$2:$AA$2,0),FALSE),"× Chybí překlad ×")))</f>
        <v/>
      </c>
      <c r="C1058" s="235" t="str">
        <f t="shared" si="18"/>
        <v/>
      </c>
    </row>
    <row r="1059" spans="1:3">
      <c r="A1059" s="241" t="s">
        <v>8511</v>
      </c>
      <c r="B1059" s="235" t="str">
        <f>IF(A1059="","",IF('General price list'!$W$17=B1058,A1059,IFERROR(VLOOKUP(A1059,Kategorie!C:AA,MATCH('General price list'!$W$17,Kategorie!$C$2:$AA$2,0),FALSE),"× Chybí překlad ×")))</f>
        <v>Interiérové fontány, výstřiky, vodopády</v>
      </c>
      <c r="C1059" s="235" t="str">
        <f t="shared" si="18"/>
        <v xml:space="preserve">                                                               Interiérové fontány, výstřiky, vodopády</v>
      </c>
    </row>
    <row r="1060" spans="1:3">
      <c r="A1060" s="241" t="s">
        <v>24</v>
      </c>
      <c r="B1060" s="235" t="str">
        <f>IF(A1060="","",IF('General price list'!$W$17=B1059,A1060,IFERROR(VLOOKUP(A1060,Kategorie!C:AA,MATCH('General price list'!$W$17,Kategorie!$C$2:$AA$2,0),FALSE),"× Chybí překlad ×")))</f>
        <v/>
      </c>
      <c r="C1060" s="235" t="str">
        <f t="shared" si="18"/>
        <v/>
      </c>
    </row>
    <row r="1061" spans="1:3">
      <c r="A1061" s="241" t="s">
        <v>24</v>
      </c>
      <c r="B1061" s="235" t="str">
        <f>IF(A1061="","",IF('General price list'!$W$17=B1060,A1061,IFERROR(VLOOKUP(A1061,Kategorie!C:AA,MATCH('General price list'!$W$17,Kategorie!$C$2:$AA$2,0),FALSE),"× Chybí překlad ×")))</f>
        <v/>
      </c>
      <c r="C1061" s="235" t="str">
        <f t="shared" si="18"/>
        <v/>
      </c>
    </row>
    <row r="1062" spans="1:3">
      <c r="A1062" s="241" t="s">
        <v>24</v>
      </c>
      <c r="B1062" s="235" t="str">
        <f>IF(A1062="","",IF('General price list'!$W$17=B1061,A1062,IFERROR(VLOOKUP(A1062,Kategorie!C:AA,MATCH('General price list'!$W$17,Kategorie!$C$2:$AA$2,0),FALSE),"× Chybí překlad ×")))</f>
        <v/>
      </c>
      <c r="C1062" s="235" t="str">
        <f t="shared" si="18"/>
        <v/>
      </c>
    </row>
    <row r="1063" spans="1:3">
      <c r="A1063" s="241" t="s">
        <v>24</v>
      </c>
      <c r="B1063" s="235" t="str">
        <f>IF(A1063="","",IF('General price list'!$W$17=B1062,A1063,IFERROR(VLOOKUP(A1063,Kategorie!C:AA,MATCH('General price list'!$W$17,Kategorie!$C$2:$AA$2,0),FALSE),"× Chybí překlad ×")))</f>
        <v/>
      </c>
      <c r="C1063" s="235" t="str">
        <f t="shared" si="18"/>
        <v/>
      </c>
    </row>
    <row r="1064" spans="1:3" ht="15.75">
      <c r="A1064" s="242" t="s">
        <v>7100</v>
      </c>
      <c r="B1064" s="235" t="str">
        <f>IF(A1064="","",IF('General price list'!$W$17=B1063,A1064,IFERROR(VLOOKUP(A1064,Kategorie!C:AA,MATCH('General price list'!$W$17,Kategorie!$C$2:$AA$2,0),FALSE),"× Chybí překlad ×")))</f>
        <v>Ostatní</v>
      </c>
      <c r="C1064" s="235" t="str">
        <f t="shared" si="18"/>
        <v xml:space="preserve">                                                               Ostatní</v>
      </c>
    </row>
    <row r="1065" spans="1:3">
      <c r="A1065" s="241" t="s">
        <v>24</v>
      </c>
      <c r="B1065" s="235" t="str">
        <f>IF(A1065="","",IF('General price list'!$W$17=B1064,A1065,IFERROR(VLOOKUP(A1065,Kategorie!C:AA,MATCH('General price list'!$W$17,Kategorie!$C$2:$AA$2,0),FALSE),"× Chybí překlad ×")))</f>
        <v/>
      </c>
      <c r="C1065" s="235" t="str">
        <f t="shared" si="18"/>
        <v/>
      </c>
    </row>
    <row r="1066" spans="1:3">
      <c r="A1066" s="241" t="s">
        <v>24</v>
      </c>
      <c r="B1066" s="235" t="str">
        <f>IF(A1066="","",IF('General price list'!$W$17=B1065,A1066,IFERROR(VLOOKUP(A1066,Kategorie!C:AA,MATCH('General price list'!$W$17,Kategorie!$C$2:$AA$2,0),FALSE),"× Chybí překlad ×")))</f>
        <v/>
      </c>
      <c r="C1066" s="235" t="str">
        <f t="shared" si="18"/>
        <v/>
      </c>
    </row>
    <row r="1067" spans="1:3">
      <c r="A1067" s="241" t="s">
        <v>24</v>
      </c>
      <c r="B1067" s="235" t="str">
        <f>IF(A1067="","",IF('General price list'!$W$17=B1066,A1067,IFERROR(VLOOKUP(A1067,Kategorie!C:AA,MATCH('General price list'!$W$17,Kategorie!$C$2:$AA$2,0),FALSE),"× Chybí překlad ×")))</f>
        <v/>
      </c>
      <c r="C1067" s="235" t="str">
        <f t="shared" si="18"/>
        <v/>
      </c>
    </row>
    <row r="1068" spans="1:3">
      <c r="A1068" s="241" t="s">
        <v>24</v>
      </c>
      <c r="B1068" s="235" t="str">
        <f>IF(A1068="","",IF('General price list'!$W$17=B1067,A1068,IFERROR(VLOOKUP(A1068,Kategorie!C:AA,MATCH('General price list'!$W$17,Kategorie!$C$2:$AA$2,0),FALSE),"× Chybí překlad ×")))</f>
        <v/>
      </c>
      <c r="C1068" s="235" t="str">
        <f t="shared" si="18"/>
        <v/>
      </c>
    </row>
    <row r="1069" spans="1:3">
      <c r="A1069" s="241" t="s">
        <v>24</v>
      </c>
      <c r="B1069" s="235" t="str">
        <f>IF(A1069="","",IF('General price list'!$W$17=B1068,A1069,IFERROR(VLOOKUP(A1069,Kategorie!C:AA,MATCH('General price list'!$W$17,Kategorie!$C$2:$AA$2,0),FALSE),"× Chybí překlad ×")))</f>
        <v/>
      </c>
      <c r="C1069" s="235" t="str">
        <f t="shared" si="18"/>
        <v/>
      </c>
    </row>
    <row r="1070" spans="1:3">
      <c r="A1070" s="241" t="s">
        <v>14066</v>
      </c>
      <c r="B1070" s="235" t="str">
        <f>IF(A1070="","",IF('General price list'!$W$17=B1069,A1070,IFERROR(VLOOKUP(A1070,Kategorie!C:AA,MATCH('General price list'!$W$17,Kategorie!$C$2:$AA$2,0),FALSE),"× Chybí překlad ×")))</f>
        <v>DUMMIES</v>
      </c>
      <c r="C1070" s="235" t="str">
        <f t="shared" si="18"/>
        <v xml:space="preserve">                                                               DUMMIES</v>
      </c>
    </row>
    <row r="1071" spans="1:3">
      <c r="A1071" s="241" t="s">
        <v>6869</v>
      </c>
      <c r="B1071" s="235" t="str">
        <f>IF(A1071="","",IF('General price list'!$W$17=B1070,A1071,IFERROR(VLOOKUP(A1071,Kategorie!C:AA,MATCH('General price list'!$W$17,Kategorie!$C$2:$AA$2,0),FALSE),"× Chybí překlad ×")))</f>
        <v>Interiérové fontány</v>
      </c>
      <c r="C1071" s="235" t="str">
        <f t="shared" si="18"/>
        <v xml:space="preserve">                                                               Interiérové fontány</v>
      </c>
    </row>
    <row r="1072" spans="1:3">
      <c r="A1072" s="241" t="s">
        <v>24</v>
      </c>
      <c r="B1072" s="235" t="str">
        <f>IF(A1072="","",IF('General price list'!$W$17=B1071,A1072,IFERROR(VLOOKUP(A1072,Kategorie!C:AA,MATCH('General price list'!$W$17,Kategorie!$C$2:$AA$2,0),FALSE),"× Chybí překlad ×")))</f>
        <v/>
      </c>
      <c r="C1072" s="235" t="str">
        <f t="shared" si="18"/>
        <v/>
      </c>
    </row>
    <row r="1073" spans="1:3">
      <c r="A1073" s="241" t="s">
        <v>8527</v>
      </c>
      <c r="B1073" s="235" t="str">
        <f>IF(A1073="","",IF('General price list'!$W$17=B1072,A1073,IFERROR(VLOOKUP(A1073,Kategorie!C:AA,MATCH('General price list'!$W$17,Kategorie!$C$2:$AA$2,0),FALSE),"× Chybí překlad ×")))</f>
        <v>Raketové sety 1.3G</v>
      </c>
      <c r="C1073" s="235" t="str">
        <f t="shared" ref="C1073:C1122" si="19">IF(A1073="","",IF(A1073="x","×",$B$1&amp;B1073))</f>
        <v xml:space="preserve">                                                               Raketové sety 1.3G</v>
      </c>
    </row>
    <row r="1074" spans="1:3">
      <c r="A1074" s="241" t="s">
        <v>24</v>
      </c>
      <c r="B1074" s="235" t="str">
        <f>IF(A1074="","",IF('General price list'!$W$17=B1073,A1074,IFERROR(VLOOKUP(A1074,Kategorie!C:AA,MATCH('General price list'!$W$17,Kategorie!$C$2:$AA$2,0),FALSE),"× Chybí překlad ×")))</f>
        <v/>
      </c>
      <c r="C1074" s="235" t="str">
        <f t="shared" si="19"/>
        <v/>
      </c>
    </row>
    <row r="1075" spans="1:3">
      <c r="A1075" s="241" t="s">
        <v>7214</v>
      </c>
      <c r="B1075" s="235" t="str">
        <f>IF(A1075="","",IF('General price list'!$W$17=B1074,A1075,IFERROR(VLOOKUP(A1075,Kategorie!C:AA,MATCH('General price list'!$W$17,Kategorie!$C$2:$AA$2,0),FALSE),"× Chybí překlad ×")))</f>
        <v>Baterie 25ran, 20mm moždíř-1.3G</v>
      </c>
      <c r="C1075" s="235" t="str">
        <f t="shared" si="19"/>
        <v xml:space="preserve">                                                               Baterie 25ran, 20mm moždíř-1.3G</v>
      </c>
    </row>
    <row r="1076" spans="1:3">
      <c r="A1076" s="241" t="s">
        <v>24</v>
      </c>
      <c r="B1076" s="235" t="str">
        <f>IF(A1076="","",IF('General price list'!$W$17=B1075,A1076,IFERROR(VLOOKUP(A1076,Kategorie!C:AA,MATCH('General price list'!$W$17,Kategorie!$C$2:$AA$2,0),FALSE),"× Chybí překlad ×")))</f>
        <v/>
      </c>
      <c r="C1076" s="235" t="str">
        <f t="shared" si="19"/>
        <v/>
      </c>
    </row>
    <row r="1077" spans="1:3">
      <c r="A1077" s="241" t="s">
        <v>24</v>
      </c>
      <c r="B1077" s="235" t="str">
        <f>IF(A1077="","",IF('General price list'!$W$17=B1076,A1077,IFERROR(VLOOKUP(A1077,Kategorie!C:AA,MATCH('General price list'!$W$17,Kategorie!$C$2:$AA$2,0),FALSE),"× Chybí překlad ×")))</f>
        <v/>
      </c>
      <c r="C1077" s="235" t="str">
        <f t="shared" si="19"/>
        <v/>
      </c>
    </row>
    <row r="1078" spans="1:3">
      <c r="A1078" s="241" t="s">
        <v>7303</v>
      </c>
      <c r="B1078" s="235" t="str">
        <f>IF(A1078="","",IF('General price list'!$W$17=B1077,A1078,IFERROR(VLOOKUP(A1078,Kategorie!C:AA,MATCH('General price list'!$W$17,Kategorie!$C$2:$AA$2,0),FALSE),"× Chybí překlad ×")))</f>
        <v>Baterie 90ran, 20mm moždíř-1.3G</v>
      </c>
      <c r="C1078" s="235" t="str">
        <f t="shared" si="19"/>
        <v xml:space="preserve">                                                               Baterie 90ran, 20mm moždíř-1.3G</v>
      </c>
    </row>
    <row r="1079" spans="1:3">
      <c r="A1079" s="241" t="s">
        <v>24</v>
      </c>
      <c r="B1079" s="235" t="str">
        <f>IF(A1079="","",IF('General price list'!$W$17=B1078,A1079,IFERROR(VLOOKUP(A1079,Kategorie!C:AA,MATCH('General price list'!$W$17,Kategorie!$C$2:$AA$2,0),FALSE),"× Chybí překlad ×")))</f>
        <v/>
      </c>
      <c r="C1079" s="235" t="str">
        <f t="shared" si="19"/>
        <v/>
      </c>
    </row>
    <row r="1080" spans="1:3">
      <c r="A1080" s="241" t="s">
        <v>7312</v>
      </c>
      <c r="B1080" s="235" t="str">
        <f>IF(A1080="","",IF('General price list'!$W$17=B1079,A1080,IFERROR(VLOOKUP(A1080,Kategorie!C:AA,MATCH('General price list'!$W$17,Kategorie!$C$2:$AA$2,0),FALSE),"× Chybí překlad ×")))</f>
        <v>Baterie 100ran, 20mm moždíř-1.4G</v>
      </c>
      <c r="C1080" s="235" t="str">
        <f t="shared" si="19"/>
        <v xml:space="preserve">                                                               Baterie 100ran, 20mm moždíř-1.4G</v>
      </c>
    </row>
    <row r="1081" spans="1:3">
      <c r="A1081" s="241" t="s">
        <v>24</v>
      </c>
      <c r="B1081" s="235" t="str">
        <f>IF(A1081="","",IF('General price list'!$W$17=B1080,A1081,IFERROR(VLOOKUP(A1081,Kategorie!C:AA,MATCH('General price list'!$W$17,Kategorie!$C$2:$AA$2,0),FALSE),"× Chybí překlad ×")))</f>
        <v/>
      </c>
      <c r="C1081" s="235" t="str">
        <f t="shared" si="19"/>
        <v/>
      </c>
    </row>
    <row r="1082" spans="1:3" ht="15.75">
      <c r="A1082" s="242" t="s">
        <v>7330</v>
      </c>
      <c r="B1082" s="235" t="str">
        <f>IF(A1082="","",IF('General price list'!$W$17=B1081,A1082,IFERROR(VLOOKUP(A1082,Kategorie!C:AA,MATCH('General price list'!$W$17,Kategorie!$C$2:$AA$2,0),FALSE),"× Chybí překlad ×")))</f>
        <v>Baterie 100ran, 20mm šikmý moždíř-1.3G</v>
      </c>
      <c r="C1082" s="235" t="str">
        <f t="shared" si="19"/>
        <v xml:space="preserve">                                                               Baterie 100ran, 20mm šikmý moždíř-1.3G</v>
      </c>
    </row>
    <row r="1083" spans="1:3">
      <c r="A1083" s="241" t="s">
        <v>24</v>
      </c>
      <c r="B1083" s="235" t="str">
        <f>IF(A1083="","",IF('General price list'!$W$17=B1082,A1083,IFERROR(VLOOKUP(A1083,Kategorie!C:AA,MATCH('General price list'!$W$17,Kategorie!$C$2:$AA$2,0),FALSE),"× Chybí překlad ×")))</f>
        <v/>
      </c>
      <c r="C1083" s="235" t="str">
        <f t="shared" si="19"/>
        <v/>
      </c>
    </row>
    <row r="1084" spans="1:3">
      <c r="A1084" s="241" t="s">
        <v>7339</v>
      </c>
      <c r="B1084" s="235" t="str">
        <f>IF(A1084="","",IF('General price list'!$W$17=B1083,A1084,IFERROR(VLOOKUP(A1084,Kategorie!C:AA,MATCH('General price list'!$W$17,Kategorie!$C$2:$AA$2,0),FALSE),"× Chybí překlad ×")))</f>
        <v>Baterie 130ran, 20mm moždíř-1.3G</v>
      </c>
      <c r="C1084" s="235" t="str">
        <f t="shared" si="19"/>
        <v xml:space="preserve">                                                               Baterie 130ran, 20mm moždíř-1.3G</v>
      </c>
    </row>
    <row r="1085" spans="1:3">
      <c r="A1085" s="241" t="s">
        <v>24</v>
      </c>
      <c r="B1085" s="235" t="str">
        <f>IF(A1085="","",IF('General price list'!$W$17=B1084,A1085,IFERROR(VLOOKUP(A1085,Kategorie!C:AA,MATCH('General price list'!$W$17,Kategorie!$C$2:$AA$2,0),FALSE),"× Chybí překlad ×")))</f>
        <v/>
      </c>
      <c r="C1085" s="235" t="str">
        <f t="shared" si="19"/>
        <v/>
      </c>
    </row>
    <row r="1086" spans="1:3">
      <c r="A1086" s="241" t="s">
        <v>7348</v>
      </c>
      <c r="B1086" s="235" t="str">
        <f>IF(A1086="","",IF('General price list'!$W$17=B1085,A1086,IFERROR(VLOOKUP(A1086,Kategorie!C:AA,MATCH('General price list'!$W$17,Kategorie!$C$2:$AA$2,0),FALSE),"× Chybí překlad ×")))</f>
        <v>Baterie 134ran, 20mm I+V+W+šikmý moždíř-1.3G</v>
      </c>
      <c r="C1086" s="235" t="str">
        <f t="shared" si="19"/>
        <v xml:space="preserve">                                                               Baterie 134ran, 20mm I+V+W+šikmý moždíř-1.3G</v>
      </c>
    </row>
    <row r="1087" spans="1:3">
      <c r="A1087" s="234" t="s">
        <v>24</v>
      </c>
      <c r="B1087" s="235" t="str">
        <f>IF(A1087="","",IF('General price list'!$W$17=B1086,A1087,IFERROR(VLOOKUP(A1087,Kategorie!C:AA,MATCH('General price list'!$W$17,Kategorie!$C$2:$AA$2,0),FALSE),"× Chybí překlad ×")))</f>
        <v/>
      </c>
      <c r="C1087" s="235" t="str">
        <f t="shared" si="19"/>
        <v/>
      </c>
    </row>
    <row r="1088" spans="1:3" ht="15.75">
      <c r="A1088" s="240" t="s">
        <v>24</v>
      </c>
      <c r="B1088" s="235" t="str">
        <f>IF(A1088="","",IF('General price list'!$W$17=B1087,A1088,IFERROR(VLOOKUP(A1088,Kategorie!C:AA,MATCH('General price list'!$W$17,Kategorie!$C$2:$AA$2,0),FALSE),"× Chybí překlad ×")))</f>
        <v/>
      </c>
      <c r="C1088" s="235" t="str">
        <f t="shared" si="19"/>
        <v/>
      </c>
    </row>
    <row r="1089" spans="1:3" ht="15.75">
      <c r="A1089" s="240" t="s">
        <v>7420</v>
      </c>
      <c r="B1089" s="235" t="str">
        <f>IF(A1089="","",IF('General price list'!$W$17=B1088,A1089,IFERROR(VLOOKUP(A1089,Kategorie!C:AA,MATCH('General price list'!$W$17,Kategorie!$C$2:$AA$2,0),FALSE),"× Chybí překlad ×")))</f>
        <v>Složený ohňostroj F3 - 1.3G</v>
      </c>
      <c r="C1089" s="235" t="str">
        <f t="shared" si="19"/>
        <v xml:space="preserve">                                                               Složený ohňostroj F3 - 1.3G</v>
      </c>
    </row>
    <row r="1090" spans="1:3" ht="15.75">
      <c r="A1090" s="242" t="s">
        <v>24</v>
      </c>
      <c r="B1090" s="235" t="str">
        <f>IF(A1090="","",IF('General price list'!$W$17=B1089,A1090,IFERROR(VLOOKUP(A1090,Kategorie!C:AA,MATCH('General price list'!$W$17,Kategorie!$C$2:$AA$2,0),FALSE),"× Chybí překlad ×")))</f>
        <v/>
      </c>
      <c r="C1090" s="235" t="str">
        <f t="shared" si="19"/>
        <v/>
      </c>
    </row>
    <row r="1091" spans="1:3">
      <c r="A1091" s="241" t="s">
        <v>7536</v>
      </c>
      <c r="B1091" s="235" t="str">
        <f>IF(A1091="","",IF('General price list'!$W$17=B1090,A1091,IFERROR(VLOOKUP(A1091,Kategorie!C:AA,MATCH('General price list'!$W$17,Kategorie!$C$2:$AA$2,0),FALSE),"× Chybí překlad ×")))</f>
        <v>Baterie 88ran, 25mm moždíř-1.3G</v>
      </c>
      <c r="C1091" s="235" t="str">
        <f t="shared" si="19"/>
        <v xml:space="preserve">                                                               Baterie 88ran, 25mm moždíř-1.3G</v>
      </c>
    </row>
    <row r="1092" spans="1:3">
      <c r="A1092" s="241" t="s">
        <v>24</v>
      </c>
      <c r="B1092" s="235" t="str">
        <f>IF(A1092="","",IF('General price list'!$W$17=B1091,A1092,IFERROR(VLOOKUP(A1092,Kategorie!C:AA,MATCH('General price list'!$W$17,Kategorie!$C$2:$AA$2,0),FALSE),"× Chybí překlad ×")))</f>
        <v/>
      </c>
      <c r="C1092" s="235" t="str">
        <f t="shared" si="19"/>
        <v/>
      </c>
    </row>
    <row r="1093" spans="1:3" ht="15.75">
      <c r="A1093" s="242" t="s">
        <v>24</v>
      </c>
      <c r="B1093" s="235" t="str">
        <f>IF(A1093="","",IF('General price list'!$W$17=B1092,A1093,IFERROR(VLOOKUP(A1093,Kategorie!C:AA,MATCH('General price list'!$W$17,Kategorie!$C$2:$AA$2,0),FALSE),"× Chybí překlad ×")))</f>
        <v/>
      </c>
      <c r="C1093" s="235" t="str">
        <f t="shared" si="19"/>
        <v/>
      </c>
    </row>
    <row r="1094" spans="1:3">
      <c r="A1094" s="241" t="s">
        <v>7545</v>
      </c>
      <c r="B1094" s="235" t="str">
        <f>IF(A1094="","",IF('General price list'!$W$17=B1093,A1094,IFERROR(VLOOKUP(A1094,Kategorie!C:AA,MATCH('General price list'!$W$17,Kategorie!$C$2:$AA$2,0),FALSE),"× Chybí překlad ×")))</f>
        <v>Baterie 89ran, 25mm I+W+šikmý moždíř-1.3G</v>
      </c>
      <c r="C1094" s="235" t="str">
        <f t="shared" si="19"/>
        <v xml:space="preserve">                                                               Baterie 89ran, 25mm I+W+šikmý moždíř-1.3G</v>
      </c>
    </row>
    <row r="1095" spans="1:3" ht="15.75">
      <c r="A1095" s="242" t="s">
        <v>24</v>
      </c>
      <c r="B1095" s="235" t="str">
        <f>IF(A1095="","",IF('General price list'!$W$17=B1094,A1095,IFERROR(VLOOKUP(A1095,Kategorie!C:AA,MATCH('General price list'!$W$17,Kategorie!$C$2:$AA$2,0),FALSE),"× Chybí překlad ×")))</f>
        <v/>
      </c>
      <c r="C1095" s="235" t="str">
        <f t="shared" si="19"/>
        <v/>
      </c>
    </row>
    <row r="1096" spans="1:3">
      <c r="A1096" s="241" t="s">
        <v>7554</v>
      </c>
      <c r="B1096" s="235" t="str">
        <f>IF(A1096="","",IF('General price list'!$W$17=B1095,A1096,IFERROR(VLOOKUP(A1096,Kategorie!C:AA,MATCH('General price list'!$W$17,Kategorie!$C$2:$AA$2,0),FALSE),"× Chybí překlad ×")))</f>
        <v>Baterie 100ran, 25mm moždíř-1.3G</v>
      </c>
      <c r="C1096" s="235" t="str">
        <f t="shared" si="19"/>
        <v xml:space="preserve">                                                               Baterie 100ran, 25mm moždíř-1.3G</v>
      </c>
    </row>
    <row r="1097" spans="1:3" ht="15.75">
      <c r="A1097" s="242" t="s">
        <v>24</v>
      </c>
      <c r="B1097" s="235" t="str">
        <f>IF(A1097="","",IF('General price list'!$W$17=B1096,A1097,IFERROR(VLOOKUP(A1097,Kategorie!C:AA,MATCH('General price list'!$W$17,Kategorie!$C$2:$AA$2,0),FALSE),"× Chybí překlad ×")))</f>
        <v/>
      </c>
      <c r="C1097" s="235" t="str">
        <f t="shared" si="19"/>
        <v/>
      </c>
    </row>
    <row r="1098" spans="1:3">
      <c r="A1098" s="241" t="s">
        <v>7599</v>
      </c>
      <c r="B1098" s="235" t="str">
        <f>IF(A1098="","",IF('General price list'!$W$17=B1097,A1098,IFERROR(VLOOKUP(A1098,Kategorie!C:AA,MATCH('General price list'!$W$17,Kategorie!$C$2:$AA$2,0),FALSE),"× Chybí překlad ×")))</f>
        <v>Složený ohňostroj 25mm - F3 - 1.3G</v>
      </c>
      <c r="C1098" s="235" t="str">
        <f t="shared" si="19"/>
        <v xml:space="preserve">                                                               Složený ohňostroj 25mm - F3 - 1.3G</v>
      </c>
    </row>
    <row r="1099" spans="1:3" ht="15.75">
      <c r="A1099" s="242" t="s">
        <v>24</v>
      </c>
      <c r="B1099" s="235" t="str">
        <f>IF(A1099="","",IF('General price list'!$W$17=B1098,A1099,IFERROR(VLOOKUP(A1099,Kategorie!C:AA,MATCH('General price list'!$W$17,Kategorie!$C$2:$AA$2,0),FALSE),"× Chybí překlad ×")))</f>
        <v/>
      </c>
      <c r="C1099" s="235" t="str">
        <f t="shared" si="19"/>
        <v/>
      </c>
    </row>
    <row r="1100" spans="1:3">
      <c r="A1100" s="241" t="s">
        <v>7739</v>
      </c>
      <c r="B1100" s="235" t="str">
        <f>IF(A1100="","",IF('General price list'!$W$17=B1099,A1100,IFERROR(VLOOKUP(A1100,Kategorie!C:AA,MATCH('General price list'!$W$17,Kategorie!$C$2:$AA$2,0),FALSE),"× Chybí překlad ×")))</f>
        <v>Baterie 49ran, 30mm moždíř-1.3G</v>
      </c>
      <c r="C1100" s="235" t="str">
        <f t="shared" si="19"/>
        <v xml:space="preserve">                                                               Baterie 49ran, 30mm moždíř-1.3G</v>
      </c>
    </row>
    <row r="1101" spans="1:3">
      <c r="A1101" s="241" t="s">
        <v>24</v>
      </c>
      <c r="B1101" s="235" t="str">
        <f>IF(A1101="","",IF('General price list'!$W$17=B1100,A1101,IFERROR(VLOOKUP(A1101,Kategorie!C:AA,MATCH('General price list'!$W$17,Kategorie!$C$2:$AA$2,0),FALSE),"× Chybí překlad ×")))</f>
        <v/>
      </c>
      <c r="C1101" s="235" t="str">
        <f t="shared" si="19"/>
        <v/>
      </c>
    </row>
    <row r="1102" spans="1:3">
      <c r="A1102" s="241" t="s">
        <v>24</v>
      </c>
      <c r="B1102" s="235" t="str">
        <f>IF(A1102="","",IF('General price list'!$W$17=B1101,A1102,IFERROR(VLOOKUP(A1102,Kategorie!C:AA,MATCH('General price list'!$W$17,Kategorie!$C$2:$AA$2,0),FALSE),"× Chybí překlad ×")))</f>
        <v/>
      </c>
      <c r="C1102" s="235" t="str">
        <f t="shared" si="19"/>
        <v/>
      </c>
    </row>
    <row r="1103" spans="1:3" ht="15.75">
      <c r="A1103" s="242" t="s">
        <v>7748</v>
      </c>
      <c r="B1103" s="235" t="str">
        <f>IF(A1103="","",IF('General price list'!$W$17=B1102,A1103,IFERROR(VLOOKUP(A1103,Kategorie!C:AA,MATCH('General price list'!$W$17,Kategorie!$C$2:$AA$2,0),FALSE),"× Chybí překlad ×")))</f>
        <v>Baterie 49ran, 30mm šikmý moždíř-1.3G</v>
      </c>
      <c r="C1103" s="235" t="str">
        <f t="shared" si="19"/>
        <v xml:space="preserve">                                                               Baterie 49ran, 30mm šikmý moždíř-1.3G</v>
      </c>
    </row>
    <row r="1104" spans="1:3">
      <c r="A1104" s="241" t="s">
        <v>24</v>
      </c>
      <c r="B1104" s="235" t="str">
        <f>IF(A1104="","",IF('General price list'!$W$17=B1103,A1104,IFERROR(VLOOKUP(A1104,Kategorie!C:AA,MATCH('General price list'!$W$17,Kategorie!$C$2:$AA$2,0),FALSE),"× Chybí překlad ×")))</f>
        <v/>
      </c>
      <c r="C1104" s="235" t="str">
        <f t="shared" si="19"/>
        <v/>
      </c>
    </row>
    <row r="1105" spans="1:3">
      <c r="A1105" s="241" t="s">
        <v>7775</v>
      </c>
      <c r="B1105" s="235" t="str">
        <f>IF(A1105="","",IF('General price list'!$W$17=B1104,A1105,IFERROR(VLOOKUP(A1105,Kategorie!C:AA,MATCH('General price list'!$W$17,Kategorie!$C$2:$AA$2,0),FALSE),"× Chybí překlad ×")))</f>
        <v>Baterie 64ran, 30mm šikmý moždíř-1.3G</v>
      </c>
      <c r="C1105" s="235" t="str">
        <f t="shared" si="19"/>
        <v xml:space="preserve">                                                               Baterie 64ran, 30mm šikmý moždíř-1.3G</v>
      </c>
    </row>
    <row r="1106" spans="1:3">
      <c r="A1106" s="241" t="s">
        <v>24</v>
      </c>
      <c r="B1106" s="235" t="str">
        <f>IF(A1106="","",IF('General price list'!$W$17=B1105,A1106,IFERROR(VLOOKUP(A1106,Kategorie!C:AA,MATCH('General price list'!$W$17,Kategorie!$C$2:$AA$2,0),FALSE),"× Chybí překlad ×")))</f>
        <v/>
      </c>
      <c r="C1106" s="235" t="str">
        <f t="shared" si="19"/>
        <v/>
      </c>
    </row>
    <row r="1107" spans="1:3" ht="15.75">
      <c r="A1107" s="242" t="s">
        <v>7784</v>
      </c>
      <c r="B1107" s="235" t="str">
        <f>IF(A1107="","",IF('General price list'!$W$17=B1106,A1107,IFERROR(VLOOKUP(A1107,Kategorie!C:AA,MATCH('General price list'!$W$17,Kategorie!$C$2:$AA$2,0),FALSE),"× Chybí překlad ×")))</f>
        <v>Baterie 64ran, 30mm rovný+šikmý moždíř-1.3G</v>
      </c>
      <c r="C1107" s="235" t="str">
        <f t="shared" si="19"/>
        <v xml:space="preserve">                                                               Baterie 64ran, 30mm rovný+šikmý moždíř-1.3G</v>
      </c>
    </row>
    <row r="1108" spans="1:3">
      <c r="A1108" s="241" t="s">
        <v>24</v>
      </c>
      <c r="B1108" s="235" t="str">
        <f>IF(A1108="","",IF('General price list'!$W$17=B1107,A1108,IFERROR(VLOOKUP(A1108,Kategorie!C:AA,MATCH('General price list'!$W$17,Kategorie!$C$2:$AA$2,0),FALSE),"× Chybí překlad ×")))</f>
        <v/>
      </c>
      <c r="C1108" s="235" t="str">
        <f t="shared" si="19"/>
        <v/>
      </c>
    </row>
    <row r="1109" spans="1:3">
      <c r="A1109" s="241" t="s">
        <v>7845</v>
      </c>
      <c r="B1109" s="235" t="str">
        <f>IF(A1109="","",IF('General price list'!$W$17=B1108,A1109,IFERROR(VLOOKUP(A1109,Kategorie!C:AA,MATCH('General price list'!$W$17,Kategorie!$C$2:$AA$2,0),FALSE),"× Chybí překlad ×")))</f>
        <v>Baterie 16ran, 50mm moždíř-1.3G</v>
      </c>
      <c r="C1109" s="235" t="str">
        <f t="shared" si="19"/>
        <v xml:space="preserve">                                                               Baterie 16ran, 50mm moždíř-1.3G</v>
      </c>
    </row>
    <row r="1110" spans="1:3" ht="15.75">
      <c r="A1110" s="242" t="s">
        <v>24</v>
      </c>
      <c r="B1110" s="235" t="str">
        <f>IF(A1110="","",IF('General price list'!$W$17=B1109,A1110,IFERROR(VLOOKUP(A1110,Kategorie!C:AA,MATCH('General price list'!$W$17,Kategorie!$C$2:$AA$2,0),FALSE),"× Chybí překlad ×")))</f>
        <v/>
      </c>
      <c r="C1110" s="235" t="str">
        <f t="shared" si="19"/>
        <v/>
      </c>
    </row>
    <row r="1111" spans="1:3">
      <c r="A1111" s="241" t="s">
        <v>8213</v>
      </c>
      <c r="B1111" s="235" t="str">
        <f>IF(A1111="","",IF('General price list'!$W$17=B1110,A1111,IFERROR(VLOOKUP(A1111,Kategorie!C:AA,MATCH('General price list'!$W$17,Kategorie!$C$2:$AA$2,0),FALSE),"× Chybí překlad ×")))</f>
        <v>Baterie 36ran, 36+50mm moždíř-1.3G</v>
      </c>
      <c r="C1111" s="235" t="str">
        <f t="shared" si="19"/>
        <v xml:space="preserve">                                                               Baterie 36ran, 36+50mm moždíř-1.3G</v>
      </c>
    </row>
    <row r="1112" spans="1:3">
      <c r="A1112" s="241" t="s">
        <v>24</v>
      </c>
      <c r="B1112" s="235" t="str">
        <f>IF(A1112="","",IF('General price list'!$W$17=B1111,A1112,IFERROR(VLOOKUP(A1112,Kategorie!C:AA,MATCH('General price list'!$W$17,Kategorie!$C$2:$AA$2,0),FALSE),"× Chybí překlad ×")))</f>
        <v/>
      </c>
      <c r="C1112" s="235" t="str">
        <f t="shared" si="19"/>
        <v/>
      </c>
    </row>
    <row r="1113" spans="1:3" ht="15.75">
      <c r="A1113" s="242" t="s">
        <v>8240</v>
      </c>
      <c r="B1113" s="235" t="str">
        <f>IF(A1113="","",IF('General price list'!$W$17=B1112,A1113,IFERROR(VLOOKUP(A1113,Kategorie!C:AA,MATCH('General price list'!$W$17,Kategorie!$C$2:$AA$2,0),FALSE),"× Chybí překlad ×")))</f>
        <v>Baterie 47ran, 30+50mm rovný+šikmý moždíř-1.3G</v>
      </c>
      <c r="C1113" s="235" t="str">
        <f t="shared" si="19"/>
        <v xml:space="preserve">                                                               Baterie 47ran, 30+50mm rovný+šikmý moždíř-1.3G</v>
      </c>
    </row>
    <row r="1114" spans="1:3">
      <c r="A1114" s="241" t="s">
        <v>24</v>
      </c>
      <c r="B1114" s="235" t="str">
        <f>IF(A1114="","",IF('General price list'!$W$17=B1113,A1114,IFERROR(VLOOKUP(A1114,Kategorie!C:AA,MATCH('General price list'!$W$17,Kategorie!$C$2:$AA$2,0),FALSE),"× Chybí překlad ×")))</f>
        <v/>
      </c>
      <c r="C1114" s="235" t="str">
        <f t="shared" si="19"/>
        <v/>
      </c>
    </row>
    <row r="1115" spans="1:3">
      <c r="A1115" s="241" t="s">
        <v>8249</v>
      </c>
      <c r="B1115" s="235" t="str">
        <f>IF(A1115="","",IF('General price list'!$W$17=B1114,A1115,IFERROR(VLOOKUP(A1115,Kategorie!C:AA,MATCH('General price list'!$W$17,Kategorie!$C$2:$AA$2,0),FALSE),"× Chybí překlad ×")))</f>
        <v>Baterie 62ran, 20+25+30+48mm rovný+šikmý+S moždíř-1.3G</v>
      </c>
      <c r="C1115" s="235" t="str">
        <f t="shared" si="19"/>
        <v xml:space="preserve">                                                               Baterie 62ran, 20+25+30+48mm rovný+šikmý+S moždíř-1.3G</v>
      </c>
    </row>
    <row r="1116" spans="1:3">
      <c r="A1116" s="241" t="s">
        <v>24</v>
      </c>
      <c r="B1116" s="235" t="str">
        <f>IF(A1116="","",IF('General price list'!$W$17=B1115,A1116,IFERROR(VLOOKUP(A1116,Kategorie!C:AA,MATCH('General price list'!$W$17,Kategorie!$C$2:$AA$2,0),FALSE),"× Chybí překlad ×")))</f>
        <v/>
      </c>
      <c r="C1116" s="235" t="str">
        <f t="shared" si="19"/>
        <v/>
      </c>
    </row>
    <row r="1117" spans="1:3" ht="15.75">
      <c r="A1117" s="242" t="s">
        <v>8258</v>
      </c>
      <c r="B1117" s="235" t="str">
        <f>IF(A1117="","",IF('General price list'!$W$17=B1116,A1117,IFERROR(VLOOKUP(A1117,Kategorie!C:AA,MATCH('General price list'!$W$17,Kategorie!$C$2:$AA$2,0),FALSE),"× Chybí překlad ×")))</f>
        <v>Baterie 63ran, 25+45mm rovný+šikmý moždíř-1.3G</v>
      </c>
      <c r="C1117" s="235" t="str">
        <f t="shared" si="19"/>
        <v xml:space="preserve">                                                               Baterie 63ran, 25+45mm rovný+šikmý moždíř-1.3G</v>
      </c>
    </row>
    <row r="1118" spans="1:3">
      <c r="A1118" s="241" t="s">
        <v>24</v>
      </c>
      <c r="B1118" s="235" t="str">
        <f>IF(A1118="","",IF('General price list'!$W$17=B1117,A1118,IFERROR(VLOOKUP(A1118,Kategorie!C:AA,MATCH('General price list'!$W$17,Kategorie!$C$2:$AA$2,0),FALSE),"× Chybí překlad ×")))</f>
        <v/>
      </c>
      <c r="C1118" s="235" t="str">
        <f t="shared" si="19"/>
        <v/>
      </c>
    </row>
    <row r="1119" spans="1:3" ht="15.75">
      <c r="A1119" s="242" t="s">
        <v>8115</v>
      </c>
      <c r="B1119" s="235" t="str">
        <f>IF(A1119="","",IF('General price list'!$W$17=B1118,A1119,IFERROR(VLOOKUP(A1119,Kategorie!C:AA,MATCH('General price list'!$W$17,Kategorie!$C$2:$AA$2,0),FALSE),"× Chybí překlad ×")))</f>
        <v>Baterie 106ran, 20+25+30mm rovný+šikmý+S moždíř-1.3G</v>
      </c>
      <c r="C1119" s="235" t="str">
        <f t="shared" si="19"/>
        <v xml:space="preserve">                                                               Baterie 106ran, 20+25+30mm rovný+šikmý+S moždíř-1.3G</v>
      </c>
    </row>
    <row r="1120" spans="1:3">
      <c r="A1120" s="241" t="s">
        <v>24</v>
      </c>
      <c r="B1120" s="235" t="str">
        <f>IF(A1120="","",IF('General price list'!$W$17=B1119,A1120,IFERROR(VLOOKUP(A1120,Kategorie!C:AA,MATCH('General price list'!$W$17,Kategorie!$C$2:$AA$2,0),FALSE),"× Chybí překlad ×")))</f>
        <v/>
      </c>
      <c r="C1120" s="235" t="str">
        <f t="shared" si="19"/>
        <v/>
      </c>
    </row>
    <row r="1121" spans="1:3" ht="15.75">
      <c r="A1121" s="242" t="s">
        <v>24</v>
      </c>
      <c r="B1121" s="235" t="str">
        <f>IF(A1121="","",IF('General price list'!$W$17=B1120,A1121,IFERROR(VLOOKUP(A1121,Kategorie!C:AA,MATCH('General price list'!$W$17,Kategorie!$C$2:$AA$2,0),FALSE),"× Chybí překlad ×")))</f>
        <v/>
      </c>
      <c r="C1121" s="235" t="str">
        <f t="shared" si="19"/>
        <v/>
      </c>
    </row>
    <row r="1122" spans="1:3">
      <c r="A1122" s="241" t="s">
        <v>8169</v>
      </c>
      <c r="B1122" s="235" t="str">
        <f>IF(A1122="","",IF('General price list'!$W$17=B1121,A1122,IFERROR(VLOOKUP(A1122,Kategorie!C:AA,MATCH('General price list'!$W$17,Kategorie!$C$2:$AA$2,0),FALSE),"× Chybí překlad ×")))</f>
        <v>Složený ohňostroj, multikaliber(20-30mm) F3 - 1.3G</v>
      </c>
      <c r="C1122" s="235" t="str">
        <f t="shared" si="19"/>
        <v xml:space="preserve">                                                               Složený ohňostroj, multikaliber(20-30mm) F3 - 1.3G</v>
      </c>
    </row>
    <row r="1123" spans="1:3">
      <c r="A1123" s="234" t="s">
        <v>24</v>
      </c>
      <c r="B1123" s="235" t="str">
        <f>IF(A1123="","",IF('General price list'!$W$17=B1122,A1123,IFERROR(VLOOKUP(A1123,Kategorie!C:AA,MATCH('General price list'!$W$17,Kategorie!$C$2:$AA$2,0),FALSE),"× Chybí překlad ×")))</f>
        <v/>
      </c>
      <c r="C1123" s="235" t="str">
        <f t="shared" ref="C1123:C1124" si="20">IF(A1123="","",IF(A1123="x","×",$B$1&amp;B1123))</f>
        <v/>
      </c>
    </row>
    <row r="1124" spans="1:3">
      <c r="A1124" s="234" t="s">
        <v>12119</v>
      </c>
      <c r="B1124" s="235" t="str">
        <f>IF(A1124="","",IF('General price list'!$W$17=B1123,A1124,IFERROR(VLOOKUP(A1124,Kategorie!C:AA,MATCH('General price list'!$W$17,Kategorie!$C$2:$AA$2,0),FALSE),"× Chybí překlad ×")))</f>
        <v>Designové kartony</v>
      </c>
      <c r="C1124" s="235" t="str">
        <f t="shared" si="20"/>
        <v xml:space="preserve">                                                               Designové kartony</v>
      </c>
    </row>
    <row r="1125" spans="1:3">
      <c r="A1125" s="234"/>
      <c r="C1125" s="235" t="str">
        <f t="shared" ref="C1125:C1135" si="21">IF(A1125="","",IF(A1125="x","×",$B$1&amp;B1125))</f>
        <v/>
      </c>
    </row>
    <row r="1126" spans="1:3">
      <c r="A1126" s="234"/>
      <c r="C1126" s="235" t="str">
        <f t="shared" si="21"/>
        <v/>
      </c>
    </row>
    <row r="1127" spans="1:3">
      <c r="A1127" s="234"/>
      <c r="C1127" s="235" t="str">
        <f t="shared" si="21"/>
        <v/>
      </c>
    </row>
    <row r="1128" spans="1:3">
      <c r="A1128" s="234"/>
      <c r="C1128" s="235" t="str">
        <f t="shared" si="21"/>
        <v/>
      </c>
    </row>
    <row r="1129" spans="1:3">
      <c r="A1129" s="234"/>
      <c r="C1129" s="235" t="str">
        <f t="shared" si="21"/>
        <v/>
      </c>
    </row>
    <row r="1130" spans="1:3">
      <c r="A1130" s="234"/>
      <c r="C1130" s="235" t="str">
        <f t="shared" si="21"/>
        <v/>
      </c>
    </row>
    <row r="1131" spans="1:3">
      <c r="A1131" s="234"/>
      <c r="C1131" s="235" t="str">
        <f t="shared" si="21"/>
        <v/>
      </c>
    </row>
    <row r="1132" spans="1:3">
      <c r="A1132" s="234"/>
      <c r="C1132" s="235" t="str">
        <f t="shared" si="21"/>
        <v/>
      </c>
    </row>
    <row r="1133" spans="1:3">
      <c r="A1133" s="234"/>
      <c r="C1133" s="235" t="str">
        <f t="shared" si="21"/>
        <v/>
      </c>
    </row>
    <row r="1134" spans="1:3">
      <c r="A1134" s="234"/>
      <c r="C1134" s="235" t="str">
        <f t="shared" si="21"/>
        <v/>
      </c>
    </row>
    <row r="1135" spans="1:3">
      <c r="A1135" s="234"/>
      <c r="C1135" s="235" t="str">
        <f t="shared" si="21"/>
        <v/>
      </c>
    </row>
    <row r="1136" spans="1:3">
      <c r="A1136" s="234"/>
    </row>
    <row r="1137" spans="1:1">
      <c r="A1137" s="234"/>
    </row>
    <row r="1138" spans="1:1">
      <c r="A1138" s="234"/>
    </row>
    <row r="1139" spans="1:1">
      <c r="A1139" s="234"/>
    </row>
    <row r="1140" spans="1:1">
      <c r="A1140" s="234"/>
    </row>
    <row r="1141" spans="1:1">
      <c r="A1141" s="234"/>
    </row>
    <row r="1142" spans="1:1">
      <c r="A1142" s="234"/>
    </row>
    <row r="1143" spans="1:1">
      <c r="A1143" s="234"/>
    </row>
    <row r="1144" spans="1:1">
      <c r="A1144" s="234"/>
    </row>
    <row r="1145" spans="1:1">
      <c r="A1145" s="234"/>
    </row>
    <row r="1146" spans="1:1">
      <c r="A1146" s="234"/>
    </row>
    <row r="1147" spans="1:1">
      <c r="A1147" s="234"/>
    </row>
    <row r="1148" spans="1:1">
      <c r="A1148" s="234"/>
    </row>
    <row r="1149" spans="1:1">
      <c r="A1149" s="234"/>
    </row>
    <row r="1150" spans="1:1">
      <c r="A1150" s="234"/>
    </row>
    <row r="1151" spans="1:1">
      <c r="A1151" s="234"/>
    </row>
    <row r="1152" spans="1:1">
      <c r="A1152" s="234"/>
    </row>
    <row r="1153" spans="1:1">
      <c r="A1153" s="234"/>
    </row>
    <row r="1154" spans="1:1">
      <c r="A1154" s="234"/>
    </row>
    <row r="1155" spans="1:1">
      <c r="A1155" s="234"/>
    </row>
    <row r="1156" spans="1:1">
      <c r="A1156" s="234"/>
    </row>
  </sheetData>
  <autoFilter ref="A1:C1593"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2024-03-08T12:42:13Z</dcterms:modified>
</cp:coreProperties>
</file>